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10.111.100.10\Departments\Fund Accounting\Operations\Printing\March 2022\After IAD Changes FINAL for BOD\"/>
    </mc:Choice>
  </mc:AlternateContent>
  <bookViews>
    <workbookView xWindow="0" yWindow="0" windowWidth="23040" windowHeight="9192" tabRatio="870"/>
  </bookViews>
  <sheets>
    <sheet name="BS" sheetId="1" r:id="rId1"/>
    <sheet name="IS" sheetId="2" r:id="rId2"/>
    <sheet name="OCI" sheetId="62" r:id="rId3"/>
    <sheet name="DS" sheetId="4" state="hidden" r:id="rId4"/>
    <sheet name="UHF" sheetId="5" state="hidden" r:id="rId5"/>
    <sheet name="UHF." sheetId="74" r:id="rId6"/>
    <sheet name="CFs" sheetId="6" r:id="rId7"/>
    <sheet name="1-6" sheetId="77" r:id="rId8"/>
    <sheet name="6-6.1.2" sheetId="76" r:id="rId9"/>
    <sheet name="6.2" sheetId="71" r:id="rId10"/>
    <sheet name="7-12" sheetId="80" r:id="rId11"/>
    <sheet name="5.4" sheetId="70" state="hidden" r:id="rId12"/>
    <sheet name="UHF New" sheetId="72" state="hidden" r:id="rId13"/>
    <sheet name="UHF OLD" sheetId="66" state="hidden" r:id="rId14"/>
    <sheet name="Sheet4" sheetId="73" state="hidden" r:id="rId15"/>
    <sheet name="5.1" sheetId="59" state="hidden" r:id="rId16"/>
    <sheet name="Sheet3" sheetId="65" state="hidden" r:id="rId17"/>
    <sheet name="14-16" sheetId="79" state="hidden" r:id="rId18"/>
    <sheet name="12.1" sheetId="82" r:id="rId19"/>
    <sheet name="12.2-12.3" sheetId="83" r:id="rId20"/>
    <sheet name="14" sheetId="78" r:id="rId21"/>
    <sheet name="RP" sheetId="67" state="hidden" r:id="rId22"/>
    <sheet name="TB MCBPSM" sheetId="54" state="hidden" r:id="rId23"/>
    <sheet name="Sheet2" sheetId="64" state="hidden" r:id="rId24"/>
    <sheet name="CF Working" sheetId="61" r:id="rId25"/>
    <sheet name="TB-31 Dec" sheetId="75" r:id="rId26"/>
    <sheet name="Sheet2 (2)" sheetId="84" state="hidden" r:id="rId27"/>
    <sheet name="Sheet2 (3)" sheetId="85" state="hidden" r:id="rId28"/>
    <sheet name="Sheet1" sheetId="63" state="hidden" r:id="rId29"/>
    <sheet name="Note 1-5 (2)" sheetId="46" state="hidden" r:id="rId30"/>
    <sheet name="5.1-5.3" sheetId="21" state="hidden" r:id="rId31"/>
    <sheet name="5.4-8" sheetId="32" state="hidden" r:id="rId32"/>
    <sheet name="5.1-5.3 (2)" sheetId="47" state="hidden" r:id="rId33"/>
    <sheet name="20-25.1.2" sheetId="26" state="hidden" r:id="rId34"/>
    <sheet name="25.1.3-25.2" sheetId="28" state="hidden" r:id="rId35"/>
    <sheet name="Note 25.2.1-30.1" sheetId="29" state="hidden" r:id="rId36"/>
    <sheet name="Element income final" sheetId="49" state="hidden" r:id="rId37"/>
    <sheet name="Element income final 2015" sheetId="50" state="hidden" r:id="rId38"/>
    <sheet name="29-31.3" sheetId="27" state="hidden" r:id="rId39"/>
    <sheet name="credit 2011" sheetId="31" state="hidden" r:id="rId40"/>
    <sheet name="bank rating" sheetId="30" state="hidden" r:id="rId41"/>
    <sheet name="Element of Income " sheetId="36" state="hidden" r:id="rId42"/>
    <sheet name="Element working" sheetId="37" state="hidden" r:id="rId43"/>
    <sheet name="Set off" sheetId="38" state="hidden" r:id="rId44"/>
    <sheet name="Trial Balance" sheetId="34" state="hidden" r:id="rId45"/>
    <sheet name="investment topsheet" sheetId="22" state="hidden" r:id="rId46"/>
    <sheet name="invst Control Sheet" sheetId="23"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s>
  <definedNames>
    <definedName name="\0" localSheetId="18">#REF!</definedName>
    <definedName name="\0" localSheetId="19">#REF!</definedName>
    <definedName name="\0">#REF!</definedName>
    <definedName name="\A" localSheetId="20">'[1]P&amp;L Commentary'!#REF!</definedName>
    <definedName name="\a" localSheetId="17">#REF!</definedName>
    <definedName name="\A" localSheetId="8">'[1]P&amp;L Commentary'!#REF!</definedName>
    <definedName name="\A" localSheetId="2">'[1]P&amp;L Commentary'!#REF!</definedName>
    <definedName name="\A" localSheetId="12">'[1]P&amp;L Commentary'!#REF!</definedName>
    <definedName name="\A" localSheetId="13">'[1]P&amp;L Commentary'!#REF!</definedName>
    <definedName name="\A" localSheetId="5">'[1]P&amp;L Commentary'!#REF!</definedName>
    <definedName name="\A">'[1]P&amp;L Commentary'!#REF!</definedName>
    <definedName name="\b" localSheetId="20">#REF!</definedName>
    <definedName name="\b" localSheetId="17">#REF!</definedName>
    <definedName name="\b" localSheetId="8">#REF!</definedName>
    <definedName name="\b" localSheetId="12">#REF!</definedName>
    <definedName name="\b" localSheetId="13">#REF!</definedName>
    <definedName name="\b" localSheetId="5">#REF!</definedName>
    <definedName name="\b">#REF!</definedName>
    <definedName name="\c" localSheetId="20">#REF!</definedName>
    <definedName name="\c" localSheetId="17">#REF!</definedName>
    <definedName name="\c" localSheetId="8">#REF!</definedName>
    <definedName name="\c" localSheetId="12">#REF!</definedName>
    <definedName name="\c" localSheetId="13">#REF!</definedName>
    <definedName name="\c" localSheetId="5">#REF!</definedName>
    <definedName name="\c">#REF!</definedName>
    <definedName name="\d" localSheetId="20">#REF!</definedName>
    <definedName name="\d" localSheetId="17">#REF!</definedName>
    <definedName name="\d" localSheetId="8">#REF!</definedName>
    <definedName name="\d" localSheetId="12">#REF!</definedName>
    <definedName name="\d" localSheetId="13">#REF!</definedName>
    <definedName name="\d" localSheetId="5">#REF!</definedName>
    <definedName name="\d">#REF!</definedName>
    <definedName name="\e" localSheetId="20">#REF!</definedName>
    <definedName name="\e" localSheetId="17">#REF!</definedName>
    <definedName name="\e" localSheetId="8">#REF!</definedName>
    <definedName name="\e" localSheetId="12">#REF!</definedName>
    <definedName name="\e" localSheetId="13">#REF!</definedName>
    <definedName name="\e" localSheetId="5">#REF!</definedName>
    <definedName name="\e">#REF!</definedName>
    <definedName name="\H" localSheetId="20">'[2]Toyota PL ckd'!#REF!</definedName>
    <definedName name="\H" localSheetId="17">'[2]Toyota PL ckd'!#REF!</definedName>
    <definedName name="\H" localSheetId="8">'[2]Toyota PL ckd'!#REF!</definedName>
    <definedName name="\H" localSheetId="2">'[2]Toyota PL ckd'!#REF!</definedName>
    <definedName name="\H" localSheetId="12">'[2]Toyota PL ckd'!#REF!</definedName>
    <definedName name="\H" localSheetId="13">'[2]Toyota PL ckd'!#REF!</definedName>
    <definedName name="\H" localSheetId="5">'[2]Toyota PL ckd'!#REF!</definedName>
    <definedName name="\H">'[2]Toyota PL ckd'!#REF!</definedName>
    <definedName name="\i" localSheetId="20">#REF!</definedName>
    <definedName name="\i" localSheetId="17">#REF!</definedName>
    <definedName name="\i" localSheetId="8">#REF!</definedName>
    <definedName name="\i" localSheetId="12">#REF!</definedName>
    <definedName name="\i" localSheetId="13">#REF!</definedName>
    <definedName name="\i" localSheetId="5">#REF!</definedName>
    <definedName name="\i">#REF!</definedName>
    <definedName name="\K" localSheetId="20">#REF!</definedName>
    <definedName name="\K" localSheetId="17">#REF!</definedName>
    <definedName name="\K" localSheetId="8">#REF!</definedName>
    <definedName name="\K" localSheetId="2">#REF!</definedName>
    <definedName name="\K" localSheetId="12">#REF!</definedName>
    <definedName name="\K" localSheetId="13">#REF!</definedName>
    <definedName name="\K" localSheetId="5">#REF!</definedName>
    <definedName name="\K">#REF!</definedName>
    <definedName name="\l" localSheetId="20">#REF!</definedName>
    <definedName name="\l" localSheetId="17">#REF!</definedName>
    <definedName name="\l" localSheetId="8">#REF!</definedName>
    <definedName name="\l" localSheetId="12">#REF!</definedName>
    <definedName name="\l" localSheetId="13">#REF!</definedName>
    <definedName name="\l" localSheetId="5">#REF!</definedName>
    <definedName name="\l">#REF!</definedName>
    <definedName name="\M" localSheetId="20">'[3]Stock in Trade'!#REF!</definedName>
    <definedName name="\m" localSheetId="17">#REF!</definedName>
    <definedName name="\M" localSheetId="8">'[3]Stock in Trade'!#REF!</definedName>
    <definedName name="\M" localSheetId="2">'[3]Stock in Trade'!#REF!</definedName>
    <definedName name="\M" localSheetId="12">'[3]Stock in Trade'!#REF!</definedName>
    <definedName name="\M" localSheetId="13">'[3]Stock in Trade'!#REF!</definedName>
    <definedName name="\M" localSheetId="5">'[3]Stock in Trade'!#REF!</definedName>
    <definedName name="\M">'[3]Stock in Trade'!#REF!</definedName>
    <definedName name="\mansoor" localSheetId="20">#REF!</definedName>
    <definedName name="\mansoor" localSheetId="17">#REF!</definedName>
    <definedName name="\mansoor" localSheetId="8">#REF!</definedName>
    <definedName name="\mansoor" localSheetId="12">#REF!</definedName>
    <definedName name="\mansoor" localSheetId="13">#REF!</definedName>
    <definedName name="\mansoor" localSheetId="5">#REF!</definedName>
    <definedName name="\mansoor">#REF!</definedName>
    <definedName name="\N" localSheetId="20">#REF!</definedName>
    <definedName name="\n" localSheetId="17">#REF!</definedName>
    <definedName name="\N" localSheetId="8">#REF!</definedName>
    <definedName name="\N" localSheetId="2">#REF!</definedName>
    <definedName name="\N" localSheetId="12">#REF!</definedName>
    <definedName name="\N" localSheetId="13">#REF!</definedName>
    <definedName name="\N" localSheetId="5">#REF!</definedName>
    <definedName name="\N">#REF!</definedName>
    <definedName name="\o" localSheetId="20">#REF!</definedName>
    <definedName name="\o" localSheetId="17">#REF!</definedName>
    <definedName name="\o" localSheetId="8">#REF!</definedName>
    <definedName name="\o" localSheetId="12">#REF!</definedName>
    <definedName name="\o" localSheetId="13">#REF!</definedName>
    <definedName name="\o" localSheetId="5">#REF!</definedName>
    <definedName name="\o">#REF!</definedName>
    <definedName name="\P" localSheetId="20">'[1]P&amp;L Commentary'!#REF!</definedName>
    <definedName name="\p" localSheetId="17">#REF!</definedName>
    <definedName name="\P" localSheetId="8">'[1]P&amp;L Commentary'!#REF!</definedName>
    <definedName name="\P" localSheetId="2">'[1]P&amp;L Commentary'!#REF!</definedName>
    <definedName name="\P" localSheetId="12">'[1]P&amp;L Commentary'!#REF!</definedName>
    <definedName name="\P" localSheetId="13">'[1]P&amp;L Commentary'!#REF!</definedName>
    <definedName name="\P" localSheetId="5">'[1]P&amp;L Commentary'!#REF!</definedName>
    <definedName name="\P">'[1]P&amp;L Commentary'!#REF!</definedName>
    <definedName name="\Q" localSheetId="20">'[1]P&amp;L Commentary'!#REF!</definedName>
    <definedName name="\q" localSheetId="17">#REF!</definedName>
    <definedName name="\Q" localSheetId="8">'[1]P&amp;L Commentary'!#REF!</definedName>
    <definedName name="\Q" localSheetId="2">'[1]P&amp;L Commentary'!#REF!</definedName>
    <definedName name="\Q" localSheetId="12">'[1]P&amp;L Commentary'!#REF!</definedName>
    <definedName name="\Q" localSheetId="13">'[1]P&amp;L Commentary'!#REF!</definedName>
    <definedName name="\Q" localSheetId="5">'[1]P&amp;L Commentary'!#REF!</definedName>
    <definedName name="\Q">'[1]P&amp;L Commentary'!#REF!</definedName>
    <definedName name="\R" localSheetId="20">'[4]last qrt2001'!#REF!</definedName>
    <definedName name="\R" localSheetId="17">'[4]last qrt2001'!#REF!</definedName>
    <definedName name="\R" localSheetId="8">'[4]last qrt2001'!#REF!</definedName>
    <definedName name="\R" localSheetId="12">'[4]last qrt2001'!#REF!</definedName>
    <definedName name="\R" localSheetId="13">'[4]last qrt2001'!#REF!</definedName>
    <definedName name="\R" localSheetId="5">'[4]last qrt2001'!#REF!</definedName>
    <definedName name="\R">'[4]last qrt2001'!#REF!</definedName>
    <definedName name="\S" localSheetId="20">'[4]last qrt2001'!#REF!</definedName>
    <definedName name="\S" localSheetId="17">'[4]last qrt2001'!#REF!</definedName>
    <definedName name="\S" localSheetId="8">'[4]last qrt2001'!#REF!</definedName>
    <definedName name="\S" localSheetId="12">'[4]last qrt2001'!#REF!</definedName>
    <definedName name="\S" localSheetId="13">'[4]last qrt2001'!#REF!</definedName>
    <definedName name="\S" localSheetId="5">'[4]last qrt2001'!#REF!</definedName>
    <definedName name="\S">'[4]last qrt2001'!#REF!</definedName>
    <definedName name="\T" localSheetId="20">#REF!</definedName>
    <definedName name="\T" localSheetId="17">'[5]Notes1-5(old)'!#REF!</definedName>
    <definedName name="\T" localSheetId="8">#REF!</definedName>
    <definedName name="\T" localSheetId="2">#REF!</definedName>
    <definedName name="\T" localSheetId="12">#REF!</definedName>
    <definedName name="\T" localSheetId="13">#REF!</definedName>
    <definedName name="\T" localSheetId="5">#REF!</definedName>
    <definedName name="\T">#REF!</definedName>
    <definedName name="\z" localSheetId="20">#REF!</definedName>
    <definedName name="\z" localSheetId="17">#REF!</definedName>
    <definedName name="\z" localSheetId="8">#REF!</definedName>
    <definedName name="\z" localSheetId="12">#REF!</definedName>
    <definedName name="\z" localSheetId="13">#REF!</definedName>
    <definedName name="\z" localSheetId="5">#REF!</definedName>
    <definedName name="\z">#REF!</definedName>
    <definedName name="____________ASH1">[6]Sheet4!$B$524:$E$625</definedName>
    <definedName name="____________ASH2">[6]Sheet4!$P$422:$Q$523</definedName>
    <definedName name="____________ASS1" localSheetId="18">#REF!</definedName>
    <definedName name="____________ASS1" localSheetId="19">#REF!</definedName>
    <definedName name="____________ASS1">#REF!</definedName>
    <definedName name="____________ASS2" localSheetId="18">#REF!</definedName>
    <definedName name="____________ASS2" localSheetId="19">#REF!</definedName>
    <definedName name="____________ASS2">#REF!</definedName>
    <definedName name="____________EPZ1">[6]Sheet4!$F$428:$F$519</definedName>
    <definedName name="____________EPZ2">[6]Sheet4!$S$326:$S$417</definedName>
    <definedName name="____________LIA1" localSheetId="18">#REF!</definedName>
    <definedName name="____________LIA1" localSheetId="19">#REF!</definedName>
    <definedName name="____________LIA1">#REF!</definedName>
    <definedName name="____________LIA2" localSheetId="18">#REF!</definedName>
    <definedName name="____________LIA2" localSheetId="19">#REF!</definedName>
    <definedName name="____________LIA2">#REF!</definedName>
    <definedName name="____________PL1" localSheetId="18">#REF!</definedName>
    <definedName name="____________PL1" localSheetId="19">#REF!</definedName>
    <definedName name="____________PL1">#REF!</definedName>
    <definedName name="____________PL2" localSheetId="18">#REF!</definedName>
    <definedName name="____________PL2" localSheetId="19">#REF!</definedName>
    <definedName name="____________PL2">#REF!</definedName>
    <definedName name="____________PP2" localSheetId="18">#REF!</definedName>
    <definedName name="____________PP2" localSheetId="19">#REF!</definedName>
    <definedName name="____________PP2">#REF!</definedName>
    <definedName name="____________PP3" localSheetId="18">#REF!</definedName>
    <definedName name="____________PP3" localSheetId="19">#REF!</definedName>
    <definedName name="____________PP3">#REF!</definedName>
    <definedName name="____________REC1999">'[7]RC-0997'!$B$132:$Q$171</definedName>
    <definedName name="____________UAE1">[6]Sheet4!$D$116:$D$207</definedName>
    <definedName name="____________UAE2">[6]Sheet4!$Q$14:$Q$105</definedName>
    <definedName name="____________UK1">[6]Sheet4!$F$324:$F$415</definedName>
    <definedName name="____________UK2">[6]Sheet4!$S$222:$S$313</definedName>
    <definedName name="____________USA1">[6]Sheet4!$D$428:$D$519</definedName>
    <definedName name="____________USA2">[6]Sheet4!$Q$326:$Q$417</definedName>
    <definedName name="___________ASH1">[6]Sheet4!$B$524:$E$625</definedName>
    <definedName name="___________ASH2">[6]Sheet4!$P$422:$Q$523</definedName>
    <definedName name="___________ASS1" localSheetId="18">#REF!</definedName>
    <definedName name="___________ASS1" localSheetId="19">#REF!</definedName>
    <definedName name="___________ASS1">#REF!</definedName>
    <definedName name="___________ASS2" localSheetId="18">#REF!</definedName>
    <definedName name="___________ASS2" localSheetId="19">#REF!</definedName>
    <definedName name="___________ASS2">#REF!</definedName>
    <definedName name="___________EPZ1">[6]Sheet4!$F$428:$F$519</definedName>
    <definedName name="___________EPZ2">[6]Sheet4!$S$326:$S$417</definedName>
    <definedName name="___________LIA1" localSheetId="18">#REF!</definedName>
    <definedName name="___________LIA1" localSheetId="19">#REF!</definedName>
    <definedName name="___________LIA1">#REF!</definedName>
    <definedName name="___________LIA2" localSheetId="18">#REF!</definedName>
    <definedName name="___________LIA2" localSheetId="19">#REF!</definedName>
    <definedName name="___________LIA2">#REF!</definedName>
    <definedName name="___________PL1" localSheetId="18">#REF!</definedName>
    <definedName name="___________PL1" localSheetId="19">#REF!</definedName>
    <definedName name="___________PL1">#REF!</definedName>
    <definedName name="___________PL2" localSheetId="18">#REF!</definedName>
    <definedName name="___________PL2" localSheetId="19">#REF!</definedName>
    <definedName name="___________PL2">#REF!</definedName>
    <definedName name="___________PP2" localSheetId="18">#REF!</definedName>
    <definedName name="___________PP2" localSheetId="19">#REF!</definedName>
    <definedName name="___________PP2">#REF!</definedName>
    <definedName name="___________PP3" localSheetId="18">#REF!</definedName>
    <definedName name="___________PP3" localSheetId="19">#REF!</definedName>
    <definedName name="___________PP3">#REF!</definedName>
    <definedName name="___________REC1999">'[7]RC-0997'!$B$132:$Q$171</definedName>
    <definedName name="___________UAE1">[6]Sheet4!$D$116:$D$207</definedName>
    <definedName name="___________UAE2">[6]Sheet4!$Q$14:$Q$105</definedName>
    <definedName name="___________UK1">[6]Sheet4!$F$324:$F$415</definedName>
    <definedName name="___________UK2">[6]Sheet4!$S$222:$S$313</definedName>
    <definedName name="___________USA1">[6]Sheet4!$D$428:$D$519</definedName>
    <definedName name="___________USA2">[6]Sheet4!$Q$326:$Q$417</definedName>
    <definedName name="__________ASH1">[6]Sheet4!$B$524:$E$625</definedName>
    <definedName name="__________ASH2">[6]Sheet4!$P$422:$Q$523</definedName>
    <definedName name="__________ASS1" localSheetId="18">#REF!</definedName>
    <definedName name="__________ASS1" localSheetId="19">#REF!</definedName>
    <definedName name="__________ASS1">#REF!</definedName>
    <definedName name="__________ASS2" localSheetId="18">#REF!</definedName>
    <definedName name="__________ASS2" localSheetId="19">#REF!</definedName>
    <definedName name="__________ASS2">#REF!</definedName>
    <definedName name="__________EPZ1">[6]Sheet4!$F$428:$F$519</definedName>
    <definedName name="__________EPZ2">[6]Sheet4!$S$326:$S$417</definedName>
    <definedName name="__________LIA1" localSheetId="18">#REF!</definedName>
    <definedName name="__________LIA1" localSheetId="19">#REF!</definedName>
    <definedName name="__________LIA1">#REF!</definedName>
    <definedName name="__________LIA2" localSheetId="18">#REF!</definedName>
    <definedName name="__________LIA2" localSheetId="19">#REF!</definedName>
    <definedName name="__________LIA2">#REF!</definedName>
    <definedName name="__________PL1" localSheetId="18">#REF!</definedName>
    <definedName name="__________PL1" localSheetId="19">#REF!</definedName>
    <definedName name="__________PL1">#REF!</definedName>
    <definedName name="__________PL2" localSheetId="18">#REF!</definedName>
    <definedName name="__________PL2" localSheetId="19">#REF!</definedName>
    <definedName name="__________PL2">#REF!</definedName>
    <definedName name="__________PP2" localSheetId="18">#REF!</definedName>
    <definedName name="__________PP2" localSheetId="19">#REF!</definedName>
    <definedName name="__________PP2">#REF!</definedName>
    <definedName name="__________PP3" localSheetId="18">#REF!</definedName>
    <definedName name="__________PP3" localSheetId="19">#REF!</definedName>
    <definedName name="__________PP3">#REF!</definedName>
    <definedName name="__________REC1999">'[7]RC-0997'!$B$132:$Q$171</definedName>
    <definedName name="__________UAE1">[6]Sheet4!$D$116:$D$207</definedName>
    <definedName name="__________UAE2">[6]Sheet4!$Q$14:$Q$105</definedName>
    <definedName name="__________UK1">[6]Sheet4!$F$324:$F$415</definedName>
    <definedName name="__________UK2">[6]Sheet4!$S$222:$S$313</definedName>
    <definedName name="__________USA1">[6]Sheet4!$D$428:$D$519</definedName>
    <definedName name="__________USA2">[6]Sheet4!$Q$326:$Q$417</definedName>
    <definedName name="_________ASH1">[8]Sheet4!$B$524:$E$625</definedName>
    <definedName name="_________ASH2">[8]Sheet4!$P$422:$Q$523</definedName>
    <definedName name="_________ASS1" localSheetId="18">#REF!</definedName>
    <definedName name="_________ASS1" localSheetId="19">#REF!</definedName>
    <definedName name="_________ASS1">#REF!</definedName>
    <definedName name="_________ASS2" localSheetId="18">#REF!</definedName>
    <definedName name="_________ASS2" localSheetId="19">#REF!</definedName>
    <definedName name="_________ASS2">#REF!</definedName>
    <definedName name="_________EPZ1">[8]Sheet4!$F$428:$F$519</definedName>
    <definedName name="_________EPZ2">[8]Sheet4!$S$326:$S$417</definedName>
    <definedName name="_________LIA1" localSheetId="18">#REF!</definedName>
    <definedName name="_________LIA1" localSheetId="19">#REF!</definedName>
    <definedName name="_________LIA1">#REF!</definedName>
    <definedName name="_________LIA2" localSheetId="18">#REF!</definedName>
    <definedName name="_________LIA2" localSheetId="19">#REF!</definedName>
    <definedName name="_________LIA2">#REF!</definedName>
    <definedName name="_________LN2" localSheetId="20">#REF!</definedName>
    <definedName name="_________LN2" localSheetId="17">#REF!</definedName>
    <definedName name="_________LN2" localSheetId="8">#REF!</definedName>
    <definedName name="_________LN2" localSheetId="12">#REF!</definedName>
    <definedName name="_________LN2" localSheetId="13">#REF!</definedName>
    <definedName name="_________LN2" localSheetId="5">#REF!</definedName>
    <definedName name="_________LN2">#REF!</definedName>
    <definedName name="_________PL1" localSheetId="18">#REF!</definedName>
    <definedName name="_________PL1" localSheetId="19">#REF!</definedName>
    <definedName name="_________PL1">#REF!</definedName>
    <definedName name="_________PL2" localSheetId="18">#REF!</definedName>
    <definedName name="_________PL2" localSheetId="19">#REF!</definedName>
    <definedName name="_________PL2">#REF!</definedName>
    <definedName name="_________PP2" localSheetId="18">#REF!</definedName>
    <definedName name="_________PP2" localSheetId="19">#REF!</definedName>
    <definedName name="_________PP2">#REF!</definedName>
    <definedName name="_________PP3" localSheetId="18">#REF!</definedName>
    <definedName name="_________PP3" localSheetId="19">#REF!</definedName>
    <definedName name="_________PP3">#REF!</definedName>
    <definedName name="_________REC1999">'[7]RC-0997'!$B$132:$Q$171</definedName>
    <definedName name="_________UAE1">[8]Sheet4!$D$116:$D$207</definedName>
    <definedName name="_________UAE2">[8]Sheet4!$Q$14:$Q$105</definedName>
    <definedName name="_________UK1">[8]Sheet4!$F$324:$F$415</definedName>
    <definedName name="_________UK2">[8]Sheet4!$S$222:$S$313</definedName>
    <definedName name="_________USA1">[8]Sheet4!$D$428:$D$519</definedName>
    <definedName name="_________USA2">[8]Sheet4!$Q$326:$Q$417</definedName>
    <definedName name="________ASH1">[8]Sheet4!$B$524:$E$625</definedName>
    <definedName name="________ASH2">[8]Sheet4!$P$422:$Q$523</definedName>
    <definedName name="________ASS1" localSheetId="18">#REF!</definedName>
    <definedName name="________ASS1" localSheetId="19">#REF!</definedName>
    <definedName name="________ASS1">#REF!</definedName>
    <definedName name="________ASS2" localSheetId="18">#REF!</definedName>
    <definedName name="________ASS2" localSheetId="19">#REF!</definedName>
    <definedName name="________ASS2">#REF!</definedName>
    <definedName name="________EPZ1">[8]Sheet4!$F$428:$F$519</definedName>
    <definedName name="________EPZ2">[8]Sheet4!$S$326:$S$417</definedName>
    <definedName name="________LIA1" localSheetId="18">#REF!</definedName>
    <definedName name="________LIA1" localSheetId="19">#REF!</definedName>
    <definedName name="________LIA1">#REF!</definedName>
    <definedName name="________LIA2" localSheetId="18">#REF!</definedName>
    <definedName name="________LIA2" localSheetId="19">#REF!</definedName>
    <definedName name="________LIA2">#REF!</definedName>
    <definedName name="________PL1" localSheetId="18">#REF!</definedName>
    <definedName name="________PL1" localSheetId="19">#REF!</definedName>
    <definedName name="________PL1">#REF!</definedName>
    <definedName name="________PL2" localSheetId="18">#REF!</definedName>
    <definedName name="________PL2" localSheetId="19">#REF!</definedName>
    <definedName name="________PL2">#REF!</definedName>
    <definedName name="________PP2" localSheetId="18">#REF!</definedName>
    <definedName name="________PP2" localSheetId="19">#REF!</definedName>
    <definedName name="________PP2">#REF!</definedName>
    <definedName name="________PP3" localSheetId="18">#REF!</definedName>
    <definedName name="________PP3" localSheetId="19">#REF!</definedName>
    <definedName name="________PP3">#REF!</definedName>
    <definedName name="________REC1999">'[7]RC-0997'!$B$132:$Q$171</definedName>
    <definedName name="________UAE1">[8]Sheet4!$D$116:$D$207</definedName>
    <definedName name="________UAE2">[8]Sheet4!$Q$14:$Q$105</definedName>
    <definedName name="________UK1">[8]Sheet4!$F$324:$F$415</definedName>
    <definedName name="________UK2">[8]Sheet4!$S$222:$S$313</definedName>
    <definedName name="________USA1">[8]Sheet4!$D$428:$D$519</definedName>
    <definedName name="________USA2">[8]Sheet4!$Q$326:$Q$417</definedName>
    <definedName name="_______ASH1">[8]Sheet4!$B$524:$E$625</definedName>
    <definedName name="_______ASH2">[8]Sheet4!$P$422:$Q$523</definedName>
    <definedName name="_______ASS1" localSheetId="18">#REF!</definedName>
    <definedName name="_______ASS1" localSheetId="19">#REF!</definedName>
    <definedName name="_______ASS1">#REF!</definedName>
    <definedName name="_______ASS2" localSheetId="18">#REF!</definedName>
    <definedName name="_______ASS2" localSheetId="19">#REF!</definedName>
    <definedName name="_______ASS2">#REF!</definedName>
    <definedName name="_______EPZ1">[8]Sheet4!$F$428:$F$519</definedName>
    <definedName name="_______EPZ2">[8]Sheet4!$S$326:$S$417</definedName>
    <definedName name="_______LIA1" localSheetId="18">#REF!</definedName>
    <definedName name="_______LIA1" localSheetId="19">#REF!</definedName>
    <definedName name="_______LIA1">#REF!</definedName>
    <definedName name="_______LIA2" localSheetId="18">#REF!</definedName>
    <definedName name="_______LIA2" localSheetId="19">#REF!</definedName>
    <definedName name="_______LIA2">#REF!</definedName>
    <definedName name="_______LN2" localSheetId="20">#REF!</definedName>
    <definedName name="_______LN2" localSheetId="17">#REF!</definedName>
    <definedName name="_______LN2" localSheetId="8">#REF!</definedName>
    <definedName name="_______LN2" localSheetId="12">#REF!</definedName>
    <definedName name="_______LN2" localSheetId="13">#REF!</definedName>
    <definedName name="_______LN2" localSheetId="5">#REF!</definedName>
    <definedName name="_______LN2">#REF!</definedName>
    <definedName name="_______PL1" localSheetId="18">#REF!</definedName>
    <definedName name="_______PL1" localSheetId="19">#REF!</definedName>
    <definedName name="_______PL1">#REF!</definedName>
    <definedName name="_______PL2" localSheetId="18">#REF!</definedName>
    <definedName name="_______PL2" localSheetId="19">#REF!</definedName>
    <definedName name="_______PL2">#REF!</definedName>
    <definedName name="_______PP2" localSheetId="18">#REF!</definedName>
    <definedName name="_______PP2" localSheetId="19">#REF!</definedName>
    <definedName name="_______PP2">#REF!</definedName>
    <definedName name="_______PP3" localSheetId="18">#REF!</definedName>
    <definedName name="_______PP3" localSheetId="19">#REF!</definedName>
    <definedName name="_______PP3">#REF!</definedName>
    <definedName name="_______REC1999">'[7]RC-0997'!$B$132:$Q$171</definedName>
    <definedName name="_______UAE1">[8]Sheet4!$D$116:$D$207</definedName>
    <definedName name="_______UAE2">[8]Sheet4!$Q$14:$Q$105</definedName>
    <definedName name="_______UK1">[8]Sheet4!$F$324:$F$415</definedName>
    <definedName name="_______UK2">[8]Sheet4!$S$222:$S$313</definedName>
    <definedName name="_______USA1">[8]Sheet4!$D$428:$D$519</definedName>
    <definedName name="_______USA2">[8]Sheet4!$Q$326:$Q$417</definedName>
    <definedName name="______ASH1">[8]Sheet4!$B$524:$E$625</definedName>
    <definedName name="______ASH2">[8]Sheet4!$P$422:$Q$523</definedName>
    <definedName name="______ASS1" localSheetId="18">#REF!</definedName>
    <definedName name="______ASS1" localSheetId="19">#REF!</definedName>
    <definedName name="______ASS1">#REF!</definedName>
    <definedName name="______ASS2" localSheetId="18">#REF!</definedName>
    <definedName name="______ASS2" localSheetId="19">#REF!</definedName>
    <definedName name="______ASS2">#REF!</definedName>
    <definedName name="______EPZ1">[8]Sheet4!$F$428:$F$519</definedName>
    <definedName name="______EPZ2">[8]Sheet4!$S$326:$S$417</definedName>
    <definedName name="______LIA1" localSheetId="18">#REF!</definedName>
    <definedName name="______LIA1" localSheetId="19">#REF!</definedName>
    <definedName name="______LIA1">#REF!</definedName>
    <definedName name="______LIA2" localSheetId="18">#REF!</definedName>
    <definedName name="______LIA2" localSheetId="19">#REF!</definedName>
    <definedName name="______LIA2">#REF!</definedName>
    <definedName name="______LN2" localSheetId="20">#REF!</definedName>
    <definedName name="______LN2" localSheetId="17">#REF!</definedName>
    <definedName name="______LN2" localSheetId="8">#REF!</definedName>
    <definedName name="______LN2" localSheetId="12">#REF!</definedName>
    <definedName name="______LN2" localSheetId="13">#REF!</definedName>
    <definedName name="______LN2" localSheetId="5">#REF!</definedName>
    <definedName name="______LN2">#REF!</definedName>
    <definedName name="______PL1" localSheetId="18">#REF!</definedName>
    <definedName name="______PL1" localSheetId="19">#REF!</definedName>
    <definedName name="______PL1">#REF!</definedName>
    <definedName name="______PL2" localSheetId="18">#REF!</definedName>
    <definedName name="______PL2" localSheetId="19">#REF!</definedName>
    <definedName name="______PL2">#REF!</definedName>
    <definedName name="______PP2" localSheetId="18">#REF!</definedName>
    <definedName name="______PP2" localSheetId="19">#REF!</definedName>
    <definedName name="______PP2">#REF!</definedName>
    <definedName name="______PP3" localSheetId="18">#REF!</definedName>
    <definedName name="______PP3" localSheetId="19">#REF!</definedName>
    <definedName name="______PP3">#REF!</definedName>
    <definedName name="______REC1999">'[7]RC-0997'!$B$132:$Q$171</definedName>
    <definedName name="______UAE1">[8]Sheet4!$D$116:$D$207</definedName>
    <definedName name="______UAE2">[8]Sheet4!$Q$14:$Q$105</definedName>
    <definedName name="______UK1">[8]Sheet4!$F$324:$F$415</definedName>
    <definedName name="______UK2">[8]Sheet4!$S$222:$S$313</definedName>
    <definedName name="______USA1">[8]Sheet4!$D$428:$D$519</definedName>
    <definedName name="______USA2">[8]Sheet4!$Q$326:$Q$417</definedName>
    <definedName name="_____ASH1">[8]Sheet4!$B$524:$E$625</definedName>
    <definedName name="_____ASH2">[8]Sheet4!$P$422:$Q$523</definedName>
    <definedName name="_____ASS1" localSheetId="18">#REF!</definedName>
    <definedName name="_____ASS1" localSheetId="19">#REF!</definedName>
    <definedName name="_____ASS1">#REF!</definedName>
    <definedName name="_____ASS2" localSheetId="18">#REF!</definedName>
    <definedName name="_____ASS2" localSheetId="19">#REF!</definedName>
    <definedName name="_____ASS2">#REF!</definedName>
    <definedName name="_____EPZ1">[8]Sheet4!$F$428:$F$519</definedName>
    <definedName name="_____EPZ2">[8]Sheet4!$S$326:$S$417</definedName>
    <definedName name="_____LIA1" localSheetId="18">#REF!</definedName>
    <definedName name="_____LIA1" localSheetId="19">#REF!</definedName>
    <definedName name="_____LIA1">#REF!</definedName>
    <definedName name="_____LIA2" localSheetId="18">#REF!</definedName>
    <definedName name="_____LIA2" localSheetId="19">#REF!</definedName>
    <definedName name="_____LIA2">#REF!</definedName>
    <definedName name="_____LN2" localSheetId="20">#REF!</definedName>
    <definedName name="_____LN2" localSheetId="17">#REF!</definedName>
    <definedName name="_____LN2" localSheetId="8">#REF!</definedName>
    <definedName name="_____LN2" localSheetId="12">#REF!</definedName>
    <definedName name="_____LN2" localSheetId="13">#REF!</definedName>
    <definedName name="_____LN2" localSheetId="5">#REF!</definedName>
    <definedName name="_____LN2">#REF!</definedName>
    <definedName name="_____PL1" localSheetId="18">#REF!</definedName>
    <definedName name="_____PL1" localSheetId="19">#REF!</definedName>
    <definedName name="_____PL1">#REF!</definedName>
    <definedName name="_____PL2" localSheetId="18">#REF!</definedName>
    <definedName name="_____PL2" localSheetId="19">#REF!</definedName>
    <definedName name="_____PL2">#REF!</definedName>
    <definedName name="_____PP2" localSheetId="18">#REF!</definedName>
    <definedName name="_____PP2" localSheetId="19">#REF!</definedName>
    <definedName name="_____PP2">#REF!</definedName>
    <definedName name="_____PP3" localSheetId="18">#REF!</definedName>
    <definedName name="_____PP3" localSheetId="19">#REF!</definedName>
    <definedName name="_____PP3">#REF!</definedName>
    <definedName name="_____REC1999">'[7]RC-0997'!$B$132:$Q$171</definedName>
    <definedName name="_____UAE1">[8]Sheet4!$D$116:$D$207</definedName>
    <definedName name="_____UAE2">[8]Sheet4!$Q$14:$Q$105</definedName>
    <definedName name="_____UK1">[8]Sheet4!$F$324:$F$415</definedName>
    <definedName name="_____UK2">[8]Sheet4!$S$222:$S$313</definedName>
    <definedName name="_____USA1">[8]Sheet4!$D$428:$D$519</definedName>
    <definedName name="_____USA2">[8]Sheet4!$Q$326:$Q$417</definedName>
    <definedName name="____ASH1">[8]Sheet4!$B$524:$E$625</definedName>
    <definedName name="____ASH2">[8]Sheet4!$P$422:$Q$523</definedName>
    <definedName name="____ASS1" localSheetId="18">#REF!</definedName>
    <definedName name="____ASS1" localSheetId="19">#REF!</definedName>
    <definedName name="____ASS1">#REF!</definedName>
    <definedName name="____ASS2" localSheetId="18">#REF!</definedName>
    <definedName name="____ASS2" localSheetId="19">#REF!</definedName>
    <definedName name="____ASS2">#REF!</definedName>
    <definedName name="____EPZ1">[8]Sheet4!$F$428:$F$519</definedName>
    <definedName name="____EPZ2">[8]Sheet4!$S$326:$S$417</definedName>
    <definedName name="____LIA1" localSheetId="18">#REF!</definedName>
    <definedName name="____LIA1" localSheetId="19">#REF!</definedName>
    <definedName name="____LIA1">#REF!</definedName>
    <definedName name="____LIA2" localSheetId="18">#REF!</definedName>
    <definedName name="____LIA2" localSheetId="19">#REF!</definedName>
    <definedName name="____LIA2">#REF!</definedName>
    <definedName name="____LN2" localSheetId="20">#REF!</definedName>
    <definedName name="____LN2" localSheetId="17">#REF!</definedName>
    <definedName name="____LN2" localSheetId="8">#REF!</definedName>
    <definedName name="____LN2" localSheetId="12">#REF!</definedName>
    <definedName name="____LN2" localSheetId="13">#REF!</definedName>
    <definedName name="____LN2" localSheetId="5">#REF!</definedName>
    <definedName name="____LN2">#REF!</definedName>
    <definedName name="____PL1" localSheetId="18">#REF!</definedName>
    <definedName name="____PL1" localSheetId="19">#REF!</definedName>
    <definedName name="____PL1">#REF!</definedName>
    <definedName name="____PL2" localSheetId="18">#REF!</definedName>
    <definedName name="____PL2" localSheetId="19">#REF!</definedName>
    <definedName name="____PL2">#REF!</definedName>
    <definedName name="____PP2" localSheetId="18">#REF!</definedName>
    <definedName name="____PP2" localSheetId="19">#REF!</definedName>
    <definedName name="____PP2">#REF!</definedName>
    <definedName name="____PP3" localSheetId="18">#REF!</definedName>
    <definedName name="____PP3" localSheetId="19">#REF!</definedName>
    <definedName name="____PP3">#REF!</definedName>
    <definedName name="____REC1999">'[7]RC-0997'!$B$132:$Q$171</definedName>
    <definedName name="____UAE1">[8]Sheet4!$D$116:$D$207</definedName>
    <definedName name="____UAE2">[8]Sheet4!$Q$14:$Q$105</definedName>
    <definedName name="____UK1">[8]Sheet4!$F$324:$F$415</definedName>
    <definedName name="____UK2">[8]Sheet4!$S$222:$S$313</definedName>
    <definedName name="____USA1">[8]Sheet4!$D$428:$D$519</definedName>
    <definedName name="____USA2">[8]Sheet4!$Q$326:$Q$417</definedName>
    <definedName name="___ASH1" localSheetId="17">[8]Sheet4!$B$524:$E$625</definedName>
    <definedName name="___ASH1">[6]Sheet4!$B$524:$E$625</definedName>
    <definedName name="___ASH2" localSheetId="17">[8]Sheet4!$P$422:$Q$523</definedName>
    <definedName name="___ASH2">[6]Sheet4!$P$422:$Q$523</definedName>
    <definedName name="___ASS1" localSheetId="20">#REF!</definedName>
    <definedName name="___ASS1" localSheetId="17">#REF!</definedName>
    <definedName name="___ASS1" localSheetId="8">#REF!</definedName>
    <definedName name="___ASS1" localSheetId="12">#REF!</definedName>
    <definedName name="___ASS1" localSheetId="13">#REF!</definedName>
    <definedName name="___ASS1" localSheetId="5">#REF!</definedName>
    <definedName name="___ASS1">#REF!</definedName>
    <definedName name="___ASS2" localSheetId="20">#REF!</definedName>
    <definedName name="___ASS2" localSheetId="17">#REF!</definedName>
    <definedName name="___ASS2" localSheetId="8">#REF!</definedName>
    <definedName name="___ASS2" localSheetId="12">#REF!</definedName>
    <definedName name="___ASS2" localSheetId="13">#REF!</definedName>
    <definedName name="___ASS2" localSheetId="5">#REF!</definedName>
    <definedName name="___ASS2">#REF!</definedName>
    <definedName name="___crt1">'[9]I-B'!$A$1:$A$65536</definedName>
    <definedName name="___crt2">'[9]I-BR'!$A$1:$A$65536</definedName>
    <definedName name="___EPZ1" localSheetId="17">[8]Sheet4!$F$428:$F$519</definedName>
    <definedName name="___EPZ1">[6]Sheet4!$F$428:$F$519</definedName>
    <definedName name="___EPZ2" localSheetId="17">[8]Sheet4!$S$326:$S$417</definedName>
    <definedName name="___EPZ2">[6]Sheet4!$S$326:$S$417</definedName>
    <definedName name="___FMT1">'[9]I-B'!$D$1:$D$65536</definedName>
    <definedName name="___FMT2">'[9]I-BR'!$D$1:$D$65536</definedName>
    <definedName name="___hub0207" localSheetId="20">[10]AL905!#REF!</definedName>
    <definedName name="___hub0207" localSheetId="17">[10]AL905!#REF!</definedName>
    <definedName name="___hub0207" localSheetId="8">[10]AL905!#REF!</definedName>
    <definedName name="___hub0207" localSheetId="12">[10]AL905!#REF!</definedName>
    <definedName name="___hub0207" localSheetId="13">[10]AL905!#REF!</definedName>
    <definedName name="___hub0207" localSheetId="5">[10]AL905!#REF!</definedName>
    <definedName name="___hub0207">[10]AL905!#REF!</definedName>
    <definedName name="___LIA1" localSheetId="20">#REF!</definedName>
    <definedName name="___LIA1" localSheetId="17">#REF!</definedName>
    <definedName name="___LIA1" localSheetId="8">#REF!</definedName>
    <definedName name="___LIA1" localSheetId="12">#REF!</definedName>
    <definedName name="___LIA1" localSheetId="13">#REF!</definedName>
    <definedName name="___LIA1" localSheetId="5">#REF!</definedName>
    <definedName name="___LIA1">#REF!</definedName>
    <definedName name="___LIA2" localSheetId="20">#REF!</definedName>
    <definedName name="___LIA2" localSheetId="17">#REF!</definedName>
    <definedName name="___LIA2" localSheetId="8">#REF!</definedName>
    <definedName name="___LIA2" localSheetId="12">#REF!</definedName>
    <definedName name="___LIA2" localSheetId="13">#REF!</definedName>
    <definedName name="___LIA2" localSheetId="5">#REF!</definedName>
    <definedName name="___LIA2">#REF!</definedName>
    <definedName name="___LMT1">'[9]I-B'!$F$1:$F$65536</definedName>
    <definedName name="___LMT2">'[9]I-BR'!$F$1:$F$65536</definedName>
    <definedName name="___LN2" localSheetId="20">#REF!</definedName>
    <definedName name="___LN2" localSheetId="17">#REF!</definedName>
    <definedName name="___LN2" localSheetId="8">#REF!</definedName>
    <definedName name="___LN2" localSheetId="12">#REF!</definedName>
    <definedName name="___LN2" localSheetId="13">#REF!</definedName>
    <definedName name="___LN2" localSheetId="5">#REF!</definedName>
    <definedName name="___LN2">#REF!</definedName>
    <definedName name="___PL1" localSheetId="20">#REF!</definedName>
    <definedName name="___PL1" localSheetId="17">#REF!</definedName>
    <definedName name="___PL1" localSheetId="8">#REF!</definedName>
    <definedName name="___PL1" localSheetId="12">#REF!</definedName>
    <definedName name="___PL1" localSheetId="13">#REF!</definedName>
    <definedName name="___PL1" localSheetId="5">#REF!</definedName>
    <definedName name="___PL1">#REF!</definedName>
    <definedName name="___PL2" localSheetId="20">#REF!</definedName>
    <definedName name="___PL2" localSheetId="17">#REF!</definedName>
    <definedName name="___PL2" localSheetId="8">#REF!</definedName>
    <definedName name="___PL2" localSheetId="12">#REF!</definedName>
    <definedName name="___PL2" localSheetId="13">#REF!</definedName>
    <definedName name="___PL2" localSheetId="5">#REF!</definedName>
    <definedName name="___PL2">#REF!</definedName>
    <definedName name="___PP2" localSheetId="20">#REF!</definedName>
    <definedName name="___PP2" localSheetId="17">#REF!</definedName>
    <definedName name="___PP2" localSheetId="8">#REF!</definedName>
    <definedName name="___PP2" localSheetId="12">#REF!</definedName>
    <definedName name="___PP2" localSheetId="13">#REF!</definedName>
    <definedName name="___PP2" localSheetId="5">#REF!</definedName>
    <definedName name="___PP2">#REF!</definedName>
    <definedName name="___PP3" localSheetId="20">#REF!</definedName>
    <definedName name="___PP3" localSheetId="17">#REF!</definedName>
    <definedName name="___PP3" localSheetId="8">#REF!</definedName>
    <definedName name="___PP3" localSheetId="12">#REF!</definedName>
    <definedName name="___PP3" localSheetId="13">#REF!</definedName>
    <definedName name="___PP3" localSheetId="5">#REF!</definedName>
    <definedName name="___PP3">#REF!</definedName>
    <definedName name="___REC1999">'[7]RC-0997'!$B$132:$Q$171</definedName>
    <definedName name="___UAE1" localSheetId="17">[8]Sheet4!$D$116:$D$207</definedName>
    <definedName name="___UAE1">[6]Sheet4!$D$116:$D$207</definedName>
    <definedName name="___UAE2" localSheetId="17">[8]Sheet4!$Q$14:$Q$105</definedName>
    <definedName name="___UAE2">[6]Sheet4!$Q$14:$Q$105</definedName>
    <definedName name="___UK1" localSheetId="17">[8]Sheet4!$F$324:$F$415</definedName>
    <definedName name="___UK1">[6]Sheet4!$F$324:$F$415</definedName>
    <definedName name="___UK2" localSheetId="17">[8]Sheet4!$S$222:$S$313</definedName>
    <definedName name="___UK2">[6]Sheet4!$S$222:$S$313</definedName>
    <definedName name="___USA1" localSheetId="17">[8]Sheet4!$D$428:$D$519</definedName>
    <definedName name="___USA1">[6]Sheet4!$D$428:$D$519</definedName>
    <definedName name="___USA2" localSheetId="17">[8]Sheet4!$Q$326:$Q$417</definedName>
    <definedName name="___USA2">[6]Sheet4!$Q$326:$Q$417</definedName>
    <definedName name="__123Graph_A" localSheetId="20" hidden="1">'[11]34-38.2'!#REF!</definedName>
    <definedName name="__123Graph_A" localSheetId="17" hidden="1">'[11]34-38.2'!#REF!</definedName>
    <definedName name="__123Graph_A" localSheetId="8" hidden="1">'[11]34-38.2'!#REF!</definedName>
    <definedName name="__123Graph_A" localSheetId="2" hidden="1">'[11]34-38.2'!#REF!</definedName>
    <definedName name="__123Graph_A" localSheetId="12" hidden="1">'[11]34-38.2'!#REF!</definedName>
    <definedName name="__123Graph_A" localSheetId="13" hidden="1">'[11]34-38.2'!#REF!</definedName>
    <definedName name="__123Graph_A" localSheetId="5" hidden="1">'[11]34-38.2'!#REF!</definedName>
    <definedName name="__123Graph_A" hidden="1">'[11]34-38.2'!#REF!</definedName>
    <definedName name="__123Graph_ACHART1" localSheetId="20" hidden="1">[12]FG!#REF!</definedName>
    <definedName name="__123Graph_ACHART1" localSheetId="17" hidden="1">[12]FG!#REF!</definedName>
    <definedName name="__123Graph_ACHART1" localSheetId="8" hidden="1">[12]FG!#REF!</definedName>
    <definedName name="__123Graph_ACHART1" localSheetId="2" hidden="1">[12]FG!#REF!</definedName>
    <definedName name="__123Graph_ACHART1" localSheetId="12" hidden="1">[12]FG!#REF!</definedName>
    <definedName name="__123Graph_ACHART1" localSheetId="13" hidden="1">[12]FG!#REF!</definedName>
    <definedName name="__123Graph_ACHART1" localSheetId="5" hidden="1">[12]FG!#REF!</definedName>
    <definedName name="__123Graph_ACHART1" hidden="1">[12]FG!#REF!</definedName>
    <definedName name="__123Graph_ACHART2" localSheetId="20" hidden="1">[12]FG!#REF!</definedName>
    <definedName name="__123Graph_ACHART2" localSheetId="17" hidden="1">[12]FG!#REF!</definedName>
    <definedName name="__123Graph_ACHART2" localSheetId="8" hidden="1">[12]FG!#REF!</definedName>
    <definedName name="__123Graph_ACHART2" localSheetId="2" hidden="1">[12]FG!#REF!</definedName>
    <definedName name="__123Graph_ACHART2" localSheetId="12" hidden="1">[12]FG!#REF!</definedName>
    <definedName name="__123Graph_ACHART2" localSheetId="13" hidden="1">[12]FG!#REF!</definedName>
    <definedName name="__123Graph_ACHART2" localSheetId="5" hidden="1">[12]FG!#REF!</definedName>
    <definedName name="__123Graph_ACHART2" hidden="1">[12]FG!#REF!</definedName>
    <definedName name="__123Graph_ACURRENT" hidden="1">[12]NORMAL!$E$29:$E$44</definedName>
    <definedName name="__123Graph_B" localSheetId="20" hidden="1">'[11]34-38.2'!#REF!</definedName>
    <definedName name="__123Graph_B" localSheetId="17" hidden="1">'[11]34-38.2'!#REF!</definedName>
    <definedName name="__123Graph_B" localSheetId="8" hidden="1">'[11]34-38.2'!#REF!</definedName>
    <definedName name="__123Graph_B" localSheetId="2" hidden="1">'[11]34-38.2'!#REF!</definedName>
    <definedName name="__123Graph_B" localSheetId="12" hidden="1">'[11]34-38.2'!#REF!</definedName>
    <definedName name="__123Graph_B" localSheetId="13" hidden="1">'[11]34-38.2'!#REF!</definedName>
    <definedName name="__123Graph_B" localSheetId="5" hidden="1">'[11]34-38.2'!#REF!</definedName>
    <definedName name="__123Graph_B" hidden="1">'[11]34-38.2'!#REF!</definedName>
    <definedName name="__123Graph_BCURRENT" hidden="1">[12]NORMAL!$F$29:$F$44</definedName>
    <definedName name="__123Graph_C" localSheetId="20" hidden="1">'[11]34-38.2'!#REF!</definedName>
    <definedName name="__123Graph_C" localSheetId="17" hidden="1">'[11]34-38.2'!#REF!</definedName>
    <definedName name="__123Graph_C" localSheetId="8" hidden="1">'[11]34-38.2'!#REF!</definedName>
    <definedName name="__123Graph_C" localSheetId="2" hidden="1">'[11]34-38.2'!#REF!</definedName>
    <definedName name="__123Graph_C" localSheetId="12" hidden="1">'[11]34-38.2'!#REF!</definedName>
    <definedName name="__123Graph_C" localSheetId="13" hidden="1">'[11]34-38.2'!#REF!</definedName>
    <definedName name="__123Graph_C" localSheetId="5" hidden="1">'[11]34-38.2'!#REF!</definedName>
    <definedName name="__123Graph_C" hidden="1">'[11]34-38.2'!#REF!</definedName>
    <definedName name="__123Graph_CCURRENT" localSheetId="20" hidden="1">[12]NORMAL!#REF!</definedName>
    <definedName name="__123Graph_CCURRENT" localSheetId="17" hidden="1">[12]NORMAL!#REF!</definedName>
    <definedName name="__123Graph_CCURRENT" localSheetId="8" hidden="1">[12]NORMAL!#REF!</definedName>
    <definedName name="__123Graph_CCURRENT" localSheetId="2" hidden="1">[12]NORMAL!#REF!</definedName>
    <definedName name="__123Graph_CCURRENT" localSheetId="12" hidden="1">[12]NORMAL!#REF!</definedName>
    <definedName name="__123Graph_CCURRENT" localSheetId="13" hidden="1">[12]NORMAL!#REF!</definedName>
    <definedName name="__123Graph_CCURRENT" localSheetId="5" hidden="1">[12]NORMAL!#REF!</definedName>
    <definedName name="__123Graph_CCURRENT" hidden="1">[12]NORMAL!#REF!</definedName>
    <definedName name="__123Graph_D" localSheetId="20" hidden="1">'[11]34-38.2'!#REF!</definedName>
    <definedName name="__123Graph_D" localSheetId="17" hidden="1">'[11]34-38.2'!#REF!</definedName>
    <definedName name="__123Graph_D" localSheetId="8" hidden="1">'[11]34-38.2'!#REF!</definedName>
    <definedName name="__123Graph_D" localSheetId="2" hidden="1">'[11]34-38.2'!#REF!</definedName>
    <definedName name="__123Graph_D" localSheetId="12" hidden="1">'[11]34-38.2'!#REF!</definedName>
    <definedName name="__123Graph_D" localSheetId="13" hidden="1">'[11]34-38.2'!#REF!</definedName>
    <definedName name="__123Graph_D" localSheetId="5" hidden="1">'[11]34-38.2'!#REF!</definedName>
    <definedName name="__123Graph_D" hidden="1">'[11]34-38.2'!#REF!</definedName>
    <definedName name="__123Graph_DCURRENT" hidden="1">[12]NORMAL!$G$29:$G$44</definedName>
    <definedName name="__123Graph_E" localSheetId="20" hidden="1">'[11]34-38.2'!#REF!</definedName>
    <definedName name="__123Graph_E" localSheetId="17" hidden="1">'[11]34-38.2'!#REF!</definedName>
    <definedName name="__123Graph_E" localSheetId="8" hidden="1">'[11]34-38.2'!#REF!</definedName>
    <definedName name="__123Graph_E" localSheetId="2" hidden="1">'[11]34-38.2'!#REF!</definedName>
    <definedName name="__123Graph_E" localSheetId="12" hidden="1">'[11]34-38.2'!#REF!</definedName>
    <definedName name="__123Graph_E" localSheetId="13" hidden="1">'[11]34-38.2'!#REF!</definedName>
    <definedName name="__123Graph_E" localSheetId="5" hidden="1">'[11]34-38.2'!#REF!</definedName>
    <definedName name="__123Graph_E" hidden="1">'[11]34-38.2'!#REF!</definedName>
    <definedName name="__123Graph_ECURRENT" hidden="1">[12]NORMAL!$H$29:$H$44</definedName>
    <definedName name="__123Graph_F" hidden="1">[12]NORMAL!$I$38:$I$60</definedName>
    <definedName name="__123Graph_FCURRENT" hidden="1">[12]NORMAL!$I$38:$I$60</definedName>
    <definedName name="__123Graph_X" localSheetId="20" hidden="1">[13]A!#REF!</definedName>
    <definedName name="__123Graph_X" localSheetId="17" hidden="1">[13]A!#REF!</definedName>
    <definedName name="__123Graph_X" localSheetId="8" hidden="1">[13]A!#REF!</definedName>
    <definedName name="__123Graph_X" localSheetId="2" hidden="1">[13]A!#REF!</definedName>
    <definedName name="__123Graph_X" localSheetId="12" hidden="1">[13]A!#REF!</definedName>
    <definedName name="__123Graph_X" localSheetId="13" hidden="1">[13]A!#REF!</definedName>
    <definedName name="__123Graph_X" localSheetId="5" hidden="1">[13]A!#REF!</definedName>
    <definedName name="__123Graph_X" hidden="1">[13]A!#REF!</definedName>
    <definedName name="__a99999" localSheetId="20">#REF!</definedName>
    <definedName name="__a99999" localSheetId="17">#REF!</definedName>
    <definedName name="__a99999" localSheetId="8">#REF!</definedName>
    <definedName name="__a99999" localSheetId="12">#REF!</definedName>
    <definedName name="__a99999" localSheetId="13">#REF!</definedName>
    <definedName name="__a99999" localSheetId="5">#REF!</definedName>
    <definedName name="__a99999">#REF!</definedName>
    <definedName name="__ASH1" localSheetId="17">[8]Sheet4!$B$524:$E$625</definedName>
    <definedName name="__ASH1">[6]Sheet4!$B$524:$E$625</definedName>
    <definedName name="__ASH2" localSheetId="17">[8]Sheet4!$P$422:$Q$523</definedName>
    <definedName name="__ASH2">[6]Sheet4!$P$422:$Q$523</definedName>
    <definedName name="__ASS1" localSheetId="20">#REF!</definedName>
    <definedName name="__ASS1" localSheetId="17">#REF!</definedName>
    <definedName name="__ASS1" localSheetId="8">#REF!</definedName>
    <definedName name="__ASS1" localSheetId="12">#REF!</definedName>
    <definedName name="__ASS1" localSheetId="13">#REF!</definedName>
    <definedName name="__ASS1" localSheetId="5">#REF!</definedName>
    <definedName name="__ASS1">#REF!</definedName>
    <definedName name="__ASS2" localSheetId="20">#REF!</definedName>
    <definedName name="__ASS2" localSheetId="17">#REF!</definedName>
    <definedName name="__ASS2" localSheetId="8">#REF!</definedName>
    <definedName name="__ASS2" localSheetId="12">#REF!</definedName>
    <definedName name="__ASS2" localSheetId="13">#REF!</definedName>
    <definedName name="__ASS2" localSheetId="5">#REF!</definedName>
    <definedName name="__ASS2">#REF!</definedName>
    <definedName name="__BSC1" localSheetId="20">#REF!</definedName>
    <definedName name="__BSC1" localSheetId="17">#REF!</definedName>
    <definedName name="__BSC1" localSheetId="8">#REF!</definedName>
    <definedName name="__BSC1" localSheetId="12">#REF!</definedName>
    <definedName name="__BSC1" localSheetId="13">#REF!</definedName>
    <definedName name="__BSC1" localSheetId="5">#REF!</definedName>
    <definedName name="__BSC1">#REF!</definedName>
    <definedName name="__BSD1" localSheetId="20">#REF!</definedName>
    <definedName name="__BSD1" localSheetId="17">#REF!</definedName>
    <definedName name="__BSD1" localSheetId="8">#REF!</definedName>
    <definedName name="__BSD1" localSheetId="12">#REF!</definedName>
    <definedName name="__BSD1" localSheetId="13">#REF!</definedName>
    <definedName name="__BSD1" localSheetId="5">#REF!</definedName>
    <definedName name="__BSD1">#REF!</definedName>
    <definedName name="__BSH1" localSheetId="20">#REF!</definedName>
    <definedName name="__BSH1" localSheetId="17">#REF!</definedName>
    <definedName name="__BSH1" localSheetId="8">#REF!</definedName>
    <definedName name="__BSH1" localSheetId="12">#REF!</definedName>
    <definedName name="__BSH1" localSheetId="13">#REF!</definedName>
    <definedName name="__BSH1" localSheetId="5">#REF!</definedName>
    <definedName name="__BSH1">#REF!</definedName>
    <definedName name="__BSP1" localSheetId="20">#REF!</definedName>
    <definedName name="__BSP1" localSheetId="17">#REF!</definedName>
    <definedName name="__BSP1" localSheetId="8">#REF!</definedName>
    <definedName name="__BSP1" localSheetId="12">#REF!</definedName>
    <definedName name="__BSP1" localSheetId="13">#REF!</definedName>
    <definedName name="__BSP1" localSheetId="5">#REF!</definedName>
    <definedName name="__BSP1">#REF!</definedName>
    <definedName name="__BSS1" localSheetId="20">#REF!</definedName>
    <definedName name="__BSS1" localSheetId="17">#REF!</definedName>
    <definedName name="__BSS1" localSheetId="8">#REF!</definedName>
    <definedName name="__BSS1" localSheetId="12">#REF!</definedName>
    <definedName name="__BSS1" localSheetId="13">#REF!</definedName>
    <definedName name="__BSS1" localSheetId="5">#REF!</definedName>
    <definedName name="__BSS1">#REF!</definedName>
    <definedName name="__BST1" localSheetId="20">#REF!</definedName>
    <definedName name="__BST1" localSheetId="17">#REF!</definedName>
    <definedName name="__BST1" localSheetId="8">#REF!</definedName>
    <definedName name="__BST1" localSheetId="12">#REF!</definedName>
    <definedName name="__BST1" localSheetId="13">#REF!</definedName>
    <definedName name="__BST1" localSheetId="5">#REF!</definedName>
    <definedName name="__BST1">#REF!</definedName>
    <definedName name="__Col1" localSheetId="20">#REF!</definedName>
    <definedName name="__Col1" localSheetId="17">#REF!</definedName>
    <definedName name="__Col1" localSheetId="8">#REF!</definedName>
    <definedName name="__Col1" localSheetId="12">#REF!</definedName>
    <definedName name="__Col1" localSheetId="13">#REF!</definedName>
    <definedName name="__Col1" localSheetId="5">#REF!</definedName>
    <definedName name="__Col1">#REF!</definedName>
    <definedName name="__crt1">'[9]I-B'!$A$1:$A$65536</definedName>
    <definedName name="__crt2">'[9]I-BR'!$A$1:$A$65536</definedName>
    <definedName name="__EPZ1" localSheetId="17">[8]Sheet4!$F$428:$F$519</definedName>
    <definedName name="__EPZ1">[6]Sheet4!$F$428:$F$519</definedName>
    <definedName name="__EPZ2" localSheetId="17">[8]Sheet4!$S$326:$S$417</definedName>
    <definedName name="__EPZ2">[6]Sheet4!$S$326:$S$417</definedName>
    <definedName name="__FMT1">'[9]I-B'!$D$1:$D$65536</definedName>
    <definedName name="__FMT2">'[9]I-BR'!$D$1:$D$65536</definedName>
    <definedName name="__hub0207" localSheetId="20">[10]AL905!#REF!</definedName>
    <definedName name="__hub0207" localSheetId="17">[10]AL905!#REF!</definedName>
    <definedName name="__hub0207" localSheetId="8">[10]AL905!#REF!</definedName>
    <definedName name="__hub0207" localSheetId="12">[10]AL905!#REF!</definedName>
    <definedName name="__hub0207" localSheetId="13">[10]AL905!#REF!</definedName>
    <definedName name="__hub0207" localSheetId="5">[10]AL905!#REF!</definedName>
    <definedName name="__hub0207">[10]AL905!#REF!</definedName>
    <definedName name="__IEC1" localSheetId="20">#REF!</definedName>
    <definedName name="__IEC1" localSheetId="17">#REF!</definedName>
    <definedName name="__IEC1" localSheetId="8">#REF!</definedName>
    <definedName name="__IEC1" localSheetId="12">#REF!</definedName>
    <definedName name="__IEC1" localSheetId="13">#REF!</definedName>
    <definedName name="__IEC1" localSheetId="5">#REF!</definedName>
    <definedName name="__IEC1">#REF!</definedName>
    <definedName name="__IED1" localSheetId="20">#REF!</definedName>
    <definedName name="__IED1" localSheetId="17">#REF!</definedName>
    <definedName name="__IED1" localSheetId="8">#REF!</definedName>
    <definedName name="__IED1" localSheetId="12">#REF!</definedName>
    <definedName name="__IED1" localSheetId="13">#REF!</definedName>
    <definedName name="__IED1" localSheetId="5">#REF!</definedName>
    <definedName name="__IED1">#REF!</definedName>
    <definedName name="__IEH1" localSheetId="20">#REF!</definedName>
    <definedName name="__IEH1" localSheetId="17">#REF!</definedName>
    <definedName name="__IEH1" localSheetId="8">#REF!</definedName>
    <definedName name="__IEH1" localSheetId="12">#REF!</definedName>
    <definedName name="__IEH1" localSheetId="13">#REF!</definedName>
    <definedName name="__IEH1" localSheetId="5">#REF!</definedName>
    <definedName name="__IEH1">#REF!</definedName>
    <definedName name="__IEP1" localSheetId="20">#REF!</definedName>
    <definedName name="__IEP1" localSheetId="17">#REF!</definedName>
    <definedName name="__IEP1" localSheetId="8">#REF!</definedName>
    <definedName name="__IEP1" localSheetId="12">#REF!</definedName>
    <definedName name="__IEP1" localSheetId="13">#REF!</definedName>
    <definedName name="__IEP1" localSheetId="5">#REF!</definedName>
    <definedName name="__IEP1">#REF!</definedName>
    <definedName name="__IES1" localSheetId="20">#REF!</definedName>
    <definedName name="__IES1" localSheetId="17">#REF!</definedName>
    <definedName name="__IES1" localSheetId="8">#REF!</definedName>
    <definedName name="__IES1" localSheetId="12">#REF!</definedName>
    <definedName name="__IES1" localSheetId="13">#REF!</definedName>
    <definedName name="__IES1" localSheetId="5">#REF!</definedName>
    <definedName name="__IES1">#REF!</definedName>
    <definedName name="__IET1" localSheetId="20">#REF!</definedName>
    <definedName name="__IET1" localSheetId="17">#REF!</definedName>
    <definedName name="__IET1" localSheetId="8">#REF!</definedName>
    <definedName name="__IET1" localSheetId="12">#REF!</definedName>
    <definedName name="__IET1" localSheetId="13">#REF!</definedName>
    <definedName name="__IET1" localSheetId="5">#REF!</definedName>
    <definedName name="__IET1">#REF!</definedName>
    <definedName name="__LIA1" localSheetId="20">#REF!</definedName>
    <definedName name="__LIA1" localSheetId="17">#REF!</definedName>
    <definedName name="__LIA1" localSheetId="8">#REF!</definedName>
    <definedName name="__LIA1" localSheetId="12">#REF!</definedName>
    <definedName name="__LIA1" localSheetId="13">#REF!</definedName>
    <definedName name="__LIA1" localSheetId="5">#REF!</definedName>
    <definedName name="__LIA1">#REF!</definedName>
    <definedName name="__LIA2" localSheetId="20">#REF!</definedName>
    <definedName name="__LIA2" localSheetId="17">#REF!</definedName>
    <definedName name="__LIA2" localSheetId="8">#REF!</definedName>
    <definedName name="__LIA2" localSheetId="12">#REF!</definedName>
    <definedName name="__LIA2" localSheetId="13">#REF!</definedName>
    <definedName name="__LIA2" localSheetId="5">#REF!</definedName>
    <definedName name="__LIA2">#REF!</definedName>
    <definedName name="__LMT1">'[9]I-B'!$F$1:$F$65536</definedName>
    <definedName name="__LMT2">'[9]I-BR'!$F$1:$F$65536</definedName>
    <definedName name="__LN2" localSheetId="20">#REF!</definedName>
    <definedName name="__LN2" localSheetId="17">#REF!</definedName>
    <definedName name="__LN2" localSheetId="8">#REF!</definedName>
    <definedName name="__LN2" localSheetId="12">#REF!</definedName>
    <definedName name="__LN2" localSheetId="13">#REF!</definedName>
    <definedName name="__LN2" localSheetId="5">#REF!</definedName>
    <definedName name="__LN2">#REF!</definedName>
    <definedName name="__PL1" localSheetId="20">#REF!</definedName>
    <definedName name="__PL1" localSheetId="17">#REF!</definedName>
    <definedName name="__PL1" localSheetId="8">#REF!</definedName>
    <definedName name="__PL1" localSheetId="12">#REF!</definedName>
    <definedName name="__PL1" localSheetId="13">#REF!</definedName>
    <definedName name="__PL1" localSheetId="5">#REF!</definedName>
    <definedName name="__PL1">#REF!</definedName>
    <definedName name="__PL2" localSheetId="20">#REF!</definedName>
    <definedName name="__PL2" localSheetId="17">#REF!</definedName>
    <definedName name="__PL2" localSheetId="8">#REF!</definedName>
    <definedName name="__PL2" localSheetId="12">#REF!</definedName>
    <definedName name="__PL2" localSheetId="13">#REF!</definedName>
    <definedName name="__PL2" localSheetId="5">#REF!</definedName>
    <definedName name="__PL2">#REF!</definedName>
    <definedName name="__pL3" localSheetId="20">#REF!</definedName>
    <definedName name="__pL3" localSheetId="17">#REF!</definedName>
    <definedName name="__pL3" localSheetId="8">#REF!</definedName>
    <definedName name="__pL3" localSheetId="12">#REF!</definedName>
    <definedName name="__pL3" localSheetId="13">#REF!</definedName>
    <definedName name="__pL3" localSheetId="5">#REF!</definedName>
    <definedName name="__pL3">#REF!</definedName>
    <definedName name="__PP2" localSheetId="20">#REF!</definedName>
    <definedName name="__PP2" localSheetId="17">#REF!</definedName>
    <definedName name="__PP2" localSheetId="8">#REF!</definedName>
    <definedName name="__PP2" localSheetId="12">#REF!</definedName>
    <definedName name="__PP2" localSheetId="13">#REF!</definedName>
    <definedName name="__PP2" localSheetId="5">#REF!</definedName>
    <definedName name="__PP2">#REF!</definedName>
    <definedName name="__PP3" localSheetId="20">#REF!</definedName>
    <definedName name="__PP3" localSheetId="17">#REF!</definedName>
    <definedName name="__PP3" localSheetId="8">#REF!</definedName>
    <definedName name="__PP3" localSheetId="12">#REF!</definedName>
    <definedName name="__PP3" localSheetId="13">#REF!</definedName>
    <definedName name="__PP3" localSheetId="5">#REF!</definedName>
    <definedName name="__PP3">#REF!</definedName>
    <definedName name="__REC1999">'[7]RC-0997'!$B$132:$Q$171</definedName>
    <definedName name="__SAL2003" localSheetId="20">#REF!</definedName>
    <definedName name="__SAL2003" localSheetId="17">#REF!</definedName>
    <definedName name="__SAL2003" localSheetId="8">#REF!</definedName>
    <definedName name="__SAL2003" localSheetId="12">#REF!</definedName>
    <definedName name="__SAL2003" localSheetId="13">#REF!</definedName>
    <definedName name="__SAL2003" localSheetId="5">#REF!</definedName>
    <definedName name="__SAL2003">#REF!</definedName>
    <definedName name="__SAL2004" localSheetId="20">#REF!</definedName>
    <definedName name="__SAL2004" localSheetId="17">#REF!</definedName>
    <definedName name="__SAL2004" localSheetId="8">#REF!</definedName>
    <definedName name="__SAL2004" localSheetId="12">#REF!</definedName>
    <definedName name="__SAL2004" localSheetId="13">#REF!</definedName>
    <definedName name="__SAL2004" localSheetId="5">#REF!</definedName>
    <definedName name="__SAL2004">#REF!</definedName>
    <definedName name="__tam2" localSheetId="18" hidden="1">#REF!</definedName>
    <definedName name="__tam2" localSheetId="19" hidden="1">#REF!</definedName>
    <definedName name="__tam2" hidden="1">#REF!</definedName>
    <definedName name="__TMO1" localSheetId="20">'[14]BS-OVS'!#REF!</definedName>
    <definedName name="__TMO1" localSheetId="17">'[14]BS-OVS'!#REF!</definedName>
    <definedName name="__TMO1" localSheetId="8">'[14]BS-OVS'!#REF!</definedName>
    <definedName name="__TMO1" localSheetId="12">'[14]BS-OVS'!#REF!</definedName>
    <definedName name="__TMO1" localSheetId="13">'[14]BS-OVS'!#REF!</definedName>
    <definedName name="__TMO1" localSheetId="5">'[14]BS-OVS'!#REF!</definedName>
    <definedName name="__TMO1">'[14]BS-OVS'!#REF!</definedName>
    <definedName name="__UAE1" localSheetId="17">[8]Sheet4!$D$116:$D$207</definedName>
    <definedName name="__UAE1">[6]Sheet4!$D$116:$D$207</definedName>
    <definedName name="__UAE2" localSheetId="17">[8]Sheet4!$Q$14:$Q$105</definedName>
    <definedName name="__UAE2">[6]Sheet4!$Q$14:$Q$105</definedName>
    <definedName name="__UK1" localSheetId="17">[8]Sheet4!$F$324:$F$415</definedName>
    <definedName name="__UK1">[6]Sheet4!$F$324:$F$415</definedName>
    <definedName name="__UK2" localSheetId="17">[8]Sheet4!$S$222:$S$313</definedName>
    <definedName name="__UK2">[6]Sheet4!$S$222:$S$313</definedName>
    <definedName name="__USA1" localSheetId="17">[8]Sheet4!$D$428:$D$519</definedName>
    <definedName name="__USA1">[6]Sheet4!$D$428:$D$519</definedName>
    <definedName name="__USA2" localSheetId="17">[8]Sheet4!$Q$326:$Q$417</definedName>
    <definedName name="__USA2">[6]Sheet4!$Q$326:$Q$417</definedName>
    <definedName name="_1" localSheetId="20">#REF!</definedName>
    <definedName name="_1" localSheetId="17">#REF!</definedName>
    <definedName name="_1" localSheetId="8">#REF!</definedName>
    <definedName name="_1" localSheetId="12">#REF!</definedName>
    <definedName name="_1" localSheetId="13">#REF!</definedName>
    <definedName name="_1" localSheetId="5">#REF!</definedName>
    <definedName name="_1">#REF!</definedName>
    <definedName name="_1.1" localSheetId="20">#REF!</definedName>
    <definedName name="_1.1" localSheetId="17">#REF!</definedName>
    <definedName name="_1.1" localSheetId="8">#REF!</definedName>
    <definedName name="_1.1" localSheetId="12">#REF!</definedName>
    <definedName name="_1.1" localSheetId="13">#REF!</definedName>
    <definedName name="_1.1" localSheetId="5">#REF!</definedName>
    <definedName name="_1.1">#REF!</definedName>
    <definedName name="_1.2" localSheetId="20">'[15]Abu Dhabi'!#REF!</definedName>
    <definedName name="_1.2" localSheetId="17">[16]Sheet3!#REF!</definedName>
    <definedName name="_1.2" localSheetId="8">'[15]Abu Dhabi'!#REF!</definedName>
    <definedName name="_1.2" localSheetId="12">'[15]Abu Dhabi'!#REF!</definedName>
    <definedName name="_1.2" localSheetId="13">'[15]Abu Dhabi'!#REF!</definedName>
    <definedName name="_1.2" localSheetId="5">'[15]Abu Dhabi'!#REF!</definedName>
    <definedName name="_1.2">'[15]Abu Dhabi'!#REF!</definedName>
    <definedName name="_10" localSheetId="20">#REF!</definedName>
    <definedName name="_10" localSheetId="17">#REF!</definedName>
    <definedName name="_10" localSheetId="8">#REF!</definedName>
    <definedName name="_10" localSheetId="2">#REF!</definedName>
    <definedName name="_10" localSheetId="12">#REF!</definedName>
    <definedName name="_10" localSheetId="13">#REF!</definedName>
    <definedName name="_10" localSheetId="5">#REF!</definedName>
    <definedName name="_10">#REF!</definedName>
    <definedName name="_11" localSheetId="20">#REF!</definedName>
    <definedName name="_11" localSheetId="17">#REF!</definedName>
    <definedName name="_11" localSheetId="8">#REF!</definedName>
    <definedName name="_11" localSheetId="2">#REF!</definedName>
    <definedName name="_11" localSheetId="12">#REF!</definedName>
    <definedName name="_11" localSheetId="13">#REF!</definedName>
    <definedName name="_11" localSheetId="5">#REF!</definedName>
    <definedName name="_11">#REF!</definedName>
    <definedName name="_12" localSheetId="20">#REF!</definedName>
    <definedName name="_12" localSheetId="17">#REF!</definedName>
    <definedName name="_12" localSheetId="8">#REF!</definedName>
    <definedName name="_12" localSheetId="2">#REF!</definedName>
    <definedName name="_12" localSheetId="12">#REF!</definedName>
    <definedName name="_12" localSheetId="13">#REF!</definedName>
    <definedName name="_12" localSheetId="5">#REF!</definedName>
    <definedName name="_12">#REF!</definedName>
    <definedName name="_123" localSheetId="20">#REF!</definedName>
    <definedName name="_123" localSheetId="17">#REF!</definedName>
    <definedName name="_123" localSheetId="8">#REF!</definedName>
    <definedName name="_123" localSheetId="2">#REF!</definedName>
    <definedName name="_123" localSheetId="12">#REF!</definedName>
    <definedName name="_123" localSheetId="13">#REF!</definedName>
    <definedName name="_123" localSheetId="5">#REF!</definedName>
    <definedName name="_123">#REF!</definedName>
    <definedName name="_13" localSheetId="20">#REF!</definedName>
    <definedName name="_13" localSheetId="17">#REF!</definedName>
    <definedName name="_13" localSheetId="8">#REF!</definedName>
    <definedName name="_13" localSheetId="2">#REF!</definedName>
    <definedName name="_13" localSheetId="12">#REF!</definedName>
    <definedName name="_13" localSheetId="13">#REF!</definedName>
    <definedName name="_13" localSheetId="5">#REF!</definedName>
    <definedName name="_13">#REF!</definedName>
    <definedName name="_14" localSheetId="20">#REF!</definedName>
    <definedName name="_14" localSheetId="17">#REF!</definedName>
    <definedName name="_14" localSheetId="8">#REF!</definedName>
    <definedName name="_14" localSheetId="2">#REF!</definedName>
    <definedName name="_14" localSheetId="12">#REF!</definedName>
    <definedName name="_14" localSheetId="13">#REF!</definedName>
    <definedName name="_14" localSheetId="5">#REF!</definedName>
    <definedName name="_14">#REF!</definedName>
    <definedName name="_14D" localSheetId="18">[17]Furniture!#REF!</definedName>
    <definedName name="_14D" localSheetId="19">[17]Furniture!#REF!</definedName>
    <definedName name="_14D">[17]Furniture!#REF!</definedName>
    <definedName name="_15" localSheetId="20">#REF!</definedName>
    <definedName name="_15" localSheetId="17">#REF!</definedName>
    <definedName name="_15" localSheetId="8">#REF!</definedName>
    <definedName name="_15" localSheetId="2">#REF!</definedName>
    <definedName name="_15" localSheetId="12">#REF!</definedName>
    <definedName name="_15" localSheetId="13">#REF!</definedName>
    <definedName name="_15" localSheetId="5">#REF!</definedName>
    <definedName name="_15">#REF!</definedName>
    <definedName name="_16" localSheetId="20">#REF!</definedName>
    <definedName name="_16" localSheetId="17">#REF!</definedName>
    <definedName name="_16" localSheetId="8">#REF!</definedName>
    <definedName name="_16" localSheetId="2">#REF!</definedName>
    <definedName name="_16" localSheetId="12">#REF!</definedName>
    <definedName name="_16" localSheetId="13">#REF!</definedName>
    <definedName name="_16" localSheetId="5">#REF!</definedName>
    <definedName name="_16">#REF!</definedName>
    <definedName name="_17" localSheetId="20">#REF!</definedName>
    <definedName name="_17" localSheetId="17">#REF!</definedName>
    <definedName name="_17" localSheetId="8">#REF!</definedName>
    <definedName name="_17" localSheetId="2">#REF!</definedName>
    <definedName name="_17" localSheetId="12">#REF!</definedName>
    <definedName name="_17" localSheetId="13">#REF!</definedName>
    <definedName name="_17" localSheetId="5">#REF!</definedName>
    <definedName name="_17">#REF!</definedName>
    <definedName name="_18" localSheetId="20">#REF!</definedName>
    <definedName name="_18" localSheetId="17">#REF!</definedName>
    <definedName name="_18" localSheetId="8">#REF!</definedName>
    <definedName name="_18" localSheetId="2">#REF!</definedName>
    <definedName name="_18" localSheetId="12">#REF!</definedName>
    <definedName name="_18" localSheetId="13">#REF!</definedName>
    <definedName name="_18" localSheetId="5">#REF!</definedName>
    <definedName name="_18">#REF!</definedName>
    <definedName name="_19" localSheetId="20">#REF!</definedName>
    <definedName name="_19" localSheetId="17">#REF!</definedName>
    <definedName name="_19" localSheetId="8">#REF!</definedName>
    <definedName name="_19" localSheetId="12">#REF!</definedName>
    <definedName name="_19" localSheetId="13">#REF!</definedName>
    <definedName name="_19" localSheetId="5">#REF!</definedName>
    <definedName name="_19">#REF!</definedName>
    <definedName name="_19E____ဠ0__큌〈Ř" localSheetId="18">#REF!</definedName>
    <definedName name="_19E____ဠ0__큌〈Ř" localSheetId="19">#REF!</definedName>
    <definedName name="_19E____ဠ0__큌〈Ř">#REF!</definedName>
    <definedName name="_2" localSheetId="20">#REF!</definedName>
    <definedName name="_2" localSheetId="17">#REF!</definedName>
    <definedName name="_2" localSheetId="8">#REF!</definedName>
    <definedName name="_2" localSheetId="2">#REF!</definedName>
    <definedName name="_2" localSheetId="12">#REF!</definedName>
    <definedName name="_2" localSheetId="13">#REF!</definedName>
    <definedName name="_2" localSheetId="5">#REF!</definedName>
    <definedName name="_2">#REF!</definedName>
    <definedName name="_2.1" localSheetId="20">#REF!</definedName>
    <definedName name="_2.1" localSheetId="17">#REF!</definedName>
    <definedName name="_2.1" localSheetId="8">#REF!</definedName>
    <definedName name="_2.1" localSheetId="12">#REF!</definedName>
    <definedName name="_2.1" localSheetId="13">#REF!</definedName>
    <definedName name="_2.1" localSheetId="5">#REF!</definedName>
    <definedName name="_2.1">#REF!</definedName>
    <definedName name="_2.2" localSheetId="20">'[15]Abu Dhabi'!#REF!</definedName>
    <definedName name="_2.2" localSheetId="17">[16]Sheet3!#REF!</definedName>
    <definedName name="_2.2" localSheetId="8">'[15]Abu Dhabi'!#REF!</definedName>
    <definedName name="_2.2" localSheetId="12">'[15]Abu Dhabi'!#REF!</definedName>
    <definedName name="_2.2" localSheetId="13">'[15]Abu Dhabi'!#REF!</definedName>
    <definedName name="_2.2" localSheetId="5">'[15]Abu Dhabi'!#REF!</definedName>
    <definedName name="_2.2">'[15]Abu Dhabi'!#REF!</definedName>
    <definedName name="_20" localSheetId="20">#REF!</definedName>
    <definedName name="_20" localSheetId="17">#REF!</definedName>
    <definedName name="_20" localSheetId="8">#REF!</definedName>
    <definedName name="_20" localSheetId="12">#REF!</definedName>
    <definedName name="_20" localSheetId="13">#REF!</definedName>
    <definedName name="_20" localSheetId="5">#REF!</definedName>
    <definedName name="_20">#REF!</definedName>
    <definedName name="_21" localSheetId="20">#REF!</definedName>
    <definedName name="_21" localSheetId="17">#REF!</definedName>
    <definedName name="_21" localSheetId="8">#REF!</definedName>
    <definedName name="_21" localSheetId="12">#REF!</definedName>
    <definedName name="_21" localSheetId="13">#REF!</definedName>
    <definedName name="_21" localSheetId="5">#REF!</definedName>
    <definedName name="_21">#REF!</definedName>
    <definedName name="_24_06_2004" localSheetId="20">#REF!</definedName>
    <definedName name="_24_06_2004" localSheetId="17">#REF!</definedName>
    <definedName name="_24_06_2004" localSheetId="8">#REF!</definedName>
    <definedName name="_24_06_2004" localSheetId="12">#REF!</definedName>
    <definedName name="_24_06_2004" localSheetId="13">#REF!</definedName>
    <definedName name="_24_06_2004" localSheetId="5">#REF!</definedName>
    <definedName name="_24_06_2004">#REF!</definedName>
    <definedName name="_29_07_2004" localSheetId="20">#REF!</definedName>
    <definedName name="_29_07_2004" localSheetId="17">#REF!</definedName>
    <definedName name="_29_07_2004" localSheetId="8">#REF!</definedName>
    <definedName name="_29_07_2004" localSheetId="12">#REF!</definedName>
    <definedName name="_29_07_2004" localSheetId="13">#REF!</definedName>
    <definedName name="_29_07_2004" localSheetId="5">#REF!</definedName>
    <definedName name="_29_07_2004">#REF!</definedName>
    <definedName name="_2A" localSheetId="18">[18]Furniture!#REF!</definedName>
    <definedName name="_2A" localSheetId="19">[18]Furniture!#REF!</definedName>
    <definedName name="_2A">[18]Furniture!#REF!</definedName>
    <definedName name="_3" localSheetId="20">#REF!</definedName>
    <definedName name="_3" localSheetId="17">#REF!</definedName>
    <definedName name="_3" localSheetId="8">#REF!</definedName>
    <definedName name="_3" localSheetId="2">#REF!</definedName>
    <definedName name="_3" localSheetId="12">#REF!</definedName>
    <definedName name="_3" localSheetId="13">#REF!</definedName>
    <definedName name="_3" localSheetId="5">#REF!</definedName>
    <definedName name="_3">#REF!</definedName>
    <definedName name="_3.1" localSheetId="17">[8]Sheet4!$A$110</definedName>
    <definedName name="_3.1">[6]Sheet4!$A$110</definedName>
    <definedName name="_3.2" localSheetId="17">[8]Sheet4!$O$8</definedName>
    <definedName name="_3.2">[6]Sheet4!$O$8</definedName>
    <definedName name="_3.3" localSheetId="20">'[19]LS-UAE'!#REF!</definedName>
    <definedName name="_3.3" localSheetId="17">[16]Sheet2!#REF!</definedName>
    <definedName name="_3.3" localSheetId="8">'[19]LS-UAE'!#REF!</definedName>
    <definedName name="_3.3" localSheetId="12">'[19]LS-UAE'!#REF!</definedName>
    <definedName name="_3.3" localSheetId="13">'[19]LS-UAE'!#REF!</definedName>
    <definedName name="_3.3" localSheetId="5">'[19]LS-UAE'!#REF!</definedName>
    <definedName name="_3.3">'[19]LS-UAE'!#REF!</definedName>
    <definedName name="_4" localSheetId="20">#REF!</definedName>
    <definedName name="_4" localSheetId="17">#REF!</definedName>
    <definedName name="_4" localSheetId="8">#REF!</definedName>
    <definedName name="_4" localSheetId="2">#REF!</definedName>
    <definedName name="_4" localSheetId="12">#REF!</definedName>
    <definedName name="_4" localSheetId="13">#REF!</definedName>
    <definedName name="_4" localSheetId="5">#REF!</definedName>
    <definedName name="_4">#REF!</definedName>
    <definedName name="_4.1" localSheetId="17">[8]Sheet4!$A$214</definedName>
    <definedName name="_4.1">[6]Sheet4!$A$214</definedName>
    <definedName name="_4.2" localSheetId="17">[8]Sheet4!$O$112</definedName>
    <definedName name="_4.2">[6]Sheet4!$O$112</definedName>
    <definedName name="_4D" localSheetId="18">[18]Furniture!#REF!</definedName>
    <definedName name="_4D" localSheetId="19">[18]Furniture!#REF!</definedName>
    <definedName name="_4D">[18]Furniture!#REF!</definedName>
    <definedName name="_5" localSheetId="20">#REF!</definedName>
    <definedName name="_5" localSheetId="17">#REF!</definedName>
    <definedName name="_5" localSheetId="8">#REF!</definedName>
    <definedName name="_5" localSheetId="2">#REF!</definedName>
    <definedName name="_5" localSheetId="12">#REF!</definedName>
    <definedName name="_5" localSheetId="13">#REF!</definedName>
    <definedName name="_5" localSheetId="5">#REF!</definedName>
    <definedName name="_5">#REF!</definedName>
    <definedName name="_5.1" localSheetId="17">[8]Sheet4!$A$318</definedName>
    <definedName name="_5.1">[6]Sheet4!$A$318</definedName>
    <definedName name="_5.2" localSheetId="17">[8]Sheet4!$O$216</definedName>
    <definedName name="_5.2">[6]Sheet4!$O$216</definedName>
    <definedName name="_5E____ဠ0__큌〈Ř" localSheetId="18">#REF!</definedName>
    <definedName name="_5E____ဠ0__큌〈Ř" localSheetId="19">#REF!</definedName>
    <definedName name="_5E____ဠ0__큌〈Ř">#REF!</definedName>
    <definedName name="_6" localSheetId="20">#REF!</definedName>
    <definedName name="_6" localSheetId="17">#REF!</definedName>
    <definedName name="_6" localSheetId="8">#REF!</definedName>
    <definedName name="_6" localSheetId="2">#REF!</definedName>
    <definedName name="_6" localSheetId="12">#REF!</definedName>
    <definedName name="_6" localSheetId="13">#REF!</definedName>
    <definedName name="_6" localSheetId="5">#REF!</definedName>
    <definedName name="_6">#REF!</definedName>
    <definedName name="_6.1" localSheetId="17">[8]Sheet4!$A$422</definedName>
    <definedName name="_6.1">[6]Sheet4!$A$422</definedName>
    <definedName name="_6.2" localSheetId="17">[8]Sheet4!$O$320</definedName>
    <definedName name="_6.2">[6]Sheet4!$O$320</definedName>
    <definedName name="_7" localSheetId="20">#REF!</definedName>
    <definedName name="_7" localSheetId="17">#REF!</definedName>
    <definedName name="_7" localSheetId="8">#REF!</definedName>
    <definedName name="_7" localSheetId="2">#REF!</definedName>
    <definedName name="_7" localSheetId="12">#REF!</definedName>
    <definedName name="_7" localSheetId="13">#REF!</definedName>
    <definedName name="_7" localSheetId="5">#REF!</definedName>
    <definedName name="_7">#REF!</definedName>
    <definedName name="_7.1" localSheetId="17">[8]Sheet4!$A$526</definedName>
    <definedName name="_7.1">[6]Sheet4!$A$526</definedName>
    <definedName name="_7.2" localSheetId="17">[8]Sheet4!$O$424</definedName>
    <definedName name="_7.2">[6]Sheet4!$O$424</definedName>
    <definedName name="_7A" localSheetId="18">[17]Furniture!#REF!</definedName>
    <definedName name="_7A" localSheetId="19">[17]Furniture!#REF!</definedName>
    <definedName name="_7A">[17]Furniture!#REF!</definedName>
    <definedName name="_8" localSheetId="20">#REF!</definedName>
    <definedName name="_8" localSheetId="17">#REF!</definedName>
    <definedName name="_8" localSheetId="8">#REF!</definedName>
    <definedName name="_8" localSheetId="2">#REF!</definedName>
    <definedName name="_8" localSheetId="12">#REF!</definedName>
    <definedName name="_8" localSheetId="13">#REF!</definedName>
    <definedName name="_8" localSheetId="5">#REF!</definedName>
    <definedName name="_8">#REF!</definedName>
    <definedName name="_9" localSheetId="20">#REF!</definedName>
    <definedName name="_9" localSheetId="17">#REF!</definedName>
    <definedName name="_9" localSheetId="8">#REF!</definedName>
    <definedName name="_9" localSheetId="2">#REF!</definedName>
    <definedName name="_9" localSheetId="12">#REF!</definedName>
    <definedName name="_9" localSheetId="13">#REF!</definedName>
    <definedName name="_9" localSheetId="5">#REF!</definedName>
    <definedName name="_9">#REF!</definedName>
    <definedName name="_a99999" localSheetId="20">#REF!</definedName>
    <definedName name="_a99999" localSheetId="17">#REF!</definedName>
    <definedName name="_a99999" localSheetId="8">#REF!</definedName>
    <definedName name="_a99999" localSheetId="2">#REF!</definedName>
    <definedName name="_a99999" localSheetId="12">#REF!</definedName>
    <definedName name="_a99999" localSheetId="13">#REF!</definedName>
    <definedName name="_a99999" localSheetId="5">#REF!</definedName>
    <definedName name="_a99999">#REF!</definedName>
    <definedName name="_ASH1" localSheetId="17">[8]Sheet4!$B$524:$E$625</definedName>
    <definedName name="_ASH1">[6]Sheet4!$B$524:$E$625</definedName>
    <definedName name="_ASH2" localSheetId="17">[8]Sheet4!$P$422:$Q$523</definedName>
    <definedName name="_ASH2">[6]Sheet4!$P$422:$Q$523</definedName>
    <definedName name="_ASS1" localSheetId="20">#REF!</definedName>
    <definedName name="_ASS1" localSheetId="17">#REF!</definedName>
    <definedName name="_ASS1" localSheetId="8">#REF!</definedName>
    <definedName name="_ASS1" localSheetId="12">#REF!</definedName>
    <definedName name="_ASS1" localSheetId="13">#REF!</definedName>
    <definedName name="_ASS1" localSheetId="5">#REF!</definedName>
    <definedName name="_ASS1">#REF!</definedName>
    <definedName name="_ASS2" localSheetId="20">#REF!</definedName>
    <definedName name="_ASS2" localSheetId="17">#REF!</definedName>
    <definedName name="_ASS2" localSheetId="8">#REF!</definedName>
    <definedName name="_ASS2" localSheetId="12">#REF!</definedName>
    <definedName name="_ASS2" localSheetId="13">#REF!</definedName>
    <definedName name="_ASS2" localSheetId="5">#REF!</definedName>
    <definedName name="_ASS2">#REF!</definedName>
    <definedName name="_B" localSheetId="20">#REF!</definedName>
    <definedName name="_B" localSheetId="17">#REF!</definedName>
    <definedName name="_B" localSheetId="8">#REF!</definedName>
    <definedName name="_B" localSheetId="2">#REF!</definedName>
    <definedName name="_B" localSheetId="12">#REF!</definedName>
    <definedName name="_B" localSheetId="13">#REF!</definedName>
    <definedName name="_B" localSheetId="5">#REF!</definedName>
    <definedName name="_B">#REF!</definedName>
    <definedName name="_BSC1" localSheetId="20">#REF!</definedName>
    <definedName name="_BSC1" localSheetId="17">#REF!</definedName>
    <definedName name="_BSC1" localSheetId="8">#REF!</definedName>
    <definedName name="_BSC1" localSheetId="12">#REF!</definedName>
    <definedName name="_BSC1" localSheetId="13">#REF!</definedName>
    <definedName name="_BSC1" localSheetId="5">#REF!</definedName>
    <definedName name="_BSC1">#REF!</definedName>
    <definedName name="_BSD1" localSheetId="20">#REF!</definedName>
    <definedName name="_BSD1" localSheetId="17">#REF!</definedName>
    <definedName name="_BSD1" localSheetId="8">#REF!</definedName>
    <definedName name="_BSD1" localSheetId="12">#REF!</definedName>
    <definedName name="_BSD1" localSheetId="13">#REF!</definedName>
    <definedName name="_BSD1" localSheetId="5">#REF!</definedName>
    <definedName name="_BSD1">#REF!</definedName>
    <definedName name="_BSH1" localSheetId="20">#REF!</definedName>
    <definedName name="_BSH1" localSheetId="17">#REF!</definedName>
    <definedName name="_BSH1" localSheetId="8">#REF!</definedName>
    <definedName name="_BSH1" localSheetId="12">#REF!</definedName>
    <definedName name="_BSH1" localSheetId="13">#REF!</definedName>
    <definedName name="_BSH1" localSheetId="5">#REF!</definedName>
    <definedName name="_BSH1">#REF!</definedName>
    <definedName name="_BSP1" localSheetId="20">#REF!</definedName>
    <definedName name="_BSP1" localSheetId="17">#REF!</definedName>
    <definedName name="_BSP1" localSheetId="8">#REF!</definedName>
    <definedName name="_BSP1" localSheetId="12">#REF!</definedName>
    <definedName name="_BSP1" localSheetId="13">#REF!</definedName>
    <definedName name="_BSP1" localSheetId="5">#REF!</definedName>
    <definedName name="_BSP1">#REF!</definedName>
    <definedName name="_BSS1" localSheetId="20">#REF!</definedName>
    <definedName name="_BSS1" localSheetId="17">#REF!</definedName>
    <definedName name="_BSS1" localSheetId="8">#REF!</definedName>
    <definedName name="_BSS1" localSheetId="12">#REF!</definedName>
    <definedName name="_BSS1" localSheetId="13">#REF!</definedName>
    <definedName name="_BSS1" localSheetId="5">#REF!</definedName>
    <definedName name="_BSS1">#REF!</definedName>
    <definedName name="_BST1" localSheetId="20">#REF!</definedName>
    <definedName name="_BST1" localSheetId="17">#REF!</definedName>
    <definedName name="_BST1" localSheetId="8">#REF!</definedName>
    <definedName name="_BST1" localSheetId="12">#REF!</definedName>
    <definedName name="_BST1" localSheetId="13">#REF!</definedName>
    <definedName name="_BST1" localSheetId="5">#REF!</definedName>
    <definedName name="_BST1">#REF!</definedName>
    <definedName name="_C" localSheetId="18">'[20]LOCAL STUDENTS'!#REF!</definedName>
    <definedName name="_C" localSheetId="19">'[20]LOCAL STUDENTS'!#REF!</definedName>
    <definedName name="_C">'[20]LOCAL STUDENTS'!#REF!</definedName>
    <definedName name="_Col1" localSheetId="20">#REF!</definedName>
    <definedName name="_Col1" localSheetId="17">#REF!</definedName>
    <definedName name="_Col1" localSheetId="8">#REF!</definedName>
    <definedName name="_Col1" localSheetId="12">#REF!</definedName>
    <definedName name="_Col1" localSheetId="13">#REF!</definedName>
    <definedName name="_Col1" localSheetId="5">#REF!</definedName>
    <definedName name="_Col1">#REF!</definedName>
    <definedName name="_crt1">'[21]I-B'!$B$1:$B$65536</definedName>
    <definedName name="_crt2">'[21]I-BR'!$B$1:$B$65536</definedName>
    <definedName name="_df" localSheetId="20" hidden="1">#REF!</definedName>
    <definedName name="_df" localSheetId="17" hidden="1">#REF!</definedName>
    <definedName name="_df" localSheetId="8" hidden="1">#REF!</definedName>
    <definedName name="_df" localSheetId="2" hidden="1">#REF!</definedName>
    <definedName name="_df" localSheetId="12" hidden="1">#REF!</definedName>
    <definedName name="_df" localSheetId="13" hidden="1">#REF!</definedName>
    <definedName name="_df" localSheetId="5" hidden="1">#REF!</definedName>
    <definedName name="_df" hidden="1">#REF!</definedName>
    <definedName name="_EPZ1" localSheetId="17">[8]Sheet4!$F$428:$F$519</definedName>
    <definedName name="_EPZ1">[6]Sheet4!$F$428:$F$519</definedName>
    <definedName name="_EPZ2" localSheetId="17">[8]Sheet4!$S$326:$S$417</definedName>
    <definedName name="_EPZ2">[6]Sheet4!$S$326:$S$417</definedName>
    <definedName name="_Fill" localSheetId="17" hidden="1">#REF!</definedName>
    <definedName name="_Fill" localSheetId="2" hidden="1">#REF!</definedName>
    <definedName name="_Fill" hidden="1">'[22]BS-OVS'!$I$126:$I$284</definedName>
    <definedName name="_xlnm._FilterDatabase" localSheetId="20" hidden="1">#REF!</definedName>
    <definedName name="_xlnm._FilterDatabase" localSheetId="17" hidden="1">#REF!</definedName>
    <definedName name="_xlnm._FilterDatabase" localSheetId="8" hidden="1">#REF!</definedName>
    <definedName name="_xlnm._FilterDatabase" localSheetId="22" hidden="1">'TB MCBPSM'!$A$8:$C$31</definedName>
    <definedName name="_xlnm._FilterDatabase" localSheetId="12" hidden="1">#REF!</definedName>
    <definedName name="_xlnm._FilterDatabase" localSheetId="13" hidden="1">#REF!</definedName>
    <definedName name="_xlnm._FilterDatabase" localSheetId="5" hidden="1">#REF!</definedName>
    <definedName name="_xlnm._FilterDatabase" hidden="1">#REF!</definedName>
    <definedName name="_FMT1">'[21]I-B'!$E$1:$E$65536</definedName>
    <definedName name="_FMT2">'[21]I-BR'!$E$1:$E$65536</definedName>
    <definedName name="_hub0207" localSheetId="20">[10]AL905!#REF!</definedName>
    <definedName name="_hub0207" localSheetId="17">[10]AL905!#REF!</definedName>
    <definedName name="_hub0207" localSheetId="8">[10]AL905!#REF!</definedName>
    <definedName name="_hub0207" localSheetId="12">[10]AL905!#REF!</definedName>
    <definedName name="_hub0207" localSheetId="13">[10]AL905!#REF!</definedName>
    <definedName name="_hub0207" localSheetId="5">[10]AL905!#REF!</definedName>
    <definedName name="_hub0207">[10]AL905!#REF!</definedName>
    <definedName name="_IEC1" localSheetId="20">#REF!</definedName>
    <definedName name="_IEC1" localSheetId="17">#REF!</definedName>
    <definedName name="_IEC1" localSheetId="8">#REF!</definedName>
    <definedName name="_IEC1" localSheetId="12">#REF!</definedName>
    <definedName name="_IEC1" localSheetId="13">#REF!</definedName>
    <definedName name="_IEC1" localSheetId="5">#REF!</definedName>
    <definedName name="_IEC1">#REF!</definedName>
    <definedName name="_IED1" localSheetId="20">#REF!</definedName>
    <definedName name="_IED1" localSheetId="17">#REF!</definedName>
    <definedName name="_IED1" localSheetId="8">#REF!</definedName>
    <definedName name="_IED1" localSheetId="12">#REF!</definedName>
    <definedName name="_IED1" localSheetId="13">#REF!</definedName>
    <definedName name="_IED1" localSheetId="5">#REF!</definedName>
    <definedName name="_IED1">#REF!</definedName>
    <definedName name="_IEH1" localSheetId="20">#REF!</definedName>
    <definedName name="_IEH1" localSheetId="17">#REF!</definedName>
    <definedName name="_IEH1" localSheetId="8">#REF!</definedName>
    <definedName name="_IEH1" localSheetId="12">#REF!</definedName>
    <definedName name="_IEH1" localSheetId="13">#REF!</definedName>
    <definedName name="_IEH1" localSheetId="5">#REF!</definedName>
    <definedName name="_IEH1">#REF!</definedName>
    <definedName name="_IEP1" localSheetId="20">#REF!</definedName>
    <definedName name="_IEP1" localSheetId="17">#REF!</definedName>
    <definedName name="_IEP1" localSheetId="8">#REF!</definedName>
    <definedName name="_IEP1" localSheetId="12">#REF!</definedName>
    <definedName name="_IEP1" localSheetId="13">#REF!</definedName>
    <definedName name="_IEP1" localSheetId="5">#REF!</definedName>
    <definedName name="_IEP1">#REF!</definedName>
    <definedName name="_IES1" localSheetId="20">#REF!</definedName>
    <definedName name="_IES1" localSheetId="17">#REF!</definedName>
    <definedName name="_IES1" localSheetId="8">#REF!</definedName>
    <definedName name="_IES1" localSheetId="12">#REF!</definedName>
    <definedName name="_IES1" localSheetId="13">#REF!</definedName>
    <definedName name="_IES1" localSheetId="5">#REF!</definedName>
    <definedName name="_IES1">#REF!</definedName>
    <definedName name="_IET1" localSheetId="20">#REF!</definedName>
    <definedName name="_IET1" localSheetId="17">#REF!</definedName>
    <definedName name="_IET1" localSheetId="8">#REF!</definedName>
    <definedName name="_IET1" localSheetId="12">#REF!</definedName>
    <definedName name="_IET1" localSheetId="13">#REF!</definedName>
    <definedName name="_IET1" localSheetId="5">#REF!</definedName>
    <definedName name="_IET1">#REF!</definedName>
    <definedName name="_Key1" localSheetId="20" hidden="1">#REF!</definedName>
    <definedName name="_Key1" localSheetId="17" hidden="1">#REF!</definedName>
    <definedName name="_Key1" localSheetId="8" hidden="1">#REF!</definedName>
    <definedName name="_Key1" localSheetId="2" hidden="1">#REF!</definedName>
    <definedName name="_Key1" localSheetId="12" hidden="1">#REF!</definedName>
    <definedName name="_Key1" localSheetId="13" hidden="1">#REF!</definedName>
    <definedName name="_Key1" localSheetId="5" hidden="1">#REF!</definedName>
    <definedName name="_Key1" hidden="1">#REF!</definedName>
    <definedName name="_Key2" localSheetId="20" hidden="1">#REF!</definedName>
    <definedName name="_Key2" localSheetId="17" hidden="1">#REF!</definedName>
    <definedName name="_Key2" localSheetId="8" hidden="1">#REF!</definedName>
    <definedName name="_Key2" localSheetId="2" hidden="1">#REF!</definedName>
    <definedName name="_Key2" localSheetId="12" hidden="1">#REF!</definedName>
    <definedName name="_Key2" localSheetId="13" hidden="1">#REF!</definedName>
    <definedName name="_Key2" localSheetId="5" hidden="1">#REF!</definedName>
    <definedName name="_Key2" hidden="1">#REF!</definedName>
    <definedName name="_koi" localSheetId="20" hidden="1">#REF!</definedName>
    <definedName name="_koi" localSheetId="17" hidden="1">#REF!</definedName>
    <definedName name="_koi" localSheetId="8" hidden="1">#REF!</definedName>
    <definedName name="_koi" localSheetId="2" hidden="1">#REF!</definedName>
    <definedName name="_koi" localSheetId="12" hidden="1">#REF!</definedName>
    <definedName name="_koi" localSheetId="13" hidden="1">#REF!</definedName>
    <definedName name="_koi" localSheetId="5" hidden="1">#REF!</definedName>
    <definedName name="_koi" hidden="1">#REF!</definedName>
    <definedName name="_LIA1" localSheetId="20">#REF!</definedName>
    <definedName name="_LIA1" localSheetId="17">#REF!</definedName>
    <definedName name="_LIA1" localSheetId="8">#REF!</definedName>
    <definedName name="_LIA1" localSheetId="12">#REF!</definedName>
    <definedName name="_LIA1" localSheetId="13">#REF!</definedName>
    <definedName name="_LIA1" localSheetId="5">#REF!</definedName>
    <definedName name="_LIA1">#REF!</definedName>
    <definedName name="_LIA2" localSheetId="20">#REF!</definedName>
    <definedName name="_LIA2" localSheetId="17">#REF!</definedName>
    <definedName name="_LIA2" localSheetId="8">#REF!</definedName>
    <definedName name="_LIA2" localSheetId="12">#REF!</definedName>
    <definedName name="_LIA2" localSheetId="13">#REF!</definedName>
    <definedName name="_LIA2" localSheetId="5">#REF!</definedName>
    <definedName name="_LIA2">#REF!</definedName>
    <definedName name="_LMT1">'[21]I-B'!$G$1:$G$65536</definedName>
    <definedName name="_LMT2">'[21]I-BR'!$G$1:$G$65536</definedName>
    <definedName name="_LN2" localSheetId="20">#REF!</definedName>
    <definedName name="_LN2" localSheetId="17">#REF!</definedName>
    <definedName name="_LN2" localSheetId="8">#REF!</definedName>
    <definedName name="_LN2" localSheetId="12">#REF!</definedName>
    <definedName name="_LN2" localSheetId="13">#REF!</definedName>
    <definedName name="_LN2" localSheetId="5">#REF!</definedName>
    <definedName name="_LN2">#REF!</definedName>
    <definedName name="_Order1" hidden="1">255</definedName>
    <definedName name="_Order2" hidden="1">255</definedName>
    <definedName name="_PL1" localSheetId="20">#REF!</definedName>
    <definedName name="_PL1" localSheetId="17">#REF!</definedName>
    <definedName name="_PL1" localSheetId="8">#REF!</definedName>
    <definedName name="_PL1" localSheetId="12">#REF!</definedName>
    <definedName name="_PL1" localSheetId="13">#REF!</definedName>
    <definedName name="_PL1" localSheetId="5">#REF!</definedName>
    <definedName name="_PL1">#REF!</definedName>
    <definedName name="_PL2" localSheetId="20">#REF!</definedName>
    <definedName name="_PL2" localSheetId="17">#REF!</definedName>
    <definedName name="_PL2" localSheetId="8">#REF!</definedName>
    <definedName name="_PL2" localSheetId="12">#REF!</definedName>
    <definedName name="_PL2" localSheetId="13">#REF!</definedName>
    <definedName name="_PL2" localSheetId="5">#REF!</definedName>
    <definedName name="_PL2">#REF!</definedName>
    <definedName name="_pL3" localSheetId="20">#REF!</definedName>
    <definedName name="_pL3" localSheetId="17">#REF!</definedName>
    <definedName name="_pL3" localSheetId="8">#REF!</definedName>
    <definedName name="_pL3" localSheetId="12">#REF!</definedName>
    <definedName name="_pL3" localSheetId="13">#REF!</definedName>
    <definedName name="_pL3" localSheetId="5">#REF!</definedName>
    <definedName name="_pL3">#REF!</definedName>
    <definedName name="_PP2" localSheetId="20">#REF!</definedName>
    <definedName name="_PP2" localSheetId="17">#REF!</definedName>
    <definedName name="_PP2" localSheetId="8">#REF!</definedName>
    <definedName name="_PP2" localSheetId="12">#REF!</definedName>
    <definedName name="_PP2" localSheetId="13">#REF!</definedName>
    <definedName name="_PP2" localSheetId="5">#REF!</definedName>
    <definedName name="_PP2">#REF!</definedName>
    <definedName name="_PP3" localSheetId="20">#REF!</definedName>
    <definedName name="_PP3" localSheetId="17">#REF!</definedName>
    <definedName name="_PP3" localSheetId="8">#REF!</definedName>
    <definedName name="_PP3" localSheetId="12">#REF!</definedName>
    <definedName name="_PP3" localSheetId="13">#REF!</definedName>
    <definedName name="_PP3" localSheetId="5">#REF!</definedName>
    <definedName name="_PP3">#REF!</definedName>
    <definedName name="_REC1999">'[7]RC-0997'!$B$132:$Q$171</definedName>
    <definedName name="_Regression_X" localSheetId="20" hidden="1">'[23]b-sheet'!#REF!</definedName>
    <definedName name="_Regression_X" localSheetId="17" hidden="1">#REF!</definedName>
    <definedName name="_Regression_X" localSheetId="8" hidden="1">'[23]b-sheet'!#REF!</definedName>
    <definedName name="_Regression_X" localSheetId="2" hidden="1">'[23]b-sheet'!#REF!</definedName>
    <definedName name="_Regression_X" localSheetId="12" hidden="1">'[23]b-sheet'!#REF!</definedName>
    <definedName name="_Regression_X" localSheetId="13" hidden="1">'[23]b-sheet'!#REF!</definedName>
    <definedName name="_Regression_X" localSheetId="5" hidden="1">'[23]b-sheet'!#REF!</definedName>
    <definedName name="_Regression_X" hidden="1">'[23]b-sheet'!#REF!</definedName>
    <definedName name="_SAL2003" localSheetId="20">#REF!</definedName>
    <definedName name="_SAL2003" localSheetId="17">#REF!</definedName>
    <definedName name="_SAL2003" localSheetId="8">#REF!</definedName>
    <definedName name="_SAL2003" localSheetId="2">#REF!</definedName>
    <definedName name="_SAL2003" localSheetId="12">#REF!</definedName>
    <definedName name="_SAL2003" localSheetId="13">#REF!</definedName>
    <definedName name="_SAL2003" localSheetId="5">#REF!</definedName>
    <definedName name="_SAL2003">#REF!</definedName>
    <definedName name="_SAL2004" localSheetId="20">#REF!</definedName>
    <definedName name="_SAL2004" localSheetId="17">#REF!</definedName>
    <definedName name="_SAL2004" localSheetId="8">#REF!</definedName>
    <definedName name="_SAL2004" localSheetId="2">#REF!</definedName>
    <definedName name="_SAL2004" localSheetId="12">#REF!</definedName>
    <definedName name="_SAL2004" localSheetId="13">#REF!</definedName>
    <definedName name="_SAL2004" localSheetId="5">#REF!</definedName>
    <definedName name="_SAL2004">#REF!</definedName>
    <definedName name="_Sort" localSheetId="20" hidden="1">#REF!</definedName>
    <definedName name="_Sort" localSheetId="17" hidden="1">#REF!</definedName>
    <definedName name="_Sort" localSheetId="8" hidden="1">#REF!</definedName>
    <definedName name="_Sort" localSheetId="2" hidden="1">#REF!</definedName>
    <definedName name="_Sort" localSheetId="12" hidden="1">#REF!</definedName>
    <definedName name="_Sort" localSheetId="13" hidden="1">#REF!</definedName>
    <definedName name="_Sort" localSheetId="5" hidden="1">#REF!</definedName>
    <definedName name="_Sort" hidden="1">#REF!</definedName>
    <definedName name="_tam2" localSheetId="18" hidden="1">#REF!</definedName>
    <definedName name="_tam2" localSheetId="19" hidden="1">#REF!</definedName>
    <definedName name="_tam2" hidden="1">#REF!</definedName>
    <definedName name="_TMO1" localSheetId="20">'[14]BS-OVS'!#REF!</definedName>
    <definedName name="_TMO1" localSheetId="17">'[14]BS-OVS'!#REF!</definedName>
    <definedName name="_TMO1" localSheetId="8">'[14]BS-OVS'!#REF!</definedName>
    <definedName name="_TMO1" localSheetId="12">'[14]BS-OVS'!#REF!</definedName>
    <definedName name="_TMO1" localSheetId="13">'[14]BS-OVS'!#REF!</definedName>
    <definedName name="_TMO1" localSheetId="5">'[14]BS-OVS'!#REF!</definedName>
    <definedName name="_TMO1">'[14]BS-OVS'!#REF!</definedName>
    <definedName name="_UAE1" localSheetId="17">[8]Sheet4!$D$116:$D$207</definedName>
    <definedName name="_UAE1">[6]Sheet4!$D$116:$D$207</definedName>
    <definedName name="_UAE2" localSheetId="17">[8]Sheet4!$Q$14:$Q$105</definedName>
    <definedName name="_UAE2">[6]Sheet4!$Q$14:$Q$105</definedName>
    <definedName name="_UK1" localSheetId="17">[8]Sheet4!$F$324:$F$415</definedName>
    <definedName name="_UK1">[6]Sheet4!$F$324:$F$415</definedName>
    <definedName name="_UK2" localSheetId="17">[8]Sheet4!$S$222:$S$313</definedName>
    <definedName name="_UK2">[6]Sheet4!$S$222:$S$313</definedName>
    <definedName name="_USA1" localSheetId="17">[8]Sheet4!$D$428:$D$519</definedName>
    <definedName name="_USA1">[6]Sheet4!$D$428:$D$519</definedName>
    <definedName name="_USA2" localSheetId="17">[8]Sheet4!$Q$326:$Q$417</definedName>
    <definedName name="_USA2">[6]Sheet4!$Q$326:$Q$417</definedName>
    <definedName name="a" localSheetId="20">'[3]Stock in Trade'!#REF!</definedName>
    <definedName name="a" localSheetId="17">#REF!</definedName>
    <definedName name="a" localSheetId="8">'[3]Stock in Trade'!#REF!</definedName>
    <definedName name="a" localSheetId="2">'[3]Stock in Trade'!#REF!</definedName>
    <definedName name="a" localSheetId="12">'[3]Stock in Trade'!#REF!</definedName>
    <definedName name="a" localSheetId="13">'[3]Stock in Trade'!#REF!</definedName>
    <definedName name="a" localSheetId="5">'[3]Stock in Trade'!#REF!</definedName>
    <definedName name="a">'[3]Stock in Trade'!#REF!</definedName>
    <definedName name="aa" localSheetId="20">'[24]P &amp; L'!#REF!</definedName>
    <definedName name="AA" localSheetId="17">#REF!</definedName>
    <definedName name="aa" localSheetId="8">'[24]P &amp; L'!#REF!</definedName>
    <definedName name="aa" localSheetId="2">'[24]P &amp; L'!#REF!</definedName>
    <definedName name="aa" localSheetId="12">'[24]P &amp; L'!#REF!</definedName>
    <definedName name="aa" localSheetId="13">'[24]P &amp; L'!#REF!</definedName>
    <definedName name="aa" localSheetId="5">'[24]P &amp; L'!#REF!</definedName>
    <definedName name="aa">'[24]P &amp; L'!#REF!</definedName>
    <definedName name="aaa" localSheetId="20">#REF!</definedName>
    <definedName name="aaa" localSheetId="17">#REF!</definedName>
    <definedName name="aaa" localSheetId="8">#REF!</definedName>
    <definedName name="aaa" localSheetId="12">#REF!</definedName>
    <definedName name="aaa" localSheetId="13">#REF!</definedName>
    <definedName name="aaa" localSheetId="5">#REF!</definedName>
    <definedName name="aaa">#REF!</definedName>
    <definedName name="aaaaaaaaaa" localSheetId="20">'[1]P&amp;L Commentary'!#REF!</definedName>
    <definedName name="aaaaaaaaaa" localSheetId="17">'[1]P&amp;L Commentary'!#REF!</definedName>
    <definedName name="aaaaaaaaaa" localSheetId="8">'[1]P&amp;L Commentary'!#REF!</definedName>
    <definedName name="aaaaaaaaaa" localSheetId="12">'[1]P&amp;L Commentary'!#REF!</definedName>
    <definedName name="aaaaaaaaaa" localSheetId="13">'[1]P&amp;L Commentary'!#REF!</definedName>
    <definedName name="aaaaaaaaaa" localSheetId="5">'[1]P&amp;L Commentary'!#REF!</definedName>
    <definedName name="aaaaaaaaaa">'[1]P&amp;L Commentary'!#REF!</definedName>
    <definedName name="AB" localSheetId="20">#REF!</definedName>
    <definedName name="AB" localSheetId="17">#REF!</definedName>
    <definedName name="AB" localSheetId="8">#REF!</definedName>
    <definedName name="AB" localSheetId="12">#REF!</definedName>
    <definedName name="AB" localSheetId="13">#REF!</definedName>
    <definedName name="AB" localSheetId="5">#REF!</definedName>
    <definedName name="AB">#REF!</definedName>
    <definedName name="abc" localSheetId="20">#REF!</definedName>
    <definedName name="abc" localSheetId="17">#REF!</definedName>
    <definedName name="abc" localSheetId="8">#REF!</definedName>
    <definedName name="abc" localSheetId="2" hidden="1">'[3]Adv to vendor'!#REF!</definedName>
    <definedName name="abc" localSheetId="12">#REF!</definedName>
    <definedName name="abc" localSheetId="13">#REF!</definedName>
    <definedName name="abc" localSheetId="5">#REF!</definedName>
    <definedName name="abc">#REF!</definedName>
    <definedName name="abcd" localSheetId="20">#REF!</definedName>
    <definedName name="abcd" localSheetId="17">#REF!</definedName>
    <definedName name="abcd" localSheetId="8">#REF!</definedName>
    <definedName name="abcd" localSheetId="2">#REF!</definedName>
    <definedName name="abcd" localSheetId="12">#REF!</definedName>
    <definedName name="abcd" localSheetId="13">#REF!</definedName>
    <definedName name="abcd" localSheetId="5">#REF!</definedName>
    <definedName name="abcd">#REF!</definedName>
    <definedName name="Abid" localSheetId="20">#REF!</definedName>
    <definedName name="Abid" localSheetId="17">#REF!</definedName>
    <definedName name="Abid" localSheetId="8">#REF!</definedName>
    <definedName name="Abid" localSheetId="12">#REF!</definedName>
    <definedName name="Abid" localSheetId="13">#REF!</definedName>
    <definedName name="Abid" localSheetId="5">#REF!</definedName>
    <definedName name="Abid">#REF!</definedName>
    <definedName name="AC" localSheetId="20">#REF!</definedName>
    <definedName name="AC" localSheetId="17">#REF!</definedName>
    <definedName name="AC" localSheetId="8">#REF!</definedName>
    <definedName name="AC" localSheetId="12">#REF!</definedName>
    <definedName name="AC" localSheetId="13">#REF!</definedName>
    <definedName name="AC" localSheetId="5">#REF!</definedName>
    <definedName name="AC">#REF!</definedName>
    <definedName name="Acc.Code" localSheetId="20">#REF!</definedName>
    <definedName name="Acc.Code" localSheetId="17">#REF!</definedName>
    <definedName name="Acc.Code" localSheetId="8">#REF!</definedName>
    <definedName name="Acc.Code" localSheetId="12">#REF!</definedName>
    <definedName name="Acc.Code" localSheetId="13">#REF!</definedName>
    <definedName name="Acc.Code" localSheetId="5">#REF!</definedName>
    <definedName name="Acc.Code">#REF!</definedName>
    <definedName name="Act_Date" localSheetId="18">#REF!</definedName>
    <definedName name="Act_Date" localSheetId="19">#REF!</definedName>
    <definedName name="Act_Date">#REF!</definedName>
    <definedName name="Act_FullScreen" localSheetId="18">#REF!</definedName>
    <definedName name="Act_FullScreen" localSheetId="19">#REF!</definedName>
    <definedName name="Act_FullScreen">#REF!</definedName>
    <definedName name="Act_It" localSheetId="18">#REF!</definedName>
    <definedName name="Act_It" localSheetId="19">#REF!</definedName>
    <definedName name="Act_It">#REF!</definedName>
    <definedName name="Act_Name" localSheetId="18">#REF!</definedName>
    <definedName name="Act_Name" localSheetId="19">#REF!</definedName>
    <definedName name="Act_Name">#REF!</definedName>
    <definedName name="Act_Obj" localSheetId="18">#REF!</definedName>
    <definedName name="Act_Obj" localSheetId="19">#REF!</definedName>
    <definedName name="Act_Obj">#REF!</definedName>
    <definedName name="Act_Obj_Comp" localSheetId="18">#REF!</definedName>
    <definedName name="Act_Obj_Comp" localSheetId="19">#REF!</definedName>
    <definedName name="Act_Obj_Comp">#REF!</definedName>
    <definedName name="Act_Obj_PwC_Example" localSheetId="18">#REF!</definedName>
    <definedName name="Act_Obj_PwC_Example" localSheetId="19">#REF!</definedName>
    <definedName name="Act_Obj_PwC_Example">#REF!</definedName>
    <definedName name="Act_PM" localSheetId="18">#REF!</definedName>
    <definedName name="Act_PM" localSheetId="19">#REF!</definedName>
    <definedName name="Act_PM">#REF!</definedName>
    <definedName name="Act_Total" localSheetId="18">#REF!</definedName>
    <definedName name="Act_Total" localSheetId="19">#REF!</definedName>
    <definedName name="Act_Total">#REF!</definedName>
    <definedName name="ad">[25]A!$Q$604:$Q$639</definedName>
    <definedName name="ADM___SELIG_EXP" localSheetId="20">#REF!</definedName>
    <definedName name="ADM___SELIG_EXP" localSheetId="17">#REF!</definedName>
    <definedName name="ADM___SELIG_EXP" localSheetId="8">#REF!</definedName>
    <definedName name="ADM___SELIG_EXP" localSheetId="2">#REF!</definedName>
    <definedName name="ADM___SELIG_EXP" localSheetId="12">#REF!</definedName>
    <definedName name="ADM___SELIG_EXP" localSheetId="13">#REF!</definedName>
    <definedName name="ADM___SELIG_EXP" localSheetId="5">#REF!</definedName>
    <definedName name="ADM___SELIG_EXP">#REF!</definedName>
    <definedName name="ADV" localSheetId="20">[26]acct!#REF!</definedName>
    <definedName name="ADV" localSheetId="17">[27]acct!#REF!</definedName>
    <definedName name="ADV" localSheetId="8">[26]acct!#REF!</definedName>
    <definedName name="ADV" localSheetId="2">[28]acct!#REF!</definedName>
    <definedName name="ADV" localSheetId="12">[26]acct!#REF!</definedName>
    <definedName name="ADV" localSheetId="13">[26]acct!#REF!</definedName>
    <definedName name="ADV" localSheetId="5">[26]acct!#REF!</definedName>
    <definedName name="ADV">[26]acct!#REF!</definedName>
    <definedName name="ADV_TO_VENDOR" localSheetId="20">'[3]Adv to vendor'!#REF!</definedName>
    <definedName name="ADV_TO_VENDOR" localSheetId="17">'[3]Adv to vendor'!#REF!</definedName>
    <definedName name="ADV_TO_VENDOR" localSheetId="8">'[3]Adv to vendor'!#REF!</definedName>
    <definedName name="ADV_TO_VENDOR" localSheetId="2">'[3]Adv to vendor'!#REF!</definedName>
    <definedName name="ADV_TO_VENDOR" localSheetId="12">'[3]Adv to vendor'!#REF!</definedName>
    <definedName name="ADV_TO_VENDOR" localSheetId="13">'[3]Adv to vendor'!#REF!</definedName>
    <definedName name="ADV_TO_VENDOR" localSheetId="5">'[3]Adv to vendor'!#REF!</definedName>
    <definedName name="ADV_TO_VENDOR">'[3]Adv to vendor'!#REF!</definedName>
    <definedName name="ADVANCE_TAX" localSheetId="20">#REF!</definedName>
    <definedName name="ADVANCE_TAX" localSheetId="17">#REF!</definedName>
    <definedName name="ADVANCE_TAX" localSheetId="8">#REF!</definedName>
    <definedName name="ADVANCE_TAX" localSheetId="2">#REF!</definedName>
    <definedName name="ADVANCE_TAX" localSheetId="12">#REF!</definedName>
    <definedName name="ADVANCE_TAX" localSheetId="13">#REF!</definedName>
    <definedName name="ADVANCE_TAX" localSheetId="5">#REF!</definedName>
    <definedName name="ADVANCE_TAX">#REF!</definedName>
    <definedName name="AED" localSheetId="20">#REF!</definedName>
    <definedName name="AED" localSheetId="17">#REF!</definedName>
    <definedName name="AED" localSheetId="8">#REF!</definedName>
    <definedName name="AED" localSheetId="12">#REF!</definedName>
    <definedName name="AED" localSheetId="13">#REF!</definedName>
    <definedName name="AED" localSheetId="5">#REF!</definedName>
    <definedName name="AED">#REF!</definedName>
    <definedName name="affair" localSheetId="20">[29]BSDOMOVS!#REF!</definedName>
    <definedName name="affair" localSheetId="17">[30]BSDOMOVS!#REF!</definedName>
    <definedName name="affair" localSheetId="8">[29]BSDOMOVS!#REF!</definedName>
    <definedName name="affair" localSheetId="12">[29]BSDOMOVS!#REF!</definedName>
    <definedName name="affair" localSheetId="13">[29]BSDOMOVS!#REF!</definedName>
    <definedName name="affair" localSheetId="5">[29]BSDOMOVS!#REF!</definedName>
    <definedName name="affair">[29]BSDOMOVS!#REF!</definedName>
    <definedName name="ak" localSheetId="18">#REF!</definedName>
    <definedName name="ak" localSheetId="19">#REF!</definedName>
    <definedName name="ak">#REF!</definedName>
    <definedName name="alco" localSheetId="20">#REF!</definedName>
    <definedName name="alco" localSheetId="17">#REF!</definedName>
    <definedName name="alco" localSheetId="8">#REF!</definedName>
    <definedName name="alco" localSheetId="12">#REF!</definedName>
    <definedName name="alco" localSheetId="13">#REF!</definedName>
    <definedName name="alco" localSheetId="5">#REF!</definedName>
    <definedName name="alco">#REF!</definedName>
    <definedName name="Amount" localSheetId="20">#REF!</definedName>
    <definedName name="Amount" localSheetId="17">#REF!</definedName>
    <definedName name="Amount" localSheetId="8">#REF!</definedName>
    <definedName name="Amount" localSheetId="12">#REF!</definedName>
    <definedName name="Amount" localSheetId="13">#REF!</definedName>
    <definedName name="Amount" localSheetId="5">#REF!</definedName>
    <definedName name="Amount">#REF!</definedName>
    <definedName name="APAGE1" localSheetId="20">#REF!</definedName>
    <definedName name="APAGE1" localSheetId="17">#REF!</definedName>
    <definedName name="APAGE1" localSheetId="8">#REF!</definedName>
    <definedName name="APAGE1" localSheetId="12">#REF!</definedName>
    <definedName name="APAGE1" localSheetId="13">#REF!</definedName>
    <definedName name="APAGE1" localSheetId="5">#REF!</definedName>
    <definedName name="APAGE1">#REF!</definedName>
    <definedName name="APAGE2" localSheetId="20">#REF!</definedName>
    <definedName name="APAGE2" localSheetId="17">#REF!</definedName>
    <definedName name="APAGE2" localSheetId="8">#REF!</definedName>
    <definedName name="APAGE2" localSheetId="12">#REF!</definedName>
    <definedName name="APAGE2" localSheetId="13">#REF!</definedName>
    <definedName name="APAGE2" localSheetId="5">#REF!</definedName>
    <definedName name="APAGE2">#REF!</definedName>
    <definedName name="APAGE3" localSheetId="20">#REF!</definedName>
    <definedName name="APAGE3" localSheetId="17">#REF!</definedName>
    <definedName name="APAGE3" localSheetId="8">#REF!</definedName>
    <definedName name="APAGE3" localSheetId="12">#REF!</definedName>
    <definedName name="APAGE3" localSheetId="13">#REF!</definedName>
    <definedName name="APAGE3" localSheetId="5">#REF!</definedName>
    <definedName name="APAGE3">#REF!</definedName>
    <definedName name="APAGE4" localSheetId="20">#REF!</definedName>
    <definedName name="APAGE4" localSheetId="17">#REF!</definedName>
    <definedName name="APAGE4" localSheetId="8">#REF!</definedName>
    <definedName name="APAGE4" localSheetId="12">#REF!</definedName>
    <definedName name="APAGE4" localSheetId="13">#REF!</definedName>
    <definedName name="APAGE4" localSheetId="5">#REF!</definedName>
    <definedName name="APAGE4">#REF!</definedName>
    <definedName name="approved_summary">'[31]CARs'' 99 Summary Info. (B&amp;A)'!$B$54:$Y$105</definedName>
    <definedName name="Approved98" localSheetId="18">#REF!</definedName>
    <definedName name="Approved98" localSheetId="19">#REF!</definedName>
    <definedName name="Approved98">#REF!</definedName>
    <definedName name="ApprovedCARs98" localSheetId="18">#REF!</definedName>
    <definedName name="ApprovedCARs98" localSheetId="19">#REF!</definedName>
    <definedName name="ApprovedCARs98">#REF!</definedName>
    <definedName name="apr00" localSheetId="18">#REF!</definedName>
    <definedName name="apr00" localSheetId="19">#REF!</definedName>
    <definedName name="apr00">#REF!</definedName>
    <definedName name="aqw" localSheetId="20">[32]ProfitProv!#REF!</definedName>
    <definedName name="aqw" localSheetId="17">[32]ProfitProv!#REF!</definedName>
    <definedName name="aqw" localSheetId="8">[32]ProfitProv!#REF!</definedName>
    <definedName name="aqw" localSheetId="2">[32]ProfitProv!#REF!</definedName>
    <definedName name="aqw" localSheetId="12">[32]ProfitProv!#REF!</definedName>
    <definedName name="aqw" localSheetId="13">[32]ProfitProv!#REF!</definedName>
    <definedName name="aqw" localSheetId="5">[32]ProfitProv!#REF!</definedName>
    <definedName name="aqw">[32]ProfitProv!#REF!</definedName>
    <definedName name="ARA_Threshold" localSheetId="20">#REF!</definedName>
    <definedName name="ARA_Threshold" localSheetId="17">#REF!</definedName>
    <definedName name="ARA_Threshold" localSheetId="8">#REF!</definedName>
    <definedName name="ARA_Threshold" localSheetId="2">[33]Breakups!#REF!</definedName>
    <definedName name="ARA_Threshold" localSheetId="12">#REF!</definedName>
    <definedName name="ARA_Threshold" localSheetId="13">#REF!</definedName>
    <definedName name="ARA_Threshold" localSheetId="5">#REF!</definedName>
    <definedName name="ARA_Threshold">#REF!</definedName>
    <definedName name="ARA_Threshold_1" localSheetId="20">#REF!</definedName>
    <definedName name="ARA_Threshold_1" localSheetId="17">#REF!</definedName>
    <definedName name="ARA_Threshold_1" localSheetId="8">#REF!</definedName>
    <definedName name="ARA_Threshold_1" localSheetId="12">#REF!</definedName>
    <definedName name="ARA_Threshold_1" localSheetId="13">#REF!</definedName>
    <definedName name="ARA_Threshold_1" localSheetId="5">#REF!</definedName>
    <definedName name="ARA_Threshold_1">#REF!</definedName>
    <definedName name="ARA_Threshold_20" localSheetId="20">#REF!</definedName>
    <definedName name="ARA_Threshold_20" localSheetId="17">#REF!</definedName>
    <definedName name="ARA_Threshold_20" localSheetId="8">#REF!</definedName>
    <definedName name="ARA_Threshold_20" localSheetId="12">#REF!</definedName>
    <definedName name="ARA_Threshold_20" localSheetId="13">#REF!</definedName>
    <definedName name="ARA_Threshold_20" localSheetId="5">#REF!</definedName>
    <definedName name="ARA_Threshold_20">#REF!</definedName>
    <definedName name="ARA_Threshold_21" localSheetId="20">#REF!</definedName>
    <definedName name="ARA_Threshold_21" localSheetId="17">#REF!</definedName>
    <definedName name="ARA_Threshold_21" localSheetId="8">#REF!</definedName>
    <definedName name="ARA_Threshold_21" localSheetId="12">#REF!</definedName>
    <definedName name="ARA_Threshold_21" localSheetId="13">#REF!</definedName>
    <definedName name="ARA_Threshold_21" localSheetId="5">#REF!</definedName>
    <definedName name="ARA_Threshold_21">#REF!</definedName>
    <definedName name="ARA_Threshold_23" localSheetId="20">#REF!</definedName>
    <definedName name="ARA_Threshold_23" localSheetId="17">#REF!</definedName>
    <definedName name="ARA_Threshold_23" localSheetId="8">#REF!</definedName>
    <definedName name="ARA_Threshold_23" localSheetId="12">#REF!</definedName>
    <definedName name="ARA_Threshold_23" localSheetId="13">#REF!</definedName>
    <definedName name="ARA_Threshold_23" localSheetId="5">#REF!</definedName>
    <definedName name="ARA_Threshold_23">#REF!</definedName>
    <definedName name="ARA_Threshold_5" localSheetId="20">#REF!</definedName>
    <definedName name="ARA_Threshold_5" localSheetId="17">#REF!</definedName>
    <definedName name="ARA_Threshold_5" localSheetId="8">#REF!</definedName>
    <definedName name="ARA_Threshold_5" localSheetId="12">#REF!</definedName>
    <definedName name="ARA_Threshold_5" localSheetId="13">#REF!</definedName>
    <definedName name="ARA_Threshold_5" localSheetId="5">#REF!</definedName>
    <definedName name="ARA_Threshold_5">#REF!</definedName>
    <definedName name="ARA_Threshold_8" localSheetId="20">#REF!</definedName>
    <definedName name="ARA_Threshold_8" localSheetId="17">#REF!</definedName>
    <definedName name="ARA_Threshold_8" localSheetId="8">#REF!</definedName>
    <definedName name="ARA_Threshold_8" localSheetId="12">#REF!</definedName>
    <definedName name="ARA_Threshold_8" localSheetId="13">#REF!</definedName>
    <definedName name="ARA_Threshold_8" localSheetId="5">#REF!</definedName>
    <definedName name="ARA_Threshold_8">#REF!</definedName>
    <definedName name="ARP_Threshold" localSheetId="20">#REF!</definedName>
    <definedName name="ARP_Threshold" localSheetId="17">#REF!</definedName>
    <definedName name="ARP_Threshold" localSheetId="8">#REF!</definedName>
    <definedName name="ARP_Threshold" localSheetId="2">[33]Breakups!#REF!</definedName>
    <definedName name="ARP_Threshold" localSheetId="12">#REF!</definedName>
    <definedName name="ARP_Threshold" localSheetId="13">#REF!</definedName>
    <definedName name="ARP_Threshold" localSheetId="5">#REF!</definedName>
    <definedName name="ARP_Threshold">#REF!</definedName>
    <definedName name="ARP_Threshold_1" localSheetId="20">#REF!</definedName>
    <definedName name="ARP_Threshold_1" localSheetId="17">#REF!</definedName>
    <definedName name="ARP_Threshold_1" localSheetId="8">#REF!</definedName>
    <definedName name="ARP_Threshold_1" localSheetId="12">#REF!</definedName>
    <definedName name="ARP_Threshold_1" localSheetId="13">#REF!</definedName>
    <definedName name="ARP_Threshold_1" localSheetId="5">#REF!</definedName>
    <definedName name="ARP_Threshold_1">#REF!</definedName>
    <definedName name="ARP_Threshold_20" localSheetId="20">#REF!</definedName>
    <definedName name="ARP_Threshold_20" localSheetId="17">#REF!</definedName>
    <definedName name="ARP_Threshold_20" localSheetId="8">#REF!</definedName>
    <definedName name="ARP_Threshold_20" localSheetId="12">#REF!</definedName>
    <definedName name="ARP_Threshold_20" localSheetId="13">#REF!</definedName>
    <definedName name="ARP_Threshold_20" localSheetId="5">#REF!</definedName>
    <definedName name="ARP_Threshold_20">#REF!</definedName>
    <definedName name="ARP_Threshold_21" localSheetId="20">#REF!</definedName>
    <definedName name="ARP_Threshold_21" localSheetId="17">#REF!</definedName>
    <definedName name="ARP_Threshold_21" localSheetId="8">#REF!</definedName>
    <definedName name="ARP_Threshold_21" localSheetId="12">#REF!</definedName>
    <definedName name="ARP_Threshold_21" localSheetId="13">#REF!</definedName>
    <definedName name="ARP_Threshold_21" localSheetId="5">#REF!</definedName>
    <definedName name="ARP_Threshold_21">#REF!</definedName>
    <definedName name="ARP_Threshold_23" localSheetId="20">#REF!</definedName>
    <definedName name="ARP_Threshold_23" localSheetId="17">#REF!</definedName>
    <definedName name="ARP_Threshold_23" localSheetId="8">#REF!</definedName>
    <definedName name="ARP_Threshold_23" localSheetId="12">#REF!</definedName>
    <definedName name="ARP_Threshold_23" localSheetId="13">#REF!</definedName>
    <definedName name="ARP_Threshold_23" localSheetId="5">#REF!</definedName>
    <definedName name="ARP_Threshold_23">#REF!</definedName>
    <definedName name="ARP_Threshold_5" localSheetId="20">#REF!</definedName>
    <definedName name="ARP_Threshold_5" localSheetId="17">#REF!</definedName>
    <definedName name="ARP_Threshold_5" localSheetId="8">#REF!</definedName>
    <definedName name="ARP_Threshold_5" localSheetId="12">#REF!</definedName>
    <definedName name="ARP_Threshold_5" localSheetId="13">#REF!</definedName>
    <definedName name="ARP_Threshold_5" localSheetId="5">#REF!</definedName>
    <definedName name="ARP_Threshold_5">#REF!</definedName>
    <definedName name="ARP_Threshold_8" localSheetId="20">#REF!</definedName>
    <definedName name="ARP_Threshold_8" localSheetId="17">#REF!</definedName>
    <definedName name="ARP_Threshold_8" localSheetId="8">#REF!</definedName>
    <definedName name="ARP_Threshold_8" localSheetId="12">#REF!</definedName>
    <definedName name="ARP_Threshold_8" localSheetId="13">#REF!</definedName>
    <definedName name="ARP_Threshold_8" localSheetId="5">#REF!</definedName>
    <definedName name="ARP_Threshold_8">#REF!</definedName>
    <definedName name="as" localSheetId="17">[27]acct!#REF!</definedName>
    <definedName name="as" localSheetId="8" hidden="1">{"Sales 2",#N/A,FALSE,"SALES";"Transfer 2",#N/A,FALSE,"TRANSFERS";"A1460",#N/A,FALSE,"A1460"}</definedName>
    <definedName name="as" localSheetId="2" hidden="1">{"Sales 2",#N/A,FALSE,"SALES";"Transfer 2",#N/A,FALSE,"TRANSFERS";"A1460",#N/A,FALSE,"A1460"}</definedName>
    <definedName name="as" hidden="1">{"Sales 2",#N/A,FALSE,"SALES";"Transfer 2",#N/A,FALSE,"TRANSFERS";"A1460",#N/A,FALSE,"A1460"}</definedName>
    <definedName name="AS2DocOpenMode" hidden="1">"AS2DocumentEdit"</definedName>
    <definedName name="AS2LinkLS" localSheetId="20" hidden="1">#REF!</definedName>
    <definedName name="AS2LinkLS" localSheetId="17" hidden="1">#REF!</definedName>
    <definedName name="AS2LinkLS" localSheetId="8" hidden="1">#REF!</definedName>
    <definedName name="AS2LinkLS" localSheetId="12" hidden="1">#REF!</definedName>
    <definedName name="AS2LinkLS" localSheetId="13" hidden="1">#REF!</definedName>
    <definedName name="AS2LinkLS" localSheetId="5" hidden="1">#REF!</definedName>
    <definedName name="AS2LinkLS" hidden="1">#REF!</definedName>
    <definedName name="AS2ReportLS" hidden="1">1</definedName>
    <definedName name="AS2StaticLS" localSheetId="20" hidden="1">#REF!</definedName>
    <definedName name="AS2StaticLS" localSheetId="17" hidden="1">#REF!</definedName>
    <definedName name="AS2StaticLS" localSheetId="8" hidden="1">#REF!</definedName>
    <definedName name="AS2StaticLS" localSheetId="12" hidden="1">#REF!</definedName>
    <definedName name="AS2StaticLS" localSheetId="13" hidden="1">#REF!</definedName>
    <definedName name="AS2StaticLS" localSheetId="5" hidden="1">#REF!</definedName>
    <definedName name="AS2StaticLS" hidden="1">#REF!</definedName>
    <definedName name="AS2SyncStepLS" hidden="1">0</definedName>
    <definedName name="AS2TickmarkLS" localSheetId="20" hidden="1">#REF!</definedName>
    <definedName name="AS2TickmarkLS" localSheetId="17" hidden="1">#REF!</definedName>
    <definedName name="AS2TickmarkLS" localSheetId="8" hidden="1">#REF!</definedName>
    <definedName name="AS2TickmarkLS" localSheetId="2" hidden="1">#REF!</definedName>
    <definedName name="AS2TickmarkLS" localSheetId="12" hidden="1">#REF!</definedName>
    <definedName name="AS2TickmarkLS" localSheetId="13" hidden="1">#REF!</definedName>
    <definedName name="AS2TickmarkLS" localSheetId="5" hidden="1">#REF!</definedName>
    <definedName name="AS2TickmarkLS" hidden="1">#REF!</definedName>
    <definedName name="AS2VersionLS" hidden="1">300</definedName>
    <definedName name="ASADA_WORKING" localSheetId="20">#REF!</definedName>
    <definedName name="ASADA_WORKING" localSheetId="17">#REF!</definedName>
    <definedName name="ASADA_WORKING" localSheetId="8">#REF!</definedName>
    <definedName name="ASADA_WORKING" localSheetId="2">#REF!</definedName>
    <definedName name="ASADA_WORKING" localSheetId="12">#REF!</definedName>
    <definedName name="ASADA_WORKING" localSheetId="13">#REF!</definedName>
    <definedName name="ASADA_WORKING" localSheetId="5">#REF!</definedName>
    <definedName name="ASADA_WORKING">#REF!</definedName>
    <definedName name="asasassas" localSheetId="18">[17]Furniture!#REF!</definedName>
    <definedName name="asasassas" localSheetId="19">[17]Furniture!#REF!</definedName>
    <definedName name="asasassas">[17]Furniture!#REF!</definedName>
    <definedName name="asd" localSheetId="20">[32]ProfitProv!#REF!</definedName>
    <definedName name="asd" localSheetId="17">[32]ProfitProv!#REF!</definedName>
    <definedName name="asd" localSheetId="8">[32]ProfitProv!#REF!</definedName>
    <definedName name="asd" localSheetId="2">[32]ProfitProv!#REF!</definedName>
    <definedName name="asd" localSheetId="12">[32]ProfitProv!#REF!</definedName>
    <definedName name="asd" localSheetId="13">[32]ProfitProv!#REF!</definedName>
    <definedName name="asd" localSheetId="5">[32]ProfitProv!#REF!</definedName>
    <definedName name="asd">[32]ProfitProv!#REF!</definedName>
    <definedName name="asda" localSheetId="20" hidden="1">#REF!</definedName>
    <definedName name="asda" localSheetId="17" hidden="1">#REF!</definedName>
    <definedName name="asda" localSheetId="8" hidden="1">#REF!</definedName>
    <definedName name="asda" localSheetId="2" hidden="1">#REF!</definedName>
    <definedName name="asda" localSheetId="12" hidden="1">#REF!</definedName>
    <definedName name="asda" localSheetId="13" hidden="1">#REF!</definedName>
    <definedName name="asda" localSheetId="5" hidden="1">#REF!</definedName>
    <definedName name="asda" hidden="1">#REF!</definedName>
    <definedName name="asdf" localSheetId="17" hidden="1">{#N/A,#N/A,FALSE,"dec98qtr";#N/A,#N/A,FALSE,"suppdecsep98";#N/A,#N/A,FALSE,"w-dec98"}</definedName>
    <definedName name="asdf" localSheetId="8" hidden="1">{#N/A,#N/A,FALSE,"dec98qtr";#N/A,#N/A,FALSE,"suppdecsep98";#N/A,#N/A,FALSE,"w-dec98"}</definedName>
    <definedName name="asdf" localSheetId="2" hidden="1">{#N/A,#N/A,FALSE,"dec98qtr";#N/A,#N/A,FALSE,"suppdecsep98";#N/A,#N/A,FALSE,"w-dec98"}</definedName>
    <definedName name="asdf" hidden="1">{#N/A,#N/A,FALSE,"dec98qtr";#N/A,#N/A,FALSE,"suppdecsep98";#N/A,#N/A,FALSE,"w-dec98"}</definedName>
    <definedName name="asdsads" localSheetId="18">[17]Furniture!#REF!</definedName>
    <definedName name="asdsads" localSheetId="19">[17]Furniture!#REF!</definedName>
    <definedName name="asdsads">[17]Furniture!#REF!</definedName>
    <definedName name="Asgar" localSheetId="20">#REF!</definedName>
    <definedName name="Asgar" localSheetId="17">#REF!</definedName>
    <definedName name="Asgar" localSheetId="8">#REF!</definedName>
    <definedName name="Asgar" localSheetId="12">#REF!</definedName>
    <definedName name="Asgar" localSheetId="13">#REF!</definedName>
    <definedName name="Asgar" localSheetId="5">#REF!</definedName>
    <definedName name="Asgar">#REF!</definedName>
    <definedName name="asgdj" localSheetId="17" hidden="1">{"'CALL MONEY'!$K$53"}</definedName>
    <definedName name="asgdj" localSheetId="8" hidden="1">{"'CALL MONEY'!$K$53"}</definedName>
    <definedName name="asgdj" hidden="1">{"'CALL MONEY'!$K$53"}</definedName>
    <definedName name="asgdjh" localSheetId="17" hidden="1">{"'CALL MONEY'!$K$53"}</definedName>
    <definedName name="asgdjh" localSheetId="8" hidden="1">{"'CALL MONEY'!$K$53"}</definedName>
    <definedName name="asgdjh" hidden="1">{"'CALL MONEY'!$K$53"}</definedName>
    <definedName name="ASHRAF" localSheetId="20">#REF!</definedName>
    <definedName name="ASHRAF" localSheetId="17">#REF!</definedName>
    <definedName name="ASHRAF" localSheetId="8">#REF!</definedName>
    <definedName name="ASHRAF" localSheetId="12">#REF!</definedName>
    <definedName name="ASHRAF" localSheetId="13">#REF!</definedName>
    <definedName name="ASHRAF" localSheetId="5">#REF!</definedName>
    <definedName name="ASHRAF">#REF!</definedName>
    <definedName name="asif" localSheetId="17" hidden="1">{#N/A,#N/A,FALSE,"dec98qtr";#N/A,#N/A,FALSE,"suppdecsep98";#N/A,#N/A,FALSE,"w-dec98"}</definedName>
    <definedName name="asif" localSheetId="8" hidden="1">{#N/A,#N/A,FALSE,"dec98qtr";#N/A,#N/A,FALSE,"suppdecsep98";#N/A,#N/A,FALSE,"w-dec98"}</definedName>
    <definedName name="asif" localSheetId="2" hidden="1">{#N/A,#N/A,FALSE,"dec98qtr";#N/A,#N/A,FALSE,"suppdecsep98";#N/A,#N/A,FALSE,"w-dec98"}</definedName>
    <definedName name="asif" hidden="1">{#N/A,#N/A,FALSE,"dec98qtr";#N/A,#N/A,FALSE,"suppdecsep98";#N/A,#N/A,FALSE,"w-dec98"}</definedName>
    <definedName name="asim" localSheetId="17" hidden="1">{#N/A,#N/A,FALSE,"dec98qtr";#N/A,#N/A,FALSE,"suppdecsep98";#N/A,#N/A,FALSE,"w-dec98"}</definedName>
    <definedName name="asim" localSheetId="8" hidden="1">{#N/A,#N/A,FALSE,"dec98qtr";#N/A,#N/A,FALSE,"suppdecsep98";#N/A,#N/A,FALSE,"w-dec98"}</definedName>
    <definedName name="asim" localSheetId="2" hidden="1">{#N/A,#N/A,FALSE,"dec98qtr";#N/A,#N/A,FALSE,"suppdecsep98";#N/A,#N/A,FALSE,"w-dec98"}</definedName>
    <definedName name="asim" hidden="1">{#N/A,#N/A,FALSE,"dec98qtr";#N/A,#N/A,FALSE,"suppdecsep98";#N/A,#N/A,FALSE,"w-dec98"}</definedName>
    <definedName name="ASSE" localSheetId="20">'[15]Abu Dhabi'!#REF!</definedName>
    <definedName name="ASSE" localSheetId="17">[16]Sheet3!#REF!</definedName>
    <definedName name="ASSE" localSheetId="8">'[15]Abu Dhabi'!#REF!</definedName>
    <definedName name="ASSE" localSheetId="12">'[15]Abu Dhabi'!#REF!</definedName>
    <definedName name="ASSE" localSheetId="13">'[15]Abu Dhabi'!#REF!</definedName>
    <definedName name="ASSE" localSheetId="5">'[15]Abu Dhabi'!#REF!</definedName>
    <definedName name="ASSE">'[15]Abu Dhabi'!#REF!</definedName>
    <definedName name="asset_trf" localSheetId="20">#REF!</definedName>
    <definedName name="asset_trf" localSheetId="17">#REF!</definedName>
    <definedName name="asset_trf" localSheetId="8">#REF!</definedName>
    <definedName name="asset_trf" localSheetId="2">#REF!</definedName>
    <definedName name="asset_trf" localSheetId="12">#REF!</definedName>
    <definedName name="asset_trf" localSheetId="13">#REF!</definedName>
    <definedName name="asset_trf" localSheetId="5">#REF!</definedName>
    <definedName name="asset_trf">#REF!</definedName>
    <definedName name="ASSET1" localSheetId="20">#REF!</definedName>
    <definedName name="ASSET1" localSheetId="17">#REF!</definedName>
    <definedName name="ASSET1" localSheetId="8">#REF!</definedName>
    <definedName name="ASSET1" localSheetId="12">#REF!</definedName>
    <definedName name="ASSET1" localSheetId="13">#REF!</definedName>
    <definedName name="ASSET1" localSheetId="5">#REF!</definedName>
    <definedName name="ASSET1">#REF!</definedName>
    <definedName name="ASSET2" localSheetId="20">#REF!</definedName>
    <definedName name="ASSET2" localSheetId="17">#REF!</definedName>
    <definedName name="ASSET2" localSheetId="8">#REF!</definedName>
    <definedName name="ASSET2" localSheetId="12">#REF!</definedName>
    <definedName name="ASSET2" localSheetId="13">#REF!</definedName>
    <definedName name="ASSET2" localSheetId="5">#REF!</definedName>
    <definedName name="ASSET2">#REF!</definedName>
    <definedName name="ASSET3" localSheetId="20">#REF!</definedName>
    <definedName name="ASSET3" localSheetId="17">#REF!</definedName>
    <definedName name="ASSET3" localSheetId="8">#REF!</definedName>
    <definedName name="ASSET3" localSheetId="12">#REF!</definedName>
    <definedName name="ASSET3" localSheetId="13">#REF!</definedName>
    <definedName name="ASSET3" localSheetId="5">#REF!</definedName>
    <definedName name="ASSET3">#REF!</definedName>
    <definedName name="ASSET4" localSheetId="20">#REF!</definedName>
    <definedName name="ASSET4" localSheetId="17">#REF!</definedName>
    <definedName name="ASSET4" localSheetId="8">#REF!</definedName>
    <definedName name="ASSET4" localSheetId="12">#REF!</definedName>
    <definedName name="ASSET4" localSheetId="13">#REF!</definedName>
    <definedName name="ASSET4" localSheetId="5">#REF!</definedName>
    <definedName name="ASSET4">#REF!</definedName>
    <definedName name="AU_329" localSheetId="18">[34]Overview!#REF!</definedName>
    <definedName name="AU_329" localSheetId="19">[34]Overview!#REF!</definedName>
    <definedName name="AU_329">[34]Overview!#REF!</definedName>
    <definedName name="AUD" localSheetId="18" hidden="1">{"'CALL MONEY'!$K$53"}</definedName>
    <definedName name="AUD" localSheetId="19" hidden="1">{"'CALL MONEY'!$K$53"}</definedName>
    <definedName name="AUD" hidden="1">{"'CALL MONEY'!$K$53"}</definedName>
    <definedName name="aug" localSheetId="20">#REF!</definedName>
    <definedName name="aug" localSheetId="17">#REF!</definedName>
    <definedName name="aug" localSheetId="8">#REF!</definedName>
    <definedName name="aug" localSheetId="12">#REF!</definedName>
    <definedName name="aug" localSheetId="13">#REF!</definedName>
    <definedName name="aug" localSheetId="5">#REF!</definedName>
    <definedName name="aug">#REF!</definedName>
    <definedName name="azs" localSheetId="20">[32]ProfitProv!#REF!</definedName>
    <definedName name="azs" localSheetId="17">[32]ProfitProv!#REF!</definedName>
    <definedName name="azs" localSheetId="8">[32]ProfitProv!#REF!</definedName>
    <definedName name="azs" localSheetId="2">[32]ProfitProv!#REF!</definedName>
    <definedName name="azs" localSheetId="12">[32]ProfitProv!#REF!</definedName>
    <definedName name="azs" localSheetId="13">[32]ProfitProv!#REF!</definedName>
    <definedName name="azs" localSheetId="5">[32]ProfitProv!#REF!</definedName>
    <definedName name="azs">[32]ProfitProv!#REF!</definedName>
    <definedName name="azx" localSheetId="20">'[3]GP Analysis'!#REF!</definedName>
    <definedName name="azx" localSheetId="17">'[3]GP Analysis'!#REF!</definedName>
    <definedName name="azx" localSheetId="8">'[3]GP Analysis'!#REF!</definedName>
    <definedName name="azx" localSheetId="2">'[3]GP Analysis'!#REF!</definedName>
    <definedName name="azx" localSheetId="12">'[3]GP Analysis'!#REF!</definedName>
    <definedName name="azx" localSheetId="13">'[3]GP Analysis'!#REF!</definedName>
    <definedName name="azx" localSheetId="5">'[3]GP Analysis'!#REF!</definedName>
    <definedName name="azx">'[3]GP Analysis'!#REF!</definedName>
    <definedName name="b" localSheetId="20">#REF!</definedName>
    <definedName name="b" localSheetId="17">#REF!</definedName>
    <definedName name="b" localSheetId="8">#REF!</definedName>
    <definedName name="b" localSheetId="12">#REF!</definedName>
    <definedName name="b" localSheetId="13">#REF!</definedName>
    <definedName name="b" localSheetId="5">#REF!</definedName>
    <definedName name="b">#REF!</definedName>
    <definedName name="B_S_VARIANCE" localSheetId="20">#REF!</definedName>
    <definedName name="B_S_VARIANCE" localSheetId="17">#REF!</definedName>
    <definedName name="B_S_VARIANCE" localSheetId="8">#REF!</definedName>
    <definedName name="B_S_VARIANCE" localSheetId="2">#REF!</definedName>
    <definedName name="B_S_VARIANCE" localSheetId="12">#REF!</definedName>
    <definedName name="B_S_VARIANCE" localSheetId="13">#REF!</definedName>
    <definedName name="B_S_VARIANCE" localSheetId="5">#REF!</definedName>
    <definedName name="B_S_VARIANCE">#REF!</definedName>
    <definedName name="B_SHEET__MIS" localSheetId="20">'[35]Balance Sheet'!#REF!</definedName>
    <definedName name="B_SHEET__MIS" localSheetId="17">'[35]Balance Sheet'!#REF!</definedName>
    <definedName name="B_SHEET__MIS" localSheetId="8">'[35]Balance Sheet'!#REF!</definedName>
    <definedName name="B_SHEET__MIS" localSheetId="2">'[35]Balance Sheet'!#REF!</definedName>
    <definedName name="B_SHEET__MIS" localSheetId="12">'[35]Balance Sheet'!#REF!</definedName>
    <definedName name="B_SHEET__MIS" localSheetId="13">'[35]Balance Sheet'!#REF!</definedName>
    <definedName name="B_SHEET__MIS" localSheetId="5">'[35]Balance Sheet'!#REF!</definedName>
    <definedName name="B_SHEET__MIS">'[35]Balance Sheet'!#REF!</definedName>
    <definedName name="B_SHEET_FIN_A_C" localSheetId="20">#REF!</definedName>
    <definedName name="B_SHEET_FIN_A_C" localSheetId="17">#REF!</definedName>
    <definedName name="B_SHEET_FIN_A_C" localSheetId="8">#REF!</definedName>
    <definedName name="B_SHEET_FIN_A_C" localSheetId="2">#REF!</definedName>
    <definedName name="B_SHEET_FIN_A_C" localSheetId="12">#REF!</definedName>
    <definedName name="B_SHEET_FIN_A_C" localSheetId="13">#REF!</definedName>
    <definedName name="B_SHEET_FIN_A_C" localSheetId="5">#REF!</definedName>
    <definedName name="B_SHEET_FIN_A_C">#REF!</definedName>
    <definedName name="B_SHEET_FUJI">'[36]BS-JPN'!$A$4:$U$35</definedName>
    <definedName name="bahrain">[37]BAHRAIN!$A$14:$F$23</definedName>
    <definedName name="BAHRAIN1" localSheetId="17">[8]Sheet4!$L$14:$L$105</definedName>
    <definedName name="BAHRAIN1">[6]Sheet4!$L$14:$L$105</definedName>
    <definedName name="BAHRAIN2" localSheetId="17">[8]Sheet4!$Y$14:$Y$105</definedName>
    <definedName name="BAHRAIN2">[6]Sheet4!$Y$14:$Y$105</definedName>
    <definedName name="bal" localSheetId="17" hidden="1">{"'CALL MONEY'!$K$53"}</definedName>
    <definedName name="bal" localSheetId="8" hidden="1">{"'CALL MONEY'!$K$53"}</definedName>
    <definedName name="bal" hidden="1">{"'CALL MONEY'!$K$53"}</definedName>
    <definedName name="balance" localSheetId="20">'[38]Revenue-Fire-Marine-Motor'!#REF!</definedName>
    <definedName name="balance" localSheetId="17">'[38]Revenue-Fire-Marine-Motor'!#REF!</definedName>
    <definedName name="balance" localSheetId="8">'[38]Revenue-Fire-Marine-Motor'!#REF!</definedName>
    <definedName name="balance" localSheetId="2">'[38]Revenue-Fire-Marine-Motor'!#REF!</definedName>
    <definedName name="balance" localSheetId="12">'[38]Revenue-Fire-Marine-Motor'!#REF!</definedName>
    <definedName name="balance" localSheetId="13">'[38]Revenue-Fire-Marine-Motor'!#REF!</definedName>
    <definedName name="balance" localSheetId="5">'[38]Revenue-Fire-Marine-Motor'!#REF!</definedName>
    <definedName name="balance">'[38]Revenue-Fire-Marine-Motor'!#REF!</definedName>
    <definedName name="Balance_Sheet" localSheetId="20">#REF!</definedName>
    <definedName name="Balance_Sheet" localSheetId="17">#REF!</definedName>
    <definedName name="Balance_Sheet" localSheetId="8">#REF!</definedName>
    <definedName name="Balance_Sheet" localSheetId="2">#REF!</definedName>
    <definedName name="Balance_Sheet" localSheetId="12">#REF!</definedName>
    <definedName name="Balance_Sheet" localSheetId="13">#REF!</definedName>
    <definedName name="Balance_Sheet" localSheetId="5">#REF!</definedName>
    <definedName name="Balance_Sheet">#REF!</definedName>
    <definedName name="BALANCE_SHEET_NEW" localSheetId="20">#REF!</definedName>
    <definedName name="BALANCE_SHEET_NEW" localSheetId="17">#REF!</definedName>
    <definedName name="BALANCE_SHEET_NEW" localSheetId="8">#REF!</definedName>
    <definedName name="BALANCE_SHEET_NEW" localSheetId="2">#REF!</definedName>
    <definedName name="BALANCE_SHEET_NEW" localSheetId="12">#REF!</definedName>
    <definedName name="BALANCE_SHEET_NEW" localSheetId="13">#REF!</definedName>
    <definedName name="BALANCE_SHEET_NEW" localSheetId="5">#REF!</definedName>
    <definedName name="BALANCE_SHEET_NEW">#REF!</definedName>
    <definedName name="balances" localSheetId="17" hidden="1">{"'CALL MONEY'!$K$53"}</definedName>
    <definedName name="balances" localSheetId="8" hidden="1">{"'CALL MONEY'!$K$53"}</definedName>
    <definedName name="balances" hidden="1">{"'CALL MONEY'!$K$53"}</definedName>
    <definedName name="BalanceSheetDates" localSheetId="20">#REF!</definedName>
    <definedName name="BalanceSheetDates" localSheetId="17">#REF!</definedName>
    <definedName name="BalanceSheetDates" localSheetId="8">#REF!</definedName>
    <definedName name="BalanceSheetDates" localSheetId="2">#REF!</definedName>
    <definedName name="BalanceSheetDates" localSheetId="12">#REF!</definedName>
    <definedName name="BalanceSheetDates" localSheetId="13">#REF!</definedName>
    <definedName name="BalanceSheetDates" localSheetId="5">#REF!</definedName>
    <definedName name="BalanceSheetDates">#REF!</definedName>
    <definedName name="BdyRng" localSheetId="18">#REF!</definedName>
    <definedName name="BdyRng" localSheetId="19">#REF!</definedName>
    <definedName name="BdyRng">#REF!</definedName>
    <definedName name="bela" localSheetId="20">#REF!</definedName>
    <definedName name="bela" localSheetId="17">#REF!</definedName>
    <definedName name="bela" localSheetId="8">#REF!</definedName>
    <definedName name="bela" localSheetId="12">#REF!</definedName>
    <definedName name="bela" localSheetId="13">#REF!</definedName>
    <definedName name="bela" localSheetId="5">#REF!</definedName>
    <definedName name="bela">#REF!</definedName>
    <definedName name="BELOW" localSheetId="20">#REF!</definedName>
    <definedName name="BELOW" localSheetId="17">#REF!</definedName>
    <definedName name="BELOW" localSheetId="8">#REF!</definedName>
    <definedName name="BELOW" localSheetId="12">#REF!</definedName>
    <definedName name="BELOW" localSheetId="13">#REF!</definedName>
    <definedName name="BELOW" localSheetId="5">#REF!</definedName>
    <definedName name="BELOW">#REF!</definedName>
    <definedName name="BG_Del" hidden="1">15</definedName>
    <definedName name="BG_Ins" hidden="1">4</definedName>
    <definedName name="BG_Mod" hidden="1">6</definedName>
    <definedName name="BOOK" localSheetId="20">#REF!</definedName>
    <definedName name="BOOK" localSheetId="17">#REF!</definedName>
    <definedName name="BOOK" localSheetId="8">#REF!</definedName>
    <definedName name="BOOK" localSheetId="12">#REF!</definedName>
    <definedName name="BOOK" localSheetId="13">#REF!</definedName>
    <definedName name="BOOK" localSheetId="5">#REF!</definedName>
    <definedName name="BOOK">#REF!</definedName>
    <definedName name="BOTTOM" localSheetId="20">#REF!</definedName>
    <definedName name="BOTTOM" localSheetId="17">#REF!</definedName>
    <definedName name="BOTTOM" localSheetId="8">#REF!</definedName>
    <definedName name="BOTTOM" localSheetId="12">#REF!</definedName>
    <definedName name="BOTTOM" localSheetId="13">#REF!</definedName>
    <definedName name="BOTTOM" localSheetId="5">#REF!</definedName>
    <definedName name="BOTTOM">#REF!</definedName>
    <definedName name="Brand" localSheetId="20">[39]ProfitProv!#REF!</definedName>
    <definedName name="Brand" localSheetId="17">[39]ProfitProv!#REF!</definedName>
    <definedName name="Brand" localSheetId="8">[39]ProfitProv!#REF!</definedName>
    <definedName name="Brand" localSheetId="2">[39]ProfitProv!#REF!</definedName>
    <definedName name="Brand" localSheetId="12">[39]ProfitProv!#REF!</definedName>
    <definedName name="Brand" localSheetId="13">[39]ProfitProv!#REF!</definedName>
    <definedName name="Brand" localSheetId="5">[39]ProfitProv!#REF!</definedName>
    <definedName name="Brand">[39]ProfitProv!#REF!</definedName>
    <definedName name="BROKER">[40]LIST!$D$1:$D$1000</definedName>
    <definedName name="bs" localSheetId="20">#REF!</definedName>
    <definedName name="bs" localSheetId="17">#REF!</definedName>
    <definedName name="bs" localSheetId="8">#REF!</definedName>
    <definedName name="bs" localSheetId="2">#REF!</definedName>
    <definedName name="bs" localSheetId="12">#REF!</definedName>
    <definedName name="bs" localSheetId="13">#REF!</definedName>
    <definedName name="bs" localSheetId="5">#REF!</definedName>
    <definedName name="bs">#REF!</definedName>
    <definedName name="BSC" localSheetId="20">#REF!</definedName>
    <definedName name="BSC" localSheetId="17">#REF!</definedName>
    <definedName name="BSC" localSheetId="8">#REF!</definedName>
    <definedName name="BSC" localSheetId="12">#REF!</definedName>
    <definedName name="BSC" localSheetId="13">#REF!</definedName>
    <definedName name="BSC" localSheetId="5">#REF!</definedName>
    <definedName name="BSC">#REF!</definedName>
    <definedName name="BSCO" localSheetId="20">#REF!</definedName>
    <definedName name="BSCO" localSheetId="17">#REF!</definedName>
    <definedName name="BSCO" localSheetId="8">#REF!</definedName>
    <definedName name="BSCO" localSheetId="12">#REF!</definedName>
    <definedName name="BSCO" localSheetId="13">#REF!</definedName>
    <definedName name="BSCO" localSheetId="5">#REF!</definedName>
    <definedName name="BSCO">#REF!</definedName>
    <definedName name="BSCO1" localSheetId="20">#REF!</definedName>
    <definedName name="BSCO1" localSheetId="17">#REF!</definedName>
    <definedName name="BSCO1" localSheetId="8">#REF!</definedName>
    <definedName name="BSCO1" localSheetId="12">#REF!</definedName>
    <definedName name="BSCO1" localSheetId="13">#REF!</definedName>
    <definedName name="BSCO1" localSheetId="5">#REF!</definedName>
    <definedName name="BSCO1">#REF!</definedName>
    <definedName name="BSCOMB" localSheetId="20">#REF!</definedName>
    <definedName name="BSCOMB" localSheetId="17">#REF!</definedName>
    <definedName name="BSCOMB" localSheetId="8">#REF!</definedName>
    <definedName name="BSCOMB" localSheetId="12">#REF!</definedName>
    <definedName name="BSCOMB" localSheetId="13">#REF!</definedName>
    <definedName name="BSCOMB" localSheetId="5">#REF!</definedName>
    <definedName name="BSCOMB">#REF!</definedName>
    <definedName name="BSD" localSheetId="20">#REF!</definedName>
    <definedName name="BSD" localSheetId="17">#REF!</definedName>
    <definedName name="BSD" localSheetId="8">#REF!</definedName>
    <definedName name="BSD" localSheetId="12">#REF!</definedName>
    <definedName name="BSD" localSheetId="13">#REF!</definedName>
    <definedName name="BSD" localSheetId="5">#REF!</definedName>
    <definedName name="BSD">#REF!</definedName>
    <definedName name="bsdec">'[41]December 06'!$A$93:$D$158</definedName>
    <definedName name="bsdec06" localSheetId="20">#REF!</definedName>
    <definedName name="bsdec06" localSheetId="17">#REF!</definedName>
    <definedName name="bsdec06" localSheetId="8">#REF!</definedName>
    <definedName name="bsdec06" localSheetId="12">#REF!</definedName>
    <definedName name="bsdec06" localSheetId="13">#REF!</definedName>
    <definedName name="bsdec06" localSheetId="5">#REF!</definedName>
    <definedName name="bsdec06">#REF!</definedName>
    <definedName name="BSH" localSheetId="20">#REF!</definedName>
    <definedName name="BSH" localSheetId="17">#REF!</definedName>
    <definedName name="BSH" localSheetId="8">#REF!</definedName>
    <definedName name="BSH" localSheetId="12">#REF!</definedName>
    <definedName name="BSH" localSheetId="13">#REF!</definedName>
    <definedName name="BSH" localSheetId="5">#REF!</definedName>
    <definedName name="BSH">#REF!</definedName>
    <definedName name="bsmarch">[42]MarchSL904!$A$102:$C$191</definedName>
    <definedName name="bsmarch07">'[43]March 110'!$A$84:$C$153</definedName>
    <definedName name="bsn" localSheetId="20">#REF!</definedName>
    <definedName name="bsn" localSheetId="17">#REF!</definedName>
    <definedName name="bsn" localSheetId="8">#REF!</definedName>
    <definedName name="bsn" localSheetId="12">#REF!</definedName>
    <definedName name="bsn" localSheetId="13">#REF!</definedName>
    <definedName name="bsn" localSheetId="5">#REF!</definedName>
    <definedName name="bsn">#REF!</definedName>
    <definedName name="BSP" localSheetId="20">#REF!</definedName>
    <definedName name="BSP" localSheetId="17">#REF!</definedName>
    <definedName name="BSP" localSheetId="8">#REF!</definedName>
    <definedName name="BSP" localSheetId="12">#REF!</definedName>
    <definedName name="BSP" localSheetId="13">#REF!</definedName>
    <definedName name="BSP" localSheetId="5">#REF!</definedName>
    <definedName name="BSP">#REF!</definedName>
    <definedName name="BSS" localSheetId="20">#REF!</definedName>
    <definedName name="BSS" localSheetId="17">#REF!</definedName>
    <definedName name="BSS" localSheetId="8">#REF!</definedName>
    <definedName name="BSS" localSheetId="12">#REF!</definedName>
    <definedName name="BSS" localSheetId="13">#REF!</definedName>
    <definedName name="BSS" localSheetId="5">#REF!</definedName>
    <definedName name="BSS">#REF!</definedName>
    <definedName name="BST" localSheetId="20">#REF!</definedName>
    <definedName name="BST" localSheetId="17">#REF!</definedName>
    <definedName name="BST" localSheetId="8">#REF!</definedName>
    <definedName name="BST" localSheetId="12">#REF!</definedName>
    <definedName name="BST" localSheetId="13">#REF!</definedName>
    <definedName name="BST" localSheetId="5">#REF!</definedName>
    <definedName name="BST">#REF!</definedName>
    <definedName name="BuiltIn_AutoFilter___2" localSheetId="20">#REF!</definedName>
    <definedName name="BuiltIn_AutoFilter___2" localSheetId="17">#REF!</definedName>
    <definedName name="BuiltIn_AutoFilter___2" localSheetId="8">#REF!</definedName>
    <definedName name="BuiltIn_AutoFilter___2" localSheetId="2">#REF!</definedName>
    <definedName name="BuiltIn_AutoFilter___2" localSheetId="12">#REF!</definedName>
    <definedName name="BuiltIn_AutoFilter___2" localSheetId="13">#REF!</definedName>
    <definedName name="BuiltIn_AutoFilter___2" localSheetId="5">#REF!</definedName>
    <definedName name="BuiltIn_AutoFilter___2">#REF!</definedName>
    <definedName name="BuiltIn_AutoFilter___2_1" localSheetId="20">#REF!</definedName>
    <definedName name="BuiltIn_AutoFilter___2_1" localSheetId="17">#REF!</definedName>
    <definedName name="BuiltIn_AutoFilter___2_1" localSheetId="8">#REF!</definedName>
    <definedName name="BuiltIn_AutoFilter___2_1" localSheetId="12">#REF!</definedName>
    <definedName name="BuiltIn_AutoFilter___2_1" localSheetId="13">#REF!</definedName>
    <definedName name="BuiltIn_AutoFilter___2_1" localSheetId="5">#REF!</definedName>
    <definedName name="BuiltIn_AutoFilter___2_1">#REF!</definedName>
    <definedName name="BuiltIn_AutoFilter___2_10" localSheetId="20">#REF!</definedName>
    <definedName name="BuiltIn_AutoFilter___2_10" localSheetId="17">#REF!</definedName>
    <definedName name="BuiltIn_AutoFilter___2_10" localSheetId="8">#REF!</definedName>
    <definedName name="BuiltIn_AutoFilter___2_10" localSheetId="12">#REF!</definedName>
    <definedName name="BuiltIn_AutoFilter___2_10" localSheetId="13">#REF!</definedName>
    <definedName name="BuiltIn_AutoFilter___2_10" localSheetId="5">#REF!</definedName>
    <definedName name="BuiltIn_AutoFilter___2_10">#REF!</definedName>
    <definedName name="BuiltIn_AutoFilter___2_11" localSheetId="18">#REF!</definedName>
    <definedName name="BuiltIn_AutoFilter___2_11" localSheetId="19">#REF!</definedName>
    <definedName name="BuiltIn_AutoFilter___2_11">#REF!</definedName>
    <definedName name="BuiltIn_AutoFilter___2_12" localSheetId="18">#REF!</definedName>
    <definedName name="BuiltIn_AutoFilter___2_12" localSheetId="19">#REF!</definedName>
    <definedName name="BuiltIn_AutoFilter___2_12">#REF!</definedName>
    <definedName name="BuiltIn_AutoFilter___2_13" localSheetId="18">#REF!</definedName>
    <definedName name="BuiltIn_AutoFilter___2_13" localSheetId="19">#REF!</definedName>
    <definedName name="BuiltIn_AutoFilter___2_13">#REF!</definedName>
    <definedName name="BuiltIn_AutoFilter___2_14" localSheetId="18">#REF!</definedName>
    <definedName name="BuiltIn_AutoFilter___2_14" localSheetId="19">#REF!</definedName>
    <definedName name="BuiltIn_AutoFilter___2_14">#REF!</definedName>
    <definedName name="BuiltIn_AutoFilter___2_15" localSheetId="20">#REF!</definedName>
    <definedName name="BuiltIn_AutoFilter___2_15" localSheetId="17">#REF!</definedName>
    <definedName name="BuiltIn_AutoFilter___2_15" localSheetId="8">#REF!</definedName>
    <definedName name="BuiltIn_AutoFilter___2_15" localSheetId="12">#REF!</definedName>
    <definedName name="BuiltIn_AutoFilter___2_15" localSheetId="13">#REF!</definedName>
    <definedName name="BuiltIn_AutoFilter___2_15" localSheetId="5">#REF!</definedName>
    <definedName name="BuiltIn_AutoFilter___2_15">#REF!</definedName>
    <definedName name="BuiltIn_AutoFilter___2_16" localSheetId="20">#REF!</definedName>
    <definedName name="BuiltIn_AutoFilter___2_16" localSheetId="17">#REF!</definedName>
    <definedName name="BuiltIn_AutoFilter___2_16" localSheetId="8">#REF!</definedName>
    <definedName name="BuiltIn_AutoFilter___2_16" localSheetId="12">#REF!</definedName>
    <definedName name="BuiltIn_AutoFilter___2_16" localSheetId="13">#REF!</definedName>
    <definedName name="BuiltIn_AutoFilter___2_16" localSheetId="5">#REF!</definedName>
    <definedName name="BuiltIn_AutoFilter___2_16">#REF!</definedName>
    <definedName name="BuiltIn_AutoFilter___2_20" localSheetId="20">#REF!</definedName>
    <definedName name="BuiltIn_AutoFilter___2_20" localSheetId="17">#REF!</definedName>
    <definedName name="BuiltIn_AutoFilter___2_20" localSheetId="8">#REF!</definedName>
    <definedName name="BuiltIn_AutoFilter___2_20" localSheetId="12">#REF!</definedName>
    <definedName name="BuiltIn_AutoFilter___2_20" localSheetId="13">#REF!</definedName>
    <definedName name="BuiltIn_AutoFilter___2_20" localSheetId="5">#REF!</definedName>
    <definedName name="BuiltIn_AutoFilter___2_20">#REF!</definedName>
    <definedName name="BuiltIn_AutoFilter___2_21" localSheetId="20">#REF!</definedName>
    <definedName name="BuiltIn_AutoFilter___2_21" localSheetId="17">#REF!</definedName>
    <definedName name="BuiltIn_AutoFilter___2_21" localSheetId="8">#REF!</definedName>
    <definedName name="BuiltIn_AutoFilter___2_21" localSheetId="12">#REF!</definedName>
    <definedName name="BuiltIn_AutoFilter___2_21" localSheetId="13">#REF!</definedName>
    <definedName name="BuiltIn_AutoFilter___2_21" localSheetId="5">#REF!</definedName>
    <definedName name="BuiltIn_AutoFilter___2_21">#REF!</definedName>
    <definedName name="BuiltIn_AutoFilter___2_23" localSheetId="20">#REF!</definedName>
    <definedName name="BuiltIn_AutoFilter___2_23" localSheetId="17">#REF!</definedName>
    <definedName name="BuiltIn_AutoFilter___2_23" localSheetId="8">#REF!</definedName>
    <definedName name="BuiltIn_AutoFilter___2_23" localSheetId="12">#REF!</definedName>
    <definedName name="BuiltIn_AutoFilter___2_23" localSheetId="13">#REF!</definedName>
    <definedName name="BuiltIn_AutoFilter___2_23" localSheetId="5">#REF!</definedName>
    <definedName name="BuiltIn_AutoFilter___2_23">#REF!</definedName>
    <definedName name="BuiltIn_AutoFilter___2_5" localSheetId="20">#REF!</definedName>
    <definedName name="BuiltIn_AutoFilter___2_5" localSheetId="17">#REF!</definedName>
    <definedName name="BuiltIn_AutoFilter___2_5" localSheetId="8">#REF!</definedName>
    <definedName name="BuiltIn_AutoFilter___2_5" localSheetId="12">#REF!</definedName>
    <definedName name="BuiltIn_AutoFilter___2_5" localSheetId="13">#REF!</definedName>
    <definedName name="BuiltIn_AutoFilter___2_5" localSheetId="5">#REF!</definedName>
    <definedName name="BuiltIn_AutoFilter___2_5">#REF!</definedName>
    <definedName name="BuiltIn_AutoFilter___2_6" localSheetId="18">#REF!</definedName>
    <definedName name="BuiltIn_AutoFilter___2_6" localSheetId="19">#REF!</definedName>
    <definedName name="BuiltIn_AutoFilter___2_6">#REF!</definedName>
    <definedName name="BuiltIn_AutoFilter___2_7" localSheetId="18">#REF!</definedName>
    <definedName name="BuiltIn_AutoFilter___2_7" localSheetId="19">#REF!</definedName>
    <definedName name="BuiltIn_AutoFilter___2_7">#REF!</definedName>
    <definedName name="BuiltIn_AutoFilter___2_8" localSheetId="20">#REF!</definedName>
    <definedName name="BuiltIn_AutoFilter___2_8" localSheetId="17">#REF!</definedName>
    <definedName name="BuiltIn_AutoFilter___2_8" localSheetId="8">#REF!</definedName>
    <definedName name="BuiltIn_AutoFilter___2_8" localSheetId="12">#REF!</definedName>
    <definedName name="BuiltIn_AutoFilter___2_8" localSheetId="13">#REF!</definedName>
    <definedName name="BuiltIn_AutoFilter___2_8" localSheetId="5">#REF!</definedName>
    <definedName name="BuiltIn_AutoFilter___2_8">#REF!</definedName>
    <definedName name="BuiltIn_AutoFilter___2_9" localSheetId="20">#REF!</definedName>
    <definedName name="BuiltIn_AutoFilter___2_9" localSheetId="17">#REF!</definedName>
    <definedName name="BuiltIn_AutoFilter___2_9" localSheetId="8">#REF!</definedName>
    <definedName name="BuiltIn_AutoFilter___2_9" localSheetId="12">#REF!</definedName>
    <definedName name="BuiltIn_AutoFilter___2_9" localSheetId="13">#REF!</definedName>
    <definedName name="BuiltIn_AutoFilter___2_9" localSheetId="5">#REF!</definedName>
    <definedName name="BuiltIn_AutoFilter___2_9">#REF!</definedName>
    <definedName name="BuiltIn_Print_Area" localSheetId="18">#REF!</definedName>
    <definedName name="BuiltIn_Print_Area" localSheetId="19">#REF!</definedName>
    <definedName name="BuiltIn_Print_Area">#REF!</definedName>
    <definedName name="BuiltIn_Print_Area___0" localSheetId="18">#REF!</definedName>
    <definedName name="BuiltIn_Print_Area___0" localSheetId="19">#REF!</definedName>
    <definedName name="BuiltIn_Print_Area___0">#REF!</definedName>
    <definedName name="BuiltIn_Print_Area___0___0" localSheetId="18">#REF!</definedName>
    <definedName name="BuiltIn_Print_Area___0___0" localSheetId="19">#REF!</definedName>
    <definedName name="BuiltIn_Print_Area___0___0">#REF!</definedName>
    <definedName name="BuiltIn_Print_Area___0___0___0" localSheetId="18">#REF!</definedName>
    <definedName name="BuiltIn_Print_Area___0___0___0" localSheetId="19">#REF!</definedName>
    <definedName name="BuiltIn_Print_Area___0___0___0">#REF!</definedName>
    <definedName name="BuiltIn_Print_Area___0___0___0___0" localSheetId="18">#REF!</definedName>
    <definedName name="BuiltIn_Print_Area___0___0___0___0" localSheetId="19">#REF!</definedName>
    <definedName name="BuiltIn_Print_Area___0___0___0___0">#REF!</definedName>
    <definedName name="CALL" localSheetId="20">#REF!</definedName>
    <definedName name="CALL" localSheetId="17">#REF!</definedName>
    <definedName name="CALL" localSheetId="8">#REF!</definedName>
    <definedName name="CALL" localSheetId="12">#REF!</definedName>
    <definedName name="CALL" localSheetId="13">#REF!</definedName>
    <definedName name="CALL" localSheetId="5">#REF!</definedName>
    <definedName name="CALL">#REF!</definedName>
    <definedName name="call1" localSheetId="20">#REF!</definedName>
    <definedName name="call1" localSheetId="17">#REF!</definedName>
    <definedName name="call1" localSheetId="8">#REF!</definedName>
    <definedName name="call1" localSheetId="12">#REF!</definedName>
    <definedName name="call1" localSheetId="13">#REF!</definedName>
    <definedName name="call1" localSheetId="5">#REF!</definedName>
    <definedName name="call1">#REF!</definedName>
    <definedName name="CASH" localSheetId="20">'[2]TOTAL P&amp;L'!#REF!</definedName>
    <definedName name="CASH" localSheetId="17">'[2]TOTAL P&amp;L'!#REF!</definedName>
    <definedName name="CASH" localSheetId="8">'[2]TOTAL P&amp;L'!#REF!</definedName>
    <definedName name="CASH" localSheetId="2">'[2]TOTAL P&amp;L'!#REF!</definedName>
    <definedName name="CASH" localSheetId="12">'[2]TOTAL P&amp;L'!#REF!</definedName>
    <definedName name="CASH" localSheetId="13">'[2]TOTAL P&amp;L'!#REF!</definedName>
    <definedName name="CASH" localSheetId="5">'[2]TOTAL P&amp;L'!#REF!</definedName>
    <definedName name="CASH">'[2]TOTAL P&amp;L'!#REF!</definedName>
    <definedName name="CASH_FLOW___HOH" localSheetId="20">#REF!</definedName>
    <definedName name="CASH_FLOW___HOH" localSheetId="17">#REF!</definedName>
    <definedName name="CASH_FLOW___HOH" localSheetId="8">#REF!</definedName>
    <definedName name="CASH_FLOW___HOH" localSheetId="2">#REF!</definedName>
    <definedName name="CASH_FLOW___HOH" localSheetId="12">#REF!</definedName>
    <definedName name="CASH_FLOW___HOH" localSheetId="13">#REF!</definedName>
    <definedName name="CASH_FLOW___HOH" localSheetId="5">#REF!</definedName>
    <definedName name="CASH_FLOW___HOH">#REF!</definedName>
    <definedName name="CASH_FLOW___MIS" localSheetId="20">#REF!</definedName>
    <definedName name="CASH_FLOW___MIS" localSheetId="17">#REF!</definedName>
    <definedName name="CASH_FLOW___MIS" localSheetId="8">#REF!</definedName>
    <definedName name="CASH_FLOW___MIS" localSheetId="2">#REF!</definedName>
    <definedName name="CASH_FLOW___MIS" localSheetId="12">#REF!</definedName>
    <definedName name="CASH_FLOW___MIS" localSheetId="13">#REF!</definedName>
    <definedName name="CASH_FLOW___MIS" localSheetId="5">#REF!</definedName>
    <definedName name="CASH_FLOW___MIS">#REF!</definedName>
    <definedName name="CASHFLW">'[44]Cash Flow  HOH'!$A$2:$M$115</definedName>
    <definedName name="cbnuwdbcu" localSheetId="20">#REF!</definedName>
    <definedName name="cbnuwdbcu" localSheetId="17">#REF!</definedName>
    <definedName name="cbnuwdbcu" localSheetId="8">#REF!</definedName>
    <definedName name="cbnuwdbcu" localSheetId="2">#REF!</definedName>
    <definedName name="cbnuwdbcu" localSheetId="12">#REF!</definedName>
    <definedName name="cbnuwdbcu" localSheetId="13">#REF!</definedName>
    <definedName name="cbnuwdbcu" localSheetId="5">#REF!</definedName>
    <definedName name="cbnuwdbcu">#REF!</definedName>
    <definedName name="CC" localSheetId="20">'[15]Abu Dhabi'!#REF!</definedName>
    <definedName name="cc" localSheetId="17">#REF!</definedName>
    <definedName name="CC" localSheetId="8">'[15]Abu Dhabi'!#REF!</definedName>
    <definedName name="CC" localSheetId="12">'[15]Abu Dhabi'!#REF!</definedName>
    <definedName name="CC" localSheetId="13">'[15]Abu Dhabi'!#REF!</definedName>
    <definedName name="CC" localSheetId="5">'[15]Abu Dhabi'!#REF!</definedName>
    <definedName name="CC">'[15]Abu Dhabi'!#REF!</definedName>
    <definedName name="CF" localSheetId="20">#REF!</definedName>
    <definedName name="CF" localSheetId="17">#REF!</definedName>
    <definedName name="CF" localSheetId="8">#REF!</definedName>
    <definedName name="CF" localSheetId="12">#REF!</definedName>
    <definedName name="CF" localSheetId="13">#REF!</definedName>
    <definedName name="CF" localSheetId="5">#REF!</definedName>
    <definedName name="CF">#REF!</definedName>
    <definedName name="cfw" localSheetId="20">#REF!</definedName>
    <definedName name="cfw" localSheetId="17">#REF!</definedName>
    <definedName name="cfw" localSheetId="8">#REF!</definedName>
    <definedName name="cfw" localSheetId="2">#REF!</definedName>
    <definedName name="cfw" localSheetId="12">#REF!</definedName>
    <definedName name="cfw" localSheetId="13">#REF!</definedName>
    <definedName name="cfw" localSheetId="5">#REF!</definedName>
    <definedName name="cfw">#REF!</definedName>
    <definedName name="CH.IN.EQUIT" localSheetId="20">[26]acct!#REF!</definedName>
    <definedName name="CH.IN.EQUIT" localSheetId="17">[27]acct!#REF!</definedName>
    <definedName name="CH.IN.EQUIT" localSheetId="8">[26]acct!#REF!</definedName>
    <definedName name="CH.IN.EQUIT" localSheetId="2">[28]acct!#REF!</definedName>
    <definedName name="CH.IN.EQUIT" localSheetId="12">[26]acct!#REF!</definedName>
    <definedName name="CH.IN.EQUIT" localSheetId="13">[26]acct!#REF!</definedName>
    <definedName name="CH.IN.EQUIT" localSheetId="5">[26]acct!#REF!</definedName>
    <definedName name="CH.IN.EQUIT">[26]acct!#REF!</definedName>
    <definedName name="cHECK" localSheetId="20">[26]acct!#REF!</definedName>
    <definedName name="cHECK" localSheetId="17">[27]acct!#REF!</definedName>
    <definedName name="cHECK" localSheetId="8">[26]acct!#REF!</definedName>
    <definedName name="cHECK" localSheetId="2">[28]acct!#REF!</definedName>
    <definedName name="cHECK" localSheetId="12">[26]acct!#REF!</definedName>
    <definedName name="cHECK" localSheetId="13">[26]acct!#REF!</definedName>
    <definedName name="cHECK" localSheetId="5">[26]acct!#REF!</definedName>
    <definedName name="cHECK">[26]acct!#REF!</definedName>
    <definedName name="chk" localSheetId="20">#REF!</definedName>
    <definedName name="chk" localSheetId="17">#REF!</definedName>
    <definedName name="chk" localSheetId="8">#REF!</definedName>
    <definedName name="chk" localSheetId="2">#REF!</definedName>
    <definedName name="chk" localSheetId="12">#REF!</definedName>
    <definedName name="chk" localSheetId="13">#REF!</definedName>
    <definedName name="chk" localSheetId="5">#REF!</definedName>
    <definedName name="chk">#REF!</definedName>
    <definedName name="ci" localSheetId="20">#REF!</definedName>
    <definedName name="ci" localSheetId="17">#REF!</definedName>
    <definedName name="ci" localSheetId="8">#REF!</definedName>
    <definedName name="ci" localSheetId="12">#REF!</definedName>
    <definedName name="ci" localSheetId="13">#REF!</definedName>
    <definedName name="ci" localSheetId="5">#REF!</definedName>
    <definedName name="ci">#REF!</definedName>
    <definedName name="CIQWBGuid" hidden="1">"00a38131-a495-407c-b5f0-812ec5cda081"</definedName>
    <definedName name="CIs" localSheetId="20">#REF!</definedName>
    <definedName name="CIs" localSheetId="17">#REF!</definedName>
    <definedName name="CIs" localSheetId="8">#REF!</definedName>
    <definedName name="CIs" localSheetId="12">#REF!</definedName>
    <definedName name="CIs" localSheetId="13">#REF!</definedName>
    <definedName name="CIs" localSheetId="5">#REF!</definedName>
    <definedName name="CIs">#REF!</definedName>
    <definedName name="Classified" localSheetId="20">#REF!</definedName>
    <definedName name="Classified" localSheetId="17">#REF!</definedName>
    <definedName name="Classified" localSheetId="8">#REF!</definedName>
    <definedName name="Classified" localSheetId="12">#REF!</definedName>
    <definedName name="Classified" localSheetId="13">#REF!</definedName>
    <definedName name="Classified" localSheetId="5">#REF!</definedName>
    <definedName name="Classified">#REF!</definedName>
    <definedName name="closing" localSheetId="20">[45]BSDOMOVS!#REF!</definedName>
    <definedName name="closing" localSheetId="17">[46]BSDOMOVS!#REF!</definedName>
    <definedName name="closing" localSheetId="8">[45]BSDOMOVS!#REF!</definedName>
    <definedName name="closing" localSheetId="12">[45]BSDOMOVS!#REF!</definedName>
    <definedName name="closing" localSheetId="13">[45]BSDOMOVS!#REF!</definedName>
    <definedName name="closing" localSheetId="5">[45]BSDOMOVS!#REF!</definedName>
    <definedName name="closing">[45]BSDOMOVS!#REF!</definedName>
    <definedName name="cogs" localSheetId="20">#REF!</definedName>
    <definedName name="cogs" localSheetId="17">#REF!</definedName>
    <definedName name="cogs" localSheetId="8">#REF!</definedName>
    <definedName name="cogs" localSheetId="2">#REF!</definedName>
    <definedName name="cogs" localSheetId="12">#REF!</definedName>
    <definedName name="cogs" localSheetId="13">#REF!</definedName>
    <definedName name="cogs" localSheetId="5">#REF!</definedName>
    <definedName name="cogs">#REF!</definedName>
    <definedName name="COGS1" localSheetId="20">#REF!</definedName>
    <definedName name="COGS1" localSheetId="17">#REF!</definedName>
    <definedName name="COGS1" localSheetId="8">#REF!</definedName>
    <definedName name="COGS1" localSheetId="2">#REF!</definedName>
    <definedName name="COGS1" localSheetId="12">#REF!</definedName>
    <definedName name="COGS1" localSheetId="13">#REF!</definedName>
    <definedName name="COGS1" localSheetId="5">#REF!</definedName>
    <definedName name="COGS1">#REF!</definedName>
    <definedName name="ColorNames" localSheetId="20">#REF!</definedName>
    <definedName name="ColorNames" localSheetId="17">#REF!</definedName>
    <definedName name="ColorNames" localSheetId="8">#REF!</definedName>
    <definedName name="ColorNames" localSheetId="2">#REF!</definedName>
    <definedName name="ColorNames" localSheetId="12">#REF!</definedName>
    <definedName name="ColorNames" localSheetId="13">#REF!</definedName>
    <definedName name="ColorNames" localSheetId="5">#REF!</definedName>
    <definedName name="ColorNames">#REF!</definedName>
    <definedName name="Commentary" localSheetId="20">#REF!</definedName>
    <definedName name="Commentary" localSheetId="17">#REF!</definedName>
    <definedName name="Commentary" localSheetId="8">#REF!</definedName>
    <definedName name="Commentary" localSheetId="12">#REF!</definedName>
    <definedName name="Commentary" localSheetId="13">#REF!</definedName>
    <definedName name="Commentary" localSheetId="5">#REF!</definedName>
    <definedName name="Commentary">#REF!</definedName>
    <definedName name="cons" localSheetId="17" hidden="1">{"'CALL MONEY'!$K$53"}</definedName>
    <definedName name="cons" localSheetId="8" hidden="1">{"'CALL MONEY'!$K$53"}</definedName>
    <definedName name="cons" hidden="1">{"'CALL MONEY'!$K$53"}</definedName>
    <definedName name="Conventions" localSheetId="20">#REF!</definedName>
    <definedName name="Conventions" localSheetId="17">#REF!</definedName>
    <definedName name="Conventions" localSheetId="8">#REF!</definedName>
    <definedName name="Conventions" localSheetId="2">#REF!</definedName>
    <definedName name="Conventions" localSheetId="12">#REF!</definedName>
    <definedName name="Conventions" localSheetId="13">#REF!</definedName>
    <definedName name="Conventions" localSheetId="5">#REF!</definedName>
    <definedName name="Conventions">#REF!</definedName>
    <definedName name="COST_OF_SALES" localSheetId="20">#REF!</definedName>
    <definedName name="COST_OF_SALES" localSheetId="17">#REF!</definedName>
    <definedName name="COST_OF_SALES" localSheetId="8">#REF!</definedName>
    <definedName name="COST_OF_SALES" localSheetId="2">#REF!</definedName>
    <definedName name="COST_OF_SALES" localSheetId="12">#REF!</definedName>
    <definedName name="COST_OF_SALES" localSheetId="13">#REF!</definedName>
    <definedName name="COST_OF_SALES" localSheetId="5">#REF!</definedName>
    <definedName name="COST_OF_SALES">#REF!</definedName>
    <definedName name="CRED" localSheetId="20">[26]acct!#REF!</definedName>
    <definedName name="CRED" localSheetId="17">[27]acct!#REF!</definedName>
    <definedName name="CRED" localSheetId="8">[26]acct!#REF!</definedName>
    <definedName name="CRED" localSheetId="2">[28]acct!#REF!</definedName>
    <definedName name="CRED" localSheetId="12">[26]acct!#REF!</definedName>
    <definedName name="CRED" localSheetId="13">[26]acct!#REF!</definedName>
    <definedName name="CRED" localSheetId="5">[26]acct!#REF!</definedName>
    <definedName name="CRED">[26]acct!#REF!</definedName>
    <definedName name="CREDIT" localSheetId="20">'[47]Balance Sheet'!#REF!</definedName>
    <definedName name="CREDIT" localSheetId="17">'[47]Balance Sheet'!#REF!</definedName>
    <definedName name="CREDIT" localSheetId="8">'[47]Balance Sheet'!#REF!</definedName>
    <definedName name="CREDIT" localSheetId="2">'[47]Balance Sheet'!#REF!</definedName>
    <definedName name="CREDIT" localSheetId="12">'[47]Balance Sheet'!#REF!</definedName>
    <definedName name="CREDIT" localSheetId="13">'[47]Balance Sheet'!#REF!</definedName>
    <definedName name="CREDIT" localSheetId="5">'[47]Balance Sheet'!#REF!</definedName>
    <definedName name="CREDIT">'[47]Balance Sheet'!#REF!</definedName>
    <definedName name="CumSumPrt" localSheetId="20">#REF!</definedName>
    <definedName name="CumSumPrt" localSheetId="17">#REF!</definedName>
    <definedName name="CumSumPrt" localSheetId="8">#REF!</definedName>
    <definedName name="CumSumPrt" localSheetId="2">#REF!</definedName>
    <definedName name="CumSumPrt" localSheetId="12">#REF!</definedName>
    <definedName name="CumSumPrt" localSheetId="13">#REF!</definedName>
    <definedName name="CumSumPrt" localSheetId="5">#REF!</definedName>
    <definedName name="CumSumPrt">#REF!</definedName>
    <definedName name="Currency" localSheetId="20">#REF!</definedName>
    <definedName name="Currency" localSheetId="17">#REF!</definedName>
    <definedName name="Currency" localSheetId="8">#REF!</definedName>
    <definedName name="Currency" localSheetId="12">#REF!</definedName>
    <definedName name="Currency" localSheetId="13">#REF!</definedName>
    <definedName name="Currency" localSheetId="5">#REF!</definedName>
    <definedName name="Currency">#REF!</definedName>
    <definedName name="cwip" localSheetId="20">#REF!</definedName>
    <definedName name="cwip" localSheetId="17">#REF!</definedName>
    <definedName name="cwip" localSheetId="8">#REF!</definedName>
    <definedName name="cwip" localSheetId="2">#REF!</definedName>
    <definedName name="cwip" localSheetId="12">#REF!</definedName>
    <definedName name="cwip" localSheetId="13">#REF!</definedName>
    <definedName name="cwip" localSheetId="5">#REF!</definedName>
    <definedName name="cwip">#REF!</definedName>
    <definedName name="d" localSheetId="20">#REF!</definedName>
    <definedName name="d" localSheetId="17">[48]AKUH!$B$1:$K$18</definedName>
    <definedName name="d" localSheetId="8">#REF!</definedName>
    <definedName name="d" localSheetId="12">#REF!</definedName>
    <definedName name="d" localSheetId="13">#REF!</definedName>
    <definedName name="d" localSheetId="5">#REF!</definedName>
    <definedName name="d">#REF!</definedName>
    <definedName name="da" localSheetId="20">#REF!</definedName>
    <definedName name="da" localSheetId="17">#REF!</definedName>
    <definedName name="da" localSheetId="8">#REF!</definedName>
    <definedName name="da" localSheetId="12">#REF!</definedName>
    <definedName name="da" localSheetId="13">#REF!</definedName>
    <definedName name="da" localSheetId="5">#REF!</definedName>
    <definedName name="da">#REF!</definedName>
    <definedName name="_xlnm.Database" localSheetId="20">[49]TRAN!#REF!</definedName>
    <definedName name="_xlnm.Database" localSheetId="17">[49]TRAN!#REF!</definedName>
    <definedName name="_xlnm.Database" localSheetId="8">[49]TRAN!#REF!</definedName>
    <definedName name="_xlnm.Database" localSheetId="2">[49]TRAN!#REF!</definedName>
    <definedName name="_xlnm.Database" localSheetId="12">[49]TRAN!#REF!</definedName>
    <definedName name="_xlnm.Database" localSheetId="13">[49]TRAN!#REF!</definedName>
    <definedName name="_xlnm.Database" localSheetId="5">[49]TRAN!#REF!</definedName>
    <definedName name="_xlnm.Database">[49]TRAN!#REF!</definedName>
    <definedName name="DATE" localSheetId="18">#REF!</definedName>
    <definedName name="DATE" localSheetId="19">#REF!</definedName>
    <definedName name="DATE">#REF!</definedName>
    <definedName name="Dbase" localSheetId="20">#REF!</definedName>
    <definedName name="Dbase" localSheetId="17">#REF!</definedName>
    <definedName name="Dbase" localSheetId="8">#REF!</definedName>
    <definedName name="Dbase" localSheetId="12">#REF!</definedName>
    <definedName name="Dbase" localSheetId="13">#REF!</definedName>
    <definedName name="Dbase" localSheetId="5">#REF!</definedName>
    <definedName name="Dbase">#REF!</definedName>
    <definedName name="DD" localSheetId="20">'[4]last qrt2001'!#REF!</definedName>
    <definedName name="DD" localSheetId="17">'[4]last qrt2001'!#REF!</definedName>
    <definedName name="DD" localSheetId="8">'[4]last qrt2001'!#REF!</definedName>
    <definedName name="DD" localSheetId="12">'[4]last qrt2001'!#REF!</definedName>
    <definedName name="DD" localSheetId="13">'[4]last qrt2001'!#REF!</definedName>
    <definedName name="DD" localSheetId="5">'[4]last qrt2001'!#REF!</definedName>
    <definedName name="DD">'[4]last qrt2001'!#REF!</definedName>
    <definedName name="DD_Curr">[50]Currency!$C$3</definedName>
    <definedName name="ddd" localSheetId="18">#REF!</definedName>
    <definedName name="ddd" localSheetId="19">#REF!</definedName>
    <definedName name="ddd">#REF!</definedName>
    <definedName name="dddd" localSheetId="20">'[51]BS-OVS'!#REF!</definedName>
    <definedName name="dddd" localSheetId="17">#REF!</definedName>
    <definedName name="dddd" localSheetId="8">'[51]BS-OVS'!#REF!</definedName>
    <definedName name="dddd" localSheetId="12">'[51]BS-OVS'!#REF!</definedName>
    <definedName name="dddd" localSheetId="13">'[51]BS-OVS'!#REF!</definedName>
    <definedName name="dddd" localSheetId="5">'[51]BS-OVS'!#REF!</definedName>
    <definedName name="dddd">'[51]BS-OVS'!#REF!</definedName>
    <definedName name="DEBIT" localSheetId="20">'[47]Balance Sheet'!#REF!</definedName>
    <definedName name="DEBIT" localSheetId="17">'[47]Balance Sheet'!#REF!</definedName>
    <definedName name="DEBIT" localSheetId="8">'[47]Balance Sheet'!#REF!</definedName>
    <definedName name="DEBIT" localSheetId="2">'[47]Balance Sheet'!#REF!</definedName>
    <definedName name="DEBIT" localSheetId="12">'[47]Balance Sheet'!#REF!</definedName>
    <definedName name="DEBIT" localSheetId="13">'[47]Balance Sheet'!#REF!</definedName>
    <definedName name="DEBIT" localSheetId="5">'[47]Balance Sheet'!#REF!</definedName>
    <definedName name="DEBIT">'[47]Balance Sheet'!#REF!</definedName>
    <definedName name="dEFF.LIA" localSheetId="20">[26]acct!#REF!</definedName>
    <definedName name="dEFF.LIA" localSheetId="17">[27]acct!#REF!</definedName>
    <definedName name="dEFF.LIA" localSheetId="8">[26]acct!#REF!</definedName>
    <definedName name="dEFF.LIA" localSheetId="2">[28]acct!#REF!</definedName>
    <definedName name="dEFF.LIA" localSheetId="12">[26]acct!#REF!</definedName>
    <definedName name="dEFF.LIA" localSheetId="13">[26]acct!#REF!</definedName>
    <definedName name="dEFF.LIA" localSheetId="5">[26]acct!#REF!</definedName>
    <definedName name="dEFF.LIA">[26]acct!#REF!</definedName>
    <definedName name="DEP_SCHEDULE" localSheetId="20">#REF!</definedName>
    <definedName name="DEP_SCHEDULE" localSheetId="17">#REF!</definedName>
    <definedName name="DEP_SCHEDULE" localSheetId="8">#REF!</definedName>
    <definedName name="DEP_SCHEDULE" localSheetId="2">#REF!</definedName>
    <definedName name="DEP_SCHEDULE" localSheetId="12">#REF!</definedName>
    <definedName name="DEP_SCHEDULE" localSheetId="13">#REF!</definedName>
    <definedName name="DEP_SCHEDULE" localSheetId="5">#REF!</definedName>
    <definedName name="DEP_SCHEDULE">#REF!</definedName>
    <definedName name="Description" localSheetId="20">#REF!</definedName>
    <definedName name="Description" localSheetId="17">#REF!</definedName>
    <definedName name="Description" localSheetId="8">#REF!</definedName>
    <definedName name="Description" localSheetId="12">#REF!</definedName>
    <definedName name="Description" localSheetId="13">#REF!</definedName>
    <definedName name="Description" localSheetId="5">#REF!</definedName>
    <definedName name="Description">#REF!</definedName>
    <definedName name="DETAIL" localSheetId="20">#REF!</definedName>
    <definedName name="DETAIL" localSheetId="17">#REF!</definedName>
    <definedName name="DETAIL" localSheetId="8">#REF!</definedName>
    <definedName name="DETAIL" localSheetId="2">#REF!</definedName>
    <definedName name="DETAIL" localSheetId="12">#REF!</definedName>
    <definedName name="DETAIL" localSheetId="13">#REF!</definedName>
    <definedName name="DETAIL" localSheetId="5">#REF!</definedName>
    <definedName name="DETAIL">#REF!</definedName>
    <definedName name="Details" localSheetId="17">[52]Augbkp98!$B$6:$G$25</definedName>
    <definedName name="Details">[52]Augbkp98!$B$6:$G$25</definedName>
    <definedName name="DFASW" localSheetId="18">#REF!</definedName>
    <definedName name="DFASW" localSheetId="19">#REF!</definedName>
    <definedName name="DFASW">#REF!</definedName>
    <definedName name="DFD" localSheetId="20">'[53]Abu Dhabi'!#REF!</definedName>
    <definedName name="DFD" localSheetId="17">'[53]Abu Dhabi'!#REF!</definedName>
    <definedName name="DFD" localSheetId="8">'[53]Abu Dhabi'!#REF!</definedName>
    <definedName name="DFD" localSheetId="12">'[53]Abu Dhabi'!#REF!</definedName>
    <definedName name="DFD" localSheetId="13">'[53]Abu Dhabi'!#REF!</definedName>
    <definedName name="DFD" localSheetId="5">'[53]Abu Dhabi'!#REF!</definedName>
    <definedName name="DFD">'[53]Abu Dhabi'!#REF!</definedName>
    <definedName name="dfg" localSheetId="17" hidden="1">{#N/A,#N/A,FALSE,"dec98qtr";#N/A,#N/A,FALSE,"suppdecsep98";#N/A,#N/A,FALSE,"w-dec98"}</definedName>
    <definedName name="dfg" localSheetId="8" hidden="1">{#N/A,#N/A,FALSE,"dec98qtr";#N/A,#N/A,FALSE,"suppdecsep98";#N/A,#N/A,FALSE,"w-dec98"}</definedName>
    <definedName name="dfg" localSheetId="2" hidden="1">{#N/A,#N/A,FALSE,"dec98qtr";#N/A,#N/A,FALSE,"suppdecsep98";#N/A,#N/A,FALSE,"w-dec98"}</definedName>
    <definedName name="dfg" hidden="1">{#N/A,#N/A,FALSE,"dec98qtr";#N/A,#N/A,FALSE,"suppdecsep98";#N/A,#N/A,FALSE,"w-dec98"}</definedName>
    <definedName name="DFHIPL" localSheetId="18">#REF!</definedName>
    <definedName name="DFHIPL" localSheetId="19">#REF!</definedName>
    <definedName name="DFHIPL">#REF!</definedName>
    <definedName name="DFHTL" localSheetId="18">#REF!</definedName>
    <definedName name="DFHTL" localSheetId="19">#REF!</definedName>
    <definedName name="DFHTL">#REF!</definedName>
    <definedName name="DFUFE" localSheetId="18">#REF!</definedName>
    <definedName name="DFUFE" localSheetId="19">#REF!</definedName>
    <definedName name="DFUFE">#REF!</definedName>
    <definedName name="Differences" localSheetId="20">#REF!</definedName>
    <definedName name="Differences" localSheetId="17">#REF!</definedName>
    <definedName name="Differences" localSheetId="8">#REF!</definedName>
    <definedName name="Differences" localSheetId="12">#REF!</definedName>
    <definedName name="Differences" localSheetId="13">#REF!</definedName>
    <definedName name="Differences" localSheetId="5">#REF!</definedName>
    <definedName name="Differences">#REF!</definedName>
    <definedName name="Differnces" localSheetId="20">'[54]Notes1-5'!#REF!</definedName>
    <definedName name="Differnces" localSheetId="17">'[54]Notes1-5'!#REF!</definedName>
    <definedName name="Differnces" localSheetId="8">'[54]Notes1-5'!#REF!</definedName>
    <definedName name="Differnces" localSheetId="12">'[54]Notes1-5'!#REF!</definedName>
    <definedName name="Differnces" localSheetId="13">'[54]Notes1-5'!#REF!</definedName>
    <definedName name="Differnces" localSheetId="5">'[54]Notes1-5'!#REF!</definedName>
    <definedName name="Differnces">'[54]Notes1-5'!#REF!</definedName>
    <definedName name="division" localSheetId="18">#REF!</definedName>
    <definedName name="division" localSheetId="19">#REF!</definedName>
    <definedName name="division">#REF!</definedName>
    <definedName name="doha">'[37]DOHA QATAR '!$A$14:$P$33</definedName>
    <definedName name="dom" localSheetId="20">#REF!</definedName>
    <definedName name="dom" localSheetId="17">#REF!</definedName>
    <definedName name="dom" localSheetId="8">#REF!</definedName>
    <definedName name="dom" localSheetId="12">#REF!</definedName>
    <definedName name="dom" localSheetId="13">#REF!</definedName>
    <definedName name="dom" localSheetId="5">#REF!</definedName>
    <definedName name="dom">#REF!</definedName>
    <definedName name="dombs" localSheetId="20">#REF!</definedName>
    <definedName name="dombs" localSheetId="17">#REF!</definedName>
    <definedName name="dombs" localSheetId="8">#REF!</definedName>
    <definedName name="dombs" localSheetId="12">#REF!</definedName>
    <definedName name="dombs" localSheetId="13">#REF!</definedName>
    <definedName name="dombs" localSheetId="5">#REF!</definedName>
    <definedName name="dombs">#REF!</definedName>
    <definedName name="DOMOVS" localSheetId="20">#REF!</definedName>
    <definedName name="DOMOVS" localSheetId="17">#REF!</definedName>
    <definedName name="DOMOVS" localSheetId="8">#REF!</definedName>
    <definedName name="DOMOVS" localSheetId="12">#REF!</definedName>
    <definedName name="DOMOVS" localSheetId="13">#REF!</definedName>
    <definedName name="DOMOVS" localSheetId="5">#REF!</definedName>
    <definedName name="DOMOVS">#REF!</definedName>
    <definedName name="DON" localSheetId="18">#REF!</definedName>
    <definedName name="DON" localSheetId="19">#REF!</definedName>
    <definedName name="DON">#REF!</definedName>
    <definedName name="DONold" localSheetId="18">[55]Total!#REF!</definedName>
    <definedName name="DONold" localSheetId="19">[55]Total!#REF!</definedName>
    <definedName name="DONold">[55]Total!#REF!</definedName>
    <definedName name="dPlanningMateriality">[56]Sheet1!$B$46</definedName>
    <definedName name="dr" localSheetId="20">#REF!</definedName>
    <definedName name="dr" localSheetId="17">#REF!</definedName>
    <definedName name="dr" localSheetId="8">#REF!</definedName>
    <definedName name="dr" localSheetId="12">#REF!</definedName>
    <definedName name="dr" localSheetId="13">#REF!</definedName>
    <definedName name="dr" localSheetId="5">#REF!</definedName>
    <definedName name="dr">#REF!</definedName>
    <definedName name="dsds" localSheetId="18">'[57]Notes1-5'!#REF!</definedName>
    <definedName name="dsds" localSheetId="19">'[57]Notes1-5'!#REF!</definedName>
    <definedName name="dsds">'[57]Notes1-5'!#REF!</definedName>
    <definedName name="dsfjhfjk" localSheetId="17" hidden="1">{#N/A,#N/A,FALSE,"dec98qtr";#N/A,#N/A,FALSE,"suppdecsep98";#N/A,#N/A,FALSE,"w-dec98"}</definedName>
    <definedName name="dsfjhfjk" localSheetId="8" hidden="1">{#N/A,#N/A,FALSE,"dec98qtr";#N/A,#N/A,FALSE,"suppdecsep98";#N/A,#N/A,FALSE,"w-dec98"}</definedName>
    <definedName name="dsfjhfjk" localSheetId="2" hidden="1">{#N/A,#N/A,FALSE,"dec98qtr";#N/A,#N/A,FALSE,"suppdecsep98";#N/A,#N/A,FALSE,"w-dec98"}</definedName>
    <definedName name="dsfjhfjk" hidden="1">{#N/A,#N/A,FALSE,"dec98qtr";#N/A,#N/A,FALSE,"suppdecsep98";#N/A,#N/A,FALSE,"w-dec98"}</definedName>
    <definedName name="DTASW" localSheetId="18">#REF!</definedName>
    <definedName name="DTASW" localSheetId="19">#REF!</definedName>
    <definedName name="DTASW">#REF!</definedName>
    <definedName name="DTHIPL" localSheetId="18">#REF!</definedName>
    <definedName name="DTHIPL" localSheetId="19">#REF!</definedName>
    <definedName name="DTHIPL">#REF!</definedName>
    <definedName name="DTHTL" localSheetId="18">#REF!</definedName>
    <definedName name="DTHTL" localSheetId="19">#REF!</definedName>
    <definedName name="DTHTL">#REF!</definedName>
    <definedName name="DTUFE" localSheetId="18">#REF!</definedName>
    <definedName name="DTUFE" localSheetId="19">#REF!</definedName>
    <definedName name="DTUFE">#REF!</definedName>
    <definedName name="DVFASW" localSheetId="18">#REF!</definedName>
    <definedName name="DVFASW" localSheetId="19">#REF!</definedName>
    <definedName name="DVFASW">#REF!</definedName>
    <definedName name="DVFHIPL" localSheetId="18">#REF!</definedName>
    <definedName name="DVFHIPL" localSheetId="19">#REF!</definedName>
    <definedName name="DVFHIPL">#REF!</definedName>
    <definedName name="DVFHTL" localSheetId="18">#REF!</definedName>
    <definedName name="DVFHTL" localSheetId="19">#REF!</definedName>
    <definedName name="DVFHTL">#REF!</definedName>
    <definedName name="DVFUFE" localSheetId="18">#REF!</definedName>
    <definedName name="DVFUFE" localSheetId="19">#REF!</definedName>
    <definedName name="DVFUFE">#REF!</definedName>
    <definedName name="DVTASW" localSheetId="18">#REF!</definedName>
    <definedName name="DVTASW" localSheetId="19">#REF!</definedName>
    <definedName name="DVTASW">#REF!</definedName>
    <definedName name="DVTHIPL" localSheetId="18">#REF!</definedName>
    <definedName name="DVTHIPL" localSheetId="19">#REF!</definedName>
    <definedName name="DVTHIPL">#REF!</definedName>
    <definedName name="DVTHTL" localSheetId="18">#REF!</definedName>
    <definedName name="DVTHTL" localSheetId="19">#REF!</definedName>
    <definedName name="DVTHTL">#REF!</definedName>
    <definedName name="DVTUFE" localSheetId="18">#REF!</definedName>
    <definedName name="DVTUFE" localSheetId="19">#REF!</definedName>
    <definedName name="DVTUFE">#REF!</definedName>
    <definedName name="dx" localSheetId="20">#REF!</definedName>
    <definedName name="dx" localSheetId="17">#REF!</definedName>
    <definedName name="dx" localSheetId="8">#REF!</definedName>
    <definedName name="dx" localSheetId="12">#REF!</definedName>
    <definedName name="dx" localSheetId="13">#REF!</definedName>
    <definedName name="dx" localSheetId="5">#REF!</definedName>
    <definedName name="dx">#REF!</definedName>
    <definedName name="E" localSheetId="20">#REF!</definedName>
    <definedName name="E" localSheetId="17">#REF!</definedName>
    <definedName name="E" localSheetId="8">#REF!</definedName>
    <definedName name="E" localSheetId="12">#REF!</definedName>
    <definedName name="E" localSheetId="13">#REF!</definedName>
    <definedName name="E" localSheetId="5">#REF!</definedName>
    <definedName name="E">#REF!</definedName>
    <definedName name="EGY" localSheetId="18">#REF!</definedName>
    <definedName name="EGY" localSheetId="19">#REF!</definedName>
    <definedName name="EGY">#REF!</definedName>
    <definedName name="EI" localSheetId="18">#REF!</definedName>
    <definedName name="EI" localSheetId="19">#REF!</definedName>
    <definedName name="EI">#REF!</definedName>
    <definedName name="EILMAT" localSheetId="18">#REF!</definedName>
    <definedName name="EILMAT" localSheetId="19">#REF!</definedName>
    <definedName name="EILMAT">#REF!</definedName>
    <definedName name="EPAGE1" localSheetId="20">#REF!</definedName>
    <definedName name="EPAGE1" localSheetId="17">#REF!</definedName>
    <definedName name="EPAGE1" localSheetId="8">#REF!</definedName>
    <definedName name="EPAGE1" localSheetId="12">#REF!</definedName>
    <definedName name="EPAGE1" localSheetId="13">#REF!</definedName>
    <definedName name="EPAGE1" localSheetId="5">#REF!</definedName>
    <definedName name="EPAGE1">#REF!</definedName>
    <definedName name="Err_Add_Plus10" localSheetId="18">#REF!</definedName>
    <definedName name="Err_Add_Plus10" localSheetId="19">#REF!</definedName>
    <definedName name="Err_Add_Plus10">#REF!</definedName>
    <definedName name="Err_Box_AddSamp" localSheetId="18">#REF!</definedName>
    <definedName name="Err_Box_AddSamp" localSheetId="19">#REF!</definedName>
    <definedName name="Err_Box_AddSamp">#REF!</definedName>
    <definedName name="Err_Box_Rej" localSheetId="18">#REF!</definedName>
    <definedName name="Err_Box_Rej" localSheetId="19">#REF!</definedName>
    <definedName name="Err_Box_Rej">#REF!</definedName>
    <definedName name="Err_CellComments" localSheetId="18">#REF!</definedName>
    <definedName name="Err_CellComments" localSheetId="19">#REF!</definedName>
    <definedName name="Err_CellComments">#REF!</definedName>
    <definedName name="Err_Date_Check" localSheetId="18">#REF!</definedName>
    <definedName name="Err_Date_Check" localSheetId="19">#REF!</definedName>
    <definedName name="Err_Date_Check">#REF!</definedName>
    <definedName name="Err_Date_Numb" localSheetId="18">#REF!</definedName>
    <definedName name="Err_Date_Numb" localSheetId="19">#REF!</definedName>
    <definedName name="Err_Date_Numb">#REF!</definedName>
    <definedName name="Err_Date_Today" localSheetId="18">#REF!</definedName>
    <definedName name="Err_Date_Today" localSheetId="19">#REF!</definedName>
    <definedName name="Err_Date_Today">#REF!</definedName>
    <definedName name="Err_Empty" localSheetId="18">#REF!</definedName>
    <definedName name="Err_Empty" localSheetId="19">#REF!</definedName>
    <definedName name="Err_Empty">#REF!</definedName>
    <definedName name="Err_Eval_Blank" localSheetId="18">#REF!</definedName>
    <definedName name="Err_Eval_Blank" localSheetId="19">#REF!</definedName>
    <definedName name="Err_Eval_Blank">#REF!</definedName>
    <definedName name="Err_Fail_Verbiage" localSheetId="18">#REF!</definedName>
    <definedName name="Err_Fail_Verbiage" localSheetId="19">#REF!</definedName>
    <definedName name="Err_Fail_Verbiage">#REF!</definedName>
    <definedName name="Err_InfoCheck" localSheetId="18">#REF!</definedName>
    <definedName name="Err_InfoCheck" localSheetId="19">#REF!</definedName>
    <definedName name="Err_InfoCheck">#REF!</definedName>
    <definedName name="Err_NotesBox" localSheetId="18">#REF!</definedName>
    <definedName name="Err_NotesBox" localSheetId="19">#REF!</definedName>
    <definedName name="Err_NotesBox">#REF!</definedName>
    <definedName name="Err_Rand_1" localSheetId="18">#REF!</definedName>
    <definedName name="Err_Rand_1" localSheetId="19">#REF!</definedName>
    <definedName name="Err_Rand_1">#REF!</definedName>
    <definedName name="Err_Random" localSheetId="18">#REF!</definedName>
    <definedName name="Err_Random" localSheetId="19">#REF!</definedName>
    <definedName name="Err_Random">#REF!</definedName>
    <definedName name="Err_SampErr" localSheetId="18">#REF!</definedName>
    <definedName name="Err_SampErr" localSheetId="19">#REF!</definedName>
    <definedName name="Err_SampErr">#REF!</definedName>
    <definedName name="Err_StopCode" localSheetId="18">#REF!</definedName>
    <definedName name="Err_StopCode" localSheetId="19">#REF!</definedName>
    <definedName name="Err_StopCode">#REF!</definedName>
    <definedName name="Eval_btn" localSheetId="18">#REF!</definedName>
    <definedName name="Eval_btn" localSheetId="19">#REF!</definedName>
    <definedName name="Eval_btn">#REF!</definedName>
    <definedName name="Eval_btn_Ans" localSheetId="18">#REF!</definedName>
    <definedName name="Eval_btn_Ans" localSheetId="19">#REF!</definedName>
    <definedName name="Eval_btn_Ans">#REF!</definedName>
    <definedName name="Eval_MR" localSheetId="18">#REF!</definedName>
    <definedName name="Eval_MR" localSheetId="19">#REF!</definedName>
    <definedName name="Eval_MR">#REF!</definedName>
    <definedName name="Eval_Targ_T" localSheetId="18">#REF!</definedName>
    <definedName name="Eval_Targ_T" localSheetId="19">#REF!</definedName>
    <definedName name="Eval_Targ_T">#REF!</definedName>
    <definedName name="Eval_Text" localSheetId="18">#REF!</definedName>
    <definedName name="Eval_Text" localSheetId="19">#REF!</definedName>
    <definedName name="Eval_Text">#REF!</definedName>
    <definedName name="Eval_TM" localSheetId="18">#REF!</definedName>
    <definedName name="Eval_TM" localSheetId="19">#REF!</definedName>
    <definedName name="Eval_TM">#REF!</definedName>
    <definedName name="Eval_TTMR" localSheetId="18">#REF!</definedName>
    <definedName name="Eval_TTMR" localSheetId="19">#REF!</definedName>
    <definedName name="Eval_TTMR">#REF!</definedName>
    <definedName name="Excel_BuiltIn__FilterDatabase_1" localSheetId="20">#REF!</definedName>
    <definedName name="Excel_BuiltIn__FilterDatabase_1" localSheetId="17">#REF!</definedName>
    <definedName name="Excel_BuiltIn__FilterDatabase_1" localSheetId="8">#REF!</definedName>
    <definedName name="Excel_BuiltIn__FilterDatabase_1" localSheetId="12">#REF!</definedName>
    <definedName name="Excel_BuiltIn__FilterDatabase_1" localSheetId="13">#REF!</definedName>
    <definedName name="Excel_BuiltIn__FilterDatabase_1" localSheetId="5">#REF!</definedName>
    <definedName name="Excel_BuiltIn__FilterDatabase_1">#REF!</definedName>
    <definedName name="Excel_BuiltIn__FilterDatabase_3" localSheetId="18">[58]Documentation!#REF!</definedName>
    <definedName name="Excel_BuiltIn__FilterDatabase_3" localSheetId="19">[58]Documentation!#REF!</definedName>
    <definedName name="Excel_BuiltIn__FilterDatabase_3">[58]Documentation!#REF!</definedName>
    <definedName name="Excel_BuiltIn_Print_Area" localSheetId="20">#REF!</definedName>
    <definedName name="Excel_BuiltIn_Print_Area" localSheetId="17">#REF!</definedName>
    <definedName name="Excel_BuiltIn_Print_Area" localSheetId="8">#REF!</definedName>
    <definedName name="Excel_BuiltIn_Print_Area" localSheetId="12">#REF!</definedName>
    <definedName name="Excel_BuiltIn_Print_Area" localSheetId="13">#REF!</definedName>
    <definedName name="Excel_BuiltIn_Print_Area" localSheetId="5">#REF!</definedName>
    <definedName name="Excel_BuiltIn_Print_Area">#REF!</definedName>
    <definedName name="Excel_BuiltIn_Print_Area_8" localSheetId="20">#REF!</definedName>
    <definedName name="Excel_BuiltIn_Print_Area_8" localSheetId="17">#REF!</definedName>
    <definedName name="Excel_BuiltIn_Print_Area_8" localSheetId="8">#REF!</definedName>
    <definedName name="Excel_BuiltIn_Print_Area_8" localSheetId="12">#REF!</definedName>
    <definedName name="Excel_BuiltIn_Print_Area_8" localSheetId="13">#REF!</definedName>
    <definedName name="Excel_BuiltIn_Print_Area_8" localSheetId="5">#REF!</definedName>
    <definedName name="Excel_BuiltIn_Print_Area_8">#REF!</definedName>
    <definedName name="excluding_unclaimed_dividend__accrued_mark_up_on_short_term_finances" localSheetId="20">'[11]34-38.2'!#REF!</definedName>
    <definedName name="excluding_unclaimed_dividend__accrued_mark_up_on_short_term_finances" localSheetId="17">'[11]34-38.2'!#REF!</definedName>
    <definedName name="excluding_unclaimed_dividend__accrued_mark_up_on_short_term_finances" localSheetId="8">'[11]34-38.2'!#REF!</definedName>
    <definedName name="excluding_unclaimed_dividend__accrued_mark_up_on_short_term_finances" localSheetId="2">'[11]34-38.2'!#REF!</definedName>
    <definedName name="excluding_unclaimed_dividend__accrued_mark_up_on_short_term_finances" localSheetId="12">'[11]34-38.2'!#REF!</definedName>
    <definedName name="excluding_unclaimed_dividend__accrued_mark_up_on_short_term_finances" localSheetId="13">'[11]34-38.2'!#REF!</definedName>
    <definedName name="excluding_unclaimed_dividend__accrued_mark_up_on_short_term_finances" localSheetId="5">'[11]34-38.2'!#REF!</definedName>
    <definedName name="excluding_unclaimed_dividend__accrued_mark_up_on_short_term_finances">'[11]34-38.2'!#REF!</definedName>
    <definedName name="EXP" localSheetId="20">#REF!</definedName>
    <definedName name="EXP" localSheetId="17">#REF!</definedName>
    <definedName name="EXP" localSheetId="8">#REF!</definedName>
    <definedName name="EXP" localSheetId="12">#REF!</definedName>
    <definedName name="EXP" localSheetId="13">#REF!</definedName>
    <definedName name="EXP" localSheetId="5">#REF!</definedName>
    <definedName name="EXP">#REF!</definedName>
    <definedName name="F" localSheetId="20">'[59]FINANCE CODE'!#REF!</definedName>
    <definedName name="f" localSheetId="17">#REF!</definedName>
    <definedName name="F" localSheetId="8">'[59]FINANCE CODE'!#REF!</definedName>
    <definedName name="F" localSheetId="12">'[59]FINANCE CODE'!#REF!</definedName>
    <definedName name="F" localSheetId="13">'[59]FINANCE CODE'!#REF!</definedName>
    <definedName name="F" localSheetId="5">'[59]FINANCE CODE'!#REF!</definedName>
    <definedName name="F">'[59]FINANCE CODE'!#REF!</definedName>
    <definedName name="F_A_C_TITLE" localSheetId="20">#REF!</definedName>
    <definedName name="F_A_C_TITLE" localSheetId="17">#REF!</definedName>
    <definedName name="F_A_C_TITLE" localSheetId="8">#REF!</definedName>
    <definedName name="F_A_C_TITLE" localSheetId="2">#REF!</definedName>
    <definedName name="F_A_C_TITLE" localSheetId="12">#REF!</definedName>
    <definedName name="F_A_C_TITLE" localSheetId="13">#REF!</definedName>
    <definedName name="F_A_C_TITLE" localSheetId="5">#REF!</definedName>
    <definedName name="F_A_C_TITLE">#REF!</definedName>
    <definedName name="f_name">'[60]A-C CODE &amp; NAME'!$B$1:$C$193</definedName>
    <definedName name="FA" localSheetId="20">[26]acct!#REF!</definedName>
    <definedName name="FA" localSheetId="17">[27]acct!#REF!</definedName>
    <definedName name="FA" localSheetId="8">[26]acct!#REF!</definedName>
    <definedName name="FA" localSheetId="2">[28]acct!#REF!</definedName>
    <definedName name="FA" localSheetId="12">[26]acct!#REF!</definedName>
    <definedName name="FA" localSheetId="13">[26]acct!#REF!</definedName>
    <definedName name="FA" localSheetId="5">[26]acct!#REF!</definedName>
    <definedName name="FA">[26]acct!#REF!</definedName>
    <definedName name="Fcy" localSheetId="20">#REF!</definedName>
    <definedName name="Fcy" localSheetId="17">#REF!</definedName>
    <definedName name="Fcy" localSheetId="8">#REF!</definedName>
    <definedName name="Fcy" localSheetId="12">#REF!</definedName>
    <definedName name="Fcy" localSheetId="13">#REF!</definedName>
    <definedName name="Fcy" localSheetId="5">#REF!</definedName>
    <definedName name="Fcy">#REF!</definedName>
    <definedName name="FDE" localSheetId="20">'[61]Notes1-5'!#REF!</definedName>
    <definedName name="FDE" localSheetId="17">'[61]Notes1-5'!#REF!</definedName>
    <definedName name="FDE" localSheetId="8">'[61]Notes1-5'!#REF!</definedName>
    <definedName name="FDE" localSheetId="12">'[61]Notes1-5'!#REF!</definedName>
    <definedName name="FDE" localSheetId="13">'[61]Notes1-5'!#REF!</definedName>
    <definedName name="FDE" localSheetId="5">'[61]Notes1-5'!#REF!</definedName>
    <definedName name="FDE">'[61]Notes1-5'!#REF!</definedName>
    <definedName name="FDF" localSheetId="20">'[62]CE-10th-June-06'!#REF!</definedName>
    <definedName name="FDF" localSheetId="17">'[62]CE-10th-June-06'!#REF!</definedName>
    <definedName name="FDF" localSheetId="8">'[62]CE-10th-June-06'!#REF!</definedName>
    <definedName name="FDF" localSheetId="12">'[62]CE-10th-June-06'!#REF!</definedName>
    <definedName name="FDF" localSheetId="13">'[62]CE-10th-June-06'!#REF!</definedName>
    <definedName name="FDF" localSheetId="5">'[62]CE-10th-June-06'!#REF!</definedName>
    <definedName name="FDF">'[62]CE-10th-June-06'!#REF!</definedName>
    <definedName name="fg" localSheetId="20">#REF!</definedName>
    <definedName name="fg" localSheetId="17">#REF!</definedName>
    <definedName name="fg" localSheetId="8">#REF!</definedName>
    <definedName name="fg" localSheetId="2">#REF!</definedName>
    <definedName name="fg" localSheetId="12">#REF!</definedName>
    <definedName name="fg" localSheetId="13">#REF!</definedName>
    <definedName name="fg" localSheetId="5">#REF!</definedName>
    <definedName name="fg">#REF!</definedName>
    <definedName name="fgh" localSheetId="17" hidden="1">{#N/A,#N/A,FALSE,"dec98qtr";#N/A,#N/A,FALSE,"suppdecsep98";#N/A,#N/A,FALSE,"w-dec98"}</definedName>
    <definedName name="fgh" localSheetId="8" hidden="1">{#N/A,#N/A,FALSE,"dec98qtr";#N/A,#N/A,FALSE,"suppdecsep98";#N/A,#N/A,FALSE,"w-dec98"}</definedName>
    <definedName name="fgh" localSheetId="2" hidden="1">{#N/A,#N/A,FALSE,"dec98qtr";#N/A,#N/A,FALSE,"suppdecsep98";#N/A,#N/A,FALSE,"w-dec98"}</definedName>
    <definedName name="fgh" hidden="1">{#N/A,#N/A,FALSE,"dec98qtr";#N/A,#N/A,FALSE,"suppdecsep98";#N/A,#N/A,FALSE,"w-dec98"}</definedName>
    <definedName name="FIBREPO" localSheetId="20">#REF!</definedName>
    <definedName name="FIBREPO" localSheetId="17">#REF!</definedName>
    <definedName name="FIBREPO" localSheetId="8">#REF!</definedName>
    <definedName name="FIBREPO" localSheetId="12">#REF!</definedName>
    <definedName name="FIBREPO" localSheetId="13">#REF!</definedName>
    <definedName name="FIBREPO" localSheetId="5">#REF!</definedName>
    <definedName name="FIBREPO">#REF!</definedName>
    <definedName name="FIBWON" localSheetId="20">#REF!</definedName>
    <definedName name="FIBWON" localSheetId="17">#REF!</definedName>
    <definedName name="FIBWON" localSheetId="8">#REF!</definedName>
    <definedName name="FIBWON" localSheetId="12">#REF!</definedName>
    <definedName name="FIBWON" localSheetId="13">#REF!</definedName>
    <definedName name="FIBWON" localSheetId="5">#REF!</definedName>
    <definedName name="FIBWON">#REF!</definedName>
    <definedName name="FIN" localSheetId="18">#REF!</definedName>
    <definedName name="FIN" localSheetId="19">#REF!</definedName>
    <definedName name="FIN">#REF!</definedName>
    <definedName name="FINANCIAL_CHRG">'[2]Input:Invetory level'!$B$31:$AG$1138</definedName>
    <definedName name="FinancialGraphs" localSheetId="20">#REF!</definedName>
    <definedName name="FinancialGraphs" localSheetId="17">#REF!</definedName>
    <definedName name="FinancialGraphs" localSheetId="8">#REF!</definedName>
    <definedName name="FinancialGraphs" localSheetId="12">#REF!</definedName>
    <definedName name="FinancialGraphs" localSheetId="13">#REF!</definedName>
    <definedName name="FinancialGraphs" localSheetId="5">#REF!</definedName>
    <definedName name="FinancialGraphs">#REF!</definedName>
    <definedName name="FINASSET" localSheetId="20">[26]acct!#REF!</definedName>
    <definedName name="FINASSET" localSheetId="17">[27]acct!#REF!</definedName>
    <definedName name="FINASSET" localSheetId="8">[26]acct!#REF!</definedName>
    <definedName name="FINASSET" localSheetId="2">[28]acct!#REF!</definedName>
    <definedName name="FINASSET" localSheetId="12">[26]acct!#REF!</definedName>
    <definedName name="FINASSET" localSheetId="13">[26]acct!#REF!</definedName>
    <definedName name="FINASSET" localSheetId="5">[26]acct!#REF!</definedName>
    <definedName name="FINASSET">[26]acct!#REF!</definedName>
    <definedName name="FIXED_ASSETS" localSheetId="20">#REF!</definedName>
    <definedName name="FIXED_ASSETS" localSheetId="17">#REF!</definedName>
    <definedName name="FIXED_ASSETS" localSheetId="8">#REF!</definedName>
    <definedName name="FIXED_ASSETS" localSheetId="2">#REF!</definedName>
    <definedName name="FIXED_ASSETS" localSheetId="12">#REF!</definedName>
    <definedName name="FIXED_ASSETS" localSheetId="13">#REF!</definedName>
    <definedName name="FIXED_ASSETS" localSheetId="5">#REF!</definedName>
    <definedName name="FIXED_ASSETS">#REF!</definedName>
    <definedName name="FIXEDASSETS" localSheetId="20">#REF!</definedName>
    <definedName name="FIXEDASSETS" localSheetId="17">#REF!</definedName>
    <definedName name="FIXEDASSETS" localSheetId="8">#REF!</definedName>
    <definedName name="FIXEDASSETS" localSheetId="2">#REF!</definedName>
    <definedName name="FIXEDASSETS" localSheetId="12">#REF!</definedName>
    <definedName name="FIXEDASSETS" localSheetId="13">#REF!</definedName>
    <definedName name="FIXEDASSETS" localSheetId="5">#REF!</definedName>
    <definedName name="FIXEDASSETS">#REF!</definedName>
    <definedName name="FMA" localSheetId="18">#REF!</definedName>
    <definedName name="FMA" localSheetId="19">#REF!</definedName>
    <definedName name="FMA">#REF!</definedName>
    <definedName name="Foreign" localSheetId="20">#REF!</definedName>
    <definedName name="Foreign" localSheetId="17">#REF!</definedName>
    <definedName name="Foreign" localSheetId="8">#REF!</definedName>
    <definedName name="Foreign" localSheetId="12">#REF!</definedName>
    <definedName name="Foreign" localSheetId="13">#REF!</definedName>
    <definedName name="Foreign" localSheetId="5">#REF!</definedName>
    <definedName name="Foreign">#REF!</definedName>
    <definedName name="FOREIGNEXCHANGE" localSheetId="20">#REF!</definedName>
    <definedName name="FOREIGNEXCHANGE" localSheetId="17">#REF!</definedName>
    <definedName name="FOREIGNEXCHANGE" localSheetId="8">#REF!</definedName>
    <definedName name="FOREIGNEXCHANGE" localSheetId="2">#REF!</definedName>
    <definedName name="FOREIGNEXCHANGE" localSheetId="12">#REF!</definedName>
    <definedName name="FOREIGNEXCHANGE" localSheetId="13">#REF!</definedName>
    <definedName name="FOREIGNEXCHANGE" localSheetId="5">#REF!</definedName>
    <definedName name="FOREIGNEXCHANGE">#REF!</definedName>
    <definedName name="FORM" localSheetId="20">#REF!</definedName>
    <definedName name="FORM" localSheetId="17">#REF!</definedName>
    <definedName name="FORM" localSheetId="8">#REF!</definedName>
    <definedName name="FORM" localSheetId="12">#REF!</definedName>
    <definedName name="FORM" localSheetId="13">#REF!</definedName>
    <definedName name="FORM" localSheetId="5">#REF!</definedName>
    <definedName name="FORM">#REF!</definedName>
    <definedName name="FP_EU_0206__00246_04" localSheetId="20">#REF!</definedName>
    <definedName name="FP_EU_0206__00246_04" localSheetId="17">#REF!</definedName>
    <definedName name="FP_EU_0206__00246_04" localSheetId="8">#REF!</definedName>
    <definedName name="FP_EU_0206__00246_04" localSheetId="12">#REF!</definedName>
    <definedName name="FP_EU_0206__00246_04" localSheetId="13">#REF!</definedName>
    <definedName name="FP_EU_0206__00246_04" localSheetId="5">#REF!</definedName>
    <definedName name="FP_EU_0206__00246_04">#REF!</definedName>
    <definedName name="FSA" localSheetId="20">#REF!</definedName>
    <definedName name="FSA" localSheetId="17">#REF!</definedName>
    <definedName name="FSA" localSheetId="8">#REF!</definedName>
    <definedName name="FSA" localSheetId="12">#REF!</definedName>
    <definedName name="FSA" localSheetId="13">#REF!</definedName>
    <definedName name="FSA" localSheetId="5">#REF!</definedName>
    <definedName name="FSA">#REF!</definedName>
    <definedName name="FUNDS_POSITION" localSheetId="20">[63]Bank!#REF!</definedName>
    <definedName name="FUNDS_POSITION" localSheetId="17">[63]Bank!#REF!</definedName>
    <definedName name="FUNDS_POSITION" localSheetId="8">[63]Bank!#REF!</definedName>
    <definedName name="FUNDS_POSITION" localSheetId="2">[63]Bank!#REF!</definedName>
    <definedName name="FUNDS_POSITION" localSheetId="12">[63]Bank!#REF!</definedName>
    <definedName name="FUNDS_POSITION" localSheetId="13">[63]Bank!#REF!</definedName>
    <definedName name="FUNDS_POSITION" localSheetId="5">[63]Bank!#REF!</definedName>
    <definedName name="FUNDS_POSITION">[63]Bank!#REF!</definedName>
    <definedName name="G" localSheetId="20">#REF!</definedName>
    <definedName name="G" localSheetId="17">#REF!</definedName>
    <definedName name="G" localSheetId="8">#REF!</definedName>
    <definedName name="G" localSheetId="12">#REF!</definedName>
    <definedName name="G" localSheetId="13">#REF!</definedName>
    <definedName name="G" localSheetId="5">#REF!</definedName>
    <definedName name="G">#REF!</definedName>
    <definedName name="g54." localSheetId="20">#REF!</definedName>
    <definedName name="g54." localSheetId="17">#REF!</definedName>
    <definedName name="g54." localSheetId="8">#REF!</definedName>
    <definedName name="g54." localSheetId="12">#REF!</definedName>
    <definedName name="g54." localSheetId="13">#REF!</definedName>
    <definedName name="g54." localSheetId="5">#REF!</definedName>
    <definedName name="g54.">#REF!</definedName>
    <definedName name="GEOTURN" localSheetId="18">#REF!</definedName>
    <definedName name="GEOTURN" localSheetId="19">#REF!</definedName>
    <definedName name="GEOTURN">#REF!</definedName>
    <definedName name="gfgdhf" localSheetId="17" hidden="1">{"Sales 2",#N/A,FALSE,"SALES";"Transfer 2",#N/A,FALSE,"TRANSFERS";"A1460",#N/A,FALSE,"A1460"}</definedName>
    <definedName name="gfgdhf" localSheetId="8" hidden="1">{"Sales 2",#N/A,FALSE,"SALES";"Transfer 2",#N/A,FALSE,"TRANSFERS";"A1460",#N/A,FALSE,"A1460"}</definedName>
    <definedName name="gfgdhf" localSheetId="2" hidden="1">{"Sales 2",#N/A,FALSE,"SALES";"Transfer 2",#N/A,FALSE,"TRANSFERS";"A1460",#N/A,FALSE,"A1460"}</definedName>
    <definedName name="gfgdhf" hidden="1">{"Sales 2",#N/A,FALSE,"SALES";"Transfer 2",#N/A,FALSE,"TRANSFERS";"A1460",#N/A,FALSE,"A1460"}</definedName>
    <definedName name="gg" localSheetId="17" hidden="1">{"Sales 2",#N/A,FALSE,"SALES";"Transfer 2",#N/A,FALSE,"TRANSFERS";"A1460",#N/A,FALSE,"A1460"}</definedName>
    <definedName name="gg" localSheetId="8" hidden="1">{"Sales 2",#N/A,FALSE,"SALES";"Transfer 2",#N/A,FALSE,"TRANSFERS";"A1460",#N/A,FALSE,"A1460"}</definedName>
    <definedName name="gg" localSheetId="2" hidden="1">{"Sales 2",#N/A,FALSE,"SALES";"Transfer 2",#N/A,FALSE,"TRANSFERS";"A1460",#N/A,FALSE,"A1460"}</definedName>
    <definedName name="gg" hidden="1">{"Sales 2",#N/A,FALSE,"SALES";"Transfer 2",#N/A,FALSE,"TRANSFERS";"A1460",#N/A,FALSE,"A1460"}</definedName>
    <definedName name="ggf" localSheetId="17" hidden="1">{#N/A,#N/A,FALSE,"dec98qtr";#N/A,#N/A,FALSE,"suppdecsep98";#N/A,#N/A,FALSE,"w-dec98"}</definedName>
    <definedName name="ggf" localSheetId="8" hidden="1">{#N/A,#N/A,FALSE,"dec98qtr";#N/A,#N/A,FALSE,"suppdecsep98";#N/A,#N/A,FALSE,"w-dec98"}</definedName>
    <definedName name="ggf" localSheetId="2" hidden="1">{#N/A,#N/A,FALSE,"dec98qtr";#N/A,#N/A,FALSE,"suppdecsep98";#N/A,#N/A,FALSE,"w-dec98"}</definedName>
    <definedName name="ggf" hidden="1">{#N/A,#N/A,FALSE,"dec98qtr";#N/A,#N/A,FALSE,"suppdecsep98";#N/A,#N/A,FALSE,"w-dec98"}</definedName>
    <definedName name="GGG" localSheetId="20">#REF!</definedName>
    <definedName name="GGG" localSheetId="17">#REF!</definedName>
    <definedName name="GGG" localSheetId="8">#REF!</definedName>
    <definedName name="GGG" localSheetId="12">#REF!</definedName>
    <definedName name="GGG" localSheetId="13">#REF!</definedName>
    <definedName name="GGG" localSheetId="5">#REF!</definedName>
    <definedName name="GGG">#REF!</definedName>
    <definedName name="GH" localSheetId="17" hidden="1">{"MSS",#N/A,FALSE,"MSS";"ProdSA",#N/A,FALSE,"ProdSA";"Sales 1",#N/A,FALSE,"SALES";"Transfer 1",#N/A,FALSE,"TRANSFERS"}</definedName>
    <definedName name="GH" localSheetId="8" hidden="1">{"MSS",#N/A,FALSE,"MSS";"ProdSA",#N/A,FALSE,"ProdSA";"Sales 1",#N/A,FALSE,"SALES";"Transfer 1",#N/A,FALSE,"TRANSFERS"}</definedName>
    <definedName name="GH" localSheetId="2" hidden="1">{"MSS",#N/A,FALSE,"MSS";"ProdSA",#N/A,FALSE,"ProdSA";"Sales 1",#N/A,FALSE,"SALES";"Transfer 1",#N/A,FALSE,"TRANSFERS"}</definedName>
    <definedName name="GH" hidden="1">{"MSS",#N/A,FALSE,"MSS";"ProdSA",#N/A,FALSE,"ProdSA";"Sales 1",#N/A,FALSE,"SALES";"Transfer 1",#N/A,FALSE,"TRANSFERS"}</definedName>
    <definedName name="ghj" localSheetId="17" hidden="1">{"Sales 2",#N/A,FALSE,"SALES";"Transfer 2",#N/A,FALSE,"TRANSFERS";"A1460",#N/A,FALSE,"A1460"}</definedName>
    <definedName name="ghj" localSheetId="8" hidden="1">{"Sales 2",#N/A,FALSE,"SALES";"Transfer 2",#N/A,FALSE,"TRANSFERS";"A1460",#N/A,FALSE,"A1460"}</definedName>
    <definedName name="ghj" localSheetId="2" hidden="1">{"Sales 2",#N/A,FALSE,"SALES";"Transfer 2",#N/A,FALSE,"TRANSFERS";"A1460",#N/A,FALSE,"A1460"}</definedName>
    <definedName name="ghj" hidden="1">{"Sales 2",#N/A,FALSE,"SALES";"Transfer 2",#N/A,FALSE,"TRANSFERS";"A1460",#N/A,FALSE,"A1460"}</definedName>
    <definedName name="GL" localSheetId="17" hidden="1">{"'CALL MONEY'!$K$53"}</definedName>
    <definedName name="GL" localSheetId="8" hidden="1">{"'CALL MONEY'!$K$53"}</definedName>
    <definedName name="GL" hidden="1">{"'CALL MONEY'!$K$53"}</definedName>
    <definedName name="GOCWO" localSheetId="18">#REF!</definedName>
    <definedName name="GOCWO" localSheetId="19">#REF!</definedName>
    <definedName name="GOCWO">#REF!</definedName>
    <definedName name="GP_COMPARISON" localSheetId="20">#REF!</definedName>
    <definedName name="GP_COMPARISON" localSheetId="17">#REF!</definedName>
    <definedName name="GP_COMPARISON" localSheetId="8">#REF!</definedName>
    <definedName name="GP_COMPARISON" localSheetId="2">#REF!</definedName>
    <definedName name="GP_COMPARISON" localSheetId="12">#REF!</definedName>
    <definedName name="GP_COMPARISON" localSheetId="13">#REF!</definedName>
    <definedName name="GP_COMPARISON" localSheetId="5">#REF!</definedName>
    <definedName name="GP_COMPARISON">#REF!</definedName>
    <definedName name="hatim" localSheetId="18">#REF!</definedName>
    <definedName name="hatim" localSheetId="19">#REF!</definedName>
    <definedName name="hatim">#REF!</definedName>
    <definedName name="HD_INCOME" localSheetId="20">#REF!</definedName>
    <definedName name="HD_INCOME" localSheetId="17">#REF!</definedName>
    <definedName name="HD_INCOME" localSheetId="8">#REF!</definedName>
    <definedName name="HD_INCOME" localSheetId="2">#REF!</definedName>
    <definedName name="HD_INCOME" localSheetId="12">#REF!</definedName>
    <definedName name="HD_INCOME" localSheetId="13">#REF!</definedName>
    <definedName name="HD_INCOME" localSheetId="5">#REF!</definedName>
    <definedName name="HD_INCOME">#REF!</definedName>
    <definedName name="Henry" localSheetId="18">'[64]Analytics Summary'!#REF!</definedName>
    <definedName name="Henry" localSheetId="19">'[64]Analytics Summary'!#REF!</definedName>
    <definedName name="Henry">'[64]Analytics Summary'!#REF!</definedName>
    <definedName name="hfh" localSheetId="17" hidden="1">{#N/A,#N/A,FALSE,"dec98qtr";#N/A,#N/A,FALSE,"suppdecsep98";#N/A,#N/A,FALSE,"w-dec98"}</definedName>
    <definedName name="hfh" localSheetId="8" hidden="1">{#N/A,#N/A,FALSE,"dec98qtr";#N/A,#N/A,FALSE,"suppdecsep98";#N/A,#N/A,FALSE,"w-dec98"}</definedName>
    <definedName name="hfh" localSheetId="2" hidden="1">{#N/A,#N/A,FALSE,"dec98qtr";#N/A,#N/A,FALSE,"suppdecsep98";#N/A,#N/A,FALSE,"w-dec98"}</definedName>
    <definedName name="hfh" hidden="1">{#N/A,#N/A,FALSE,"dec98qtr";#N/A,#N/A,FALSE,"suppdecsep98";#N/A,#N/A,FALSE,"w-dec98"}</definedName>
    <definedName name="hgg" localSheetId="17" hidden="1">{"Sales 2",#N/A,FALSE,"SALES";"Transfer 2",#N/A,FALSE,"TRANSFERS";"A1460",#N/A,FALSE,"A1460"}</definedName>
    <definedName name="hgg" localSheetId="8" hidden="1">{"Sales 2",#N/A,FALSE,"SALES";"Transfer 2",#N/A,FALSE,"TRANSFERS";"A1460",#N/A,FALSE,"A1460"}</definedName>
    <definedName name="hgg" localSheetId="2" hidden="1">{"Sales 2",#N/A,FALSE,"SALES";"Transfer 2",#N/A,FALSE,"TRANSFERS";"A1460",#N/A,FALSE,"A1460"}</definedName>
    <definedName name="hgg" hidden="1">{"Sales 2",#N/A,FALSE,"SALES";"Transfer 2",#N/A,FALSE,"TRANSFERS";"A1460",#N/A,FALSE,"A1460"}</definedName>
    <definedName name="hh" localSheetId="17">#N/A</definedName>
    <definedName name="hh" localSheetId="8" hidden="1">{"'CALL MONEY'!$K$53"}</definedName>
    <definedName name="hh" hidden="1">{"'CALL MONEY'!$K$53"}</definedName>
    <definedName name="hhjhjjjjjj" localSheetId="18">[65]Lead!#REF!</definedName>
    <definedName name="hhjhjjjjjj" localSheetId="19">[65]Lead!#REF!</definedName>
    <definedName name="hhjhjjjjjj">[65]Lead!#REF!</definedName>
    <definedName name="HISTORY_A_LIAB" localSheetId="20">#REF!</definedName>
    <definedName name="HISTORY_A_LIAB" localSheetId="17">#REF!</definedName>
    <definedName name="HISTORY_A_LIAB" localSheetId="8">#REF!</definedName>
    <definedName name="HISTORY_A_LIAB" localSheetId="2">#REF!</definedName>
    <definedName name="HISTORY_A_LIAB" localSheetId="12">#REF!</definedName>
    <definedName name="HISTORY_A_LIAB" localSheetId="13">#REF!</definedName>
    <definedName name="HISTORY_A_LIAB" localSheetId="5">#REF!</definedName>
    <definedName name="HISTORY_A_LIAB">#REF!</definedName>
    <definedName name="hr" localSheetId="18">#REF!</definedName>
    <definedName name="hr" localSheetId="19">#REF!</definedName>
    <definedName name="hr">#REF!</definedName>
    <definedName name="html_cntrl" localSheetId="17" hidden="1">{"'CALL MONEY'!$K$53"}</definedName>
    <definedName name="html_cntrl" localSheetId="8" hidden="1">{"'CALL MONEY'!$K$53"}</definedName>
    <definedName name="html_cntrl" hidden="1">{"'CALL MONEY'!$K$53"}</definedName>
    <definedName name="html_cntrl465454" localSheetId="17" hidden="1">{"'CALL MONEY'!$K$53"}</definedName>
    <definedName name="html_cntrl465454" localSheetId="8" hidden="1">{"'CALL MONEY'!$K$53"}</definedName>
    <definedName name="html_cntrl465454" hidden="1">{"'CALL MONEY'!$K$53"}</definedName>
    <definedName name="HTML_CodePage" hidden="1">1252</definedName>
    <definedName name="HTML_Control" localSheetId="17" hidden="1">{"'CALL MONEY'!$K$53"}</definedName>
    <definedName name="HTML_Control" localSheetId="8" hidden="1">{"'CALL MONEY'!$K$53"}</definedName>
    <definedName name="HTML_Control" hidden="1">{"'CALL MONEY'!$K$53"}</definedName>
    <definedName name="html_control1" localSheetId="17" hidden="1">{"'CALL MONEY'!$K$53"}</definedName>
    <definedName name="html_control1" localSheetId="8" hidden="1">{"'CALL MONEY'!$K$53"}</definedName>
    <definedName name="html_control1" hidden="1">{"'CALL MONEY'!$K$53"}</definedName>
    <definedName name="html_ctl78" localSheetId="17" hidden="1">{"'CALL MONEY'!$K$53"}</definedName>
    <definedName name="html_ctl78" localSheetId="8"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20">#REF!</definedName>
    <definedName name="I" localSheetId="17">#REF!</definedName>
    <definedName name="I" localSheetId="8">#REF!</definedName>
    <definedName name="I" localSheetId="12">#REF!</definedName>
    <definedName name="I" localSheetId="13">#REF!</definedName>
    <definedName name="I" localSheetId="5">#REF!</definedName>
    <definedName name="I">#REF!</definedName>
    <definedName name="ID" localSheetId="18">#REF!</definedName>
    <definedName name="ID" localSheetId="19">#REF!</definedName>
    <definedName name="ID">#REF!</definedName>
    <definedName name="IDFUIU" localSheetId="20">#REF!</definedName>
    <definedName name="IDFUIU" localSheetId="17">#REF!</definedName>
    <definedName name="IDFUIU" localSheetId="8">#REF!</definedName>
    <definedName name="IDFUIU" localSheetId="12">#REF!</definedName>
    <definedName name="IDFUIU" localSheetId="13">#REF!</definedName>
    <definedName name="IDFUIU" localSheetId="5">#REF!</definedName>
    <definedName name="IDFUIU">#REF!</definedName>
    <definedName name="IEC" localSheetId="20">#REF!</definedName>
    <definedName name="IEC" localSheetId="17">#REF!</definedName>
    <definedName name="IEC" localSheetId="8">#REF!</definedName>
    <definedName name="IEC" localSheetId="12">#REF!</definedName>
    <definedName name="IEC" localSheetId="13">#REF!</definedName>
    <definedName name="IEC" localSheetId="5">#REF!</definedName>
    <definedName name="IEC">#REF!</definedName>
    <definedName name="IECO" localSheetId="20">#REF!</definedName>
    <definedName name="IECO" localSheetId="17">#REF!</definedName>
    <definedName name="IECO" localSheetId="8">#REF!</definedName>
    <definedName name="IECO" localSheetId="12">#REF!</definedName>
    <definedName name="IECO" localSheetId="13">#REF!</definedName>
    <definedName name="IECO" localSheetId="5">#REF!</definedName>
    <definedName name="IECO">#REF!</definedName>
    <definedName name="IECO1" localSheetId="20">#REF!</definedName>
    <definedName name="IECO1" localSheetId="17">#REF!</definedName>
    <definedName name="IECO1" localSheetId="8">#REF!</definedName>
    <definedName name="IECO1" localSheetId="12">#REF!</definedName>
    <definedName name="IECO1" localSheetId="13">#REF!</definedName>
    <definedName name="IECO1" localSheetId="5">#REF!</definedName>
    <definedName name="IECO1">#REF!</definedName>
    <definedName name="IED" localSheetId="20">#REF!</definedName>
    <definedName name="IED" localSheetId="17">#REF!</definedName>
    <definedName name="IED" localSheetId="8">#REF!</definedName>
    <definedName name="IED" localSheetId="12">#REF!</definedName>
    <definedName name="IED" localSheetId="13">#REF!</definedName>
    <definedName name="IED" localSheetId="5">#REF!</definedName>
    <definedName name="IED">#REF!</definedName>
    <definedName name="IEH" localSheetId="20">#REF!</definedName>
    <definedName name="IEH" localSheetId="17">#REF!</definedName>
    <definedName name="IEH" localSheetId="8">#REF!</definedName>
    <definedName name="IEH" localSheetId="12">#REF!</definedName>
    <definedName name="IEH" localSheetId="13">#REF!</definedName>
    <definedName name="IEH" localSheetId="5">#REF!</definedName>
    <definedName name="IEH">#REF!</definedName>
    <definedName name="IEP" localSheetId="20">#REF!</definedName>
    <definedName name="IEP" localSheetId="17">#REF!</definedName>
    <definedName name="IEP" localSheetId="8">#REF!</definedName>
    <definedName name="IEP" localSheetId="12">#REF!</definedName>
    <definedName name="IEP" localSheetId="13">#REF!</definedName>
    <definedName name="IEP" localSheetId="5">#REF!</definedName>
    <definedName name="IEP">#REF!</definedName>
    <definedName name="IES" localSheetId="20">#REF!</definedName>
    <definedName name="IES" localSheetId="17">#REF!</definedName>
    <definedName name="IES" localSheetId="8">#REF!</definedName>
    <definedName name="IES" localSheetId="12">#REF!</definedName>
    <definedName name="IES" localSheetId="13">#REF!</definedName>
    <definedName name="IES" localSheetId="5">#REF!</definedName>
    <definedName name="IES">#REF!</definedName>
    <definedName name="IET" localSheetId="20">#REF!</definedName>
    <definedName name="IET" localSheetId="17">#REF!</definedName>
    <definedName name="IET" localSheetId="8">#REF!</definedName>
    <definedName name="IET" localSheetId="12">#REF!</definedName>
    <definedName name="IET" localSheetId="13">#REF!</definedName>
    <definedName name="IET" localSheetId="5">#REF!</definedName>
    <definedName name="IET">#REF!</definedName>
    <definedName name="INC" localSheetId="20">#REF!</definedName>
    <definedName name="INC" localSheetId="17">#REF!</definedName>
    <definedName name="INC" localSheetId="8">#REF!</definedName>
    <definedName name="INC" localSheetId="12">#REF!</definedName>
    <definedName name="INC" localSheetId="13">#REF!</definedName>
    <definedName name="INC" localSheetId="5">#REF!</definedName>
    <definedName name="INC">#REF!</definedName>
    <definedName name="incomeretfc" localSheetId="18">#REF!</definedName>
    <definedName name="incomeretfc" localSheetId="19">#REF!</definedName>
    <definedName name="incomeretfc">#REF!</definedName>
    <definedName name="IncomeStatementDates" localSheetId="20">#REF!</definedName>
    <definedName name="IncomeStatementDates" localSheetId="17">#REF!</definedName>
    <definedName name="IncomeStatementDates" localSheetId="8">#REF!</definedName>
    <definedName name="IncomeStatementDates" localSheetId="2">#REF!</definedName>
    <definedName name="IncomeStatementDates" localSheetId="12">#REF!</definedName>
    <definedName name="IncomeStatementDates" localSheetId="13">#REF!</definedName>
    <definedName name="IncomeStatementDates" localSheetId="5">#REF!</definedName>
    <definedName name="IncomeStatementDates">#REF!</definedName>
    <definedName name="INPUT" localSheetId="18">#REF!</definedName>
    <definedName name="INPUT" localSheetId="19">#REF!</definedName>
    <definedName name="INPUT">#REF!</definedName>
    <definedName name="INVEST" localSheetId="20">[26]acct!#REF!</definedName>
    <definedName name="INVEST" localSheetId="17">[27]acct!#REF!</definedName>
    <definedName name="INVEST" localSheetId="8">[26]acct!#REF!</definedName>
    <definedName name="INVEST" localSheetId="2">[28]acct!#REF!</definedName>
    <definedName name="INVEST" localSheetId="12">[26]acct!#REF!</definedName>
    <definedName name="INVEST" localSheetId="13">[26]acct!#REF!</definedName>
    <definedName name="INVEST" localSheetId="5">[26]acct!#REF!</definedName>
    <definedName name="INVEST">[26]acct!#REF!</definedName>
    <definedName name="investments" localSheetId="17" hidden="1">{"'CALL MONEY'!$K$53"}</definedName>
    <definedName name="investments" localSheetId="8" hidden="1">{"'CALL MONEY'!$K$53"}</definedName>
    <definedName name="investments" hidden="1">{"'CALL MONEY'!$K$53"}</definedName>
    <definedName name="IPAGE1" localSheetId="20">#REF!</definedName>
    <definedName name="IPAGE1" localSheetId="17">#REF!</definedName>
    <definedName name="IPAGE1" localSheetId="8">#REF!</definedName>
    <definedName name="IPAGE1" localSheetId="12">#REF!</definedName>
    <definedName name="IPAGE1" localSheetId="13">#REF!</definedName>
    <definedName name="IPAGE1" localSheetId="5">#REF!</definedName>
    <definedName name="IPAGE1">#REF!</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40952.1527893519</definedName>
    <definedName name="IQ_NTM" hidden="1">6000</definedName>
    <definedName name="IQ_TODAY" hidden="1">0</definedName>
    <definedName name="IQ_WEEK" hidden="1">50000</definedName>
    <definedName name="IQ_YTD" hidden="1">3000</definedName>
    <definedName name="IQ_YTDMONTH" hidden="1">130000</definedName>
    <definedName name="iqbal" localSheetId="20">[66]Sheet2!#REF!</definedName>
    <definedName name="iqbal" localSheetId="17">[67]Sheet2!#REF!</definedName>
    <definedName name="iqbal" localSheetId="8">[66]Sheet2!#REF!</definedName>
    <definedName name="iqbal" localSheetId="12">[66]Sheet2!#REF!</definedName>
    <definedName name="iqbal" localSheetId="13">[66]Sheet2!#REF!</definedName>
    <definedName name="iqbal" localSheetId="5">[66]Sheet2!#REF!</definedName>
    <definedName name="iqbal">[66]Sheet2!#REF!</definedName>
    <definedName name="IRR" localSheetId="20">#REF!</definedName>
    <definedName name="IRR" localSheetId="17">#REF!</definedName>
    <definedName name="IRR" localSheetId="8">#REF!</definedName>
    <definedName name="IRR" localSheetId="2">#REF!</definedName>
    <definedName name="IRR" localSheetId="12">#REF!</definedName>
    <definedName name="IRR" localSheetId="13">#REF!</definedName>
    <definedName name="IRR" localSheetId="5">#REF!</definedName>
    <definedName name="IRR">#REF!</definedName>
    <definedName name="iu" localSheetId="20">#REF!</definedName>
    <definedName name="iu" localSheetId="17">#REF!</definedName>
    <definedName name="iu" localSheetId="8">#REF!</definedName>
    <definedName name="iu" localSheetId="12">#REF!</definedName>
    <definedName name="iu" localSheetId="13">#REF!</definedName>
    <definedName name="iu" localSheetId="5">#REF!</definedName>
    <definedName name="iu">#REF!</definedName>
    <definedName name="J" localSheetId="20">#REF!</definedName>
    <definedName name="J" localSheetId="17">#REF!</definedName>
    <definedName name="J" localSheetId="8">#REF!</definedName>
    <definedName name="J" localSheetId="12">#REF!</definedName>
    <definedName name="J" localSheetId="13">#REF!</definedName>
    <definedName name="J" localSheetId="5">#REF!</definedName>
    <definedName name="J">#REF!</definedName>
    <definedName name="jak" localSheetId="18">#REF!</definedName>
    <definedName name="jak" localSheetId="19">#REF!</definedName>
    <definedName name="jak">#REF!</definedName>
    <definedName name="JJJJ" localSheetId="20">#REF!</definedName>
    <definedName name="JJJJ" localSheetId="17">#REF!</definedName>
    <definedName name="JJJJ" localSheetId="8">#REF!</definedName>
    <definedName name="JJJJ" localSheetId="12">#REF!</definedName>
    <definedName name="JJJJ" localSheetId="13">#REF!</definedName>
    <definedName name="JJJJ" localSheetId="5">#REF!</definedName>
    <definedName name="JJJJ">#REF!</definedName>
    <definedName name="jkjk" localSheetId="17" hidden="1">{"MSS",#N/A,FALSE,"MSS";"ProdSA",#N/A,FALSE,"ProdSA";"Sales 1",#N/A,FALSE,"SALES";"Transfer 1",#N/A,FALSE,"TRANSFERS"}</definedName>
    <definedName name="jkjk" localSheetId="8" hidden="1">{"MSS",#N/A,FALSE,"MSS";"ProdSA",#N/A,FALSE,"ProdSA";"Sales 1",#N/A,FALSE,"SALES";"Transfer 1",#N/A,FALSE,"TRANSFERS"}</definedName>
    <definedName name="jkjk" localSheetId="2" hidden="1">{"MSS",#N/A,FALSE,"MSS";"ProdSA",#N/A,FALSE,"ProdSA";"Sales 1",#N/A,FALSE,"SALES";"Transfer 1",#N/A,FALSE,"TRANSFERS"}</definedName>
    <definedName name="jkjk" hidden="1">{"MSS",#N/A,FALSE,"MSS";"ProdSA",#N/A,FALSE,"ProdSA";"Sales 1",#N/A,FALSE,"SALES";"Transfer 1",#N/A,FALSE,"TRANSFERS"}</definedName>
    <definedName name="jkl" localSheetId="17" hidden="1">{#N/A,#N/A,FALSE,"dec98qtr";#N/A,#N/A,FALSE,"suppdecsep98";#N/A,#N/A,FALSE,"w-dec98"}</definedName>
    <definedName name="jkl" localSheetId="8" hidden="1">{#N/A,#N/A,FALSE,"dec98qtr";#N/A,#N/A,FALSE,"suppdecsep98";#N/A,#N/A,FALSE,"w-dec98"}</definedName>
    <definedName name="jkl" localSheetId="2" hidden="1">{#N/A,#N/A,FALSE,"dec98qtr";#N/A,#N/A,FALSE,"suppdecsep98";#N/A,#N/A,FALSE,"w-dec98"}</definedName>
    <definedName name="jkl" hidden="1">{#N/A,#N/A,FALSE,"dec98qtr";#N/A,#N/A,FALSE,"suppdecsep98";#N/A,#N/A,FALSE,"w-dec98"}</definedName>
    <definedName name="jqhewhqe" localSheetId="17" hidden="1">{"MSS",#N/A,FALSE,"MSS";"ProdSA",#N/A,FALSE,"ProdSA";"Sales 1",#N/A,FALSE,"SALES";"Transfer 1",#N/A,FALSE,"TRANSFERS"}</definedName>
    <definedName name="jqhewhqe" localSheetId="8" hidden="1">{"MSS",#N/A,FALSE,"MSS";"ProdSA",#N/A,FALSE,"ProdSA";"Sales 1",#N/A,FALSE,"SALES";"Transfer 1",#N/A,FALSE,"TRANSFERS"}</definedName>
    <definedName name="jqhewhqe" localSheetId="2" hidden="1">{"MSS",#N/A,FALSE,"MSS";"ProdSA",#N/A,FALSE,"ProdSA";"Sales 1",#N/A,FALSE,"SALES";"Transfer 1",#N/A,FALSE,"TRANSFERS"}</definedName>
    <definedName name="jqhewhqe" hidden="1">{"MSS",#N/A,FALSE,"MSS";"ProdSA",#N/A,FALSE,"ProdSA";"Sales 1",#N/A,FALSE,"SALES";"Transfer 1",#N/A,FALSE,"TRANSFERS"}</definedName>
    <definedName name="jv" localSheetId="20">#REF!</definedName>
    <definedName name="jv" localSheetId="17">#REF!</definedName>
    <definedName name="jv" localSheetId="8">#REF!</definedName>
    <definedName name="jv" localSheetId="2">#REF!</definedName>
    <definedName name="jv" localSheetId="12">#REF!</definedName>
    <definedName name="jv" localSheetId="13">#REF!</definedName>
    <definedName name="jv" localSheetId="5">#REF!</definedName>
    <definedName name="jv">#REF!</definedName>
    <definedName name="JVPrint" localSheetId="20">#REF!</definedName>
    <definedName name="JVPrint" localSheetId="17">#REF!</definedName>
    <definedName name="JVPrint" localSheetId="8">#REF!</definedName>
    <definedName name="JVPrint" localSheetId="2">#REF!</definedName>
    <definedName name="JVPrint" localSheetId="12">#REF!</definedName>
    <definedName name="JVPrint" localSheetId="13">#REF!</definedName>
    <definedName name="JVPrint" localSheetId="5">#REF!</definedName>
    <definedName name="JVPrint">#REF!</definedName>
    <definedName name="KAJSDLKj" localSheetId="18">#REF!</definedName>
    <definedName name="KAJSDLKj" localSheetId="19">#REF!</definedName>
    <definedName name="KAJSDLKj">#REF!</definedName>
    <definedName name="kauser" localSheetId="20">#REF!</definedName>
    <definedName name="kauser" localSheetId="17">#REF!</definedName>
    <definedName name="kauser" localSheetId="8">#REF!</definedName>
    <definedName name="kauser" localSheetId="12">#REF!</definedName>
    <definedName name="kauser" localSheetId="13">#REF!</definedName>
    <definedName name="kauser" localSheetId="5">#REF!</definedName>
    <definedName name="kauser">#REF!</definedName>
    <definedName name="KEY_S" localSheetId="20" hidden="1">#REF!</definedName>
    <definedName name="KEY_S" localSheetId="17" hidden="1">#REF!</definedName>
    <definedName name="KEY_S" localSheetId="8" hidden="1">#REF!</definedName>
    <definedName name="KEY_S" localSheetId="2" hidden="1">#REF!</definedName>
    <definedName name="KEY_S" localSheetId="12" hidden="1">#REF!</definedName>
    <definedName name="KEY_S" localSheetId="13" hidden="1">#REF!</definedName>
    <definedName name="KEY_S" localSheetId="5" hidden="1">#REF!</definedName>
    <definedName name="KEY_S" hidden="1">#REF!</definedName>
    <definedName name="kjjk" localSheetId="17" hidden="1">{#N/A,#N/A,FALSE,"dec98qtr";#N/A,#N/A,FALSE,"suppdecsep98";#N/A,#N/A,FALSE,"w-dec98"}</definedName>
    <definedName name="kjjk" localSheetId="8" hidden="1">{#N/A,#N/A,FALSE,"dec98qtr";#N/A,#N/A,FALSE,"suppdecsep98";#N/A,#N/A,FALSE,"w-dec98"}</definedName>
    <definedName name="kjjk" localSheetId="2" hidden="1">{#N/A,#N/A,FALSE,"dec98qtr";#N/A,#N/A,FALSE,"suppdecsep98";#N/A,#N/A,FALSE,"w-dec98"}</definedName>
    <definedName name="kjjk" hidden="1">{#N/A,#N/A,FALSE,"dec98qtr";#N/A,#N/A,FALSE,"suppdecsep98";#N/A,#N/A,FALSE,"w-dec98"}</definedName>
    <definedName name="kk" localSheetId="18">#REF!</definedName>
    <definedName name="kk" localSheetId="19">#REF!</definedName>
    <definedName name="kk">#REF!</definedName>
    <definedName name="kkk" localSheetId="18">#REF!</definedName>
    <definedName name="kkk" localSheetId="19">#REF!</definedName>
    <definedName name="kkk">#REF!</definedName>
    <definedName name="kl" localSheetId="17" hidden="1">{"MSS",#N/A,FALSE,"MSS";"ProdSA",#N/A,FALSE,"ProdSA";"Sales 1",#N/A,FALSE,"SALES";"Transfer 1",#N/A,FALSE,"TRANSFERS"}</definedName>
    <definedName name="kl" localSheetId="8" hidden="1">{"MSS",#N/A,FALSE,"MSS";"ProdSA",#N/A,FALSE,"ProdSA";"Sales 1",#N/A,FALSE,"SALES";"Transfer 1",#N/A,FALSE,"TRANSFERS"}</definedName>
    <definedName name="kl" localSheetId="2" hidden="1">{"MSS",#N/A,FALSE,"MSS";"ProdSA",#N/A,FALSE,"ProdSA";"Sales 1",#N/A,FALSE,"SALES";"Transfer 1",#N/A,FALSE,"TRANSFERS"}</definedName>
    <definedName name="kl" hidden="1">{"MSS",#N/A,FALSE,"MSS";"ProdSA",#N/A,FALSE,"ProdSA";"Sales 1",#N/A,FALSE,"SALES";"Transfer 1",#N/A,FALSE,"TRANSFERS"}</definedName>
    <definedName name="l" localSheetId="20">'[68]CE-10th-June-06'!#REF!</definedName>
    <definedName name="l" localSheetId="17">'[62]CE-10th-June-06'!#REF!</definedName>
    <definedName name="l" localSheetId="8">'[68]CE-10th-June-06'!#REF!</definedName>
    <definedName name="l" localSheetId="12">'[68]CE-10th-June-06'!#REF!</definedName>
    <definedName name="l" localSheetId="13">'[68]CE-10th-June-06'!#REF!</definedName>
    <definedName name="l" localSheetId="5">'[68]CE-10th-June-06'!#REF!</definedName>
    <definedName name="l">'[68]CE-10th-June-06'!#REF!</definedName>
    <definedName name="L_AcctDes" localSheetId="20">#REF!</definedName>
    <definedName name="L_AcctDes" localSheetId="17">#REF!</definedName>
    <definedName name="L_AcctDes" localSheetId="8">#REF!</definedName>
    <definedName name="L_AcctDes" localSheetId="12">#REF!</definedName>
    <definedName name="L_AcctDes" localSheetId="13">#REF!</definedName>
    <definedName name="L_AcctDes" localSheetId="5">#REF!</definedName>
    <definedName name="L_AcctDes">#REF!</definedName>
    <definedName name="L_Adjust" localSheetId="17">#REF!</definedName>
    <definedName name="L_Adjust" localSheetId="2">#REF!</definedName>
    <definedName name="L_Adjust">[69]Links!$H$1:$H$65536</definedName>
    <definedName name="L_Adjust_GT" localSheetId="20">#REF!</definedName>
    <definedName name="L_Adjust_GT" localSheetId="17">#REF!</definedName>
    <definedName name="L_Adjust_GT" localSheetId="8">#REF!</definedName>
    <definedName name="L_Adjust_GT" localSheetId="12">#REF!</definedName>
    <definedName name="L_Adjust_GT" localSheetId="13">#REF!</definedName>
    <definedName name="L_Adjust_GT" localSheetId="5">#REF!</definedName>
    <definedName name="L_Adjust_GT">#REF!</definedName>
    <definedName name="L_AJE_Tot" localSheetId="17">#REF!</definedName>
    <definedName name="L_AJE_Tot" localSheetId="2">#REF!</definedName>
    <definedName name="L_AJE_Tot">[69]Links!$G$1:$G$65536</definedName>
    <definedName name="L_AJE_Tot_GT" localSheetId="20">#REF!</definedName>
    <definedName name="L_AJE_Tot_GT" localSheetId="17">#REF!</definedName>
    <definedName name="L_AJE_Tot_GT" localSheetId="8">#REF!</definedName>
    <definedName name="L_AJE_Tot_GT" localSheetId="12">#REF!</definedName>
    <definedName name="L_AJE_Tot_GT" localSheetId="13">#REF!</definedName>
    <definedName name="L_AJE_Tot_GT" localSheetId="5">#REF!</definedName>
    <definedName name="L_AJE_Tot_GT">#REF!</definedName>
    <definedName name="L_CompNum" localSheetId="20">#REF!</definedName>
    <definedName name="L_CompNum" localSheetId="17">#REF!</definedName>
    <definedName name="L_CompNum" localSheetId="8">#REF!</definedName>
    <definedName name="L_CompNum" localSheetId="12">#REF!</definedName>
    <definedName name="L_CompNum" localSheetId="13">#REF!</definedName>
    <definedName name="L_CompNum" localSheetId="5">#REF!</definedName>
    <definedName name="L_CompNum">#REF!</definedName>
    <definedName name="L_CY_Beg" localSheetId="17">#REF!</definedName>
    <definedName name="L_CY_Beg" localSheetId="2">#REF!</definedName>
    <definedName name="L_CY_Beg">[69]Links!$F$1:$F$65536</definedName>
    <definedName name="L_CY_Beg_GT" localSheetId="20">#REF!</definedName>
    <definedName name="L_CY_Beg_GT" localSheetId="17">#REF!</definedName>
    <definedName name="L_CY_Beg_GT" localSheetId="8">#REF!</definedName>
    <definedName name="L_CY_Beg_GT" localSheetId="12">#REF!</definedName>
    <definedName name="L_CY_Beg_GT" localSheetId="13">#REF!</definedName>
    <definedName name="L_CY_Beg_GT" localSheetId="5">#REF!</definedName>
    <definedName name="L_CY_Beg_GT">#REF!</definedName>
    <definedName name="L_CY_End" localSheetId="17">[70]Links!$J$1:$J$65536</definedName>
    <definedName name="L_CY_End">[69]Links!$J$1:$J$65536</definedName>
    <definedName name="L_CY_End_GT" localSheetId="20">#REF!</definedName>
    <definedName name="L_CY_End_GT" localSheetId="17">#REF!</definedName>
    <definedName name="L_CY_End_GT" localSheetId="8">#REF!</definedName>
    <definedName name="L_CY_End_GT" localSheetId="12">#REF!</definedName>
    <definedName name="L_CY_End_GT" localSheetId="13">#REF!</definedName>
    <definedName name="L_CY_End_GT" localSheetId="5">#REF!</definedName>
    <definedName name="L_CY_End_GT">#REF!</definedName>
    <definedName name="L_GrpNum" localSheetId="20">#REF!</definedName>
    <definedName name="L_GrpNum" localSheetId="17">#REF!</definedName>
    <definedName name="L_GrpNum" localSheetId="8">#REF!</definedName>
    <definedName name="L_GrpNum" localSheetId="12">#REF!</definedName>
    <definedName name="L_GrpNum" localSheetId="13">#REF!</definedName>
    <definedName name="L_GrpNum" localSheetId="5">#REF!</definedName>
    <definedName name="L_GrpNum">#REF!</definedName>
    <definedName name="L_Headings" localSheetId="20">#REF!</definedName>
    <definedName name="L_Headings" localSheetId="17">#REF!</definedName>
    <definedName name="L_Headings" localSheetId="8">#REF!</definedName>
    <definedName name="L_Headings" localSheetId="12">#REF!</definedName>
    <definedName name="L_Headings" localSheetId="13">#REF!</definedName>
    <definedName name="L_Headings" localSheetId="5">#REF!</definedName>
    <definedName name="L_Headings">#REF!</definedName>
    <definedName name="L_KeyValue" localSheetId="20">#REF!</definedName>
    <definedName name="L_KeyValue" localSheetId="17">#REF!</definedName>
    <definedName name="L_KeyValue" localSheetId="8">#REF!</definedName>
    <definedName name="L_KeyValue" localSheetId="12">#REF!</definedName>
    <definedName name="L_KeyValue" localSheetId="13">#REF!</definedName>
    <definedName name="L_KeyValue" localSheetId="5">#REF!</definedName>
    <definedName name="L_KeyValue">#REF!</definedName>
    <definedName name="L_PY_End" localSheetId="20">#REF!</definedName>
    <definedName name="L_PY_End" localSheetId="17">[71]Links!$K:$K</definedName>
    <definedName name="L_PY_End" localSheetId="8">#REF!</definedName>
    <definedName name="L_PY_End" localSheetId="12">#REF!</definedName>
    <definedName name="L_PY_End" localSheetId="13">#REF!</definedName>
    <definedName name="L_PY_End" localSheetId="5">#REF!</definedName>
    <definedName name="L_PY_End">#REF!</definedName>
    <definedName name="L_PY_End_GT" localSheetId="20">#REF!</definedName>
    <definedName name="L_PY_End_GT" localSheetId="17">#REF!</definedName>
    <definedName name="L_PY_End_GT" localSheetId="8">#REF!</definedName>
    <definedName name="L_PY_End_GT" localSheetId="12">#REF!</definedName>
    <definedName name="L_PY_End_GT" localSheetId="13">#REF!</definedName>
    <definedName name="L_PY_End_GT" localSheetId="5">#REF!</definedName>
    <definedName name="L_PY_End_GT">#REF!</definedName>
    <definedName name="L_RJE_Tot" localSheetId="17">#REF!</definedName>
    <definedName name="L_RJE_Tot" localSheetId="2">#REF!</definedName>
    <definedName name="L_RJE_Tot">[69]Links!$I$1:$I$65536</definedName>
    <definedName name="L_RJE_Tot_GT" localSheetId="20">#REF!</definedName>
    <definedName name="L_RJE_Tot_GT" localSheetId="17">#REF!</definedName>
    <definedName name="L_RJE_Tot_GT" localSheetId="8">#REF!</definedName>
    <definedName name="L_RJE_Tot_GT" localSheetId="12">#REF!</definedName>
    <definedName name="L_RJE_Tot_GT" localSheetId="13">#REF!</definedName>
    <definedName name="L_RJE_Tot_GT" localSheetId="5">#REF!</definedName>
    <definedName name="L_RJE_Tot_GT">#REF!</definedName>
    <definedName name="L_RowNum" localSheetId="20">#REF!</definedName>
    <definedName name="L_RowNum" localSheetId="17">#REF!</definedName>
    <definedName name="L_RowNum" localSheetId="8">#REF!</definedName>
    <definedName name="L_RowNum" localSheetId="12">#REF!</definedName>
    <definedName name="L_RowNum" localSheetId="13">#REF!</definedName>
    <definedName name="L_RowNum" localSheetId="5">#REF!</definedName>
    <definedName name="L_RowNum">#REF!</definedName>
    <definedName name="LIAB1" localSheetId="20">#REF!</definedName>
    <definedName name="LIAB1" localSheetId="17">#REF!</definedName>
    <definedName name="LIAB1" localSheetId="8">#REF!</definedName>
    <definedName name="LIAB1" localSheetId="12">#REF!</definedName>
    <definedName name="LIAB1" localSheetId="13">#REF!</definedName>
    <definedName name="LIAB1" localSheetId="5">#REF!</definedName>
    <definedName name="LIAB1">#REF!</definedName>
    <definedName name="LIAB2" localSheetId="20">#REF!</definedName>
    <definedName name="LIAB2" localSheetId="17">#REF!</definedName>
    <definedName name="LIAB2" localSheetId="8">#REF!</definedName>
    <definedName name="LIAB2" localSheetId="12">#REF!</definedName>
    <definedName name="LIAB2" localSheetId="13">#REF!</definedName>
    <definedName name="LIAB2" localSheetId="5">#REF!</definedName>
    <definedName name="LIAB2">#REF!</definedName>
    <definedName name="LIAB3" localSheetId="20">#REF!</definedName>
    <definedName name="LIAB3" localSheetId="17">#REF!</definedName>
    <definedName name="LIAB3" localSheetId="8">#REF!</definedName>
    <definedName name="LIAB3" localSheetId="12">#REF!</definedName>
    <definedName name="LIAB3" localSheetId="13">#REF!</definedName>
    <definedName name="LIAB3" localSheetId="5">#REF!</definedName>
    <definedName name="LIAB3">#REF!</definedName>
    <definedName name="LIAB4" localSheetId="20">#REF!</definedName>
    <definedName name="LIAB4" localSheetId="17">#REF!</definedName>
    <definedName name="LIAB4" localSheetId="8">#REF!</definedName>
    <definedName name="LIAB4" localSheetId="12">#REF!</definedName>
    <definedName name="LIAB4" localSheetId="13">#REF!</definedName>
    <definedName name="LIAB4" localSheetId="5">#REF!</definedName>
    <definedName name="LIAB4">#REF!</definedName>
    <definedName name="LIBAST" localSheetId="20">#REF!</definedName>
    <definedName name="LIBAST" localSheetId="17">#REF!</definedName>
    <definedName name="LIBAST" localSheetId="8">#REF!</definedName>
    <definedName name="LIBAST" localSheetId="12">#REF!</definedName>
    <definedName name="LIBAST" localSheetId="13">#REF!</definedName>
    <definedName name="LIBAST" localSheetId="5">#REF!</definedName>
    <definedName name="LIBAST">#REF!</definedName>
    <definedName name="List_Curr">[50]Currency!$B$9:$B$31</definedName>
    <definedName name="List_Level_Assr">[50]DropDown!$B$1:$B$4</definedName>
    <definedName name="List_LevelAssurance">'[34]Drop Down'!$B$2:$B$5</definedName>
    <definedName name="List_Proj_Meth">[50]DropDown!$H$1:$H$2</definedName>
    <definedName name="List_Samp_Sel">[50]DropDown!$D$1:$D$4</definedName>
    <definedName name="List_TypeProcedure">'[34]Drop Down'!$A$2:$A$7</definedName>
    <definedName name="lk" localSheetId="20" hidden="1">#REF!</definedName>
    <definedName name="lk" localSheetId="17" hidden="1">#REF!</definedName>
    <definedName name="lk" localSheetId="8" hidden="1">#REF!</definedName>
    <definedName name="lk" localSheetId="2" hidden="1">#REF!</definedName>
    <definedName name="lk" localSheetId="12" hidden="1">#REF!</definedName>
    <definedName name="lk" localSheetId="13" hidden="1">#REF!</definedName>
    <definedName name="lk" localSheetId="5" hidden="1">#REF!</definedName>
    <definedName name="lk" hidden="1">#REF!</definedName>
    <definedName name="lkup">[72]Ranges!$B$3:$C$12</definedName>
    <definedName name="LN" localSheetId="20">#REF!</definedName>
    <definedName name="LN" localSheetId="17">#REF!</definedName>
    <definedName name="LN" localSheetId="8">#REF!</definedName>
    <definedName name="LN" localSheetId="12">#REF!</definedName>
    <definedName name="LN" localSheetId="13">#REF!</definedName>
    <definedName name="LN" localSheetId="5">#REF!</definedName>
    <definedName name="LN">#REF!</definedName>
    <definedName name="LN_9" localSheetId="20">#REF!</definedName>
    <definedName name="LN_9" localSheetId="17">#REF!</definedName>
    <definedName name="LN_9" localSheetId="8">#REF!</definedName>
    <definedName name="LN_9" localSheetId="12">#REF!</definedName>
    <definedName name="LN_9" localSheetId="13">#REF!</definedName>
    <definedName name="LN_9" localSheetId="5">#REF!</definedName>
    <definedName name="LN_9">#REF!</definedName>
    <definedName name="LN2_9" localSheetId="20">#REF!</definedName>
    <definedName name="LN2_9" localSheetId="17">#REF!</definedName>
    <definedName name="LN2_9" localSheetId="8">#REF!</definedName>
    <definedName name="LN2_9" localSheetId="12">#REF!</definedName>
    <definedName name="LN2_9" localSheetId="13">#REF!</definedName>
    <definedName name="LN2_9" localSheetId="5">#REF!</definedName>
    <definedName name="LN2_9">#REF!</definedName>
    <definedName name="LOAN" localSheetId="18">#REF!</definedName>
    <definedName name="LOAN" localSheetId="19">#REF!</definedName>
    <definedName name="LOAN">#REF!</definedName>
    <definedName name="LOANS" localSheetId="20">[26]acct!#REF!</definedName>
    <definedName name="LOANS" localSheetId="17">[27]acct!#REF!</definedName>
    <definedName name="LOANS" localSheetId="8">[26]acct!#REF!</definedName>
    <definedName name="LOANS" localSheetId="2">[28]acct!#REF!</definedName>
    <definedName name="LOANS" localSheetId="12">[26]acct!#REF!</definedName>
    <definedName name="LOANS" localSheetId="13">[26]acct!#REF!</definedName>
    <definedName name="LOANS" localSheetId="5">[26]acct!#REF!</definedName>
    <definedName name="LOANS">[26]acct!#REF!</definedName>
    <definedName name="longterm" localSheetId="20">#REF!</definedName>
    <definedName name="longterm" localSheetId="17">#REF!</definedName>
    <definedName name="longterm" localSheetId="8">#REF!</definedName>
    <definedName name="longterm" localSheetId="12">#REF!</definedName>
    <definedName name="longterm" localSheetId="13">#REF!</definedName>
    <definedName name="longterm" localSheetId="5">#REF!</definedName>
    <definedName name="longterm">#REF!</definedName>
    <definedName name="LPAGE1" localSheetId="20">#REF!</definedName>
    <definedName name="LPAGE1" localSheetId="17">#REF!</definedName>
    <definedName name="LPAGE1" localSheetId="8">#REF!</definedName>
    <definedName name="LPAGE1" localSheetId="12">#REF!</definedName>
    <definedName name="LPAGE1" localSheetId="13">#REF!</definedName>
    <definedName name="LPAGE1" localSheetId="5">#REF!</definedName>
    <definedName name="LPAGE1">#REF!</definedName>
    <definedName name="LPAGE2" localSheetId="20">#REF!</definedName>
    <definedName name="LPAGE2" localSheetId="17">#REF!</definedName>
    <definedName name="LPAGE2" localSheetId="8">#REF!</definedName>
    <definedName name="LPAGE2" localSheetId="12">#REF!</definedName>
    <definedName name="LPAGE2" localSheetId="13">#REF!</definedName>
    <definedName name="LPAGE2" localSheetId="5">#REF!</definedName>
    <definedName name="LPAGE2">#REF!</definedName>
    <definedName name="LPAGE3" localSheetId="20">#REF!</definedName>
    <definedName name="LPAGE3" localSheetId="17">#REF!</definedName>
    <definedName name="LPAGE3" localSheetId="8">#REF!</definedName>
    <definedName name="LPAGE3" localSheetId="12">#REF!</definedName>
    <definedName name="LPAGE3" localSheetId="13">#REF!</definedName>
    <definedName name="LPAGE3" localSheetId="5">#REF!</definedName>
    <definedName name="LPAGE3">#REF!</definedName>
    <definedName name="LPAGE4" localSheetId="20">#REF!</definedName>
    <definedName name="LPAGE4" localSheetId="17">#REF!</definedName>
    <definedName name="LPAGE4" localSheetId="8">#REF!</definedName>
    <definedName name="LPAGE4" localSheetId="12">#REF!</definedName>
    <definedName name="LPAGE4" localSheetId="13">#REF!</definedName>
    <definedName name="LPAGE4" localSheetId="5">#REF!</definedName>
    <definedName name="LPAGE4">#REF!</definedName>
    <definedName name="M" localSheetId="20">#REF!</definedName>
    <definedName name="M" localSheetId="17">#REF!</definedName>
    <definedName name="M" localSheetId="8">#REF!</definedName>
    <definedName name="M" localSheetId="12">#REF!</definedName>
    <definedName name="M" localSheetId="13">#REF!</definedName>
    <definedName name="M" localSheetId="5">#REF!</definedName>
    <definedName name="M">#REF!</definedName>
    <definedName name="main" localSheetId="20">#REF!</definedName>
    <definedName name="main" localSheetId="17">#REF!</definedName>
    <definedName name="main" localSheetId="8">#REF!</definedName>
    <definedName name="main" localSheetId="12">#REF!</definedName>
    <definedName name="main" localSheetId="13">#REF!</definedName>
    <definedName name="main" localSheetId="5">#REF!</definedName>
    <definedName name="main">#REF!</definedName>
    <definedName name="MAK" localSheetId="20">#REF!</definedName>
    <definedName name="MAK" localSheetId="17">#REF!</definedName>
    <definedName name="MAK" localSheetId="8">#REF!</definedName>
    <definedName name="MAK" localSheetId="2">#REF!</definedName>
    <definedName name="MAK" localSheetId="12">#REF!</definedName>
    <definedName name="MAK" localSheetId="13">#REF!</definedName>
    <definedName name="MAK" localSheetId="5">#REF!</definedName>
    <definedName name="MAK">#REF!</definedName>
    <definedName name="MANAMABS" localSheetId="20">#REF!</definedName>
    <definedName name="MANAMABS" localSheetId="17">#REF!</definedName>
    <definedName name="MANAMABS" localSheetId="8">#REF!</definedName>
    <definedName name="MANAMABS" localSheetId="12">#REF!</definedName>
    <definedName name="MANAMABS" localSheetId="13">#REF!</definedName>
    <definedName name="MANAMABS" localSheetId="5">#REF!</definedName>
    <definedName name="MANAMABS">#REF!</definedName>
    <definedName name="manamabs0207">[73]Sheet3!$A$157:$C$321</definedName>
    <definedName name="Manamapl" localSheetId="20">#REF!</definedName>
    <definedName name="Manamapl" localSheetId="17">#REF!</definedName>
    <definedName name="Manamapl" localSheetId="8">#REF!</definedName>
    <definedName name="Manamapl" localSheetId="12">#REF!</definedName>
    <definedName name="Manamapl" localSheetId="13">#REF!</definedName>
    <definedName name="Manamapl" localSheetId="5">#REF!</definedName>
    <definedName name="Manamapl">#REF!</definedName>
    <definedName name="manamapl0207">[73]Sheet3!$A$5:$C$153</definedName>
    <definedName name="Manamapl5" localSheetId="20">#REF!</definedName>
    <definedName name="Manamapl5" localSheetId="17">#REF!</definedName>
    <definedName name="Manamapl5" localSheetId="8">#REF!</definedName>
    <definedName name="Manamapl5" localSheetId="12">#REF!</definedName>
    <definedName name="Manamapl5" localSheetId="13">#REF!</definedName>
    <definedName name="Manamapl5" localSheetId="5">#REF!</definedName>
    <definedName name="Manamapl5">#REF!</definedName>
    <definedName name="Mansoor" localSheetId="20">#REF!</definedName>
    <definedName name="Mansoor" localSheetId="17">#REF!</definedName>
    <definedName name="Mansoor" localSheetId="8">#REF!</definedName>
    <definedName name="Mansoor" localSheetId="12">#REF!</definedName>
    <definedName name="Mansoor" localSheetId="13">#REF!</definedName>
    <definedName name="Mansoor" localSheetId="5">#REF!</definedName>
    <definedName name="Mansoor">#REF!</definedName>
    <definedName name="MARKET" localSheetId="17">[52]Augbkp98!$Z$6:$AO$25</definedName>
    <definedName name="MARKET">[52]Augbkp98!$Z$6:$AO$25</definedName>
    <definedName name="masroor" localSheetId="20">#REF!</definedName>
    <definedName name="masroor" localSheetId="17">#REF!</definedName>
    <definedName name="masroor" localSheetId="8">#REF!</definedName>
    <definedName name="masroor" localSheetId="12">#REF!</definedName>
    <definedName name="masroor" localSheetId="13">#REF!</definedName>
    <definedName name="masroor" localSheetId="5">#REF!</definedName>
    <definedName name="masroor">#REF!</definedName>
    <definedName name="MAZ" localSheetId="20">'[74]T-BILL'!#REF!</definedName>
    <definedName name="MAZ" localSheetId="17">'[74]T-BILL'!#REF!</definedName>
    <definedName name="MAZ" localSheetId="8">'[74]T-BILL'!#REF!</definedName>
    <definedName name="MAZ" localSheetId="12">'[74]T-BILL'!#REF!</definedName>
    <definedName name="MAZ" localSheetId="13">'[74]T-BILL'!#REF!</definedName>
    <definedName name="MAZ" localSheetId="5">'[74]T-BILL'!#REF!</definedName>
    <definedName name="MAZ">'[74]T-BILL'!#REF!</definedName>
    <definedName name="MEMO_HOH_I_AKRM" localSheetId="20">#REF!</definedName>
    <definedName name="MEMO_HOH_I_AKRM" localSheetId="17">#REF!</definedName>
    <definedName name="MEMO_HOH_I_AKRM" localSheetId="8">#REF!</definedName>
    <definedName name="MEMO_HOH_I_AKRM" localSheetId="2">#REF!</definedName>
    <definedName name="MEMO_HOH_I_AKRM" localSheetId="12">#REF!</definedName>
    <definedName name="MEMO_HOH_I_AKRM" localSheetId="13">#REF!</definedName>
    <definedName name="MEMO_HOH_I_AKRM" localSheetId="5">#REF!</definedName>
    <definedName name="MEMO_HOH_I_AKRM">#REF!</definedName>
    <definedName name="MEMO_HOH_RHABIB" localSheetId="20">#REF!</definedName>
    <definedName name="MEMO_HOH_RHABIB" localSheetId="17">#REF!</definedName>
    <definedName name="MEMO_HOH_RHABIB" localSheetId="8">#REF!</definedName>
    <definedName name="MEMO_HOH_RHABIB" localSheetId="2">#REF!</definedName>
    <definedName name="MEMO_HOH_RHABIB" localSheetId="12">#REF!</definedName>
    <definedName name="MEMO_HOH_RHABIB" localSheetId="13">#REF!</definedName>
    <definedName name="MEMO_HOH_RHABIB" localSheetId="5">#REF!</definedName>
    <definedName name="MEMO_HOH_RHABIB">#REF!</definedName>
    <definedName name="MEMO_MONHLY_A_C" localSheetId="20">#REF!</definedName>
    <definedName name="MEMO_MONHLY_A_C" localSheetId="17">#REF!</definedName>
    <definedName name="MEMO_MONHLY_A_C" localSheetId="8">#REF!</definedName>
    <definedName name="MEMO_MONHLY_A_C" localSheetId="2">#REF!</definedName>
    <definedName name="MEMO_MONHLY_A_C" localSheetId="12">#REF!</definedName>
    <definedName name="MEMO_MONHLY_A_C" localSheetId="13">#REF!</definedName>
    <definedName name="MEMO_MONHLY_A_C" localSheetId="5">#REF!</definedName>
    <definedName name="MEMO_MONHLY_A_C">#REF!</definedName>
    <definedName name="MI" localSheetId="18">#REF!</definedName>
    <definedName name="MI" localSheetId="19">#REF!</definedName>
    <definedName name="MI">#REF!</definedName>
    <definedName name="Mis_Def" localSheetId="18">#REF!</definedName>
    <definedName name="Mis_Def" localSheetId="19">#REF!</definedName>
    <definedName name="Mis_Def">#REF!</definedName>
    <definedName name="MIS_REPORT_2" localSheetId="20">#REF!</definedName>
    <definedName name="MIS_REPORT_2" localSheetId="17">#REF!</definedName>
    <definedName name="MIS_REPORT_2" localSheetId="8">#REF!</definedName>
    <definedName name="MIS_REPORT_2" localSheetId="2">#REF!</definedName>
    <definedName name="MIS_REPORT_2" localSheetId="12">#REF!</definedName>
    <definedName name="MIS_REPORT_2" localSheetId="13">#REF!</definedName>
    <definedName name="MIS_REPORT_2" localSheetId="5">#REF!</definedName>
    <definedName name="MIS_REPORT_2">#REF!</definedName>
    <definedName name="MKA" localSheetId="20">#REF!</definedName>
    <definedName name="MKA" localSheetId="17">#REF!</definedName>
    <definedName name="MKA" localSheetId="8">#REF!</definedName>
    <definedName name="MKA" localSheetId="2">#REF!</definedName>
    <definedName name="MKA" localSheetId="12">#REF!</definedName>
    <definedName name="MKA" localSheetId="13">#REF!</definedName>
    <definedName name="MKA" localSheetId="5">#REF!</definedName>
    <definedName name="MKA">#REF!</definedName>
    <definedName name="MKX" localSheetId="20">#REF!</definedName>
    <definedName name="MKX" localSheetId="17">#REF!</definedName>
    <definedName name="MKX" localSheetId="8">#REF!</definedName>
    <definedName name="MKX" localSheetId="2">#REF!</definedName>
    <definedName name="MKX" localSheetId="12">#REF!</definedName>
    <definedName name="MKX" localSheetId="13">#REF!</definedName>
    <definedName name="MKX" localSheetId="5">#REF!</definedName>
    <definedName name="MKX">#REF!</definedName>
    <definedName name="MLNTREGISTER" localSheetId="20">#REF!</definedName>
    <definedName name="MLNTREGISTER" localSheetId="17">#REF!</definedName>
    <definedName name="MLNTREGISTER" localSheetId="8">#REF!</definedName>
    <definedName name="MLNTREGISTER" localSheetId="12">#REF!</definedName>
    <definedName name="MLNTREGISTER" localSheetId="13">#REF!</definedName>
    <definedName name="MLNTREGISTER" localSheetId="5">#REF!</definedName>
    <definedName name="MLNTREGISTER">#REF!</definedName>
    <definedName name="MR">'[75]Market Rates'!$B$1:$G$65536</definedName>
    <definedName name="N" localSheetId="20">#REF!</definedName>
    <definedName name="N" localSheetId="17">#REF!</definedName>
    <definedName name="N" localSheetId="8">#REF!</definedName>
    <definedName name="N" localSheetId="12">#REF!</definedName>
    <definedName name="N" localSheetId="13">#REF!</definedName>
    <definedName name="N" localSheetId="5">#REF!</definedName>
    <definedName name="N">#REF!</definedName>
    <definedName name="NAME" localSheetId="18">#REF!</definedName>
    <definedName name="NAME" localSheetId="19">#REF!</definedName>
    <definedName name="NAME">#REF!</definedName>
    <definedName name="Name_of_Directors" localSheetId="18">#REF!</definedName>
    <definedName name="Name_of_Directors" localSheetId="19">#REF!</definedName>
    <definedName name="Name_of_Directors">#REF!</definedName>
    <definedName name="NAV__Reported">'[76]bank inst'!$D$60</definedName>
    <definedName name="NetAssets" localSheetId="20">#REF!</definedName>
    <definedName name="NetAssets" localSheetId="17">#REF!</definedName>
    <definedName name="NetAssets" localSheetId="8">#REF!</definedName>
    <definedName name="NetAssets" localSheetId="12">#REF!</definedName>
    <definedName name="NetAssets" localSheetId="13">#REF!</definedName>
    <definedName name="NetAssets" localSheetId="5">#REF!</definedName>
    <definedName name="NetAssets">#REF!</definedName>
    <definedName name="NEW">'[77]Implied Rate'!$B$49:$BC$408</definedName>
    <definedName name="newname" localSheetId="18">#REF!</definedName>
    <definedName name="newname" localSheetId="19">#REF!</definedName>
    <definedName name="newname">#REF!</definedName>
    <definedName name="nida" localSheetId="18">#REF!</definedName>
    <definedName name="nida" localSheetId="19">#REF!</definedName>
    <definedName name="nida">#REF!</definedName>
    <definedName name="no" localSheetId="20" hidden="1">#REF!</definedName>
    <definedName name="no" localSheetId="17" hidden="1">#REF!</definedName>
    <definedName name="no" localSheetId="8" hidden="1">#REF!</definedName>
    <definedName name="no" localSheetId="2" hidden="1">#REF!</definedName>
    <definedName name="no" localSheetId="12" hidden="1">#REF!</definedName>
    <definedName name="no" localSheetId="13" hidden="1">#REF!</definedName>
    <definedName name="no" localSheetId="5" hidden="1">#REF!</definedName>
    <definedName name="no" hidden="1">#REF!</definedName>
    <definedName name="normal" localSheetId="17" hidden="1">{#N/A,#N/A,FALSE,"dec98qtr";#N/A,#N/A,FALSE,"suppdecsep98";#N/A,#N/A,FALSE,"w-dec98"}</definedName>
    <definedName name="normal" localSheetId="8" hidden="1">{#N/A,#N/A,FALSE,"dec98qtr";#N/A,#N/A,FALSE,"suppdecsep98";#N/A,#N/A,FALSE,"w-dec98"}</definedName>
    <definedName name="normal" localSheetId="2" hidden="1">{#N/A,#N/A,FALSE,"dec98qtr";#N/A,#N/A,FALSE,"suppdecsep98";#N/A,#N/A,FALSE,"w-dec98"}</definedName>
    <definedName name="normal" hidden="1">{#N/A,#N/A,FALSE,"dec98qtr";#N/A,#N/A,FALSE,"suppdecsep98";#N/A,#N/A,FALSE,"w-dec98"}</definedName>
    <definedName name="note" localSheetId="20">#REF!</definedName>
    <definedName name="note" localSheetId="17">#REF!</definedName>
    <definedName name="note" localSheetId="8">#REF!</definedName>
    <definedName name="note" localSheetId="2">#REF!</definedName>
    <definedName name="note" localSheetId="12">#REF!</definedName>
    <definedName name="note" localSheetId="13">#REF!</definedName>
    <definedName name="note" localSheetId="5">#REF!</definedName>
    <definedName name="note">#REF!</definedName>
    <definedName name="NOTE1" localSheetId="20">#REF!</definedName>
    <definedName name="NOTE1" localSheetId="17">#REF!</definedName>
    <definedName name="NOTE1" localSheetId="8">#REF!</definedName>
    <definedName name="NOTE1" localSheetId="2">#REF!</definedName>
    <definedName name="NOTE1" localSheetId="12">#REF!</definedName>
    <definedName name="NOTE1" localSheetId="13">#REF!</definedName>
    <definedName name="NOTE1" localSheetId="5">#REF!</definedName>
    <definedName name="NOTE1">#REF!</definedName>
    <definedName name="NOTE5" localSheetId="20">#REF!</definedName>
    <definedName name="NOTE5" localSheetId="17">#REF!</definedName>
    <definedName name="NOTE5" localSheetId="8">#REF!</definedName>
    <definedName name="NOTE5" localSheetId="2">#REF!</definedName>
    <definedName name="NOTE5" localSheetId="12">#REF!</definedName>
    <definedName name="NOTE5" localSheetId="13">#REF!</definedName>
    <definedName name="NOTE5" localSheetId="5">#REF!</definedName>
    <definedName name="NOTE5">#REF!</definedName>
    <definedName name="Note55" localSheetId="20">'[78]BS-OVS'!#REF!</definedName>
    <definedName name="Note55" localSheetId="17">'[78]BS-OVS'!#REF!</definedName>
    <definedName name="Note55" localSheetId="8">'[78]BS-OVS'!#REF!</definedName>
    <definedName name="Note55" localSheetId="12">'[78]BS-OVS'!#REF!</definedName>
    <definedName name="Note55" localSheetId="13">'[78]BS-OVS'!#REF!</definedName>
    <definedName name="Note55" localSheetId="5">'[78]BS-OVS'!#REF!</definedName>
    <definedName name="Note55">'[78]BS-OVS'!#REF!</definedName>
    <definedName name="Note58" localSheetId="20">'[51]BS-OVS'!#REF!</definedName>
    <definedName name="Note58" localSheetId="17">'[79]BS-OVS'!#REF!</definedName>
    <definedName name="Note58" localSheetId="8">'[51]BS-OVS'!#REF!</definedName>
    <definedName name="Note58" localSheetId="12">'[51]BS-OVS'!#REF!</definedName>
    <definedName name="Note58" localSheetId="13">'[51]BS-OVS'!#REF!</definedName>
    <definedName name="Note58" localSheetId="5">'[51]BS-OVS'!#REF!</definedName>
    <definedName name="Note58">'[51]BS-OVS'!#REF!</definedName>
    <definedName name="npl" localSheetId="20">#REF!</definedName>
    <definedName name="npl" localSheetId="17">#REF!</definedName>
    <definedName name="npl" localSheetId="8">#REF!</definedName>
    <definedName name="npl" localSheetId="12">#REF!</definedName>
    <definedName name="npl" localSheetId="13">#REF!</definedName>
    <definedName name="npl" localSheetId="5">#REF!</definedName>
    <definedName name="npl">#REF!</definedName>
    <definedName name="nplsum" localSheetId="20">#REF!</definedName>
    <definedName name="nplsum" localSheetId="17">#REF!</definedName>
    <definedName name="nplsum" localSheetId="8">#REF!</definedName>
    <definedName name="nplsum" localSheetId="12">#REF!</definedName>
    <definedName name="nplsum" localSheetId="13">#REF!</definedName>
    <definedName name="nplsum" localSheetId="5">#REF!</definedName>
    <definedName name="nplsum">#REF!</definedName>
    <definedName name="o" localSheetId="20">#REF!</definedName>
    <definedName name="O" localSheetId="17">#REF!</definedName>
    <definedName name="o" localSheetId="8">#REF!</definedName>
    <definedName name="o" localSheetId="2">#REF!</definedName>
    <definedName name="o" localSheetId="12">#REF!</definedName>
    <definedName name="o" localSheetId="13">#REF!</definedName>
    <definedName name="o" localSheetId="5">#REF!</definedName>
    <definedName name="o">#REF!</definedName>
    <definedName name="OI" localSheetId="18">'[80]F-B'!#REF!</definedName>
    <definedName name="OI" localSheetId="19">'[80]F-B'!#REF!</definedName>
    <definedName name="OI">'[80]F-B'!#REF!</definedName>
    <definedName name="ok" localSheetId="20" hidden="1">#REF!</definedName>
    <definedName name="ok" localSheetId="17" hidden="1">#REF!</definedName>
    <definedName name="ok" localSheetId="8" hidden="1">#REF!</definedName>
    <definedName name="ok" localSheetId="2" hidden="1">#REF!</definedName>
    <definedName name="ok" localSheetId="12" hidden="1">#REF!</definedName>
    <definedName name="ok" localSheetId="13" hidden="1">#REF!</definedName>
    <definedName name="ok" localSheetId="5" hidden="1">#REF!</definedName>
    <definedName name="ok" hidden="1">#REF!</definedName>
    <definedName name="olk" localSheetId="20">#REF!</definedName>
    <definedName name="olk" localSheetId="17">#REF!</definedName>
    <definedName name="olk" localSheetId="8">#REF!</definedName>
    <definedName name="olk" localSheetId="12">#REF!</definedName>
    <definedName name="olk" localSheetId="13">#REF!</definedName>
    <definedName name="olk" localSheetId="5">#REF!</definedName>
    <definedName name="olk">#REF!</definedName>
    <definedName name="OP" localSheetId="18">#REF!</definedName>
    <definedName name="OP" localSheetId="19">#REF!</definedName>
    <definedName name="OP">#REF!</definedName>
    <definedName name="OPDC" localSheetId="18">#REF!</definedName>
    <definedName name="OPDC" localSheetId="19">#REF!</definedName>
    <definedName name="OPDC">#REF!</definedName>
    <definedName name="os" localSheetId="20">#REF!</definedName>
    <definedName name="os" localSheetId="17">#REF!</definedName>
    <definedName name="os" localSheetId="8">#REF!</definedName>
    <definedName name="os" localSheetId="12">#REF!</definedName>
    <definedName name="os" localSheetId="13">#REF!</definedName>
    <definedName name="os" localSheetId="5">#REF!</definedName>
    <definedName name="os">#REF!</definedName>
    <definedName name="OSAL" localSheetId="20">#REF!</definedName>
    <definedName name="OSAL" localSheetId="17">#REF!</definedName>
    <definedName name="OSAL" localSheetId="8">#REF!</definedName>
    <definedName name="OSAL" localSheetId="12">#REF!</definedName>
    <definedName name="OSAL" localSheetId="13">#REF!</definedName>
    <definedName name="OSAL" localSheetId="5">#REF!</definedName>
    <definedName name="OSAL">#REF!</definedName>
    <definedName name="osbs" localSheetId="20">#REF!</definedName>
    <definedName name="osbs" localSheetId="17">#REF!</definedName>
    <definedName name="osbs" localSheetId="8">#REF!</definedName>
    <definedName name="osbs" localSheetId="12">#REF!</definedName>
    <definedName name="osbs" localSheetId="13">#REF!</definedName>
    <definedName name="osbs" localSheetId="5">#REF!</definedName>
    <definedName name="osbs">#REF!</definedName>
    <definedName name="OTH" localSheetId="18">#REF!</definedName>
    <definedName name="OTH" localSheetId="19">#REF!</definedName>
    <definedName name="OTH">#REF!</definedName>
    <definedName name="other" localSheetId="18">#REF!</definedName>
    <definedName name="other" localSheetId="19">#REF!</definedName>
    <definedName name="other">#REF!</definedName>
    <definedName name="OThers" localSheetId="18">#REF!</definedName>
    <definedName name="OThers" localSheetId="19">#REF!</definedName>
    <definedName name="OThers">#REF!</definedName>
    <definedName name="OVER" localSheetId="20">#REF!</definedName>
    <definedName name="OVER" localSheetId="17">#REF!</definedName>
    <definedName name="OVER" localSheetId="8">#REF!</definedName>
    <definedName name="OVER" localSheetId="12">#REF!</definedName>
    <definedName name="OVER" localSheetId="13">#REF!</definedName>
    <definedName name="OVER" localSheetId="5">#REF!</definedName>
    <definedName name="OVER">#REF!</definedName>
    <definedName name="P" localSheetId="20">#REF!</definedName>
    <definedName name="P" localSheetId="17">#REF!</definedName>
    <definedName name="P" localSheetId="8">#REF!</definedName>
    <definedName name="P" localSheetId="12">#REF!</definedName>
    <definedName name="P" localSheetId="13">#REF!</definedName>
    <definedName name="P" localSheetId="5">#REF!</definedName>
    <definedName name="P">#REF!</definedName>
    <definedName name="P___L____ASADA" localSheetId="20">#REF!</definedName>
    <definedName name="P___L____ASADA" localSheetId="17">#REF!</definedName>
    <definedName name="P___L____ASADA" localSheetId="8">#REF!</definedName>
    <definedName name="P___L____ASADA" localSheetId="2">#REF!</definedName>
    <definedName name="P___L____ASADA" localSheetId="12">#REF!</definedName>
    <definedName name="P___L____ASADA" localSheetId="13">#REF!</definedName>
    <definedName name="P___L____ASADA" localSheetId="5">#REF!</definedName>
    <definedName name="P___L____ASADA">#REF!</definedName>
    <definedName name="P___L____FUJI" localSheetId="20">#REF!</definedName>
    <definedName name="P___L____FUJI" localSheetId="17">#REF!</definedName>
    <definedName name="P___L____FUJI" localSheetId="8">#REF!</definedName>
    <definedName name="P___L____FUJI" localSheetId="2">#REF!</definedName>
    <definedName name="P___L____FUJI" localSheetId="12">#REF!</definedName>
    <definedName name="P___L____FUJI" localSheetId="13">#REF!</definedName>
    <definedName name="P___L____FUJI" localSheetId="5">#REF!</definedName>
    <definedName name="P___L____FUJI">#REF!</definedName>
    <definedName name="P_L____MIS" localSheetId="20">#REF!</definedName>
    <definedName name="P_L____MIS" localSheetId="17">#REF!</definedName>
    <definedName name="P_L____MIS" localSheetId="8">#REF!</definedName>
    <definedName name="P_L____MIS" localSheetId="2">#REF!</definedName>
    <definedName name="P_L____MIS" localSheetId="12">#REF!</definedName>
    <definedName name="P_L____MIS" localSheetId="13">#REF!</definedName>
    <definedName name="P_L____MIS" localSheetId="5">#REF!</definedName>
    <definedName name="P_L____MIS">#REF!</definedName>
    <definedName name="P_L___50__BASIS" localSheetId="20">#REF!</definedName>
    <definedName name="P_L___50__BASIS" localSheetId="17">#REF!</definedName>
    <definedName name="P_L___50__BASIS" localSheetId="8">#REF!</definedName>
    <definedName name="P_L___50__BASIS" localSheetId="2">#REF!</definedName>
    <definedName name="P_L___50__BASIS" localSheetId="12">#REF!</definedName>
    <definedName name="P_L___50__BASIS" localSheetId="13">#REF!</definedName>
    <definedName name="P_L___50__BASIS" localSheetId="5">#REF!</definedName>
    <definedName name="P_L___50__BASIS">#REF!</definedName>
    <definedName name="P_L___TURNOVER" localSheetId="20">#REF!</definedName>
    <definedName name="P_L___TURNOVER" localSheetId="17">#REF!</definedName>
    <definedName name="P_L___TURNOVER" localSheetId="8">#REF!</definedName>
    <definedName name="P_L___TURNOVER" localSheetId="2">#REF!</definedName>
    <definedName name="P_L___TURNOVER" localSheetId="12">#REF!</definedName>
    <definedName name="P_L___TURNOVER" localSheetId="13">#REF!</definedName>
    <definedName name="P_L___TURNOVER" localSheetId="5">#REF!</definedName>
    <definedName name="P_L___TURNOVER">#REF!</definedName>
    <definedName name="P_L___UNIT_SOLD" localSheetId="20">#REF!</definedName>
    <definedName name="P_L___UNIT_SOLD" localSheetId="17">#REF!</definedName>
    <definedName name="P_L___UNIT_SOLD" localSheetId="8">#REF!</definedName>
    <definedName name="P_L___UNIT_SOLD" localSheetId="2">#REF!</definedName>
    <definedName name="P_L___UNIT_SOLD" localSheetId="12">#REF!</definedName>
    <definedName name="P_L___UNIT_SOLD" localSheetId="13">#REF!</definedName>
    <definedName name="P_L___UNIT_SOLD" localSheetId="5">#REF!</definedName>
    <definedName name="P_L___UNIT_SOLD">#REF!</definedName>
    <definedName name="P_L_FINAL_ACCNT" localSheetId="20">#REF!</definedName>
    <definedName name="P_L_FINAL_ACCNT" localSheetId="17">#REF!</definedName>
    <definedName name="P_L_FINAL_ACCNT" localSheetId="8">#REF!</definedName>
    <definedName name="P_L_FINAL_ACCNT" localSheetId="2">#REF!</definedName>
    <definedName name="P_L_FINAL_ACCNT" localSheetId="12">#REF!</definedName>
    <definedName name="P_L_FINAL_ACCNT" localSheetId="13">#REF!</definedName>
    <definedName name="P_L_FINAL_ACCNT" localSheetId="5">#REF!</definedName>
    <definedName name="P_L_FINAL_ACCNT">#REF!</definedName>
    <definedName name="P_L_VARIANCE" localSheetId="20">#REF!</definedName>
    <definedName name="P_L_VARIANCE" localSheetId="17">#REF!</definedName>
    <definedName name="P_L_VARIANCE" localSheetId="8">#REF!</definedName>
    <definedName name="P_L_VARIANCE" localSheetId="2">#REF!</definedName>
    <definedName name="P_L_VARIANCE" localSheetId="12">#REF!</definedName>
    <definedName name="P_L_VARIANCE" localSheetId="13">#REF!</definedName>
    <definedName name="P_L_VARIANCE" localSheetId="5">#REF!</definedName>
    <definedName name="P_L_VARIANCE">#REF!</definedName>
    <definedName name="PAFA" localSheetId="18">#REF!</definedName>
    <definedName name="PAFA" localSheetId="19">#REF!</definedName>
    <definedName name="PAFA">#REF!</definedName>
    <definedName name="PAGE2" localSheetId="20">#REF!</definedName>
    <definedName name="PAGE2" localSheetId="17">#REF!</definedName>
    <definedName name="PAGE2" localSheetId="8">#REF!</definedName>
    <definedName name="PAGE2" localSheetId="12">#REF!</definedName>
    <definedName name="PAGE2" localSheetId="13">#REF!</definedName>
    <definedName name="PAGE2" localSheetId="5">#REF!</definedName>
    <definedName name="PAGE2">#REF!</definedName>
    <definedName name="PAT" localSheetId="18">#REF!</definedName>
    <definedName name="PAT" localSheetId="19">#REF!</definedName>
    <definedName name="PAT">#REF!</definedName>
    <definedName name="PATS" localSheetId="18">#REF!</definedName>
    <definedName name="PATS" localSheetId="19">#REF!</definedName>
    <definedName name="PATS">#REF!</definedName>
    <definedName name="Pattern" localSheetId="17" hidden="1">{"'CALL MONEY'!$K$53"}</definedName>
    <definedName name="Pattern" localSheetId="8" hidden="1">{"'CALL MONEY'!$K$53"}</definedName>
    <definedName name="Pattern" hidden="1">{"'CALL MONEY'!$K$53"}</definedName>
    <definedName name="PBEI" localSheetId="18">#REF!</definedName>
    <definedName name="PBEI" localSheetId="19">#REF!</definedName>
    <definedName name="PBEI">#REF!</definedName>
    <definedName name="PBT" localSheetId="18">#REF!</definedName>
    <definedName name="PBT" localSheetId="19">#REF!</definedName>
    <definedName name="PBT">#REF!</definedName>
    <definedName name="PD" localSheetId="18">#REF!</definedName>
    <definedName name="PD" localSheetId="19">#REF!</definedName>
    <definedName name="PD">#REF!</definedName>
    <definedName name="PERUNITGP" localSheetId="20">'[3]GP Analysis'!#REF!</definedName>
    <definedName name="PERUNITGP" localSheetId="17">'[3]GP Analysis'!#REF!</definedName>
    <definedName name="PERUNITGP" localSheetId="8">'[3]GP Analysis'!#REF!</definedName>
    <definedName name="PERUNITGP" localSheetId="2">'[3]GP Analysis'!#REF!</definedName>
    <definedName name="PERUNITGP" localSheetId="12">'[3]GP Analysis'!#REF!</definedName>
    <definedName name="PERUNITGP" localSheetId="13">'[3]GP Analysis'!#REF!</definedName>
    <definedName name="PERUNITGP" localSheetId="5">'[3]GP Analysis'!#REF!</definedName>
    <definedName name="PERUNITGP">'[3]GP Analysis'!#REF!</definedName>
    <definedName name="PIB" localSheetId="18">#REF!</definedName>
    <definedName name="PIB" localSheetId="19">#REF!</definedName>
    <definedName name="PIB">#REF!</definedName>
    <definedName name="pkr">[37]PAKISTAN!$B$9:$L$24</definedName>
    <definedName name="PL" localSheetId="17">#REF!</definedName>
    <definedName name="pl">[81]woRKING!$A$3:$D$172</definedName>
    <definedName name="plbdec">'[82]December 06'!$A$5:$D$102</definedName>
    <definedName name="plbnov">'[82]November 06'!$A$5:$D$101</definedName>
    <definedName name="pld" localSheetId="20">#REF!</definedName>
    <definedName name="pld" localSheetId="17">#REF!</definedName>
    <definedName name="pld" localSheetId="8">#REF!</definedName>
    <definedName name="pld" localSheetId="12">#REF!</definedName>
    <definedName name="pld" localSheetId="13">#REF!</definedName>
    <definedName name="pld" localSheetId="5">#REF!</definedName>
    <definedName name="pld">#REF!</definedName>
    <definedName name="pldec">'[41]December 06'!$A$5:$D$89</definedName>
    <definedName name="plf">[83]FEb!$A$4:$C$149</definedName>
    <definedName name="plfeb">[43]Feb!$A$4:$C$73</definedName>
    <definedName name="plmarch">[43]MarchSL904!$A$5:$C$99</definedName>
    <definedName name="plmarch07">'[43]March 110'!$A$5:$C$80</definedName>
    <definedName name="pln" localSheetId="20">#REF!</definedName>
    <definedName name="pln" localSheetId="17">#REF!</definedName>
    <definedName name="pln" localSheetId="8">#REF!</definedName>
    <definedName name="pln" localSheetId="12">#REF!</definedName>
    <definedName name="pln" localSheetId="13">#REF!</definedName>
    <definedName name="pln" localSheetId="5">#REF!</definedName>
    <definedName name="pln">#REF!</definedName>
    <definedName name="plnov" localSheetId="20">#REF!</definedName>
    <definedName name="plnov" localSheetId="17">#REF!</definedName>
    <definedName name="plnov" localSheetId="8">#REF!</definedName>
    <definedName name="plnov" localSheetId="12">#REF!</definedName>
    <definedName name="plnov" localSheetId="13">#REF!</definedName>
    <definedName name="plnov" localSheetId="5">#REF!</definedName>
    <definedName name="plnov">#REF!</definedName>
    <definedName name="plnov06">'[41]November 06'!$A$5:$D$87</definedName>
    <definedName name="PNL" localSheetId="20">'[38]Revenue-Fire-Marine-Motor'!#REF!</definedName>
    <definedName name="PNL" localSheetId="17">#REF!</definedName>
    <definedName name="PNL" localSheetId="8">'[38]Revenue-Fire-Marine-Motor'!#REF!</definedName>
    <definedName name="PNL" localSheetId="2">'[38]Revenue-Fire-Marine-Motor'!#REF!</definedName>
    <definedName name="PNL" localSheetId="12">'[38]Revenue-Fire-Marine-Motor'!#REF!</definedName>
    <definedName name="PNL" localSheetId="13">'[38]Revenue-Fire-Marine-Motor'!#REF!</definedName>
    <definedName name="PNL" localSheetId="5">'[38]Revenue-Fire-Marine-Motor'!#REF!</definedName>
    <definedName name="PNL">'[38]Revenue-Fire-Marine-Motor'!#REF!</definedName>
    <definedName name="po" localSheetId="20">[84]BSDOMOVS!#REF!</definedName>
    <definedName name="po" localSheetId="17">[84]BSDOMOVS!#REF!</definedName>
    <definedName name="po" localSheetId="8">[84]BSDOMOVS!#REF!</definedName>
    <definedName name="po" localSheetId="12">[84]BSDOMOVS!#REF!</definedName>
    <definedName name="po" localSheetId="13">[84]BSDOMOVS!#REF!</definedName>
    <definedName name="po" localSheetId="5">[84]BSDOMOVS!#REF!</definedName>
    <definedName name="po">[84]BSDOMOVS!#REF!</definedName>
    <definedName name="Pop_AC" localSheetId="18">#REF!</definedName>
    <definedName name="Pop_AC" localSheetId="19">#REF!</definedName>
    <definedName name="Pop_AC">#REF!</definedName>
    <definedName name="Pop_Acc_Comp" localSheetId="18">#REF!</definedName>
    <definedName name="Pop_Acc_Comp" localSheetId="19">#REF!</definedName>
    <definedName name="Pop_Acc_Comp">#REF!</definedName>
    <definedName name="Pop_Def" localSheetId="18">#REF!</definedName>
    <definedName name="Pop_Def" localSheetId="19">#REF!</definedName>
    <definedName name="Pop_Def">#REF!</definedName>
    <definedName name="Pop_Imm_Def" localSheetId="18">#REF!</definedName>
    <definedName name="Pop_Imm_Def" localSheetId="19">#REF!</definedName>
    <definedName name="Pop_Imm_Def">#REF!</definedName>
    <definedName name="Pop_Imm_It" localSheetId="18">#REF!</definedName>
    <definedName name="Pop_Imm_It" localSheetId="19">#REF!</definedName>
    <definedName name="Pop_Imm_It">#REF!</definedName>
    <definedName name="Pop_Imm_T" localSheetId="18">#REF!</definedName>
    <definedName name="Pop_Imm_T" localSheetId="19">#REF!</definedName>
    <definedName name="Pop_Imm_T">#REF!</definedName>
    <definedName name="Pop_Samp_It" localSheetId="18">#REF!</definedName>
    <definedName name="Pop_Samp_It" localSheetId="19">#REF!</definedName>
    <definedName name="Pop_Samp_It">#REF!</definedName>
    <definedName name="Pop_Samp_T" localSheetId="18">#REF!</definedName>
    <definedName name="Pop_Samp_T" localSheetId="19">#REF!</definedName>
    <definedName name="Pop_Samp_T">#REF!</definedName>
    <definedName name="Pop_Sig_Def" localSheetId="18">#REF!</definedName>
    <definedName name="Pop_Sig_Def" localSheetId="19">#REF!</definedName>
    <definedName name="Pop_Sig_Def">#REF!</definedName>
    <definedName name="Pop_Sig_It" localSheetId="18">#REF!</definedName>
    <definedName name="Pop_Sig_It" localSheetId="19">#REF!</definedName>
    <definedName name="Pop_Sig_It">#REF!</definedName>
    <definedName name="Pop_Sig_T" localSheetId="18">#REF!</definedName>
    <definedName name="Pop_Sig_T" localSheetId="19">#REF!</definedName>
    <definedName name="Pop_Sig_T">#REF!</definedName>
    <definedName name="Pop_SU" localSheetId="18">#REF!</definedName>
    <definedName name="Pop_SU" localSheetId="19">#REF!</definedName>
    <definedName name="Pop_SU">#REF!</definedName>
    <definedName name="por" localSheetId="18">#REF!</definedName>
    <definedName name="por" localSheetId="19">#REF!</definedName>
    <definedName name="por">#REF!</definedName>
    <definedName name="post_CA" localSheetId="18">#REF!</definedName>
    <definedName name="post_CA" localSheetId="19">#REF!</definedName>
    <definedName name="post_CA">#REF!</definedName>
    <definedName name="post_CL" localSheetId="18">#REF!</definedName>
    <definedName name="post_CL" localSheetId="19">#REF!</definedName>
    <definedName name="post_CL">#REF!</definedName>
    <definedName name="post_Eq" localSheetId="18">#REF!</definedName>
    <definedName name="post_Eq" localSheetId="19">#REF!</definedName>
    <definedName name="post_Eq">#REF!</definedName>
    <definedName name="post_FA" localSheetId="18">#REF!</definedName>
    <definedName name="post_FA" localSheetId="19">#REF!</definedName>
    <definedName name="post_FA">#REF!</definedName>
    <definedName name="post_LTL" localSheetId="18">#REF!</definedName>
    <definedName name="post_LTL" localSheetId="19">#REF!</definedName>
    <definedName name="post_LTL">#REF!</definedName>
    <definedName name="Posting_Increment___Common___CA" localSheetId="18">#REF!</definedName>
    <definedName name="Posting_Increment___Common___CA" localSheetId="19">#REF!</definedName>
    <definedName name="Posting_Increment___Common___CA">#REF!</definedName>
    <definedName name="Posting_Increment___Common___CL" localSheetId="18">#REF!</definedName>
    <definedName name="Posting_Increment___Common___CL" localSheetId="19">#REF!</definedName>
    <definedName name="Posting_Increment___Common___CL">#REF!</definedName>
    <definedName name="Posting_Increment___Common___EQ" localSheetId="18">#REF!</definedName>
    <definedName name="Posting_Increment___Common___EQ" localSheetId="19">#REF!</definedName>
    <definedName name="Posting_Increment___Common___EQ">#REF!</definedName>
    <definedName name="Posting_Increment___Common___LL" localSheetId="18">#REF!</definedName>
    <definedName name="Posting_Increment___Common___LL" localSheetId="19">#REF!</definedName>
    <definedName name="Posting_Increment___Common___LL">#REF!</definedName>
    <definedName name="Posting_Increment___Common___NCA" localSheetId="18">#REF!</definedName>
    <definedName name="Posting_Increment___Common___NCA" localSheetId="19">#REF!</definedName>
    <definedName name="Posting_Increment___Common___NCA">#REF!</definedName>
    <definedName name="Posting_Increment___Uncommon___CA" localSheetId="18">#REF!</definedName>
    <definedName name="Posting_Increment___Uncommon___CA" localSheetId="19">#REF!</definedName>
    <definedName name="Posting_Increment___Uncommon___CA">#REF!</definedName>
    <definedName name="Posting_Increment___Uncommon___CL" localSheetId="18">#REF!</definedName>
    <definedName name="Posting_Increment___Uncommon___CL" localSheetId="19">#REF!</definedName>
    <definedName name="Posting_Increment___Uncommon___CL">#REF!</definedName>
    <definedName name="Posting_Increment___Uncommon___EQ" localSheetId="18">#REF!</definedName>
    <definedName name="Posting_Increment___Uncommon___EQ" localSheetId="19">#REF!</definedName>
    <definedName name="Posting_Increment___Uncommon___EQ">#REF!</definedName>
    <definedName name="Posting_Increment___Uncommon___LL" localSheetId="18">#REF!</definedName>
    <definedName name="Posting_Increment___Uncommon___LL" localSheetId="19">#REF!</definedName>
    <definedName name="Posting_Increment___Uncommon___LL">#REF!</definedName>
    <definedName name="Posting_Increment___Uncommon___NCA" localSheetId="18">#REF!</definedName>
    <definedName name="Posting_Increment___Uncommon___NCA" localSheetId="19">#REF!</definedName>
    <definedName name="Posting_Increment___Uncommon___NCA">#REF!</definedName>
    <definedName name="PP" localSheetId="20">#REF!</definedName>
    <definedName name="PP" localSheetId="17">#REF!</definedName>
    <definedName name="PP" localSheetId="8">#REF!</definedName>
    <definedName name="PP" localSheetId="12">#REF!</definedName>
    <definedName name="PP" localSheetId="13">#REF!</definedName>
    <definedName name="PP" localSheetId="5">#REF!</definedName>
    <definedName name="PP">#REF!</definedName>
    <definedName name="_xlnm.Print_Area" localSheetId="18">'12.1'!$A$1:$L$54</definedName>
    <definedName name="_xlnm.Print_Area" localSheetId="19">'12.2-12.3'!$A$1:$K$152</definedName>
    <definedName name="_xlnm.Print_Area" localSheetId="20">'14'!$A$1:$K$41</definedName>
    <definedName name="_xlnm.Print_Area" localSheetId="17">'14-16'!$A$1:$W$54</definedName>
    <definedName name="_xlnm.Print_Area" localSheetId="7">'1-6'!$A$1:$L$102</definedName>
    <definedName name="_xlnm.Print_Area" localSheetId="33">'20-25.1.2'!$A$1:$K$136</definedName>
    <definedName name="_xlnm.Print_Area" localSheetId="34">'25.1.3-25.2'!$A$1:$J$79</definedName>
    <definedName name="_xlnm.Print_Area" localSheetId="38">'29-31.3'!$A$1:$AD$37</definedName>
    <definedName name="_xlnm.Print_Area" localSheetId="15">'5.1'!$A$1:$M$155</definedName>
    <definedName name="_xlnm.Print_Area" localSheetId="30">'5.1-5.3'!$A$1:$L$131</definedName>
    <definedName name="_xlnm.Print_Area" localSheetId="32">'5.1-5.3 (2)'!$A$1:$K$132</definedName>
    <definedName name="_xlnm.Print_Area" localSheetId="31">'5.4-8'!$A$1:$J$68</definedName>
    <definedName name="_xlnm.Print_Area" localSheetId="9">'6.2'!$A$47:$J$71</definedName>
    <definedName name="_xlnm.Print_Area" localSheetId="8">'6-6.1.2'!$A$1:$L$197</definedName>
    <definedName name="_xlnm.Print_Area" localSheetId="10">'7-12'!$A$1:$L$88</definedName>
    <definedName name="_xlnm.Print_Area" localSheetId="40">'bank rating'!$A$1:$G$28</definedName>
    <definedName name="_xlnm.Print_Area" localSheetId="0">BS!$A$1:$H$53</definedName>
    <definedName name="_xlnm.Print_Area" localSheetId="24">'CF Working'!$A$1:$B$64</definedName>
    <definedName name="_xlnm.Print_Area" localSheetId="6">CFs!$A$1:$J$58</definedName>
    <definedName name="_xlnm.Print_Area" localSheetId="39">'credit 2011'!$A$1:$L$20</definedName>
    <definedName name="_xlnm.Print_Area" localSheetId="3">DS!$A$1:$K$33</definedName>
    <definedName name="_xlnm.Print_Area" localSheetId="37">'Element income final 2015'!$A$1:$C$62</definedName>
    <definedName name="_xlnm.Print_Area" localSheetId="45">'investment topsheet'!$A$1:$H$28</definedName>
    <definedName name="_xlnm.Print_Area" localSheetId="46">'invst Control Sheet'!$A$1:$E$45</definedName>
    <definedName name="_xlnm.Print_Area" localSheetId="1">IS!$A$1:$L$65</definedName>
    <definedName name="_xlnm.Print_Area" localSheetId="29">'Note 1-5 (2)'!$A$1:$Z$107</definedName>
    <definedName name="_xlnm.Print_Area" localSheetId="35">'Note 25.2.1-30.1'!$A$1:$K$155</definedName>
    <definedName name="_xlnm.Print_Area" localSheetId="2">OCI!$A$1:$L$28</definedName>
    <definedName name="_xlnm.Print_Area" localSheetId="21">RP!$A$1:$L$49</definedName>
    <definedName name="_xlnm.Print_Area" localSheetId="43">'Set off'!$A$1:$H$32</definedName>
    <definedName name="_xlnm.Print_Area" localSheetId="4">UHF!$A$1:$K$58</definedName>
    <definedName name="_xlnm.Print_Area" localSheetId="12">'UHF New'!$A$1:$M$100</definedName>
    <definedName name="_xlnm.Print_Area" localSheetId="13">'UHF OLD'!$A$1:$H$105</definedName>
    <definedName name="_xlnm.Print_Area" localSheetId="5">UHF.!$A$1:$L$66</definedName>
    <definedName name="_xlnm.Print_Area">[6]Sheet4!$A$421:$Q$523</definedName>
    <definedName name="PRINT_AREA_MI" localSheetId="20">#REF!</definedName>
    <definedName name="PRINT_AREA_MI" localSheetId="17">#REF!</definedName>
    <definedName name="PRINT_AREA_MI" localSheetId="8">#REF!</definedName>
    <definedName name="PRINT_AREA_MI" localSheetId="2">'[85]AC-CODES'!#REF!</definedName>
    <definedName name="PRINT_AREA_MI" localSheetId="12">#REF!</definedName>
    <definedName name="PRINT_AREA_MI" localSheetId="13">#REF!</definedName>
    <definedName name="PRINT_AREA_MI" localSheetId="5">#REF!</definedName>
    <definedName name="PRINT_AREA_MI">#REF!</definedName>
    <definedName name="PRINT_AREA_MI_9" localSheetId="20">#REF!</definedName>
    <definedName name="PRINT_AREA_MI_9" localSheetId="17">#REF!</definedName>
    <definedName name="PRINT_AREA_MI_9" localSheetId="8">#REF!</definedName>
    <definedName name="PRINT_AREA_MI_9" localSheetId="12">#REF!</definedName>
    <definedName name="PRINT_AREA_MI_9" localSheetId="13">#REF!</definedName>
    <definedName name="PRINT_AREA_MI_9" localSheetId="5">#REF!</definedName>
    <definedName name="PRINT_AREA_MI_9">#REF!</definedName>
    <definedName name="_xlnm.Print_Titles" localSheetId="8">'6-6.1.2'!$3:$8</definedName>
    <definedName name="_xlnm.Print_Titles">#REF!</definedName>
    <definedName name="Print_Titles_MI" localSheetId="20">#REF!</definedName>
    <definedName name="PRINT_TITLES_MI" localSheetId="17">#REF!</definedName>
    <definedName name="Print_Titles_MI" localSheetId="8">#REF!</definedName>
    <definedName name="Print_Titles_MI" localSheetId="2">#REF!</definedName>
    <definedName name="Print_Titles_MI" localSheetId="12">#REF!</definedName>
    <definedName name="Print_Titles_MI" localSheetId="13">#REF!</definedName>
    <definedName name="Print_Titles_MI" localSheetId="5">#REF!</definedName>
    <definedName name="Print_Titles_MI">#REF!</definedName>
    <definedName name="PRODUCT_LINE" localSheetId="20">#REF!</definedName>
    <definedName name="PRODUCT_LINE" localSheetId="17">#REF!</definedName>
    <definedName name="PRODUCT_LINE" localSheetId="8">#REF!</definedName>
    <definedName name="PRODUCT_LINE" localSheetId="2">#REF!</definedName>
    <definedName name="PRODUCT_LINE" localSheetId="12">#REF!</definedName>
    <definedName name="PRODUCT_LINE" localSheetId="13">#REF!</definedName>
    <definedName name="PRODUCT_LINE" localSheetId="5">#REF!</definedName>
    <definedName name="PRODUCT_LINE">#REF!</definedName>
    <definedName name="PRODUCTWISE_PRO" localSheetId="20">#REF!</definedName>
    <definedName name="PRODUCTWISE_PRO" localSheetId="17">#REF!</definedName>
    <definedName name="PRODUCTWISE_PRO" localSheetId="8">#REF!</definedName>
    <definedName name="PRODUCTWISE_PRO" localSheetId="2">#REF!</definedName>
    <definedName name="PRODUCTWISE_PRO" localSheetId="12">#REF!</definedName>
    <definedName name="PRODUCTWISE_PRO" localSheetId="13">#REF!</definedName>
    <definedName name="PRODUCTWISE_PRO" localSheetId="5">#REF!</definedName>
    <definedName name="PRODUCTWISE_PRO">#REF!</definedName>
    <definedName name="PROFIT_PROVISION" localSheetId="20">[32]ProfitProv!#REF!</definedName>
    <definedName name="PROFIT_PROVISION" localSheetId="17">[32]ProfitProv!#REF!</definedName>
    <definedName name="PROFIT_PROVISION" localSheetId="8">[32]ProfitProv!#REF!</definedName>
    <definedName name="PROFIT_PROVISION" localSheetId="2">[32]ProfitProv!#REF!</definedName>
    <definedName name="PROFIT_PROVISION" localSheetId="12">[32]ProfitProv!#REF!</definedName>
    <definedName name="PROFIT_PROVISION" localSheetId="13">[32]ProfitProv!#REF!</definedName>
    <definedName name="PROFIT_PROVISION" localSheetId="5">[32]ProfitProv!#REF!</definedName>
    <definedName name="PROFIT_PROVISION">[32]ProfitProv!#REF!</definedName>
    <definedName name="PROFIT_RECON" localSheetId="20">[32]ProfitProv!#REF!</definedName>
    <definedName name="PROFIT_RECON" localSheetId="17">[32]ProfitProv!#REF!</definedName>
    <definedName name="PROFIT_RECON" localSheetId="8">[32]ProfitProv!#REF!</definedName>
    <definedName name="PROFIT_RECON" localSheetId="2">[32]ProfitProv!#REF!</definedName>
    <definedName name="PROFIT_RECON" localSheetId="12">[32]ProfitProv!#REF!</definedName>
    <definedName name="PROFIT_RECON" localSheetId="13">[32]ProfitProv!#REF!</definedName>
    <definedName name="PROFIT_RECON" localSheetId="5">[32]ProfitProv!#REF!</definedName>
    <definedName name="PROFIT_RECON">[32]ProfitProv!#REF!</definedName>
    <definedName name="PROFIT1" localSheetId="20">#REF!</definedName>
    <definedName name="PROFIT1" localSheetId="17">#REF!</definedName>
    <definedName name="PROFIT1" localSheetId="8">#REF!</definedName>
    <definedName name="PROFIT1" localSheetId="12">#REF!</definedName>
    <definedName name="PROFIT1" localSheetId="13">#REF!</definedName>
    <definedName name="PROFIT1" localSheetId="5">#REF!</definedName>
    <definedName name="PROFIT1">#REF!</definedName>
    <definedName name="PROFIT2" localSheetId="20">#REF!</definedName>
    <definedName name="PROFIT2" localSheetId="17">#REF!</definedName>
    <definedName name="PROFIT2" localSheetId="8">#REF!</definedName>
    <definedName name="PROFIT2" localSheetId="12">#REF!</definedName>
    <definedName name="PROFIT2" localSheetId="13">#REF!</definedName>
    <definedName name="PROFIT2" localSheetId="5">#REF!</definedName>
    <definedName name="PROFIT2">#REF!</definedName>
    <definedName name="Proj_Meth" localSheetId="18">#REF!</definedName>
    <definedName name="Proj_Meth" localSheetId="19">#REF!</definedName>
    <definedName name="Proj_Meth">#REF!</definedName>
    <definedName name="provisiondet" localSheetId="20">#REF!</definedName>
    <definedName name="provisiondet" localSheetId="17">#REF!</definedName>
    <definedName name="provisiondet" localSheetId="8">#REF!</definedName>
    <definedName name="provisiondet" localSheetId="12">#REF!</definedName>
    <definedName name="provisiondet" localSheetId="13">#REF!</definedName>
    <definedName name="provisiondet" localSheetId="5">#REF!</definedName>
    <definedName name="provisiondet">#REF!</definedName>
    <definedName name="prt" localSheetId="20">#REF!</definedName>
    <definedName name="prt" localSheetId="17">#REF!</definedName>
    <definedName name="prt" localSheetId="8">#REF!</definedName>
    <definedName name="prt" localSheetId="2">#REF!</definedName>
    <definedName name="prt" localSheetId="12">#REF!</definedName>
    <definedName name="prt" localSheetId="13">#REF!</definedName>
    <definedName name="prt" localSheetId="5">#REF!</definedName>
    <definedName name="prt">#REF!</definedName>
    <definedName name="prt_abx314" localSheetId="20">#REF!</definedName>
    <definedName name="prt_abx314" localSheetId="17">#REF!</definedName>
    <definedName name="prt_abx314" localSheetId="8">#REF!</definedName>
    <definedName name="prt_abx314" localSheetId="2">#REF!</definedName>
    <definedName name="prt_abx314" localSheetId="12">#REF!</definedName>
    <definedName name="prt_abx314" localSheetId="13">#REF!</definedName>
    <definedName name="prt_abx314" localSheetId="5">#REF!</definedName>
    <definedName name="prt_abx314">#REF!</definedName>
    <definedName name="prt_cs" localSheetId="18">#REF!</definedName>
    <definedName name="prt_cs" localSheetId="19">#REF!</definedName>
    <definedName name="prt_cs">#REF!</definedName>
    <definedName name="PRT_dep" localSheetId="18">#REF!</definedName>
    <definedName name="PRT_dep" localSheetId="19">#REF!</definedName>
    <definedName name="PRT_dep">#REF!</definedName>
    <definedName name="PRT_MRPT" localSheetId="18">#REF!</definedName>
    <definedName name="PRT_MRPT" localSheetId="19">#REF!</definedName>
    <definedName name="PRT_MRPT">#REF!</definedName>
    <definedName name="prtt">'[86]2000_ Projects Summary'!$A$1:$Q$33</definedName>
    <definedName name="PYILMAT" localSheetId="18">#REF!</definedName>
    <definedName name="PYILMAT" localSheetId="19">#REF!</definedName>
    <definedName name="PYILMAT">#REF!</definedName>
    <definedName name="Q" localSheetId="20">#REF!</definedName>
    <definedName name="Q" localSheetId="17">#REF!</definedName>
    <definedName name="Q" localSheetId="8">#REF!</definedName>
    <definedName name="Q" localSheetId="12">#REF!</definedName>
    <definedName name="Q" localSheetId="13">#REF!</definedName>
    <definedName name="Q" localSheetId="5">#REF!</definedName>
    <definedName name="Q">#REF!</definedName>
    <definedName name="qa" localSheetId="18">#REF!</definedName>
    <definedName name="qa" localSheetId="19">#REF!</definedName>
    <definedName name="qa">#REF!</definedName>
    <definedName name="qas" localSheetId="18" hidden="1">#REF!</definedName>
    <definedName name="qas" localSheetId="19" hidden="1">#REF!</definedName>
    <definedName name="qas" hidden="1">#REF!</definedName>
    <definedName name="QATAR1" localSheetId="17">[8]Sheet4!$H$428:$H$519</definedName>
    <definedName name="QATAR1">[6]Sheet4!$H$428:$H$519</definedName>
    <definedName name="QATAR2" localSheetId="17">[8]Sheet4!$U$326:$U$417</definedName>
    <definedName name="QATAR2">[6]Sheet4!$U$326:$U$417</definedName>
    <definedName name="qq" localSheetId="18" hidden="1">#REF!</definedName>
    <definedName name="qq" localSheetId="19" hidden="1">#REF!</definedName>
    <definedName name="qq" hidden="1">#REF!</definedName>
    <definedName name="qwe">[3]FundsNW!$A$3+[3]FundsNW!$A$2:$S$76</definedName>
    <definedName name="qww" localSheetId="18" hidden="1">#REF!</definedName>
    <definedName name="qww" localSheetId="19" hidden="1">#REF!</definedName>
    <definedName name="qww" hidden="1">#REF!</definedName>
    <definedName name="qwww" localSheetId="20">[27]acct!#REF!</definedName>
    <definedName name="qwww" localSheetId="17">[27]acct!#REF!</definedName>
    <definedName name="qwww" localSheetId="8">[27]acct!#REF!</definedName>
    <definedName name="qwww" localSheetId="12">[27]acct!#REF!</definedName>
    <definedName name="qwww" localSheetId="13">[27]acct!#REF!</definedName>
    <definedName name="qwww" localSheetId="5">[27]acct!#REF!</definedName>
    <definedName name="qwww">[27]acct!#REF!</definedName>
    <definedName name="RANGE_1" localSheetId="20">#REF!</definedName>
    <definedName name="RANGE_1" localSheetId="17">#REF!</definedName>
    <definedName name="RANGE_1" localSheetId="8">#REF!</definedName>
    <definedName name="RANGE_1" localSheetId="2">#REF!</definedName>
    <definedName name="RANGE_1" localSheetId="12">#REF!</definedName>
    <definedName name="RANGE_1" localSheetId="13">#REF!</definedName>
    <definedName name="RANGE_1" localSheetId="5">#REF!</definedName>
    <definedName name="RANGE_1">#REF!</definedName>
    <definedName name="rate">'[37]rate '!$B$4:$C$31</definedName>
    <definedName name="Raza" localSheetId="20">#REF!</definedName>
    <definedName name="Raza" localSheetId="17">#REF!</definedName>
    <definedName name="Raza" localSheetId="8">#REF!</definedName>
    <definedName name="Raza" localSheetId="12">#REF!</definedName>
    <definedName name="Raza" localSheetId="13">#REF!</definedName>
    <definedName name="Raza" localSheetId="5">#REF!</definedName>
    <definedName name="Raza">#REF!</definedName>
    <definedName name="Recover">[87]Macro1!$A$170</definedName>
    <definedName name="REDCAP" localSheetId="20">[26]acct!#REF!</definedName>
    <definedName name="REDCAP" localSheetId="17">[27]acct!#REF!</definedName>
    <definedName name="REDCAP" localSheetId="8">[26]acct!#REF!</definedName>
    <definedName name="REDCAP" localSheetId="2">[28]acct!#REF!</definedName>
    <definedName name="REDCAP" localSheetId="12">[26]acct!#REF!</definedName>
    <definedName name="REDCAP" localSheetId="13">[26]acct!#REF!</definedName>
    <definedName name="REDCAP" localSheetId="5">[26]acct!#REF!</definedName>
    <definedName name="REDCAP">[26]acct!#REF!</definedName>
    <definedName name="rem" localSheetId="18">#REF!</definedName>
    <definedName name="rem" localSheetId="19">#REF!</definedName>
    <definedName name="rem">#REF!</definedName>
    <definedName name="REPAYMENT">'[88]BScN Local Students'!$A$9:$S$137</definedName>
    <definedName name="Revaluation" localSheetId="18" hidden="1">{"'CALL MONEY'!$K$53"}</definedName>
    <definedName name="Revaluation" localSheetId="19" hidden="1">{"'CALL MONEY'!$K$53"}</definedName>
    <definedName name="Revaluation" hidden="1">{"'CALL MONEY'!$K$53"}</definedName>
    <definedName name="RF" localSheetId="20">[26]acct!#REF!</definedName>
    <definedName name="RF" localSheetId="17">[27]acct!#REF!</definedName>
    <definedName name="RF" localSheetId="8">[26]acct!#REF!</definedName>
    <definedName name="RF" localSheetId="2">[28]acct!#REF!</definedName>
    <definedName name="RF" localSheetId="12">[26]acct!#REF!</definedName>
    <definedName name="RF" localSheetId="13">[26]acct!#REF!</definedName>
    <definedName name="RF" localSheetId="5">[26]acct!#REF!</definedName>
    <definedName name="RF">[26]acct!#REF!</definedName>
    <definedName name="RiskSimBins">'[89]RiskSim Summary 1'!$I$2:$I$10</definedName>
    <definedName name="RiskSimData">'[89]RiskSim Summary 1'!$B$2:$B$301</definedName>
    <definedName name="RiskSimFreq">'[89]RiskSim Summary 1'!$J$2:$J$11</definedName>
    <definedName name="Rng" localSheetId="18">#REF!</definedName>
    <definedName name="Rng" localSheetId="19">#REF!</definedName>
    <definedName name="Rng">#REF!</definedName>
    <definedName name="RPBF" localSheetId="18">#REF!</definedName>
    <definedName name="RPBF" localSheetId="19">#REF!</definedName>
    <definedName name="RPBF">#REF!</definedName>
    <definedName name="RPBFR" localSheetId="18">#REF!</definedName>
    <definedName name="RPBFR" localSheetId="19">#REF!</definedName>
    <definedName name="RPBFR">#REF!</definedName>
    <definedName name="RPCF" localSheetId="18">#REF!</definedName>
    <definedName name="RPCF" localSheetId="19">#REF!</definedName>
    <definedName name="RPCF">#REF!</definedName>
    <definedName name="RRRR" localSheetId="20">#REF!</definedName>
    <definedName name="RRRR" localSheetId="17">#REF!</definedName>
    <definedName name="RRRR" localSheetId="8">#REF!</definedName>
    <definedName name="RRRR" localSheetId="12">#REF!</definedName>
    <definedName name="RRRR" localSheetId="13">#REF!</definedName>
    <definedName name="RRRR" localSheetId="5">#REF!</definedName>
    <definedName name="RRRR">#REF!</definedName>
    <definedName name="s" localSheetId="20">#REF!</definedName>
    <definedName name="S" localSheetId="17">#REF!</definedName>
    <definedName name="s" localSheetId="8">#REF!</definedName>
    <definedName name="s" localSheetId="12">#REF!</definedName>
    <definedName name="s" localSheetId="13">#REF!</definedName>
    <definedName name="s" localSheetId="5">#REF!</definedName>
    <definedName name="s">#REF!</definedName>
    <definedName name="S_AcctDes" localSheetId="20">#REF!</definedName>
    <definedName name="S_AcctDes" localSheetId="17">#REF!</definedName>
    <definedName name="S_AcctDes" localSheetId="8">#REF!</definedName>
    <definedName name="S_AcctDes" localSheetId="12">#REF!</definedName>
    <definedName name="S_AcctDes" localSheetId="13">#REF!</definedName>
    <definedName name="S_AcctDes" localSheetId="5">#REF!</definedName>
    <definedName name="S_AcctDes">#REF!</definedName>
    <definedName name="S_AcctDes_1" localSheetId="20">#REF!</definedName>
    <definedName name="S_AcctDes_1" localSheetId="17">#REF!</definedName>
    <definedName name="S_AcctDes_1" localSheetId="8">#REF!</definedName>
    <definedName name="S_AcctDes_1" localSheetId="12">#REF!</definedName>
    <definedName name="S_AcctDes_1" localSheetId="13">#REF!</definedName>
    <definedName name="S_AcctDes_1" localSheetId="5">#REF!</definedName>
    <definedName name="S_AcctDes_1">#REF!</definedName>
    <definedName name="S_AcctDes_20" localSheetId="20">#REF!</definedName>
    <definedName name="S_AcctDes_20" localSheetId="17">#REF!</definedName>
    <definedName name="S_AcctDes_20" localSheetId="8">#REF!</definedName>
    <definedName name="S_AcctDes_20" localSheetId="12">#REF!</definedName>
    <definedName name="S_AcctDes_20" localSheetId="13">#REF!</definedName>
    <definedName name="S_AcctDes_20" localSheetId="5">#REF!</definedName>
    <definedName name="S_AcctDes_20">#REF!</definedName>
    <definedName name="S_AcctDes_21" localSheetId="20">#REF!</definedName>
    <definedName name="S_AcctDes_21" localSheetId="17">#REF!</definedName>
    <definedName name="S_AcctDes_21" localSheetId="8">#REF!</definedName>
    <definedName name="S_AcctDes_21" localSheetId="12">#REF!</definedName>
    <definedName name="S_AcctDes_21" localSheetId="13">#REF!</definedName>
    <definedName name="S_AcctDes_21" localSheetId="5">#REF!</definedName>
    <definedName name="S_AcctDes_21">#REF!</definedName>
    <definedName name="S_AcctDes_23" localSheetId="20">#REF!</definedName>
    <definedName name="S_AcctDes_23" localSheetId="17">#REF!</definedName>
    <definedName name="S_AcctDes_23" localSheetId="8">#REF!</definedName>
    <definedName name="S_AcctDes_23" localSheetId="12">#REF!</definedName>
    <definedName name="S_AcctDes_23" localSheetId="13">#REF!</definedName>
    <definedName name="S_AcctDes_23" localSheetId="5">#REF!</definedName>
    <definedName name="S_AcctDes_23">#REF!</definedName>
    <definedName name="S_AcctDes_5" localSheetId="20">#REF!</definedName>
    <definedName name="S_AcctDes_5" localSheetId="17">#REF!</definedName>
    <definedName name="S_AcctDes_5" localSheetId="8">#REF!</definedName>
    <definedName name="S_AcctDes_5" localSheetId="12">#REF!</definedName>
    <definedName name="S_AcctDes_5" localSheetId="13">#REF!</definedName>
    <definedName name="S_AcctDes_5" localSheetId="5">#REF!</definedName>
    <definedName name="S_AcctDes_5">#REF!</definedName>
    <definedName name="S_AcctDes_8" localSheetId="20">#REF!</definedName>
    <definedName name="S_AcctDes_8" localSheetId="17">#REF!</definedName>
    <definedName name="S_AcctDes_8" localSheetId="8">#REF!</definedName>
    <definedName name="S_AcctDes_8" localSheetId="12">#REF!</definedName>
    <definedName name="S_AcctDes_8" localSheetId="13">#REF!</definedName>
    <definedName name="S_AcctDes_8" localSheetId="5">#REF!</definedName>
    <definedName name="S_AcctDes_8">#REF!</definedName>
    <definedName name="S_Adjust" localSheetId="20">#REF!</definedName>
    <definedName name="S_Adjust" localSheetId="17">#REF!</definedName>
    <definedName name="S_Adjust" localSheetId="8">#REF!</definedName>
    <definedName name="S_Adjust" localSheetId="12">#REF!</definedName>
    <definedName name="S_Adjust" localSheetId="13">#REF!</definedName>
    <definedName name="S_Adjust" localSheetId="5">#REF!</definedName>
    <definedName name="S_Adjust">#REF!</definedName>
    <definedName name="S_Adjust_1" localSheetId="20">#REF!</definedName>
    <definedName name="S_Adjust_1" localSheetId="17">#REF!</definedName>
    <definedName name="S_Adjust_1" localSheetId="8">#REF!</definedName>
    <definedName name="S_Adjust_1" localSheetId="12">#REF!</definedName>
    <definedName name="S_Adjust_1" localSheetId="13">#REF!</definedName>
    <definedName name="S_Adjust_1" localSheetId="5">#REF!</definedName>
    <definedName name="S_Adjust_1">#REF!</definedName>
    <definedName name="S_Adjust_20" localSheetId="20">#REF!</definedName>
    <definedName name="S_Adjust_20" localSheetId="17">#REF!</definedName>
    <definedName name="S_Adjust_20" localSheetId="8">#REF!</definedName>
    <definedName name="S_Adjust_20" localSheetId="12">#REF!</definedName>
    <definedName name="S_Adjust_20" localSheetId="13">#REF!</definedName>
    <definedName name="S_Adjust_20" localSheetId="5">#REF!</definedName>
    <definedName name="S_Adjust_20">#REF!</definedName>
    <definedName name="S_Adjust_21" localSheetId="20">#REF!</definedName>
    <definedName name="S_Adjust_21" localSheetId="17">#REF!</definedName>
    <definedName name="S_Adjust_21" localSheetId="8">#REF!</definedName>
    <definedName name="S_Adjust_21" localSheetId="12">#REF!</definedName>
    <definedName name="S_Adjust_21" localSheetId="13">#REF!</definedName>
    <definedName name="S_Adjust_21" localSheetId="5">#REF!</definedName>
    <definedName name="S_Adjust_21">#REF!</definedName>
    <definedName name="S_Adjust_23" localSheetId="20">#REF!</definedName>
    <definedName name="S_Adjust_23" localSheetId="17">#REF!</definedName>
    <definedName name="S_Adjust_23" localSheetId="8">#REF!</definedName>
    <definedName name="S_Adjust_23" localSheetId="12">#REF!</definedName>
    <definedName name="S_Adjust_23" localSheetId="13">#REF!</definedName>
    <definedName name="S_Adjust_23" localSheetId="5">#REF!</definedName>
    <definedName name="S_Adjust_23">#REF!</definedName>
    <definedName name="S_Adjust_5" localSheetId="20">#REF!</definedName>
    <definedName name="S_Adjust_5" localSheetId="17">#REF!</definedName>
    <definedName name="S_Adjust_5" localSheetId="8">#REF!</definedName>
    <definedName name="S_Adjust_5" localSheetId="12">#REF!</definedName>
    <definedName name="S_Adjust_5" localSheetId="13">#REF!</definedName>
    <definedName name="S_Adjust_5" localSheetId="5">#REF!</definedName>
    <definedName name="S_Adjust_5">#REF!</definedName>
    <definedName name="S_Adjust_8" localSheetId="20">#REF!</definedName>
    <definedName name="S_Adjust_8" localSheetId="17">#REF!</definedName>
    <definedName name="S_Adjust_8" localSheetId="8">#REF!</definedName>
    <definedName name="S_Adjust_8" localSheetId="12">#REF!</definedName>
    <definedName name="S_Adjust_8" localSheetId="13">#REF!</definedName>
    <definedName name="S_Adjust_8" localSheetId="5">#REF!</definedName>
    <definedName name="S_Adjust_8">#REF!</definedName>
    <definedName name="S_Adjust_Data" localSheetId="17">#REF!</definedName>
    <definedName name="S_Adjust_Data">[69]Lead!$I$1:$I$553</definedName>
    <definedName name="S_Adjust_Data_1" localSheetId="20">#REF!</definedName>
    <definedName name="S_Adjust_Data_1" localSheetId="17">#REF!</definedName>
    <definedName name="S_Adjust_Data_1" localSheetId="8">#REF!</definedName>
    <definedName name="S_Adjust_Data_1" localSheetId="12">#REF!</definedName>
    <definedName name="S_Adjust_Data_1" localSheetId="13">#REF!</definedName>
    <definedName name="S_Adjust_Data_1" localSheetId="5">#REF!</definedName>
    <definedName name="S_Adjust_Data_1">#REF!</definedName>
    <definedName name="S_Adjust_Data_20" localSheetId="20">#REF!</definedName>
    <definedName name="S_Adjust_Data_20" localSheetId="17">#REF!</definedName>
    <definedName name="S_Adjust_Data_20" localSheetId="8">#REF!</definedName>
    <definedName name="S_Adjust_Data_20" localSheetId="12">#REF!</definedName>
    <definedName name="S_Adjust_Data_20" localSheetId="13">#REF!</definedName>
    <definedName name="S_Adjust_Data_20" localSheetId="5">#REF!</definedName>
    <definedName name="S_Adjust_Data_20">#REF!</definedName>
    <definedName name="S_Adjust_Data_21" localSheetId="20">#REF!</definedName>
    <definedName name="S_Adjust_Data_21" localSheetId="17">#REF!</definedName>
    <definedName name="S_Adjust_Data_21" localSheetId="8">#REF!</definedName>
    <definedName name="S_Adjust_Data_21" localSheetId="12">#REF!</definedName>
    <definedName name="S_Adjust_Data_21" localSheetId="13">#REF!</definedName>
    <definedName name="S_Adjust_Data_21" localSheetId="5">#REF!</definedName>
    <definedName name="S_Adjust_Data_21">#REF!</definedName>
    <definedName name="S_Adjust_Data_23" localSheetId="20">#REF!</definedName>
    <definedName name="S_Adjust_Data_23" localSheetId="17">#REF!</definedName>
    <definedName name="S_Adjust_Data_23" localSheetId="8">#REF!</definedName>
    <definedName name="S_Adjust_Data_23" localSheetId="12">#REF!</definedName>
    <definedName name="S_Adjust_Data_23" localSheetId="13">#REF!</definedName>
    <definedName name="S_Adjust_Data_23" localSheetId="5">#REF!</definedName>
    <definedName name="S_Adjust_Data_23">#REF!</definedName>
    <definedName name="S_Adjust_Data_5" localSheetId="20">#REF!</definedName>
    <definedName name="S_Adjust_Data_5" localSheetId="17">#REF!</definedName>
    <definedName name="S_Adjust_Data_5" localSheetId="8">#REF!</definedName>
    <definedName name="S_Adjust_Data_5" localSheetId="12">#REF!</definedName>
    <definedName name="S_Adjust_Data_5" localSheetId="13">#REF!</definedName>
    <definedName name="S_Adjust_Data_5" localSheetId="5">#REF!</definedName>
    <definedName name="S_Adjust_Data_5">#REF!</definedName>
    <definedName name="S_Adjust_Data_8" localSheetId="20">#REF!</definedName>
    <definedName name="S_Adjust_Data_8" localSheetId="17">#REF!</definedName>
    <definedName name="S_Adjust_Data_8" localSheetId="8">#REF!</definedName>
    <definedName name="S_Adjust_Data_8" localSheetId="12">#REF!</definedName>
    <definedName name="S_Adjust_Data_8" localSheetId="13">#REF!</definedName>
    <definedName name="S_Adjust_Data_8" localSheetId="5">#REF!</definedName>
    <definedName name="S_Adjust_Data_8">#REF!</definedName>
    <definedName name="S_Adjust_GT" localSheetId="20">#REF!</definedName>
    <definedName name="S_Adjust_GT" localSheetId="17">#REF!</definedName>
    <definedName name="S_Adjust_GT" localSheetId="8">#REF!</definedName>
    <definedName name="S_Adjust_GT" localSheetId="12">#REF!</definedName>
    <definedName name="S_Adjust_GT" localSheetId="13">#REF!</definedName>
    <definedName name="S_Adjust_GT" localSheetId="5">#REF!</definedName>
    <definedName name="S_Adjust_GT">#REF!</definedName>
    <definedName name="S_Adjust_GT_1" localSheetId="20">#REF!</definedName>
    <definedName name="S_Adjust_GT_1" localSheetId="17">#REF!</definedName>
    <definedName name="S_Adjust_GT_1" localSheetId="8">#REF!</definedName>
    <definedName name="S_Adjust_GT_1" localSheetId="12">#REF!</definedName>
    <definedName name="S_Adjust_GT_1" localSheetId="13">#REF!</definedName>
    <definedName name="S_Adjust_GT_1" localSheetId="5">#REF!</definedName>
    <definedName name="S_Adjust_GT_1">#REF!</definedName>
    <definedName name="S_Adjust_GT_20" localSheetId="20">#REF!</definedName>
    <definedName name="S_Adjust_GT_20" localSheetId="17">#REF!</definedName>
    <definedName name="S_Adjust_GT_20" localSheetId="8">#REF!</definedName>
    <definedName name="S_Adjust_GT_20" localSheetId="12">#REF!</definedName>
    <definedName name="S_Adjust_GT_20" localSheetId="13">#REF!</definedName>
    <definedName name="S_Adjust_GT_20" localSheetId="5">#REF!</definedName>
    <definedName name="S_Adjust_GT_20">#REF!</definedName>
    <definedName name="S_Adjust_GT_21" localSheetId="20">#REF!</definedName>
    <definedName name="S_Adjust_GT_21" localSheetId="17">#REF!</definedName>
    <definedName name="S_Adjust_GT_21" localSheetId="8">#REF!</definedName>
    <definedName name="S_Adjust_GT_21" localSheetId="12">#REF!</definedName>
    <definedName name="S_Adjust_GT_21" localSheetId="13">#REF!</definedName>
    <definedName name="S_Adjust_GT_21" localSheetId="5">#REF!</definedName>
    <definedName name="S_Adjust_GT_21">#REF!</definedName>
    <definedName name="S_Adjust_GT_23" localSheetId="20">#REF!</definedName>
    <definedName name="S_Adjust_GT_23" localSheetId="17">#REF!</definedName>
    <definedName name="S_Adjust_GT_23" localSheetId="8">#REF!</definedName>
    <definedName name="S_Adjust_GT_23" localSheetId="12">#REF!</definedName>
    <definedName name="S_Adjust_GT_23" localSheetId="13">#REF!</definedName>
    <definedName name="S_Adjust_GT_23" localSheetId="5">#REF!</definedName>
    <definedName name="S_Adjust_GT_23">#REF!</definedName>
    <definedName name="S_Adjust_GT_5" localSheetId="20">#REF!</definedName>
    <definedName name="S_Adjust_GT_5" localSheetId="17">#REF!</definedName>
    <definedName name="S_Adjust_GT_5" localSheetId="8">#REF!</definedName>
    <definedName name="S_Adjust_GT_5" localSheetId="12">#REF!</definedName>
    <definedName name="S_Adjust_GT_5" localSheetId="13">#REF!</definedName>
    <definedName name="S_Adjust_GT_5" localSheetId="5">#REF!</definedName>
    <definedName name="S_Adjust_GT_5">#REF!</definedName>
    <definedName name="S_Adjust_GT_8" localSheetId="20">#REF!</definedName>
    <definedName name="S_Adjust_GT_8" localSheetId="17">#REF!</definedName>
    <definedName name="S_Adjust_GT_8" localSheetId="8">#REF!</definedName>
    <definedName name="S_Adjust_GT_8" localSheetId="12">#REF!</definedName>
    <definedName name="S_Adjust_GT_8" localSheetId="13">#REF!</definedName>
    <definedName name="S_Adjust_GT_8" localSheetId="5">#REF!</definedName>
    <definedName name="S_Adjust_GT_8">#REF!</definedName>
    <definedName name="S_AJE_Tot" localSheetId="20">#REF!</definedName>
    <definedName name="S_AJE_Tot" localSheetId="17">#REF!</definedName>
    <definedName name="S_AJE_Tot" localSheetId="8">#REF!</definedName>
    <definedName name="S_AJE_Tot" localSheetId="12">#REF!</definedName>
    <definedName name="S_AJE_Tot" localSheetId="13">#REF!</definedName>
    <definedName name="S_AJE_Tot" localSheetId="5">#REF!</definedName>
    <definedName name="S_AJE_Tot">#REF!</definedName>
    <definedName name="S_AJE_Tot_1" localSheetId="20">#REF!</definedName>
    <definedName name="S_AJE_Tot_1" localSheetId="17">#REF!</definedName>
    <definedName name="S_AJE_Tot_1" localSheetId="8">#REF!</definedName>
    <definedName name="S_AJE_Tot_1" localSheetId="12">#REF!</definedName>
    <definedName name="S_AJE_Tot_1" localSheetId="13">#REF!</definedName>
    <definedName name="S_AJE_Tot_1" localSheetId="5">#REF!</definedName>
    <definedName name="S_AJE_Tot_1">#REF!</definedName>
    <definedName name="S_AJE_Tot_20" localSheetId="20">#REF!</definedName>
    <definedName name="S_AJE_Tot_20" localSheetId="17">#REF!</definedName>
    <definedName name="S_AJE_Tot_20" localSheetId="8">#REF!</definedName>
    <definedName name="S_AJE_Tot_20" localSheetId="12">#REF!</definedName>
    <definedName name="S_AJE_Tot_20" localSheetId="13">#REF!</definedName>
    <definedName name="S_AJE_Tot_20" localSheetId="5">#REF!</definedName>
    <definedName name="S_AJE_Tot_20">#REF!</definedName>
    <definedName name="S_AJE_Tot_21" localSheetId="20">#REF!</definedName>
    <definedName name="S_AJE_Tot_21" localSheetId="17">#REF!</definedName>
    <definedName name="S_AJE_Tot_21" localSheetId="8">#REF!</definedName>
    <definedName name="S_AJE_Tot_21" localSheetId="12">#REF!</definedName>
    <definedName name="S_AJE_Tot_21" localSheetId="13">#REF!</definedName>
    <definedName name="S_AJE_Tot_21" localSheetId="5">#REF!</definedName>
    <definedName name="S_AJE_Tot_21">#REF!</definedName>
    <definedName name="S_AJE_Tot_23" localSheetId="20">#REF!</definedName>
    <definedName name="S_AJE_Tot_23" localSheetId="17">#REF!</definedName>
    <definedName name="S_AJE_Tot_23" localSheetId="8">#REF!</definedName>
    <definedName name="S_AJE_Tot_23" localSheetId="12">#REF!</definedName>
    <definedName name="S_AJE_Tot_23" localSheetId="13">#REF!</definedName>
    <definedName name="S_AJE_Tot_23" localSheetId="5">#REF!</definedName>
    <definedName name="S_AJE_Tot_23">#REF!</definedName>
    <definedName name="S_AJE_Tot_5" localSheetId="20">#REF!</definedName>
    <definedName name="S_AJE_Tot_5" localSheetId="17">#REF!</definedName>
    <definedName name="S_AJE_Tot_5" localSheetId="8">#REF!</definedName>
    <definedName name="S_AJE_Tot_5" localSheetId="12">#REF!</definedName>
    <definedName name="S_AJE_Tot_5" localSheetId="13">#REF!</definedName>
    <definedName name="S_AJE_Tot_5" localSheetId="5">#REF!</definedName>
    <definedName name="S_AJE_Tot_5">#REF!</definedName>
    <definedName name="S_AJE_Tot_8" localSheetId="20">#REF!</definedName>
    <definedName name="S_AJE_Tot_8" localSheetId="17">#REF!</definedName>
    <definedName name="S_AJE_Tot_8" localSheetId="8">#REF!</definedName>
    <definedName name="S_AJE_Tot_8" localSheetId="12">#REF!</definedName>
    <definedName name="S_AJE_Tot_8" localSheetId="13">#REF!</definedName>
    <definedName name="S_AJE_Tot_8" localSheetId="5">#REF!</definedName>
    <definedName name="S_AJE_Tot_8">#REF!</definedName>
    <definedName name="S_AJE_Tot_Data" localSheetId="17">#REF!</definedName>
    <definedName name="S_AJE_Tot_Data">[69]Lead!$H$1:$H$553</definedName>
    <definedName name="S_AJE_Tot_Data_1" localSheetId="20">#REF!</definedName>
    <definedName name="S_AJE_Tot_Data_1" localSheetId="17">#REF!</definedName>
    <definedName name="S_AJE_Tot_Data_1" localSheetId="8">#REF!</definedName>
    <definedName name="S_AJE_Tot_Data_1" localSheetId="12">#REF!</definedName>
    <definedName name="S_AJE_Tot_Data_1" localSheetId="13">#REF!</definedName>
    <definedName name="S_AJE_Tot_Data_1" localSheetId="5">#REF!</definedName>
    <definedName name="S_AJE_Tot_Data_1">#REF!</definedName>
    <definedName name="S_AJE_Tot_Data_20" localSheetId="20">#REF!</definedName>
    <definedName name="S_AJE_Tot_Data_20" localSheetId="17">#REF!</definedName>
    <definedName name="S_AJE_Tot_Data_20" localSheetId="8">#REF!</definedName>
    <definedName name="S_AJE_Tot_Data_20" localSheetId="12">#REF!</definedName>
    <definedName name="S_AJE_Tot_Data_20" localSheetId="13">#REF!</definedName>
    <definedName name="S_AJE_Tot_Data_20" localSheetId="5">#REF!</definedName>
    <definedName name="S_AJE_Tot_Data_20">#REF!</definedName>
    <definedName name="S_AJE_Tot_Data_21" localSheetId="20">#REF!</definedName>
    <definedName name="S_AJE_Tot_Data_21" localSheetId="17">#REF!</definedName>
    <definedName name="S_AJE_Tot_Data_21" localSheetId="8">#REF!</definedName>
    <definedName name="S_AJE_Tot_Data_21" localSheetId="12">#REF!</definedName>
    <definedName name="S_AJE_Tot_Data_21" localSheetId="13">#REF!</definedName>
    <definedName name="S_AJE_Tot_Data_21" localSheetId="5">#REF!</definedName>
    <definedName name="S_AJE_Tot_Data_21">#REF!</definedName>
    <definedName name="S_AJE_Tot_Data_23" localSheetId="20">#REF!</definedName>
    <definedName name="S_AJE_Tot_Data_23" localSheetId="17">#REF!</definedName>
    <definedName name="S_AJE_Tot_Data_23" localSheetId="8">#REF!</definedName>
    <definedName name="S_AJE_Tot_Data_23" localSheetId="12">#REF!</definedName>
    <definedName name="S_AJE_Tot_Data_23" localSheetId="13">#REF!</definedName>
    <definedName name="S_AJE_Tot_Data_23" localSheetId="5">#REF!</definedName>
    <definedName name="S_AJE_Tot_Data_23">#REF!</definedName>
    <definedName name="S_AJE_Tot_Data_5" localSheetId="20">#REF!</definedName>
    <definedName name="S_AJE_Tot_Data_5" localSheetId="17">#REF!</definedName>
    <definedName name="S_AJE_Tot_Data_5" localSheetId="8">#REF!</definedName>
    <definedName name="S_AJE_Tot_Data_5" localSheetId="12">#REF!</definedName>
    <definedName name="S_AJE_Tot_Data_5" localSheetId="13">#REF!</definedName>
    <definedName name="S_AJE_Tot_Data_5" localSheetId="5">#REF!</definedName>
    <definedName name="S_AJE_Tot_Data_5">#REF!</definedName>
    <definedName name="S_AJE_Tot_Data_8" localSheetId="20">#REF!</definedName>
    <definedName name="S_AJE_Tot_Data_8" localSheetId="17">#REF!</definedName>
    <definedName name="S_AJE_Tot_Data_8" localSheetId="8">#REF!</definedName>
    <definedName name="S_AJE_Tot_Data_8" localSheetId="12">#REF!</definedName>
    <definedName name="S_AJE_Tot_Data_8" localSheetId="13">#REF!</definedName>
    <definedName name="S_AJE_Tot_Data_8" localSheetId="5">#REF!</definedName>
    <definedName name="S_AJE_Tot_Data_8">#REF!</definedName>
    <definedName name="S_AJE_Tot_GT" localSheetId="20">#REF!</definedName>
    <definedName name="S_AJE_Tot_GT" localSheetId="17">#REF!</definedName>
    <definedName name="S_AJE_Tot_GT" localSheetId="8">#REF!</definedName>
    <definedName name="S_AJE_Tot_GT" localSheetId="12">#REF!</definedName>
    <definedName name="S_AJE_Tot_GT" localSheetId="13">#REF!</definedName>
    <definedName name="S_AJE_Tot_GT" localSheetId="5">#REF!</definedName>
    <definedName name="S_AJE_Tot_GT">#REF!</definedName>
    <definedName name="S_AJE_Tot_GT_1" localSheetId="20">#REF!</definedName>
    <definedName name="S_AJE_Tot_GT_1" localSheetId="17">#REF!</definedName>
    <definedName name="S_AJE_Tot_GT_1" localSheetId="8">#REF!</definedName>
    <definedName name="S_AJE_Tot_GT_1" localSheetId="12">#REF!</definedName>
    <definedName name="S_AJE_Tot_GT_1" localSheetId="13">#REF!</definedName>
    <definedName name="S_AJE_Tot_GT_1" localSheetId="5">#REF!</definedName>
    <definedName name="S_AJE_Tot_GT_1">#REF!</definedName>
    <definedName name="S_AJE_Tot_GT_20" localSheetId="20">#REF!</definedName>
    <definedName name="S_AJE_Tot_GT_20" localSheetId="17">#REF!</definedName>
    <definedName name="S_AJE_Tot_GT_20" localSheetId="8">#REF!</definedName>
    <definedName name="S_AJE_Tot_GT_20" localSheetId="12">#REF!</definedName>
    <definedName name="S_AJE_Tot_GT_20" localSheetId="13">#REF!</definedName>
    <definedName name="S_AJE_Tot_GT_20" localSheetId="5">#REF!</definedName>
    <definedName name="S_AJE_Tot_GT_20">#REF!</definedName>
    <definedName name="S_AJE_Tot_GT_21" localSheetId="20">#REF!</definedName>
    <definedName name="S_AJE_Tot_GT_21" localSheetId="17">#REF!</definedName>
    <definedName name="S_AJE_Tot_GT_21" localSheetId="8">#REF!</definedName>
    <definedName name="S_AJE_Tot_GT_21" localSheetId="12">#REF!</definedName>
    <definedName name="S_AJE_Tot_GT_21" localSheetId="13">#REF!</definedName>
    <definedName name="S_AJE_Tot_GT_21" localSheetId="5">#REF!</definedName>
    <definedName name="S_AJE_Tot_GT_21">#REF!</definedName>
    <definedName name="S_AJE_Tot_GT_23" localSheetId="20">#REF!</definedName>
    <definedName name="S_AJE_Tot_GT_23" localSheetId="17">#REF!</definedName>
    <definedName name="S_AJE_Tot_GT_23" localSheetId="8">#REF!</definedName>
    <definedName name="S_AJE_Tot_GT_23" localSheetId="12">#REF!</definedName>
    <definedName name="S_AJE_Tot_GT_23" localSheetId="13">#REF!</definedName>
    <definedName name="S_AJE_Tot_GT_23" localSheetId="5">#REF!</definedName>
    <definedName name="S_AJE_Tot_GT_23">#REF!</definedName>
    <definedName name="S_AJE_Tot_GT_5" localSheetId="20">#REF!</definedName>
    <definedName name="S_AJE_Tot_GT_5" localSheetId="17">#REF!</definedName>
    <definedName name="S_AJE_Tot_GT_5" localSheetId="8">#REF!</definedName>
    <definedName name="S_AJE_Tot_GT_5" localSheetId="12">#REF!</definedName>
    <definedName name="S_AJE_Tot_GT_5" localSheetId="13">#REF!</definedName>
    <definedName name="S_AJE_Tot_GT_5" localSheetId="5">#REF!</definedName>
    <definedName name="S_AJE_Tot_GT_5">#REF!</definedName>
    <definedName name="S_AJE_Tot_GT_8" localSheetId="20">#REF!</definedName>
    <definedName name="S_AJE_Tot_GT_8" localSheetId="17">#REF!</definedName>
    <definedName name="S_AJE_Tot_GT_8" localSheetId="8">#REF!</definedName>
    <definedName name="S_AJE_Tot_GT_8" localSheetId="12">#REF!</definedName>
    <definedName name="S_AJE_Tot_GT_8" localSheetId="13">#REF!</definedName>
    <definedName name="S_AJE_Tot_GT_8" localSheetId="5">#REF!</definedName>
    <definedName name="S_AJE_Tot_GT_8">#REF!</definedName>
    <definedName name="S_CompNum" localSheetId="20">#REF!</definedName>
    <definedName name="S_CompNum" localSheetId="17">#REF!</definedName>
    <definedName name="S_CompNum" localSheetId="8">#REF!</definedName>
    <definedName name="S_CompNum" localSheetId="12">#REF!</definedName>
    <definedName name="S_CompNum" localSheetId="13">#REF!</definedName>
    <definedName name="S_CompNum" localSheetId="5">#REF!</definedName>
    <definedName name="S_CompNum">#REF!</definedName>
    <definedName name="S_CompNum_1" localSheetId="20">#REF!</definedName>
    <definedName name="S_CompNum_1" localSheetId="17">#REF!</definedName>
    <definedName name="S_CompNum_1" localSheetId="8">#REF!</definedName>
    <definedName name="S_CompNum_1" localSheetId="12">#REF!</definedName>
    <definedName name="S_CompNum_1" localSheetId="13">#REF!</definedName>
    <definedName name="S_CompNum_1" localSheetId="5">#REF!</definedName>
    <definedName name="S_CompNum_1">#REF!</definedName>
    <definedName name="S_CompNum_20" localSheetId="20">#REF!</definedName>
    <definedName name="S_CompNum_20" localSheetId="17">#REF!</definedName>
    <definedName name="S_CompNum_20" localSheetId="8">#REF!</definedName>
    <definedName name="S_CompNum_20" localSheetId="12">#REF!</definedName>
    <definedName name="S_CompNum_20" localSheetId="13">#REF!</definedName>
    <definedName name="S_CompNum_20" localSheetId="5">#REF!</definedName>
    <definedName name="S_CompNum_20">#REF!</definedName>
    <definedName name="S_CompNum_21" localSheetId="20">#REF!</definedName>
    <definedName name="S_CompNum_21" localSheetId="17">#REF!</definedName>
    <definedName name="S_CompNum_21" localSheetId="8">#REF!</definedName>
    <definedName name="S_CompNum_21" localSheetId="12">#REF!</definedName>
    <definedName name="S_CompNum_21" localSheetId="13">#REF!</definedName>
    <definedName name="S_CompNum_21" localSheetId="5">#REF!</definedName>
    <definedName name="S_CompNum_21">#REF!</definedName>
    <definedName name="S_CompNum_23" localSheetId="20">#REF!</definedName>
    <definedName name="S_CompNum_23" localSheetId="17">#REF!</definedName>
    <definedName name="S_CompNum_23" localSheetId="8">#REF!</definedName>
    <definedName name="S_CompNum_23" localSheetId="12">#REF!</definedName>
    <definedName name="S_CompNum_23" localSheetId="13">#REF!</definedName>
    <definedName name="S_CompNum_23" localSheetId="5">#REF!</definedName>
    <definedName name="S_CompNum_23">#REF!</definedName>
    <definedName name="S_CompNum_5" localSheetId="20">#REF!</definedName>
    <definedName name="S_CompNum_5" localSheetId="17">#REF!</definedName>
    <definedName name="S_CompNum_5" localSheetId="8">#REF!</definedName>
    <definedName name="S_CompNum_5" localSheetId="12">#REF!</definedName>
    <definedName name="S_CompNum_5" localSheetId="13">#REF!</definedName>
    <definedName name="S_CompNum_5" localSheetId="5">#REF!</definedName>
    <definedName name="S_CompNum_5">#REF!</definedName>
    <definedName name="S_CompNum_8" localSheetId="20">#REF!</definedName>
    <definedName name="S_CompNum_8" localSheetId="17">#REF!</definedName>
    <definedName name="S_CompNum_8" localSheetId="8">#REF!</definedName>
    <definedName name="S_CompNum_8" localSheetId="12">#REF!</definedName>
    <definedName name="S_CompNum_8" localSheetId="13">#REF!</definedName>
    <definedName name="S_CompNum_8" localSheetId="5">#REF!</definedName>
    <definedName name="S_CompNum_8">#REF!</definedName>
    <definedName name="S_CY_Beg" localSheetId="20">#REF!</definedName>
    <definedName name="S_CY_Beg" localSheetId="17">#REF!</definedName>
    <definedName name="S_CY_Beg" localSheetId="8">#REF!</definedName>
    <definedName name="S_CY_Beg" localSheetId="12">#REF!</definedName>
    <definedName name="S_CY_Beg" localSheetId="13">#REF!</definedName>
    <definedName name="S_CY_Beg" localSheetId="5">#REF!</definedName>
    <definedName name="S_CY_Beg">#REF!</definedName>
    <definedName name="S_CY_Beg_1" localSheetId="20">#REF!</definedName>
    <definedName name="S_CY_Beg_1" localSheetId="17">#REF!</definedName>
    <definedName name="S_CY_Beg_1" localSheetId="8">#REF!</definedName>
    <definedName name="S_CY_Beg_1" localSheetId="12">#REF!</definedName>
    <definedName name="S_CY_Beg_1" localSheetId="13">#REF!</definedName>
    <definedName name="S_CY_Beg_1" localSheetId="5">#REF!</definedName>
    <definedName name="S_CY_Beg_1">#REF!</definedName>
    <definedName name="S_CY_Beg_20" localSheetId="20">#REF!</definedName>
    <definedName name="S_CY_Beg_20" localSheetId="17">#REF!</definedName>
    <definedName name="S_CY_Beg_20" localSheetId="8">#REF!</definedName>
    <definedName name="S_CY_Beg_20" localSheetId="12">#REF!</definedName>
    <definedName name="S_CY_Beg_20" localSheetId="13">#REF!</definedName>
    <definedName name="S_CY_Beg_20" localSheetId="5">#REF!</definedName>
    <definedName name="S_CY_Beg_20">#REF!</definedName>
    <definedName name="S_CY_Beg_21" localSheetId="20">#REF!</definedName>
    <definedName name="S_CY_Beg_21" localSheetId="17">#REF!</definedName>
    <definedName name="S_CY_Beg_21" localSheetId="8">#REF!</definedName>
    <definedName name="S_CY_Beg_21" localSheetId="12">#REF!</definedName>
    <definedName name="S_CY_Beg_21" localSheetId="13">#REF!</definedName>
    <definedName name="S_CY_Beg_21" localSheetId="5">#REF!</definedName>
    <definedName name="S_CY_Beg_21">#REF!</definedName>
    <definedName name="S_CY_Beg_23" localSheetId="20">#REF!</definedName>
    <definedName name="S_CY_Beg_23" localSheetId="17">#REF!</definedName>
    <definedName name="S_CY_Beg_23" localSheetId="8">#REF!</definedName>
    <definedName name="S_CY_Beg_23" localSheetId="12">#REF!</definedName>
    <definedName name="S_CY_Beg_23" localSheetId="13">#REF!</definedName>
    <definedName name="S_CY_Beg_23" localSheetId="5">#REF!</definedName>
    <definedName name="S_CY_Beg_23">#REF!</definedName>
    <definedName name="S_CY_Beg_5" localSheetId="20">#REF!</definedName>
    <definedName name="S_CY_Beg_5" localSheetId="17">#REF!</definedName>
    <definedName name="S_CY_Beg_5" localSheetId="8">#REF!</definedName>
    <definedName name="S_CY_Beg_5" localSheetId="12">#REF!</definedName>
    <definedName name="S_CY_Beg_5" localSheetId="13">#REF!</definedName>
    <definedName name="S_CY_Beg_5" localSheetId="5">#REF!</definedName>
    <definedName name="S_CY_Beg_5">#REF!</definedName>
    <definedName name="S_CY_Beg_8" localSheetId="20">#REF!</definedName>
    <definedName name="S_CY_Beg_8" localSheetId="17">#REF!</definedName>
    <definedName name="S_CY_Beg_8" localSheetId="8">#REF!</definedName>
    <definedName name="S_CY_Beg_8" localSheetId="12">#REF!</definedName>
    <definedName name="S_CY_Beg_8" localSheetId="13">#REF!</definedName>
    <definedName name="S_CY_Beg_8" localSheetId="5">#REF!</definedName>
    <definedName name="S_CY_Beg_8">#REF!</definedName>
    <definedName name="S_CY_Beg_Data" localSheetId="17">#REF!</definedName>
    <definedName name="S_CY_Beg_Data">[69]Lead!$F$1:$F$553</definedName>
    <definedName name="S_CY_Beg_Data_1" localSheetId="20">#REF!</definedName>
    <definedName name="S_CY_Beg_Data_1" localSheetId="17">#REF!</definedName>
    <definedName name="S_CY_Beg_Data_1" localSheetId="8">#REF!</definedName>
    <definedName name="S_CY_Beg_Data_1" localSheetId="12">#REF!</definedName>
    <definedName name="S_CY_Beg_Data_1" localSheetId="13">#REF!</definedName>
    <definedName name="S_CY_Beg_Data_1" localSheetId="5">#REF!</definedName>
    <definedName name="S_CY_Beg_Data_1">#REF!</definedName>
    <definedName name="S_CY_Beg_Data_20" localSheetId="20">#REF!</definedName>
    <definedName name="S_CY_Beg_Data_20" localSheetId="17">#REF!</definedName>
    <definedName name="S_CY_Beg_Data_20" localSheetId="8">#REF!</definedName>
    <definedName name="S_CY_Beg_Data_20" localSheetId="12">#REF!</definedName>
    <definedName name="S_CY_Beg_Data_20" localSheetId="13">#REF!</definedName>
    <definedName name="S_CY_Beg_Data_20" localSheetId="5">#REF!</definedName>
    <definedName name="S_CY_Beg_Data_20">#REF!</definedName>
    <definedName name="S_CY_Beg_Data_21" localSheetId="20">#REF!</definedName>
    <definedName name="S_CY_Beg_Data_21" localSheetId="17">#REF!</definedName>
    <definedName name="S_CY_Beg_Data_21" localSheetId="8">#REF!</definedName>
    <definedName name="S_CY_Beg_Data_21" localSheetId="12">#REF!</definedName>
    <definedName name="S_CY_Beg_Data_21" localSheetId="13">#REF!</definedName>
    <definedName name="S_CY_Beg_Data_21" localSheetId="5">#REF!</definedName>
    <definedName name="S_CY_Beg_Data_21">#REF!</definedName>
    <definedName name="S_CY_Beg_Data_23" localSheetId="20">#REF!</definedName>
    <definedName name="S_CY_Beg_Data_23" localSheetId="17">#REF!</definedName>
    <definedName name="S_CY_Beg_Data_23" localSheetId="8">#REF!</definedName>
    <definedName name="S_CY_Beg_Data_23" localSheetId="12">#REF!</definedName>
    <definedName name="S_CY_Beg_Data_23" localSheetId="13">#REF!</definedName>
    <definedName name="S_CY_Beg_Data_23" localSheetId="5">#REF!</definedName>
    <definedName name="S_CY_Beg_Data_23">#REF!</definedName>
    <definedName name="S_CY_Beg_Data_5" localSheetId="20">#REF!</definedName>
    <definedName name="S_CY_Beg_Data_5" localSheetId="17">#REF!</definedName>
    <definedName name="S_CY_Beg_Data_5" localSheetId="8">#REF!</definedName>
    <definedName name="S_CY_Beg_Data_5" localSheetId="12">#REF!</definedName>
    <definedName name="S_CY_Beg_Data_5" localSheetId="13">#REF!</definedName>
    <definedName name="S_CY_Beg_Data_5" localSheetId="5">#REF!</definedName>
    <definedName name="S_CY_Beg_Data_5">#REF!</definedName>
    <definedName name="S_CY_Beg_Data_8" localSheetId="20">#REF!</definedName>
    <definedName name="S_CY_Beg_Data_8" localSheetId="17">#REF!</definedName>
    <definedName name="S_CY_Beg_Data_8" localSheetId="8">#REF!</definedName>
    <definedName name="S_CY_Beg_Data_8" localSheetId="12">#REF!</definedName>
    <definedName name="S_CY_Beg_Data_8" localSheetId="13">#REF!</definedName>
    <definedName name="S_CY_Beg_Data_8" localSheetId="5">#REF!</definedName>
    <definedName name="S_CY_Beg_Data_8">#REF!</definedName>
    <definedName name="S_CY_Beg_GT" localSheetId="20">#REF!</definedName>
    <definedName name="S_CY_Beg_GT" localSheetId="17">#REF!</definedName>
    <definedName name="S_CY_Beg_GT" localSheetId="8">#REF!</definedName>
    <definedName name="S_CY_Beg_GT" localSheetId="12">#REF!</definedName>
    <definedName name="S_CY_Beg_GT" localSheetId="13">#REF!</definedName>
    <definedName name="S_CY_Beg_GT" localSheetId="5">#REF!</definedName>
    <definedName name="S_CY_Beg_GT">#REF!</definedName>
    <definedName name="S_CY_Beg_GT_1" localSheetId="20">#REF!</definedName>
    <definedName name="S_CY_Beg_GT_1" localSheetId="17">#REF!</definedName>
    <definedName name="S_CY_Beg_GT_1" localSheetId="8">#REF!</definedName>
    <definedName name="S_CY_Beg_GT_1" localSheetId="12">#REF!</definedName>
    <definedName name="S_CY_Beg_GT_1" localSheetId="13">#REF!</definedName>
    <definedName name="S_CY_Beg_GT_1" localSheetId="5">#REF!</definedName>
    <definedName name="S_CY_Beg_GT_1">#REF!</definedName>
    <definedName name="S_CY_Beg_GT_20" localSheetId="20">#REF!</definedName>
    <definedName name="S_CY_Beg_GT_20" localSheetId="17">#REF!</definedName>
    <definedName name="S_CY_Beg_GT_20" localSheetId="8">#REF!</definedName>
    <definedName name="S_CY_Beg_GT_20" localSheetId="12">#REF!</definedName>
    <definedName name="S_CY_Beg_GT_20" localSheetId="13">#REF!</definedName>
    <definedName name="S_CY_Beg_GT_20" localSheetId="5">#REF!</definedName>
    <definedName name="S_CY_Beg_GT_20">#REF!</definedName>
    <definedName name="S_CY_Beg_GT_21" localSheetId="20">#REF!</definedName>
    <definedName name="S_CY_Beg_GT_21" localSheetId="17">#REF!</definedName>
    <definedName name="S_CY_Beg_GT_21" localSheetId="8">#REF!</definedName>
    <definedName name="S_CY_Beg_GT_21" localSheetId="12">#REF!</definedName>
    <definedName name="S_CY_Beg_GT_21" localSheetId="13">#REF!</definedName>
    <definedName name="S_CY_Beg_GT_21" localSheetId="5">#REF!</definedName>
    <definedName name="S_CY_Beg_GT_21">#REF!</definedName>
    <definedName name="S_CY_Beg_GT_23" localSheetId="20">#REF!</definedName>
    <definedName name="S_CY_Beg_GT_23" localSheetId="17">#REF!</definedName>
    <definedName name="S_CY_Beg_GT_23" localSheetId="8">#REF!</definedName>
    <definedName name="S_CY_Beg_GT_23" localSheetId="12">#REF!</definedName>
    <definedName name="S_CY_Beg_GT_23" localSheetId="13">#REF!</definedName>
    <definedName name="S_CY_Beg_GT_23" localSheetId="5">#REF!</definedName>
    <definedName name="S_CY_Beg_GT_23">#REF!</definedName>
    <definedName name="S_CY_Beg_GT_5" localSheetId="20">#REF!</definedName>
    <definedName name="S_CY_Beg_GT_5" localSheetId="17">#REF!</definedName>
    <definedName name="S_CY_Beg_GT_5" localSheetId="8">#REF!</definedName>
    <definedName name="S_CY_Beg_GT_5" localSheetId="12">#REF!</definedName>
    <definedName name="S_CY_Beg_GT_5" localSheetId="13">#REF!</definedName>
    <definedName name="S_CY_Beg_GT_5" localSheetId="5">#REF!</definedName>
    <definedName name="S_CY_Beg_GT_5">#REF!</definedName>
    <definedName name="S_CY_Beg_GT_8" localSheetId="20">#REF!</definedName>
    <definedName name="S_CY_Beg_GT_8" localSheetId="17">#REF!</definedName>
    <definedName name="S_CY_Beg_GT_8" localSheetId="8">#REF!</definedName>
    <definedName name="S_CY_Beg_GT_8" localSheetId="12">#REF!</definedName>
    <definedName name="S_CY_Beg_GT_8" localSheetId="13">#REF!</definedName>
    <definedName name="S_CY_Beg_GT_8" localSheetId="5">#REF!</definedName>
    <definedName name="S_CY_Beg_GT_8">#REF!</definedName>
    <definedName name="S_CY_End" localSheetId="20">#REF!</definedName>
    <definedName name="S_CY_End" localSheetId="17">#REF!</definedName>
    <definedName name="S_CY_End" localSheetId="8">#REF!</definedName>
    <definedName name="S_CY_End" localSheetId="12">#REF!</definedName>
    <definedName name="S_CY_End" localSheetId="13">#REF!</definedName>
    <definedName name="S_CY_End" localSheetId="5">#REF!</definedName>
    <definedName name="S_CY_End">#REF!</definedName>
    <definedName name="S_CY_End_1" localSheetId="20">#REF!</definedName>
    <definedName name="S_CY_End_1" localSheetId="17">#REF!</definedName>
    <definedName name="S_CY_End_1" localSheetId="8">#REF!</definedName>
    <definedName name="S_CY_End_1" localSheetId="12">#REF!</definedName>
    <definedName name="S_CY_End_1" localSheetId="13">#REF!</definedName>
    <definedName name="S_CY_End_1" localSheetId="5">#REF!</definedName>
    <definedName name="S_CY_End_1">#REF!</definedName>
    <definedName name="S_CY_End_20" localSheetId="20">#REF!</definedName>
    <definedName name="S_CY_End_20" localSheetId="17">#REF!</definedName>
    <definedName name="S_CY_End_20" localSheetId="8">#REF!</definedName>
    <definedName name="S_CY_End_20" localSheetId="12">#REF!</definedName>
    <definedName name="S_CY_End_20" localSheetId="13">#REF!</definedName>
    <definedName name="S_CY_End_20" localSheetId="5">#REF!</definedName>
    <definedName name="S_CY_End_20">#REF!</definedName>
    <definedName name="S_CY_End_21" localSheetId="20">#REF!</definedName>
    <definedName name="S_CY_End_21" localSheetId="17">#REF!</definedName>
    <definedName name="S_CY_End_21" localSheetId="8">#REF!</definedName>
    <definedName name="S_CY_End_21" localSheetId="12">#REF!</definedName>
    <definedName name="S_CY_End_21" localSheetId="13">#REF!</definedName>
    <definedName name="S_CY_End_21" localSheetId="5">#REF!</definedName>
    <definedName name="S_CY_End_21">#REF!</definedName>
    <definedName name="S_CY_End_23" localSheetId="20">#REF!</definedName>
    <definedName name="S_CY_End_23" localSheetId="17">#REF!</definedName>
    <definedName name="S_CY_End_23" localSheetId="8">#REF!</definedName>
    <definedName name="S_CY_End_23" localSheetId="12">#REF!</definedName>
    <definedName name="S_CY_End_23" localSheetId="13">#REF!</definedName>
    <definedName name="S_CY_End_23" localSheetId="5">#REF!</definedName>
    <definedName name="S_CY_End_23">#REF!</definedName>
    <definedName name="S_CY_End_5" localSheetId="20">#REF!</definedName>
    <definedName name="S_CY_End_5" localSheetId="17">#REF!</definedName>
    <definedName name="S_CY_End_5" localSheetId="8">#REF!</definedName>
    <definedName name="S_CY_End_5" localSheetId="12">#REF!</definedName>
    <definedName name="S_CY_End_5" localSheetId="13">#REF!</definedName>
    <definedName name="S_CY_End_5" localSheetId="5">#REF!</definedName>
    <definedName name="S_CY_End_5">#REF!</definedName>
    <definedName name="S_CY_End_8" localSheetId="20">#REF!</definedName>
    <definedName name="S_CY_End_8" localSheetId="17">#REF!</definedName>
    <definedName name="S_CY_End_8" localSheetId="8">#REF!</definedName>
    <definedName name="S_CY_End_8" localSheetId="12">#REF!</definedName>
    <definedName name="S_CY_End_8" localSheetId="13">#REF!</definedName>
    <definedName name="S_CY_End_8" localSheetId="5">#REF!</definedName>
    <definedName name="S_CY_End_8">#REF!</definedName>
    <definedName name="S_CY_End_Data" localSheetId="17">#REF!</definedName>
    <definedName name="S_CY_End_Data" localSheetId="2">[90]Lead!$D$1:$D$723</definedName>
    <definedName name="S_CY_End_Data">[69]Lead!$K$1:$K$553</definedName>
    <definedName name="S_CY_End_Data_1" localSheetId="20">#REF!</definedName>
    <definedName name="S_CY_End_Data_1" localSheetId="17">#REF!</definedName>
    <definedName name="S_CY_End_Data_1" localSheetId="8">#REF!</definedName>
    <definedName name="S_CY_End_Data_1" localSheetId="12">#REF!</definedName>
    <definedName name="S_CY_End_Data_1" localSheetId="13">#REF!</definedName>
    <definedName name="S_CY_End_Data_1" localSheetId="5">#REF!</definedName>
    <definedName name="S_CY_End_Data_1">#REF!</definedName>
    <definedName name="S_CY_End_Data_20" localSheetId="20">#REF!</definedName>
    <definedName name="S_CY_End_Data_20" localSheetId="17">#REF!</definedName>
    <definedName name="S_CY_End_Data_20" localSheetId="8">#REF!</definedName>
    <definedName name="S_CY_End_Data_20" localSheetId="12">#REF!</definedName>
    <definedName name="S_CY_End_Data_20" localSheetId="13">#REF!</definedName>
    <definedName name="S_CY_End_Data_20" localSheetId="5">#REF!</definedName>
    <definedName name="S_CY_End_Data_20">#REF!</definedName>
    <definedName name="S_CY_End_Data_21" localSheetId="20">#REF!</definedName>
    <definedName name="S_CY_End_Data_21" localSheetId="17">#REF!</definedName>
    <definedName name="S_CY_End_Data_21" localSheetId="8">#REF!</definedName>
    <definedName name="S_CY_End_Data_21" localSheetId="12">#REF!</definedName>
    <definedName name="S_CY_End_Data_21" localSheetId="13">#REF!</definedName>
    <definedName name="S_CY_End_Data_21" localSheetId="5">#REF!</definedName>
    <definedName name="S_CY_End_Data_21">#REF!</definedName>
    <definedName name="S_CY_End_Data_23" localSheetId="20">#REF!</definedName>
    <definedName name="S_CY_End_Data_23" localSheetId="17">#REF!</definedName>
    <definedName name="S_CY_End_Data_23" localSheetId="8">#REF!</definedName>
    <definedName name="S_CY_End_Data_23" localSheetId="12">#REF!</definedName>
    <definedName name="S_CY_End_Data_23" localSheetId="13">#REF!</definedName>
    <definedName name="S_CY_End_Data_23" localSheetId="5">#REF!</definedName>
    <definedName name="S_CY_End_Data_23">#REF!</definedName>
    <definedName name="S_CY_End_Data_5" localSheetId="20">#REF!</definedName>
    <definedName name="S_CY_End_Data_5" localSheetId="17">#REF!</definedName>
    <definedName name="S_CY_End_Data_5" localSheetId="8">#REF!</definedName>
    <definedName name="S_CY_End_Data_5" localSheetId="12">#REF!</definedName>
    <definedName name="S_CY_End_Data_5" localSheetId="13">#REF!</definedName>
    <definedName name="S_CY_End_Data_5" localSheetId="5">#REF!</definedName>
    <definedName name="S_CY_End_Data_5">#REF!</definedName>
    <definedName name="S_CY_End_Data_8" localSheetId="20">#REF!</definedName>
    <definedName name="S_CY_End_Data_8" localSheetId="17">#REF!</definedName>
    <definedName name="S_CY_End_Data_8" localSheetId="8">#REF!</definedName>
    <definedName name="S_CY_End_Data_8" localSheetId="12">#REF!</definedName>
    <definedName name="S_CY_End_Data_8" localSheetId="13">#REF!</definedName>
    <definedName name="S_CY_End_Data_8" localSheetId="5">#REF!</definedName>
    <definedName name="S_CY_End_Data_8">#REF!</definedName>
    <definedName name="S_CY_End_GT" localSheetId="20">#REF!</definedName>
    <definedName name="S_CY_End_GT" localSheetId="17">#REF!</definedName>
    <definedName name="S_CY_End_GT" localSheetId="8">#REF!</definedName>
    <definedName name="S_CY_End_GT" localSheetId="12">#REF!</definedName>
    <definedName name="S_CY_End_GT" localSheetId="13">#REF!</definedName>
    <definedName name="S_CY_End_GT" localSheetId="5">#REF!</definedName>
    <definedName name="S_CY_End_GT">#REF!</definedName>
    <definedName name="S_CY_End_GT_1" localSheetId="20">#REF!</definedName>
    <definedName name="S_CY_End_GT_1" localSheetId="17">#REF!</definedName>
    <definedName name="S_CY_End_GT_1" localSheetId="8">#REF!</definedName>
    <definedName name="S_CY_End_GT_1" localSheetId="12">#REF!</definedName>
    <definedName name="S_CY_End_GT_1" localSheetId="13">#REF!</definedName>
    <definedName name="S_CY_End_GT_1" localSheetId="5">#REF!</definedName>
    <definedName name="S_CY_End_GT_1">#REF!</definedName>
    <definedName name="S_CY_End_GT_20" localSheetId="20">#REF!</definedName>
    <definedName name="S_CY_End_GT_20" localSheetId="17">#REF!</definedName>
    <definedName name="S_CY_End_GT_20" localSheetId="8">#REF!</definedName>
    <definedName name="S_CY_End_GT_20" localSheetId="12">#REF!</definedName>
    <definedName name="S_CY_End_GT_20" localSheetId="13">#REF!</definedName>
    <definedName name="S_CY_End_GT_20" localSheetId="5">#REF!</definedName>
    <definedName name="S_CY_End_GT_20">#REF!</definedName>
    <definedName name="S_CY_End_GT_21" localSheetId="20">#REF!</definedName>
    <definedName name="S_CY_End_GT_21" localSheetId="17">#REF!</definedName>
    <definedName name="S_CY_End_GT_21" localSheetId="8">#REF!</definedName>
    <definedName name="S_CY_End_GT_21" localSheetId="12">#REF!</definedName>
    <definedName name="S_CY_End_GT_21" localSheetId="13">#REF!</definedName>
    <definedName name="S_CY_End_GT_21" localSheetId="5">#REF!</definedName>
    <definedName name="S_CY_End_GT_21">#REF!</definedName>
    <definedName name="S_CY_End_GT_23" localSheetId="20">#REF!</definedName>
    <definedName name="S_CY_End_GT_23" localSheetId="17">#REF!</definedName>
    <definedName name="S_CY_End_GT_23" localSheetId="8">#REF!</definedName>
    <definedName name="S_CY_End_GT_23" localSheetId="12">#REF!</definedName>
    <definedName name="S_CY_End_GT_23" localSheetId="13">#REF!</definedName>
    <definedName name="S_CY_End_GT_23" localSheetId="5">#REF!</definedName>
    <definedName name="S_CY_End_GT_23">#REF!</definedName>
    <definedName name="S_CY_End_GT_5" localSheetId="20">#REF!</definedName>
    <definedName name="S_CY_End_GT_5" localSheetId="17">#REF!</definedName>
    <definedName name="S_CY_End_GT_5" localSheetId="8">#REF!</definedName>
    <definedName name="S_CY_End_GT_5" localSheetId="12">#REF!</definedName>
    <definedName name="S_CY_End_GT_5" localSheetId="13">#REF!</definedName>
    <definedName name="S_CY_End_GT_5" localSheetId="5">#REF!</definedName>
    <definedName name="S_CY_End_GT_5">#REF!</definedName>
    <definedName name="S_CY_End_GT_8" localSheetId="20">#REF!</definedName>
    <definedName name="S_CY_End_GT_8" localSheetId="17">#REF!</definedName>
    <definedName name="S_CY_End_GT_8" localSheetId="8">#REF!</definedName>
    <definedName name="S_CY_End_GT_8" localSheetId="12">#REF!</definedName>
    <definedName name="S_CY_End_GT_8" localSheetId="13">#REF!</definedName>
    <definedName name="S_CY_End_GT_8" localSheetId="5">#REF!</definedName>
    <definedName name="S_CY_End_GT_8">#REF!</definedName>
    <definedName name="S_Diff_Amt" localSheetId="20">#REF!</definedName>
    <definedName name="S_Diff_Amt" localSheetId="17">#REF!</definedName>
    <definedName name="S_Diff_Amt" localSheetId="8">#REF!</definedName>
    <definedName name="S_Diff_Amt" localSheetId="2">[33]Breakups!#REF!</definedName>
    <definedName name="S_Diff_Amt" localSheetId="12">#REF!</definedName>
    <definedName name="S_Diff_Amt" localSheetId="13">#REF!</definedName>
    <definedName name="S_Diff_Amt" localSheetId="5">#REF!</definedName>
    <definedName name="S_Diff_Amt">#REF!</definedName>
    <definedName name="S_Diff_Amt_1" localSheetId="20">#REF!</definedName>
    <definedName name="S_Diff_Amt_1" localSheetId="17">#REF!</definedName>
    <definedName name="S_Diff_Amt_1" localSheetId="8">#REF!</definedName>
    <definedName name="S_Diff_Amt_1" localSheetId="12">#REF!</definedName>
    <definedName name="S_Diff_Amt_1" localSheetId="13">#REF!</definedName>
    <definedName name="S_Diff_Amt_1" localSheetId="5">#REF!</definedName>
    <definedName name="S_Diff_Amt_1">#REF!</definedName>
    <definedName name="S_Diff_Amt_20" localSheetId="20">#REF!</definedName>
    <definedName name="S_Diff_Amt_20" localSheetId="17">#REF!</definedName>
    <definedName name="S_Diff_Amt_20" localSheetId="8">#REF!</definedName>
    <definedName name="S_Diff_Amt_20" localSheetId="12">#REF!</definedName>
    <definedName name="S_Diff_Amt_20" localSheetId="13">#REF!</definedName>
    <definedName name="S_Diff_Amt_20" localSheetId="5">#REF!</definedName>
    <definedName name="S_Diff_Amt_20">#REF!</definedName>
    <definedName name="S_Diff_Amt_21" localSheetId="20">#REF!</definedName>
    <definedName name="S_Diff_Amt_21" localSheetId="17">#REF!</definedName>
    <definedName name="S_Diff_Amt_21" localSheetId="8">#REF!</definedName>
    <definedName name="S_Diff_Amt_21" localSheetId="12">#REF!</definedName>
    <definedName name="S_Diff_Amt_21" localSheetId="13">#REF!</definedName>
    <definedName name="S_Diff_Amt_21" localSheetId="5">#REF!</definedName>
    <definedName name="S_Diff_Amt_21">#REF!</definedName>
    <definedName name="S_Diff_Amt_23" localSheetId="20">#REF!</definedName>
    <definedName name="S_Diff_Amt_23" localSheetId="17">#REF!</definedName>
    <definedName name="S_Diff_Amt_23" localSheetId="8">#REF!</definedName>
    <definedName name="S_Diff_Amt_23" localSheetId="12">#REF!</definedName>
    <definedName name="S_Diff_Amt_23" localSheetId="13">#REF!</definedName>
    <definedName name="S_Diff_Amt_23" localSheetId="5">#REF!</definedName>
    <definedName name="S_Diff_Amt_23">#REF!</definedName>
    <definedName name="S_Diff_Amt_5" localSheetId="20">#REF!</definedName>
    <definedName name="S_Diff_Amt_5" localSheetId="17">#REF!</definedName>
    <definedName name="S_Diff_Amt_5" localSheetId="8">#REF!</definedName>
    <definedName name="S_Diff_Amt_5" localSheetId="12">#REF!</definedName>
    <definedName name="S_Diff_Amt_5" localSheetId="13">#REF!</definedName>
    <definedName name="S_Diff_Amt_5" localSheetId="5">#REF!</definedName>
    <definedName name="S_Diff_Amt_5">#REF!</definedName>
    <definedName name="S_Diff_Amt_8" localSheetId="20">#REF!</definedName>
    <definedName name="S_Diff_Amt_8" localSheetId="17">#REF!</definedName>
    <definedName name="S_Diff_Amt_8" localSheetId="8">#REF!</definedName>
    <definedName name="S_Diff_Amt_8" localSheetId="12">#REF!</definedName>
    <definedName name="S_Diff_Amt_8" localSheetId="13">#REF!</definedName>
    <definedName name="S_Diff_Amt_8" localSheetId="5">#REF!</definedName>
    <definedName name="S_Diff_Amt_8">#REF!</definedName>
    <definedName name="S_Diff_Pct" localSheetId="20">#REF!</definedName>
    <definedName name="S_Diff_Pct" localSheetId="17">#REF!</definedName>
    <definedName name="S_Diff_Pct" localSheetId="8">#REF!</definedName>
    <definedName name="S_Diff_Pct" localSheetId="2">[33]Breakups!#REF!</definedName>
    <definedName name="S_Diff_Pct" localSheetId="12">#REF!</definedName>
    <definedName name="S_Diff_Pct" localSheetId="13">#REF!</definedName>
    <definedName name="S_Diff_Pct" localSheetId="5">#REF!</definedName>
    <definedName name="S_Diff_Pct">#REF!</definedName>
    <definedName name="S_Diff_Pct_1" localSheetId="20">#REF!</definedName>
    <definedName name="S_Diff_Pct_1" localSheetId="17">#REF!</definedName>
    <definedName name="S_Diff_Pct_1" localSheetId="8">#REF!</definedName>
    <definedName name="S_Diff_Pct_1" localSheetId="12">#REF!</definedName>
    <definedName name="S_Diff_Pct_1" localSheetId="13">#REF!</definedName>
    <definedName name="S_Diff_Pct_1" localSheetId="5">#REF!</definedName>
    <definedName name="S_Diff_Pct_1">#REF!</definedName>
    <definedName name="S_Diff_Pct_20" localSheetId="20">#REF!</definedName>
    <definedName name="S_Diff_Pct_20" localSheetId="17">#REF!</definedName>
    <definedName name="S_Diff_Pct_20" localSheetId="8">#REF!</definedName>
    <definedName name="S_Diff_Pct_20" localSheetId="12">#REF!</definedName>
    <definedName name="S_Diff_Pct_20" localSheetId="13">#REF!</definedName>
    <definedName name="S_Diff_Pct_20" localSheetId="5">#REF!</definedName>
    <definedName name="S_Diff_Pct_20">#REF!</definedName>
    <definedName name="S_Diff_Pct_21" localSheetId="20">#REF!</definedName>
    <definedName name="S_Diff_Pct_21" localSheetId="17">#REF!</definedName>
    <definedName name="S_Diff_Pct_21" localSheetId="8">#REF!</definedName>
    <definedName name="S_Diff_Pct_21" localSheetId="12">#REF!</definedName>
    <definedName name="S_Diff_Pct_21" localSheetId="13">#REF!</definedName>
    <definedName name="S_Diff_Pct_21" localSheetId="5">#REF!</definedName>
    <definedName name="S_Diff_Pct_21">#REF!</definedName>
    <definedName name="S_Diff_Pct_23" localSheetId="20">#REF!</definedName>
    <definedName name="S_Diff_Pct_23" localSheetId="17">#REF!</definedName>
    <definedName name="S_Diff_Pct_23" localSheetId="8">#REF!</definedName>
    <definedName name="S_Diff_Pct_23" localSheetId="12">#REF!</definedName>
    <definedName name="S_Diff_Pct_23" localSheetId="13">#REF!</definedName>
    <definedName name="S_Diff_Pct_23" localSheetId="5">#REF!</definedName>
    <definedName name="S_Diff_Pct_23">#REF!</definedName>
    <definedName name="S_Diff_Pct_5" localSheetId="20">#REF!</definedName>
    <definedName name="S_Diff_Pct_5" localSheetId="17">#REF!</definedName>
    <definedName name="S_Diff_Pct_5" localSheetId="8">#REF!</definedName>
    <definedName name="S_Diff_Pct_5" localSheetId="12">#REF!</definedName>
    <definedName name="S_Diff_Pct_5" localSheetId="13">#REF!</definedName>
    <definedName name="S_Diff_Pct_5" localSheetId="5">#REF!</definedName>
    <definedName name="S_Diff_Pct_5">#REF!</definedName>
    <definedName name="S_Diff_Pct_8" localSheetId="20">#REF!</definedName>
    <definedName name="S_Diff_Pct_8" localSheetId="17">#REF!</definedName>
    <definedName name="S_Diff_Pct_8" localSheetId="8">#REF!</definedName>
    <definedName name="S_Diff_Pct_8" localSheetId="12">#REF!</definedName>
    <definedName name="S_Diff_Pct_8" localSheetId="13">#REF!</definedName>
    <definedName name="S_Diff_Pct_8" localSheetId="5">#REF!</definedName>
    <definedName name="S_Diff_Pct_8">#REF!</definedName>
    <definedName name="S_GrpNum" localSheetId="20">#REF!</definedName>
    <definedName name="S_GrpNum" localSheetId="17">#REF!</definedName>
    <definedName name="S_GrpNum" localSheetId="8">#REF!</definedName>
    <definedName name="S_GrpNum" localSheetId="12">#REF!</definedName>
    <definedName name="S_GrpNum" localSheetId="13">#REF!</definedName>
    <definedName name="S_GrpNum" localSheetId="5">#REF!</definedName>
    <definedName name="S_GrpNum">#REF!</definedName>
    <definedName name="S_GrpNum_1" localSheetId="20">#REF!</definedName>
    <definedName name="S_GrpNum_1" localSheetId="17">#REF!</definedName>
    <definedName name="S_GrpNum_1" localSheetId="8">#REF!</definedName>
    <definedName name="S_GrpNum_1" localSheetId="12">#REF!</definedName>
    <definedName name="S_GrpNum_1" localSheetId="13">#REF!</definedName>
    <definedName name="S_GrpNum_1" localSheetId="5">#REF!</definedName>
    <definedName name="S_GrpNum_1">#REF!</definedName>
    <definedName name="S_GrpNum_20" localSheetId="20">#REF!</definedName>
    <definedName name="S_GrpNum_20" localSheetId="17">#REF!</definedName>
    <definedName name="S_GrpNum_20" localSheetId="8">#REF!</definedName>
    <definedName name="S_GrpNum_20" localSheetId="12">#REF!</definedName>
    <definedName name="S_GrpNum_20" localSheetId="13">#REF!</definedName>
    <definedName name="S_GrpNum_20" localSheetId="5">#REF!</definedName>
    <definedName name="S_GrpNum_20">#REF!</definedName>
    <definedName name="S_GrpNum_21" localSheetId="20">#REF!</definedName>
    <definedName name="S_GrpNum_21" localSheetId="17">#REF!</definedName>
    <definedName name="S_GrpNum_21" localSheetId="8">#REF!</definedName>
    <definedName name="S_GrpNum_21" localSheetId="12">#REF!</definedName>
    <definedName name="S_GrpNum_21" localSheetId="13">#REF!</definedName>
    <definedName name="S_GrpNum_21" localSheetId="5">#REF!</definedName>
    <definedName name="S_GrpNum_21">#REF!</definedName>
    <definedName name="S_GrpNum_23" localSheetId="20">#REF!</definedName>
    <definedName name="S_GrpNum_23" localSheetId="17">#REF!</definedName>
    <definedName name="S_GrpNum_23" localSheetId="8">#REF!</definedName>
    <definedName name="S_GrpNum_23" localSheetId="12">#REF!</definedName>
    <definedName name="S_GrpNum_23" localSheetId="13">#REF!</definedName>
    <definedName name="S_GrpNum_23" localSheetId="5">#REF!</definedName>
    <definedName name="S_GrpNum_23">#REF!</definedName>
    <definedName name="S_GrpNum_5" localSheetId="20">#REF!</definedName>
    <definedName name="S_GrpNum_5" localSheetId="17">#REF!</definedName>
    <definedName name="S_GrpNum_5" localSheetId="8">#REF!</definedName>
    <definedName name="S_GrpNum_5" localSheetId="12">#REF!</definedName>
    <definedName name="S_GrpNum_5" localSheetId="13">#REF!</definedName>
    <definedName name="S_GrpNum_5" localSheetId="5">#REF!</definedName>
    <definedName name="S_GrpNum_5">#REF!</definedName>
    <definedName name="S_GrpNum_8" localSheetId="20">#REF!</definedName>
    <definedName name="S_GrpNum_8" localSheetId="17">#REF!</definedName>
    <definedName name="S_GrpNum_8" localSheetId="8">#REF!</definedName>
    <definedName name="S_GrpNum_8" localSheetId="12">#REF!</definedName>
    <definedName name="S_GrpNum_8" localSheetId="13">#REF!</definedName>
    <definedName name="S_GrpNum_8" localSheetId="5">#REF!</definedName>
    <definedName name="S_GrpNum_8">#REF!</definedName>
    <definedName name="S_Headings" localSheetId="20">#REF!</definedName>
    <definedName name="S_Headings" localSheetId="17">#REF!</definedName>
    <definedName name="S_Headings" localSheetId="8">#REF!</definedName>
    <definedName name="S_Headings" localSheetId="12">#REF!</definedName>
    <definedName name="S_Headings" localSheetId="13">#REF!</definedName>
    <definedName name="S_Headings" localSheetId="5">#REF!</definedName>
    <definedName name="S_Headings">#REF!</definedName>
    <definedName name="S_Headings_1" localSheetId="20">#REF!</definedName>
    <definedName name="S_Headings_1" localSheetId="17">#REF!</definedName>
    <definedName name="S_Headings_1" localSheetId="8">#REF!</definedName>
    <definedName name="S_Headings_1" localSheetId="12">#REF!</definedName>
    <definedName name="S_Headings_1" localSheetId="13">#REF!</definedName>
    <definedName name="S_Headings_1" localSheetId="5">#REF!</definedName>
    <definedName name="S_Headings_1">#REF!</definedName>
    <definedName name="S_Headings_20" localSheetId="20">#REF!</definedName>
    <definedName name="S_Headings_20" localSheetId="17">#REF!</definedName>
    <definedName name="S_Headings_20" localSheetId="8">#REF!</definedName>
    <definedName name="S_Headings_20" localSheetId="12">#REF!</definedName>
    <definedName name="S_Headings_20" localSheetId="13">#REF!</definedName>
    <definedName name="S_Headings_20" localSheetId="5">#REF!</definedName>
    <definedName name="S_Headings_20">#REF!</definedName>
    <definedName name="S_Headings_21" localSheetId="20">#REF!</definedName>
    <definedName name="S_Headings_21" localSheetId="17">#REF!</definedName>
    <definedName name="S_Headings_21" localSheetId="8">#REF!</definedName>
    <definedName name="S_Headings_21" localSheetId="12">#REF!</definedName>
    <definedName name="S_Headings_21" localSheetId="13">#REF!</definedName>
    <definedName name="S_Headings_21" localSheetId="5">#REF!</definedName>
    <definedName name="S_Headings_21">#REF!</definedName>
    <definedName name="S_Headings_23" localSheetId="20">#REF!</definedName>
    <definedName name="S_Headings_23" localSheetId="17">#REF!</definedName>
    <definedName name="S_Headings_23" localSheetId="8">#REF!</definedName>
    <definedName name="S_Headings_23" localSheetId="12">#REF!</definedName>
    <definedName name="S_Headings_23" localSheetId="13">#REF!</definedName>
    <definedName name="S_Headings_23" localSheetId="5">#REF!</definedName>
    <definedName name="S_Headings_23">#REF!</definedName>
    <definedName name="S_Headings_5" localSheetId="20">#REF!</definedName>
    <definedName name="S_Headings_5" localSheetId="17">#REF!</definedName>
    <definedName name="S_Headings_5" localSheetId="8">#REF!</definedName>
    <definedName name="S_Headings_5" localSheetId="12">#REF!</definedName>
    <definedName name="S_Headings_5" localSheetId="13">#REF!</definedName>
    <definedName name="S_Headings_5" localSheetId="5">#REF!</definedName>
    <definedName name="S_Headings_5">#REF!</definedName>
    <definedName name="S_Headings_8" localSheetId="20">#REF!</definedName>
    <definedName name="S_Headings_8" localSheetId="17">#REF!</definedName>
    <definedName name="S_Headings_8" localSheetId="8">#REF!</definedName>
    <definedName name="S_Headings_8" localSheetId="12">#REF!</definedName>
    <definedName name="S_Headings_8" localSheetId="13">#REF!</definedName>
    <definedName name="S_Headings_8" localSheetId="5">#REF!</definedName>
    <definedName name="S_Headings_8">#REF!</definedName>
    <definedName name="S_KeyValue" localSheetId="20">#REF!</definedName>
    <definedName name="S_KeyValue" localSheetId="17">#REF!</definedName>
    <definedName name="S_KeyValue" localSheetId="8">#REF!</definedName>
    <definedName name="S_KeyValue" localSheetId="12">#REF!</definedName>
    <definedName name="S_KeyValue" localSheetId="13">#REF!</definedName>
    <definedName name="S_KeyValue" localSheetId="5">#REF!</definedName>
    <definedName name="S_KeyValue">#REF!</definedName>
    <definedName name="S_KeyValue_1" localSheetId="20">#REF!</definedName>
    <definedName name="S_KeyValue_1" localSheetId="17">#REF!</definedName>
    <definedName name="S_KeyValue_1" localSheetId="8">#REF!</definedName>
    <definedName name="S_KeyValue_1" localSheetId="12">#REF!</definedName>
    <definedName name="S_KeyValue_1" localSheetId="13">#REF!</definedName>
    <definedName name="S_KeyValue_1" localSheetId="5">#REF!</definedName>
    <definedName name="S_KeyValue_1">#REF!</definedName>
    <definedName name="S_KeyValue_20" localSheetId="20">#REF!</definedName>
    <definedName name="S_KeyValue_20" localSheetId="17">#REF!</definedName>
    <definedName name="S_KeyValue_20" localSheetId="8">#REF!</definedName>
    <definedName name="S_KeyValue_20" localSheetId="12">#REF!</definedName>
    <definedName name="S_KeyValue_20" localSheetId="13">#REF!</definedName>
    <definedName name="S_KeyValue_20" localSheetId="5">#REF!</definedName>
    <definedName name="S_KeyValue_20">#REF!</definedName>
    <definedName name="S_KeyValue_21" localSheetId="20">#REF!</definedName>
    <definedName name="S_KeyValue_21" localSheetId="17">#REF!</definedName>
    <definedName name="S_KeyValue_21" localSheetId="8">#REF!</definedName>
    <definedName name="S_KeyValue_21" localSheetId="12">#REF!</definedName>
    <definedName name="S_KeyValue_21" localSheetId="13">#REF!</definedName>
    <definedName name="S_KeyValue_21" localSheetId="5">#REF!</definedName>
    <definedName name="S_KeyValue_21">#REF!</definedName>
    <definedName name="S_KeyValue_23" localSheetId="20">#REF!</definedName>
    <definedName name="S_KeyValue_23" localSheetId="17">#REF!</definedName>
    <definedName name="S_KeyValue_23" localSheetId="8">#REF!</definedName>
    <definedName name="S_KeyValue_23" localSheetId="12">#REF!</definedName>
    <definedName name="S_KeyValue_23" localSheetId="13">#REF!</definedName>
    <definedName name="S_KeyValue_23" localSheetId="5">#REF!</definedName>
    <definedName name="S_KeyValue_23">#REF!</definedName>
    <definedName name="S_KeyValue_5" localSheetId="20">#REF!</definedName>
    <definedName name="S_KeyValue_5" localSheetId="17">#REF!</definedName>
    <definedName name="S_KeyValue_5" localSheetId="8">#REF!</definedName>
    <definedName name="S_KeyValue_5" localSheetId="12">#REF!</definedName>
    <definedName name="S_KeyValue_5" localSheetId="13">#REF!</definedName>
    <definedName name="S_KeyValue_5" localSheetId="5">#REF!</definedName>
    <definedName name="S_KeyValue_5">#REF!</definedName>
    <definedName name="S_KeyValue_8" localSheetId="20">#REF!</definedName>
    <definedName name="S_KeyValue_8" localSheetId="17">#REF!</definedName>
    <definedName name="S_KeyValue_8" localSheetId="8">#REF!</definedName>
    <definedName name="S_KeyValue_8" localSheetId="12">#REF!</definedName>
    <definedName name="S_KeyValue_8" localSheetId="13">#REF!</definedName>
    <definedName name="S_KeyValue_8" localSheetId="5">#REF!</definedName>
    <definedName name="S_KeyValue_8">#REF!</definedName>
    <definedName name="S_PY_End" localSheetId="20">#REF!</definedName>
    <definedName name="S_PY_End" localSheetId="17">#REF!</definedName>
    <definedName name="S_PY_End" localSheetId="8">#REF!</definedName>
    <definedName name="S_PY_End" localSheetId="2">[33]Breakups!#REF!</definedName>
    <definedName name="S_PY_End" localSheetId="12">#REF!</definedName>
    <definedName name="S_PY_End" localSheetId="13">#REF!</definedName>
    <definedName name="S_PY_End" localSheetId="5">#REF!</definedName>
    <definedName name="S_PY_End">#REF!</definedName>
    <definedName name="S_PY_End_1" localSheetId="20">#REF!</definedName>
    <definedName name="S_PY_End_1" localSheetId="17">#REF!</definedName>
    <definedName name="S_PY_End_1" localSheetId="8">#REF!</definedName>
    <definedName name="S_PY_End_1" localSheetId="12">#REF!</definedName>
    <definedName name="S_PY_End_1" localSheetId="13">#REF!</definedName>
    <definedName name="S_PY_End_1" localSheetId="5">#REF!</definedName>
    <definedName name="S_PY_End_1">#REF!</definedName>
    <definedName name="S_PY_End_20" localSheetId="20">#REF!</definedName>
    <definedName name="S_PY_End_20" localSheetId="17">#REF!</definedName>
    <definedName name="S_PY_End_20" localSheetId="8">#REF!</definedName>
    <definedName name="S_PY_End_20" localSheetId="12">#REF!</definedName>
    <definedName name="S_PY_End_20" localSheetId="13">#REF!</definedName>
    <definedName name="S_PY_End_20" localSheetId="5">#REF!</definedName>
    <definedName name="S_PY_End_20">#REF!</definedName>
    <definedName name="S_PY_End_21" localSheetId="20">#REF!</definedName>
    <definedName name="S_PY_End_21" localSheetId="17">#REF!</definedName>
    <definedName name="S_PY_End_21" localSheetId="8">#REF!</definedName>
    <definedName name="S_PY_End_21" localSheetId="12">#REF!</definedName>
    <definedName name="S_PY_End_21" localSheetId="13">#REF!</definedName>
    <definedName name="S_PY_End_21" localSheetId="5">#REF!</definedName>
    <definedName name="S_PY_End_21">#REF!</definedName>
    <definedName name="S_PY_End_23" localSheetId="20">#REF!</definedName>
    <definedName name="S_PY_End_23" localSheetId="17">#REF!</definedName>
    <definedName name="S_PY_End_23" localSheetId="8">#REF!</definedName>
    <definedName name="S_PY_End_23" localSheetId="12">#REF!</definedName>
    <definedName name="S_PY_End_23" localSheetId="13">#REF!</definedName>
    <definedName name="S_PY_End_23" localSheetId="5">#REF!</definedName>
    <definedName name="S_PY_End_23">#REF!</definedName>
    <definedName name="S_PY_End_5" localSheetId="20">#REF!</definedName>
    <definedName name="S_PY_End_5" localSheetId="17">#REF!</definedName>
    <definedName name="S_PY_End_5" localSheetId="8">#REF!</definedName>
    <definedName name="S_PY_End_5" localSheetId="12">#REF!</definedName>
    <definedName name="S_PY_End_5" localSheetId="13">#REF!</definedName>
    <definedName name="S_PY_End_5" localSheetId="5">#REF!</definedName>
    <definedName name="S_PY_End_5">#REF!</definedName>
    <definedName name="S_PY_End_8" localSheetId="20">#REF!</definedName>
    <definedName name="S_PY_End_8" localSheetId="17">#REF!</definedName>
    <definedName name="S_PY_End_8" localSheetId="8">#REF!</definedName>
    <definedName name="S_PY_End_8" localSheetId="12">#REF!</definedName>
    <definedName name="S_PY_End_8" localSheetId="13">#REF!</definedName>
    <definedName name="S_PY_End_8" localSheetId="5">#REF!</definedName>
    <definedName name="S_PY_End_8">#REF!</definedName>
    <definedName name="S_PY_End_Data" localSheetId="17">#REF!</definedName>
    <definedName name="S_PY_End_Data" localSheetId="2">[33]Breakups!#REF!</definedName>
    <definedName name="S_PY_End_Data">[69]Lead!$M$1:$M$553</definedName>
    <definedName name="S_PY_End_Data_1" localSheetId="20">#REF!</definedName>
    <definedName name="S_PY_End_Data_1" localSheetId="17">#REF!</definedName>
    <definedName name="S_PY_End_Data_1" localSheetId="8">#REF!</definedName>
    <definedName name="S_PY_End_Data_1" localSheetId="12">#REF!</definedName>
    <definedName name="S_PY_End_Data_1" localSheetId="13">#REF!</definedName>
    <definedName name="S_PY_End_Data_1" localSheetId="5">#REF!</definedName>
    <definedName name="S_PY_End_Data_1">#REF!</definedName>
    <definedName name="S_PY_End_Data_20" localSheetId="20">#REF!</definedName>
    <definedName name="S_PY_End_Data_20" localSheetId="17">#REF!</definedName>
    <definedName name="S_PY_End_Data_20" localSheetId="8">#REF!</definedName>
    <definedName name="S_PY_End_Data_20" localSheetId="12">#REF!</definedName>
    <definedName name="S_PY_End_Data_20" localSheetId="13">#REF!</definedName>
    <definedName name="S_PY_End_Data_20" localSheetId="5">#REF!</definedName>
    <definedName name="S_PY_End_Data_20">#REF!</definedName>
    <definedName name="S_PY_End_Data_21" localSheetId="20">#REF!</definedName>
    <definedName name="S_PY_End_Data_21" localSheetId="17">#REF!</definedName>
    <definedName name="S_PY_End_Data_21" localSheetId="8">#REF!</definedName>
    <definedName name="S_PY_End_Data_21" localSheetId="12">#REF!</definedName>
    <definedName name="S_PY_End_Data_21" localSheetId="13">#REF!</definedName>
    <definedName name="S_PY_End_Data_21" localSheetId="5">#REF!</definedName>
    <definedName name="S_PY_End_Data_21">#REF!</definedName>
    <definedName name="S_PY_End_Data_23" localSheetId="20">#REF!</definedName>
    <definedName name="S_PY_End_Data_23" localSheetId="17">#REF!</definedName>
    <definedName name="S_PY_End_Data_23" localSheetId="8">#REF!</definedName>
    <definedName name="S_PY_End_Data_23" localSheetId="12">#REF!</definedName>
    <definedName name="S_PY_End_Data_23" localSheetId="13">#REF!</definedName>
    <definedName name="S_PY_End_Data_23" localSheetId="5">#REF!</definedName>
    <definedName name="S_PY_End_Data_23">#REF!</definedName>
    <definedName name="S_PY_End_Data_5" localSheetId="20">#REF!</definedName>
    <definedName name="S_PY_End_Data_5" localSheetId="17">#REF!</definedName>
    <definedName name="S_PY_End_Data_5" localSheetId="8">#REF!</definedName>
    <definedName name="S_PY_End_Data_5" localSheetId="12">#REF!</definedName>
    <definedName name="S_PY_End_Data_5" localSheetId="13">#REF!</definedName>
    <definedName name="S_PY_End_Data_5" localSheetId="5">#REF!</definedName>
    <definedName name="S_PY_End_Data_5">#REF!</definedName>
    <definedName name="S_PY_End_Data_8" localSheetId="20">#REF!</definedName>
    <definedName name="S_PY_End_Data_8" localSheetId="17">#REF!</definedName>
    <definedName name="S_PY_End_Data_8" localSheetId="8">#REF!</definedName>
    <definedName name="S_PY_End_Data_8" localSheetId="12">#REF!</definedName>
    <definedName name="S_PY_End_Data_8" localSheetId="13">#REF!</definedName>
    <definedName name="S_PY_End_Data_8" localSheetId="5">#REF!</definedName>
    <definedName name="S_PY_End_Data_8">#REF!</definedName>
    <definedName name="S_PY_End_GT" localSheetId="20">#REF!</definedName>
    <definedName name="S_PY_End_GT" localSheetId="17">#REF!</definedName>
    <definedName name="S_PY_End_GT" localSheetId="8">#REF!</definedName>
    <definedName name="S_PY_End_GT" localSheetId="2">[33]Breakups!#REF!</definedName>
    <definedName name="S_PY_End_GT" localSheetId="12">#REF!</definedName>
    <definedName name="S_PY_End_GT" localSheetId="13">#REF!</definedName>
    <definedName name="S_PY_End_GT" localSheetId="5">#REF!</definedName>
    <definedName name="S_PY_End_GT">#REF!</definedName>
    <definedName name="S_PY_End_GT_1" localSheetId="20">#REF!</definedName>
    <definedName name="S_PY_End_GT_1" localSheetId="17">#REF!</definedName>
    <definedName name="S_PY_End_GT_1" localSheetId="8">#REF!</definedName>
    <definedName name="S_PY_End_GT_1" localSheetId="12">#REF!</definedName>
    <definedName name="S_PY_End_GT_1" localSheetId="13">#REF!</definedName>
    <definedName name="S_PY_End_GT_1" localSheetId="5">#REF!</definedName>
    <definedName name="S_PY_End_GT_1">#REF!</definedName>
    <definedName name="S_PY_End_GT_20" localSheetId="20">#REF!</definedName>
    <definedName name="S_PY_End_GT_20" localSheetId="17">#REF!</definedName>
    <definedName name="S_PY_End_GT_20" localSheetId="8">#REF!</definedName>
    <definedName name="S_PY_End_GT_20" localSheetId="12">#REF!</definedName>
    <definedName name="S_PY_End_GT_20" localSheetId="13">#REF!</definedName>
    <definedName name="S_PY_End_GT_20" localSheetId="5">#REF!</definedName>
    <definedName name="S_PY_End_GT_20">#REF!</definedName>
    <definedName name="S_PY_End_GT_21" localSheetId="20">#REF!</definedName>
    <definedName name="S_PY_End_GT_21" localSheetId="17">#REF!</definedName>
    <definedName name="S_PY_End_GT_21" localSheetId="8">#REF!</definedName>
    <definedName name="S_PY_End_GT_21" localSheetId="12">#REF!</definedName>
    <definedName name="S_PY_End_GT_21" localSheetId="13">#REF!</definedName>
    <definedName name="S_PY_End_GT_21" localSheetId="5">#REF!</definedName>
    <definedName name="S_PY_End_GT_21">#REF!</definedName>
    <definedName name="S_PY_End_GT_23" localSheetId="20">#REF!</definedName>
    <definedName name="S_PY_End_GT_23" localSheetId="17">#REF!</definedName>
    <definedName name="S_PY_End_GT_23" localSheetId="8">#REF!</definedName>
    <definedName name="S_PY_End_GT_23" localSheetId="12">#REF!</definedName>
    <definedName name="S_PY_End_GT_23" localSheetId="13">#REF!</definedName>
    <definedName name="S_PY_End_GT_23" localSheetId="5">#REF!</definedName>
    <definedName name="S_PY_End_GT_23">#REF!</definedName>
    <definedName name="S_PY_End_GT_5" localSheetId="20">#REF!</definedName>
    <definedName name="S_PY_End_GT_5" localSheetId="17">#REF!</definedName>
    <definedName name="S_PY_End_GT_5" localSheetId="8">#REF!</definedName>
    <definedName name="S_PY_End_GT_5" localSheetId="12">#REF!</definedName>
    <definedName name="S_PY_End_GT_5" localSheetId="13">#REF!</definedName>
    <definedName name="S_PY_End_GT_5" localSheetId="5">#REF!</definedName>
    <definedName name="S_PY_End_GT_5">#REF!</definedName>
    <definedName name="S_PY_End_GT_8" localSheetId="20">#REF!</definedName>
    <definedName name="S_PY_End_GT_8" localSheetId="17">#REF!</definedName>
    <definedName name="S_PY_End_GT_8" localSheetId="8">#REF!</definedName>
    <definedName name="S_PY_End_GT_8" localSheetId="12">#REF!</definedName>
    <definedName name="S_PY_End_GT_8" localSheetId="13">#REF!</definedName>
    <definedName name="S_PY_End_GT_8" localSheetId="5">#REF!</definedName>
    <definedName name="S_PY_End_GT_8">#REF!</definedName>
    <definedName name="S_RJE_Tot" localSheetId="20">#REF!</definedName>
    <definedName name="S_RJE_Tot" localSheetId="17">#REF!</definedName>
    <definedName name="S_RJE_Tot" localSheetId="8">#REF!</definedName>
    <definedName name="S_RJE_Tot" localSheetId="12">#REF!</definedName>
    <definedName name="S_RJE_Tot" localSheetId="13">#REF!</definedName>
    <definedName name="S_RJE_Tot" localSheetId="5">#REF!</definedName>
    <definedName name="S_RJE_Tot">#REF!</definedName>
    <definedName name="S_RJE_Tot_1" localSheetId="20">#REF!</definedName>
    <definedName name="S_RJE_Tot_1" localSheetId="17">#REF!</definedName>
    <definedName name="S_RJE_Tot_1" localSheetId="8">#REF!</definedName>
    <definedName name="S_RJE_Tot_1" localSheetId="12">#REF!</definedName>
    <definedName name="S_RJE_Tot_1" localSheetId="13">#REF!</definedName>
    <definedName name="S_RJE_Tot_1" localSheetId="5">#REF!</definedName>
    <definedName name="S_RJE_Tot_1">#REF!</definedName>
    <definedName name="S_RJE_Tot_20" localSheetId="20">#REF!</definedName>
    <definedName name="S_RJE_Tot_20" localSheetId="17">#REF!</definedName>
    <definedName name="S_RJE_Tot_20" localSheetId="8">#REF!</definedName>
    <definedName name="S_RJE_Tot_20" localSheetId="12">#REF!</definedName>
    <definedName name="S_RJE_Tot_20" localSheetId="13">#REF!</definedName>
    <definedName name="S_RJE_Tot_20" localSheetId="5">#REF!</definedName>
    <definedName name="S_RJE_Tot_20">#REF!</definedName>
    <definedName name="S_RJE_Tot_21" localSheetId="20">#REF!</definedName>
    <definedName name="S_RJE_Tot_21" localSheetId="17">#REF!</definedName>
    <definedName name="S_RJE_Tot_21" localSheetId="8">#REF!</definedName>
    <definedName name="S_RJE_Tot_21" localSheetId="12">#REF!</definedName>
    <definedName name="S_RJE_Tot_21" localSheetId="13">#REF!</definedName>
    <definedName name="S_RJE_Tot_21" localSheetId="5">#REF!</definedName>
    <definedName name="S_RJE_Tot_21">#REF!</definedName>
    <definedName name="S_RJE_Tot_23" localSheetId="20">#REF!</definedName>
    <definedName name="S_RJE_Tot_23" localSheetId="17">#REF!</definedName>
    <definedName name="S_RJE_Tot_23" localSheetId="8">#REF!</definedName>
    <definedName name="S_RJE_Tot_23" localSheetId="12">#REF!</definedName>
    <definedName name="S_RJE_Tot_23" localSheetId="13">#REF!</definedName>
    <definedName name="S_RJE_Tot_23" localSheetId="5">#REF!</definedName>
    <definedName name="S_RJE_Tot_23">#REF!</definedName>
    <definedName name="S_RJE_Tot_5" localSheetId="20">#REF!</definedName>
    <definedName name="S_RJE_Tot_5" localSheetId="17">#REF!</definedName>
    <definedName name="S_RJE_Tot_5" localSheetId="8">#REF!</definedName>
    <definedName name="S_RJE_Tot_5" localSheetId="12">#REF!</definedName>
    <definedName name="S_RJE_Tot_5" localSheetId="13">#REF!</definedName>
    <definedName name="S_RJE_Tot_5" localSheetId="5">#REF!</definedName>
    <definedName name="S_RJE_Tot_5">#REF!</definedName>
    <definedName name="S_RJE_Tot_8" localSheetId="20">#REF!</definedName>
    <definedName name="S_RJE_Tot_8" localSheetId="17">#REF!</definedName>
    <definedName name="S_RJE_Tot_8" localSheetId="8">#REF!</definedName>
    <definedName name="S_RJE_Tot_8" localSheetId="12">#REF!</definedName>
    <definedName name="S_RJE_Tot_8" localSheetId="13">#REF!</definedName>
    <definedName name="S_RJE_Tot_8" localSheetId="5">#REF!</definedName>
    <definedName name="S_RJE_Tot_8">#REF!</definedName>
    <definedName name="S_RJE_Tot_Data" localSheetId="17">#REF!</definedName>
    <definedName name="S_RJE_Tot_Data">[69]Lead!$J$1:$J$553</definedName>
    <definedName name="S_RJE_Tot_Data_1" localSheetId="20">#REF!</definedName>
    <definedName name="S_RJE_Tot_Data_1" localSheetId="17">#REF!</definedName>
    <definedName name="S_RJE_Tot_Data_1" localSheetId="8">#REF!</definedName>
    <definedName name="S_RJE_Tot_Data_1" localSheetId="12">#REF!</definedName>
    <definedName name="S_RJE_Tot_Data_1" localSheetId="13">#REF!</definedName>
    <definedName name="S_RJE_Tot_Data_1" localSheetId="5">#REF!</definedName>
    <definedName name="S_RJE_Tot_Data_1">#REF!</definedName>
    <definedName name="S_RJE_Tot_Data_20" localSheetId="20">#REF!</definedName>
    <definedName name="S_RJE_Tot_Data_20" localSheetId="17">#REF!</definedName>
    <definedName name="S_RJE_Tot_Data_20" localSheetId="8">#REF!</definedName>
    <definedName name="S_RJE_Tot_Data_20" localSheetId="12">#REF!</definedName>
    <definedName name="S_RJE_Tot_Data_20" localSheetId="13">#REF!</definedName>
    <definedName name="S_RJE_Tot_Data_20" localSheetId="5">#REF!</definedName>
    <definedName name="S_RJE_Tot_Data_20">#REF!</definedName>
    <definedName name="S_RJE_Tot_Data_21" localSheetId="20">#REF!</definedName>
    <definedName name="S_RJE_Tot_Data_21" localSheetId="17">#REF!</definedName>
    <definedName name="S_RJE_Tot_Data_21" localSheetId="8">#REF!</definedName>
    <definedName name="S_RJE_Tot_Data_21" localSheetId="12">#REF!</definedName>
    <definedName name="S_RJE_Tot_Data_21" localSheetId="13">#REF!</definedName>
    <definedName name="S_RJE_Tot_Data_21" localSheetId="5">#REF!</definedName>
    <definedName name="S_RJE_Tot_Data_21">#REF!</definedName>
    <definedName name="S_RJE_Tot_Data_23" localSheetId="20">#REF!</definedName>
    <definedName name="S_RJE_Tot_Data_23" localSheetId="17">#REF!</definedName>
    <definedName name="S_RJE_Tot_Data_23" localSheetId="8">#REF!</definedName>
    <definedName name="S_RJE_Tot_Data_23" localSheetId="12">#REF!</definedName>
    <definedName name="S_RJE_Tot_Data_23" localSheetId="13">#REF!</definedName>
    <definedName name="S_RJE_Tot_Data_23" localSheetId="5">#REF!</definedName>
    <definedName name="S_RJE_Tot_Data_23">#REF!</definedName>
    <definedName name="S_RJE_Tot_Data_5" localSheetId="20">#REF!</definedName>
    <definedName name="S_RJE_Tot_Data_5" localSheetId="17">#REF!</definedName>
    <definedName name="S_RJE_Tot_Data_5" localSheetId="8">#REF!</definedName>
    <definedName name="S_RJE_Tot_Data_5" localSheetId="12">#REF!</definedName>
    <definedName name="S_RJE_Tot_Data_5" localSheetId="13">#REF!</definedName>
    <definedName name="S_RJE_Tot_Data_5" localSheetId="5">#REF!</definedName>
    <definedName name="S_RJE_Tot_Data_5">#REF!</definedName>
    <definedName name="S_RJE_Tot_Data_8" localSheetId="20">#REF!</definedName>
    <definedName name="S_RJE_Tot_Data_8" localSheetId="17">#REF!</definedName>
    <definedName name="S_RJE_Tot_Data_8" localSheetId="8">#REF!</definedName>
    <definedName name="S_RJE_Tot_Data_8" localSheetId="12">#REF!</definedName>
    <definedName name="S_RJE_Tot_Data_8" localSheetId="13">#REF!</definedName>
    <definedName name="S_RJE_Tot_Data_8" localSheetId="5">#REF!</definedName>
    <definedName name="S_RJE_Tot_Data_8">#REF!</definedName>
    <definedName name="S_RJE_Tot_GT" localSheetId="20">#REF!</definedName>
    <definedName name="S_RJE_Tot_GT" localSheetId="17">#REF!</definedName>
    <definedName name="S_RJE_Tot_GT" localSheetId="8">#REF!</definedName>
    <definedName name="S_RJE_Tot_GT" localSheetId="12">#REF!</definedName>
    <definedName name="S_RJE_Tot_GT" localSheetId="13">#REF!</definedName>
    <definedName name="S_RJE_Tot_GT" localSheetId="5">#REF!</definedName>
    <definedName name="S_RJE_Tot_GT">#REF!</definedName>
    <definedName name="S_RJE_Tot_GT_1" localSheetId="20">#REF!</definedName>
    <definedName name="S_RJE_Tot_GT_1" localSheetId="17">#REF!</definedName>
    <definedName name="S_RJE_Tot_GT_1" localSheetId="8">#REF!</definedName>
    <definedName name="S_RJE_Tot_GT_1" localSheetId="12">#REF!</definedName>
    <definedName name="S_RJE_Tot_GT_1" localSheetId="13">#REF!</definedName>
    <definedName name="S_RJE_Tot_GT_1" localSheetId="5">#REF!</definedName>
    <definedName name="S_RJE_Tot_GT_1">#REF!</definedName>
    <definedName name="S_RJE_Tot_GT_20" localSheetId="20">#REF!</definedName>
    <definedName name="S_RJE_Tot_GT_20" localSheetId="17">#REF!</definedName>
    <definedName name="S_RJE_Tot_GT_20" localSheetId="8">#REF!</definedName>
    <definedName name="S_RJE_Tot_GT_20" localSheetId="12">#REF!</definedName>
    <definedName name="S_RJE_Tot_GT_20" localSheetId="13">#REF!</definedName>
    <definedName name="S_RJE_Tot_GT_20" localSheetId="5">#REF!</definedName>
    <definedName name="S_RJE_Tot_GT_20">#REF!</definedName>
    <definedName name="S_RJE_Tot_GT_21" localSheetId="20">#REF!</definedName>
    <definedName name="S_RJE_Tot_GT_21" localSheetId="17">#REF!</definedName>
    <definedName name="S_RJE_Tot_GT_21" localSheetId="8">#REF!</definedName>
    <definedName name="S_RJE_Tot_GT_21" localSheetId="12">#REF!</definedName>
    <definedName name="S_RJE_Tot_GT_21" localSheetId="13">#REF!</definedName>
    <definedName name="S_RJE_Tot_GT_21" localSheetId="5">#REF!</definedName>
    <definedName name="S_RJE_Tot_GT_21">#REF!</definedName>
    <definedName name="S_RJE_Tot_GT_23" localSheetId="20">#REF!</definedName>
    <definedName name="S_RJE_Tot_GT_23" localSheetId="17">#REF!</definedName>
    <definedName name="S_RJE_Tot_GT_23" localSheetId="8">#REF!</definedName>
    <definedName name="S_RJE_Tot_GT_23" localSheetId="12">#REF!</definedName>
    <definedName name="S_RJE_Tot_GT_23" localSheetId="13">#REF!</definedName>
    <definedName name="S_RJE_Tot_GT_23" localSheetId="5">#REF!</definedName>
    <definedName name="S_RJE_Tot_GT_23">#REF!</definedName>
    <definedName name="S_RJE_Tot_GT_5" localSheetId="20">#REF!</definedName>
    <definedName name="S_RJE_Tot_GT_5" localSheetId="17">#REF!</definedName>
    <definedName name="S_RJE_Tot_GT_5" localSheetId="8">#REF!</definedName>
    <definedName name="S_RJE_Tot_GT_5" localSheetId="12">#REF!</definedName>
    <definedName name="S_RJE_Tot_GT_5" localSheetId="13">#REF!</definedName>
    <definedName name="S_RJE_Tot_GT_5" localSheetId="5">#REF!</definedName>
    <definedName name="S_RJE_Tot_GT_5">#REF!</definedName>
    <definedName name="S_RJE_Tot_GT_8" localSheetId="20">#REF!</definedName>
    <definedName name="S_RJE_Tot_GT_8" localSheetId="17">#REF!</definedName>
    <definedName name="S_RJE_Tot_GT_8" localSheetId="8">#REF!</definedName>
    <definedName name="S_RJE_Tot_GT_8" localSheetId="12">#REF!</definedName>
    <definedName name="S_RJE_Tot_GT_8" localSheetId="13">#REF!</definedName>
    <definedName name="S_RJE_Tot_GT_8" localSheetId="5">#REF!</definedName>
    <definedName name="S_RJE_Tot_GT_8">#REF!</definedName>
    <definedName name="S_RowNum" localSheetId="20">#REF!</definedName>
    <definedName name="S_RowNum" localSheetId="17">#REF!</definedName>
    <definedName name="S_RowNum" localSheetId="8">#REF!</definedName>
    <definedName name="S_RowNum" localSheetId="12">#REF!</definedName>
    <definedName name="S_RowNum" localSheetId="13">#REF!</definedName>
    <definedName name="S_RowNum" localSheetId="5">#REF!</definedName>
    <definedName name="S_RowNum">#REF!</definedName>
    <definedName name="S_RowNum_1" localSheetId="20">#REF!</definedName>
    <definedName name="S_RowNum_1" localSheetId="17">#REF!</definedName>
    <definedName name="S_RowNum_1" localSheetId="8">#REF!</definedName>
    <definedName name="S_RowNum_1" localSheetId="12">#REF!</definedName>
    <definedName name="S_RowNum_1" localSheetId="13">#REF!</definedName>
    <definedName name="S_RowNum_1" localSheetId="5">#REF!</definedName>
    <definedName name="S_RowNum_1">#REF!</definedName>
    <definedName name="S_RowNum_20" localSheetId="20">#REF!</definedName>
    <definedName name="S_RowNum_20" localSheetId="17">#REF!</definedName>
    <definedName name="S_RowNum_20" localSheetId="8">#REF!</definedName>
    <definedName name="S_RowNum_20" localSheetId="12">#REF!</definedName>
    <definedName name="S_RowNum_20" localSheetId="13">#REF!</definedName>
    <definedName name="S_RowNum_20" localSheetId="5">#REF!</definedName>
    <definedName name="S_RowNum_20">#REF!</definedName>
    <definedName name="S_RowNum_21" localSheetId="20">#REF!</definedName>
    <definedName name="S_RowNum_21" localSheetId="17">#REF!</definedName>
    <definedName name="S_RowNum_21" localSheetId="8">#REF!</definedName>
    <definedName name="S_RowNum_21" localSheetId="12">#REF!</definedName>
    <definedName name="S_RowNum_21" localSheetId="13">#REF!</definedName>
    <definedName name="S_RowNum_21" localSheetId="5">#REF!</definedName>
    <definedName name="S_RowNum_21">#REF!</definedName>
    <definedName name="S_RowNum_23" localSheetId="20">#REF!</definedName>
    <definedName name="S_RowNum_23" localSheetId="17">#REF!</definedName>
    <definedName name="S_RowNum_23" localSheetId="8">#REF!</definedName>
    <definedName name="S_RowNum_23" localSheetId="12">#REF!</definedName>
    <definedName name="S_RowNum_23" localSheetId="13">#REF!</definedName>
    <definedName name="S_RowNum_23" localSheetId="5">#REF!</definedName>
    <definedName name="S_RowNum_23">#REF!</definedName>
    <definedName name="S_RowNum_5" localSheetId="20">#REF!</definedName>
    <definedName name="S_RowNum_5" localSheetId="17">#REF!</definedName>
    <definedName name="S_RowNum_5" localSheetId="8">#REF!</definedName>
    <definedName name="S_RowNum_5" localSheetId="12">#REF!</definedName>
    <definedName name="S_RowNum_5" localSheetId="13">#REF!</definedName>
    <definedName name="S_RowNum_5" localSheetId="5">#REF!</definedName>
    <definedName name="S_RowNum_5">#REF!</definedName>
    <definedName name="S_RowNum_8" localSheetId="20">#REF!</definedName>
    <definedName name="S_RowNum_8" localSheetId="17">#REF!</definedName>
    <definedName name="S_RowNum_8" localSheetId="8">#REF!</definedName>
    <definedName name="S_RowNum_8" localSheetId="12">#REF!</definedName>
    <definedName name="S_RowNum_8" localSheetId="13">#REF!</definedName>
    <definedName name="S_RowNum_8" localSheetId="5">#REF!</definedName>
    <definedName name="S_RowNum_8">#REF!</definedName>
    <definedName name="SA" localSheetId="17" hidden="1">{#N/A,#N/A,FALSE,"dec98qtr";#N/A,#N/A,FALSE,"suppdecsep98";#N/A,#N/A,FALSE,"w-dec98"}</definedName>
    <definedName name="SA" localSheetId="8" hidden="1">{#N/A,#N/A,FALSE,"dec98qtr";#N/A,#N/A,FALSE,"suppdecsep98";#N/A,#N/A,FALSE,"w-dec98"}</definedName>
    <definedName name="SA" localSheetId="2" hidden="1">{#N/A,#N/A,FALSE,"dec98qtr";#N/A,#N/A,FALSE,"suppdecsep98";#N/A,#N/A,FALSE,"w-dec98"}</definedName>
    <definedName name="SA" hidden="1">{#N/A,#N/A,FALSE,"dec98qtr";#N/A,#N/A,FALSE,"suppdecsep98";#N/A,#N/A,FALSE,"w-dec98"}</definedName>
    <definedName name="sad" localSheetId="17" hidden="1">{"'CALL MONEY'!$K$53"}</definedName>
    <definedName name="sad" localSheetId="8" hidden="1">{"'CALL MONEY'!$K$53"}</definedName>
    <definedName name="sad" hidden="1">{"'CALL MONEY'!$K$53"}</definedName>
    <definedName name="sadfafasdf" localSheetId="20">#REF!</definedName>
    <definedName name="sadfafasdf" localSheetId="17">#REF!</definedName>
    <definedName name="sadfafasdf" localSheetId="8">#REF!</definedName>
    <definedName name="sadfafasdf" localSheetId="12">#REF!</definedName>
    <definedName name="sadfafasdf" localSheetId="13">#REF!</definedName>
    <definedName name="sadfafasdf" localSheetId="5">#REF!</definedName>
    <definedName name="sadfafasdf">#REF!</definedName>
    <definedName name="sal_apr" localSheetId="18">#REF!</definedName>
    <definedName name="sal_apr" localSheetId="19">#REF!</definedName>
    <definedName name="sal_apr">#REF!</definedName>
    <definedName name="SALES" localSheetId="20">[26]acct!#REF!</definedName>
    <definedName name="SALES" localSheetId="17">[27]acct!#REF!</definedName>
    <definedName name="SALES" localSheetId="8">[26]acct!#REF!</definedName>
    <definedName name="SALES" localSheetId="2">[28]acct!#REF!</definedName>
    <definedName name="SALES" localSheetId="12">[26]acct!#REF!</definedName>
    <definedName name="SALES" localSheetId="13">[26]acct!#REF!</definedName>
    <definedName name="SALES" localSheetId="5">[26]acct!#REF!</definedName>
    <definedName name="SALES">[26]acct!#REF!</definedName>
    <definedName name="SALES_PLAN" localSheetId="20">#REF!</definedName>
    <definedName name="SALES_PLAN" localSheetId="17">#REF!</definedName>
    <definedName name="SALES_PLAN" localSheetId="8">#REF!</definedName>
    <definedName name="SALES_PLAN" localSheetId="2">#REF!</definedName>
    <definedName name="SALES_PLAN" localSheetId="12">#REF!</definedName>
    <definedName name="SALES_PLAN" localSheetId="13">#REF!</definedName>
    <definedName name="SALES_PLAN" localSheetId="5">#REF!</definedName>
    <definedName name="SALES_PLAN">#REF!</definedName>
    <definedName name="SALES_VALUE" localSheetId="20">#REF!</definedName>
    <definedName name="SALES_VALUE" localSheetId="17">#REF!</definedName>
    <definedName name="SALES_VALUE" localSheetId="8">#REF!</definedName>
    <definedName name="SALES_VALUE" localSheetId="2">#REF!</definedName>
    <definedName name="SALES_VALUE" localSheetId="12">#REF!</definedName>
    <definedName name="SALES_VALUE" localSheetId="13">#REF!</definedName>
    <definedName name="SALES_VALUE" localSheetId="5">#REF!</definedName>
    <definedName name="SALES_VALUE">#REF!</definedName>
    <definedName name="sam" localSheetId="20">#REF!</definedName>
    <definedName name="sam" localSheetId="17">#REF!</definedName>
    <definedName name="sam" localSheetId="8">#REF!</definedName>
    <definedName name="sam" localSheetId="12">#REF!</definedName>
    <definedName name="sam" localSheetId="13">#REF!</definedName>
    <definedName name="sam" localSheetId="5">#REF!</definedName>
    <definedName name="sam">#REF!</definedName>
    <definedName name="Samp_Ass" localSheetId="18">#REF!</definedName>
    <definedName name="Samp_Ass" localSheetId="19">#REF!</definedName>
    <definedName name="Samp_Ass">#REF!</definedName>
    <definedName name="Samp_Calc_Sample" localSheetId="18">#REF!</definedName>
    <definedName name="Samp_Calc_Sample" localSheetId="19">#REF!</definedName>
    <definedName name="Samp_Calc_Sample">#REF!</definedName>
    <definedName name="Samp_Calc_TM" localSheetId="18">#REF!</definedName>
    <definedName name="Samp_Calc_TM" localSheetId="19">#REF!</definedName>
    <definedName name="Samp_Calc_TM">#REF!</definedName>
    <definedName name="Samp_DSS" localSheetId="18">#REF!</definedName>
    <definedName name="Samp_DSS" localSheetId="19">#REF!</definedName>
    <definedName name="Samp_DSS">#REF!</definedName>
    <definedName name="Samp_EM_Per" localSheetId="18">#REF!</definedName>
    <definedName name="Samp_EM_Per" localSheetId="19">#REF!</definedName>
    <definedName name="Samp_EM_Per">#REF!</definedName>
    <definedName name="Samp_EM_T" localSheetId="18">#REF!</definedName>
    <definedName name="Samp_EM_T" localSheetId="19">#REF!</definedName>
    <definedName name="Samp_EM_T">#REF!</definedName>
    <definedName name="Samp_Factor" localSheetId="18">#REF!</definedName>
    <definedName name="Samp_Factor" localSheetId="19">#REF!</definedName>
    <definedName name="Samp_Factor">#REF!</definedName>
    <definedName name="Samp_Min_SS" localSheetId="18">#REF!</definedName>
    <definedName name="Samp_Min_SS" localSheetId="19">#REF!</definedName>
    <definedName name="Samp_Min_SS">#REF!</definedName>
    <definedName name="Samp_MTM" localSheetId="18">#REF!</definedName>
    <definedName name="Samp_MTM" localSheetId="19">#REF!</definedName>
    <definedName name="Samp_MTM">#REF!</definedName>
    <definedName name="Samp_PM" localSheetId="18">#REF!</definedName>
    <definedName name="Samp_PM" localSheetId="19">#REF!</definedName>
    <definedName name="Samp_PM">#REF!</definedName>
    <definedName name="Samp_Pre" localSheetId="18">#REF!</definedName>
    <definedName name="Samp_Pre" localSheetId="19">#REF!</definedName>
    <definedName name="Samp_Pre">#REF!</definedName>
    <definedName name="Samp_Pre_T" localSheetId="18">#REF!</definedName>
    <definedName name="Samp_Pre_T" localSheetId="19">#REF!</definedName>
    <definedName name="Samp_Pre_T">#REF!</definedName>
    <definedName name="Samp_RTB" localSheetId="18">#REF!</definedName>
    <definedName name="Samp_RTB" localSheetId="19">#REF!</definedName>
    <definedName name="Samp_RTB">#REF!</definedName>
    <definedName name="Samp_RTB_Desc" localSheetId="18">#REF!</definedName>
    <definedName name="Samp_RTB_Desc" localSheetId="19">#REF!</definedName>
    <definedName name="Samp_RTB_Desc">#REF!</definedName>
    <definedName name="Samp_Sel" localSheetId="18">#REF!</definedName>
    <definedName name="Samp_Sel" localSheetId="19">#REF!</definedName>
    <definedName name="Samp_Sel">#REF!</definedName>
    <definedName name="Samp_Small_Adj" localSheetId="18">#REF!</definedName>
    <definedName name="Samp_Small_Adj" localSheetId="19">#REF!</definedName>
    <definedName name="Samp_Small_Adj">#REF!</definedName>
    <definedName name="Samp_SS" localSheetId="18">#REF!</definedName>
    <definedName name="Samp_SS" localSheetId="19">#REF!</definedName>
    <definedName name="Samp_SS">#REF!</definedName>
    <definedName name="Samp_TM_Diff" localSheetId="18">#REF!</definedName>
    <definedName name="Samp_TM_Diff" localSheetId="19">#REF!</definedName>
    <definedName name="Samp_TM_Diff">#REF!</definedName>
    <definedName name="Samp_TM_Exp_Diff" localSheetId="18">#REF!</definedName>
    <definedName name="Samp_TM_Exp_Diff" localSheetId="19">#REF!</definedName>
    <definedName name="Samp_TM_Exp_Diff">#REF!</definedName>
    <definedName name="Samp_TM_N" localSheetId="18">#REF!</definedName>
    <definedName name="Samp_TM_N" localSheetId="19">#REF!</definedName>
    <definedName name="Samp_TM_N">#REF!</definedName>
    <definedName name="Samp_TM_Y" localSheetId="18">#REF!</definedName>
    <definedName name="Samp_TM_Y" localSheetId="19">#REF!</definedName>
    <definedName name="Samp_TM_Y">#REF!</definedName>
    <definedName name="Sampr_Factor" localSheetId="18">#REF!</definedName>
    <definedName name="Sampr_Factor" localSheetId="19">#REF!</definedName>
    <definedName name="Sampr_Factor">#REF!</definedName>
    <definedName name="SBP" localSheetId="20">'[91]Notes1-5'!#REF!</definedName>
    <definedName name="SBP" localSheetId="17">'[91]Notes1-5'!#REF!</definedName>
    <definedName name="SBP" localSheetId="8">'[91]Notes1-5'!#REF!</definedName>
    <definedName name="SBP" localSheetId="12">'[91]Notes1-5'!#REF!</definedName>
    <definedName name="SBP" localSheetId="13">'[91]Notes1-5'!#REF!</definedName>
    <definedName name="SBP" localSheetId="5">'[91]Notes1-5'!#REF!</definedName>
    <definedName name="SBP">'[91]Notes1-5'!#REF!</definedName>
    <definedName name="sda" localSheetId="17" hidden="1">{"Sales 2",#N/A,FALSE,"SALES";"Transfer 2",#N/A,FALSE,"TRANSFERS";"A1460",#N/A,FALSE,"A1460"}</definedName>
    <definedName name="sda" localSheetId="8" hidden="1">{"Sales 2",#N/A,FALSE,"SALES";"Transfer 2",#N/A,FALSE,"TRANSFERS";"A1460",#N/A,FALSE,"A1460"}</definedName>
    <definedName name="sda" localSheetId="2" hidden="1">{"Sales 2",#N/A,FALSE,"SALES";"Transfer 2",#N/A,FALSE,"TRANSFERS";"A1460",#N/A,FALSE,"A1460"}</definedName>
    <definedName name="sda" hidden="1">{"Sales 2",#N/A,FALSE,"SALES";"Transfer 2",#N/A,FALSE,"TRANSFERS";"A1460",#N/A,FALSE,"A1460"}</definedName>
    <definedName name="sddd" localSheetId="20">[27]acct!#REF!</definedName>
    <definedName name="sddd" localSheetId="17">[27]acct!#REF!</definedName>
    <definedName name="sddd" localSheetId="8">[27]acct!#REF!</definedName>
    <definedName name="sddd" localSheetId="12">[27]acct!#REF!</definedName>
    <definedName name="sddd" localSheetId="13">[27]acct!#REF!</definedName>
    <definedName name="sddd" localSheetId="5">[27]acct!#REF!</definedName>
    <definedName name="sddd">[27]acct!#REF!</definedName>
    <definedName name="SDG" localSheetId="20">#REF!</definedName>
    <definedName name="SDG" localSheetId="17">#REF!</definedName>
    <definedName name="SDG" localSheetId="8">#REF!</definedName>
    <definedName name="SDG" localSheetId="12">#REF!</definedName>
    <definedName name="SDG" localSheetId="13">#REF!</definedName>
    <definedName name="SDG" localSheetId="5">#REF!</definedName>
    <definedName name="SDG">#REF!</definedName>
    <definedName name="sdsa">[92]A!$AX$5:$AX$129</definedName>
    <definedName name="sectionNames" localSheetId="20">#REF!</definedName>
    <definedName name="sectionNames" localSheetId="17">#REF!</definedName>
    <definedName name="sectionNames" localSheetId="8">#REF!</definedName>
    <definedName name="sectionNames" localSheetId="2">#REF!</definedName>
    <definedName name="sectionNames" localSheetId="12">#REF!</definedName>
    <definedName name="sectionNames" localSheetId="13">#REF!</definedName>
    <definedName name="sectionNames" localSheetId="5">#REF!</definedName>
    <definedName name="sectionNames">#REF!</definedName>
    <definedName name="sffff" localSheetId="20">[27]acct!#REF!</definedName>
    <definedName name="sffff" localSheetId="17">[27]acct!#REF!</definedName>
    <definedName name="sffff" localSheetId="8">[27]acct!#REF!</definedName>
    <definedName name="sffff" localSheetId="12">[27]acct!#REF!</definedName>
    <definedName name="sffff" localSheetId="13">[27]acct!#REF!</definedName>
    <definedName name="sffff" localSheetId="5">[27]acct!#REF!</definedName>
    <definedName name="sffff">[27]acct!#REF!</definedName>
    <definedName name="sfgs" localSheetId="17" hidden="1">{#N/A,#N/A,FALSE,"dec98qtr";#N/A,#N/A,FALSE,"suppdecsep98";#N/A,#N/A,FALSE,"w-dec98"}</definedName>
    <definedName name="sfgs" localSheetId="8" hidden="1">{#N/A,#N/A,FALSE,"dec98qtr";#N/A,#N/A,FALSE,"suppdecsep98";#N/A,#N/A,FALSE,"w-dec98"}</definedName>
    <definedName name="sfgs" localSheetId="2" hidden="1">{#N/A,#N/A,FALSE,"dec98qtr";#N/A,#N/A,FALSE,"suppdecsep98";#N/A,#N/A,FALSE,"w-dec98"}</definedName>
    <definedName name="sfgs" hidden="1">{#N/A,#N/A,FALSE,"dec98qtr";#N/A,#N/A,FALSE,"suppdecsep98";#N/A,#N/A,FALSE,"w-dec98"}</definedName>
    <definedName name="SGDD" localSheetId="20">[28]acct!#REF!</definedName>
    <definedName name="SGDD" localSheetId="17">[28]acct!#REF!</definedName>
    <definedName name="SGDD" localSheetId="8">[28]acct!#REF!</definedName>
    <definedName name="SGDD" localSheetId="12">[28]acct!#REF!</definedName>
    <definedName name="SGDD" localSheetId="13">[28]acct!#REF!</definedName>
    <definedName name="SGDD" localSheetId="5">[28]acct!#REF!</definedName>
    <definedName name="SGDD">[28]acct!#REF!</definedName>
    <definedName name="sheet" localSheetId="20">'[38]Revenue-Fire-Marine-Motor'!#REF!</definedName>
    <definedName name="sheet" localSheetId="17">'[38]Revenue-Fire-Marine-Motor'!#REF!</definedName>
    <definedName name="sheet" localSheetId="8">'[38]Revenue-Fire-Marine-Motor'!#REF!</definedName>
    <definedName name="sheet" localSheetId="2">'[38]Revenue-Fire-Marine-Motor'!#REF!</definedName>
    <definedName name="sheet" localSheetId="12">'[38]Revenue-Fire-Marine-Motor'!#REF!</definedName>
    <definedName name="sheet" localSheetId="13">'[38]Revenue-Fire-Marine-Motor'!#REF!</definedName>
    <definedName name="sheet" localSheetId="5">'[38]Revenue-Fire-Marine-Motor'!#REF!</definedName>
    <definedName name="sheet">'[38]Revenue-Fire-Marine-Motor'!#REF!</definedName>
    <definedName name="shehzad" localSheetId="20">[93]Sheet2!#REF!</definedName>
    <definedName name="shehzad" localSheetId="17">[93]Sheet2!#REF!</definedName>
    <definedName name="shehzad" localSheetId="8">[93]Sheet2!#REF!</definedName>
    <definedName name="shehzad" localSheetId="12">[93]Sheet2!#REF!</definedName>
    <definedName name="shehzad" localSheetId="13">[93]Sheet2!#REF!</definedName>
    <definedName name="shehzad" localSheetId="5">[93]Sheet2!#REF!</definedName>
    <definedName name="shehzad">[93]Sheet2!#REF!</definedName>
    <definedName name="SHIP" localSheetId="18">#REF!</definedName>
    <definedName name="SHIP" localSheetId="19">#REF!</definedName>
    <definedName name="SHIP">#REF!</definedName>
    <definedName name="shortterm" localSheetId="20">#REF!</definedName>
    <definedName name="shortterm" localSheetId="17">#REF!</definedName>
    <definedName name="shortterm" localSheetId="8">#REF!</definedName>
    <definedName name="shortterm" localSheetId="12">#REF!</definedName>
    <definedName name="shortterm" localSheetId="13">#REF!</definedName>
    <definedName name="shortterm" localSheetId="5">#REF!</definedName>
    <definedName name="shortterm">#REF!</definedName>
    <definedName name="sma">[6]Sheet4!$A$421:$Q$523</definedName>
    <definedName name="SNS" localSheetId="20">[26]acct!#REF!</definedName>
    <definedName name="SNS" localSheetId="17">[27]acct!#REF!</definedName>
    <definedName name="SNS" localSheetId="8">[26]acct!#REF!</definedName>
    <definedName name="SNS" localSheetId="2">[28]acct!#REF!</definedName>
    <definedName name="SNS" localSheetId="12">[26]acct!#REF!</definedName>
    <definedName name="SNS" localSheetId="13">[26]acct!#REF!</definedName>
    <definedName name="SNS" localSheetId="5">[26]acct!#REF!</definedName>
    <definedName name="SNS">[26]acct!#REF!</definedName>
    <definedName name="SOEILTOAC" localSheetId="18">#REF!</definedName>
    <definedName name="SOEILTOAC" localSheetId="19">#REF!</definedName>
    <definedName name="SOEILTOAC">#REF!</definedName>
    <definedName name="SOPLLOAC" localSheetId="18">#REF!</definedName>
    <definedName name="SOPLLOAC" localSheetId="19">#REF!</definedName>
    <definedName name="SOPLLOAC">#REF!</definedName>
    <definedName name="SOPYILTOAC" localSheetId="18">#REF!</definedName>
    <definedName name="SOPYILTOAC" localSheetId="19">#REF!</definedName>
    <definedName name="SOPYILTOAC">#REF!</definedName>
    <definedName name="SOTAX" localSheetId="18">#REF!</definedName>
    <definedName name="SOTAX" localSheetId="19">#REF!</definedName>
    <definedName name="SOTAX">#REF!</definedName>
    <definedName name="SOTOAC" localSheetId="18">#REF!</definedName>
    <definedName name="SOTOAC" localSheetId="19">#REF!</definedName>
    <definedName name="SOTOAC">#REF!</definedName>
    <definedName name="SR" localSheetId="20">#REF!</definedName>
    <definedName name="SR" localSheetId="17">#REF!</definedName>
    <definedName name="SR" localSheetId="8">#REF!</definedName>
    <definedName name="SR" localSheetId="12">#REF!</definedName>
    <definedName name="SR" localSheetId="13">#REF!</definedName>
    <definedName name="SR" localSheetId="5">#REF!</definedName>
    <definedName name="SR">#REF!</definedName>
    <definedName name="ss" localSheetId="17">[65]Lead!#REF!</definedName>
    <definedName name="SS" localSheetId="8" hidden="1">{#N/A,#N/A,FALSE,"dec98qtr";#N/A,#N/A,FALSE,"suppdecsep98";#N/A,#N/A,FALSE,"w-dec98"}</definedName>
    <definedName name="SS" localSheetId="2" hidden="1">{#N/A,#N/A,FALSE,"dec98qtr";#N/A,#N/A,FALSE,"suppdecsep98";#N/A,#N/A,FALSE,"w-dec98"}</definedName>
    <definedName name="SS" hidden="1">{#N/A,#N/A,FALSE,"dec98qtr";#N/A,#N/A,FALSE,"suppdecsep98";#N/A,#N/A,FALSE,"w-dec98"}</definedName>
    <definedName name="ssss" localSheetId="18">'[94]LOCAL STUDENTS'!#REF!</definedName>
    <definedName name="ssss" localSheetId="19">'[94]LOCAL STUDENTS'!#REF!</definedName>
    <definedName name="ssss">'[94]LOCAL STUDENTS'!#REF!</definedName>
    <definedName name="STATEMENT_OF_FUNDS_POSITION">[3]FundsNW!$A$3+[3]FundsNW!$A$2:$S$76</definedName>
    <definedName name="STIMV" localSheetId="18">'[80]F-B-21'!#REF!</definedName>
    <definedName name="STIMV" localSheetId="19">'[80]F-B-21'!#REF!</definedName>
    <definedName name="STIMV">'[80]F-B-21'!#REF!</definedName>
    <definedName name="Strat_1_Def" localSheetId="18">#REF!</definedName>
    <definedName name="Strat_1_Def" localSheetId="19">#REF!</definedName>
    <definedName name="Strat_1_Def">#REF!</definedName>
    <definedName name="Strat_1_It" localSheetId="18">#REF!</definedName>
    <definedName name="Strat_1_It" localSheetId="19">#REF!</definedName>
    <definedName name="Strat_1_It">#REF!</definedName>
    <definedName name="Strat_1_T" localSheetId="18">#REF!</definedName>
    <definedName name="Strat_1_T" localSheetId="19">#REF!</definedName>
    <definedName name="Strat_1_T">#REF!</definedName>
    <definedName name="Strat_2_Def" localSheetId="18">#REF!</definedName>
    <definedName name="Strat_2_Def" localSheetId="19">#REF!</definedName>
    <definedName name="Strat_2_Def">#REF!</definedName>
    <definedName name="Strat_2_It" localSheetId="18">#REF!</definedName>
    <definedName name="Strat_2_It" localSheetId="19">#REF!</definedName>
    <definedName name="Strat_2_It">#REF!</definedName>
    <definedName name="Strat_2_T" localSheetId="18">#REF!</definedName>
    <definedName name="Strat_2_T" localSheetId="19">#REF!</definedName>
    <definedName name="Strat_2_T">#REF!</definedName>
    <definedName name="Strat_Dec" localSheetId="18">#REF!</definedName>
    <definedName name="Strat_Dec" localSheetId="19">#REF!</definedName>
    <definedName name="Strat_Dec">#REF!</definedName>
    <definedName name="Strat_Def" localSheetId="18">#REF!</definedName>
    <definedName name="Strat_Def" localSheetId="19">#REF!</definedName>
    <definedName name="Strat_Def">#REF!</definedName>
    <definedName name="Strat_T_It" localSheetId="18">#REF!</definedName>
    <definedName name="Strat_T_It" localSheetId="19">#REF!</definedName>
    <definedName name="Strat_T_It">#REF!</definedName>
    <definedName name="Strat_T_T" localSheetId="18">#REF!</definedName>
    <definedName name="Strat_T_T" localSheetId="19">#REF!</definedName>
    <definedName name="Strat_T_T">#REF!</definedName>
    <definedName name="STT" localSheetId="20" hidden="1">#REF!</definedName>
    <definedName name="STT" localSheetId="17" hidden="1">#REF!</definedName>
    <definedName name="STT" localSheetId="8" hidden="1">#REF!</definedName>
    <definedName name="STT" localSheetId="12" hidden="1">#REF!</definedName>
    <definedName name="STT" localSheetId="13" hidden="1">#REF!</definedName>
    <definedName name="STT" localSheetId="5" hidden="1">#REF!</definedName>
    <definedName name="STT" hidden="1">#REF!</definedName>
    <definedName name="sum" localSheetId="20">#REF!</definedName>
    <definedName name="sum" localSheetId="17">#REF!</definedName>
    <definedName name="sum" localSheetId="8">#REF!</definedName>
    <definedName name="sum" localSheetId="12">#REF!</definedName>
    <definedName name="sum" localSheetId="13">#REF!</definedName>
    <definedName name="sum" localSheetId="5">#REF!</definedName>
    <definedName name="sum">#REF!</definedName>
    <definedName name="Summary" localSheetId="17">[52]Augbkp98!$BH$5:$BM$26</definedName>
    <definedName name="Summary">[52]Augbkp98!$BH$5:$BM$26</definedName>
    <definedName name="Summary_ApprovedUnapproved">'[31]CARs'' 99 Summary Info. (B&amp;A)'!$B$1:$M$52</definedName>
    <definedName name="sxcz" localSheetId="20">#REF!</definedName>
    <definedName name="sxcz" localSheetId="17">#REF!</definedName>
    <definedName name="sxcz" localSheetId="8">#REF!</definedName>
    <definedName name="sxcz" localSheetId="12">#REF!</definedName>
    <definedName name="sxcz" localSheetId="13">#REF!</definedName>
    <definedName name="sxcz" localSheetId="5">#REF!</definedName>
    <definedName name="sxcz">#REF!</definedName>
    <definedName name="T_BILLOWN" localSheetId="20">#REF!</definedName>
    <definedName name="T_BILLOWN" localSheetId="17">#REF!</definedName>
    <definedName name="T_BILLOWN" localSheetId="8">#REF!</definedName>
    <definedName name="T_BILLOWN" localSheetId="12">#REF!</definedName>
    <definedName name="T_BILLOWN" localSheetId="13">#REF!</definedName>
    <definedName name="T_BILLOWN" localSheetId="5">#REF!</definedName>
    <definedName name="T_BILLOWN">#REF!</definedName>
    <definedName name="T_BILLREPO" localSheetId="20">'[95]T-BILL'!#REF!</definedName>
    <definedName name="T_BILLREPO" localSheetId="17">#REF!</definedName>
    <definedName name="T_BILLREPO" localSheetId="8">'[95]T-BILL'!#REF!</definedName>
    <definedName name="T_BILLREPO" localSheetId="12">'[95]T-BILL'!#REF!</definedName>
    <definedName name="T_BILLREPO" localSheetId="13">'[95]T-BILL'!#REF!</definedName>
    <definedName name="T_BILLREPO" localSheetId="5">'[95]T-BILL'!#REF!</definedName>
    <definedName name="T_BILLREPO">'[95]T-BILL'!#REF!</definedName>
    <definedName name="TA" localSheetId="18">#REF!</definedName>
    <definedName name="TA" localSheetId="19">#REF!</definedName>
    <definedName name="TA">#REF!</definedName>
    <definedName name="TableName">"Dummy"</definedName>
    <definedName name="talha" localSheetId="17" hidden="1">{"'CALL MONEY'!$K$53"}</definedName>
    <definedName name="talha" localSheetId="8" hidden="1">{"'CALL MONEY'!$K$53"}</definedName>
    <definedName name="talha" hidden="1">{"'CALL MONEY'!$K$53"}</definedName>
    <definedName name="tam" localSheetId="18" hidden="1">#REF!</definedName>
    <definedName name="tam" localSheetId="19" hidden="1">#REF!</definedName>
    <definedName name="tam" hidden="1">#REF!</definedName>
    <definedName name="TAWANA" localSheetId="18">#REF!</definedName>
    <definedName name="TAWANA" localSheetId="19">#REF!</definedName>
    <definedName name="TAWANA">#REF!</definedName>
    <definedName name="tAX" localSheetId="20">[26]acct!#REF!</definedName>
    <definedName name="tAX" localSheetId="17">[27]acct!#REF!</definedName>
    <definedName name="tAX" localSheetId="8">[26]acct!#REF!</definedName>
    <definedName name="tAX" localSheetId="2">[28]acct!#REF!</definedName>
    <definedName name="tAX" localSheetId="12">[26]acct!#REF!</definedName>
    <definedName name="tAX" localSheetId="13">[26]acct!#REF!</definedName>
    <definedName name="tAX" localSheetId="5">[26]acct!#REF!</definedName>
    <definedName name="tAX">[26]acct!#REF!</definedName>
    <definedName name="TAX_AND_WWF" localSheetId="20">#REF!</definedName>
    <definedName name="TAX_AND_WWF" localSheetId="17">#REF!</definedName>
    <definedName name="TAX_AND_WWF" localSheetId="8">#REF!</definedName>
    <definedName name="TAX_AND_WWF" localSheetId="2">#REF!</definedName>
    <definedName name="TAX_AND_WWF" localSheetId="12">#REF!</definedName>
    <definedName name="TAX_AND_WWF" localSheetId="13">#REF!</definedName>
    <definedName name="TAX_AND_WWF" localSheetId="5">#REF!</definedName>
    <definedName name="TAX_AND_WWF">#REF!</definedName>
    <definedName name="TAX_DEP_SCHD" localSheetId="20">#REF!</definedName>
    <definedName name="TAX_DEP_SCHD" localSheetId="17">#REF!</definedName>
    <definedName name="TAX_DEP_SCHD" localSheetId="8">#REF!</definedName>
    <definedName name="TAX_DEP_SCHD" localSheetId="2">#REF!</definedName>
    <definedName name="TAX_DEP_SCHD" localSheetId="12">#REF!</definedName>
    <definedName name="TAX_DEP_SCHD" localSheetId="13">#REF!</definedName>
    <definedName name="TAX_DEP_SCHD" localSheetId="5">#REF!</definedName>
    <definedName name="TAX_DEP_SCHD">#REF!</definedName>
    <definedName name="Taxation" localSheetId="17" hidden="1">{"Sales 2",#N/A,FALSE,"SALES";"Transfer 2",#N/A,FALSE,"TRANSFERS";"A1460",#N/A,FALSE,"A1460"}</definedName>
    <definedName name="Taxation" localSheetId="8" hidden="1">{"Sales 2",#N/A,FALSE,"SALES";"Transfer 2",#N/A,FALSE,"TRANSFERS";"A1460",#N/A,FALSE,"A1460"}</definedName>
    <definedName name="Taxation" localSheetId="2" hidden="1">{"Sales 2",#N/A,FALSE,"SALES";"Transfer 2",#N/A,FALSE,"TRANSFERS";"A1460",#N/A,FALSE,"A1460"}</definedName>
    <definedName name="Taxation" hidden="1">{"Sales 2",#N/A,FALSE,"SALES";"Transfer 2",#N/A,FALSE,"TRANSFERS";"A1460",#N/A,FALSE,"A1460"}</definedName>
    <definedName name="TB" localSheetId="20" hidden="1">#REF!</definedName>
    <definedName name="TB" localSheetId="17" hidden="1">#REF!</definedName>
    <definedName name="TB" localSheetId="8" hidden="1">#REF!</definedName>
    <definedName name="TB" localSheetId="2" hidden="1">#REF!</definedName>
    <definedName name="TB" localSheetId="12" hidden="1">#REF!</definedName>
    <definedName name="TB" localSheetId="13" hidden="1">#REF!</definedName>
    <definedName name="TB" localSheetId="5" hidden="1">#REF!</definedName>
    <definedName name="TB" hidden="1">#REF!</definedName>
    <definedName name="TECH_OPS" localSheetId="17">[52]Augbkp98!$I$6:$X$25</definedName>
    <definedName name="TECH_OPS">[52]Augbkp98!$I$6:$X$25</definedName>
    <definedName name="TELEC" localSheetId="18">#REF!</definedName>
    <definedName name="TELEC" localSheetId="19">#REF!</definedName>
    <definedName name="TELEC">#REF!</definedName>
    <definedName name="Test_ND" localSheetId="18">#REF!</definedName>
    <definedName name="Test_ND" localSheetId="19">#REF!</definedName>
    <definedName name="Test_ND">#REF!</definedName>
    <definedName name="Test_Proj_Mis" localSheetId="18">#REF!</definedName>
    <definedName name="Test_Proj_Mis" localSheetId="19">#REF!</definedName>
    <definedName name="Test_Proj_Mis">#REF!</definedName>
    <definedName name="Test_Targ" localSheetId="18">#REF!</definedName>
    <definedName name="Test_Targ" localSheetId="19">#REF!</definedName>
    <definedName name="Test_Targ">#REF!</definedName>
    <definedName name="Test_Total_T" localSheetId="18">#REF!</definedName>
    <definedName name="Test_Total_T" localSheetId="19">#REF!</definedName>
    <definedName name="Test_Total_T">#REF!</definedName>
    <definedName name="TEXT" localSheetId="18">#REF!</definedName>
    <definedName name="TEXT" localSheetId="19">#REF!</definedName>
    <definedName name="TEXT">#REF!</definedName>
    <definedName name="TextRefCopy1" localSheetId="20">#REF!</definedName>
    <definedName name="TextRefCopy1" localSheetId="17">#REF!</definedName>
    <definedName name="TextRefCopy1" localSheetId="8">#REF!</definedName>
    <definedName name="TextRefCopy1" localSheetId="12">#REF!</definedName>
    <definedName name="TextRefCopy1" localSheetId="13">#REF!</definedName>
    <definedName name="TextRefCopy1" localSheetId="5">#REF!</definedName>
    <definedName name="TextRefCopy1">#REF!</definedName>
    <definedName name="TextRefCopy1_1" localSheetId="20">#REF!</definedName>
    <definedName name="TextRefCopy1_1" localSheetId="17">#REF!</definedName>
    <definedName name="TextRefCopy1_1" localSheetId="8">#REF!</definedName>
    <definedName name="TextRefCopy1_1" localSheetId="12">#REF!</definedName>
    <definedName name="TextRefCopy1_1" localSheetId="13">#REF!</definedName>
    <definedName name="TextRefCopy1_1" localSheetId="5">#REF!</definedName>
    <definedName name="TextRefCopy1_1">#REF!</definedName>
    <definedName name="TextRefCopy1_20" localSheetId="20">#REF!</definedName>
    <definedName name="TextRefCopy1_20" localSheetId="17">#REF!</definedName>
    <definedName name="TextRefCopy1_20" localSheetId="8">#REF!</definedName>
    <definedName name="TextRefCopy1_20" localSheetId="12">#REF!</definedName>
    <definedName name="TextRefCopy1_20" localSheetId="13">#REF!</definedName>
    <definedName name="TextRefCopy1_20" localSheetId="5">#REF!</definedName>
    <definedName name="TextRefCopy1_20">#REF!</definedName>
    <definedName name="TextRefCopy1_21" localSheetId="20">#REF!</definedName>
    <definedName name="TextRefCopy1_21" localSheetId="17">#REF!</definedName>
    <definedName name="TextRefCopy1_21" localSheetId="8">#REF!</definedName>
    <definedName name="TextRefCopy1_21" localSheetId="12">#REF!</definedName>
    <definedName name="TextRefCopy1_21" localSheetId="13">#REF!</definedName>
    <definedName name="TextRefCopy1_21" localSheetId="5">#REF!</definedName>
    <definedName name="TextRefCopy1_21">#REF!</definedName>
    <definedName name="TextRefCopy1_23" localSheetId="20">#REF!</definedName>
    <definedName name="TextRefCopy1_23" localSheetId="17">#REF!</definedName>
    <definedName name="TextRefCopy1_23" localSheetId="8">#REF!</definedName>
    <definedName name="TextRefCopy1_23" localSheetId="12">#REF!</definedName>
    <definedName name="TextRefCopy1_23" localSheetId="13">#REF!</definedName>
    <definedName name="TextRefCopy1_23" localSheetId="5">#REF!</definedName>
    <definedName name="TextRefCopy1_23">#REF!</definedName>
    <definedName name="TextRefCopy1_5" localSheetId="20">#REF!</definedName>
    <definedName name="TextRefCopy1_5" localSheetId="17">#REF!</definedName>
    <definedName name="TextRefCopy1_5" localSheetId="8">#REF!</definedName>
    <definedName name="TextRefCopy1_5" localSheetId="12">#REF!</definedName>
    <definedName name="TextRefCopy1_5" localSheetId="13">#REF!</definedName>
    <definedName name="TextRefCopy1_5" localSheetId="5">#REF!</definedName>
    <definedName name="TextRefCopy1_5">#REF!</definedName>
    <definedName name="TextRefCopy1_8" localSheetId="20">#REF!</definedName>
    <definedName name="TextRefCopy1_8" localSheetId="17">#REF!</definedName>
    <definedName name="TextRefCopy1_8" localSheetId="8">#REF!</definedName>
    <definedName name="TextRefCopy1_8" localSheetId="12">#REF!</definedName>
    <definedName name="TextRefCopy1_8" localSheetId="13">#REF!</definedName>
    <definedName name="TextRefCopy1_8" localSheetId="5">#REF!</definedName>
    <definedName name="TextRefCopy1_8">#REF!</definedName>
    <definedName name="TextRefCopy10" localSheetId="18">#REF!</definedName>
    <definedName name="TextRefCopy10" localSheetId="19">#REF!</definedName>
    <definedName name="TextRefCopy10">#REF!</definedName>
    <definedName name="TextRefCopy11" localSheetId="18">'[96]6.Summary of Capital Gain'!$O$78</definedName>
    <definedName name="TextRefCopy11" localSheetId="19">'[96]6.Summary of Capital Gain'!$O$78</definedName>
    <definedName name="TextRefCopy11">'[97]6.Summary of Capital Gain'!$O$78</definedName>
    <definedName name="TextRefCopy12" localSheetId="18">#REF!</definedName>
    <definedName name="TextRefCopy12" localSheetId="19">#REF!</definedName>
    <definedName name="TextRefCopy12">#REF!</definedName>
    <definedName name="TextRefCopy14" localSheetId="18">'[98]8.1 old'!#REF!</definedName>
    <definedName name="TextRefCopy14" localSheetId="19">'[98]8.1 old'!#REF!</definedName>
    <definedName name="TextRefCopy14">'[99]8.1 old'!#REF!</definedName>
    <definedName name="TextRefCopy15" localSheetId="18">'[98]8.1 old'!$K$121</definedName>
    <definedName name="TextRefCopy15" localSheetId="19">'[98]8.1 old'!$K$121</definedName>
    <definedName name="TextRefCopy15">'[99]8.1 old'!$K$121</definedName>
    <definedName name="TextRefCopy16" localSheetId="18">'[98]8.1 old'!#REF!</definedName>
    <definedName name="TextRefCopy16" localSheetId="19">'[98]8.1 old'!#REF!</definedName>
    <definedName name="TextRefCopy16">'[99]8.1 old'!#REF!</definedName>
    <definedName name="TextRefCopy19" localSheetId="17">[100]IS!$F$26</definedName>
    <definedName name="TextRefCopy19">[101]IS!$F$26</definedName>
    <definedName name="TextRefCopy2" localSheetId="18">#REF!</definedName>
    <definedName name="TextRefCopy2" localSheetId="19">#REF!</definedName>
    <definedName name="TextRefCopy2">#REF!</definedName>
    <definedName name="TextRefCopy3" localSheetId="18">[102]S1!#REF!</definedName>
    <definedName name="TextRefCopy3" localSheetId="19">[102]S1!#REF!</definedName>
    <definedName name="TextRefCopy3">[102]S1!#REF!</definedName>
    <definedName name="TextRefCopy31" localSheetId="18">'[98]8.1 old'!#REF!</definedName>
    <definedName name="TextRefCopy31" localSheetId="19">'[98]8.1 old'!#REF!</definedName>
    <definedName name="TextRefCopy31">'[99]8.1 old'!#REF!</definedName>
    <definedName name="TextRefCopy6" localSheetId="18">[103]S1!#REF!</definedName>
    <definedName name="TextRefCopy6" localSheetId="19">[103]S1!#REF!</definedName>
    <definedName name="TextRefCopy6">[103]S1!#REF!</definedName>
    <definedName name="TextRefCopy7" localSheetId="18">#REF!</definedName>
    <definedName name="TextRefCopy7" localSheetId="19">#REF!</definedName>
    <definedName name="TextRefCopy7">#REF!</definedName>
    <definedName name="TextRefCopyRangeCount" localSheetId="17" hidden="1">1</definedName>
    <definedName name="TextRefCopyRangeCount" hidden="1">1</definedName>
    <definedName name="TEZT" localSheetId="18">#REF!</definedName>
    <definedName name="TEZT" localSheetId="19">#REF!</definedName>
    <definedName name="TEZT">#REF!</definedName>
    <definedName name="tfc" localSheetId="17" hidden="1">{"'CALL MONEY'!$K$53"}</definedName>
    <definedName name="tfc" localSheetId="8" hidden="1">{"'CALL MONEY'!$K$53"}</definedName>
    <definedName name="tfc" hidden="1">{"'CALL MONEY'!$K$53"}</definedName>
    <definedName name="thirdparty" localSheetId="18">#REF!</definedName>
    <definedName name="thirdparty" localSheetId="19">#REF!</definedName>
    <definedName name="thirdparty">#REF!</definedName>
    <definedName name="thuchut" localSheetId="18">#REF!</definedName>
    <definedName name="thuchut" localSheetId="19">#REF!</definedName>
    <definedName name="thuchut">#REF!</definedName>
    <definedName name="Title" localSheetId="20">#REF!</definedName>
    <definedName name="Title" localSheetId="17">#REF!</definedName>
    <definedName name="Title" localSheetId="8">#REF!</definedName>
    <definedName name="Title" localSheetId="12">#REF!</definedName>
    <definedName name="Title" localSheetId="13">#REF!</definedName>
    <definedName name="Title" localSheetId="5">#REF!</definedName>
    <definedName name="Title">#REF!</definedName>
    <definedName name="TITLE_FINAL_A_C" localSheetId="20">#REF!</definedName>
    <definedName name="TITLE_FINAL_A_C" localSheetId="17">#REF!</definedName>
    <definedName name="TITLE_FINAL_A_C" localSheetId="8">#REF!</definedName>
    <definedName name="TITLE_FINAL_A_C" localSheetId="2">#REF!</definedName>
    <definedName name="TITLE_FINAL_A_C" localSheetId="12">#REF!</definedName>
    <definedName name="TITLE_FINAL_A_C" localSheetId="13">#REF!</definedName>
    <definedName name="TITLE_FINAL_A_C" localSheetId="5">#REF!</definedName>
    <definedName name="TITLE_FINAL_A_C">#REF!</definedName>
    <definedName name="TITLE_HALF_YEAR" localSheetId="20">#REF!</definedName>
    <definedName name="TITLE_HALF_YEAR" localSheetId="17">#REF!</definedName>
    <definedName name="TITLE_HALF_YEAR" localSheetId="8">#REF!</definedName>
    <definedName name="TITLE_HALF_YEAR" localSheetId="2">#REF!</definedName>
    <definedName name="TITLE_HALF_YEAR" localSheetId="12">#REF!</definedName>
    <definedName name="TITLE_HALF_YEAR" localSheetId="13">#REF!</definedName>
    <definedName name="TITLE_HALF_YEAR" localSheetId="5">#REF!</definedName>
    <definedName name="TITLE_HALF_YEAR">#REF!</definedName>
    <definedName name="TOTAL" localSheetId="20">#REF!</definedName>
    <definedName name="TOTAL" localSheetId="17">#REF!</definedName>
    <definedName name="TOTAL" localSheetId="8">#REF!</definedName>
    <definedName name="TOTAL" localSheetId="12">#REF!</definedName>
    <definedName name="TOTAL" localSheetId="13">#REF!</definedName>
    <definedName name="TOTAL" localSheetId="5">#REF!</definedName>
    <definedName name="TOTAL">#REF!</definedName>
    <definedName name="TotalCARs98" localSheetId="18">#REF!</definedName>
    <definedName name="TotalCARs98" localSheetId="19">#REF!</definedName>
    <definedName name="TotalCARs98">#REF!</definedName>
    <definedName name="TRADE" localSheetId="18">#REF!</definedName>
    <definedName name="TRADE" localSheetId="19">#REF!</definedName>
    <definedName name="TRADE">#REF!</definedName>
    <definedName name="TRF" localSheetId="20">'[4]last qrt2001'!#REF!</definedName>
    <definedName name="TRF" localSheetId="17">'[4]last qrt2001'!#REF!</definedName>
    <definedName name="TRF" localSheetId="8">'[4]last qrt2001'!#REF!</definedName>
    <definedName name="TRF" localSheetId="12">'[4]last qrt2001'!#REF!</definedName>
    <definedName name="TRF" localSheetId="13">'[4]last qrt2001'!#REF!</definedName>
    <definedName name="TRF" localSheetId="5">'[4]last qrt2001'!#REF!</definedName>
    <definedName name="TRF">'[4]last qrt2001'!#REF!</definedName>
    <definedName name="TTFCR" localSheetId="18">#REF!</definedName>
    <definedName name="TTFCR" localSheetId="19">#REF!</definedName>
    <definedName name="TTFCR">#REF!</definedName>
    <definedName name="ttt" localSheetId="20" hidden="1">#REF!</definedName>
    <definedName name="ttt" localSheetId="17" hidden="1">#REF!</definedName>
    <definedName name="ttt" localSheetId="8" hidden="1">#REF!</definedName>
    <definedName name="ttt" localSheetId="12" hidden="1">#REF!</definedName>
    <definedName name="ttt" localSheetId="13" hidden="1">#REF!</definedName>
    <definedName name="ttt" localSheetId="5" hidden="1">#REF!</definedName>
    <definedName name="ttt" hidden="1">#REF!</definedName>
    <definedName name="TURNOVER" localSheetId="18">#REF!</definedName>
    <definedName name="TURNOVER" localSheetId="19">#REF!</definedName>
    <definedName name="TURNOVER">#REF!</definedName>
    <definedName name="uae">[37]UAE!$A$8:$G$29</definedName>
    <definedName name="ubl" localSheetId="20">#REF!</definedName>
    <definedName name="ubl" localSheetId="17">#REF!</definedName>
    <definedName name="ubl" localSheetId="8">#REF!</definedName>
    <definedName name="ubl" localSheetId="12">#REF!</definedName>
    <definedName name="ubl" localSheetId="13">#REF!</definedName>
    <definedName name="ubl" localSheetId="5">#REF!</definedName>
    <definedName name="ubl">#REF!</definedName>
    <definedName name="ublbs" localSheetId="20">#REF!</definedName>
    <definedName name="ublbs" localSheetId="17">#REF!</definedName>
    <definedName name="ublbs" localSheetId="8">#REF!</definedName>
    <definedName name="ublbs" localSheetId="12">#REF!</definedName>
    <definedName name="ublbs" localSheetId="13">#REF!</definedName>
    <definedName name="ublbs" localSheetId="5">#REF!</definedName>
    <definedName name="ublbs">#REF!</definedName>
    <definedName name="UCD" localSheetId="18">'[80]F-B-3'!#REF!</definedName>
    <definedName name="UCD" localSheetId="19">'[80]F-B-3'!#REF!</definedName>
    <definedName name="UCD">'[80]F-B-3'!#REF!</definedName>
    <definedName name="UCR" localSheetId="18">'[80]F-B-4'!#REF!</definedName>
    <definedName name="UCR" localSheetId="19">'[80]F-B-4'!#REF!</definedName>
    <definedName name="UCR">'[80]F-B-4'!#REF!</definedName>
    <definedName name="UHFFF" localSheetId="18">#REF!</definedName>
    <definedName name="UHFFF" localSheetId="19">#REF!</definedName>
    <definedName name="UHFFF">#REF!</definedName>
    <definedName name="Unapproved_summary">'[31]CARs'' 99 Summary Info. (B&amp;A)'!$B$107:$M$158</definedName>
    <definedName name="UnApproved98" localSheetId="18">#REF!</definedName>
    <definedName name="UnApproved98" localSheetId="19">#REF!</definedName>
    <definedName name="UnApproved98">#REF!</definedName>
    <definedName name="Units" localSheetId="20">#REF!</definedName>
    <definedName name="Units" localSheetId="17">#REF!</definedName>
    <definedName name="Units" localSheetId="8">#REF!</definedName>
    <definedName name="Units" localSheetId="2">#REF!</definedName>
    <definedName name="Units" localSheetId="12">#REF!</definedName>
    <definedName name="Units" localSheetId="13">#REF!</definedName>
    <definedName name="Units" localSheetId="5">#REF!</definedName>
    <definedName name="Units">#REF!</definedName>
    <definedName name="usman" localSheetId="20">#REF!</definedName>
    <definedName name="usman" localSheetId="17">#REF!</definedName>
    <definedName name="usman" localSheetId="8">#REF!</definedName>
    <definedName name="usman" localSheetId="12">#REF!</definedName>
    <definedName name="usman" localSheetId="13">#REF!</definedName>
    <definedName name="usman" localSheetId="5">#REF!</definedName>
    <definedName name="usman">#REF!</definedName>
    <definedName name="UT" localSheetId="20" hidden="1">#REF!</definedName>
    <definedName name="UT" localSheetId="17" hidden="1">#REF!</definedName>
    <definedName name="UT" localSheetId="8" hidden="1">#REF!</definedName>
    <definedName name="UT" localSheetId="12" hidden="1">#REF!</definedName>
    <definedName name="UT" localSheetId="13" hidden="1">#REF!</definedName>
    <definedName name="UT" localSheetId="5" hidden="1">#REF!</definedName>
    <definedName name="UT" hidden="1">#REF!</definedName>
    <definedName name="VehicleType">[104]Sheet1!$A$4:$A$20</definedName>
    <definedName name="W" localSheetId="20">#REF!</definedName>
    <definedName name="W" localSheetId="17">#REF!</definedName>
    <definedName name="W" localSheetId="8">#REF!</definedName>
    <definedName name="W" localSheetId="12">#REF!</definedName>
    <definedName name="W" localSheetId="13">#REF!</definedName>
    <definedName name="W" localSheetId="5">#REF!</definedName>
    <definedName name="W">#REF!</definedName>
    <definedName name="WORKING_F_A_C" localSheetId="20">#REF!</definedName>
    <definedName name="WORKING_F_A_C" localSheetId="17">#REF!</definedName>
    <definedName name="WORKING_F_A_C" localSheetId="8">#REF!</definedName>
    <definedName name="WORKING_F_A_C" localSheetId="2">#REF!</definedName>
    <definedName name="WORKING_F_A_C" localSheetId="12">#REF!</definedName>
    <definedName name="WORKING_F_A_C" localSheetId="13">#REF!</definedName>
    <definedName name="WORKING_F_A_C" localSheetId="5">#REF!</definedName>
    <definedName name="WORKING_F_A_C">#REF!</definedName>
    <definedName name="wrn.3." localSheetId="17" hidden="1">{#N/A,#N/A,FALSE,"dec98qtr";#N/A,#N/A,FALSE,"suppdecsep98";#N/A,#N/A,FALSE,"w-dec98"}</definedName>
    <definedName name="wrn.3." localSheetId="8" hidden="1">{#N/A,#N/A,FALSE,"dec98qtr";#N/A,#N/A,FALSE,"suppdecsep98";#N/A,#N/A,FALSE,"w-dec98"}</definedName>
    <definedName name="wrn.3." localSheetId="2" hidden="1">{#N/A,#N/A,FALSE,"dec98qtr";#N/A,#N/A,FALSE,"suppdecsep98";#N/A,#N/A,FALSE,"w-dec98"}</definedName>
    <definedName name="wrn.3." hidden="1">{#N/A,#N/A,FALSE,"dec98qtr";#N/A,#N/A,FALSE,"suppdecsep98";#N/A,#N/A,FALSE,"w-dec98"}</definedName>
    <definedName name="wrn.asif" localSheetId="17" hidden="1">{"MSS",#N/A,FALSE,"MSS";"ProdSA",#N/A,FALSE,"ProdSA";"Sales 1",#N/A,FALSE,"SALES";"Transfer 1",#N/A,FALSE,"TRANSFERS"}</definedName>
    <definedName name="wrn.asif" localSheetId="8" hidden="1">{"MSS",#N/A,FALSE,"MSS";"ProdSA",#N/A,FALSE,"ProdSA";"Sales 1",#N/A,FALSE,"SALES";"Transfer 1",#N/A,FALSE,"TRANSFERS"}</definedName>
    <definedName name="wrn.asif" localSheetId="2" hidden="1">{"MSS",#N/A,FALSE,"MSS";"ProdSA",#N/A,FALSE,"ProdSA";"Sales 1",#N/A,FALSE,"SALES";"Transfer 1",#N/A,FALSE,"TRANSFERS"}</definedName>
    <definedName name="wrn.asif" hidden="1">{"MSS",#N/A,FALSE,"MSS";"ProdSA",#N/A,FALSE,"ProdSA";"Sales 1",#N/A,FALSE,"SALES";"Transfer 1",#N/A,FALSE,"TRANSFERS"}</definedName>
    <definedName name="wrn.Hanif." localSheetId="17" hidden="1">{"MSS",#N/A,FALSE,"MSS";"ProdSA",#N/A,FALSE,"ProdSA";"Sales 1",#N/A,FALSE,"SALES";"Transfer 1",#N/A,FALSE,"TRANSFERS"}</definedName>
    <definedName name="wrn.Hanif." localSheetId="8" hidden="1">{"MSS",#N/A,FALSE,"MSS";"ProdSA",#N/A,FALSE,"ProdSA";"Sales 1",#N/A,FALSE,"SALES";"Transfer 1",#N/A,FALSE,"TRANSFERS"}</definedName>
    <definedName name="wrn.Hanif." localSheetId="2" hidden="1">{"MSS",#N/A,FALSE,"MSS";"ProdSA",#N/A,FALSE,"ProdSA";"Sales 1",#N/A,FALSE,"SALES";"Transfer 1",#N/A,FALSE,"TRANSFERS"}</definedName>
    <definedName name="wrn.Hanif." hidden="1">{"MSS",#N/A,FALSE,"MSS";"ProdSA",#N/A,FALSE,"ProdSA";"Sales 1",#N/A,FALSE,"SALES";"Transfer 1",#N/A,FALSE,"TRANSFERS"}</definedName>
    <definedName name="wrn.Mohsin." localSheetId="17" hidden="1">{"Sales 2",#N/A,FALSE,"SALES";"Transfer 2",#N/A,FALSE,"TRANSFERS";"A1460",#N/A,FALSE,"A1460"}</definedName>
    <definedName name="wrn.Mohsin." localSheetId="8" hidden="1">{"Sales 2",#N/A,FALSE,"SALES";"Transfer 2",#N/A,FALSE,"TRANSFERS";"A1460",#N/A,FALSE,"A1460"}</definedName>
    <definedName name="wrn.Mohsin." localSheetId="2" hidden="1">{"Sales 2",#N/A,FALSE,"SALES";"Transfer 2",#N/A,FALSE,"TRANSFERS";"A1460",#N/A,FALSE,"A1460"}</definedName>
    <definedName name="wrn.Mohsin." hidden="1">{"Sales 2",#N/A,FALSE,"SALES";"Transfer 2",#N/A,FALSE,"TRANSFERS";"A1460",#N/A,FALSE,"A1460"}</definedName>
    <definedName name="wsx" localSheetId="17" hidden="1">{"'CALL MONEY'!$K$53"}</definedName>
    <definedName name="wsx" localSheetId="8" hidden="1">{"'CALL MONEY'!$K$53"}</definedName>
    <definedName name="wsx" hidden="1">{"'CALL MONEY'!$K$53"}</definedName>
    <definedName name="WWW" localSheetId="17" hidden="1">{#N/A,#N/A,FALSE,"dec98qtr";#N/A,#N/A,FALSE,"suppdecsep98";#N/A,#N/A,FALSE,"w-dec98"}</definedName>
    <definedName name="WWW" localSheetId="8" hidden="1">{#N/A,#N/A,FALSE,"dec98qtr";#N/A,#N/A,FALSE,"suppdecsep98";#N/A,#N/A,FALSE,"w-dec98"}</definedName>
    <definedName name="WWW" localSheetId="2" hidden="1">{#N/A,#N/A,FALSE,"dec98qtr";#N/A,#N/A,FALSE,"suppdecsep98";#N/A,#N/A,FALSE,"w-dec98"}</definedName>
    <definedName name="WWW" hidden="1">{#N/A,#N/A,FALSE,"dec98qtr";#N/A,#N/A,FALSE,"suppdecsep98";#N/A,#N/A,FALSE,"w-dec98"}</definedName>
    <definedName name="www\" localSheetId="18">#REF!</definedName>
    <definedName name="www\" localSheetId="19">#REF!</definedName>
    <definedName name="www\">#REF!</definedName>
    <definedName name="wwwwww" localSheetId="20">#REF!</definedName>
    <definedName name="wwwwww" localSheetId="17">#REF!</definedName>
    <definedName name="wwwwww" localSheetId="8">#REF!</definedName>
    <definedName name="wwwwww" localSheetId="12">#REF!</definedName>
    <definedName name="wwwwww" localSheetId="13">#REF!</definedName>
    <definedName name="wwwwww" localSheetId="5">#REF!</definedName>
    <definedName name="wwwwww">#REF!</definedName>
    <definedName name="X" localSheetId="20">#REF!</definedName>
    <definedName name="X" localSheetId="17">#REF!</definedName>
    <definedName name="X" localSheetId="8">#REF!</definedName>
    <definedName name="X" localSheetId="12">#REF!</definedName>
    <definedName name="X" localSheetId="13">#REF!</definedName>
    <definedName name="X" localSheetId="5">#REF!</definedName>
    <definedName name="X">#REF!</definedName>
    <definedName name="X_B_S_MIS" localSheetId="20">'[35]Balance Sheet'!#REF!</definedName>
    <definedName name="X_B_S_MIS" localSheetId="17">'[35]Balance Sheet'!#REF!</definedName>
    <definedName name="X_B_S_MIS" localSheetId="8">'[35]Balance Sheet'!#REF!</definedName>
    <definedName name="X_B_S_MIS" localSheetId="2">'[35]Balance Sheet'!#REF!</definedName>
    <definedName name="X_B_S_MIS" localSheetId="12">'[35]Balance Sheet'!#REF!</definedName>
    <definedName name="X_B_S_MIS" localSheetId="13">'[35]Balance Sheet'!#REF!</definedName>
    <definedName name="X_B_S_MIS" localSheetId="5">'[35]Balance Sheet'!#REF!</definedName>
    <definedName name="X_B_S_MIS">'[35]Balance Sheet'!#REF!</definedName>
    <definedName name="X_FASSETS_MIS" localSheetId="20">#REF!</definedName>
    <definedName name="X_FASSETS_MIS" localSheetId="17">#REF!</definedName>
    <definedName name="X_FASSETS_MIS" localSheetId="8">#REF!</definedName>
    <definedName name="X_FASSETS_MIS" localSheetId="2">#REF!</definedName>
    <definedName name="X_FASSETS_MIS" localSheetId="12">#REF!</definedName>
    <definedName name="X_FASSETS_MIS" localSheetId="13">#REF!</definedName>
    <definedName name="X_FASSETS_MIS" localSheetId="5">#REF!</definedName>
    <definedName name="X_FASSETS_MIS">#REF!</definedName>
    <definedName name="X_FEXCHG_MIS" localSheetId="20">#REF!</definedName>
    <definedName name="X_FEXCHG_MIS" localSheetId="17">#REF!</definedName>
    <definedName name="X_FEXCHG_MIS" localSheetId="8">#REF!</definedName>
    <definedName name="X_FEXCHG_MIS" localSheetId="2">#REF!</definedName>
    <definedName name="X_FEXCHG_MIS" localSheetId="12">#REF!</definedName>
    <definedName name="X_FEXCHG_MIS" localSheetId="13">#REF!</definedName>
    <definedName name="X_FEXCHG_MIS" localSheetId="5">#REF!</definedName>
    <definedName name="X_FEXCHG_MIS">#REF!</definedName>
    <definedName name="X_HD_MIS" localSheetId="20">#REF!</definedName>
    <definedName name="X_HD_MIS" localSheetId="17">#REF!</definedName>
    <definedName name="X_HD_MIS" localSheetId="8">#REF!</definedName>
    <definedName name="X_HD_MIS" localSheetId="2">#REF!</definedName>
    <definedName name="X_HD_MIS" localSheetId="12">#REF!</definedName>
    <definedName name="X_HD_MIS" localSheetId="13">#REF!</definedName>
    <definedName name="X_HD_MIS" localSheetId="5">#REF!</definedName>
    <definedName name="X_HD_MIS">#REF!</definedName>
    <definedName name="X_MIS_REPORT_2" localSheetId="20">#REF!</definedName>
    <definedName name="X_MIS_REPORT_2" localSheetId="17">#REF!</definedName>
    <definedName name="X_MIS_REPORT_2" localSheetId="8">#REF!</definedName>
    <definedName name="X_MIS_REPORT_2" localSheetId="2">#REF!</definedName>
    <definedName name="X_MIS_REPORT_2" localSheetId="12">#REF!</definedName>
    <definedName name="X_MIS_REPORT_2" localSheetId="13">#REF!</definedName>
    <definedName name="X_MIS_REPORT_2" localSheetId="5">#REF!</definedName>
    <definedName name="X_MIS_REPORT_2">#REF!</definedName>
    <definedName name="X_P_L_MIS" localSheetId="20">#REF!</definedName>
    <definedName name="X_P_L_MIS" localSheetId="17">#REF!</definedName>
    <definedName name="X_P_L_MIS" localSheetId="8">#REF!</definedName>
    <definedName name="X_P_L_MIS" localSheetId="2">#REF!</definedName>
    <definedName name="X_P_L_MIS" localSheetId="12">#REF!</definedName>
    <definedName name="X_P_L_MIS" localSheetId="13">#REF!</definedName>
    <definedName name="X_P_L_MIS" localSheetId="5">#REF!</definedName>
    <definedName name="X_P_L_MIS">#REF!</definedName>
    <definedName name="X_PROF_RECON" localSheetId="20">[32]ProfitProv!#REF!</definedName>
    <definedName name="X_PROF_RECON" localSheetId="17">[32]ProfitProv!#REF!</definedName>
    <definedName name="X_PROF_RECON" localSheetId="8">[32]ProfitProv!#REF!</definedName>
    <definedName name="X_PROF_RECON" localSheetId="2">[32]ProfitProv!#REF!</definedName>
    <definedName name="X_PROF_RECON" localSheetId="12">[32]ProfitProv!#REF!</definedName>
    <definedName name="X_PROF_RECON" localSheetId="13">[32]ProfitProv!#REF!</definedName>
    <definedName name="X_PROF_RECON" localSheetId="5">[32]ProfitProv!#REF!</definedName>
    <definedName name="X_PROF_RECON">[32]ProfitProv!#REF!</definedName>
    <definedName name="X_TITLE_MIS" localSheetId="20">#REF!</definedName>
    <definedName name="X_TITLE_MIS" localSheetId="17">#REF!</definedName>
    <definedName name="X_TITLE_MIS" localSheetId="8">#REF!</definedName>
    <definedName name="X_TITLE_MIS" localSheetId="2">#REF!</definedName>
    <definedName name="X_TITLE_MIS" localSheetId="12">#REF!</definedName>
    <definedName name="X_TITLE_MIS" localSheetId="13">#REF!</definedName>
    <definedName name="X_TITLE_MIS" localSheetId="5">#REF!</definedName>
    <definedName name="X_TITLE_MIS">#REF!</definedName>
    <definedName name="xcx" localSheetId="20">#REF!</definedName>
    <definedName name="xcx" localSheetId="17">#REF!</definedName>
    <definedName name="xcx" localSheetId="8">#REF!</definedName>
    <definedName name="xcx" localSheetId="12">#REF!</definedName>
    <definedName name="xcx" localSheetId="13">#REF!</definedName>
    <definedName name="xcx" localSheetId="5">#REF!</definedName>
    <definedName name="xcx">#REF!</definedName>
    <definedName name="XREF_COLUMN_1" localSheetId="18" hidden="1">[105]Working!#REF!</definedName>
    <definedName name="XREF_COLUMN_1" localSheetId="19" hidden="1">[105]Working!#REF!</definedName>
    <definedName name="XREF_COLUMN_1" hidden="1">[105]Working!#REF!</definedName>
    <definedName name="XREF_COLUMN_3" localSheetId="18" hidden="1">[106]Top!#REF!</definedName>
    <definedName name="XREF_COLUMN_3" localSheetId="19" hidden="1">[106]Top!#REF!</definedName>
    <definedName name="XREF_COLUMN_3" hidden="1">[106]Top!#REF!</definedName>
    <definedName name="XREF_COLUMN_4" localSheetId="18" hidden="1">[106]Top!#REF!</definedName>
    <definedName name="XREF_COLUMN_4" localSheetId="19" hidden="1">[106]Top!#REF!</definedName>
    <definedName name="XREF_COLUMN_4" hidden="1">[106]Top!#REF!</definedName>
    <definedName name="XRefColumnsCount" hidden="1">4</definedName>
    <definedName name="XRefCopy1Row" localSheetId="18" hidden="1">#REF!</definedName>
    <definedName name="XRefCopy1Row" localSheetId="19" hidden="1">#REF!</definedName>
    <definedName name="XRefCopy1Row" hidden="1">#REF!</definedName>
    <definedName name="XRefCopy3Row" localSheetId="18" hidden="1">#REF!</definedName>
    <definedName name="XRefCopy3Row" localSheetId="19" hidden="1">#REF!</definedName>
    <definedName name="XRefCopy3Row" hidden="1">#REF!</definedName>
    <definedName name="XRefCopy4" localSheetId="18" hidden="1">[106]Top!#REF!</definedName>
    <definedName name="XRefCopy4" localSheetId="19" hidden="1">[106]Top!#REF!</definedName>
    <definedName name="XRefCopy4" hidden="1">[106]Top!#REF!</definedName>
    <definedName name="XRefCopyRangeCount" hidden="1">4</definedName>
    <definedName name="XRefPasteRangeCount" hidden="1">2</definedName>
    <definedName name="XX" localSheetId="20">'[4]last qrt2001'!#REF!</definedName>
    <definedName name="XX" localSheetId="17">'[4]last qrt2001'!#REF!</definedName>
    <definedName name="XX" localSheetId="8">'[4]last qrt2001'!#REF!</definedName>
    <definedName name="XX" localSheetId="12">'[4]last qrt2001'!#REF!</definedName>
    <definedName name="XX" localSheetId="13">'[4]last qrt2001'!#REF!</definedName>
    <definedName name="XX" localSheetId="5">'[4]last qrt2001'!#REF!</definedName>
    <definedName name="XX">'[4]last qrt2001'!#REF!</definedName>
    <definedName name="XXX" localSheetId="20">#REF!</definedName>
    <definedName name="xxx" localSheetId="17">#REF!</definedName>
    <definedName name="XXX" localSheetId="8">#REF!</definedName>
    <definedName name="XXX" localSheetId="2">#REF!</definedName>
    <definedName name="XXX" localSheetId="12">#REF!</definedName>
    <definedName name="XXX" localSheetId="13">#REF!</definedName>
    <definedName name="XXX" localSheetId="5">#REF!</definedName>
    <definedName name="XXX">#REF!</definedName>
    <definedName name="xxxx" localSheetId="18" hidden="1">{"'CALL MONEY'!$K$53"}</definedName>
    <definedName name="xxxx" localSheetId="19" hidden="1">{"'CALL MONEY'!$K$53"}</definedName>
    <definedName name="xxxx" hidden="1">{"'CALL MONEY'!$K$53"}</definedName>
    <definedName name="xyz" localSheetId="20">'[3]Adv to vendor'!#REF!</definedName>
    <definedName name="xyz" localSheetId="17">'[3]Adv to vendor'!#REF!</definedName>
    <definedName name="xyz" localSheetId="8">'[3]Adv to vendor'!#REF!</definedName>
    <definedName name="xyz" localSheetId="2">'[3]Adv to vendor'!#REF!</definedName>
    <definedName name="xyz" localSheetId="12">'[3]Adv to vendor'!#REF!</definedName>
    <definedName name="xyz" localSheetId="13">'[3]Adv to vendor'!#REF!</definedName>
    <definedName name="xyz" localSheetId="5">'[3]Adv to vendor'!#REF!</definedName>
    <definedName name="xyz">'[3]Adv to vendor'!#REF!</definedName>
    <definedName name="YAR" localSheetId="18">'[107]100082'!#REF!</definedName>
    <definedName name="YAR" localSheetId="19">'[107]100082'!#REF!</definedName>
    <definedName name="YAR">'[107]100082'!#REF!</definedName>
    <definedName name="YCAB" localSheetId="20">#REF!</definedName>
    <definedName name="YCAB" localSheetId="17">#REF!</definedName>
    <definedName name="YCAB" localSheetId="8">#REF!</definedName>
    <definedName name="YCAB" localSheetId="12">#REF!</definedName>
    <definedName name="YCAB" localSheetId="13">#REF!</definedName>
    <definedName name="YCAB" localSheetId="5">#REF!</definedName>
    <definedName name="YCAB">#REF!</definedName>
    <definedName name="ycab1" localSheetId="20">#REF!</definedName>
    <definedName name="ycab1" localSheetId="17">#REF!</definedName>
    <definedName name="ycab1" localSheetId="8">#REF!</definedName>
    <definedName name="ycab1" localSheetId="12">#REF!</definedName>
    <definedName name="ycab1" localSheetId="13">#REF!</definedName>
    <definedName name="ycab1" localSheetId="5">#REF!</definedName>
    <definedName name="ycab1">#REF!</definedName>
    <definedName name="YEMEN1" localSheetId="17">[8]Sheet4!$L$222:$L$313</definedName>
    <definedName name="YEMEN1">[6]Sheet4!$L$222:$L$313</definedName>
    <definedName name="YEMEN2" localSheetId="17">[8]Sheet4!$Y$222:$Y$313</definedName>
    <definedName name="YEMEN2">[6]Sheet4!$Y$222:$Y$313</definedName>
    <definedName name="YR" localSheetId="20" hidden="1">#REF!</definedName>
    <definedName name="YR" localSheetId="17" hidden="1">#REF!</definedName>
    <definedName name="YR" localSheetId="8" hidden="1">#REF!</definedName>
    <definedName name="YR" localSheetId="12" hidden="1">#REF!</definedName>
    <definedName name="YR" localSheetId="13" hidden="1">#REF!</definedName>
    <definedName name="YR" localSheetId="5" hidden="1">#REF!</definedName>
    <definedName name="YR" hidden="1">#REF!</definedName>
    <definedName name="z" localSheetId="20">'[3]Stock in Trade'!#REF!</definedName>
    <definedName name="z" localSheetId="17">'[3]Stock in Trade'!#REF!</definedName>
    <definedName name="z" localSheetId="8">'[3]Stock in Trade'!#REF!</definedName>
    <definedName name="z" localSheetId="2">'[3]Stock in Trade'!#REF!</definedName>
    <definedName name="z" localSheetId="12">'[3]Stock in Trade'!#REF!</definedName>
    <definedName name="z" localSheetId="13">'[3]Stock in Trade'!#REF!</definedName>
    <definedName name="z" localSheetId="5">'[3]Stock in Trade'!#REF!</definedName>
    <definedName name="z">'[3]Stock in Trade'!#REF!</definedName>
    <definedName name="Z_2F0BD9A2_457D_11D2_8EE8_0060971217D4_.wvu.PrintArea" localSheetId="20" hidden="1">'[11]34-38.2'!#REF!</definedName>
    <definedName name="Z_2F0BD9A2_457D_11D2_8EE8_0060971217D4_.wvu.PrintArea" localSheetId="17" hidden="1">'[11]34-38.2'!#REF!</definedName>
    <definedName name="Z_2F0BD9A2_457D_11D2_8EE8_0060971217D4_.wvu.PrintArea" localSheetId="8" hidden="1">'[11]34-38.2'!#REF!</definedName>
    <definedName name="Z_2F0BD9A2_457D_11D2_8EE8_0060971217D4_.wvu.PrintArea" localSheetId="2" hidden="1">'[11]34-38.2'!#REF!</definedName>
    <definedName name="Z_2F0BD9A2_457D_11D2_8EE8_0060971217D4_.wvu.PrintArea" localSheetId="12" hidden="1">'[11]34-38.2'!#REF!</definedName>
    <definedName name="Z_2F0BD9A2_457D_11D2_8EE8_0060971217D4_.wvu.PrintArea" localSheetId="13" hidden="1">'[11]34-38.2'!#REF!</definedName>
    <definedName name="Z_2F0BD9A2_457D_11D2_8EE8_0060971217D4_.wvu.PrintArea" localSheetId="5" hidden="1">'[11]34-38.2'!#REF!</definedName>
    <definedName name="Z_2F0BD9A2_457D_11D2_8EE8_0060971217D4_.wvu.PrintArea" hidden="1">'[11]34-38.2'!#REF!</definedName>
    <definedName name="Z_2F0BD9A2_457D_11D2_8EE8_0060971217D4_.wvu.PrintTitles" localSheetId="20" hidden="1">'[11]34-38.2'!#REF!</definedName>
    <definedName name="Z_2F0BD9A2_457D_11D2_8EE8_0060971217D4_.wvu.PrintTitles" localSheetId="17" hidden="1">'[11]34-38.2'!#REF!</definedName>
    <definedName name="Z_2F0BD9A2_457D_11D2_8EE8_0060971217D4_.wvu.PrintTitles" localSheetId="8" hidden="1">'[11]34-38.2'!#REF!</definedName>
    <definedName name="Z_2F0BD9A2_457D_11D2_8EE8_0060971217D4_.wvu.PrintTitles" localSheetId="2" hidden="1">'[11]34-38.2'!#REF!</definedName>
    <definedName name="Z_2F0BD9A2_457D_11D2_8EE8_0060971217D4_.wvu.PrintTitles" localSheetId="12" hidden="1">'[11]34-38.2'!#REF!</definedName>
    <definedName name="Z_2F0BD9A2_457D_11D2_8EE8_0060971217D4_.wvu.PrintTitles" localSheetId="13" hidden="1">'[11]34-38.2'!#REF!</definedName>
    <definedName name="Z_2F0BD9A2_457D_11D2_8EE8_0060971217D4_.wvu.PrintTitles" localSheetId="5" hidden="1">'[11]34-38.2'!#REF!</definedName>
    <definedName name="Z_2F0BD9A2_457D_11D2_8EE8_0060971217D4_.wvu.PrintTitles" hidden="1">'[11]34-38.2'!#REF!</definedName>
    <definedName name="Z_3AB84060_44C7_11D2_8EE8_0060971217D4_.wvu.PrintArea" localSheetId="20" hidden="1">'[11]34-38.2'!#REF!</definedName>
    <definedName name="Z_3AB84060_44C7_11D2_8EE8_0060971217D4_.wvu.PrintArea" localSheetId="17" hidden="1">'[11]34-38.2'!#REF!</definedName>
    <definedName name="Z_3AB84060_44C7_11D2_8EE8_0060971217D4_.wvu.PrintArea" localSheetId="8" hidden="1">'[11]34-38.2'!#REF!</definedName>
    <definedName name="Z_3AB84060_44C7_11D2_8EE8_0060971217D4_.wvu.PrintArea" localSheetId="2" hidden="1">'[11]34-38.2'!#REF!</definedName>
    <definedName name="Z_3AB84060_44C7_11D2_8EE8_0060971217D4_.wvu.PrintArea" localSheetId="12" hidden="1">'[11]34-38.2'!#REF!</definedName>
    <definedName name="Z_3AB84060_44C7_11D2_8EE8_0060971217D4_.wvu.PrintArea" localSheetId="13" hidden="1">'[11]34-38.2'!#REF!</definedName>
    <definedName name="Z_3AB84060_44C7_11D2_8EE8_0060971217D4_.wvu.PrintArea" localSheetId="5" hidden="1">'[11]34-38.2'!#REF!</definedName>
    <definedName name="Z_3AB84060_44C7_11D2_8EE8_0060971217D4_.wvu.PrintArea" hidden="1">'[11]34-38.2'!#REF!</definedName>
    <definedName name="Z_3AB84060_44C7_11D2_8EE8_0060971217D4_.wvu.PrintTitles" localSheetId="20" hidden="1">'[11]34-38.2'!#REF!</definedName>
    <definedName name="Z_3AB84060_44C7_11D2_8EE8_0060971217D4_.wvu.PrintTitles" localSheetId="17" hidden="1">'[11]34-38.2'!#REF!</definedName>
    <definedName name="Z_3AB84060_44C7_11D2_8EE8_0060971217D4_.wvu.PrintTitles" localSheetId="8" hidden="1">'[11]34-38.2'!#REF!</definedName>
    <definedName name="Z_3AB84060_44C7_11D2_8EE8_0060971217D4_.wvu.PrintTitles" localSheetId="2" hidden="1">'[11]34-38.2'!#REF!</definedName>
    <definedName name="Z_3AB84060_44C7_11D2_8EE8_0060971217D4_.wvu.PrintTitles" localSheetId="12" hidden="1">'[11]34-38.2'!#REF!</definedName>
    <definedName name="Z_3AB84060_44C7_11D2_8EE8_0060971217D4_.wvu.PrintTitles" localSheetId="13" hidden="1">'[11]34-38.2'!#REF!</definedName>
    <definedName name="Z_3AB84060_44C7_11D2_8EE8_0060971217D4_.wvu.PrintTitles" localSheetId="5" hidden="1">'[11]34-38.2'!#REF!</definedName>
    <definedName name="Z_3AB84060_44C7_11D2_8EE8_0060971217D4_.wvu.PrintTitles" hidden="1">'[11]34-38.2'!#REF!</definedName>
    <definedName name="Z_C2C0FF43_603F_11D2_A368_00001C3AD7D3_.wvu.PrintArea" localSheetId="20" hidden="1">'[11]34-38.2'!#REF!</definedName>
    <definedName name="Z_C2C0FF43_603F_11D2_A368_00001C3AD7D3_.wvu.PrintArea" localSheetId="17" hidden="1">'[11]34-38.2'!#REF!</definedName>
    <definedName name="Z_C2C0FF43_603F_11D2_A368_00001C3AD7D3_.wvu.PrintArea" localSheetId="8" hidden="1">'[11]34-38.2'!#REF!</definedName>
    <definedName name="Z_C2C0FF43_603F_11D2_A368_00001C3AD7D3_.wvu.PrintArea" localSheetId="2" hidden="1">'[11]34-38.2'!#REF!</definedName>
    <definedName name="Z_C2C0FF43_603F_11D2_A368_00001C3AD7D3_.wvu.PrintArea" localSheetId="12" hidden="1">'[11]34-38.2'!#REF!</definedName>
    <definedName name="Z_C2C0FF43_603F_11D2_A368_00001C3AD7D3_.wvu.PrintArea" localSheetId="13" hidden="1">'[11]34-38.2'!#REF!</definedName>
    <definedName name="Z_C2C0FF43_603F_11D2_A368_00001C3AD7D3_.wvu.PrintArea" localSheetId="5" hidden="1">'[11]34-38.2'!#REF!</definedName>
    <definedName name="Z_C2C0FF43_603F_11D2_A368_00001C3AD7D3_.wvu.PrintArea" hidden="1">'[11]34-38.2'!#REF!</definedName>
    <definedName name="Z_C2C0FF43_603F_11D2_A368_00001C3AD7D3_.wvu.PrintTitles" localSheetId="20" hidden="1">'[11]34-38.2'!#REF!</definedName>
    <definedName name="Z_C2C0FF43_603F_11D2_A368_00001C3AD7D3_.wvu.PrintTitles" localSheetId="17" hidden="1">'[11]34-38.2'!#REF!</definedName>
    <definedName name="Z_C2C0FF43_603F_11D2_A368_00001C3AD7D3_.wvu.PrintTitles" localSheetId="8" hidden="1">'[11]34-38.2'!#REF!</definedName>
    <definedName name="Z_C2C0FF43_603F_11D2_A368_00001C3AD7D3_.wvu.PrintTitles" localSheetId="2" hidden="1">'[11]34-38.2'!#REF!</definedName>
    <definedName name="Z_C2C0FF43_603F_11D2_A368_00001C3AD7D3_.wvu.PrintTitles" localSheetId="12" hidden="1">'[11]34-38.2'!#REF!</definedName>
    <definedName name="Z_C2C0FF43_603F_11D2_A368_00001C3AD7D3_.wvu.PrintTitles" localSheetId="13" hidden="1">'[11]34-38.2'!#REF!</definedName>
    <definedName name="Z_C2C0FF43_603F_11D2_A368_00001C3AD7D3_.wvu.PrintTitles" localSheetId="5" hidden="1">'[11]34-38.2'!#REF!</definedName>
    <definedName name="Z_C2C0FF43_603F_11D2_A368_00001C3AD7D3_.wvu.PrintTitles" hidden="1">'[11]34-38.2'!#REF!</definedName>
    <definedName name="Z_D068BBA0_44C0_11D2_8EE8_0060971217D4_.wvu.Cols" localSheetId="20" hidden="1">'[11]34-38.2'!#REF!,'[11]34-38.2'!#REF!,'[11]34-38.2'!#REF!,'[11]34-38.2'!#REF!</definedName>
    <definedName name="Z_D068BBA0_44C0_11D2_8EE8_0060971217D4_.wvu.Cols" localSheetId="17" hidden="1">'[11]34-38.2'!#REF!,'[11]34-38.2'!#REF!,'[11]34-38.2'!#REF!,'[11]34-38.2'!#REF!</definedName>
    <definedName name="Z_D068BBA0_44C0_11D2_8EE8_0060971217D4_.wvu.Cols" localSheetId="8" hidden="1">'[11]34-38.2'!#REF!,'[11]34-38.2'!#REF!,'[11]34-38.2'!#REF!,'[11]34-38.2'!#REF!</definedName>
    <definedName name="Z_D068BBA0_44C0_11D2_8EE8_0060971217D4_.wvu.Cols" localSheetId="2" hidden="1">'[11]34-38.2'!#REF!,'[11]34-38.2'!#REF!,'[11]34-38.2'!#REF!,'[11]34-38.2'!#REF!</definedName>
    <definedName name="Z_D068BBA0_44C0_11D2_8EE8_0060971217D4_.wvu.Cols" localSheetId="12" hidden="1">'[11]34-38.2'!#REF!,'[11]34-38.2'!#REF!,'[11]34-38.2'!#REF!,'[11]34-38.2'!#REF!</definedName>
    <definedName name="Z_D068BBA0_44C0_11D2_8EE8_0060971217D4_.wvu.Cols" localSheetId="13" hidden="1">'[11]34-38.2'!#REF!,'[11]34-38.2'!#REF!,'[11]34-38.2'!#REF!,'[11]34-38.2'!#REF!</definedName>
    <definedName name="Z_D068BBA0_44C0_11D2_8EE8_0060971217D4_.wvu.Cols" localSheetId="5" hidden="1">'[11]34-38.2'!#REF!,'[11]34-38.2'!#REF!,'[11]34-38.2'!#REF!,'[11]34-38.2'!#REF!</definedName>
    <definedName name="Z_D068BBA0_44C0_11D2_8EE8_0060971217D4_.wvu.Cols" hidden="1">'[11]34-38.2'!#REF!,'[11]34-38.2'!#REF!,'[11]34-38.2'!#REF!,'[11]34-38.2'!#REF!</definedName>
    <definedName name="Z_D068BBA0_44C0_11D2_8EE8_0060971217D4_.wvu.PrintArea" localSheetId="20" hidden="1">'[11]34-38.2'!#REF!</definedName>
    <definedName name="Z_D068BBA0_44C0_11D2_8EE8_0060971217D4_.wvu.PrintArea" localSheetId="17" hidden="1">'[11]34-38.2'!#REF!</definedName>
    <definedName name="Z_D068BBA0_44C0_11D2_8EE8_0060971217D4_.wvu.PrintArea" localSheetId="8" hidden="1">'[11]34-38.2'!#REF!</definedName>
    <definedName name="Z_D068BBA0_44C0_11D2_8EE8_0060971217D4_.wvu.PrintArea" localSheetId="2" hidden="1">'[11]34-38.2'!#REF!</definedName>
    <definedName name="Z_D068BBA0_44C0_11D2_8EE8_0060971217D4_.wvu.PrintArea" localSheetId="12" hidden="1">'[11]34-38.2'!#REF!</definedName>
    <definedName name="Z_D068BBA0_44C0_11D2_8EE8_0060971217D4_.wvu.PrintArea" localSheetId="13" hidden="1">'[11]34-38.2'!#REF!</definedName>
    <definedName name="Z_D068BBA0_44C0_11D2_8EE8_0060971217D4_.wvu.PrintArea" localSheetId="5" hidden="1">'[11]34-38.2'!#REF!</definedName>
    <definedName name="Z_D068BBA0_44C0_11D2_8EE8_0060971217D4_.wvu.PrintArea" hidden="1">'[11]34-38.2'!#REF!</definedName>
    <definedName name="zaheer" localSheetId="20">#REF!</definedName>
    <definedName name="zaheer" localSheetId="17">#REF!</definedName>
    <definedName name="zaheer" localSheetId="8">#REF!</definedName>
    <definedName name="zaheer" localSheetId="12">#REF!</definedName>
    <definedName name="zaheer" localSheetId="13">#REF!</definedName>
    <definedName name="zaheer" localSheetId="5">#REF!</definedName>
    <definedName name="zaheer">#REF!</definedName>
    <definedName name="zia" localSheetId="20">#REF!</definedName>
    <definedName name="zia" localSheetId="17">#REF!</definedName>
    <definedName name="zia" localSheetId="8">#REF!</definedName>
    <definedName name="zia" localSheetId="2">#REF!</definedName>
    <definedName name="zia" localSheetId="12">#REF!</definedName>
    <definedName name="zia" localSheetId="13">#REF!</definedName>
    <definedName name="zia" localSheetId="5">#REF!</definedName>
    <definedName name="zia">#REF!</definedName>
    <definedName name="zzz" localSheetId="20" hidden="1">'[3]Adv to vendor'!#REF!</definedName>
    <definedName name="zzz" localSheetId="17" hidden="1">'[3]Adv to vendor'!#REF!</definedName>
    <definedName name="zzz" localSheetId="8" hidden="1">'[3]Adv to vendor'!#REF!</definedName>
    <definedName name="zzz" localSheetId="2" hidden="1">'[3]Adv to vendor'!#REF!</definedName>
    <definedName name="zzz" localSheetId="12" hidden="1">'[3]Adv to vendor'!#REF!</definedName>
    <definedName name="zzz" localSheetId="13" hidden="1">'[3]Adv to vendor'!#REF!</definedName>
    <definedName name="zzz" localSheetId="5" hidden="1">'[3]Adv to vendor'!#REF!</definedName>
    <definedName name="zzz" hidden="1">'[3]Adv to vendor'!#REF!</definedName>
    <definedName name="zzzz" localSheetId="20">'[3]Adv to vendor'!#REF!</definedName>
    <definedName name="zzzz" localSheetId="17">'[3]Adv to vendor'!#REF!</definedName>
    <definedName name="zzzz" localSheetId="8">'[3]Adv to vendor'!#REF!</definedName>
    <definedName name="zzzz" localSheetId="2">'[3]Adv to vendor'!#REF!</definedName>
    <definedName name="zzzz" localSheetId="12">'[3]Adv to vendor'!#REF!</definedName>
    <definedName name="zzzz" localSheetId="13">'[3]Adv to vendor'!#REF!</definedName>
    <definedName name="zzzz" localSheetId="5">'[3]Adv to vendor'!#REF!</definedName>
    <definedName name="zzzz">'[3]Adv to vendor'!#REF!</definedName>
  </definedNames>
  <calcPr calcId="162913"/>
</workbook>
</file>

<file path=xl/calcChain.xml><?xml version="1.0" encoding="utf-8"?>
<calcChain xmlns="http://schemas.openxmlformats.org/spreadsheetml/2006/main">
  <c r="H39" i="6" l="1"/>
  <c r="H38" i="6"/>
  <c r="R15" i="74" l="1"/>
  <c r="R22" i="74"/>
  <c r="G21" i="74" s="1"/>
  <c r="G14" i="74"/>
  <c r="G20" i="74"/>
  <c r="M18" i="74"/>
  <c r="H160" i="75"/>
  <c r="H164" i="75"/>
  <c r="H126" i="75"/>
  <c r="H121" i="75"/>
  <c r="O16" i="2"/>
  <c r="H153" i="75" l="1"/>
  <c r="L194" i="76" l="1"/>
  <c r="K194" i="76"/>
  <c r="K193" i="76"/>
  <c r="J194" i="76"/>
  <c r="I194" i="76"/>
  <c r="K192" i="76"/>
  <c r="K191" i="76"/>
  <c r="I55" i="76" l="1"/>
  <c r="I26" i="82" l="1"/>
  <c r="M26" i="82" s="1"/>
  <c r="G26" i="82"/>
  <c r="L116" i="83" l="1"/>
  <c r="L143" i="83" l="1"/>
  <c r="L140" i="83"/>
  <c r="L137" i="83"/>
  <c r="L134" i="83"/>
  <c r="L131" i="83"/>
  <c r="L128" i="83"/>
  <c r="L125" i="83"/>
  <c r="L122" i="83"/>
  <c r="L119" i="83"/>
  <c r="L113" i="83"/>
  <c r="I21" i="83"/>
  <c r="J17" i="80" l="1"/>
  <c r="H83" i="75"/>
  <c r="I19" i="83"/>
  <c r="H20" i="75"/>
  <c r="H19" i="75"/>
  <c r="H18" i="75"/>
  <c r="H17" i="75"/>
  <c r="M7" i="74" l="1"/>
  <c r="M8" i="74" s="1"/>
  <c r="I99" i="83" l="1"/>
  <c r="I98" i="83"/>
  <c r="I13" i="83"/>
  <c r="I17" i="1"/>
  <c r="H48" i="75"/>
  <c r="H47" i="75"/>
  <c r="H99" i="75"/>
  <c r="O22" i="80"/>
  <c r="O24" i="80"/>
  <c r="F25" i="2"/>
  <c r="F24" i="2"/>
  <c r="H159" i="75" l="1"/>
  <c r="F35" i="2"/>
  <c r="H158" i="75"/>
  <c r="H106" i="75"/>
  <c r="M51" i="75"/>
  <c r="H35" i="75"/>
  <c r="J168" i="76"/>
  <c r="I168" i="76"/>
  <c r="I170" i="76"/>
  <c r="J170" i="76" s="1"/>
  <c r="J100" i="77"/>
  <c r="I7" i="75"/>
  <c r="I6" i="75"/>
  <c r="O66" i="80" l="1"/>
  <c r="O65" i="80"/>
  <c r="N65" i="80"/>
  <c r="O63" i="80"/>
  <c r="I146" i="83" l="1"/>
  <c r="I16" i="83"/>
  <c r="I143" i="83"/>
  <c r="I140" i="83"/>
  <c r="I137" i="83"/>
  <c r="I131" i="83"/>
  <c r="I134" i="83"/>
  <c r="I128" i="83"/>
  <c r="I125" i="83"/>
  <c r="I122" i="83"/>
  <c r="I119" i="83"/>
  <c r="I116" i="83"/>
  <c r="I33" i="83" l="1"/>
  <c r="I32" i="83"/>
  <c r="I113" i="83"/>
  <c r="I74" i="83"/>
  <c r="L170" i="76" l="1"/>
  <c r="L168" i="76"/>
  <c r="L165" i="76"/>
  <c r="L164" i="76"/>
  <c r="L163" i="76"/>
  <c r="L162" i="76"/>
  <c r="L161" i="76"/>
  <c r="L160" i="76"/>
  <c r="L157" i="76"/>
  <c r="L156" i="76"/>
  <c r="L155" i="76"/>
  <c r="L154" i="76"/>
  <c r="L153" i="76"/>
  <c r="L152" i="76"/>
  <c r="L151" i="76"/>
  <c r="L148" i="76"/>
  <c r="L147" i="76"/>
  <c r="L146" i="76"/>
  <c r="L145" i="76"/>
  <c r="L142" i="76"/>
  <c r="L141" i="76"/>
  <c r="L140" i="76"/>
  <c r="L139" i="76"/>
  <c r="L138" i="76"/>
  <c r="L135" i="76"/>
  <c r="L134" i="76"/>
  <c r="L133" i="76"/>
  <c r="L132" i="76"/>
  <c r="L131" i="76"/>
  <c r="L130" i="76"/>
  <c r="L129" i="76"/>
  <c r="L126" i="76"/>
  <c r="L125" i="76"/>
  <c r="L124" i="76"/>
  <c r="L123" i="76"/>
  <c r="L120" i="76"/>
  <c r="L119" i="76"/>
  <c r="L118" i="76"/>
  <c r="L117" i="76"/>
  <c r="L116" i="76"/>
  <c r="L113" i="76"/>
  <c r="L112" i="76"/>
  <c r="L111" i="76"/>
  <c r="L110" i="76"/>
  <c r="L107" i="76"/>
  <c r="L106" i="76"/>
  <c r="L105" i="76"/>
  <c r="L104" i="76"/>
  <c r="L101" i="76"/>
  <c r="L100" i="76"/>
  <c r="L99" i="76"/>
  <c r="L96" i="76"/>
  <c r="L93" i="76"/>
  <c r="L92" i="76"/>
  <c r="L91" i="76"/>
  <c r="L88" i="76"/>
  <c r="L87" i="76"/>
  <c r="L84" i="76"/>
  <c r="L83" i="76"/>
  <c r="L82" i="76"/>
  <c r="L81" i="76"/>
  <c r="L80" i="76"/>
  <c r="L79" i="76"/>
  <c r="L78" i="76"/>
  <c r="L75" i="76"/>
  <c r="L74" i="76"/>
  <c r="L73" i="76"/>
  <c r="L72" i="76"/>
  <c r="L68" i="76"/>
  <c r="L67" i="76"/>
  <c r="L66" i="76"/>
  <c r="L65" i="76"/>
  <c r="L64" i="76"/>
  <c r="L63" i="76"/>
  <c r="L60" i="76"/>
  <c r="L59" i="76"/>
  <c r="L58" i="76"/>
  <c r="L57" i="76"/>
  <c r="L56" i="76"/>
  <c r="L55" i="76"/>
  <c r="L54" i="76"/>
  <c r="L53" i="76"/>
  <c r="L52" i="76"/>
  <c r="L51" i="76"/>
  <c r="L50" i="76"/>
  <c r="L49" i="76"/>
  <c r="L46" i="76"/>
  <c r="L45" i="76"/>
  <c r="L44" i="76"/>
  <c r="L43" i="76"/>
  <c r="L42" i="76"/>
  <c r="L41" i="76"/>
  <c r="L38" i="76"/>
  <c r="L37" i="76"/>
  <c r="L36" i="76"/>
  <c r="L35" i="76"/>
  <c r="L34" i="76"/>
  <c r="L33" i="76"/>
  <c r="L32" i="76"/>
  <c r="L31" i="76"/>
  <c r="L30" i="76"/>
  <c r="L29" i="76"/>
  <c r="L26" i="76"/>
  <c r="L25" i="76"/>
  <c r="L22" i="76"/>
  <c r="L21" i="76"/>
  <c r="L20" i="76"/>
  <c r="L19" i="76"/>
  <c r="L18" i="76"/>
  <c r="G170" i="76"/>
  <c r="G168" i="76"/>
  <c r="I166" i="76"/>
  <c r="H166" i="76"/>
  <c r="J165" i="76"/>
  <c r="G165" i="76"/>
  <c r="J164" i="76"/>
  <c r="G164" i="76"/>
  <c r="J163" i="76"/>
  <c r="G163" i="76"/>
  <c r="J162" i="76"/>
  <c r="G162" i="76"/>
  <c r="J161" i="76"/>
  <c r="G161" i="76"/>
  <c r="J160" i="76"/>
  <c r="G160" i="76"/>
  <c r="I158" i="76"/>
  <c r="H158" i="76"/>
  <c r="J157" i="76"/>
  <c r="G157" i="76"/>
  <c r="J156" i="76"/>
  <c r="G156" i="76"/>
  <c r="J155" i="76"/>
  <c r="G155" i="76"/>
  <c r="J154" i="76"/>
  <c r="G154" i="76"/>
  <c r="J153" i="76"/>
  <c r="G153" i="76"/>
  <c r="J152" i="76"/>
  <c r="G152" i="76"/>
  <c r="J151" i="76"/>
  <c r="G151" i="76"/>
  <c r="I149" i="76"/>
  <c r="H149" i="76"/>
  <c r="J148" i="76"/>
  <c r="G148" i="76"/>
  <c r="J147" i="76"/>
  <c r="G147" i="76"/>
  <c r="J146" i="76"/>
  <c r="G146" i="76"/>
  <c r="J145" i="76"/>
  <c r="G145" i="76"/>
  <c r="I143" i="76"/>
  <c r="H143" i="76"/>
  <c r="J142" i="76"/>
  <c r="G142" i="76"/>
  <c r="J141" i="76"/>
  <c r="G141" i="76"/>
  <c r="J140" i="76"/>
  <c r="G140" i="76"/>
  <c r="J139" i="76"/>
  <c r="G139" i="76"/>
  <c r="J138" i="76"/>
  <c r="G138" i="76"/>
  <c r="I136" i="76"/>
  <c r="H136" i="76"/>
  <c r="J135" i="76"/>
  <c r="G135" i="76"/>
  <c r="J134" i="76"/>
  <c r="G134" i="76"/>
  <c r="J133" i="76"/>
  <c r="G133" i="76"/>
  <c r="J132" i="76"/>
  <c r="G132" i="76"/>
  <c r="J131" i="76"/>
  <c r="G131" i="76"/>
  <c r="J130" i="76"/>
  <c r="G130" i="76"/>
  <c r="J129" i="76"/>
  <c r="G129" i="76"/>
  <c r="I127" i="76"/>
  <c r="H127" i="76"/>
  <c r="J126" i="76"/>
  <c r="G126" i="76"/>
  <c r="J125" i="76"/>
  <c r="G125" i="76"/>
  <c r="J124" i="76"/>
  <c r="G124" i="76"/>
  <c r="J123" i="76"/>
  <c r="G123" i="76"/>
  <c r="I121" i="76"/>
  <c r="H121" i="76"/>
  <c r="J120" i="76"/>
  <c r="G120" i="76"/>
  <c r="J119" i="76"/>
  <c r="G119" i="76"/>
  <c r="J118" i="76"/>
  <c r="G118" i="76"/>
  <c r="J117" i="76"/>
  <c r="G117" i="76"/>
  <c r="J116" i="76"/>
  <c r="G116" i="76"/>
  <c r="I114" i="76"/>
  <c r="H114" i="76"/>
  <c r="J113" i="76"/>
  <c r="G113" i="76"/>
  <c r="J112" i="76"/>
  <c r="G112" i="76"/>
  <c r="J111" i="76"/>
  <c r="G111" i="76"/>
  <c r="J110" i="76"/>
  <c r="G110" i="76"/>
  <c r="I108" i="76"/>
  <c r="H108" i="76"/>
  <c r="J107" i="76"/>
  <c r="G107" i="76"/>
  <c r="J106" i="76"/>
  <c r="G106" i="76"/>
  <c r="J105" i="76"/>
  <c r="G105" i="76"/>
  <c r="J104" i="76"/>
  <c r="G104" i="76"/>
  <c r="I102" i="76"/>
  <c r="H102" i="76"/>
  <c r="J101" i="76"/>
  <c r="G101" i="76"/>
  <c r="J100" i="76"/>
  <c r="G100" i="76"/>
  <c r="J99" i="76"/>
  <c r="G99" i="76"/>
  <c r="J96" i="76"/>
  <c r="G96" i="76"/>
  <c r="I94" i="76"/>
  <c r="H94" i="76"/>
  <c r="J93" i="76"/>
  <c r="G93" i="76"/>
  <c r="J92" i="76"/>
  <c r="G92" i="76"/>
  <c r="J91" i="76"/>
  <c r="G91" i="76"/>
  <c r="I89" i="76"/>
  <c r="H89" i="76"/>
  <c r="J88" i="76"/>
  <c r="G88" i="76"/>
  <c r="J87" i="76"/>
  <c r="G87" i="76"/>
  <c r="I85" i="76"/>
  <c r="H85" i="76"/>
  <c r="J84" i="76"/>
  <c r="G84" i="76"/>
  <c r="J83" i="76"/>
  <c r="G83" i="76"/>
  <c r="J82" i="76"/>
  <c r="G82" i="76"/>
  <c r="J81" i="76"/>
  <c r="G81" i="76"/>
  <c r="J80" i="76"/>
  <c r="G80" i="76"/>
  <c r="J79" i="76"/>
  <c r="G79" i="76"/>
  <c r="J78" i="76"/>
  <c r="G78" i="76"/>
  <c r="I76" i="76"/>
  <c r="H76" i="76"/>
  <c r="J75" i="76"/>
  <c r="G75" i="76"/>
  <c r="J74" i="76"/>
  <c r="G74" i="76"/>
  <c r="J73" i="76"/>
  <c r="G73" i="76"/>
  <c r="J72" i="76"/>
  <c r="G72" i="76"/>
  <c r="I69" i="76"/>
  <c r="H69" i="76"/>
  <c r="J68" i="76"/>
  <c r="G68" i="76"/>
  <c r="J67" i="76"/>
  <c r="G67" i="76"/>
  <c r="J66" i="76"/>
  <c r="G66" i="76"/>
  <c r="J65" i="76"/>
  <c r="G65" i="76"/>
  <c r="J64" i="76"/>
  <c r="G64" i="76"/>
  <c r="J63" i="76"/>
  <c r="G63" i="76"/>
  <c r="I61" i="76"/>
  <c r="H61" i="76"/>
  <c r="J60" i="76"/>
  <c r="G60" i="76"/>
  <c r="J59" i="76"/>
  <c r="G59" i="76"/>
  <c r="J58" i="76"/>
  <c r="G58" i="76"/>
  <c r="J57" i="76"/>
  <c r="G57" i="76"/>
  <c r="J56" i="76"/>
  <c r="G56" i="76"/>
  <c r="J55" i="76"/>
  <c r="G55" i="76"/>
  <c r="J54" i="76"/>
  <c r="G54" i="76"/>
  <c r="J53" i="76"/>
  <c r="G53" i="76"/>
  <c r="J52" i="76"/>
  <c r="G52" i="76"/>
  <c r="J51" i="76"/>
  <c r="G51" i="76"/>
  <c r="J50" i="76"/>
  <c r="G50" i="76"/>
  <c r="J49" i="76"/>
  <c r="G49" i="76"/>
  <c r="I47" i="76"/>
  <c r="H47" i="76"/>
  <c r="J46" i="76"/>
  <c r="G46" i="76"/>
  <c r="J45" i="76"/>
  <c r="G45" i="76"/>
  <c r="J44" i="76"/>
  <c r="G44" i="76"/>
  <c r="J43" i="76"/>
  <c r="G43" i="76"/>
  <c r="J42" i="76"/>
  <c r="G42" i="76"/>
  <c r="J41" i="76"/>
  <c r="G41" i="76"/>
  <c r="I39" i="76"/>
  <c r="H39" i="76"/>
  <c r="J38" i="76"/>
  <c r="G38" i="76"/>
  <c r="J37" i="76"/>
  <c r="G37" i="76"/>
  <c r="J36" i="76"/>
  <c r="G36" i="76"/>
  <c r="J35" i="76"/>
  <c r="G35" i="76"/>
  <c r="J34" i="76"/>
  <c r="G34" i="76"/>
  <c r="J33" i="76"/>
  <c r="G33" i="76"/>
  <c r="J32" i="76"/>
  <c r="G32" i="76"/>
  <c r="J31" i="76"/>
  <c r="G31" i="76"/>
  <c r="J30" i="76"/>
  <c r="G30" i="76"/>
  <c r="J29" i="76"/>
  <c r="G29" i="76"/>
  <c r="I27" i="76"/>
  <c r="H27" i="76"/>
  <c r="J26" i="76"/>
  <c r="G26" i="76"/>
  <c r="J25" i="76"/>
  <c r="G25" i="76"/>
  <c r="I23" i="76"/>
  <c r="H23" i="76"/>
  <c r="J22" i="76"/>
  <c r="G22" i="76"/>
  <c r="J21" i="76"/>
  <c r="G21" i="76"/>
  <c r="J20" i="76"/>
  <c r="G20" i="76"/>
  <c r="J19" i="76"/>
  <c r="G19" i="76"/>
  <c r="J18" i="76"/>
  <c r="G18" i="76"/>
  <c r="I16" i="76"/>
  <c r="H16" i="76"/>
  <c r="J15" i="76"/>
  <c r="G15" i="76"/>
  <c r="J14" i="76"/>
  <c r="G14" i="76"/>
  <c r="J13" i="76"/>
  <c r="G13" i="76"/>
  <c r="J12" i="76"/>
  <c r="G12" i="76"/>
  <c r="J11" i="76"/>
  <c r="J16" i="76" s="1"/>
  <c r="G11" i="76"/>
  <c r="L12" i="76"/>
  <c r="L13" i="76"/>
  <c r="L14" i="76"/>
  <c r="L15" i="76"/>
  <c r="I173" i="76" l="1"/>
  <c r="J99" i="77" s="1"/>
  <c r="J101" i="77" s="1"/>
  <c r="F12" i="1" s="1"/>
  <c r="L27" i="76"/>
  <c r="J143" i="76"/>
  <c r="J149" i="76"/>
  <c r="J158" i="76"/>
  <c r="L89" i="76"/>
  <c r="J61" i="76"/>
  <c r="H173" i="76"/>
  <c r="L102" i="76"/>
  <c r="L127" i="76"/>
  <c r="L143" i="76"/>
  <c r="L61" i="76"/>
  <c r="L94" i="76"/>
  <c r="L149" i="76"/>
  <c r="J69" i="76"/>
  <c r="J89" i="76"/>
  <c r="J94" i="76"/>
  <c r="J114" i="76"/>
  <c r="L39" i="76"/>
  <c r="L47" i="76"/>
  <c r="J23" i="76"/>
  <c r="J47" i="76"/>
  <c r="L23" i="76"/>
  <c r="L166" i="76"/>
  <c r="L69" i="76"/>
  <c r="L76" i="76"/>
  <c r="L108" i="76"/>
  <c r="L114" i="76"/>
  <c r="L85" i="76"/>
  <c r="L121" i="76"/>
  <c r="L136" i="76"/>
  <c r="L158" i="76"/>
  <c r="J85" i="76"/>
  <c r="J102" i="76"/>
  <c r="J108" i="76"/>
  <c r="J76" i="76"/>
  <c r="J27" i="76"/>
  <c r="J39" i="76"/>
  <c r="J121" i="76"/>
  <c r="J127" i="76"/>
  <c r="J136" i="76"/>
  <c r="J166" i="76"/>
  <c r="I86" i="83"/>
  <c r="I85" i="83"/>
  <c r="I82" i="83"/>
  <c r="I81" i="83"/>
  <c r="I73" i="83"/>
  <c r="I78" i="83"/>
  <c r="I77" i="83"/>
  <c r="I64" i="83"/>
  <c r="I63" i="83"/>
  <c r="I59" i="83"/>
  <c r="I60" i="83"/>
  <c r="I58" i="83"/>
  <c r="I72" i="83"/>
  <c r="I69" i="83"/>
  <c r="I68" i="83"/>
  <c r="I67" i="83"/>
  <c r="I53" i="83"/>
  <c r="I54" i="83"/>
  <c r="I52" i="83"/>
  <c r="I45" i="83"/>
  <c r="I46" i="83"/>
  <c r="I44" i="83"/>
  <c r="I37" i="83"/>
  <c r="I38" i="83"/>
  <c r="I23" i="83"/>
  <c r="I24" i="83"/>
  <c r="I22" i="83"/>
  <c r="I29" i="83"/>
  <c r="I28" i="83"/>
  <c r="I36" i="83"/>
  <c r="I27" i="83"/>
  <c r="J173" i="76" l="1"/>
  <c r="F16" i="2" s="1"/>
  <c r="J25" i="74" l="1"/>
  <c r="I15" i="74"/>
  <c r="I14" i="74"/>
  <c r="L18" i="80"/>
  <c r="I19" i="82" l="1"/>
  <c r="I20" i="82"/>
  <c r="G19" i="82"/>
  <c r="G20" i="82"/>
  <c r="G18" i="82"/>
  <c r="G15" i="82"/>
  <c r="M15" i="82"/>
  <c r="G157" i="75" l="1"/>
  <c r="F157" i="75"/>
  <c r="H165" i="75"/>
  <c r="F166" i="75" l="1"/>
  <c r="F167" i="75"/>
  <c r="F168" i="75"/>
  <c r="F169" i="75"/>
  <c r="G164" i="75"/>
  <c r="J33" i="6"/>
  <c r="J35" i="6" s="1"/>
  <c r="J23" i="6"/>
  <c r="J16" i="6"/>
  <c r="H39" i="2"/>
  <c r="H18" i="2"/>
  <c r="L37" i="2"/>
  <c r="H50" i="2"/>
  <c r="N54" i="2"/>
  <c r="N50" i="2"/>
  <c r="N48" i="2"/>
  <c r="N18" i="2"/>
  <c r="N37" i="2"/>
  <c r="H26" i="1"/>
  <c r="H16" i="1"/>
  <c r="N39" i="2" l="1"/>
  <c r="L31" i="82"/>
  <c r="I31" i="82"/>
  <c r="I24" i="82"/>
  <c r="I22" i="82"/>
  <c r="I18" i="82"/>
  <c r="I17" i="82"/>
  <c r="I16" i="82"/>
  <c r="I14" i="82"/>
  <c r="I13" i="82"/>
  <c r="I12" i="82"/>
  <c r="I9" i="82"/>
  <c r="O36" i="80"/>
  <c r="I9" i="80"/>
  <c r="I8" i="80"/>
  <c r="W28" i="74"/>
  <c r="N20" i="74" s="1"/>
  <c r="V28" i="74"/>
  <c r="U28" i="74"/>
  <c r="O20" i="74" s="1"/>
  <c r="O22" i="74" s="1"/>
  <c r="T28" i="74"/>
  <c r="O14" i="74" l="1"/>
  <c r="O15" i="74" s="1"/>
  <c r="X28" i="74"/>
  <c r="N14" i="74"/>
  <c r="Y28" i="74"/>
  <c r="J34" i="74"/>
  <c r="J22" i="74"/>
  <c r="I22" i="74"/>
  <c r="I26" i="74"/>
  <c r="J26" i="74"/>
  <c r="L14" i="74"/>
  <c r="L15" i="74"/>
  <c r="I16" i="74"/>
  <c r="I28" i="74" s="1"/>
  <c r="L25" i="74"/>
  <c r="L26" i="74" s="1"/>
  <c r="L21" i="74"/>
  <c r="L20" i="74"/>
  <c r="L22" i="74" s="1"/>
  <c r="J39" i="6" s="1"/>
  <c r="G10" i="74"/>
  <c r="L10" i="74"/>
  <c r="B52" i="77" l="1"/>
  <c r="B56" i="77" s="1"/>
  <c r="B59" i="77" s="1"/>
  <c r="A11" i="62"/>
  <c r="N121" i="75" l="1"/>
  <c r="G24" i="82" l="1"/>
  <c r="Q50" i="2" l="1"/>
  <c r="P50" i="2"/>
  <c r="R49" i="2"/>
  <c r="R50" i="2" s="1"/>
  <c r="F21" i="74" s="1"/>
  <c r="E16" i="2" l="1"/>
  <c r="A72" i="77" l="1"/>
  <c r="A80" i="77" s="1"/>
  <c r="E11" i="1" l="1"/>
  <c r="A96" i="77"/>
  <c r="A6" i="80" l="1"/>
  <c r="E24" i="1" s="1"/>
  <c r="A40" i="80"/>
  <c r="E12" i="1"/>
  <c r="O309" i="85" l="1"/>
  <c r="O306" i="85"/>
  <c r="O312" i="85" s="1"/>
  <c r="O305" i="85"/>
  <c r="S303" i="85"/>
  <c r="O303" i="85"/>
  <c r="S300" i="85"/>
  <c r="O300" i="85"/>
  <c r="O297" i="85"/>
  <c r="S263" i="85"/>
  <c r="O263" i="85"/>
  <c r="O260" i="85"/>
  <c r="O266" i="85" s="1"/>
  <c r="S254" i="85"/>
  <c r="O254" i="85"/>
  <c r="S252" i="85"/>
  <c r="O252" i="85"/>
  <c r="O249" i="85"/>
  <c r="O256" i="85" s="1"/>
  <c r="S230" i="85"/>
  <c r="N230" i="85"/>
  <c r="L230" i="85"/>
  <c r="S227" i="85"/>
  <c r="O227" i="85"/>
  <c r="S224" i="85"/>
  <c r="O224" i="85"/>
  <c r="O221" i="85"/>
  <c r="O230" i="85" s="1"/>
  <c r="S152" i="85"/>
  <c r="O152" i="85"/>
  <c r="O149" i="85"/>
  <c r="O155" i="85" s="1"/>
  <c r="O118" i="85"/>
  <c r="O116" i="85"/>
  <c r="O113" i="85"/>
  <c r="O120" i="85" s="1"/>
  <c r="S32" i="85"/>
  <c r="O32" i="85"/>
  <c r="S28" i="85"/>
  <c r="W25" i="85"/>
  <c r="S25" i="85"/>
  <c r="W23" i="85"/>
  <c r="S23" i="85"/>
  <c r="W22" i="85"/>
  <c r="O22" i="85"/>
  <c r="S21" i="85"/>
  <c r="S11" i="84"/>
  <c r="L11" i="84"/>
  <c r="S9" i="84"/>
  <c r="O9" i="84"/>
  <c r="X8" i="84"/>
  <c r="W8" i="84"/>
  <c r="S7" i="84"/>
  <c r="X7" i="84" s="1"/>
  <c r="O7" i="84"/>
  <c r="W7" i="84" s="1"/>
  <c r="V6" i="84"/>
  <c r="U6" i="84"/>
  <c r="U11" i="84" s="1"/>
  <c r="R4" i="84"/>
  <c r="S4" i="84" s="1"/>
  <c r="O4" i="84"/>
  <c r="A47" i="80" l="1"/>
  <c r="E32" i="1"/>
  <c r="O11" i="84"/>
  <c r="V13" i="84" s="1"/>
  <c r="E41" i="2" l="1"/>
  <c r="A60" i="80"/>
  <c r="G22" i="82"/>
  <c r="G17" i="82"/>
  <c r="G16" i="82"/>
  <c r="G14" i="82"/>
  <c r="G13" i="82"/>
  <c r="G12" i="82"/>
  <c r="G9" i="82"/>
  <c r="A65" i="80" l="1"/>
  <c r="A71" i="80" s="1"/>
  <c r="A2" i="78" s="1"/>
  <c r="A20" i="78" s="1"/>
  <c r="E45" i="2"/>
  <c r="A22" i="78" l="1"/>
  <c r="A25" i="78" s="1"/>
  <c r="A28" i="78"/>
  <c r="H67" i="71"/>
  <c r="J67" i="71"/>
  <c r="I67" i="71"/>
  <c r="G116" i="75" l="1"/>
  <c r="F116" i="75"/>
  <c r="L11" i="76"/>
  <c r="L16" i="76" s="1"/>
  <c r="A3" i="77" l="1"/>
  <c r="F34" i="74" l="1"/>
  <c r="J28" i="74"/>
  <c r="L16" i="74"/>
  <c r="L28" i="74" s="1"/>
  <c r="J38" i="6" l="1"/>
  <c r="J40" i="6" s="1"/>
  <c r="J42" i="6" s="1"/>
  <c r="B37" i="23"/>
  <c r="B35" i="23"/>
  <c r="B33" i="23"/>
  <c r="D25" i="22"/>
  <c r="E74" i="34"/>
  <c r="E73" i="34"/>
  <c r="E72" i="34"/>
  <c r="E71" i="34"/>
  <c r="E70" i="34"/>
  <c r="E69" i="34"/>
  <c r="E68" i="34"/>
  <c r="E67" i="34"/>
  <c r="E66" i="34"/>
  <c r="E65" i="34"/>
  <c r="E64" i="34"/>
  <c r="E63" i="34"/>
  <c r="E62" i="34"/>
  <c r="E61" i="34"/>
  <c r="E60" i="34"/>
  <c r="E59" i="34"/>
  <c r="E58" i="34"/>
  <c r="E57" i="34"/>
  <c r="E56" i="34"/>
  <c r="E55" i="34"/>
  <c r="E54" i="34"/>
  <c r="E53" i="34"/>
  <c r="E52" i="34"/>
  <c r="D51" i="34"/>
  <c r="E51" i="34" s="1"/>
  <c r="F51" i="34" s="1"/>
  <c r="E50" i="34"/>
  <c r="F50" i="34" s="1"/>
  <c r="F49" i="34"/>
  <c r="E49" i="34"/>
  <c r="E48" i="34"/>
  <c r="F48" i="34" s="1"/>
  <c r="E47" i="34"/>
  <c r="F47" i="34" s="1"/>
  <c r="E46" i="34"/>
  <c r="F46" i="34" s="1"/>
  <c r="E45" i="34"/>
  <c r="F45" i="34" s="1"/>
  <c r="E44" i="34"/>
  <c r="F44" i="34" s="1"/>
  <c r="E43" i="34"/>
  <c r="F43" i="34" s="1"/>
  <c r="E42" i="34"/>
  <c r="F42" i="34" s="1"/>
  <c r="E41" i="34"/>
  <c r="F41" i="34" s="1"/>
  <c r="E40" i="34"/>
  <c r="F40" i="34" s="1"/>
  <c r="E39" i="34"/>
  <c r="F39" i="34" s="1"/>
  <c r="E38" i="34"/>
  <c r="E37" i="34"/>
  <c r="F37" i="34" s="1"/>
  <c r="E36" i="34"/>
  <c r="F36" i="34" s="1"/>
  <c r="E35" i="34"/>
  <c r="F35" i="34" s="1"/>
  <c r="E34" i="34"/>
  <c r="F34" i="34" s="1"/>
  <c r="E33" i="34"/>
  <c r="F33" i="34" s="1"/>
  <c r="E32" i="34"/>
  <c r="F32" i="34" s="1"/>
  <c r="E31" i="34"/>
  <c r="F31" i="34" s="1"/>
  <c r="E30" i="34"/>
  <c r="E29" i="34"/>
  <c r="F28" i="34"/>
  <c r="E28" i="34"/>
  <c r="E27" i="34"/>
  <c r="E26" i="34"/>
  <c r="E25" i="34"/>
  <c r="F24" i="34"/>
  <c r="E24" i="34"/>
  <c r="E23" i="34"/>
  <c r="E22" i="34"/>
  <c r="E21" i="34"/>
  <c r="E20" i="34"/>
  <c r="E19" i="34"/>
  <c r="E18" i="34"/>
  <c r="F18" i="34" s="1"/>
  <c r="F17" i="34"/>
  <c r="E17" i="34"/>
  <c r="E16" i="34"/>
  <c r="E15" i="34"/>
  <c r="E14" i="34"/>
  <c r="E13" i="34"/>
  <c r="E12" i="34"/>
  <c r="E11" i="34"/>
  <c r="E10" i="34"/>
  <c r="E9" i="34"/>
  <c r="E8" i="34"/>
  <c r="E7" i="34"/>
  <c r="E6" i="34"/>
  <c r="E5" i="34"/>
  <c r="E4" i="34"/>
  <c r="E3" i="34"/>
  <c r="B24" i="38"/>
  <c r="E19" i="38"/>
  <c r="C19" i="38"/>
  <c r="B19" i="38"/>
  <c r="D18" i="38"/>
  <c r="F18" i="38" s="1"/>
  <c r="D17" i="38"/>
  <c r="F17" i="38" s="1"/>
  <c r="E14" i="38"/>
  <c r="C14" i="38"/>
  <c r="B14" i="38"/>
  <c r="D13" i="38"/>
  <c r="F13" i="38" s="1"/>
  <c r="D12" i="38"/>
  <c r="F12" i="38" s="1"/>
  <c r="D11" i="38"/>
  <c r="F11" i="38" s="1"/>
  <c r="D10" i="38"/>
  <c r="F10" i="38" s="1"/>
  <c r="D9" i="38"/>
  <c r="F9" i="38" s="1"/>
  <c r="D8" i="38"/>
  <c r="E56" i="37"/>
  <c r="D52" i="37"/>
  <c r="D59" i="37" s="1"/>
  <c r="F59" i="37" s="1"/>
  <c r="D45" i="37"/>
  <c r="D43" i="37"/>
  <c r="D30" i="37"/>
  <c r="D21" i="37"/>
  <c r="D25" i="37" s="1"/>
  <c r="D19" i="37"/>
  <c r="D36" i="37" s="1"/>
  <c r="D41" i="37" s="1"/>
  <c r="C36" i="36"/>
  <c r="C35" i="36"/>
  <c r="B17" i="36"/>
  <c r="B22" i="36" s="1"/>
  <c r="B25" i="36" s="1"/>
  <c r="B28" i="36" s="1"/>
  <c r="B33" i="36" s="1"/>
  <c r="C33" i="36" s="1"/>
  <c r="M26" i="30"/>
  <c r="L26" i="30"/>
  <c r="K26" i="30"/>
  <c r="J26" i="30"/>
  <c r="I26" i="30"/>
  <c r="H26" i="30"/>
  <c r="C26" i="30"/>
  <c r="F24" i="30"/>
  <c r="D24" i="30"/>
  <c r="F22" i="30"/>
  <c r="D22" i="30"/>
  <c r="D20" i="30"/>
  <c r="D18" i="30"/>
  <c r="F18" i="30" s="1"/>
  <c r="F16" i="30"/>
  <c r="D16" i="30"/>
  <c r="H20" i="31"/>
  <c r="N15" i="31"/>
  <c r="N14" i="31"/>
  <c r="N13" i="31"/>
  <c r="N12" i="31"/>
  <c r="G49" i="27"/>
  <c r="G48" i="27"/>
  <c r="G47" i="27"/>
  <c r="AG16" i="27"/>
  <c r="A1" i="27"/>
  <c r="C58" i="50"/>
  <c r="C54" i="50"/>
  <c r="C50" i="50"/>
  <c r="C38" i="50"/>
  <c r="C34" i="50"/>
  <c r="B31" i="50"/>
  <c r="C30" i="50"/>
  <c r="C20" i="50"/>
  <c r="C23" i="50" s="1"/>
  <c r="C25" i="50" s="1"/>
  <c r="C9" i="50"/>
  <c r="C8" i="50"/>
  <c r="C38" i="49"/>
  <c r="C32" i="49"/>
  <c r="C29" i="49"/>
  <c r="B27" i="49"/>
  <c r="C25" i="49"/>
  <c r="C20" i="49"/>
  <c r="C16" i="49"/>
  <c r="C19" i="49" s="1"/>
  <c r="C10" i="49"/>
  <c r="H196" i="29"/>
  <c r="H195" i="29"/>
  <c r="H194" i="29"/>
  <c r="E126" i="29"/>
  <c r="K126" i="29" s="1"/>
  <c r="K70" i="29"/>
  <c r="I70" i="29"/>
  <c r="G69" i="29"/>
  <c r="E69" i="29" s="1"/>
  <c r="G67" i="29"/>
  <c r="E67" i="29" s="1"/>
  <c r="AQ66" i="29"/>
  <c r="G65" i="29"/>
  <c r="E65" i="29" s="1"/>
  <c r="E70" i="29" s="1"/>
  <c r="AQ43" i="28"/>
  <c r="J37" i="28"/>
  <c r="I37" i="28"/>
  <c r="H37" i="28"/>
  <c r="G37" i="28"/>
  <c r="F37" i="28"/>
  <c r="I31" i="28"/>
  <c r="H31" i="28"/>
  <c r="G31" i="28"/>
  <c r="J30" i="28"/>
  <c r="F30" i="28" s="1"/>
  <c r="J28" i="28"/>
  <c r="F28" i="28" s="1"/>
  <c r="J26" i="28"/>
  <c r="J31" i="28" s="1"/>
  <c r="I23" i="28"/>
  <c r="H23" i="28"/>
  <c r="J22" i="28"/>
  <c r="F22" i="28" s="1"/>
  <c r="J21" i="28"/>
  <c r="F21" i="28" s="1"/>
  <c r="J19" i="28"/>
  <c r="F19" i="28" s="1"/>
  <c r="F18" i="28"/>
  <c r="J17" i="28"/>
  <c r="J23" i="28" s="1"/>
  <c r="G17" i="28"/>
  <c r="G100" i="26"/>
  <c r="I99" i="26"/>
  <c r="K99" i="26" s="1"/>
  <c r="I96" i="26"/>
  <c r="E83" i="26"/>
  <c r="K83" i="26" s="1"/>
  <c r="G66" i="26"/>
  <c r="G65" i="26"/>
  <c r="G64" i="26"/>
  <c r="G63" i="26"/>
  <c r="G62" i="26"/>
  <c r="G61" i="26"/>
  <c r="G60" i="26"/>
  <c r="G59" i="26"/>
  <c r="G58" i="26"/>
  <c r="M47" i="26"/>
  <c r="I45" i="26"/>
  <c r="K43" i="26" s="1"/>
  <c r="G45" i="26"/>
  <c r="L44" i="26"/>
  <c r="L43" i="26"/>
  <c r="L42" i="26"/>
  <c r="L41" i="26"/>
  <c r="L40" i="26"/>
  <c r="L39" i="26"/>
  <c r="A3" i="26"/>
  <c r="A19" i="26" s="1"/>
  <c r="A33" i="26" s="1"/>
  <c r="A49" i="26" s="1"/>
  <c r="A73" i="26" s="1"/>
  <c r="A102" i="26" s="1"/>
  <c r="A106" i="26" s="1"/>
  <c r="A1" i="26"/>
  <c r="A71" i="26" s="1"/>
  <c r="A1" i="28" s="1"/>
  <c r="A1" i="29" s="1"/>
  <c r="A72" i="29" s="1"/>
  <c r="A140" i="29" s="1"/>
  <c r="J126" i="47"/>
  <c r="I126" i="47"/>
  <c r="G126" i="47"/>
  <c r="K126" i="47" s="1"/>
  <c r="I123" i="47"/>
  <c r="G123" i="47"/>
  <c r="K123" i="47" s="1"/>
  <c r="J122" i="47"/>
  <c r="J120" i="47"/>
  <c r="I120" i="47"/>
  <c r="G120" i="47"/>
  <c r="K120" i="47" s="1"/>
  <c r="N118" i="47"/>
  <c r="J117" i="47"/>
  <c r="I117" i="47"/>
  <c r="G117" i="47"/>
  <c r="K117" i="47" s="1"/>
  <c r="J114" i="47"/>
  <c r="I114" i="47"/>
  <c r="G114" i="47"/>
  <c r="K114" i="47" s="1"/>
  <c r="J111" i="47"/>
  <c r="I111" i="47"/>
  <c r="G111" i="47"/>
  <c r="K111" i="47" s="1"/>
  <c r="H109" i="47"/>
  <c r="J108" i="47"/>
  <c r="J109" i="47" s="1"/>
  <c r="I108" i="47"/>
  <c r="I109" i="47" s="1"/>
  <c r="G108" i="47"/>
  <c r="K108" i="47" s="1"/>
  <c r="G107" i="47"/>
  <c r="K107" i="47" s="1"/>
  <c r="G106" i="47"/>
  <c r="K106" i="47" s="1"/>
  <c r="K105" i="47"/>
  <c r="G105" i="47"/>
  <c r="G104" i="47"/>
  <c r="K104" i="47" s="1"/>
  <c r="J101" i="47"/>
  <c r="I101" i="47"/>
  <c r="G101" i="47"/>
  <c r="K101" i="47" s="1"/>
  <c r="J100" i="47"/>
  <c r="I100" i="47"/>
  <c r="G100" i="47"/>
  <c r="K100" i="47" s="1"/>
  <c r="H98" i="47"/>
  <c r="J97" i="47"/>
  <c r="I97" i="47"/>
  <c r="G97" i="47"/>
  <c r="K97" i="47" s="1"/>
  <c r="J96" i="47"/>
  <c r="I96" i="47"/>
  <c r="G96" i="47"/>
  <c r="K96" i="47" s="1"/>
  <c r="J95" i="47"/>
  <c r="J98" i="47" s="1"/>
  <c r="I95" i="47"/>
  <c r="G95" i="47"/>
  <c r="K95" i="47" s="1"/>
  <c r="H93" i="47"/>
  <c r="J92" i="47"/>
  <c r="I92" i="47"/>
  <c r="G92" i="47"/>
  <c r="K92" i="47" s="1"/>
  <c r="J91" i="47"/>
  <c r="I91" i="47"/>
  <c r="G91" i="47"/>
  <c r="K91" i="47" s="1"/>
  <c r="J90" i="47"/>
  <c r="J93" i="47" s="1"/>
  <c r="G90" i="47"/>
  <c r="K90" i="47" s="1"/>
  <c r="J87" i="47"/>
  <c r="I87" i="47"/>
  <c r="G87" i="47"/>
  <c r="K87" i="47" s="1"/>
  <c r="M84" i="47"/>
  <c r="M118" i="47" s="1"/>
  <c r="L82" i="47"/>
  <c r="J68" i="47"/>
  <c r="I68" i="47"/>
  <c r="G68" i="47"/>
  <c r="K68" i="47" s="1"/>
  <c r="J65" i="47"/>
  <c r="I65" i="47"/>
  <c r="G65" i="47"/>
  <c r="K65" i="47" s="1"/>
  <c r="J63" i="47"/>
  <c r="H63" i="47"/>
  <c r="I62" i="47"/>
  <c r="G62" i="47"/>
  <c r="K62" i="47" s="1"/>
  <c r="I61" i="47"/>
  <c r="G61" i="47"/>
  <c r="K61" i="47" s="1"/>
  <c r="K60" i="47"/>
  <c r="I60" i="47"/>
  <c r="G60" i="47"/>
  <c r="I59" i="47"/>
  <c r="G59" i="47"/>
  <c r="K59" i="47" s="1"/>
  <c r="I58" i="47"/>
  <c r="G58" i="47"/>
  <c r="K58" i="47" s="1"/>
  <c r="I57" i="47"/>
  <c r="G57" i="47"/>
  <c r="K57" i="47" s="1"/>
  <c r="J54" i="47"/>
  <c r="I54" i="47"/>
  <c r="G54" i="47"/>
  <c r="K54" i="47" s="1"/>
  <c r="J53" i="47"/>
  <c r="I53" i="47"/>
  <c r="G53" i="47"/>
  <c r="K53" i="47" s="1"/>
  <c r="J51" i="47"/>
  <c r="H51" i="47"/>
  <c r="I50" i="47"/>
  <c r="G50" i="47"/>
  <c r="K50" i="47" s="1"/>
  <c r="I49" i="47"/>
  <c r="G49" i="47"/>
  <c r="K49" i="47" s="1"/>
  <c r="I48" i="47"/>
  <c r="G48" i="47"/>
  <c r="K48" i="47" s="1"/>
  <c r="K47" i="47"/>
  <c r="I47" i="47"/>
  <c r="G47" i="47"/>
  <c r="I46" i="47"/>
  <c r="G46" i="47"/>
  <c r="K46" i="47" s="1"/>
  <c r="I45" i="47"/>
  <c r="G45" i="47"/>
  <c r="K45" i="47" s="1"/>
  <c r="I44" i="47"/>
  <c r="G44" i="47"/>
  <c r="K44" i="47" s="1"/>
  <c r="K43" i="47"/>
  <c r="I43" i="47"/>
  <c r="G43" i="47"/>
  <c r="H41" i="47"/>
  <c r="J40" i="47"/>
  <c r="J41" i="47" s="1"/>
  <c r="I40" i="47"/>
  <c r="I41" i="47" s="1"/>
  <c r="G40" i="47"/>
  <c r="K40" i="47" s="1"/>
  <c r="G39" i="47"/>
  <c r="K39" i="47" s="1"/>
  <c r="G38" i="47"/>
  <c r="K38" i="47" s="1"/>
  <c r="G37" i="47"/>
  <c r="K37" i="47" s="1"/>
  <c r="G36" i="47"/>
  <c r="K36" i="47" s="1"/>
  <c r="J33" i="47"/>
  <c r="I33" i="47"/>
  <c r="G33" i="47"/>
  <c r="K33" i="47" s="1"/>
  <c r="H31" i="47"/>
  <c r="J30" i="47"/>
  <c r="I30" i="47"/>
  <c r="G30" i="47"/>
  <c r="K30" i="47" s="1"/>
  <c r="J29" i="47"/>
  <c r="I29" i="47"/>
  <c r="G29" i="47"/>
  <c r="K29" i="47" s="1"/>
  <c r="J28" i="47"/>
  <c r="I28" i="47"/>
  <c r="G28" i="47"/>
  <c r="K28" i="47" s="1"/>
  <c r="J27" i="47"/>
  <c r="I27" i="47"/>
  <c r="G27" i="47"/>
  <c r="K27" i="47" s="1"/>
  <c r="J26" i="47"/>
  <c r="I26" i="47"/>
  <c r="G26" i="47"/>
  <c r="K26" i="47" s="1"/>
  <c r="J25" i="47"/>
  <c r="I25" i="47"/>
  <c r="G25" i="47"/>
  <c r="K25" i="47" s="1"/>
  <c r="J24" i="47"/>
  <c r="I24" i="47"/>
  <c r="G24" i="47"/>
  <c r="K24" i="47" s="1"/>
  <c r="J23" i="47"/>
  <c r="I23" i="47"/>
  <c r="G23" i="47"/>
  <c r="K23" i="47" s="1"/>
  <c r="J22" i="47"/>
  <c r="J31" i="47" s="1"/>
  <c r="I22" i="47"/>
  <c r="G22" i="47"/>
  <c r="K22" i="47" s="1"/>
  <c r="J62" i="32"/>
  <c r="J54" i="32"/>
  <c r="J57" i="32" s="1"/>
  <c r="J50" i="32"/>
  <c r="A46" i="32"/>
  <c r="A51" i="32" s="1"/>
  <c r="A58" i="32" s="1"/>
  <c r="A64" i="32" s="1"/>
  <c r="H60" i="32" s="1"/>
  <c r="J44" i="32"/>
  <c r="G34" i="32"/>
  <c r="C34" i="32"/>
  <c r="H32" i="32"/>
  <c r="F32" i="32"/>
  <c r="H31" i="32"/>
  <c r="F31" i="32"/>
  <c r="J30" i="32"/>
  <c r="H30" i="32"/>
  <c r="F30" i="32"/>
  <c r="H29" i="32"/>
  <c r="F29" i="32"/>
  <c r="H28" i="32"/>
  <c r="F28" i="32"/>
  <c r="H27" i="32"/>
  <c r="F27" i="32"/>
  <c r="H26" i="32"/>
  <c r="F26" i="32"/>
  <c r="H25" i="32"/>
  <c r="F25" i="32"/>
  <c r="H24" i="32"/>
  <c r="F24" i="32"/>
  <c r="H23" i="32"/>
  <c r="E23" i="32"/>
  <c r="D23" i="32"/>
  <c r="H22" i="32"/>
  <c r="F22" i="32"/>
  <c r="H21" i="32"/>
  <c r="F21" i="32"/>
  <c r="H20" i="32"/>
  <c r="D20" i="32"/>
  <c r="F20" i="32" s="1"/>
  <c r="H19" i="32"/>
  <c r="F19" i="32"/>
  <c r="E19" i="32"/>
  <c r="D19" i="32"/>
  <c r="H18" i="32"/>
  <c r="F18" i="32"/>
  <c r="H17" i="32"/>
  <c r="F17" i="32"/>
  <c r="H16" i="32"/>
  <c r="F16" i="32"/>
  <c r="H15" i="32"/>
  <c r="F15" i="32"/>
  <c r="H14" i="32"/>
  <c r="F14" i="32"/>
  <c r="H13" i="32"/>
  <c r="F13" i="32"/>
  <c r="H121" i="21"/>
  <c r="H118" i="21"/>
  <c r="O115" i="21"/>
  <c r="O116" i="21" s="1"/>
  <c r="H115" i="21"/>
  <c r="O113" i="21"/>
  <c r="H112" i="21"/>
  <c r="K109" i="21"/>
  <c r="H109" i="21"/>
  <c r="L109" i="21" s="1"/>
  <c r="K106" i="21"/>
  <c r="H106" i="21"/>
  <c r="I104" i="21"/>
  <c r="H103" i="21"/>
  <c r="H102" i="21"/>
  <c r="L102" i="21" s="1"/>
  <c r="H101" i="21"/>
  <c r="H100" i="21"/>
  <c r="H99" i="21"/>
  <c r="H96" i="21"/>
  <c r="H95" i="21"/>
  <c r="I93" i="21"/>
  <c r="F92" i="21"/>
  <c r="H92" i="21" s="1"/>
  <c r="H91" i="21"/>
  <c r="H90" i="21"/>
  <c r="I88" i="21"/>
  <c r="H87" i="21"/>
  <c r="H86" i="21"/>
  <c r="H85" i="21"/>
  <c r="H82" i="21"/>
  <c r="N79" i="21"/>
  <c r="N113" i="21" s="1"/>
  <c r="P73" i="21"/>
  <c r="P70" i="21"/>
  <c r="H63" i="21"/>
  <c r="H60" i="21"/>
  <c r="I58" i="21"/>
  <c r="H57" i="21"/>
  <c r="L57" i="21" s="1"/>
  <c r="H56" i="21"/>
  <c r="H55" i="21"/>
  <c r="L55" i="21" s="1"/>
  <c r="H54" i="21"/>
  <c r="H53" i="21"/>
  <c r="H52" i="21"/>
  <c r="H49" i="21"/>
  <c r="H48" i="21"/>
  <c r="I46" i="21"/>
  <c r="H45" i="21"/>
  <c r="H44" i="21"/>
  <c r="H43" i="21"/>
  <c r="H42" i="21"/>
  <c r="H41" i="21"/>
  <c r="H40" i="21"/>
  <c r="H39" i="21"/>
  <c r="L39" i="21" s="1"/>
  <c r="H38" i="21"/>
  <c r="I36" i="21"/>
  <c r="H35" i="21"/>
  <c r="L35" i="21" s="1"/>
  <c r="H34" i="21"/>
  <c r="H33" i="21"/>
  <c r="H32" i="21"/>
  <c r="H31" i="21"/>
  <c r="H28" i="21"/>
  <c r="I26" i="21"/>
  <c r="H25" i="21"/>
  <c r="H24" i="21"/>
  <c r="H23" i="21"/>
  <c r="H22" i="21"/>
  <c r="H21" i="21"/>
  <c r="H20" i="21"/>
  <c r="L20" i="21" s="1"/>
  <c r="H19" i="21"/>
  <c r="H18" i="21"/>
  <c r="L18" i="21" s="1"/>
  <c r="H17" i="21"/>
  <c r="A1" i="21"/>
  <c r="A1" i="32" s="1"/>
  <c r="AE107" i="46"/>
  <c r="F106" i="46"/>
  <c r="F103" i="46"/>
  <c r="AE91" i="46"/>
  <c r="G90" i="46"/>
  <c r="G89" i="46"/>
  <c r="G91" i="46" s="1"/>
  <c r="A87" i="46"/>
  <c r="A93" i="46" s="1"/>
  <c r="A95" i="46" s="1"/>
  <c r="F90" i="46" s="1"/>
  <c r="A38" i="46"/>
  <c r="A40" i="46" s="1"/>
  <c r="D156" i="63"/>
  <c r="C156" i="63"/>
  <c r="E174" i="75"/>
  <c r="G172" i="75"/>
  <c r="F172" i="75"/>
  <c r="G171" i="75"/>
  <c r="F171" i="75"/>
  <c r="G170" i="75"/>
  <c r="F170" i="75"/>
  <c r="G169" i="75"/>
  <c r="G168" i="75"/>
  <c r="G167" i="75"/>
  <c r="G166" i="75"/>
  <c r="G165" i="75"/>
  <c r="F165" i="75"/>
  <c r="F164" i="75"/>
  <c r="G163" i="75"/>
  <c r="F163" i="75"/>
  <c r="G162" i="75"/>
  <c r="F162" i="75"/>
  <c r="G161" i="75"/>
  <c r="F161" i="75"/>
  <c r="G160" i="75"/>
  <c r="F160" i="75"/>
  <c r="G159" i="75"/>
  <c r="F159" i="75"/>
  <c r="F33" i="2" s="1"/>
  <c r="J33" i="2" s="1"/>
  <c r="G158" i="75"/>
  <c r="F158" i="75"/>
  <c r="G156" i="75"/>
  <c r="F156" i="75"/>
  <c r="G155" i="75"/>
  <c r="F155" i="75"/>
  <c r="G154" i="75"/>
  <c r="F154" i="75"/>
  <c r="F29" i="2" s="1"/>
  <c r="G153" i="75"/>
  <c r="F153" i="75"/>
  <c r="F31" i="2" s="1"/>
  <c r="G152" i="75"/>
  <c r="F152" i="75"/>
  <c r="F28" i="2" s="1"/>
  <c r="G151" i="75"/>
  <c r="F151" i="75"/>
  <c r="F27" i="2" s="1"/>
  <c r="G150" i="75"/>
  <c r="F150" i="75"/>
  <c r="J27" i="2" s="1"/>
  <c r="G149" i="75"/>
  <c r="F149" i="75"/>
  <c r="G148" i="75"/>
  <c r="F148" i="75"/>
  <c r="G147" i="75"/>
  <c r="F147" i="75"/>
  <c r="G146" i="75"/>
  <c r="F146" i="75"/>
  <c r="F21" i="2" s="1"/>
  <c r="G143" i="75"/>
  <c r="F143" i="75"/>
  <c r="G142" i="75"/>
  <c r="F142" i="75"/>
  <c r="G141" i="75"/>
  <c r="F141" i="75"/>
  <c r="G140" i="75"/>
  <c r="F140" i="75"/>
  <c r="G139" i="75"/>
  <c r="H139" i="75" s="1"/>
  <c r="F17" i="2" s="1"/>
  <c r="F139" i="75"/>
  <c r="G138" i="75"/>
  <c r="H138" i="75" s="1"/>
  <c r="F13" i="2" s="1"/>
  <c r="F138" i="75"/>
  <c r="G137" i="75"/>
  <c r="F137" i="75"/>
  <c r="G136" i="75"/>
  <c r="F136" i="75"/>
  <c r="G135" i="75"/>
  <c r="F135" i="75"/>
  <c r="G134" i="75"/>
  <c r="F134" i="75"/>
  <c r="G133" i="75"/>
  <c r="F133" i="75"/>
  <c r="G132" i="75"/>
  <c r="F132" i="75"/>
  <c r="G131" i="75"/>
  <c r="F131" i="75"/>
  <c r="G130" i="75"/>
  <c r="F130" i="75"/>
  <c r="G129" i="75"/>
  <c r="F129" i="75"/>
  <c r="G128" i="75"/>
  <c r="F128" i="75"/>
  <c r="G127" i="75"/>
  <c r="F127" i="75"/>
  <c r="G126" i="75"/>
  <c r="F126" i="75"/>
  <c r="G125" i="75"/>
  <c r="F125" i="75"/>
  <c r="G124" i="75"/>
  <c r="F124" i="75"/>
  <c r="H124" i="75" s="1"/>
  <c r="G123" i="75"/>
  <c r="H123" i="75" s="1"/>
  <c r="F12" i="2" s="1"/>
  <c r="F123" i="75"/>
  <c r="G122" i="75"/>
  <c r="F122" i="75"/>
  <c r="G121" i="75"/>
  <c r="F121" i="75"/>
  <c r="G118" i="75"/>
  <c r="F118" i="75"/>
  <c r="G117" i="75"/>
  <c r="F117" i="75"/>
  <c r="G115" i="75"/>
  <c r="F115" i="75"/>
  <c r="G114" i="75"/>
  <c r="F114" i="75"/>
  <c r="G113" i="75"/>
  <c r="F113" i="75"/>
  <c r="G112" i="75"/>
  <c r="F112" i="75"/>
  <c r="G111" i="75"/>
  <c r="J15" i="80" s="1"/>
  <c r="F111" i="75"/>
  <c r="G110" i="75"/>
  <c r="J16" i="80" s="1"/>
  <c r="F110" i="75"/>
  <c r="G109" i="75"/>
  <c r="J14" i="80" s="1"/>
  <c r="F109" i="75"/>
  <c r="G108" i="75"/>
  <c r="J13" i="80" s="1"/>
  <c r="F108" i="75"/>
  <c r="G107" i="75"/>
  <c r="F107" i="75"/>
  <c r="G106" i="75"/>
  <c r="F106" i="75"/>
  <c r="G105" i="75"/>
  <c r="F105" i="75"/>
  <c r="G104" i="75"/>
  <c r="F104" i="75"/>
  <c r="G103" i="75"/>
  <c r="F103" i="75"/>
  <c r="G102" i="75"/>
  <c r="F102" i="75"/>
  <c r="G101" i="75"/>
  <c r="F101" i="75"/>
  <c r="G100" i="75"/>
  <c r="F100" i="75"/>
  <c r="G99" i="75"/>
  <c r="F99" i="75"/>
  <c r="G98" i="75"/>
  <c r="F98" i="75"/>
  <c r="G97" i="75"/>
  <c r="F97" i="75"/>
  <c r="G96" i="75"/>
  <c r="F96" i="75"/>
  <c r="G95" i="75"/>
  <c r="F95" i="75"/>
  <c r="G94" i="75"/>
  <c r="F94" i="75"/>
  <c r="G93" i="75"/>
  <c r="F23" i="1" s="1"/>
  <c r="F93" i="75"/>
  <c r="G92" i="75"/>
  <c r="F92" i="75"/>
  <c r="G91" i="75"/>
  <c r="F91" i="75"/>
  <c r="G90" i="75"/>
  <c r="I102" i="83" s="1"/>
  <c r="F90" i="75"/>
  <c r="G89" i="75"/>
  <c r="J10" i="80" s="1"/>
  <c r="F89" i="75"/>
  <c r="G88" i="75"/>
  <c r="I103" i="83" s="1"/>
  <c r="F88" i="75"/>
  <c r="G87" i="75"/>
  <c r="F87" i="75"/>
  <c r="G86" i="75"/>
  <c r="I96" i="83" s="1"/>
  <c r="F86" i="75"/>
  <c r="G85" i="75"/>
  <c r="F85" i="75"/>
  <c r="G84" i="75"/>
  <c r="F84" i="75"/>
  <c r="G83" i="75"/>
  <c r="F83" i="75"/>
  <c r="G80" i="75"/>
  <c r="F80" i="75"/>
  <c r="G79" i="75"/>
  <c r="F79" i="75"/>
  <c r="G78" i="75"/>
  <c r="F78" i="75"/>
  <c r="G77" i="75"/>
  <c r="F77" i="75"/>
  <c r="G76" i="75"/>
  <c r="F76" i="75"/>
  <c r="G75" i="75"/>
  <c r="F75" i="75"/>
  <c r="G74" i="75"/>
  <c r="F74" i="75"/>
  <c r="G73" i="75"/>
  <c r="F73" i="75"/>
  <c r="G71" i="75"/>
  <c r="F71" i="75"/>
  <c r="G70" i="75"/>
  <c r="F70" i="75"/>
  <c r="G69" i="75"/>
  <c r="F69" i="75"/>
  <c r="G68" i="75"/>
  <c r="F68" i="75"/>
  <c r="G67" i="75"/>
  <c r="F67" i="75"/>
  <c r="G66" i="75"/>
  <c r="F66" i="75"/>
  <c r="G65" i="75"/>
  <c r="F65" i="75"/>
  <c r="G64" i="75"/>
  <c r="F64" i="75"/>
  <c r="G63" i="75"/>
  <c r="F63" i="75"/>
  <c r="G62" i="75"/>
  <c r="F62" i="75"/>
  <c r="G61" i="75"/>
  <c r="F61" i="75"/>
  <c r="G60" i="75"/>
  <c r="F60" i="75"/>
  <c r="G59" i="75"/>
  <c r="F59" i="75"/>
  <c r="G58" i="75"/>
  <c r="F58" i="75"/>
  <c r="G57" i="75"/>
  <c r="F57" i="75"/>
  <c r="G56" i="75"/>
  <c r="F56" i="75"/>
  <c r="G55" i="75"/>
  <c r="F55" i="75"/>
  <c r="G54" i="75"/>
  <c r="F54" i="75"/>
  <c r="G53" i="75"/>
  <c r="F53" i="75"/>
  <c r="G52" i="75"/>
  <c r="F52" i="75"/>
  <c r="G51" i="75"/>
  <c r="F51" i="75"/>
  <c r="G50" i="75"/>
  <c r="F50" i="75"/>
  <c r="G49" i="75"/>
  <c r="F49" i="75"/>
  <c r="G48" i="75"/>
  <c r="F48" i="75"/>
  <c r="F15" i="1"/>
  <c r="I15" i="1" s="1"/>
  <c r="G47" i="75"/>
  <c r="F47" i="75"/>
  <c r="I104" i="83" s="1"/>
  <c r="G46" i="75"/>
  <c r="F46" i="75"/>
  <c r="G45" i="75"/>
  <c r="F45" i="75"/>
  <c r="G44" i="75"/>
  <c r="F44" i="75"/>
  <c r="G43" i="75"/>
  <c r="F43" i="75"/>
  <c r="G42" i="75"/>
  <c r="F42" i="75"/>
  <c r="G41" i="75"/>
  <c r="F41" i="75"/>
  <c r="G40" i="75"/>
  <c r="F40" i="75"/>
  <c r="H36" i="75" s="1"/>
  <c r="G39" i="75"/>
  <c r="F39" i="75"/>
  <c r="G38" i="75"/>
  <c r="F38" i="75"/>
  <c r="G37" i="75"/>
  <c r="F37" i="75"/>
  <c r="G36" i="75"/>
  <c r="F36" i="75"/>
  <c r="G35" i="75"/>
  <c r="F35" i="75"/>
  <c r="H34" i="75" s="1"/>
  <c r="G34" i="75"/>
  <c r="F34" i="75"/>
  <c r="F13" i="1" s="1"/>
  <c r="I13" i="1" s="1"/>
  <c r="G33" i="75"/>
  <c r="F33" i="75"/>
  <c r="G32" i="75"/>
  <c r="F32" i="75"/>
  <c r="G31" i="75"/>
  <c r="F31" i="75"/>
  <c r="G30" i="75"/>
  <c r="F30" i="75"/>
  <c r="G29" i="75"/>
  <c r="F29" i="75"/>
  <c r="G28" i="75"/>
  <c r="F28" i="75"/>
  <c r="G27" i="75"/>
  <c r="F27" i="75"/>
  <c r="G26" i="75"/>
  <c r="F26" i="75"/>
  <c r="G25" i="75"/>
  <c r="F25" i="75"/>
  <c r="G24" i="75"/>
  <c r="F24" i="75"/>
  <c r="G23" i="75"/>
  <c r="F23" i="75"/>
  <c r="G22" i="75"/>
  <c r="F22" i="75"/>
  <c r="G21" i="75"/>
  <c r="F21" i="75"/>
  <c r="G20" i="75"/>
  <c r="F20" i="75"/>
  <c r="G19" i="75"/>
  <c r="F19" i="75"/>
  <c r="G18" i="75"/>
  <c r="F18" i="75"/>
  <c r="G17" i="75"/>
  <c r="F17" i="75"/>
  <c r="G16" i="75"/>
  <c r="F16" i="75"/>
  <c r="G15" i="75"/>
  <c r="F15" i="75"/>
  <c r="G14" i="75"/>
  <c r="F14" i="75"/>
  <c r="G13" i="75"/>
  <c r="F13" i="75"/>
  <c r="G12" i="75"/>
  <c r="F12" i="75"/>
  <c r="G11" i="75"/>
  <c r="F11" i="75"/>
  <c r="G10" i="75"/>
  <c r="F10" i="75"/>
  <c r="G9" i="75"/>
  <c r="F9" i="75"/>
  <c r="G8" i="75"/>
  <c r="F8" i="75"/>
  <c r="G7" i="75"/>
  <c r="F7" i="75"/>
  <c r="G6" i="75"/>
  <c r="F6" i="75"/>
  <c r="D188" i="54"/>
  <c r="C188" i="54"/>
  <c r="H185" i="54"/>
  <c r="F180" i="54"/>
  <c r="F174" i="54"/>
  <c r="H168" i="54"/>
  <c r="H165" i="54"/>
  <c r="H162" i="54"/>
  <c r="M160" i="54"/>
  <c r="I160" i="54"/>
  <c r="H160" i="54"/>
  <c r="H158" i="54"/>
  <c r="H156" i="54"/>
  <c r="J155" i="54"/>
  <c r="H155" i="54"/>
  <c r="H154" i="54"/>
  <c r="H153" i="54"/>
  <c r="I153" i="54" s="1"/>
  <c r="H151" i="54"/>
  <c r="H148" i="54"/>
  <c r="H142" i="54"/>
  <c r="H141" i="54"/>
  <c r="H139" i="54"/>
  <c r="H137" i="54"/>
  <c r="H135" i="54"/>
  <c r="H134" i="54"/>
  <c r="H133" i="54"/>
  <c r="H132" i="54"/>
  <c r="I131" i="54"/>
  <c r="H131" i="54"/>
  <c r="F129" i="54"/>
  <c r="H129" i="54" s="1"/>
  <c r="H128" i="54"/>
  <c r="F125" i="54"/>
  <c r="J119" i="54"/>
  <c r="H119" i="54"/>
  <c r="H118" i="54"/>
  <c r="H111" i="54"/>
  <c r="H109" i="54"/>
  <c r="H107" i="54"/>
  <c r="F107" i="54"/>
  <c r="N106" i="54"/>
  <c r="E106" i="54"/>
  <c r="O105" i="54"/>
  <c r="M105" i="54"/>
  <c r="E104" i="54"/>
  <c r="F103" i="54"/>
  <c r="H103" i="54" s="1"/>
  <c r="E102" i="54"/>
  <c r="E101" i="54"/>
  <c r="E100" i="54"/>
  <c r="E99" i="54"/>
  <c r="E98" i="54"/>
  <c r="E97" i="54"/>
  <c r="F96" i="54"/>
  <c r="E86" i="54"/>
  <c r="H84" i="54"/>
  <c r="H82" i="54"/>
  <c r="H80" i="54"/>
  <c r="F78" i="54"/>
  <c r="E78" i="54"/>
  <c r="F77" i="54"/>
  <c r="E77" i="54"/>
  <c r="H76" i="54"/>
  <c r="F76" i="54"/>
  <c r="E76" i="54"/>
  <c r="F75" i="54"/>
  <c r="E75" i="54"/>
  <c r="F74" i="54"/>
  <c r="E74" i="54"/>
  <c r="F73" i="54"/>
  <c r="E73" i="54"/>
  <c r="H71" i="54"/>
  <c r="H67" i="54"/>
  <c r="I67" i="54" s="1"/>
  <c r="H66" i="54"/>
  <c r="H65" i="54"/>
  <c r="F53" i="54"/>
  <c r="F51" i="54"/>
  <c r="H47" i="54"/>
  <c r="H42" i="54"/>
  <c r="E42" i="54"/>
  <c r="H41" i="54"/>
  <c r="J37" i="54"/>
  <c r="L36" i="54"/>
  <c r="M36" i="54" s="1"/>
  <c r="J36" i="54" s="1"/>
  <c r="K36" i="54" s="1"/>
  <c r="I36" i="54"/>
  <c r="H36" i="54"/>
  <c r="I34" i="54"/>
  <c r="G31" i="54"/>
  <c r="H30" i="54"/>
  <c r="G30" i="54"/>
  <c r="G29" i="54"/>
  <c r="G28" i="54"/>
  <c r="G27" i="54"/>
  <c r="G26" i="54"/>
  <c r="G25" i="54"/>
  <c r="G24" i="54"/>
  <c r="G23" i="54"/>
  <c r="E23" i="54"/>
  <c r="F23" i="54" s="1"/>
  <c r="G22" i="54"/>
  <c r="G21" i="54"/>
  <c r="G20" i="54"/>
  <c r="G19" i="54"/>
  <c r="G18" i="54"/>
  <c r="G17" i="54"/>
  <c r="G16" i="54"/>
  <c r="M15" i="54"/>
  <c r="G15" i="54"/>
  <c r="G14" i="54"/>
  <c r="G13" i="54"/>
  <c r="H12" i="54"/>
  <c r="I12" i="54" s="1"/>
  <c r="G12" i="54"/>
  <c r="K11" i="54"/>
  <c r="M14" i="54" s="1"/>
  <c r="I11" i="54"/>
  <c r="H11" i="54"/>
  <c r="G11" i="54"/>
  <c r="K10" i="54"/>
  <c r="G10" i="54"/>
  <c r="K9" i="54"/>
  <c r="G9" i="54"/>
  <c r="D5" i="54"/>
  <c r="C5" i="54"/>
  <c r="E5" i="54" s="1"/>
  <c r="B56" i="61"/>
  <c r="B51" i="61"/>
  <c r="B46" i="61"/>
  <c r="B41" i="61"/>
  <c r="B36" i="61"/>
  <c r="B31" i="61"/>
  <c r="B26" i="61"/>
  <c r="B20" i="61"/>
  <c r="B16" i="61"/>
  <c r="D14" i="61" s="1"/>
  <c r="D13" i="61"/>
  <c r="A13" i="61"/>
  <c r="A12" i="61"/>
  <c r="A556" i="67"/>
  <c r="G38" i="67"/>
  <c r="G27" i="67"/>
  <c r="G25" i="67"/>
  <c r="G23" i="67"/>
  <c r="Z16" i="83"/>
  <c r="AY13" i="83"/>
  <c r="AX13" i="83"/>
  <c r="AX12" i="83"/>
  <c r="Z12" i="83"/>
  <c r="Z10" i="83"/>
  <c r="Z7" i="83"/>
  <c r="I585" i="65"/>
  <c r="I584" i="65"/>
  <c r="I583" i="65"/>
  <c r="I582" i="65"/>
  <c r="I581" i="65"/>
  <c r="I580" i="65"/>
  <c r="I579" i="65"/>
  <c r="I578" i="65"/>
  <c r="I577" i="65"/>
  <c r="I576" i="65"/>
  <c r="I575" i="65"/>
  <c r="I574" i="65"/>
  <c r="I573" i="65"/>
  <c r="I572" i="65"/>
  <c r="I571" i="65"/>
  <c r="I570" i="65"/>
  <c r="I569" i="65"/>
  <c r="I568" i="65"/>
  <c r="I567" i="65"/>
  <c r="I566" i="65"/>
  <c r="I565" i="65"/>
  <c r="I564" i="65"/>
  <c r="I563" i="65"/>
  <c r="I562" i="65"/>
  <c r="I561" i="65"/>
  <c r="I560" i="65"/>
  <c r="I559" i="65"/>
  <c r="I558" i="65"/>
  <c r="I557" i="65"/>
  <c r="I556" i="65"/>
  <c r="I555" i="65"/>
  <c r="I554" i="65"/>
  <c r="I553" i="65"/>
  <c r="I552" i="65"/>
  <c r="I551" i="65"/>
  <c r="I550" i="65"/>
  <c r="I549" i="65"/>
  <c r="I548" i="65"/>
  <c r="I547" i="65"/>
  <c r="I546" i="65"/>
  <c r="I545" i="65"/>
  <c r="I544" i="65"/>
  <c r="I543" i="65"/>
  <c r="I542" i="65"/>
  <c r="I541" i="65"/>
  <c r="I540" i="65"/>
  <c r="I539" i="65"/>
  <c r="I538" i="65"/>
  <c r="I537" i="65"/>
  <c r="I536" i="65"/>
  <c r="I535" i="65"/>
  <c r="I534" i="65"/>
  <c r="I533" i="65"/>
  <c r="I532" i="65"/>
  <c r="I531" i="65"/>
  <c r="I530" i="65"/>
  <c r="I529" i="65"/>
  <c r="I528" i="65"/>
  <c r="I527" i="65"/>
  <c r="I526" i="65"/>
  <c r="I525" i="65"/>
  <c r="I524" i="65"/>
  <c r="I523" i="65"/>
  <c r="I522" i="65"/>
  <c r="I521" i="65"/>
  <c r="I520" i="65"/>
  <c r="I519" i="65"/>
  <c r="I518" i="65"/>
  <c r="I517" i="65"/>
  <c r="I516" i="65"/>
  <c r="I515" i="65"/>
  <c r="I514" i="65"/>
  <c r="I513" i="65"/>
  <c r="I512" i="65"/>
  <c r="I511" i="65"/>
  <c r="I510" i="65"/>
  <c r="I509" i="65"/>
  <c r="I508" i="65"/>
  <c r="I507" i="65"/>
  <c r="I506" i="65"/>
  <c r="I505" i="65"/>
  <c r="I504" i="65"/>
  <c r="I503" i="65"/>
  <c r="I502" i="65"/>
  <c r="I501" i="65"/>
  <c r="I500" i="65"/>
  <c r="I499" i="65"/>
  <c r="I498" i="65"/>
  <c r="I497" i="65"/>
  <c r="I496" i="65"/>
  <c r="I495" i="65"/>
  <c r="I494" i="65"/>
  <c r="I493" i="65"/>
  <c r="I492" i="65"/>
  <c r="I491" i="65"/>
  <c r="I490" i="65"/>
  <c r="I489" i="65"/>
  <c r="I488" i="65"/>
  <c r="I487" i="65"/>
  <c r="I486" i="65"/>
  <c r="I485" i="65"/>
  <c r="I484" i="65"/>
  <c r="I483" i="65"/>
  <c r="I482" i="65"/>
  <c r="I481" i="65"/>
  <c r="I480" i="65"/>
  <c r="I479" i="65"/>
  <c r="I478" i="65"/>
  <c r="I477" i="65"/>
  <c r="I476" i="65"/>
  <c r="I475" i="65"/>
  <c r="I474" i="65"/>
  <c r="I473" i="65"/>
  <c r="I472" i="65"/>
  <c r="I471" i="65"/>
  <c r="I470" i="65"/>
  <c r="I469" i="65"/>
  <c r="I468" i="65"/>
  <c r="I467" i="65"/>
  <c r="I466" i="65"/>
  <c r="I465" i="65"/>
  <c r="I464" i="65"/>
  <c r="I463" i="65"/>
  <c r="I462" i="65"/>
  <c r="I461" i="65"/>
  <c r="I460" i="65"/>
  <c r="I459" i="65"/>
  <c r="I458" i="65"/>
  <c r="I457" i="65"/>
  <c r="I456" i="65"/>
  <c r="I455" i="65"/>
  <c r="I454" i="65"/>
  <c r="I453" i="65"/>
  <c r="I452" i="65"/>
  <c r="I451" i="65"/>
  <c r="I450" i="65"/>
  <c r="I449" i="65"/>
  <c r="I448" i="65"/>
  <c r="I447" i="65"/>
  <c r="I446" i="65"/>
  <c r="I445" i="65"/>
  <c r="I444" i="65"/>
  <c r="I443" i="65"/>
  <c r="I442" i="65"/>
  <c r="I441" i="65"/>
  <c r="I440" i="65"/>
  <c r="I439" i="65"/>
  <c r="I438" i="65"/>
  <c r="I437" i="65"/>
  <c r="I436" i="65"/>
  <c r="I435" i="65"/>
  <c r="I434" i="65"/>
  <c r="I433" i="65"/>
  <c r="I432" i="65"/>
  <c r="I431" i="65"/>
  <c r="I430" i="65"/>
  <c r="I429" i="65"/>
  <c r="I428" i="65"/>
  <c r="I427" i="65"/>
  <c r="I426" i="65"/>
  <c r="I425" i="65"/>
  <c r="I424" i="65"/>
  <c r="I423" i="65"/>
  <c r="I422" i="65"/>
  <c r="I421" i="65"/>
  <c r="I420" i="65"/>
  <c r="I419" i="65"/>
  <c r="I418" i="65"/>
  <c r="I417" i="65"/>
  <c r="I416" i="65"/>
  <c r="I415" i="65"/>
  <c r="I414" i="65"/>
  <c r="I413" i="65"/>
  <c r="I412" i="65"/>
  <c r="I411" i="65"/>
  <c r="I410" i="65"/>
  <c r="I409" i="65"/>
  <c r="I408" i="65"/>
  <c r="I407" i="65"/>
  <c r="I406" i="65"/>
  <c r="I405" i="65"/>
  <c r="I404" i="65"/>
  <c r="I403" i="65"/>
  <c r="I402" i="65"/>
  <c r="I401" i="65"/>
  <c r="I400" i="65"/>
  <c r="I399" i="65"/>
  <c r="I398" i="65"/>
  <c r="I397" i="65"/>
  <c r="I396" i="65"/>
  <c r="I395" i="65"/>
  <c r="I394" i="65"/>
  <c r="I393" i="65"/>
  <c r="I392" i="65"/>
  <c r="I391" i="65"/>
  <c r="I390" i="65"/>
  <c r="I389" i="65"/>
  <c r="I388" i="65"/>
  <c r="I387" i="65"/>
  <c r="I386" i="65"/>
  <c r="I385" i="65"/>
  <c r="I384" i="65"/>
  <c r="I383" i="65"/>
  <c r="I382" i="65"/>
  <c r="I381" i="65"/>
  <c r="I380" i="65"/>
  <c r="I379" i="65"/>
  <c r="I378" i="65"/>
  <c r="I377" i="65"/>
  <c r="I376" i="65"/>
  <c r="I375" i="65"/>
  <c r="I374" i="65"/>
  <c r="I373" i="65"/>
  <c r="I372" i="65"/>
  <c r="I371" i="65"/>
  <c r="I370" i="65"/>
  <c r="I369" i="65"/>
  <c r="I368" i="65"/>
  <c r="I367" i="65"/>
  <c r="I366" i="65"/>
  <c r="I365" i="65"/>
  <c r="I364" i="65"/>
  <c r="I363" i="65"/>
  <c r="I362" i="65"/>
  <c r="I361" i="65"/>
  <c r="I360" i="65"/>
  <c r="I359" i="65"/>
  <c r="I358" i="65"/>
  <c r="I357" i="65"/>
  <c r="I356" i="65"/>
  <c r="I355" i="65"/>
  <c r="I354" i="65"/>
  <c r="I353" i="65"/>
  <c r="I352" i="65"/>
  <c r="I351" i="65"/>
  <c r="I350" i="65"/>
  <c r="I349" i="65"/>
  <c r="I348" i="65"/>
  <c r="I347" i="65"/>
  <c r="I346" i="65"/>
  <c r="I345" i="65"/>
  <c r="I344" i="65"/>
  <c r="I343" i="65"/>
  <c r="I342" i="65"/>
  <c r="I341" i="65"/>
  <c r="I340" i="65"/>
  <c r="I339" i="65"/>
  <c r="I338" i="65"/>
  <c r="I337" i="65"/>
  <c r="I336" i="65"/>
  <c r="I335" i="65"/>
  <c r="I334" i="65"/>
  <c r="I333" i="65"/>
  <c r="I332" i="65"/>
  <c r="I331" i="65"/>
  <c r="I330" i="65"/>
  <c r="I329" i="65"/>
  <c r="I328" i="65"/>
  <c r="I327" i="65"/>
  <c r="I326" i="65"/>
  <c r="I325" i="65"/>
  <c r="I324" i="65"/>
  <c r="I323" i="65"/>
  <c r="I322" i="65"/>
  <c r="I321" i="65"/>
  <c r="I320" i="65"/>
  <c r="I319" i="65"/>
  <c r="I318" i="65"/>
  <c r="I317" i="65"/>
  <c r="I316" i="65"/>
  <c r="I315" i="65"/>
  <c r="I314" i="65"/>
  <c r="I313" i="65"/>
  <c r="I312" i="65"/>
  <c r="I311" i="65"/>
  <c r="I310" i="65"/>
  <c r="I309" i="65"/>
  <c r="I308" i="65"/>
  <c r="I307" i="65"/>
  <c r="I306" i="65"/>
  <c r="I305" i="65"/>
  <c r="I304" i="65"/>
  <c r="I303" i="65"/>
  <c r="I302" i="65"/>
  <c r="I301" i="65"/>
  <c r="I300" i="65"/>
  <c r="I299" i="65"/>
  <c r="I298" i="65"/>
  <c r="I297" i="65"/>
  <c r="I296" i="65"/>
  <c r="I295" i="65"/>
  <c r="I294" i="65"/>
  <c r="I293" i="65"/>
  <c r="I292" i="65"/>
  <c r="I291" i="65"/>
  <c r="I290" i="65"/>
  <c r="I289" i="65"/>
  <c r="I288" i="65"/>
  <c r="I287" i="65"/>
  <c r="I286" i="65"/>
  <c r="I285" i="65"/>
  <c r="I284" i="65"/>
  <c r="I283" i="65"/>
  <c r="I282" i="65"/>
  <c r="I281" i="65"/>
  <c r="I280" i="65"/>
  <c r="I279" i="65"/>
  <c r="I278" i="65"/>
  <c r="I277" i="65"/>
  <c r="I276" i="65"/>
  <c r="I275" i="65"/>
  <c r="I274" i="65"/>
  <c r="I273" i="65"/>
  <c r="I272" i="65"/>
  <c r="I271" i="65"/>
  <c r="I270" i="65"/>
  <c r="I269" i="65"/>
  <c r="I268" i="65"/>
  <c r="I267" i="65"/>
  <c r="I266" i="65"/>
  <c r="I265" i="65"/>
  <c r="I264" i="65"/>
  <c r="I263" i="65"/>
  <c r="I262" i="65"/>
  <c r="I261" i="65"/>
  <c r="I260" i="65"/>
  <c r="I259" i="65"/>
  <c r="I258" i="65"/>
  <c r="I257" i="65"/>
  <c r="I256" i="65"/>
  <c r="I255" i="65"/>
  <c r="I254" i="65"/>
  <c r="I253" i="65"/>
  <c r="I252" i="65"/>
  <c r="I251" i="65"/>
  <c r="I250" i="65"/>
  <c r="I249" i="65"/>
  <c r="I248" i="65"/>
  <c r="I247" i="65"/>
  <c r="I246" i="65"/>
  <c r="I245" i="65"/>
  <c r="I244" i="65"/>
  <c r="I243" i="65"/>
  <c r="I242" i="65"/>
  <c r="I241" i="65"/>
  <c r="I240" i="65"/>
  <c r="I239" i="65"/>
  <c r="I238" i="65"/>
  <c r="I237" i="65"/>
  <c r="I236" i="65"/>
  <c r="I235" i="65"/>
  <c r="I234" i="65"/>
  <c r="I233" i="65"/>
  <c r="I232" i="65"/>
  <c r="I231" i="65"/>
  <c r="I230" i="65"/>
  <c r="I229" i="65"/>
  <c r="I228" i="65"/>
  <c r="I227" i="65"/>
  <c r="I226" i="65"/>
  <c r="I225" i="65"/>
  <c r="I224" i="65"/>
  <c r="I223" i="65"/>
  <c r="I222" i="65"/>
  <c r="I221" i="65"/>
  <c r="I220" i="65"/>
  <c r="I219" i="65"/>
  <c r="I218" i="65"/>
  <c r="I217" i="65"/>
  <c r="I216" i="65"/>
  <c r="I215" i="65"/>
  <c r="I214" i="65"/>
  <c r="I213" i="65"/>
  <c r="I212" i="65"/>
  <c r="I211" i="65"/>
  <c r="I210" i="65"/>
  <c r="I209" i="65"/>
  <c r="I208" i="65"/>
  <c r="I207" i="65"/>
  <c r="I206" i="65"/>
  <c r="I205" i="65"/>
  <c r="I204" i="65"/>
  <c r="I203" i="65"/>
  <c r="I202" i="65"/>
  <c r="I201" i="65"/>
  <c r="I200" i="65"/>
  <c r="I199" i="65"/>
  <c r="I198" i="65"/>
  <c r="I197" i="65"/>
  <c r="I196" i="65"/>
  <c r="I195" i="65"/>
  <c r="I194" i="65"/>
  <c r="I193" i="65"/>
  <c r="I192" i="65"/>
  <c r="I191" i="65"/>
  <c r="I190" i="65"/>
  <c r="I189" i="65"/>
  <c r="I188" i="65"/>
  <c r="I187" i="65"/>
  <c r="I186" i="65"/>
  <c r="I185" i="65"/>
  <c r="I184" i="65"/>
  <c r="I183" i="65"/>
  <c r="I182" i="65"/>
  <c r="I181" i="65"/>
  <c r="I180" i="65"/>
  <c r="I179" i="65"/>
  <c r="I178" i="65"/>
  <c r="I177" i="65"/>
  <c r="I176" i="65"/>
  <c r="I175" i="65"/>
  <c r="I174" i="65"/>
  <c r="I173" i="65"/>
  <c r="I172" i="65"/>
  <c r="I171" i="65"/>
  <c r="I170" i="65"/>
  <c r="I169" i="65"/>
  <c r="I168" i="65"/>
  <c r="I167" i="65"/>
  <c r="I166" i="65"/>
  <c r="I165" i="65"/>
  <c r="I164" i="65"/>
  <c r="I163" i="65"/>
  <c r="I162" i="65"/>
  <c r="I161" i="65"/>
  <c r="I160" i="65"/>
  <c r="I159" i="65"/>
  <c r="I158" i="65"/>
  <c r="I157" i="65"/>
  <c r="I156" i="65"/>
  <c r="I155" i="65"/>
  <c r="I154" i="65"/>
  <c r="I153" i="65"/>
  <c r="I152" i="65"/>
  <c r="I151" i="65"/>
  <c r="I150" i="65"/>
  <c r="I149" i="65"/>
  <c r="I148" i="65"/>
  <c r="I147" i="65"/>
  <c r="I146" i="65"/>
  <c r="I145" i="65"/>
  <c r="I144" i="65"/>
  <c r="I143" i="65"/>
  <c r="I142" i="65"/>
  <c r="I141" i="65"/>
  <c r="I140" i="65"/>
  <c r="I139" i="65"/>
  <c r="I138" i="65"/>
  <c r="I137" i="65"/>
  <c r="I136" i="65"/>
  <c r="I135" i="65"/>
  <c r="I134" i="65"/>
  <c r="I133" i="65"/>
  <c r="I132" i="65"/>
  <c r="I131" i="65"/>
  <c r="I130" i="65"/>
  <c r="I129" i="65"/>
  <c r="I128" i="65"/>
  <c r="I127" i="65"/>
  <c r="I126" i="65"/>
  <c r="I125" i="65"/>
  <c r="I124" i="65"/>
  <c r="I123" i="65"/>
  <c r="I122" i="65"/>
  <c r="I121" i="65"/>
  <c r="I120" i="65"/>
  <c r="I119" i="65"/>
  <c r="I118" i="65"/>
  <c r="I117" i="65"/>
  <c r="I116" i="65"/>
  <c r="I115" i="65"/>
  <c r="I114" i="65"/>
  <c r="I113" i="65"/>
  <c r="I112" i="65"/>
  <c r="I111" i="65"/>
  <c r="I110" i="65"/>
  <c r="I109" i="65"/>
  <c r="I108" i="65"/>
  <c r="I107" i="65"/>
  <c r="I106" i="65"/>
  <c r="I105" i="65"/>
  <c r="I104" i="65"/>
  <c r="I103" i="65"/>
  <c r="I102" i="65"/>
  <c r="I101" i="65"/>
  <c r="I100" i="65"/>
  <c r="I99" i="65"/>
  <c r="I98" i="65"/>
  <c r="I97" i="65"/>
  <c r="I96" i="65"/>
  <c r="I95" i="65"/>
  <c r="I94" i="65"/>
  <c r="I93" i="65"/>
  <c r="I92" i="65"/>
  <c r="I91" i="65"/>
  <c r="I90" i="65"/>
  <c r="I89" i="65"/>
  <c r="I88" i="65"/>
  <c r="I87" i="65"/>
  <c r="I86" i="65"/>
  <c r="I85" i="65"/>
  <c r="I84" i="65"/>
  <c r="I83" i="65"/>
  <c r="I82" i="65"/>
  <c r="I81" i="65"/>
  <c r="I80" i="65"/>
  <c r="I79" i="65"/>
  <c r="I78" i="65"/>
  <c r="I77" i="65"/>
  <c r="I76" i="65"/>
  <c r="I75" i="65"/>
  <c r="I74" i="65"/>
  <c r="I73" i="65"/>
  <c r="I72" i="65"/>
  <c r="I71" i="65"/>
  <c r="I70" i="65"/>
  <c r="I69" i="65"/>
  <c r="I68" i="65"/>
  <c r="I67" i="65"/>
  <c r="I66" i="65"/>
  <c r="I65" i="65"/>
  <c r="I64" i="65"/>
  <c r="I63" i="65"/>
  <c r="I62" i="65"/>
  <c r="I61" i="65"/>
  <c r="I60" i="65"/>
  <c r="I59" i="65"/>
  <c r="I58" i="65"/>
  <c r="I57" i="65"/>
  <c r="I56" i="65"/>
  <c r="I55" i="65"/>
  <c r="I54" i="65"/>
  <c r="I53" i="65"/>
  <c r="I52" i="65"/>
  <c r="I51" i="65"/>
  <c r="I50" i="65"/>
  <c r="I49" i="65"/>
  <c r="I48" i="65"/>
  <c r="I47" i="65"/>
  <c r="I46" i="65"/>
  <c r="I45" i="65"/>
  <c r="I44" i="65"/>
  <c r="I43" i="65"/>
  <c r="I42" i="65"/>
  <c r="I41" i="65"/>
  <c r="I40" i="65"/>
  <c r="I39" i="65"/>
  <c r="I38" i="65"/>
  <c r="I37" i="65"/>
  <c r="I36" i="65"/>
  <c r="I35" i="65"/>
  <c r="I34" i="65"/>
  <c r="I33" i="65"/>
  <c r="I32" i="65"/>
  <c r="I31" i="65"/>
  <c r="I30" i="65"/>
  <c r="I29" i="65"/>
  <c r="I28" i="65"/>
  <c r="I27" i="65"/>
  <c r="I26" i="65"/>
  <c r="I25" i="65"/>
  <c r="I24" i="65"/>
  <c r="I23" i="65"/>
  <c r="I22" i="65"/>
  <c r="I21" i="65"/>
  <c r="I20" i="65"/>
  <c r="I19" i="65"/>
  <c r="I18" i="65"/>
  <c r="I17" i="65"/>
  <c r="I16" i="65"/>
  <c r="I15" i="65"/>
  <c r="I14" i="65"/>
  <c r="I13" i="65"/>
  <c r="I12" i="65"/>
  <c r="I11" i="65"/>
  <c r="I10" i="65"/>
  <c r="I9" i="65"/>
  <c r="I8" i="65"/>
  <c r="I7" i="65"/>
  <c r="I6" i="65"/>
  <c r="I5" i="65"/>
  <c r="I4" i="65"/>
  <c r="I3" i="65"/>
  <c r="I2" i="65"/>
  <c r="A562" i="59"/>
  <c r="C269" i="59"/>
  <c r="C267" i="59"/>
  <c r="J266" i="59"/>
  <c r="J268" i="59" s="1"/>
  <c r="G265" i="59"/>
  <c r="U158" i="59"/>
  <c r="T158" i="59"/>
  <c r="U153" i="59"/>
  <c r="S153" i="59"/>
  <c r="U152" i="59"/>
  <c r="S152" i="59"/>
  <c r="U151" i="59"/>
  <c r="S151" i="59"/>
  <c r="U150" i="59"/>
  <c r="S150" i="59"/>
  <c r="U149" i="59"/>
  <c r="S149" i="59"/>
  <c r="U148" i="59"/>
  <c r="S148" i="59"/>
  <c r="I148" i="59"/>
  <c r="H148" i="59"/>
  <c r="G148" i="59"/>
  <c r="M148" i="59" s="1"/>
  <c r="U147" i="59"/>
  <c r="S147" i="59"/>
  <c r="I147" i="59"/>
  <c r="H147" i="59"/>
  <c r="G147" i="59"/>
  <c r="M147" i="59" s="1"/>
  <c r="U146" i="59"/>
  <c r="S146" i="59"/>
  <c r="I146" i="59"/>
  <c r="H146" i="59"/>
  <c r="G146" i="59"/>
  <c r="M146" i="59" s="1"/>
  <c r="U145" i="59"/>
  <c r="S145" i="59"/>
  <c r="I145" i="59"/>
  <c r="H145" i="59"/>
  <c r="G145" i="59"/>
  <c r="M145" i="59" s="1"/>
  <c r="U144" i="59"/>
  <c r="S144" i="59"/>
  <c r="U143" i="59"/>
  <c r="S143" i="59"/>
  <c r="U142" i="59"/>
  <c r="S142" i="59"/>
  <c r="I142" i="59"/>
  <c r="H142" i="59"/>
  <c r="G142" i="59"/>
  <c r="M142" i="59" s="1"/>
  <c r="U141" i="59"/>
  <c r="S141" i="59"/>
  <c r="I141" i="59"/>
  <c r="H141" i="59"/>
  <c r="G141" i="59"/>
  <c r="U140" i="59"/>
  <c r="S140" i="59"/>
  <c r="J140" i="59"/>
  <c r="G140" i="59"/>
  <c r="M140" i="59" s="1"/>
  <c r="U139" i="59"/>
  <c r="S139" i="59"/>
  <c r="U138" i="59"/>
  <c r="S138" i="59"/>
  <c r="U137" i="59"/>
  <c r="S137" i="59"/>
  <c r="U136" i="59"/>
  <c r="S136" i="59"/>
  <c r="U135" i="59"/>
  <c r="S135" i="59"/>
  <c r="U134" i="59"/>
  <c r="S134" i="59"/>
  <c r="U133" i="59"/>
  <c r="S133" i="59"/>
  <c r="U132" i="59"/>
  <c r="S132" i="59"/>
  <c r="U131" i="59"/>
  <c r="S131" i="59"/>
  <c r="U130" i="59"/>
  <c r="S130" i="59"/>
  <c r="U129" i="59"/>
  <c r="S129" i="59"/>
  <c r="I129" i="59"/>
  <c r="U128" i="59"/>
  <c r="S128" i="59"/>
  <c r="H128" i="59"/>
  <c r="H129" i="59" s="1"/>
  <c r="G128" i="59"/>
  <c r="M128" i="59" s="1"/>
  <c r="U127" i="59"/>
  <c r="S127" i="59"/>
  <c r="U126" i="59"/>
  <c r="S126" i="59"/>
  <c r="U125" i="59"/>
  <c r="S125" i="59"/>
  <c r="J125" i="59"/>
  <c r="G125" i="59"/>
  <c r="M125" i="59" s="1"/>
  <c r="U124" i="59"/>
  <c r="S124" i="59"/>
  <c r="J124" i="59"/>
  <c r="I124" i="59"/>
  <c r="H124" i="59"/>
  <c r="G124" i="59"/>
  <c r="M124" i="59" s="1"/>
  <c r="U123" i="59"/>
  <c r="S123" i="59"/>
  <c r="J123" i="59"/>
  <c r="G123" i="59"/>
  <c r="M123" i="59" s="1"/>
  <c r="U122" i="59"/>
  <c r="S122" i="59"/>
  <c r="I122" i="59"/>
  <c r="I126" i="59" s="1"/>
  <c r="H122" i="59"/>
  <c r="H126" i="59" s="1"/>
  <c r="G122" i="59"/>
  <c r="M122" i="59" s="1"/>
  <c r="U121" i="59"/>
  <c r="S121" i="59"/>
  <c r="U120" i="59"/>
  <c r="S120" i="59"/>
  <c r="U119" i="59"/>
  <c r="S119" i="59"/>
  <c r="I119" i="59"/>
  <c r="H119" i="59"/>
  <c r="G119" i="59"/>
  <c r="U118" i="59"/>
  <c r="S118" i="59"/>
  <c r="I118" i="59"/>
  <c r="J118" i="59" s="1"/>
  <c r="H118" i="59"/>
  <c r="G118" i="59"/>
  <c r="U117" i="59"/>
  <c r="S117" i="59"/>
  <c r="U116" i="59"/>
  <c r="S116" i="59"/>
  <c r="I116" i="59"/>
  <c r="H116" i="59"/>
  <c r="U115" i="59"/>
  <c r="S115" i="59"/>
  <c r="J115" i="59"/>
  <c r="J116" i="59" s="1"/>
  <c r="G115" i="59"/>
  <c r="M115" i="59" s="1"/>
  <c r="U114" i="59"/>
  <c r="S114" i="59"/>
  <c r="U113" i="59"/>
  <c r="S113" i="59"/>
  <c r="U112" i="59"/>
  <c r="S112" i="59"/>
  <c r="I112" i="59"/>
  <c r="H112" i="59"/>
  <c r="G112" i="59"/>
  <c r="U111" i="59"/>
  <c r="S111" i="59"/>
  <c r="I111" i="59"/>
  <c r="H111" i="59"/>
  <c r="G111" i="59"/>
  <c r="M111" i="59" s="1"/>
  <c r="U110" i="59"/>
  <c r="S110" i="59"/>
  <c r="I110" i="59"/>
  <c r="J110" i="59" s="1"/>
  <c r="H110" i="59"/>
  <c r="G110" i="59"/>
  <c r="M110" i="59" s="1"/>
  <c r="U109" i="59"/>
  <c r="S109" i="59"/>
  <c r="I109" i="59"/>
  <c r="H109" i="59"/>
  <c r="G109" i="59"/>
  <c r="M109" i="59" s="1"/>
  <c r="U108" i="59"/>
  <c r="S108" i="59"/>
  <c r="I108" i="59"/>
  <c r="H108" i="59"/>
  <c r="G108" i="59"/>
  <c r="M108" i="59" s="1"/>
  <c r="U107" i="59"/>
  <c r="S107" i="59"/>
  <c r="I107" i="59"/>
  <c r="H107" i="59"/>
  <c r="G107" i="59"/>
  <c r="U106" i="59"/>
  <c r="S106" i="59"/>
  <c r="J106" i="59"/>
  <c r="G106" i="59"/>
  <c r="M106" i="59" s="1"/>
  <c r="U105" i="59"/>
  <c r="S105" i="59"/>
  <c r="U104" i="59"/>
  <c r="S104" i="59"/>
  <c r="U103" i="59"/>
  <c r="S103" i="59"/>
  <c r="I103" i="59"/>
  <c r="H103" i="59"/>
  <c r="G103" i="59"/>
  <c r="M103" i="59" s="1"/>
  <c r="U102" i="59"/>
  <c r="S102" i="59"/>
  <c r="I102" i="59"/>
  <c r="H102" i="59"/>
  <c r="G102" i="59"/>
  <c r="M102" i="59" s="1"/>
  <c r="U101" i="59"/>
  <c r="S101" i="59"/>
  <c r="I101" i="59"/>
  <c r="H101" i="59"/>
  <c r="G101" i="59"/>
  <c r="M101" i="59" s="1"/>
  <c r="U100" i="59"/>
  <c r="S100" i="59"/>
  <c r="I100" i="59"/>
  <c r="H100" i="59"/>
  <c r="G100" i="59"/>
  <c r="U99" i="59"/>
  <c r="S99" i="59"/>
  <c r="U98" i="59"/>
  <c r="S98" i="59"/>
  <c r="U97" i="59"/>
  <c r="S97" i="59"/>
  <c r="I97" i="59"/>
  <c r="I98" i="59" s="1"/>
  <c r="H97" i="59"/>
  <c r="H98" i="59" s="1"/>
  <c r="G97" i="59"/>
  <c r="M97" i="59" s="1"/>
  <c r="U96" i="59"/>
  <c r="S96" i="59"/>
  <c r="U95" i="59"/>
  <c r="S95" i="59"/>
  <c r="U94" i="59"/>
  <c r="S94" i="59"/>
  <c r="I94" i="59"/>
  <c r="H94" i="59"/>
  <c r="H95" i="59" s="1"/>
  <c r="G94" i="59"/>
  <c r="U93" i="59"/>
  <c r="S93" i="59"/>
  <c r="U92" i="59"/>
  <c r="S92" i="59"/>
  <c r="J92" i="59"/>
  <c r="I92" i="59"/>
  <c r="H92" i="59"/>
  <c r="U91" i="59"/>
  <c r="S91" i="59"/>
  <c r="J91" i="59"/>
  <c r="G91" i="59"/>
  <c r="M91" i="59" s="1"/>
  <c r="U90" i="59"/>
  <c r="S90" i="59"/>
  <c r="U89" i="59"/>
  <c r="S89" i="59"/>
  <c r="U88" i="59"/>
  <c r="S88" i="59"/>
  <c r="J88" i="59"/>
  <c r="G88" i="59"/>
  <c r="M88" i="59" s="1"/>
  <c r="U87" i="59"/>
  <c r="S87" i="59"/>
  <c r="I87" i="59"/>
  <c r="H87" i="59"/>
  <c r="H89" i="59" s="1"/>
  <c r="G87" i="59"/>
  <c r="M87" i="59" s="1"/>
  <c r="U86" i="59"/>
  <c r="S86" i="59"/>
  <c r="U84" i="59"/>
  <c r="S84" i="59"/>
  <c r="I84" i="59"/>
  <c r="H84" i="59"/>
  <c r="H85" i="59" s="1"/>
  <c r="G84" i="59"/>
  <c r="M84" i="59" s="1"/>
  <c r="U83" i="59"/>
  <c r="S83" i="59"/>
  <c r="U81" i="59"/>
  <c r="S81" i="59"/>
  <c r="I81" i="59"/>
  <c r="H81" i="59"/>
  <c r="G81" i="59"/>
  <c r="U80" i="59"/>
  <c r="S80" i="59"/>
  <c r="I80" i="59"/>
  <c r="J80" i="59" s="1"/>
  <c r="H80" i="59"/>
  <c r="G80" i="59"/>
  <c r="M80" i="59" s="1"/>
  <c r="U79" i="59"/>
  <c r="S79" i="59"/>
  <c r="I79" i="59"/>
  <c r="H79" i="59"/>
  <c r="H82" i="59" s="1"/>
  <c r="G79" i="59"/>
  <c r="M79" i="59" s="1"/>
  <c r="U78" i="59"/>
  <c r="S78" i="59"/>
  <c r="U77" i="59"/>
  <c r="S77" i="59"/>
  <c r="U76" i="59"/>
  <c r="S76" i="59"/>
  <c r="I76" i="59"/>
  <c r="H76" i="59"/>
  <c r="G76" i="59"/>
  <c r="U75" i="59"/>
  <c r="S75" i="59"/>
  <c r="I75" i="59"/>
  <c r="H75" i="59"/>
  <c r="G75" i="59"/>
  <c r="U74" i="59"/>
  <c r="S74" i="59"/>
  <c r="I74" i="59"/>
  <c r="H74" i="59"/>
  <c r="G74" i="59"/>
  <c r="M74" i="59" s="1"/>
  <c r="U73" i="59"/>
  <c r="S73" i="59"/>
  <c r="I73" i="59"/>
  <c r="H73" i="59"/>
  <c r="G73" i="59"/>
  <c r="M73" i="59" s="1"/>
  <c r="U72" i="59"/>
  <c r="S72" i="59"/>
  <c r="U71" i="59"/>
  <c r="S71" i="59"/>
  <c r="U70" i="59"/>
  <c r="S70" i="59"/>
  <c r="J70" i="59"/>
  <c r="G70" i="59"/>
  <c r="U69" i="59"/>
  <c r="S69" i="59"/>
  <c r="I69" i="59"/>
  <c r="J69" i="59" s="1"/>
  <c r="H69" i="59"/>
  <c r="G69" i="59"/>
  <c r="M69" i="59" s="1"/>
  <c r="U68" i="59"/>
  <c r="S68" i="59"/>
  <c r="I68" i="59"/>
  <c r="H68" i="59"/>
  <c r="H71" i="59" s="1"/>
  <c r="G68" i="59"/>
  <c r="M68" i="59" s="1"/>
  <c r="U67" i="59"/>
  <c r="S67" i="59"/>
  <c r="J67" i="59"/>
  <c r="G67" i="59"/>
  <c r="U66" i="59"/>
  <c r="S66" i="59"/>
  <c r="U65" i="59"/>
  <c r="S65" i="59"/>
  <c r="U64" i="59"/>
  <c r="S64" i="59"/>
  <c r="I64" i="59"/>
  <c r="H64" i="59"/>
  <c r="G64" i="59"/>
  <c r="M64" i="59" s="1"/>
  <c r="I63" i="59"/>
  <c r="H63" i="59"/>
  <c r="G63" i="59"/>
  <c r="M63" i="59" s="1"/>
  <c r="J62" i="59"/>
  <c r="G62" i="59"/>
  <c r="M62" i="59" s="1"/>
  <c r="U61" i="59"/>
  <c r="S61" i="59"/>
  <c r="I61" i="59"/>
  <c r="H61" i="59"/>
  <c r="G61" i="59"/>
  <c r="M61" i="59" s="1"/>
  <c r="U60" i="59"/>
  <c r="S60" i="59"/>
  <c r="J60" i="59"/>
  <c r="G60" i="59"/>
  <c r="M60" i="59" s="1"/>
  <c r="U59" i="59"/>
  <c r="S59" i="59"/>
  <c r="I59" i="59"/>
  <c r="H59" i="59"/>
  <c r="G59" i="59"/>
  <c r="M59" i="59" s="1"/>
  <c r="U58" i="59"/>
  <c r="S58" i="59"/>
  <c r="J58" i="59"/>
  <c r="G58" i="59"/>
  <c r="U57" i="59"/>
  <c r="S57" i="59"/>
  <c r="I57" i="59"/>
  <c r="J57" i="59" s="1"/>
  <c r="H57" i="59"/>
  <c r="G57" i="59"/>
  <c r="M57" i="59" s="1"/>
  <c r="U56" i="59"/>
  <c r="S56" i="59"/>
  <c r="J56" i="59"/>
  <c r="I56" i="59"/>
  <c r="H56" i="59"/>
  <c r="G56" i="59"/>
  <c r="M56" i="59" s="1"/>
  <c r="U55" i="59"/>
  <c r="S55" i="59"/>
  <c r="M55" i="59"/>
  <c r="I55" i="59"/>
  <c r="H55" i="59"/>
  <c r="G55" i="59"/>
  <c r="U54" i="59"/>
  <c r="S54" i="59"/>
  <c r="I54" i="59"/>
  <c r="H54" i="59"/>
  <c r="G54" i="59"/>
  <c r="M54" i="59" s="1"/>
  <c r="U53" i="59"/>
  <c r="S53" i="59"/>
  <c r="J53" i="59"/>
  <c r="G53" i="59"/>
  <c r="M53" i="59" s="1"/>
  <c r="U52" i="59"/>
  <c r="S52" i="59"/>
  <c r="U51" i="59"/>
  <c r="S51" i="59"/>
  <c r="J50" i="59"/>
  <c r="G50" i="59"/>
  <c r="M50" i="59" s="1"/>
  <c r="U49" i="59"/>
  <c r="S49" i="59"/>
  <c r="I49" i="59"/>
  <c r="H49" i="59"/>
  <c r="G49" i="59"/>
  <c r="M49" i="59" s="1"/>
  <c r="U48" i="59"/>
  <c r="S48" i="59"/>
  <c r="J48" i="59"/>
  <c r="I48" i="59"/>
  <c r="H48" i="59"/>
  <c r="F48" i="59"/>
  <c r="C48" i="59"/>
  <c r="G48" i="59" s="1"/>
  <c r="M48" i="59" s="1"/>
  <c r="U47" i="59"/>
  <c r="S47" i="59"/>
  <c r="U46" i="59"/>
  <c r="S46" i="59"/>
  <c r="U45" i="59"/>
  <c r="S45" i="59"/>
  <c r="U44" i="59"/>
  <c r="S44" i="59"/>
  <c r="U43" i="59"/>
  <c r="S43" i="59"/>
  <c r="U42" i="59"/>
  <c r="S42" i="59"/>
  <c r="U41" i="59"/>
  <c r="S41" i="59"/>
  <c r="U40" i="59"/>
  <c r="S40" i="59"/>
  <c r="U39" i="59"/>
  <c r="S39" i="59"/>
  <c r="U38" i="59"/>
  <c r="S38" i="59"/>
  <c r="U37" i="59"/>
  <c r="S37" i="59"/>
  <c r="U36" i="59"/>
  <c r="S36" i="59"/>
  <c r="I36" i="59"/>
  <c r="H36" i="59"/>
  <c r="G36" i="59"/>
  <c r="M36" i="59" s="1"/>
  <c r="U35" i="59"/>
  <c r="S35" i="59"/>
  <c r="I35" i="59"/>
  <c r="J35" i="59" s="1"/>
  <c r="H35" i="59"/>
  <c r="G35" i="59"/>
  <c r="U34" i="59"/>
  <c r="S34" i="59"/>
  <c r="J34" i="59"/>
  <c r="G34" i="59"/>
  <c r="M34" i="59" s="1"/>
  <c r="U33" i="59"/>
  <c r="S33" i="59"/>
  <c r="I33" i="59"/>
  <c r="H33" i="59"/>
  <c r="G33" i="59"/>
  <c r="M33" i="59" s="1"/>
  <c r="U32" i="59"/>
  <c r="S32" i="59"/>
  <c r="I32" i="59"/>
  <c r="H32" i="59"/>
  <c r="G32" i="59"/>
  <c r="M32" i="59" s="1"/>
  <c r="U31" i="59"/>
  <c r="S31" i="59"/>
  <c r="J31" i="59"/>
  <c r="G31" i="59"/>
  <c r="M31" i="59" s="1"/>
  <c r="U30" i="59"/>
  <c r="S30" i="59"/>
  <c r="U29" i="59"/>
  <c r="S29" i="59"/>
  <c r="J29" i="59"/>
  <c r="I29" i="59"/>
  <c r="H29" i="59"/>
  <c r="U28" i="59"/>
  <c r="S28" i="59"/>
  <c r="G28" i="59"/>
  <c r="V27" i="59"/>
  <c r="U27" i="59"/>
  <c r="S27" i="59"/>
  <c r="G27" i="59"/>
  <c r="M27" i="59" s="1"/>
  <c r="U26" i="59"/>
  <c r="S26" i="59"/>
  <c r="U25" i="59"/>
  <c r="S25" i="59"/>
  <c r="I25" i="59"/>
  <c r="H25" i="59"/>
  <c r="U24" i="59"/>
  <c r="S24" i="59"/>
  <c r="U23" i="59"/>
  <c r="S23" i="59"/>
  <c r="U22" i="59"/>
  <c r="S22" i="59"/>
  <c r="J22" i="59"/>
  <c r="J25" i="59" s="1"/>
  <c r="G22" i="59"/>
  <c r="M22" i="59" s="1"/>
  <c r="U21" i="59"/>
  <c r="S21" i="59"/>
  <c r="U20" i="59"/>
  <c r="I20" i="59"/>
  <c r="H20" i="59"/>
  <c r="U19" i="59"/>
  <c r="S19" i="59"/>
  <c r="J19" i="59"/>
  <c r="G19" i="59"/>
  <c r="M19" i="59" s="1"/>
  <c r="U18" i="59"/>
  <c r="S18" i="59"/>
  <c r="J18" i="59"/>
  <c r="G18" i="59"/>
  <c r="M18" i="59" s="1"/>
  <c r="U17" i="59"/>
  <c r="S17" i="59"/>
  <c r="J17" i="59"/>
  <c r="G17" i="59"/>
  <c r="U16" i="59"/>
  <c r="S16" i="59"/>
  <c r="J16" i="59"/>
  <c r="J20" i="59" s="1"/>
  <c r="G16" i="59"/>
  <c r="M16" i="59" s="1"/>
  <c r="A1" i="59"/>
  <c r="A557" i="66"/>
  <c r="A105" i="66"/>
  <c r="A104" i="66"/>
  <c r="A99" i="66"/>
  <c r="A98" i="66"/>
  <c r="A95" i="66"/>
  <c r="O89" i="66"/>
  <c r="N88" i="66"/>
  <c r="L87" i="66"/>
  <c r="L88" i="66" s="1"/>
  <c r="J87" i="66"/>
  <c r="F87" i="66"/>
  <c r="O86" i="66"/>
  <c r="O85" i="66"/>
  <c r="O83" i="66"/>
  <c r="O81" i="66"/>
  <c r="O80" i="66"/>
  <c r="O79" i="66"/>
  <c r="O77" i="66"/>
  <c r="O75" i="66"/>
  <c r="O74" i="66"/>
  <c r="O73" i="66"/>
  <c r="N72" i="66"/>
  <c r="L72" i="66"/>
  <c r="O70" i="66"/>
  <c r="F69" i="66"/>
  <c r="J69" i="66" s="1"/>
  <c r="F68" i="66"/>
  <c r="O67" i="66"/>
  <c r="O66" i="66"/>
  <c r="O65" i="66"/>
  <c r="O64" i="66"/>
  <c r="O63" i="66"/>
  <c r="J61" i="66"/>
  <c r="A49" i="66"/>
  <c r="L47" i="66"/>
  <c r="F46" i="66"/>
  <c r="J46" i="66" s="1"/>
  <c r="L45" i="66"/>
  <c r="F45" i="66"/>
  <c r="J43" i="66"/>
  <c r="F43" i="66"/>
  <c r="P42" i="66"/>
  <c r="O42" i="66"/>
  <c r="L41" i="66"/>
  <c r="O33" i="66"/>
  <c r="L32" i="66"/>
  <c r="F32" i="66"/>
  <c r="J32" i="66" s="1"/>
  <c r="L29" i="66"/>
  <c r="N19" i="66"/>
  <c r="L19" i="66"/>
  <c r="O16" i="66"/>
  <c r="O12" i="66"/>
  <c r="O11" i="66"/>
  <c r="P3" i="66"/>
  <c r="A3" i="66"/>
  <c r="A1" i="66"/>
  <c r="A100" i="72"/>
  <c r="A99" i="72"/>
  <c r="A94" i="72"/>
  <c r="A93" i="72"/>
  <c r="A90" i="72"/>
  <c r="Z82" i="72"/>
  <c r="Y81" i="72"/>
  <c r="W80" i="72"/>
  <c r="W81" i="72" s="1"/>
  <c r="U80" i="72"/>
  <c r="S80" i="72"/>
  <c r="S81" i="72" s="1"/>
  <c r="Q80" i="72"/>
  <c r="Z79" i="72"/>
  <c r="Z78" i="72"/>
  <c r="Z76" i="72"/>
  <c r="Z74" i="72"/>
  <c r="Z73" i="72"/>
  <c r="Z72" i="72"/>
  <c r="Z70" i="72"/>
  <c r="Z68" i="72"/>
  <c r="Z67" i="72"/>
  <c r="Z66" i="72"/>
  <c r="Y65" i="72"/>
  <c r="W65" i="72"/>
  <c r="S65" i="72"/>
  <c r="Z63" i="72"/>
  <c r="Q62" i="72"/>
  <c r="U62" i="72" s="1"/>
  <c r="Q61" i="72"/>
  <c r="Z60" i="72"/>
  <c r="Z59" i="72"/>
  <c r="Z58" i="72"/>
  <c r="Z57" i="72"/>
  <c r="Z56" i="72"/>
  <c r="U54" i="72"/>
  <c r="S54" i="72"/>
  <c r="K54" i="72"/>
  <c r="A45" i="72"/>
  <c r="W43" i="72"/>
  <c r="Q42" i="72"/>
  <c r="U42" i="72" s="1"/>
  <c r="F42" i="72"/>
  <c r="W41" i="72"/>
  <c r="Q41" i="72"/>
  <c r="Q43" i="72" s="1"/>
  <c r="F41" i="72"/>
  <c r="F43" i="72" s="1"/>
  <c r="U39" i="72"/>
  <c r="S39" i="72"/>
  <c r="Q39" i="72"/>
  <c r="N39" i="72"/>
  <c r="K39" i="72"/>
  <c r="AA38" i="72"/>
  <c r="Z38" i="72"/>
  <c r="W37" i="72"/>
  <c r="S32" i="72"/>
  <c r="J30" i="72"/>
  <c r="E30" i="72"/>
  <c r="M29" i="72"/>
  <c r="H29" i="72"/>
  <c r="L28" i="72"/>
  <c r="L30" i="72" s="1"/>
  <c r="G28" i="72"/>
  <c r="G30" i="72" s="1"/>
  <c r="K26" i="72"/>
  <c r="M26" i="72" s="1"/>
  <c r="O25" i="72"/>
  <c r="K23" i="72"/>
  <c r="J23" i="72" s="1"/>
  <c r="G23" i="72"/>
  <c r="F23" i="72"/>
  <c r="Y22" i="72"/>
  <c r="W22" i="72"/>
  <c r="W32" i="72" s="1"/>
  <c r="H21" i="72"/>
  <c r="O20" i="72"/>
  <c r="N20" i="72"/>
  <c r="H20" i="72"/>
  <c r="Q19" i="72"/>
  <c r="E18" i="72"/>
  <c r="E22" i="72" s="1"/>
  <c r="Z17" i="72"/>
  <c r="K15" i="72"/>
  <c r="J15" i="72" s="1"/>
  <c r="G15" i="72"/>
  <c r="F15" i="72"/>
  <c r="O14" i="72"/>
  <c r="Z12" i="72"/>
  <c r="Z11" i="72"/>
  <c r="AB10" i="72"/>
  <c r="L10" i="72"/>
  <c r="G10" i="72"/>
  <c r="N40" i="72" s="1"/>
  <c r="Z5" i="72"/>
  <c r="AA3" i="72"/>
  <c r="O3" i="72"/>
  <c r="O2" i="72"/>
  <c r="A1" i="72"/>
  <c r="M24" i="82"/>
  <c r="M22" i="82"/>
  <c r="M18" i="82"/>
  <c r="M17" i="82"/>
  <c r="M16" i="82"/>
  <c r="M14" i="82"/>
  <c r="M13" i="82"/>
  <c r="M12" i="82"/>
  <c r="M9" i="82"/>
  <c r="L3" i="82"/>
  <c r="I3" i="82"/>
  <c r="A556" i="70"/>
  <c r="I12" i="70"/>
  <c r="H12" i="70"/>
  <c r="G12" i="70"/>
  <c r="D11" i="70"/>
  <c r="E11" i="70" s="1"/>
  <c r="F11" i="70" s="1"/>
  <c r="B61" i="61"/>
  <c r="H45" i="71"/>
  <c r="H41" i="71"/>
  <c r="E41" i="71"/>
  <c r="J39" i="71"/>
  <c r="G39" i="71"/>
  <c r="F39" i="71"/>
  <c r="H38" i="71"/>
  <c r="E38" i="71"/>
  <c r="H37" i="71"/>
  <c r="E37" i="71"/>
  <c r="J35" i="71"/>
  <c r="G35" i="71"/>
  <c r="F35" i="71"/>
  <c r="S34" i="71"/>
  <c r="H34" i="71"/>
  <c r="E34" i="71"/>
  <c r="H33" i="71"/>
  <c r="E33" i="71"/>
  <c r="H32" i="71"/>
  <c r="E32" i="71"/>
  <c r="H29" i="71"/>
  <c r="E29" i="71"/>
  <c r="J27" i="71"/>
  <c r="G27" i="71"/>
  <c r="F27" i="71"/>
  <c r="H26" i="71"/>
  <c r="E26" i="71"/>
  <c r="H25" i="71"/>
  <c r="E25" i="71"/>
  <c r="H24" i="71"/>
  <c r="E24" i="71"/>
  <c r="H21" i="71"/>
  <c r="E21" i="71"/>
  <c r="J19" i="71"/>
  <c r="G19" i="71"/>
  <c r="F19" i="71"/>
  <c r="H18" i="71"/>
  <c r="E18" i="71"/>
  <c r="H17" i="71"/>
  <c r="E17" i="71"/>
  <c r="H14" i="71"/>
  <c r="E14" i="71"/>
  <c r="H11" i="71"/>
  <c r="E11" i="71"/>
  <c r="D105" i="77"/>
  <c r="L100" i="77"/>
  <c r="L101" i="77" s="1"/>
  <c r="B86" i="77"/>
  <c r="L84" i="77"/>
  <c r="H44" i="6" s="1"/>
  <c r="A1" i="77"/>
  <c r="A48" i="6"/>
  <c r="Q41" i="6"/>
  <c r="O40" i="6"/>
  <c r="N40" i="6"/>
  <c r="L40" i="6"/>
  <c r="O33" i="6"/>
  <c r="N33" i="6"/>
  <c r="L33" i="6"/>
  <c r="Q23" i="6"/>
  <c r="O23" i="6"/>
  <c r="N23" i="6"/>
  <c r="L23" i="6"/>
  <c r="O16" i="6"/>
  <c r="N16" i="6"/>
  <c r="L16" i="6"/>
  <c r="H15" i="6"/>
  <c r="A57" i="74"/>
  <c r="J39" i="74"/>
  <c r="E26" i="74"/>
  <c r="F16" i="74"/>
  <c r="A1" i="74"/>
  <c r="A57" i="5"/>
  <c r="A56" i="5"/>
  <c r="A51" i="5"/>
  <c r="A50" i="5"/>
  <c r="A47" i="5"/>
  <c r="N43" i="5"/>
  <c r="M42" i="5"/>
  <c r="K41" i="5"/>
  <c r="K42" i="5" s="1"/>
  <c r="I41" i="5"/>
  <c r="G41" i="5"/>
  <c r="G42" i="5" s="1"/>
  <c r="E41" i="5"/>
  <c r="N40" i="5"/>
  <c r="N39" i="5"/>
  <c r="N37" i="5"/>
  <c r="N35" i="5"/>
  <c r="N34" i="5"/>
  <c r="N33" i="5"/>
  <c r="N31" i="5"/>
  <c r="N29" i="5"/>
  <c r="N28" i="5"/>
  <c r="N27" i="5"/>
  <c r="M26" i="5"/>
  <c r="K26" i="5"/>
  <c r="G26" i="5"/>
  <c r="N24" i="5"/>
  <c r="E23" i="5"/>
  <c r="I23" i="5" s="1"/>
  <c r="N23" i="5" s="1"/>
  <c r="E22" i="5"/>
  <c r="N21" i="5"/>
  <c r="N20" i="5"/>
  <c r="N19" i="5"/>
  <c r="N18" i="5"/>
  <c r="N17" i="5"/>
  <c r="M16" i="5"/>
  <c r="K16" i="5"/>
  <c r="G16" i="5"/>
  <c r="N14" i="5"/>
  <c r="N12" i="5"/>
  <c r="N11" i="5"/>
  <c r="O3" i="5"/>
  <c r="A3" i="5"/>
  <c r="A3" i="46" s="1"/>
  <c r="A1" i="5"/>
  <c r="A1" i="46" s="1"/>
  <c r="A32" i="4"/>
  <c r="A31" i="4"/>
  <c r="A26" i="4"/>
  <c r="A25" i="4"/>
  <c r="A22" i="4"/>
  <c r="L18" i="4"/>
  <c r="K18" i="4"/>
  <c r="G18" i="4"/>
  <c r="E16" i="4"/>
  <c r="Q64" i="72" s="1"/>
  <c r="Q69" i="72" s="1"/>
  <c r="A3" i="4"/>
  <c r="A1" i="4"/>
  <c r="A3" i="62"/>
  <c r="A56" i="2"/>
  <c r="A18" i="62" s="1"/>
  <c r="H37" i="2"/>
  <c r="J36" i="2"/>
  <c r="J24" i="2"/>
  <c r="F23" i="2"/>
  <c r="L18" i="2"/>
  <c r="A1" i="2"/>
  <c r="A1" i="62" s="1"/>
  <c r="A1" i="6" s="1"/>
  <c r="A1" i="38" s="1"/>
  <c r="K36" i="1"/>
  <c r="F25" i="1"/>
  <c r="F22" i="1"/>
  <c r="J20" i="1"/>
  <c r="L14" i="1"/>
  <c r="F34" i="2" l="1"/>
  <c r="J34" i="2" s="1"/>
  <c r="I12" i="83"/>
  <c r="J35" i="2"/>
  <c r="F30" i="2"/>
  <c r="J30" i="2" s="1"/>
  <c r="J13" i="2"/>
  <c r="I20" i="83"/>
  <c r="J17" i="2"/>
  <c r="I11" i="75"/>
  <c r="I12" i="75" s="1"/>
  <c r="J9" i="80"/>
  <c r="O34" i="80" s="1"/>
  <c r="I110" i="83"/>
  <c r="J23" i="2"/>
  <c r="N43" i="2"/>
  <c r="B89" i="77"/>
  <c r="I83" i="77" s="1"/>
  <c r="I82" i="77"/>
  <c r="H39" i="71"/>
  <c r="H27" i="71"/>
  <c r="I7" i="83"/>
  <c r="J25" i="2"/>
  <c r="F20" i="1"/>
  <c r="L20" i="1" s="1"/>
  <c r="I95" i="83"/>
  <c r="H84" i="75"/>
  <c r="I97" i="83"/>
  <c r="J12" i="80"/>
  <c r="B52" i="61"/>
  <c r="I23" i="1"/>
  <c r="L25" i="1"/>
  <c r="I25" i="1"/>
  <c r="J29" i="2"/>
  <c r="I8" i="83"/>
  <c r="B47" i="61"/>
  <c r="B48" i="61" s="1"/>
  <c r="H29" i="6" s="1"/>
  <c r="I22" i="1"/>
  <c r="J28" i="2"/>
  <c r="I9" i="83"/>
  <c r="J83" i="77"/>
  <c r="L39" i="2"/>
  <c r="L43" i="2" s="1"/>
  <c r="L11" i="62" s="1"/>
  <c r="L15" i="62" s="1"/>
  <c r="H43" i="2"/>
  <c r="L32" i="72"/>
  <c r="H70" i="47"/>
  <c r="H84" i="47" s="1"/>
  <c r="H129" i="47" s="1"/>
  <c r="D47" i="37"/>
  <c r="J103" i="59"/>
  <c r="H120" i="59"/>
  <c r="O87" i="66"/>
  <c r="J74" i="59"/>
  <c r="J142" i="59"/>
  <c r="H33" i="28"/>
  <c r="H39" i="28" s="1"/>
  <c r="I33" i="28"/>
  <c r="H113" i="59"/>
  <c r="O35" i="6"/>
  <c r="O42" i="6" s="1"/>
  <c r="O45" i="6" s="1"/>
  <c r="I51" i="59"/>
  <c r="M82" i="59"/>
  <c r="H143" i="59"/>
  <c r="H151" i="59" s="1"/>
  <c r="F23" i="32"/>
  <c r="I98" i="47"/>
  <c r="H19" i="71"/>
  <c r="M37" i="82"/>
  <c r="A100" i="46"/>
  <c r="H149" i="59"/>
  <c r="I95" i="75"/>
  <c r="J11" i="80" s="1"/>
  <c r="J31" i="2"/>
  <c r="F89" i="46"/>
  <c r="A68" i="21"/>
  <c r="E87" i="26"/>
  <c r="G70" i="29"/>
  <c r="E22" i="38"/>
  <c r="B29" i="38" s="1"/>
  <c r="I39" i="28"/>
  <c r="L23" i="1"/>
  <c r="O5" i="72"/>
  <c r="F10" i="72" s="1"/>
  <c r="F37" i="72" s="1"/>
  <c r="F39" i="72" s="1"/>
  <c r="AB38" i="72"/>
  <c r="J36" i="59"/>
  <c r="H65" i="59"/>
  <c r="J55" i="59"/>
  <c r="J61" i="59"/>
  <c r="H77" i="59"/>
  <c r="N105" i="54"/>
  <c r="D14" i="38"/>
  <c r="D22" i="38" s="1"/>
  <c r="C24" i="38"/>
  <c r="F74" i="34"/>
  <c r="N41" i="5"/>
  <c r="W83" i="72"/>
  <c r="F11" i="2"/>
  <c r="C10" i="50"/>
  <c r="B39" i="23"/>
  <c r="C11" i="22" s="1"/>
  <c r="C25" i="22" s="1"/>
  <c r="G44" i="5"/>
  <c r="H18" i="72"/>
  <c r="U41" i="72"/>
  <c r="U43" i="72" s="1"/>
  <c r="U50" i="72" s="1"/>
  <c r="U55" i="72" s="1"/>
  <c r="U53" i="72" s="1"/>
  <c r="I149" i="59"/>
  <c r="J148" i="59"/>
  <c r="F58" i="34"/>
  <c r="H35" i="71"/>
  <c r="Z62" i="72"/>
  <c r="Q42" i="66"/>
  <c r="H51" i="59"/>
  <c r="J128" i="59"/>
  <c r="J129" i="59" s="1"/>
  <c r="J145" i="59"/>
  <c r="H88" i="75"/>
  <c r="F21" i="1" s="1"/>
  <c r="B42" i="61" s="1"/>
  <c r="B43" i="61" s="1"/>
  <c r="H28" i="6" s="1"/>
  <c r="C61" i="50"/>
  <c r="D32" i="37"/>
  <c r="F32" i="37" s="1"/>
  <c r="F8" i="38"/>
  <c r="F4" i="34"/>
  <c r="N41" i="72"/>
  <c r="S83" i="72"/>
  <c r="L36" i="66"/>
  <c r="O69" i="66"/>
  <c r="J73" i="59"/>
  <c r="F34" i="32"/>
  <c r="I93" i="47"/>
  <c r="K42" i="26"/>
  <c r="J33" i="28"/>
  <c r="J39" i="28" s="1"/>
  <c r="I16" i="4"/>
  <c r="L35" i="6"/>
  <c r="L42" i="6" s="1"/>
  <c r="L45" i="6" s="1"/>
  <c r="Q50" i="72"/>
  <c r="Q55" i="72" s="1"/>
  <c r="L90" i="66"/>
  <c r="I65" i="21"/>
  <c r="I79" i="21" s="1"/>
  <c r="F26" i="28"/>
  <c r="F31" i="28" s="1"/>
  <c r="C31" i="49"/>
  <c r="C33" i="49" s="1"/>
  <c r="B22" i="38"/>
  <c r="B25" i="38" s="1"/>
  <c r="E11" i="22"/>
  <c r="E25" i="22" s="1"/>
  <c r="I63" i="47"/>
  <c r="D54" i="37"/>
  <c r="N23" i="72"/>
  <c r="Y83" i="72"/>
  <c r="J79" i="59"/>
  <c r="J82" i="59" s="1"/>
  <c r="I82" i="59"/>
  <c r="K44" i="26"/>
  <c r="F56" i="34"/>
  <c r="E25" i="5"/>
  <c r="I120" i="59"/>
  <c r="F24" i="54"/>
  <c r="H30" i="75"/>
  <c r="D34" i="32"/>
  <c r="H37" i="59"/>
  <c r="H104" i="59"/>
  <c r="F14" i="2"/>
  <c r="J14" i="2" s="1"/>
  <c r="E34" i="32"/>
  <c r="I51" i="47"/>
  <c r="K40" i="26"/>
  <c r="D19" i="38"/>
  <c r="J45" i="6"/>
  <c r="F22" i="74"/>
  <c r="F20" i="30"/>
  <c r="F26" i="30" s="1"/>
  <c r="U64" i="72"/>
  <c r="Z64" i="72" s="1"/>
  <c r="B32" i="61"/>
  <c r="B33" i="61" s="1"/>
  <c r="H22" i="6" s="1"/>
  <c r="G86" i="26"/>
  <c r="K86" i="26" s="1"/>
  <c r="J29" i="28"/>
  <c r="B57" i="61"/>
  <c r="B58" i="61" s="1"/>
  <c r="I98" i="26"/>
  <c r="K98" i="26" s="1"/>
  <c r="K44" i="5"/>
  <c r="N35" i="6"/>
  <c r="N42" i="6" s="1"/>
  <c r="G32" i="72"/>
  <c r="L46" i="66"/>
  <c r="L57" i="66"/>
  <c r="F72" i="66"/>
  <c r="J68" i="66"/>
  <c r="J72" i="66" s="1"/>
  <c r="J59" i="59"/>
  <c r="E26" i="5"/>
  <c r="I22" i="5"/>
  <c r="I26" i="5" s="1"/>
  <c r="M44" i="5"/>
  <c r="I10" i="5" s="1"/>
  <c r="I37" i="59"/>
  <c r="J32" i="59"/>
  <c r="N15" i="1"/>
  <c r="L22" i="1"/>
  <c r="J12" i="2"/>
  <c r="J21" i="2"/>
  <c r="J20" i="28"/>
  <c r="F20" i="28" s="1"/>
  <c r="G84" i="26"/>
  <c r="K84" i="26" s="1"/>
  <c r="B21" i="61"/>
  <c r="B22" i="61" s="1"/>
  <c r="H20" i="6" s="1"/>
  <c r="N13" i="1"/>
  <c r="U69" i="72"/>
  <c r="Z69" i="72" s="1"/>
  <c r="H22" i="72"/>
  <c r="B53" i="61"/>
  <c r="H30" i="6" s="1"/>
  <c r="Q65" i="72"/>
  <c r="N90" i="66"/>
  <c r="A74" i="29"/>
  <c r="A93" i="29" s="1"/>
  <c r="C21" i="49"/>
  <c r="N24" i="72"/>
  <c r="N25" i="72" s="1"/>
  <c r="U61" i="72"/>
  <c r="U65" i="72" s="1"/>
  <c r="F47" i="66"/>
  <c r="F57" i="66" s="1"/>
  <c r="F62" i="66" s="1"/>
  <c r="J45" i="66"/>
  <c r="J47" i="66" s="1"/>
  <c r="J57" i="66" s="1"/>
  <c r="J62" i="66" s="1"/>
  <c r="J60" i="66" s="1"/>
  <c r="J81" i="59"/>
  <c r="A117" i="26"/>
  <c r="A69" i="28"/>
  <c r="J10" i="72"/>
  <c r="J32" i="72" s="1"/>
  <c r="Z80" i="72"/>
  <c r="F71" i="66"/>
  <c r="J64" i="59"/>
  <c r="J111" i="59"/>
  <c r="K96" i="26"/>
  <c r="I104" i="59"/>
  <c r="J100" i="59"/>
  <c r="I113" i="59"/>
  <c r="W42" i="72"/>
  <c r="W50" i="72"/>
  <c r="J49" i="59"/>
  <c r="J51" i="59" s="1"/>
  <c r="I77" i="59"/>
  <c r="J75" i="59"/>
  <c r="I65" i="59"/>
  <c r="I71" i="59"/>
  <c r="I95" i="59"/>
  <c r="H37" i="75"/>
  <c r="F14" i="1" s="1"/>
  <c r="I14" i="1" s="1"/>
  <c r="J33" i="59"/>
  <c r="J54" i="59"/>
  <c r="J63" i="59"/>
  <c r="J68" i="59"/>
  <c r="J71" i="59" s="1"/>
  <c r="J76" i="59"/>
  <c r="J84" i="59"/>
  <c r="J85" i="59" s="1"/>
  <c r="I85" i="59"/>
  <c r="J94" i="59"/>
  <c r="J95" i="59" s="1"/>
  <c r="J101" i="59"/>
  <c r="J108" i="59"/>
  <c r="J112" i="59"/>
  <c r="L18" i="31"/>
  <c r="L12" i="31"/>
  <c r="L14" i="31"/>
  <c r="L13" i="31"/>
  <c r="J107" i="59"/>
  <c r="H65" i="21"/>
  <c r="H79" i="21" s="1"/>
  <c r="H124" i="21" s="1"/>
  <c r="F17" i="28"/>
  <c r="F23" i="28" s="1"/>
  <c r="G23" i="28"/>
  <c r="G33" i="28" s="1"/>
  <c r="G39" i="28" s="1"/>
  <c r="D56" i="37"/>
  <c r="F56" i="37" s="1"/>
  <c r="F54" i="37"/>
  <c r="C22" i="38"/>
  <c r="C25" i="38" s="1"/>
  <c r="F13" i="34"/>
  <c r="J87" i="59"/>
  <c r="J89" i="59" s="1"/>
  <c r="I89" i="59"/>
  <c r="J102" i="59"/>
  <c r="J109" i="59"/>
  <c r="G70" i="47"/>
  <c r="G84" i="47" s="1"/>
  <c r="G129" i="47" s="1"/>
  <c r="J97" i="59"/>
  <c r="J98" i="59" s="1"/>
  <c r="K160" i="54"/>
  <c r="N160" i="54"/>
  <c r="I124" i="21"/>
  <c r="H34" i="32"/>
  <c r="I31" i="47"/>
  <c r="I70" i="47" s="1"/>
  <c r="I84" i="47" s="1"/>
  <c r="C40" i="50"/>
  <c r="J119" i="59"/>
  <c r="J120" i="59" s="1"/>
  <c r="J70" i="47"/>
  <c r="J84" i="47" s="1"/>
  <c r="J129" i="47" s="1"/>
  <c r="H13" i="54"/>
  <c r="K41" i="26"/>
  <c r="F38" i="34"/>
  <c r="J146" i="59"/>
  <c r="J149" i="59" s="1"/>
  <c r="E25" i="54"/>
  <c r="F25" i="54" s="1"/>
  <c r="D26" i="30"/>
  <c r="E20" i="30" s="1"/>
  <c r="I143" i="59"/>
  <c r="J141" i="59"/>
  <c r="J143" i="59" s="1"/>
  <c r="J147" i="59"/>
  <c r="J122" i="59"/>
  <c r="J126" i="59" s="1"/>
  <c r="K39" i="26"/>
  <c r="J11" i="2" l="1"/>
  <c r="F18" i="2"/>
  <c r="I109" i="83"/>
  <c r="I8" i="75"/>
  <c r="J18" i="80"/>
  <c r="F24" i="1" s="1"/>
  <c r="F32" i="2"/>
  <c r="J32" i="2" s="1"/>
  <c r="J37" i="2" s="1"/>
  <c r="I13" i="75"/>
  <c r="H11" i="62"/>
  <c r="H15" i="62" s="1"/>
  <c r="H54" i="2"/>
  <c r="K28" i="72"/>
  <c r="K30" i="72" s="1"/>
  <c r="K32" i="72" s="1"/>
  <c r="K45" i="72"/>
  <c r="K50" i="72" s="1"/>
  <c r="K55" i="72" s="1"/>
  <c r="K53" i="72" s="1"/>
  <c r="S45" i="72"/>
  <c r="S50" i="72" s="1"/>
  <c r="S55" i="72" s="1"/>
  <c r="S53" i="72" s="1"/>
  <c r="K20" i="1"/>
  <c r="K26" i="1" s="1"/>
  <c r="B37" i="61"/>
  <c r="B38" i="61" s="1"/>
  <c r="H26" i="6" s="1"/>
  <c r="I20" i="1"/>
  <c r="L21" i="1"/>
  <c r="I21" i="1"/>
  <c r="Q71" i="72"/>
  <c r="U71" i="72" s="1"/>
  <c r="Z71" i="72" s="1"/>
  <c r="I97" i="26"/>
  <c r="K97" i="26" s="1"/>
  <c r="J82" i="77"/>
  <c r="C36" i="49"/>
  <c r="C40" i="49" s="1"/>
  <c r="J37" i="59"/>
  <c r="E32" i="5"/>
  <c r="I32" i="5" s="1"/>
  <c r="N32" i="5" s="1"/>
  <c r="F78" i="66"/>
  <c r="J78" i="66" s="1"/>
  <c r="O78" i="66" s="1"/>
  <c r="Q20" i="6"/>
  <c r="B10" i="61"/>
  <c r="D11" i="61" s="1"/>
  <c r="Q35" i="79"/>
  <c r="W35" i="79" s="1"/>
  <c r="H28" i="1"/>
  <c r="H40" i="1" s="1"/>
  <c r="F35" i="79"/>
  <c r="N35" i="79" s="1"/>
  <c r="B28" i="38"/>
  <c r="F33" i="28"/>
  <c r="F39" i="28" s="1"/>
  <c r="J65" i="59"/>
  <c r="J77" i="59"/>
  <c r="K100" i="26"/>
  <c r="H23" i="72"/>
  <c r="L15" i="31"/>
  <c r="L20" i="31" s="1"/>
  <c r="I129" i="47"/>
  <c r="N22" i="5"/>
  <c r="E24" i="30"/>
  <c r="N26" i="5"/>
  <c r="E30" i="5"/>
  <c r="I30" i="5" s="1"/>
  <c r="N30" i="5" s="1"/>
  <c r="I25" i="5"/>
  <c r="N25" i="5" s="1"/>
  <c r="B13" i="61"/>
  <c r="D12" i="61" s="1"/>
  <c r="H41" i="28"/>
  <c r="I41" i="28" s="1"/>
  <c r="G41" i="28"/>
  <c r="B27" i="61"/>
  <c r="B28" i="61" s="1"/>
  <c r="H21" i="6" s="1"/>
  <c r="G85" i="26"/>
  <c r="K85" i="26" s="1"/>
  <c r="N14" i="1"/>
  <c r="J104" i="59"/>
  <c r="F76" i="66"/>
  <c r="J71" i="66"/>
  <c r="O71" i="66" s="1"/>
  <c r="F28" i="30"/>
  <c r="A11" i="27"/>
  <c r="A18" i="27" s="1"/>
  <c r="A23" i="27" s="1"/>
  <c r="A25" i="27" s="1"/>
  <c r="A128" i="29"/>
  <c r="A135" i="29" s="1"/>
  <c r="A142" i="29" s="1"/>
  <c r="A144" i="29" s="1"/>
  <c r="A106" i="29"/>
  <c r="H32" i="6"/>
  <c r="Q37" i="6"/>
  <c r="K45" i="26"/>
  <c r="O68" i="66"/>
  <c r="N173" i="76"/>
  <c r="F29" i="28"/>
  <c r="G68" i="29"/>
  <c r="E68" i="29" s="1"/>
  <c r="D9" i="27"/>
  <c r="J9" i="27" s="1"/>
  <c r="J43" i="32"/>
  <c r="J45" i="32" s="1"/>
  <c r="O125" i="21"/>
  <c r="H103" i="46"/>
  <c r="H107" i="46" s="1"/>
  <c r="O72" i="66"/>
  <c r="I151" i="59"/>
  <c r="Z65" i="72"/>
  <c r="E18" i="30"/>
  <c r="E22" i="30"/>
  <c r="E16" i="30"/>
  <c r="E26" i="30" s="1"/>
  <c r="J113" i="59"/>
  <c r="Z61" i="72"/>
  <c r="I100" i="26" l="1"/>
  <c r="F37" i="2"/>
  <c r="Q77" i="72" s="1"/>
  <c r="U77" i="72" s="1"/>
  <c r="Z77" i="72" s="1"/>
  <c r="J84" i="77"/>
  <c r="F11" i="1" s="1"/>
  <c r="M28" i="72"/>
  <c r="M30" i="72" s="1"/>
  <c r="M32" i="72" s="1"/>
  <c r="X18" i="72"/>
  <c r="Q18" i="72" s="1"/>
  <c r="Q22" i="72" s="1"/>
  <c r="P14" i="74"/>
  <c r="Q14" i="74" s="1"/>
  <c r="P20" i="74"/>
  <c r="Q20" i="74" s="1"/>
  <c r="I12" i="1"/>
  <c r="N11" i="1"/>
  <c r="F26" i="1"/>
  <c r="I24" i="1"/>
  <c r="M17" i="66"/>
  <c r="F17" i="66" s="1"/>
  <c r="J17" i="66" s="1"/>
  <c r="O17" i="66" s="1"/>
  <c r="J37" i="1"/>
  <c r="J38" i="1" s="1"/>
  <c r="J39" i="1" s="1"/>
  <c r="AB6" i="72"/>
  <c r="N13" i="72"/>
  <c r="N14" i="72" s="1"/>
  <c r="E13" i="72" s="1"/>
  <c r="H13" i="72" s="1"/>
  <c r="G53" i="74"/>
  <c r="X13" i="72"/>
  <c r="Q13" i="72" s="1"/>
  <c r="U13" i="72" s="1"/>
  <c r="Z13" i="72" s="1"/>
  <c r="E36" i="5"/>
  <c r="F61" i="66"/>
  <c r="F60" i="66" s="1"/>
  <c r="F48" i="74"/>
  <c r="F54" i="72"/>
  <c r="X3" i="72"/>
  <c r="F13" i="66" s="1"/>
  <c r="Q54" i="72"/>
  <c r="Q53" i="72" s="1"/>
  <c r="F82" i="66"/>
  <c r="L24" i="1"/>
  <c r="B30" i="38"/>
  <c r="B32" i="38" s="1"/>
  <c r="B31" i="38"/>
  <c r="H14" i="6"/>
  <c r="J16" i="2"/>
  <c r="J18" i="2" s="1"/>
  <c r="Q75" i="72"/>
  <c r="B62" i="61"/>
  <c r="B63" i="61" s="1"/>
  <c r="H31" i="6" s="1"/>
  <c r="H33" i="6" s="1"/>
  <c r="H30" i="1"/>
  <c r="F10" i="66" s="1"/>
  <c r="Q22" i="6"/>
  <c r="I83" i="26"/>
  <c r="I87" i="26" s="1"/>
  <c r="B11" i="61"/>
  <c r="D10" i="61" s="1"/>
  <c r="D15" i="61" s="1"/>
  <c r="Q31" i="79"/>
  <c r="W31" i="79" s="1"/>
  <c r="X41" i="59"/>
  <c r="Q21" i="6"/>
  <c r="F31" i="79"/>
  <c r="N31" i="79" s="1"/>
  <c r="P11" i="21"/>
  <c r="Q9" i="59"/>
  <c r="S4" i="71"/>
  <c r="X7" i="59"/>
  <c r="X133" i="59"/>
  <c r="J151" i="59"/>
  <c r="U160" i="59" s="1"/>
  <c r="J76" i="66"/>
  <c r="O76" i="66" s="1"/>
  <c r="Q151" i="59"/>
  <c r="T160" i="59"/>
  <c r="F39" i="2" l="1"/>
  <c r="E38" i="5"/>
  <c r="I38" i="5" s="1"/>
  <c r="N38" i="5" s="1"/>
  <c r="Q81" i="72"/>
  <c r="F84" i="66"/>
  <c r="J84" i="66" s="1"/>
  <c r="O84" i="66" s="1"/>
  <c r="G82" i="26"/>
  <c r="G87" i="26" s="1"/>
  <c r="I11" i="1"/>
  <c r="F16" i="1"/>
  <c r="K16" i="1" s="1"/>
  <c r="M9" i="1"/>
  <c r="O50" i="6"/>
  <c r="U18" i="72"/>
  <c r="Z18" i="72" s="1"/>
  <c r="R20" i="74"/>
  <c r="E21" i="74" s="1"/>
  <c r="Q22" i="74"/>
  <c r="E20" i="74" s="1"/>
  <c r="Q15" i="74"/>
  <c r="E14" i="74" s="1"/>
  <c r="R14" i="74"/>
  <c r="E15" i="74" s="1"/>
  <c r="G15" i="74" s="1"/>
  <c r="Q14" i="72"/>
  <c r="Q15" i="72" s="1"/>
  <c r="J82" i="66"/>
  <c r="I36" i="5"/>
  <c r="N36" i="5" s="1"/>
  <c r="J39" i="2"/>
  <c r="J43" i="2" s="1"/>
  <c r="U75" i="72"/>
  <c r="Z75" i="72" s="1"/>
  <c r="E14" i="72"/>
  <c r="E15" i="72" s="1"/>
  <c r="O10" i="66"/>
  <c r="Q10" i="72"/>
  <c r="Z10" i="72" s="1"/>
  <c r="H10" i="72"/>
  <c r="E10" i="72" s="1"/>
  <c r="E10" i="5"/>
  <c r="N10" i="5" s="1"/>
  <c r="B17" i="61"/>
  <c r="K45" i="21"/>
  <c r="K18" i="21"/>
  <c r="K101" i="21"/>
  <c r="K96" i="21"/>
  <c r="K92" i="21"/>
  <c r="K43" i="21"/>
  <c r="K40" i="21"/>
  <c r="K34" i="21"/>
  <c r="K121" i="21"/>
  <c r="K82" i="21"/>
  <c r="K90" i="21"/>
  <c r="K86" i="21"/>
  <c r="K38" i="21"/>
  <c r="K23" i="21"/>
  <c r="K115" i="21"/>
  <c r="K55" i="21"/>
  <c r="K57" i="21"/>
  <c r="K60" i="21"/>
  <c r="K32" i="21"/>
  <c r="K99" i="21"/>
  <c r="K87" i="21"/>
  <c r="K44" i="21"/>
  <c r="K52" i="21"/>
  <c r="K35" i="21"/>
  <c r="K21" i="21"/>
  <c r="K91" i="21"/>
  <c r="K63" i="21"/>
  <c r="K39" i="21"/>
  <c r="K41" i="21"/>
  <c r="K24" i="21"/>
  <c r="K49" i="21"/>
  <c r="K56" i="21"/>
  <c r="K53" i="21"/>
  <c r="K48" i="21"/>
  <c r="K33" i="21"/>
  <c r="K28" i="21"/>
  <c r="K19" i="21"/>
  <c r="K112" i="21"/>
  <c r="K85" i="21"/>
  <c r="K103" i="21"/>
  <c r="K54" i="21"/>
  <c r="K102" i="21"/>
  <c r="K42" i="21"/>
  <c r="K25" i="21"/>
  <c r="K22" i="21"/>
  <c r="K17" i="21"/>
  <c r="K100" i="21"/>
  <c r="K95" i="21"/>
  <c r="K31" i="21"/>
  <c r="K20" i="21"/>
  <c r="K118" i="21"/>
  <c r="L63" i="59"/>
  <c r="L57" i="59"/>
  <c r="L145" i="59"/>
  <c r="L33" i="59"/>
  <c r="L122" i="59"/>
  <c r="L94" i="59"/>
  <c r="L95" i="59" s="1"/>
  <c r="L119" i="59"/>
  <c r="L147" i="59"/>
  <c r="L75" i="59"/>
  <c r="L100" i="59"/>
  <c r="L101" i="59"/>
  <c r="L32" i="59"/>
  <c r="L68" i="59"/>
  <c r="L108" i="59"/>
  <c r="L76" i="59"/>
  <c r="L84" i="59"/>
  <c r="L85" i="59" s="1"/>
  <c r="L123" i="59"/>
  <c r="L88" i="59"/>
  <c r="L106" i="59"/>
  <c r="L16" i="59"/>
  <c r="I34" i="71"/>
  <c r="I33" i="71"/>
  <c r="L73" i="59"/>
  <c r="L61" i="59"/>
  <c r="L128" i="59"/>
  <c r="L129" i="59" s="1"/>
  <c r="L80" i="59"/>
  <c r="I11" i="71"/>
  <c r="L148" i="59"/>
  <c r="I41" i="71"/>
  <c r="L64" i="59"/>
  <c r="L146" i="59"/>
  <c r="L69" i="59"/>
  <c r="L50" i="59"/>
  <c r="L74" i="59"/>
  <c r="L110" i="59"/>
  <c r="L31" i="59"/>
  <c r="I37" i="71"/>
  <c r="L111" i="59"/>
  <c r="L81" i="59"/>
  <c r="L55" i="59"/>
  <c r="L49" i="59"/>
  <c r="L125" i="59"/>
  <c r="L35" i="59"/>
  <c r="L58" i="59"/>
  <c r="L27" i="59"/>
  <c r="L29" i="59" s="1"/>
  <c r="I26" i="71"/>
  <c r="I38" i="71"/>
  <c r="I32" i="71"/>
  <c r="L118" i="59"/>
  <c r="L87" i="59"/>
  <c r="L140" i="59"/>
  <c r="L59" i="59"/>
  <c r="L124" i="59"/>
  <c r="L62" i="59"/>
  <c r="L53" i="59"/>
  <c r="L19" i="59"/>
  <c r="I21" i="71"/>
  <c r="I25" i="71"/>
  <c r="L91" i="59"/>
  <c r="L92" i="59" s="1"/>
  <c r="L34" i="59"/>
  <c r="L17" i="59"/>
  <c r="L97" i="59"/>
  <c r="L98" i="59" s="1"/>
  <c r="I14" i="71"/>
  <c r="L48" i="59"/>
  <c r="I24" i="71"/>
  <c r="L142" i="59"/>
  <c r="L109" i="59"/>
  <c r="L115" i="59"/>
  <c r="L116" i="59" s="1"/>
  <c r="L22" i="59"/>
  <c r="L25" i="59" s="1"/>
  <c r="L18" i="59"/>
  <c r="I18" i="71"/>
  <c r="L103" i="59"/>
  <c r="L56" i="59"/>
  <c r="L54" i="59"/>
  <c r="L102" i="59"/>
  <c r="L79" i="59"/>
  <c r="L36" i="59"/>
  <c r="L60" i="59"/>
  <c r="I17" i="71"/>
  <c r="I29" i="71"/>
  <c r="J13" i="66"/>
  <c r="J19" i="66" s="1"/>
  <c r="F14" i="66"/>
  <c r="O34" i="66" s="1"/>
  <c r="U22" i="72" l="1"/>
  <c r="U32" i="72" s="1"/>
  <c r="G22" i="74"/>
  <c r="F28" i="1"/>
  <c r="K82" i="26"/>
  <c r="K87" i="26" s="1"/>
  <c r="E42" i="5"/>
  <c r="J88" i="66"/>
  <c r="J90" i="66" s="1"/>
  <c r="F88" i="66"/>
  <c r="F90" i="66" s="1"/>
  <c r="O82" i="66"/>
  <c r="F43" i="2"/>
  <c r="H14" i="72"/>
  <c r="H15" i="72" s="1"/>
  <c r="H19" i="6"/>
  <c r="H23" i="6" s="1"/>
  <c r="P23" i="6" s="1"/>
  <c r="Q27" i="72"/>
  <c r="E32" i="72"/>
  <c r="I42" i="5"/>
  <c r="J11" i="62"/>
  <c r="J15" i="62" s="1"/>
  <c r="J43" i="74"/>
  <c r="J49" i="74" s="1"/>
  <c r="L120" i="59"/>
  <c r="I27" i="71"/>
  <c r="U81" i="72"/>
  <c r="I19" i="71"/>
  <c r="Q32" i="72"/>
  <c r="Q83" i="72"/>
  <c r="I39" i="71"/>
  <c r="L89" i="59"/>
  <c r="L71" i="59"/>
  <c r="K93" i="21"/>
  <c r="K58" i="21"/>
  <c r="I35" i="71"/>
  <c r="K104" i="21"/>
  <c r="L82" i="59"/>
  <c r="L37" i="59"/>
  <c r="L20" i="59"/>
  <c r="K88" i="21"/>
  <c r="L104" i="59"/>
  <c r="L143" i="59"/>
  <c r="L113" i="59"/>
  <c r="L149" i="59"/>
  <c r="K26" i="21"/>
  <c r="K46" i="21"/>
  <c r="L51" i="59"/>
  <c r="L65" i="59"/>
  <c r="L77" i="59"/>
  <c r="K36" i="21"/>
  <c r="L126" i="59"/>
  <c r="O13" i="66"/>
  <c r="Z22" i="72"/>
  <c r="F15" i="66"/>
  <c r="O19" i="66"/>
  <c r="F11" i="62" l="1"/>
  <c r="F15" i="62" s="1"/>
  <c r="F41" i="74"/>
  <c r="J26" i="1"/>
  <c r="J25" i="1" s="1"/>
  <c r="P34" i="80"/>
  <c r="P35" i="80" s="1"/>
  <c r="U83" i="72"/>
  <c r="N42" i="5"/>
  <c r="K165" i="76"/>
  <c r="K161" i="76"/>
  <c r="K155" i="76"/>
  <c r="K151" i="76"/>
  <c r="K145" i="76"/>
  <c r="K139" i="76"/>
  <c r="K133" i="76"/>
  <c r="K129" i="76"/>
  <c r="K124" i="76"/>
  <c r="K118" i="76"/>
  <c r="K112" i="76"/>
  <c r="K106" i="76"/>
  <c r="K100" i="76"/>
  <c r="K92" i="76"/>
  <c r="K84" i="76"/>
  <c r="K80" i="76"/>
  <c r="K74" i="76"/>
  <c r="K67" i="76"/>
  <c r="K63" i="76"/>
  <c r="K57" i="76"/>
  <c r="K53" i="76"/>
  <c r="K49" i="76"/>
  <c r="K43" i="76"/>
  <c r="K37" i="76"/>
  <c r="K33" i="76"/>
  <c r="K29" i="76"/>
  <c r="K22" i="76"/>
  <c r="K18" i="76"/>
  <c r="K15" i="76"/>
  <c r="K135" i="76"/>
  <c r="K116" i="76"/>
  <c r="K104" i="76"/>
  <c r="K96" i="76"/>
  <c r="K82" i="76"/>
  <c r="K72" i="76"/>
  <c r="K59" i="76"/>
  <c r="K51" i="76"/>
  <c r="K41" i="76"/>
  <c r="K31" i="76"/>
  <c r="K20" i="76"/>
  <c r="K168" i="76"/>
  <c r="K146" i="76"/>
  <c r="K134" i="76"/>
  <c r="K119" i="76"/>
  <c r="K107" i="76"/>
  <c r="K93" i="76"/>
  <c r="K81" i="76"/>
  <c r="K75" i="76"/>
  <c r="K64" i="76"/>
  <c r="K54" i="76"/>
  <c r="K44" i="76"/>
  <c r="K34" i="76"/>
  <c r="K164" i="76"/>
  <c r="K160" i="76"/>
  <c r="K154" i="76"/>
  <c r="K148" i="76"/>
  <c r="K142" i="76"/>
  <c r="K138" i="76"/>
  <c r="K132" i="76"/>
  <c r="K126" i="76"/>
  <c r="K123" i="76"/>
  <c r="K117" i="76"/>
  <c r="K111" i="76"/>
  <c r="K105" i="76"/>
  <c r="K99" i="76"/>
  <c r="K91" i="76"/>
  <c r="K83" i="76"/>
  <c r="K79" i="76"/>
  <c r="K73" i="76"/>
  <c r="K66" i="76"/>
  <c r="K60" i="76"/>
  <c r="K56" i="76"/>
  <c r="K52" i="76"/>
  <c r="K46" i="76"/>
  <c r="K42" i="76"/>
  <c r="K36" i="76"/>
  <c r="K32" i="76"/>
  <c r="K26" i="76"/>
  <c r="K21" i="76"/>
  <c r="K12" i="76"/>
  <c r="K170" i="76"/>
  <c r="K163" i="76"/>
  <c r="K157" i="76"/>
  <c r="K153" i="76"/>
  <c r="K147" i="76"/>
  <c r="K141" i="76"/>
  <c r="K131" i="76"/>
  <c r="K125" i="76"/>
  <c r="K120" i="76"/>
  <c r="K110" i="76"/>
  <c r="K88" i="76"/>
  <c r="K78" i="76"/>
  <c r="K65" i="76"/>
  <c r="K55" i="76"/>
  <c r="K45" i="76"/>
  <c r="K35" i="76"/>
  <c r="K25" i="76"/>
  <c r="K13" i="76"/>
  <c r="K162" i="76"/>
  <c r="K156" i="76"/>
  <c r="K152" i="76"/>
  <c r="K140" i="76"/>
  <c r="K130" i="76"/>
  <c r="K113" i="76"/>
  <c r="K101" i="76"/>
  <c r="K87" i="76"/>
  <c r="K68" i="76"/>
  <c r="K58" i="76"/>
  <c r="K50" i="76"/>
  <c r="K38" i="76"/>
  <c r="K30" i="76"/>
  <c r="K19" i="76"/>
  <c r="K14" i="76"/>
  <c r="X40" i="59"/>
  <c r="K148" i="59" s="1"/>
  <c r="S3" i="71"/>
  <c r="N120" i="59" s="1"/>
  <c r="F40" i="1"/>
  <c r="G55" i="74" s="1"/>
  <c r="J12" i="1"/>
  <c r="X6" i="59"/>
  <c r="K30" i="1"/>
  <c r="P8" i="21"/>
  <c r="J112" i="21" s="1"/>
  <c r="N151" i="59"/>
  <c r="Q8" i="59"/>
  <c r="O125" i="59" s="1"/>
  <c r="X132" i="59"/>
  <c r="K11" i="76"/>
  <c r="O90" i="66"/>
  <c r="F28" i="72"/>
  <c r="F30" i="72" s="1"/>
  <c r="F32" i="72" s="1"/>
  <c r="F45" i="72"/>
  <c r="F50" i="72" s="1"/>
  <c r="F55" i="72" s="1"/>
  <c r="F53" i="72" s="1"/>
  <c r="F25" i="74"/>
  <c r="F29" i="66"/>
  <c r="J29" i="66" s="1"/>
  <c r="J36" i="66" s="1"/>
  <c r="E12" i="4"/>
  <c r="I12" i="4" s="1"/>
  <c r="I18" i="4" s="1"/>
  <c r="H10" i="6"/>
  <c r="H16" i="6" s="1"/>
  <c r="P16" i="6" s="1"/>
  <c r="O88" i="66"/>
  <c r="G16" i="74"/>
  <c r="R19" i="6"/>
  <c r="E16" i="74"/>
  <c r="Z83" i="72"/>
  <c r="Z81" i="72"/>
  <c r="L151" i="59"/>
  <c r="K65" i="21"/>
  <c r="K79" i="21" s="1"/>
  <c r="K124" i="21" s="1"/>
  <c r="J41" i="21" l="1"/>
  <c r="G25" i="74"/>
  <c r="G26" i="74" s="1"/>
  <c r="G28" i="74" s="1"/>
  <c r="P36" i="80"/>
  <c r="F26" i="74"/>
  <c r="F28" i="74" s="1"/>
  <c r="K102" i="76"/>
  <c r="O29" i="59"/>
  <c r="E13" i="5"/>
  <c r="I13" i="5" s="1"/>
  <c r="N27" i="74"/>
  <c r="K16" i="76"/>
  <c r="K80" i="59"/>
  <c r="O23" i="59"/>
  <c r="K115" i="59"/>
  <c r="K116" i="59" s="1"/>
  <c r="K102" i="59"/>
  <c r="O58" i="59"/>
  <c r="K54" i="59"/>
  <c r="K17" i="59"/>
  <c r="O102" i="59"/>
  <c r="K145" i="59"/>
  <c r="O73" i="59"/>
  <c r="O108" i="59"/>
  <c r="K75" i="59"/>
  <c r="L25" i="67"/>
  <c r="J106" i="21"/>
  <c r="H28" i="72"/>
  <c r="H30" i="72" s="1"/>
  <c r="H32" i="72" s="1"/>
  <c r="J27" i="32"/>
  <c r="J52" i="21"/>
  <c r="K108" i="76"/>
  <c r="O25" i="59"/>
  <c r="O140" i="59"/>
  <c r="O89" i="59"/>
  <c r="K27" i="76"/>
  <c r="J25" i="21"/>
  <c r="J24" i="32"/>
  <c r="J17" i="21"/>
  <c r="J33" i="21"/>
  <c r="K85" i="76"/>
  <c r="K136" i="76"/>
  <c r="K89" i="76"/>
  <c r="K114" i="76"/>
  <c r="K143" i="76"/>
  <c r="K166" i="76"/>
  <c r="K94" i="76"/>
  <c r="K76" i="76"/>
  <c r="K121" i="76"/>
  <c r="K69" i="76"/>
  <c r="K23" i="76"/>
  <c r="K158" i="76"/>
  <c r="J53" i="21"/>
  <c r="O38" i="80"/>
  <c r="K127" i="76"/>
  <c r="K47" i="76"/>
  <c r="K39" i="76"/>
  <c r="K61" i="76"/>
  <c r="K149" i="76"/>
  <c r="N149" i="59"/>
  <c r="N129" i="59"/>
  <c r="K111" i="59"/>
  <c r="K97" i="59"/>
  <c r="K98" i="59" s="1"/>
  <c r="N104" i="59"/>
  <c r="K56" i="59"/>
  <c r="K103" i="59"/>
  <c r="J95" i="21"/>
  <c r="J19" i="21"/>
  <c r="J14" i="32"/>
  <c r="K59" i="59"/>
  <c r="K64" i="59"/>
  <c r="K49" i="59"/>
  <c r="K18" i="59"/>
  <c r="J42" i="21"/>
  <c r="J82" i="21"/>
  <c r="J32" i="32"/>
  <c r="J15" i="32"/>
  <c r="J22" i="21"/>
  <c r="O34" i="59"/>
  <c r="O146" i="59"/>
  <c r="O97" i="59"/>
  <c r="O37" i="59"/>
  <c r="O28" i="59"/>
  <c r="O80" i="59"/>
  <c r="O75" i="59"/>
  <c r="O103" i="59"/>
  <c r="O98" i="59"/>
  <c r="O59" i="59"/>
  <c r="L23" i="67"/>
  <c r="O26" i="80"/>
  <c r="O19" i="59"/>
  <c r="O51" i="59"/>
  <c r="O35" i="59"/>
  <c r="O74" i="59"/>
  <c r="L27" i="67"/>
  <c r="M5" i="82"/>
  <c r="O116" i="59"/>
  <c r="O122" i="59"/>
  <c r="O124" i="59"/>
  <c r="O148" i="59"/>
  <c r="O129" i="59"/>
  <c r="O123" i="59"/>
  <c r="U4" i="71"/>
  <c r="N143" i="59"/>
  <c r="N126" i="59"/>
  <c r="N113" i="59"/>
  <c r="N116" i="59"/>
  <c r="T3" i="71"/>
  <c r="K110" i="59"/>
  <c r="K101" i="59"/>
  <c r="K63" i="59"/>
  <c r="K128" i="59"/>
  <c r="K129" i="59" s="1"/>
  <c r="K73" i="59"/>
  <c r="K32" i="59"/>
  <c r="K147" i="59"/>
  <c r="K140" i="59"/>
  <c r="K142" i="59"/>
  <c r="J63" i="21"/>
  <c r="J45" i="21"/>
  <c r="J103" i="21"/>
  <c r="J55" i="21"/>
  <c r="J92" i="21"/>
  <c r="J23" i="32"/>
  <c r="J86" i="21"/>
  <c r="K35" i="59"/>
  <c r="K146" i="59"/>
  <c r="K27" i="59"/>
  <c r="K29" i="59" s="1"/>
  <c r="K55" i="59"/>
  <c r="K16" i="59"/>
  <c r="K57" i="59"/>
  <c r="K60" i="59"/>
  <c r="K22" i="59"/>
  <c r="K25" i="59" s="1"/>
  <c r="K69" i="59"/>
  <c r="K87" i="59"/>
  <c r="K100" i="59"/>
  <c r="K123" i="59"/>
  <c r="K76" i="59"/>
  <c r="K34" i="59"/>
  <c r="K79" i="59"/>
  <c r="J101" i="21"/>
  <c r="J38" i="21"/>
  <c r="J31" i="21"/>
  <c r="J26" i="32"/>
  <c r="J34" i="21"/>
  <c r="J96" i="21"/>
  <c r="J31" i="32"/>
  <c r="J49" i="21"/>
  <c r="J44" i="21"/>
  <c r="J43" i="21"/>
  <c r="J32" i="21"/>
  <c r="J57" i="21"/>
  <c r="J102" i="21"/>
  <c r="J16" i="32"/>
  <c r="J13" i="32"/>
  <c r="J91" i="21"/>
  <c r="J100" i="21"/>
  <c r="J109" i="21"/>
  <c r="K124" i="59"/>
  <c r="K33" i="59"/>
  <c r="K53" i="59"/>
  <c r="K125" i="59"/>
  <c r="K84" i="59"/>
  <c r="K85" i="59" s="1"/>
  <c r="K19" i="59"/>
  <c r="K68" i="59"/>
  <c r="K48" i="59"/>
  <c r="K81" i="59"/>
  <c r="J35" i="21"/>
  <c r="J56" i="21"/>
  <c r="J21" i="32"/>
  <c r="J118" i="21"/>
  <c r="J20" i="21"/>
  <c r="J39" i="21"/>
  <c r="J54" i="21"/>
  <c r="J60" i="21"/>
  <c r="J21" i="21"/>
  <c r="J28" i="32"/>
  <c r="K31" i="59"/>
  <c r="K109" i="59"/>
  <c r="K106" i="59"/>
  <c r="K108" i="59"/>
  <c r="K36" i="59"/>
  <c r="K74" i="59"/>
  <c r="K94" i="59"/>
  <c r="K95" i="59" s="1"/>
  <c r="K119" i="59"/>
  <c r="K118" i="59"/>
  <c r="K50" i="59"/>
  <c r="K91" i="59"/>
  <c r="K92" i="59" s="1"/>
  <c r="K88" i="59"/>
  <c r="K62" i="59"/>
  <c r="K61" i="59"/>
  <c r="K122" i="59"/>
  <c r="K58" i="59"/>
  <c r="J85" i="21"/>
  <c r="J17" i="32"/>
  <c r="J48" i="21"/>
  <c r="J24" i="21"/>
  <c r="J18" i="21"/>
  <c r="J19" i="32"/>
  <c r="J20" i="32"/>
  <c r="J99" i="21"/>
  <c r="J23" i="21"/>
  <c r="J90" i="21"/>
  <c r="J40" i="21"/>
  <c r="J121" i="21"/>
  <c r="J25" i="32"/>
  <c r="J29" i="32"/>
  <c r="J115" i="21"/>
  <c r="J87" i="21"/>
  <c r="J28" i="21"/>
  <c r="J22" i="32"/>
  <c r="O67" i="59"/>
  <c r="O69" i="59"/>
  <c r="O54" i="59"/>
  <c r="O65" i="59"/>
  <c r="O128" i="59"/>
  <c r="O110" i="59"/>
  <c r="O92" i="59"/>
  <c r="O141" i="59"/>
  <c r="O70" i="59"/>
  <c r="O81" i="59"/>
  <c r="O113" i="59"/>
  <c r="O60" i="59"/>
  <c r="O56" i="59"/>
  <c r="O85" i="59"/>
  <c r="O107" i="59"/>
  <c r="O149" i="59"/>
  <c r="O104" i="59"/>
  <c r="O53" i="59"/>
  <c r="O120" i="59"/>
  <c r="O126" i="59"/>
  <c r="O49" i="59"/>
  <c r="O31" i="59"/>
  <c r="O106" i="59"/>
  <c r="O115" i="59"/>
  <c r="O95" i="59"/>
  <c r="O16" i="59"/>
  <c r="O143" i="59"/>
  <c r="O151" i="59"/>
  <c r="O48" i="59"/>
  <c r="O36" i="59"/>
  <c r="O109" i="59"/>
  <c r="O84" i="59"/>
  <c r="O27" i="59"/>
  <c r="O142" i="59"/>
  <c r="O18" i="59"/>
  <c r="O145" i="59"/>
  <c r="O17" i="59"/>
  <c r="O64" i="59"/>
  <c r="O87" i="59"/>
  <c r="O101" i="59"/>
  <c r="O111" i="59"/>
  <c r="O91" i="59"/>
  <c r="O33" i="59"/>
  <c r="O112" i="59"/>
  <c r="O147" i="59"/>
  <c r="O88" i="59"/>
  <c r="O68" i="59"/>
  <c r="O77" i="59"/>
  <c r="O24" i="59"/>
  <c r="O94" i="59"/>
  <c r="O118" i="59"/>
  <c r="O57" i="59"/>
  <c r="O79" i="59"/>
  <c r="O76" i="59"/>
  <c r="O20" i="59"/>
  <c r="O100" i="59"/>
  <c r="O22" i="59"/>
  <c r="O32" i="59"/>
  <c r="O61" i="59"/>
  <c r="O119" i="59"/>
  <c r="O71" i="59"/>
  <c r="O55" i="59"/>
  <c r="E18" i="4"/>
  <c r="H35" i="6"/>
  <c r="H42" i="6" s="1"/>
  <c r="L9" i="82" l="1"/>
  <c r="N9" i="82" s="1"/>
  <c r="L26" i="82"/>
  <c r="N26" i="82" s="1"/>
  <c r="L15" i="82"/>
  <c r="N15" i="82" s="1"/>
  <c r="K71" i="59"/>
  <c r="K104" i="59"/>
  <c r="K77" i="59"/>
  <c r="K149" i="59"/>
  <c r="J93" i="21"/>
  <c r="K120" i="59"/>
  <c r="K51" i="59"/>
  <c r="K20" i="59"/>
  <c r="J104" i="21"/>
  <c r="L13" i="82"/>
  <c r="N13" i="82" s="1"/>
  <c r="L20" i="82"/>
  <c r="L19" i="82"/>
  <c r="L16" i="82"/>
  <c r="N16" i="82" s="1"/>
  <c r="L18" i="82"/>
  <c r="N18" i="82" s="1"/>
  <c r="L22" i="82"/>
  <c r="N22" i="82" s="1"/>
  <c r="L24" i="82"/>
  <c r="N24" i="82" s="1"/>
  <c r="L14" i="82"/>
  <c r="N14" i="82" s="1"/>
  <c r="L17" i="82"/>
  <c r="N17" i="82" s="1"/>
  <c r="L12" i="82"/>
  <c r="N12" i="82" s="1"/>
  <c r="J88" i="21"/>
  <c r="J34" i="32"/>
  <c r="K143" i="59"/>
  <c r="J46" i="21"/>
  <c r="K126" i="59"/>
  <c r="K113" i="59"/>
  <c r="J26" i="21"/>
  <c r="J36" i="21"/>
  <c r="K82" i="59"/>
  <c r="K37" i="59"/>
  <c r="K89" i="59"/>
  <c r="K65" i="59"/>
  <c r="J58" i="21"/>
  <c r="C13" i="36"/>
  <c r="C12" i="50"/>
  <c r="N13" i="5"/>
  <c r="K151" i="59" l="1"/>
  <c r="J65" i="21"/>
  <c r="J79" i="21" s="1"/>
  <c r="J124" i="21" s="1"/>
  <c r="P39" i="6"/>
  <c r="P40" i="6" s="1"/>
  <c r="E22" i="74"/>
  <c r="E28" i="74" l="1"/>
  <c r="G68" i="74"/>
  <c r="P41" i="6"/>
  <c r="F20" i="66"/>
  <c r="H40" i="6"/>
  <c r="E15" i="5"/>
  <c r="F30" i="1"/>
  <c r="O21" i="80" s="1"/>
  <c r="O23" i="80" s="1"/>
  <c r="O25" i="80" s="1"/>
  <c r="H45" i="6" l="1"/>
  <c r="O27" i="80"/>
  <c r="O33" i="80"/>
  <c r="O35" i="80" s="1"/>
  <c r="O37" i="80" s="1"/>
  <c r="O39" i="80" s="1"/>
  <c r="F18" i="66"/>
  <c r="O32" i="66" s="1"/>
  <c r="O35" i="66" s="1"/>
  <c r="F36" i="66"/>
  <c r="N29" i="66"/>
  <c r="C15" i="36"/>
  <c r="C17" i="36" s="1"/>
  <c r="E16" i="5"/>
  <c r="C13" i="50"/>
  <c r="I15" i="5"/>
  <c r="I16" i="5" s="1"/>
  <c r="I44" i="5" s="1"/>
  <c r="J32" i="1"/>
  <c r="L30" i="1"/>
  <c r="T45" i="6" l="1"/>
  <c r="O47" i="6"/>
  <c r="H61" i="6"/>
  <c r="Q46" i="6"/>
  <c r="E44" i="5"/>
  <c r="N16" i="5"/>
  <c r="N15" i="5"/>
  <c r="J28" i="1" l="1"/>
  <c r="N44" i="5"/>
  <c r="F38" i="74" l="1"/>
  <c r="F37" i="74"/>
  <c r="H52" i="2"/>
  <c r="F39" i="74" l="1"/>
  <c r="F43" i="74" s="1"/>
  <c r="F49" i="74" s="1"/>
  <c r="F47" i="74" s="1"/>
  <c r="N52" i="2"/>
</calcChain>
</file>

<file path=xl/sharedStrings.xml><?xml version="1.0" encoding="utf-8"?>
<sst xmlns="http://schemas.openxmlformats.org/spreadsheetml/2006/main" count="5855" uniqueCount="2935">
  <si>
    <t>Pak Suzuki Motor Company Limited</t>
  </si>
  <si>
    <t>Carrying value as at June 30, 2011</t>
  </si>
  <si>
    <t>--------------------------- % ---------------------------</t>
  </si>
  <si>
    <t xml:space="preserve">Allied Bank Ltd. </t>
  </si>
  <si>
    <t>United Bank Ltd.</t>
  </si>
  <si>
    <t>Bank Al Falah Ltd.</t>
  </si>
  <si>
    <t xml:space="preserve">Engro Rupiya </t>
  </si>
  <si>
    <t>Market Value as at June 30, 2011</t>
  </si>
  <si>
    <t>DIVIDEND AND PROFIT RECEIVABLE</t>
  </si>
  <si>
    <t>AFF &amp; Co.</t>
  </si>
  <si>
    <t>Initials</t>
  </si>
  <si>
    <t>PERIOD OF ACCOUNT :  As at June 30, 2011</t>
  </si>
  <si>
    <t>Prepared by:__________________________</t>
  </si>
  <si>
    <t>SUBJECT :  INVESTMENTS</t>
  </si>
  <si>
    <t>Reviewed by:__________________________</t>
  </si>
  <si>
    <t>P A R T I C U L A R S</t>
  </si>
  <si>
    <t>SCHEDULE REFERENCE</t>
  </si>
  <si>
    <t>Amount in Thousands</t>
  </si>
  <si>
    <t>Reasons for variation</t>
  </si>
  <si>
    <t>June 20, 2011</t>
  </si>
  <si>
    <t>June 30, 2010</t>
  </si>
  <si>
    <t>Difference</t>
  </si>
  <si>
    <t>%</t>
  </si>
  <si>
    <t>Held For Trading</t>
  </si>
  <si>
    <t>-Investments</t>
  </si>
  <si>
    <t>The Nafa Asset Allocation Fund was established after June 30, 2010.</t>
  </si>
  <si>
    <t>Senior:_____________</t>
  </si>
  <si>
    <t>(initials)</t>
  </si>
  <si>
    <t>Date ___________</t>
  </si>
  <si>
    <t>Reviewed By:___________(Initials)       Date:________________</t>
  </si>
  <si>
    <t xml:space="preserve">                       * Delete words in bracket if not applicable</t>
  </si>
  <si>
    <t>A. F. FERGUSON &amp; Co.</t>
  </si>
  <si>
    <t xml:space="preserve">A member firm of </t>
  </si>
  <si>
    <t>Purpose:</t>
  </si>
  <si>
    <t>Prepare a lead schedule for investments showing the corresponding amounts against each line item;</t>
  </si>
  <si>
    <t xml:space="preserve">        - explain movements and</t>
  </si>
  <si>
    <t>BALANCES WITH BANKS</t>
  </si>
  <si>
    <t>Government securities - at fair value through profit or loss</t>
  </si>
  <si>
    <t>Market value of total investments</t>
  </si>
  <si>
    <t>…………Rupees in 000'………….</t>
  </si>
  <si>
    <t>Profit accrued on savings deposits</t>
  </si>
  <si>
    <t>Dividend receivable</t>
  </si>
  <si>
    <t>Preliminary expenses and floatation costs represent expenditure incurred prior to the commencement of operations of the Fund and are being amortised over a period of five years commencing from August 21, 2010 as per the requirements set out in the Trust Deed.</t>
  </si>
  <si>
    <t>Government securities - Market Treasury Bills</t>
  </si>
  <si>
    <t>Total</t>
  </si>
  <si>
    <t>Step 5:</t>
  </si>
  <si>
    <t>Scanned the general ledger and found no unusual item.</t>
  </si>
  <si>
    <t>Step 6:</t>
  </si>
  <si>
    <t>Result satisfactory</t>
  </si>
  <si>
    <r>
      <t xml:space="preserve">CONCLUSION: </t>
    </r>
    <r>
      <rPr>
        <sz val="10"/>
        <rFont val="Arial"/>
        <family val="2"/>
      </rPr>
      <t>Based on the results of our tests of recorded balances, as outlined in the audit programme indicating the work performed, I conclude that the above balances are fairly stated in relation to the Financial Statements taken as a whole.</t>
    </r>
  </si>
  <si>
    <t>ASSETS</t>
  </si>
  <si>
    <t>Note</t>
  </si>
  <si>
    <t>Rupees in '000</t>
  </si>
  <si>
    <t>Total assets</t>
  </si>
  <si>
    <t>LIABILITIES</t>
  </si>
  <si>
    <t>Accrued expenses and other liabilities</t>
  </si>
  <si>
    <t>Total liabilities</t>
  </si>
  <si>
    <t>NET ASSETS</t>
  </si>
  <si>
    <t>Rupees</t>
  </si>
  <si>
    <t>INCOME</t>
  </si>
  <si>
    <t>EXPENSES</t>
  </si>
  <si>
    <t>Securities transaction cost</t>
  </si>
  <si>
    <t>Auditors' remuneration</t>
  </si>
  <si>
    <t>Taxation</t>
  </si>
  <si>
    <t>Net income for the period after taxation</t>
  </si>
  <si>
    <t>Undistributed income carried forward</t>
  </si>
  <si>
    <t>Net assets at the end of the period</t>
  </si>
  <si>
    <t>LEGAL STATUS AND NATURE OF BUSINESS</t>
  </si>
  <si>
    <t>BASIS OF PREPARATION</t>
  </si>
  <si>
    <t>Statement of Compliance</t>
  </si>
  <si>
    <t>a)</t>
  </si>
  <si>
    <t>b)</t>
  </si>
  <si>
    <t>Available for sale</t>
  </si>
  <si>
    <t>Loans and receivables</t>
  </si>
  <si>
    <t>Financial liabilities</t>
  </si>
  <si>
    <t>Balance as at June 30, 2011</t>
  </si>
  <si>
    <t>NAFA Asset Allocation Fund</t>
  </si>
  <si>
    <t>For the year ended June 30, 2011</t>
  </si>
  <si>
    <t>Credit Rating</t>
  </si>
  <si>
    <t>S.No.</t>
  </si>
  <si>
    <t>Name of securities</t>
  </si>
  <si>
    <t>No. of TFCs as on June 30, 2011</t>
  </si>
  <si>
    <t>Market value</t>
  </si>
  <si>
    <t>Credit Rating as per MUFAP</t>
  </si>
  <si>
    <t>Net unrealised appreciation in the value of investments classified as</t>
  </si>
  <si>
    <t>Sensitivity analysis for fixed rate instruments</t>
  </si>
  <si>
    <t>Fair value is the amount for which an asset could be exchanged, or liability settled, between knowledgeable willing parties in an arm's length transaction. Consequently, differences can arise between carrying values and the fair value estimates.</t>
  </si>
  <si>
    <t>SECP ANNUAL FEE</t>
  </si>
  <si>
    <t>AUDIT FEE</t>
  </si>
  <si>
    <t>FEDERAL EXCISE DUTY</t>
  </si>
  <si>
    <t>CDC</t>
  </si>
  <si>
    <t>TRUSTEE REMUNERATION</t>
  </si>
  <si>
    <t>MANAGEMENT COMPANY REMUNERATION</t>
  </si>
  <si>
    <t>CGT PAYABLE</t>
  </si>
  <si>
    <t>W.H.TAX PAYABLE-OTHERS</t>
  </si>
  <si>
    <t>WWF - PROVISION LIABILITY</t>
  </si>
  <si>
    <t>PAYABLE AGAINST PRINTING CHARGES</t>
  </si>
  <si>
    <t>BANK CHARGES PAYABLE</t>
  </si>
  <si>
    <t>PAYABLE TO MANAGEMENT COMPANY</t>
  </si>
  <si>
    <t>TRANSFER LOAD PAYABLE</t>
  </si>
  <si>
    <t>SALES LOAD PAYABLE TO MANAGEMENT COMPANY</t>
  </si>
  <si>
    <t>AUDIT FEE PAYABLE</t>
  </si>
  <si>
    <t>RECEIVABLE - TRANSFER SALES</t>
  </si>
  <si>
    <t>OTHER RECEIVABLE</t>
  </si>
  <si>
    <t>MTM CARRYING VALUE</t>
  </si>
  <si>
    <t>NCSS SECURITY DEPOSIT</t>
  </si>
  <si>
    <t>CDC SECURITY DEPOSIT</t>
  </si>
  <si>
    <t>FORMATION COST</t>
  </si>
  <si>
    <t>Credit</t>
  </si>
  <si>
    <t>Debit</t>
  </si>
  <si>
    <t>Description</t>
  </si>
  <si>
    <t>NAFA ASSET ALLOCATION FUND</t>
  </si>
  <si>
    <t>Investments</t>
  </si>
  <si>
    <t>Payable to the Management Company</t>
  </si>
  <si>
    <t>Payable to the Securities and Exchange Commission of Pakistan</t>
  </si>
  <si>
    <t>Dividend income</t>
  </si>
  <si>
    <t>Name of the investee company</t>
  </si>
  <si>
    <t>Number of shares</t>
  </si>
  <si>
    <t>Investment as a percentage of</t>
  </si>
  <si>
    <t>Bonus / Right Issue</t>
  </si>
  <si>
    <t>Sales during the period</t>
  </si>
  <si>
    <t>Net assets</t>
  </si>
  <si>
    <t>Paid up capital of the investee company</t>
  </si>
  <si>
    <t>Pakistan Oilfields Limited</t>
  </si>
  <si>
    <t>Pakistan Petroleum Limited</t>
  </si>
  <si>
    <t>Lucky Cement Limited</t>
  </si>
  <si>
    <t>The Hub Power Company Limited</t>
  </si>
  <si>
    <t>-</t>
  </si>
  <si>
    <t>Issue date</t>
  </si>
  <si>
    <t>Tenor</t>
  </si>
  <si>
    <t>Purchases during the period</t>
  </si>
  <si>
    <t>Sales / matured during the period</t>
  </si>
  <si>
    <t>3 months</t>
  </si>
  <si>
    <t>Less: Carrying value of investments</t>
  </si>
  <si>
    <t>PRELIMINARY EXPENSES AND FLOATATION COSTS</t>
  </si>
  <si>
    <t>Preliminary expenses and floatation costs incurred</t>
  </si>
  <si>
    <t>Less: Amortisation during the period</t>
  </si>
  <si>
    <t>CONTINGENCIES AND COMMITMENTS</t>
  </si>
  <si>
    <t>TAXATION</t>
  </si>
  <si>
    <t>DATE OF AUTHORISATION FOR ISSUE</t>
  </si>
  <si>
    <t>GENERAL</t>
  </si>
  <si>
    <t>Figures have been rounded off to the nearest thousand rupees.</t>
  </si>
  <si>
    <t>EQUITY INVESTMENTS</t>
  </si>
  <si>
    <t>DIVIDEND INCOME ON EQUITY SECURITIES</t>
  </si>
  <si>
    <t>BANK CHARGES</t>
  </si>
  <si>
    <t>LEGAL AND PROFESSIONAL CHARGES</t>
  </si>
  <si>
    <t>LAHORE STOCK EXCHANGE (GUARANTEE) LTD.</t>
  </si>
  <si>
    <t>The Board of Directors of the Management Company in their meeting held on July 04, 2011 have approved a final distribution for the period ended June 30, 2011 at the rate of 10.50%. The financial statements for the period ended June 30, 2011 do not include the effect of this final distribution which will be accounted for in the financial statements for the year ending June 30, 2012.</t>
  </si>
  <si>
    <t>For NBP Fullerton Asset Management Limited</t>
  </si>
  <si>
    <t>(Management Company)</t>
  </si>
  <si>
    <t xml:space="preserve">                                Chief Executive                                                                                                  Director</t>
  </si>
  <si>
    <t>S. No</t>
  </si>
  <si>
    <t>Name</t>
  </si>
  <si>
    <t>MBA / Doctorate in Business Administration / CFA</t>
  </si>
  <si>
    <t>Payable against redemption of units</t>
  </si>
  <si>
    <t>Sensitivity analysis for variable rate instruments</t>
  </si>
  <si>
    <t>Security deposit with National Clearing Company of Pakistan Limited</t>
  </si>
  <si>
    <t>NET ASSET VALUE PER UNIT</t>
  </si>
  <si>
    <t>Settlement and bank charges</t>
  </si>
  <si>
    <t>NRFSF is an open-ended mutual fund and is listed on the Lahore Stock Exchange. Units are offered for public subscription on a continuous basis. The units of the Fund can be transferred to / from the Funds managed by the Management Company and can also be redeemed by surrendering to the Fund. The units are listed on the Lahore Stock Exchange. The Fund is categorized as an Open-End Islamic "Income Scheme" as per the criteria laid down by Securities and Exchange Commission of Pakistan for categorization of Collective Investment Schemes (CIS).</t>
  </si>
  <si>
    <t>Market value of investments</t>
  </si>
  <si>
    <t>CVT EXPENSE</t>
  </si>
  <si>
    <t>INVESTMENT IN EQUITY SECURITIES</t>
  </si>
  <si>
    <t>ISSUED IN CASH</t>
  </si>
  <si>
    <t>ELEMENT OF INCOME</t>
  </si>
  <si>
    <t>UNAPPROPRIATED INCOME</t>
  </si>
  <si>
    <t>PAYABLE AGAINST REDEMPTION OF UNITS</t>
  </si>
  <si>
    <t>Net Asset</t>
  </si>
  <si>
    <t>Investment</t>
  </si>
  <si>
    <t>As at June 30, 2011</t>
  </si>
  <si>
    <t>Pakistan State Oil Company Limited</t>
  </si>
  <si>
    <t>Maple Leaf Cement Factory Limited</t>
  </si>
  <si>
    <t>%age of Total Investment</t>
  </si>
  <si>
    <t>AA</t>
  </si>
  <si>
    <t>AA-</t>
  </si>
  <si>
    <t>Grand Total</t>
  </si>
  <si>
    <t>Credit Rating of  AA</t>
  </si>
  <si>
    <t>Credit Rating of  AA-</t>
  </si>
  <si>
    <t xml:space="preserve">   </t>
  </si>
  <si>
    <t>Underlying the definition of fair value is the presumption that the Fund is a going concern without any intention or requirement to curtail materially the scale of its operations or to undertake a transaction on adverse terms.</t>
  </si>
  <si>
    <t>NON-ADJUSTING EVENT AFTER THE BALANCE SHEET DATE</t>
  </si>
  <si>
    <t>quoted prices (unadjusted) in active markets for identical assets or liabilities (level 1)</t>
  </si>
  <si>
    <t>Kot Addu Power Company Limited</t>
  </si>
  <si>
    <t>Face value</t>
  </si>
  <si>
    <t>12 months</t>
  </si>
  <si>
    <t>6 months</t>
  </si>
  <si>
    <t>Qualification</t>
  </si>
  <si>
    <t>Experience in years</t>
  </si>
  <si>
    <t>Dr. Amjad Waheed</t>
  </si>
  <si>
    <t>TOP TEN BROKERS / DEALERS BY PERCENTAGE OF COMMISSION PAID</t>
  </si>
  <si>
    <t>PATTERN OF UNIT HOLDING</t>
  </si>
  <si>
    <t>Category</t>
  </si>
  <si>
    <t>Number of unit holders</t>
  </si>
  <si>
    <t>Investment 
amount</t>
  </si>
  <si>
    <t>Percentage investment</t>
  </si>
  <si>
    <t>FINANCIAL INSTRUMENTS BY CATEGORY</t>
  </si>
  <si>
    <t>Balances with banks</t>
  </si>
  <si>
    <t>Receivable against sale of investments</t>
  </si>
  <si>
    <t>FINANCIAL RISK MANAGEMENT</t>
  </si>
  <si>
    <t>The Fund's activities expose it to a variety of financial risks: market risk, credit risk and liquidity risk.</t>
  </si>
  <si>
    <t>Market risk</t>
  </si>
  <si>
    <t>Currency risk</t>
  </si>
  <si>
    <t>Upto three months</t>
  </si>
  <si>
    <t>More than three months and upto one year</t>
  </si>
  <si>
    <t>More than 
one year</t>
  </si>
  <si>
    <t>----------------------------- (Rupees in '000) -----------------------------</t>
  </si>
  <si>
    <t>On-balance sheet financial instruments</t>
  </si>
  <si>
    <t>Off-balance sheet financial instruments</t>
  </si>
  <si>
    <t>Price risk</t>
  </si>
  <si>
    <t>inputs other than quoted prices included within level 1 that are observable for the asset or liability, whether directly (i.e. as prices) or indirectly (i.e. derived from prices) (level 2) ; and</t>
  </si>
  <si>
    <t>inputs for the asset or liability that are not based on observable market data (unobservable inputs) (level 3)</t>
  </si>
  <si>
    <t xml:space="preserve">Investments carried at fair value are categorised as follows: </t>
  </si>
  <si>
    <t>Level 1</t>
  </si>
  <si>
    <t>Level 2</t>
  </si>
  <si>
    <t>Level 3</t>
  </si>
  <si>
    <t>------------------------------------------------------------ (Rupees in '000) ------------------------------------------------------------</t>
  </si>
  <si>
    <t>Investment in securities - at fair value through profit or loss</t>
  </si>
  <si>
    <t>These financial statements were authorised for issue by the Board of Directors of the Management Company on _______________ .</t>
  </si>
  <si>
    <t>A1+</t>
  </si>
  <si>
    <t>BALANCES WITH BANKS RATINGS</t>
  </si>
  <si>
    <t>PURPOSE:TO DISCLOSE RATING WISE PERCENTAGE OF BANK BALANCES</t>
  </si>
  <si>
    <t>SOURCE:SBP RATING OF BANK ACCOUNTS</t>
  </si>
  <si>
    <t>NATURE:TEST OF DETAILS</t>
  </si>
  <si>
    <t>EXTENT:100%</t>
  </si>
  <si>
    <t>Amount in Rs</t>
  </si>
  <si>
    <t>Amount in Rs(000)'</t>
  </si>
  <si>
    <t>A-1+</t>
  </si>
  <si>
    <t>Rating wise percentage</t>
  </si>
  <si>
    <t>Payable on redemption of units</t>
  </si>
  <si>
    <t>Current accounts</t>
  </si>
  <si>
    <t>The Fund records that portion of the net element of income / (loss) and capital gains / (losses) relating to units issued and redeemed during an accounting period which pertains to income / (losses) that form part of the Unit Holders' Funds in a separate reserve account and any amount remaining in this reserve account at the end of an accounting period (whether gain or loss) is included in the amount available for distribution to the unit holders. The remaining portion of the net element of income / (loss) and capital gains / (losses) relating to units issued and redeemed during an accounting period is recognised in the Income Statement.</t>
  </si>
  <si>
    <t>Percentage</t>
  </si>
  <si>
    <t>The Fund's objectives when managing unit holders' fund are to safeguard its ability to continue as a going concern so that it can continue to provide returns to unit holders and to maintain a strong base of assets to meet unexpected losses or opportunities.</t>
  </si>
  <si>
    <t>BANK BALANCES</t>
  </si>
  <si>
    <t>'at fair value through profit or loss'</t>
  </si>
  <si>
    <t>INVESTMENTS</t>
  </si>
  <si>
    <t>Market Treasury Bills</t>
  </si>
  <si>
    <t>DEPOSITS, PREPAYMENTS AND OTHER RECEIVABLES</t>
  </si>
  <si>
    <t xml:space="preserve">Credit risk   </t>
  </si>
  <si>
    <t xml:space="preserve">  </t>
  </si>
  <si>
    <t>Concentration of credit risk</t>
  </si>
  <si>
    <t>Liquidity risk</t>
  </si>
  <si>
    <t>Over three months and upto one year</t>
  </si>
  <si>
    <t xml:space="preserve">Over one year  </t>
  </si>
  <si>
    <t>UNIT HOLDERS' FUND RISK MANAGEMENT</t>
  </si>
  <si>
    <t>The Fund’s policy is to enter into financial contracts in accordance with the internal risk management policies and investment guidelines approved by the Investment Committee. The Fund does not expect to incur material credit losses on its financial assets.</t>
  </si>
  <si>
    <t xml:space="preserve">The Unit Holders' Fund is represented by redeemable units. These units are entitled to distributions and to payment of a proportionate share, based on the Fund's net asset value per unit on the redemption date. The relevant movements are shown on the 'Statement of Movement in Unit holders' Fund'. </t>
  </si>
  <si>
    <t>FAIR VALUE OF FINANCIAL INSTRUMENTS</t>
  </si>
  <si>
    <t>Security deposit with Central Depository Company of Pakistan Limited</t>
  </si>
  <si>
    <t xml:space="preserve">        - investigate any unexpected or unusual relationship between the current and prior period.</t>
  </si>
  <si>
    <t>Source:</t>
  </si>
  <si>
    <t xml:space="preserve">- General Ledger </t>
  </si>
  <si>
    <t>- System generated NAV report</t>
  </si>
  <si>
    <t>Details of work to be done in this regard are as follows:</t>
  </si>
  <si>
    <t>1) Obtain NAV statement as on June 30, 2011.</t>
  </si>
  <si>
    <t>2) Trace account balances to general ledger and last year audited accounts.</t>
  </si>
  <si>
    <t xml:space="preserve">3) Ensure mathematical accuracy through casts and calculations. </t>
  </si>
  <si>
    <t xml:space="preserve">4) Prepare a lead schedule </t>
  </si>
  <si>
    <t xml:space="preserve">5) Scan for unusual items </t>
  </si>
  <si>
    <t>6) Evaluate and conclude.</t>
  </si>
  <si>
    <t>Results:</t>
  </si>
  <si>
    <t>Steps 1-4 :</t>
  </si>
  <si>
    <t>Particulars</t>
  </si>
  <si>
    <t>Rs. In '000</t>
  </si>
  <si>
    <t>Investments at fair value through profit and loss</t>
  </si>
  <si>
    <t>Equity securities - listed</t>
  </si>
  <si>
    <t>Term finance certificates</t>
  </si>
  <si>
    <t>June 30, 2014</t>
  </si>
  <si>
    <t>Receivable from Management Company</t>
  </si>
  <si>
    <t>Advance against SPO-PPL</t>
  </si>
  <si>
    <t>Others</t>
  </si>
  <si>
    <t>------------------------------------------------------------ As at June 30, 2014 ------------------------------------------------------------</t>
  </si>
  <si>
    <t>CFA</t>
  </si>
  <si>
    <t>CFA / ACCA</t>
  </si>
  <si>
    <t>Prepayments and deposits</t>
  </si>
  <si>
    <t>HBL FINLAY HOUSE BRANCH</t>
  </si>
  <si>
    <t>UBL AMEEN M.A.JINNAH (CDC-NEW)</t>
  </si>
  <si>
    <t>UBL AMEEN M.A. JINNAH (CDC - NEW)</t>
  </si>
  <si>
    <t>Unit Holders' Fund</t>
  </si>
  <si>
    <t>UHF</t>
  </si>
  <si>
    <t>REMUNERATION PAYABLE TO NAFA</t>
  </si>
  <si>
    <t>Accruals, provisions &amp; other liabilities</t>
  </si>
  <si>
    <t>SALES TAX PAYABLE TO MANAGEMENT COMPANY</t>
  </si>
  <si>
    <t>FED 16% PAYABLE TO MANAGEMENT COMPANY</t>
  </si>
  <si>
    <t>SALES TAX PAYABLE ON SALES LOAD</t>
  </si>
  <si>
    <t>FED PAYABLE ON SALES LOAD</t>
  </si>
  <si>
    <t>REMUNERATION PAYABLE TO TRUSTEE - CDC</t>
  </si>
  <si>
    <t>SETTLEMENT CHARGES - CDC</t>
  </si>
  <si>
    <t>Expenses</t>
  </si>
  <si>
    <t>TRUSTEE REMUNERATION - CDC</t>
  </si>
  <si>
    <t>PRINTING EXPENSES</t>
  </si>
  <si>
    <t>SALES TAX EXPENSE ON MANAGEMENT FEE</t>
  </si>
  <si>
    <t>FED 16% ON MANAGEMENT FEE</t>
  </si>
  <si>
    <t>PROVISION FOR WORKER WELFARE FUND</t>
  </si>
  <si>
    <t>Unrealised gain / (loss) on revaluation of investments</t>
  </si>
  <si>
    <t>Interest income</t>
  </si>
  <si>
    <t>Total investments</t>
  </si>
  <si>
    <t>NAFA ISLAMIC PRINCIPAL PROTECTED FUND - II</t>
  </si>
  <si>
    <t>Cash and cash equivalents at the beginning of the period</t>
  </si>
  <si>
    <t>Cash and cash equivalents at the end of the period</t>
  </si>
  <si>
    <t>-------------------------------------------- (Rupees in '000) --------------------------------------------</t>
  </si>
  <si>
    <t>Profit receivable</t>
  </si>
  <si>
    <t>Market risk is the risk that the fair value or the future cash flows of a financial instrument may fluctuate as a result of changes in market  prices.</t>
  </si>
  <si>
    <t>The analysis below summarises the credit quality of the Fund's financial assets:</t>
  </si>
  <si>
    <t>The table below indicates the Fund's financial liabilities into relevant maturity groupings based on the remaining period at the reporting date to the contractual maturity date. The amounts in the table are the contractual undiscounted cash flows.</t>
  </si>
  <si>
    <t>Year ended June 30,2014</t>
  </si>
  <si>
    <t>MEEZAN BANK LIMITED</t>
  </si>
  <si>
    <t>Short term rating</t>
  </si>
  <si>
    <t>Advances and deposits</t>
  </si>
  <si>
    <t>Listed equity securities</t>
  </si>
  <si>
    <t>Market value as a percentage of</t>
  </si>
  <si>
    <t>The Fund has no restrictions on the subscription and redemption of units. As required under the NBFC Regulations, every open end scheme shall maintain fund size (i.e. net assets of the Fund) of Rs 100 million at all times during the life of the scheme. The Fund has maintained and complied with the requirement of minimum fund size during the current period.</t>
  </si>
  <si>
    <t>CFA / MBA Finance</t>
  </si>
  <si>
    <t>At fair value through profit or loss</t>
  </si>
  <si>
    <t>value through profit or loss</t>
  </si>
  <si>
    <t xml:space="preserve">Investment in listed equity securities - at fair </t>
  </si>
  <si>
    <t>NUMBER OF UNITS IN ISSUE</t>
  </si>
  <si>
    <t>Payable to the Central Depository Company of Pakistan Limited - Trustee</t>
  </si>
  <si>
    <t>------------------------------------------------------------ As at June 30, 2015 ------------------------------------------------------------</t>
  </si>
  <si>
    <t>----------------------------------------- June 30, 2015 -----------------------------------------</t>
  </si>
  <si>
    <t>As at June 30,2015</t>
  </si>
  <si>
    <t>SINDH BANK LTD - SAADAT</t>
  </si>
  <si>
    <t>Dividend Receivable</t>
  </si>
  <si>
    <t>Balances with banks (PLS)</t>
  </si>
  <si>
    <t>Balances with banks (Current)</t>
  </si>
  <si>
    <t>LEGAL FEE</t>
  </si>
  <si>
    <t>HARAM INCOME DIST. PAYABLE TO CHARITABLE INS</t>
  </si>
  <si>
    <t>W.H.TAX PAYABLE-DIVIDEND</t>
  </si>
  <si>
    <t>INVESTMENT IN EQUITY SECURITIES (BROKERAGE)</t>
  </si>
  <si>
    <t>Dividend Income</t>
  </si>
  <si>
    <t>Element of income</t>
  </si>
  <si>
    <t xml:space="preserve">Attock Petroleum Limited </t>
  </si>
  <si>
    <t>Shell Pakistan Limited</t>
  </si>
  <si>
    <t>As at June 30, 2015</t>
  </si>
  <si>
    <t>Engro Corporation Limited</t>
  </si>
  <si>
    <t>Fatima Fertilizer Company Limited</t>
  </si>
  <si>
    <t>Kohat Cement Company Limited</t>
  </si>
  <si>
    <t>Indus Motor Company Limited</t>
  </si>
  <si>
    <t>Kohinoor Textile Mills Limited</t>
  </si>
  <si>
    <t>Ferozsons Laboratories Limited</t>
  </si>
  <si>
    <t>Avanceon Limited</t>
  </si>
  <si>
    <t>Lalpir Power Limited</t>
  </si>
  <si>
    <t>Meezan Bank Limited</t>
  </si>
  <si>
    <t>Carrying value as at June 30, 2015</t>
  </si>
  <si>
    <t>Units as of June 30, 2015</t>
  </si>
  <si>
    <t>Dividend and profit receivable</t>
  </si>
  <si>
    <t>For the Year ended June 30, 2015</t>
  </si>
  <si>
    <t>------------------------------------------2015------------------------------------------</t>
  </si>
  <si>
    <t>Elixir Securities Pakistan (Pvt) Limited</t>
  </si>
  <si>
    <t>Arif Habib Securities Limited</t>
  </si>
  <si>
    <t>Number of meetings</t>
  </si>
  <si>
    <t>Meetings not attended</t>
  </si>
  <si>
    <t>Held</t>
  </si>
  <si>
    <t>Attended</t>
  </si>
  <si>
    <t>Leave granted</t>
  </si>
  <si>
    <t>Mr. Koh Boon San</t>
  </si>
  <si>
    <t>Mr. Shehryar Faruque</t>
  </si>
  <si>
    <t>YEAR ENDED JUNE 30, 2015</t>
  </si>
  <si>
    <t>TIMING:AS AT JUNE 30,2015</t>
  </si>
  <si>
    <t>BANK AL FALAH LIMITED KSE BRANCH</t>
  </si>
  <si>
    <t>SINDH BANK SAADAT</t>
  </si>
  <si>
    <t>Rating Agency</t>
  </si>
  <si>
    <t>JCR-VIS</t>
  </si>
  <si>
    <t>PACRA</t>
  </si>
  <si>
    <t>%  of Balances</t>
  </si>
  <si>
    <t>BURJ BANK LTD.MAIN -CHUNDRIGAR (CDC NEW)</t>
  </si>
  <si>
    <t>BANK ISLAMI PAKISTAN LTD</t>
  </si>
  <si>
    <t>SILK BANK LTD - EMAAN ISLAMIC</t>
  </si>
  <si>
    <t>MEEZAN BANK - FTC CDC NEW</t>
  </si>
  <si>
    <t>BANKISLAMI PAKISTAN LTD - KSE</t>
  </si>
  <si>
    <t>SUMMIT BANK LTD - ATM CURRENT</t>
  </si>
  <si>
    <t>BANK ALFALAH KSE BRANCH (CDC NEW)</t>
  </si>
  <si>
    <t>NIB BANK LTD - CURRENT CDC NEW</t>
  </si>
  <si>
    <t>NATIONAL BANK - CURRENT A/C KSE</t>
  </si>
  <si>
    <t>OTHER PAYABLE TO MANAGEMENT COMPANY</t>
  </si>
  <si>
    <t>Unrealised gain / (loss) on sale of investments</t>
  </si>
  <si>
    <t>Receivable against transfer of units</t>
  </si>
  <si>
    <t>Tariq Glass Limited</t>
  </si>
  <si>
    <t>Total as at June 30, 2015</t>
  </si>
  <si>
    <t>Units at beginning</t>
  </si>
  <si>
    <t>Net decrease in units</t>
  </si>
  <si>
    <t>The objective of the Fund is to provide investors with long term capital growth from an actively managed portfolio of Shariah Compliant listed equities.</t>
  </si>
  <si>
    <t>Insurance Companies</t>
  </si>
  <si>
    <t>Retirement Funds</t>
  </si>
  <si>
    <t>Mr. Nausherwan Adil</t>
  </si>
  <si>
    <t>Mr. Aamir Sattar</t>
  </si>
  <si>
    <t>Mr. Abdul Hadi Palekar</t>
  </si>
  <si>
    <t>Mr. Wah Geok Sum*</t>
  </si>
  <si>
    <t>Mr. Nigel Poh Cheng**</t>
  </si>
  <si>
    <t>Mr. Kamal Amir Chinoy</t>
  </si>
  <si>
    <t>Dr Amjad Waheed</t>
  </si>
  <si>
    <t>Summit Bank Limited</t>
  </si>
  <si>
    <t>Al Habib Capital Markets (Pvt) Limited</t>
  </si>
  <si>
    <t>June 30, 2015</t>
  </si>
  <si>
    <t>4.5 - 10.25</t>
  </si>
  <si>
    <t>Habib Bank Limited</t>
  </si>
  <si>
    <t>UBL Bank Limited</t>
  </si>
  <si>
    <t>Bank Alfalah Limited</t>
  </si>
  <si>
    <t>NIB Bank Limited</t>
  </si>
  <si>
    <t>National Bank Limited</t>
  </si>
  <si>
    <t>Rating agency</t>
  </si>
  <si>
    <t>Latest available published rating</t>
  </si>
  <si>
    <t>NON-ADJUSTING EVENT AFTER JUNE 30, 2015</t>
  </si>
  <si>
    <t>Engagement:</t>
  </si>
  <si>
    <t>Period end date:</t>
  </si>
  <si>
    <t>Audit unit:</t>
  </si>
  <si>
    <t>Risk:</t>
  </si>
  <si>
    <t>Risk of fraud in revenue recognition - Element of Income / (loss)</t>
  </si>
  <si>
    <t>FSLI:</t>
  </si>
  <si>
    <t>Element of income/(loss)</t>
  </si>
  <si>
    <t>EGA Title</t>
  </si>
  <si>
    <t>Test element of income / (loss) for the year</t>
  </si>
  <si>
    <t>Ref. no.:</t>
  </si>
  <si>
    <t>As per AFF</t>
  </si>
  <si>
    <t>As per client</t>
  </si>
  <si>
    <t>Units as at 30 June 2014</t>
  </si>
  <si>
    <t>Units issued</t>
  </si>
  <si>
    <t>Units redeemed</t>
  </si>
  <si>
    <t>Units as at 31 March 31, 2015</t>
  </si>
  <si>
    <t>Ex Nav</t>
  </si>
  <si>
    <t>Total value on ex nav</t>
  </si>
  <si>
    <t>Amount issued</t>
  </si>
  <si>
    <t>Amount redeemed</t>
  </si>
  <si>
    <t>Net amount</t>
  </si>
  <si>
    <t>Units as at 31 March 2015</t>
  </si>
  <si>
    <t>Units as at 30 June 2015</t>
  </si>
  <si>
    <t>Total element</t>
  </si>
  <si>
    <t>NAFA Islamic Stock  Fund</t>
  </si>
  <si>
    <t>NAFA Islamic Stock Fund 2015 - HQ</t>
  </si>
  <si>
    <t>Issue of units</t>
  </si>
  <si>
    <t>Redemption of units</t>
  </si>
  <si>
    <t>No. of units</t>
  </si>
  <si>
    <t>Working of Element</t>
  </si>
  <si>
    <t>Opening units</t>
  </si>
  <si>
    <t>Closing units</t>
  </si>
  <si>
    <t>Net units issued during the year</t>
  </si>
  <si>
    <t>Ex NAV</t>
  </si>
  <si>
    <t>Element transferred to distribution statement</t>
  </si>
  <si>
    <t>Element transferred to Income statement</t>
  </si>
  <si>
    <t>Element of Income Total</t>
  </si>
  <si>
    <t>Financial Assets</t>
  </si>
  <si>
    <t>25.1.2</t>
  </si>
  <si>
    <t>25.1.3</t>
  </si>
  <si>
    <t>25.2.1</t>
  </si>
  <si>
    <t>25.2.2</t>
  </si>
  <si>
    <t xml:space="preserve">In accordance with the risk management policies stated in note 25, the Fund endeavours to invest the subscriptions received in appropriate investments while maintaining sufficient liquidity to meet redemptions, such liquidity being augmented by short-term borrowings or disposal of investments where necessary. </t>
  </si>
  <si>
    <t>Concordia Securities (Pvt) Limited</t>
  </si>
  <si>
    <t>Balance brought forward</t>
  </si>
  <si>
    <t>Balance carried forward</t>
  </si>
  <si>
    <t xml:space="preserve">Payable to the Central Depository Company </t>
  </si>
  <si>
    <t xml:space="preserve">    of Pakistan Limited - Trustee</t>
  </si>
  <si>
    <t>Name of Bank</t>
  </si>
  <si>
    <t>Payable against redemption of Units</t>
  </si>
  <si>
    <t>Receivable against isue of units</t>
  </si>
  <si>
    <t>NAFA Government Securities Liquid Fund</t>
  </si>
  <si>
    <t>NAFA Islamic Asset Allocation Fund</t>
  </si>
  <si>
    <t>NAFA Islamic Aggressive Income Fund</t>
  </si>
  <si>
    <t>NAFA Income Opportunity Fund</t>
  </si>
  <si>
    <t>NAFA Money Market Fund</t>
  </si>
  <si>
    <t>NAFA Riba Free Savings Fund</t>
  </si>
  <si>
    <t>NAFA Stock Fund</t>
  </si>
  <si>
    <t>NAFA Islamic Stock Fund</t>
  </si>
  <si>
    <t>NAFA Islamic Stock Fund - HQ</t>
  </si>
  <si>
    <t xml:space="preserve">ASSETS </t>
  </si>
  <si>
    <t>Total expenses</t>
  </si>
  <si>
    <t>Net assets at the beginning of the period</t>
  </si>
  <si>
    <t>NAFA Islamic Stock Fund (the Fund) was established under a Trust Deed executed between NBP Fullerton Asset Management Limited (NAFA) as the Management Company and Central Depository Company of Pakistan Limited (CDC) as the Trustee. The Trust Deed was executed on November 18, 2014 and was approved by the Securities and Exchange Commission of Pakistan (SECP) on November 21, 2014 in accordance with the Non-Banking Finance Companies and Notified Entities Regulations, 2008 (the NBFC Regulations)</t>
  </si>
  <si>
    <t>The Management Company of the Fund has been licensed to act as an Asset Management Company under the NBFC Rules through a certificate of registration issued by the SECP. The registered office of  the Management Company is situated at 7th Floor, Clifton Diamond Building, Block No. 4, Scheme No. 5, Clifton, Karachi. The Management Company is a member of the Mutual Funds Association of Pakistan (MUFAP).</t>
  </si>
  <si>
    <t>The core objective of the Fund is to provide investors with long term capital growth from an actively managed portfolio of shariah compliant listed equities.</t>
  </si>
  <si>
    <t>The Pakistan Credit Rating Agency Limited (PACRA) has assigned an asset manager rating of AM2+ to the Management Company. The Fund has not yet been rated.</t>
  </si>
  <si>
    <t>Title to the assets of the Fund is held in the name of Central Depository Company of Pakistan Limited (CDC) as the Trustee of the Fund.</t>
  </si>
  <si>
    <t>- Listed equity securities</t>
  </si>
  <si>
    <t>OIL &amp; GAS</t>
  </si>
  <si>
    <t>Attock Refinery Limited</t>
  </si>
  <si>
    <t>National Refinery Limited</t>
  </si>
  <si>
    <t>Hascol Petroleum Limited</t>
  </si>
  <si>
    <t>CHEMICALS</t>
  </si>
  <si>
    <t>Ittehad Chemicals Limited</t>
  </si>
  <si>
    <t>FERTILIZERS</t>
  </si>
  <si>
    <t>Engro Fertilizers Limited</t>
  </si>
  <si>
    <t>Dawood Hercules Corporation Limited</t>
  </si>
  <si>
    <t>Fauji Fertilizer Company Limited</t>
  </si>
  <si>
    <t>CONSTRUCTION AND MATERIALS</t>
  </si>
  <si>
    <t>D.G. Khan Cement Company Limited</t>
  </si>
  <si>
    <t>Pioneer Cement Limited</t>
  </si>
  <si>
    <t>Attock Cement Pakistan Limited</t>
  </si>
  <si>
    <t>FECTO Cement Limited</t>
  </si>
  <si>
    <t>GENERAL INDUSTRIES</t>
  </si>
  <si>
    <t>AUTOMOBILES AND PARTS</t>
  </si>
  <si>
    <t>Baluchistan Wheels Limited</t>
  </si>
  <si>
    <t>Ghandhara Nissan Limited</t>
  </si>
  <si>
    <t>Sazgar Engineering Works Limited</t>
  </si>
  <si>
    <t>Honda Atlas Cars (Pakistan) Limited</t>
  </si>
  <si>
    <t>GLASS AND CERAMICS</t>
  </si>
  <si>
    <t>CABLE AND ELECTRIC GOODS</t>
  </si>
  <si>
    <t>Pak Elektron Limited</t>
  </si>
  <si>
    <t>ENGINEERING</t>
  </si>
  <si>
    <t>PERSONAL GOODS</t>
  </si>
  <si>
    <t>PHARMA AND BIOTECH</t>
  </si>
  <si>
    <t>Abbott Lab (Pakistan) Limited</t>
  </si>
  <si>
    <t>The Searle Company Limited</t>
  </si>
  <si>
    <t>TECHNOLOGY AND COMMUNICATION</t>
  </si>
  <si>
    <t>ELECTRICITY</t>
  </si>
  <si>
    <t>Pakgen Power Limited</t>
  </si>
  <si>
    <t>COMMERCIAL BANKS</t>
  </si>
  <si>
    <t>MULTIUTILITIES (GAS AND WATER)</t>
  </si>
  <si>
    <t>INDUSTRIAL METALS AND MINING</t>
  </si>
  <si>
    <t>Crescent Steel &amp; Allied Products Limited</t>
  </si>
  <si>
    <t>Security deposit</t>
  </si>
  <si>
    <t>Taurus Securities Limited</t>
  </si>
  <si>
    <t>BMA Capital Management Limited</t>
  </si>
  <si>
    <t>Aqeel Karim Dehdi Securities (Pvt) Limited</t>
  </si>
  <si>
    <t>Associated companies / Directors</t>
  </si>
  <si>
    <t>Name of Director</t>
  </si>
  <si>
    <t>At fair value through profit or loss'</t>
  </si>
  <si>
    <t>Financial Liabilities</t>
  </si>
  <si>
    <t>Currency risk is the risk that the fair value or future cash flows of a financial instrument will fluctuate as a result of  changes in foreign exchange rates. At present, the Fund is not exposed to currency risk as all the transactions are carried out in Pak Rupees.</t>
  </si>
  <si>
    <t xml:space="preserve">Financial Liabilities </t>
  </si>
  <si>
    <t>The concentration of credit risk exists when changes in economic or industry factors similarly affect groups of counterparties whose aggregate credit exposure is significant in relation to the Fund’s total credit exposure. The Fund’s portfolio of financial instruments is broadly diversified and transactions are entered into with diverse credit-worthy counterparties thereby mitigating any significant concentrations of credit risk.</t>
  </si>
  <si>
    <t>---------------As at June 30, 2015-----------------</t>
  </si>
  <si>
    <t>Thal Limited (Face Value of Rs 5 each)</t>
  </si>
  <si>
    <t>K-Electric Limited (Face value of Rs 3.5 each)</t>
  </si>
  <si>
    <t>NAFA Income Fund</t>
  </si>
  <si>
    <t xml:space="preserve">Total Fund - in  / (Fund - out) </t>
  </si>
  <si>
    <t>Transfer In</t>
  </si>
  <si>
    <t>Transfer Out</t>
  </si>
  <si>
    <t>Subsequent clearance date</t>
  </si>
  <si>
    <t xml:space="preserve">Off-set of Transfer-In and Transfer-Out </t>
  </si>
  <si>
    <t>Financial assets which are tradable in an open market are revalued at the market prices prevailing on the reporting date. Investments of the Fund in equity securities are revalued on the basis of closed quoted market prices available at the stock exchange. The estimated fair value of all other financial assets and liabilities is considered not to be significantly different from carrying values as the items are either short term in nature or periodically repriced.</t>
  </si>
  <si>
    <t xml:space="preserve">Mari Petroleum Company Limited </t>
  </si>
  <si>
    <t>The Fund commenced its operations from January 9, 2015. It is an open-ended mutual fund and is listed on the Lahore Stock Exchange. Units are offered for public subscription on a continuous basis. The units of the Fund are transferable and can be redeemed by surrendering them to the Fund. The Fund is categorized as an Open-End "Shariah Compliant Equity Scheme" as per the criteria laid down by the Securities and Exchange Commission of Pakistan for categorization of Collective Investment Schemes (CIS).</t>
  </si>
  <si>
    <t xml:space="preserve">Financial assets 'at fair value through profit or loss' </t>
  </si>
  <si>
    <t>- Preference shares</t>
  </si>
  <si>
    <t>Foundation Securities (Pvt) Limited</t>
  </si>
  <si>
    <t>The Fund's equity securities are exposed to price risk because of investments held and classified by the Fund on the Statement of Assets and Liabilities 'at fair value through profit or loss'. To manage the risk, the Fund diversifies its portfolio within the eligible stocks prescribed in the Trust Deed. The Fund's constitutive document / NBFC Regulations also limit exposure to individual equity securities based on the net assets, or issued capital of the investee company and sector exposure limit.</t>
  </si>
  <si>
    <t>The analysis is based on the assumption that equity index had increased / decreased by 5% with all other variables held constant and all the Fund's equity instruments moved according to the historical correlation with the index. This represents  management's best estimate of a reasonable possible shift in the KMI 30 Index, having regard to the historical volatility of the index. The composition of the Fund's investment portfolio and the correlation thereof to the KMI 30 Index, is expected to change over time. Accordingly, the aforementioned sensitivity analysis prepared as of June 30, 2015 is not necessarily indicative of the effect on the Fund's net assets of future movements in the level of the KMI 30 Index.</t>
  </si>
  <si>
    <t>All shares have a nominal face value of  Rs.10 each except for the shares of Thal Limited which have a face value of Rs 5 and K-Electric Limited which have a face value of Rs 3.5 each.</t>
  </si>
  <si>
    <t>Net receivable /  (payable)</t>
  </si>
  <si>
    <t>Subsequent clearance amount</t>
  </si>
  <si>
    <t xml:space="preserve">Difference </t>
  </si>
  <si>
    <t>Clearing bank name</t>
  </si>
  <si>
    <t>-------------------------------------Rupees---------------------------------</t>
  </si>
  <si>
    <t>As per TB</t>
  </si>
  <si>
    <t>Bank Islami Pakistan Limited</t>
  </si>
  <si>
    <t>Clearnace percentage</t>
  </si>
  <si>
    <t>Amount required to be cleared</t>
  </si>
  <si>
    <t>Amount Cleared</t>
  </si>
  <si>
    <t>Differnce - below PM</t>
  </si>
  <si>
    <t>% Cleared</t>
  </si>
  <si>
    <t>% remaining</t>
  </si>
  <si>
    <t>25.2.3</t>
  </si>
  <si>
    <t>Profit and loss sharing accounts</t>
  </si>
  <si>
    <t>*Nil value due to rounding off</t>
  </si>
  <si>
    <t>Comparative information is not available as the Fund was launched in the current period.</t>
  </si>
  <si>
    <t>Mughal Iron and Steel Industries Limited</t>
  </si>
  <si>
    <t>Credit risk represents the risk of a loss if counterparties fail to perform as contracted. The Fund's credit risk is primarily attributable to balances with banks, investments, dividend and profit receivable. The credit risk on balances with banks is limited because the counter parties are financial institutions with reasonably high credit ratings. In addition, the internal risk management policies and investment guidelines (approved by the investment Committee) require the Fund to invest in Shariah compliant equity instruments that have been that have been rated by a well known rating agency. Credit risk on dividends receivable is minimal due to statutory protection. All transactions in listed securities are settled / paid for upon delivery using the central clearing company. The risk of default is considered minimal due to inherent systematic measures taken therein.</t>
  </si>
  <si>
    <t>In order to manage the Fund's overall liquidity, the Fund may withhold daily redemption requests in excess of ten percent of units in issue and such requests would be treated as redemption requests qualifying for being processed on the next business day. Such procedure would continue until the outstanding redemption requests come down to a level below ten percent of the units then in issue. The Fund did not withhold any redemptions during the period.</t>
  </si>
  <si>
    <t>On-balance sheet gap (a)</t>
  </si>
  <si>
    <t>Off-balance sheet gap (b)</t>
  </si>
  <si>
    <t>Mr. Sajjad Anwar*</t>
  </si>
  <si>
    <t>Mr. Syed Suleman Akhtar</t>
  </si>
  <si>
    <t>Mr. Asim Wahab Khan</t>
  </si>
  <si>
    <t>Mr. Muhammad Imran</t>
  </si>
  <si>
    <t xml:space="preserve">50th, 52nd &amp; 53rd </t>
  </si>
  <si>
    <t xml:space="preserve">51st </t>
  </si>
  <si>
    <t xml:space="preserve">49th </t>
  </si>
  <si>
    <t xml:space="preserve">48th, 49th &amp; 50th  </t>
  </si>
  <si>
    <t xml:space="preserve">52nd &amp; 53rd </t>
  </si>
  <si>
    <t xml:space="preserve">52nd </t>
  </si>
  <si>
    <t xml:space="preserve">50th, 51st </t>
  </si>
  <si>
    <t>J.S. Global Capital Limited</t>
  </si>
  <si>
    <t>International Financial Reporting Standard 7, 'Financial Instruments : Disclosure' - requires the Fund to classify assets using a fair value hierarchy that reflects the significance of the inputs used in making the measurements. The fair value hierarchy  has the following levels:</t>
  </si>
  <si>
    <t xml:space="preserve">Payable to NBP Fullerton Asset Management </t>
  </si>
  <si>
    <t>Limited - Management Company</t>
  </si>
  <si>
    <t>Invest &amp; Finance Securities (Pvt) Limited</t>
  </si>
  <si>
    <t>Payable to NBP Fullerton Asset Management Limited -</t>
  </si>
  <si>
    <t>Management Company</t>
  </si>
  <si>
    <t>Sui Northern Gas Pipeline Limited</t>
  </si>
  <si>
    <t>Nishat Mills Limited</t>
  </si>
  <si>
    <t>Credit quality of balances held by the Fund's bank accounts</t>
  </si>
  <si>
    <t>Other financial liabilities at Amortised cost</t>
  </si>
  <si>
    <t>Public Limited Companies</t>
  </si>
  <si>
    <t>Price risk is the risk that the fair value or future cash flows of a financial instrument will fluctuate as a result of changes in market prices (other than those arising from profit rate risk or currency risk) whether those changes are caused by factors specific to the individual financial instrument or its issuer, or factors affecting all similar financial instruments traded in the market.</t>
  </si>
  <si>
    <t>Market risk comprises of three types of risk: currency risk, profit rate risk and other price risk.</t>
  </si>
  <si>
    <t>* This includes investment amount Rs 10.564 million of related parties / connected persons.</t>
  </si>
  <si>
    <t>Individuals*</t>
  </si>
  <si>
    <t>The duration of the Fund is perpetual. However, SECP or the Management Company may wind it up on the occurrence of certain events as specified in offering document of the Fund.</t>
  </si>
  <si>
    <t>Yield / profit rate risk</t>
  </si>
  <si>
    <t>Yield / profit rate risk is the risk that the fair value or future cash flows of a financial instrument will fluctuate as a result of changes in market profit rates. The Fund is mainly exposed to profit rate risk on balances held with banks.</t>
  </si>
  <si>
    <t>Yield / profit rate sensitivity position for on-balance sheet financial instruments is based on the earlier of contractual repricing or maturity date and for off-balance sheet financial instruments is based on settlement date.</t>
  </si>
  <si>
    <t>Yield / profit  
rate</t>
  </si>
  <si>
    <t>---Exposed to yield / profit rate risk---</t>
  </si>
  <si>
    <t>Not exposed to yield / profit rate risk</t>
  </si>
  <si>
    <t>Total yield / profit rate sensitivity gap (a+b)</t>
  </si>
  <si>
    <t>Cumulative yield / profit rate sensitivity gap</t>
  </si>
  <si>
    <t>------------------------(Rupees in '000)------------------------</t>
  </si>
  <si>
    <t>------------------------June 30, 2015------------------------</t>
  </si>
  <si>
    <t>CASH FLOWS FROM OPERATING ACTIVITIES</t>
  </si>
  <si>
    <t>CASH FLOWS FROM FINANCING ACTIVITIES</t>
  </si>
  <si>
    <t>These financial statements have been prepared in accordance with the approved accounting standards as applicable in Pakistan. The approved accounting standards comprise of such International Financial Reporting Standards (IFRS) issued by the International Accounting Standards Board as are notified under the Companies Ordinance, 1984, the requirements of the Trust Deed, the Non-Banking Finance Companies (Establishment and Regulation) Rules, 2003 (the NBFC Rules), the Non-Banking Finance Companies and Notified Entities Regulations, 2008 (the NBFC Regulations) and the directives issued by the SECP. Wherever the requirements of the Trust Deed, the NBFC Rules, the NBFC Regulations or the directives issued by the SECP differ with the requirements of IFRSs, the requirements of the Trust Deed, the NBFC Rules, the NBFC Regulations or the directives issued by the SECP prevail.</t>
  </si>
  <si>
    <t>PARTICULARS OF THE INVESTMENT COMMITTEE AND THE FUND MANAGER</t>
  </si>
  <si>
    <t>Details of the members of the investment committee of the Fund are as follows:</t>
  </si>
  <si>
    <t>ATTENDANCE AT MEETINGS OF BOARD OF DIRECTORS OF THE MANAGEMENT COMPANY</t>
  </si>
  <si>
    <t>The 48th, 49th, 50th, 51st, 52nd and 53rd Board of Directors meetings were held on September 16, 2014, October  30, 2014, February 17, 2015, April 21, 2015, June 29, 2015 and June 30, 2015, respectively. Information in respect of attendance by directors in the meetings is given below:</t>
  </si>
  <si>
    <t>*Mr. Who Geok Sum retired from the Board with effect from February 17, 2015</t>
  </si>
  <si>
    <t>The Management Company manages the market risk by monitoring exposure on marketable securities by following  internal risk management policies and investment guidelines approved by the Investment Committee and the regulations laid down by the SECP.</t>
  </si>
  <si>
    <t>Presently, the Fund does not hold any variable rate instrument except for balances in profit and loss sharing accounts which carry profit at rates ranging from 4.5% to 10.25% per annum.</t>
  </si>
  <si>
    <t>Presently, the Fund does not hold any fixed rate instrument that exposes the Fund to any material profit rate risk.</t>
  </si>
  <si>
    <t>Liquidity risk is the risk that the Fund may not be able to generate sufficient cash resources to settle its obligations in full as they fall due or can only do so on the terms that are materially disadvantageous to the Fund.</t>
  </si>
  <si>
    <t xml:space="preserve">The Fund is exposed to the daily settlement of equity securities and to daily cash redemptions, if any at the option of unit holders. The Fund's approach to managing liquidity is to ensure, as far as possible, that the Fund will always have sufficient liquidity to meet its liabilities when due under both normal and stressed conditions, without incurring unacceptable losses or risking damage to the Fund's reputation. The Fund's policy is, therefore, to invest the majority of its assets in investments that can be readily realised. The Fund’s listed securities are considered readily realisable as they are listed on the Stock Exchanges. </t>
  </si>
  <si>
    <t>The Board of Directors of the Management Company in their meeting held on July 14, 2015 approved a final cash distribution of Rs 15.574 million (Re 0.1369 per unit)  for the period ended June 30, 2015. The financial statements of the Fund for the period ended June 30, 2015 do not include the effect of the final distribution which will be accounted for in the financial statements of the Fund for the year ending June 30, 2016.</t>
  </si>
  <si>
    <t>*Mr. Sajjad Anwar is the manager of the Fund. He is also the fund manager of NAFA Islamic Principal Protected Fund I, NAFA Islamic Principal Protected Fund II and NAFA Islamic Principal Preservation Fund.</t>
  </si>
  <si>
    <t>AAA</t>
  </si>
  <si>
    <t>AA+</t>
  </si>
  <si>
    <t>A</t>
  </si>
  <si>
    <t>A-</t>
  </si>
  <si>
    <t>Silk Bank Limited*</t>
  </si>
  <si>
    <t>Sindh Bank Limited*</t>
  </si>
  <si>
    <t>*Nil value due to rounding off difference</t>
  </si>
  <si>
    <t>Burj Bank Limited</t>
  </si>
  <si>
    <t>BankIslami Pakistan Limited</t>
  </si>
  <si>
    <t>Brokerage payable</t>
  </si>
  <si>
    <t>In case of 5% increase / decrease in KMI 30 index on June 30, 2015, net income for the period would increase / decrease by  Rs 11.701 million and net assets of the Fund would increase / decrease by the same amount  as a result of gains / losses on equity securities at fair value through profit or loss. The sensitivity analysis is based on the Fund's equity securities as at Statement of Assets and Liabilities date with all other variables held constant.</t>
  </si>
  <si>
    <t>**Mr. Nigel Poh Cheng was appointed on the Board with effect from February 17, 2015</t>
  </si>
  <si>
    <t>December 31,</t>
  </si>
  <si>
    <t>2015</t>
  </si>
  <si>
    <t>September 31,</t>
  </si>
  <si>
    <t>CONDENSED INTERIM CASH FLOW STATEMENT (UN-AUDITED)</t>
  </si>
  <si>
    <t>CONDENSED INTERIM DISTRIBUTION STATEMENT (UN-AUDITED)</t>
  </si>
  <si>
    <t>NOTES TO AND FORMING PART OF THE CONDENSED INTERIM FINANCIAL STATEMENTS (UN-AUDITED)</t>
  </si>
  <si>
    <t>December 31, 2015</t>
  </si>
  <si>
    <t>(Un-Auidted)</t>
  </si>
  <si>
    <t>(Audited)</t>
  </si>
  <si>
    <t>(Un-Audited)</t>
  </si>
  <si>
    <t xml:space="preserve">CONDENSED INTERIM STATEMENT OF ASSETS AND LIABILITIES </t>
  </si>
  <si>
    <t>As at July 01,
2015</t>
  </si>
  <si>
    <t>As at December 31, 2015</t>
  </si>
  <si>
    <t>Market value as at December 31, 2015</t>
  </si>
  <si>
    <t>As at July 01, 2015</t>
  </si>
  <si>
    <t>FOOD PRODUCERS</t>
  </si>
  <si>
    <t>Al Shaheer Corporation limited</t>
  </si>
  <si>
    <t>Ecopack Limited</t>
  </si>
  <si>
    <t>Fauji Cement Company Limited</t>
  </si>
  <si>
    <t>INDUSTRIAL TRANSPORTATION</t>
  </si>
  <si>
    <t>Pakistan National Shipping Corporation</t>
  </si>
  <si>
    <t>Pakistan Telecommunication Company Limited</t>
  </si>
  <si>
    <t>BEVERAGES</t>
  </si>
  <si>
    <t>Shezan International Limited</t>
  </si>
  <si>
    <t>Service Industries Limited</t>
  </si>
  <si>
    <t>TB</t>
  </si>
  <si>
    <t>Investments include shares with market value of Rs 68.31 (June 30, 2015: Rs 72.84) million which have been pledged with National Clearing Company of Pakistan Limited for guaranteeing settlement of the Fund's trades in accordance with Circular number 11 dated October 23, 2007 issued by the SECP.</t>
  </si>
  <si>
    <t>subject ro change</t>
  </si>
  <si>
    <t xml:space="preserve">Redemption of 94,535,219 units </t>
  </si>
  <si>
    <t>The disclosures made in this condensed interim financial statements have, however, been limited based on the requirements of International Accounting Standard 34: 'Interim Financial Reporting'. This condensed interim financial information does not include all the information and disclosures required in a full set of financial statements and should be read in conjunction with the annual published financial statements of the Fund for the period ended June 30, 2015.</t>
  </si>
  <si>
    <t>SIGNIFICANT ACCOUNTING AND RISK MANAGEMENT POLICIES, ESTIMATES, JUDGMENTS AND CHANGES THEREIN</t>
  </si>
  <si>
    <t>The accounting policies adopted for the preparation of the condensed interim financial statements for the half year and quarter ended December 31, 2015 are same as those applied in the preparation of annual audited financial statements for the year ended June 30, 2015.</t>
  </si>
  <si>
    <t>The preparation of this condensed interim financial information in conformity with the approved accounting standards requires the management to make estimates, judgments and assumptions that affect the reported amounts of assets and liabilities, income and expenses. It also requires the management to exercise judgment in application of its accounting policies. The estimates, judgments and associated assumptions are based on historical experience and various other factors that are believed to be reasonable under the circumstances. These estimates and assumptions are reviewed on an ongoing basis. Revisions to accounting estimates are recognised in the period in which the estimate is revised if the revision affects only that period, or in the period of revision and future periods if the revision affects both current and future periods.</t>
  </si>
  <si>
    <t>The significant estimates, judgments and assumptions made by the management in applying the accounting policies and the key sources of estimation of uncertainty were the same as those that applied to the audited annual financial statements as at and for the period ended June 30, 2015.</t>
  </si>
  <si>
    <t>The financial risk management objectives and policies are consistent with those disclosed in the audited annual financial statements of the Fund for the period ended June 30, 2015.</t>
  </si>
  <si>
    <t>Certain amendments to approved accounting standards have been published and are mandatory for the Fund's accounting period beginning on or after July 1, 2015. None of these amendments have a significant effect on this condensed interim financial information.</t>
  </si>
  <si>
    <t>These carry profits at the rates ranging from 6.30% to 7.25% per annum.</t>
  </si>
  <si>
    <t>These include deposits of Rs 2.046 million and Rs 1.367 million, maintained with the National Bank of Pakistan and Summit Bank Limited (being the related parties of the Fund) respectively.</t>
  </si>
  <si>
    <t>Interim review activities</t>
  </si>
  <si>
    <t>Interim review engagement activities</t>
  </si>
  <si>
    <t>EGA title:</t>
  </si>
  <si>
    <t>NAFA Islamic Stock Fund (Dec 31, 2015)</t>
  </si>
  <si>
    <t>NAFA Islamic Stock Fund (Dec 31, 2015) - HQ</t>
  </si>
  <si>
    <t>Element Working</t>
  </si>
  <si>
    <t>For the half year ended December 31, 2015</t>
  </si>
  <si>
    <t>Legends</t>
  </si>
  <si>
    <t>Total units issued</t>
  </si>
  <si>
    <t>Total units redeemed</t>
  </si>
  <si>
    <t>B</t>
  </si>
  <si>
    <t>Net units redeemed</t>
  </si>
  <si>
    <t>C=A-B</t>
  </si>
  <si>
    <t xml:space="preserve">Calculating Element </t>
  </si>
  <si>
    <t>Units issued from 1 July 2015 till 15 July 2015</t>
  </si>
  <si>
    <t>D</t>
  </si>
  <si>
    <t>Units redeemed from 1 July 2015 till 15 July 2015</t>
  </si>
  <si>
    <t>E</t>
  </si>
  <si>
    <t>Net units Issued</t>
  </si>
  <si>
    <t>F=D-E</t>
  </si>
  <si>
    <t>Opening NAV</t>
  </si>
  <si>
    <t>H</t>
  </si>
  <si>
    <t>I=H*F</t>
  </si>
  <si>
    <t>Actual Proceeds</t>
  </si>
  <si>
    <t>J</t>
  </si>
  <si>
    <t>Element on net units redeemed before date of distribution</t>
  </si>
  <si>
    <t>K=J*I</t>
  </si>
  <si>
    <t>Units issued from 16 July 2015 till 31 December 2015</t>
  </si>
  <si>
    <t>L</t>
  </si>
  <si>
    <t>Units redeemed from 16 July 2015 till 31 December 2015</t>
  </si>
  <si>
    <t>M</t>
  </si>
  <si>
    <t>N-M-L</t>
  </si>
  <si>
    <t>Less: Distribution</t>
  </si>
  <si>
    <t>O</t>
  </si>
  <si>
    <t>Opening Ex-NAV</t>
  </si>
  <si>
    <t>P=H-O</t>
  </si>
  <si>
    <t>Q=P*O</t>
  </si>
  <si>
    <t>R</t>
  </si>
  <si>
    <t>Element on net units redeemed after date of distribution till cut off</t>
  </si>
  <si>
    <t>S=Q-R</t>
  </si>
  <si>
    <t>Element of (income) / loss and capital gains / (losses) included in prices of units  issued less those in units redeemed</t>
  </si>
  <si>
    <t>T=S+K</t>
  </si>
  <si>
    <t>As per Client</t>
  </si>
  <si>
    <t>Half year ended</t>
  </si>
  <si>
    <t>Quarter ended</t>
  </si>
  <si>
    <t>Sindh Sales Tax on remuneration of the Trustee</t>
  </si>
  <si>
    <t>…………………………………..No. of shares………………………………….</t>
  </si>
  <si>
    <t>Holding as a percentage of Paid up capital of the investee company</t>
  </si>
  <si>
    <t xml:space="preserve">K-Electric Limited </t>
  </si>
  <si>
    <t>July to September</t>
  </si>
  <si>
    <t>Units issued from 16 July 2015 till 30 September 2015</t>
  </si>
  <si>
    <t>Units redeemed from 16 July 2015 till 30 September 2015</t>
  </si>
  <si>
    <t>Element of income / (loss) and capital gains / (losses) included in prices of units  issued less those in units redeemed</t>
  </si>
  <si>
    <t xml:space="preserve">Issue of 153,308,338 units </t>
  </si>
  <si>
    <t>(Un-audited)</t>
  </si>
  <si>
    <t>TRANSACTIONS WITH RELATED PARTIES /  CONNECTED PERSONS</t>
  </si>
  <si>
    <t>Total amount of units issued</t>
  </si>
  <si>
    <t>Total amount of units redeemed</t>
  </si>
  <si>
    <t>U</t>
  </si>
  <si>
    <t>V</t>
  </si>
  <si>
    <t xml:space="preserve">Thal Limited </t>
  </si>
  <si>
    <t>Total as at December 31, 2015</t>
  </si>
  <si>
    <t>Carrying value as at December 31, 2015</t>
  </si>
  <si>
    <t>Al Shaheer Corporation Limited</t>
  </si>
  <si>
    <t>CONDENSED INTERIM STATEMENT OF MOVEMENT IN UNIT HOLDERS' FUND (UN-AUDITED)</t>
  </si>
  <si>
    <t>NOTES TO AND FORMING PART OF THE CONDENSED INTERIM FINANCIAL INFORMATION (UN-AUDITED)</t>
  </si>
  <si>
    <t>Trail Balance</t>
  </si>
  <si>
    <t>Account Code</t>
  </si>
  <si>
    <t>Account Name</t>
  </si>
  <si>
    <t>010400100001</t>
  </si>
  <si>
    <t>RECEIVABLE AGAINST SALE OF UNITS</t>
  </si>
  <si>
    <t>010500100001</t>
  </si>
  <si>
    <t>RECEIVABLE AGAINST SALE  OF EQUITY SECURITIES</t>
  </si>
  <si>
    <t>010602300001</t>
  </si>
  <si>
    <t>RECEIVABLE FROM MANAGEMENT COMPANY</t>
  </si>
  <si>
    <t>010900200001</t>
  </si>
  <si>
    <t>050600200001</t>
  </si>
  <si>
    <t>050600300006</t>
  </si>
  <si>
    <t>FEE &amp; SUBSCRIPANNUAL PACRA FEE</t>
  </si>
  <si>
    <t>050600300009</t>
  </si>
  <si>
    <t>Fee &amp; Subscription Annual Listing Fee Psx</t>
  </si>
  <si>
    <t>050700100001</t>
  </si>
  <si>
    <t>PRINTING OF ACCOUNTS CHARGES</t>
  </si>
  <si>
    <t>051000100003</t>
  </si>
  <si>
    <t>BANK CHARGES - BANK AL FALAH LIMITED</t>
  </si>
  <si>
    <t>051000100009</t>
  </si>
  <si>
    <t>BANK CHARGES - HABIB METROPOLITAN BANK LIMITED</t>
  </si>
  <si>
    <t>051000100010</t>
  </si>
  <si>
    <t>BANK CHARGES - MCB BANK LIMITED</t>
  </si>
  <si>
    <t>051000100016</t>
  </si>
  <si>
    <t>BANK CHARGES - UNITED BANK LIMITED</t>
  </si>
  <si>
    <t>051000100017</t>
  </si>
  <si>
    <t>Bank Charges - Bank Al-Habib Limited</t>
  </si>
  <si>
    <t>050200100001</t>
  </si>
  <si>
    <t>BROKERAGE EXPENSE ON EQUITY INVESTMENT</t>
  </si>
  <si>
    <t>050200100002</t>
  </si>
  <si>
    <t>BROKERAGE EXPENSE  MONEY MARKET TRANSACTIONS</t>
  </si>
  <si>
    <t>050200300002</t>
  </si>
  <si>
    <t>SETT CHG  NCCPL  EQUITY TRANSACTIONS</t>
  </si>
  <si>
    <t>030100100001</t>
  </si>
  <si>
    <t>MANAGEMENT FEE PAYABLE</t>
  </si>
  <si>
    <t>030100600001</t>
  </si>
  <si>
    <t>SALES TAX PAYABLE AGAINST MANAGEMENT FEE</t>
  </si>
  <si>
    <t>030100700001</t>
  </si>
  <si>
    <t>FED TAX PAYABLE AGAINST MANAGEMENT FEE</t>
  </si>
  <si>
    <t>030100800001</t>
  </si>
  <si>
    <t>Sales Tax Payable On Trustee Fee</t>
  </si>
  <si>
    <t>030200100001</t>
  </si>
  <si>
    <t>TRUSTEE REMUNERATION PAYABLE</t>
  </si>
  <si>
    <t>030300200001</t>
  </si>
  <si>
    <t>CDS CHARGES PAYABLE TO TRUSTEE</t>
  </si>
  <si>
    <t>030400100001</t>
  </si>
  <si>
    <t>PAYABLE TO SECP  ANNUAL FEE</t>
  </si>
  <si>
    <t>031000600001</t>
  </si>
  <si>
    <t>WORKER'S WELFARE FUND PAYABLE</t>
  </si>
  <si>
    <t>031001700001</t>
  </si>
  <si>
    <t>PRINTING CHARGES PAYABLE</t>
  </si>
  <si>
    <t>031200100001</t>
  </si>
  <si>
    <t>Back Office Operation Payable</t>
  </si>
  <si>
    <t>030100200001</t>
  </si>
  <si>
    <t>SALE LOAD PAYABLE</t>
  </si>
  <si>
    <t>030100900001</t>
  </si>
  <si>
    <t>Fed Tax Payable Against Sales Load</t>
  </si>
  <si>
    <t>030700100001</t>
  </si>
  <si>
    <t>030900100001</t>
  </si>
  <si>
    <t>DIVIDEND PAYABLE</t>
  </si>
  <si>
    <t>030900100002</t>
  </si>
  <si>
    <t>Dividend Payable - Div Ac # 1 Final 2001</t>
  </si>
  <si>
    <t>030900100003</t>
  </si>
  <si>
    <t>Dividend Payable - Div Ac # 2 Final 2002</t>
  </si>
  <si>
    <t>030900100004</t>
  </si>
  <si>
    <t>Dividend Payable - Div  Ac # 3 Interim 2003</t>
  </si>
  <si>
    <t>030900100005</t>
  </si>
  <si>
    <t>Dividend Payable - Div Ac # 4 Final 2004</t>
  </si>
  <si>
    <t>030900100006</t>
  </si>
  <si>
    <t>Dividend Payable - Div  Ac # 5 Final 2005</t>
  </si>
  <si>
    <t>030900100007</t>
  </si>
  <si>
    <t>Dividend Payable - Div  Ac # 6 Final 2006</t>
  </si>
  <si>
    <t>030900100008</t>
  </si>
  <si>
    <t>Dividend Payable - Div  Ac # 7 Final 2007</t>
  </si>
  <si>
    <t>030900100009</t>
  </si>
  <si>
    <t>Dividend Payable - Div  Ac # 8 Final 2008</t>
  </si>
  <si>
    <t>030900100010</t>
  </si>
  <si>
    <t>Dividend Payable - Div  Ac # 9 Final 2010</t>
  </si>
  <si>
    <t>031000400002</t>
  </si>
  <si>
    <t>BROKERAGE PAYABLE  EQUITY INVESTMENT</t>
  </si>
  <si>
    <t>031000500001</t>
  </si>
  <si>
    <t>BROKERAGE PAYABLE MONEY MARKET</t>
  </si>
  <si>
    <t>031000500003</t>
  </si>
  <si>
    <t>BROKERAGE PAYABLE  MONEY MARKET</t>
  </si>
  <si>
    <t>031000800001</t>
  </si>
  <si>
    <t>WITHHOLDING TAX PAYABLE  CGT U/S 37A</t>
  </si>
  <si>
    <t>031000900001</t>
  </si>
  <si>
    <t>W.H. TAX PAYABLE BROKERAGE U/S 133</t>
  </si>
  <si>
    <t>031000900005</t>
  </si>
  <si>
    <t>W.H. TAX PAYABLE  SERVICES U/S 153</t>
  </si>
  <si>
    <t>031001200001</t>
  </si>
  <si>
    <t>PAYABLE TO LEGAL ADVISOR</t>
  </si>
  <si>
    <t>031001500001</t>
  </si>
  <si>
    <t>ZAKAT PAYABLE</t>
  </si>
  <si>
    <t>030500100001</t>
  </si>
  <si>
    <t>PAYABLE AGAINST PURCHASE OF EQUITY SECURITIES</t>
  </si>
  <si>
    <t>031000700001</t>
  </si>
  <si>
    <t>010700700006</t>
  </si>
  <si>
    <t>Prepayment Of KSE Against Annual Listing Fee</t>
  </si>
  <si>
    <t>010700700009</t>
  </si>
  <si>
    <t>Prepayment Of Psx Against Annual Listing Fee</t>
  </si>
  <si>
    <t>010700800001</t>
  </si>
  <si>
    <t>Advances Against Tax Deducted Against Cot</t>
  </si>
  <si>
    <t>010700500003</t>
  </si>
  <si>
    <t>SECURITY DEPOSITS NCCPL AGAINST MTS</t>
  </si>
  <si>
    <t>010700500005</t>
  </si>
  <si>
    <t>Security Deposits Other</t>
  </si>
  <si>
    <t>010700600001</t>
  </si>
  <si>
    <t>010300100001</t>
  </si>
  <si>
    <t>INVESTMENT IN EQUITY TRANSACTION  HFT</t>
  </si>
  <si>
    <t>010300100002</t>
  </si>
  <si>
    <t>EQUITY TRANSACTION  APPRECIATION / DIMINUTION  HFT</t>
  </si>
  <si>
    <t>010301000001</t>
  </si>
  <si>
    <t>INVESTMENT IN EQYUITY TRANSACTION  AFS</t>
  </si>
  <si>
    <t>010301000002</t>
  </si>
  <si>
    <t>EQUITY TRANSACTION  APPRECIATION / DIMINUTION  AFS</t>
  </si>
  <si>
    <t>020400200001</t>
  </si>
  <si>
    <t>UNREALIZED GAIN / (LOSS) EQUITY - AFS</t>
  </si>
  <si>
    <t>040100100001</t>
  </si>
  <si>
    <t>CAPITAL GAIN / (LOSS) ON SALE OF EQUITY SECURITIES</t>
  </si>
  <si>
    <t>040101200001</t>
  </si>
  <si>
    <t>URG / LOSS HFT EQUITY INVESTMENTS</t>
  </si>
  <si>
    <t>010300300001</t>
  </si>
  <si>
    <t>INVESTMENT IN TREASURY BILLS  FACE VALUE  HFT</t>
  </si>
  <si>
    <t>010300300002</t>
  </si>
  <si>
    <t>TREASURY BILLS  APPRECIATION / DIMINUTION  HFT</t>
  </si>
  <si>
    <t>010300300003</t>
  </si>
  <si>
    <t>TREASURY BILLS  DISCOUNT / AMORTISATION  HFT</t>
  </si>
  <si>
    <t>040100400001</t>
  </si>
  <si>
    <t>CAPITAL GAIN / (LOSS) ON SALE OF T-BILLS</t>
  </si>
  <si>
    <t>040101600001</t>
  </si>
  <si>
    <t>URG/LOSS INVESTMENTS IN TBILLS</t>
  </si>
  <si>
    <t>040201600001</t>
  </si>
  <si>
    <t>AMORTIZATION / DISCOUNT ON GOVT SEC BILLSS</t>
  </si>
  <si>
    <t>050600100001</t>
  </si>
  <si>
    <t>AUDIT FEE EXPENSE</t>
  </si>
  <si>
    <t>050600100002</t>
  </si>
  <si>
    <t>OUT OF POCKET EXPENSES</t>
  </si>
  <si>
    <t>050100100001</t>
  </si>
  <si>
    <t>050100100002</t>
  </si>
  <si>
    <t>SALES TAX ON MANAGEMENT COMPANY REMUNERATION</t>
  </si>
  <si>
    <t>050100200001</t>
  </si>
  <si>
    <t>050100200002</t>
  </si>
  <si>
    <t>Sales Tax On Trustee Fee</t>
  </si>
  <si>
    <t>050100300001</t>
  </si>
  <si>
    <t>050100500001</t>
  </si>
  <si>
    <t>Back Office Operation Expenses</t>
  </si>
  <si>
    <t>050100500002</t>
  </si>
  <si>
    <t>SST on Back Office Operation Expenses</t>
  </si>
  <si>
    <t>050200300001</t>
  </si>
  <si>
    <t>SETT CHG  TRUSTEE</t>
  </si>
  <si>
    <t>010601100001</t>
  </si>
  <si>
    <t>PROFIT RECEIVABLE - BANK AL FALAH LIMITED  - KSE BRANCH</t>
  </si>
  <si>
    <t>010601100014</t>
  </si>
  <si>
    <t>PROFIT RECEIVABLE - HABIB METROPOLITAN BANK LIMITED - KARACHI STOCK EXCHANGE BRANCH</t>
  </si>
  <si>
    <t>010601100017</t>
  </si>
  <si>
    <t>PROFIT RECEIVABLE - MCB BANK LIMITED - UNI TOWER BRANCH</t>
  </si>
  <si>
    <t>010601100034</t>
  </si>
  <si>
    <t>PROFIT RECEIVABLE - UNITED BANK LIMITED - CORPORATE BRANCH</t>
  </si>
  <si>
    <t>010700300001</t>
  </si>
  <si>
    <t>ADVANCES AGAINST TAX DEDUCTED AGAINST BANK PROFIT</t>
  </si>
  <si>
    <t>040200100001</t>
  </si>
  <si>
    <t>PROFIT ON - ALLIED BANK LIMITED - FOREIGN EXCHANGE BRANCH</t>
  </si>
  <si>
    <t>040200100005</t>
  </si>
  <si>
    <t>PROFIT ON - BANK AL FALAH LIMITED  - KSE BRANCH</t>
  </si>
  <si>
    <t>040200100014</t>
  </si>
  <si>
    <t>Profit On - Habib Metropolitan Bank Limited - Karachi Stock Exchange Branch</t>
  </si>
  <si>
    <t>040200100017</t>
  </si>
  <si>
    <t>Profit On - Mcb Bank Limited - Uni Tower Branch</t>
  </si>
  <si>
    <t>040200100021</t>
  </si>
  <si>
    <t>Profit On - Mcb Bank Limited - Shaheen Complex Branch</t>
  </si>
  <si>
    <t>040200100034</t>
  </si>
  <si>
    <t>Profit On - United Bank Limited - Corporate Branch</t>
  </si>
  <si>
    <t>040200100069</t>
  </si>
  <si>
    <t>Profit On - Bank Al Habib Limited - Main Branch</t>
  </si>
  <si>
    <t>010602100001</t>
  </si>
  <si>
    <t>DIVIDEND RECEIVABLES  EQUITY INVESTMENTS</t>
  </si>
  <si>
    <t>010700400001</t>
  </si>
  <si>
    <t>ADVANCES AGAINST TAX DEDUCTED AGAINST DIVIDEND INCOME</t>
  </si>
  <si>
    <t>040101000001</t>
  </si>
  <si>
    <t>010100100001</t>
  </si>
  <si>
    <t>BANK BALANCES - ALLIED BANK LIMITED - FOREIGN EXCHANGE BRANCH</t>
  </si>
  <si>
    <t>010100100014</t>
  </si>
  <si>
    <t>BANK BALANCES - HABIB METROPOLITAN BANK LIMITED - KARACHI STOCK EXCHANGE BRANCH</t>
  </si>
  <si>
    <t>010100100017</t>
  </si>
  <si>
    <t>BANK BALANCES - MCB BANK LIMITED - UNI TOWER BRANCH</t>
  </si>
  <si>
    <t>010100100020</t>
  </si>
  <si>
    <t>BANK BALANCES - MCB BANK LIMITED - MAIN BRANCH</t>
  </si>
  <si>
    <t>010100100021</t>
  </si>
  <si>
    <t>BANK BALANCES - MCB BANK LIMITED - GLOBAL TRANSACTION - SHAHEEN COMPLEX BRANCH</t>
  </si>
  <si>
    <t>010100100033</t>
  </si>
  <si>
    <t>BANK BALANCES - STANDARD CHARTERED BANK LIMITED - DIVIDEND - 1 - MAIN BRANCH</t>
  </si>
  <si>
    <t>010100100034</t>
  </si>
  <si>
    <t>BANK BALANCES - STANDARD CHARTERED BANK LIMITED - DIVIDEND - 2 - MAIN BRANCH</t>
  </si>
  <si>
    <t>010100100035</t>
  </si>
  <si>
    <t>BANK BALANCES - STANDARD CHARTERED BANK LIMITED - DIVIDEND - 3 - MAIN BRANCH</t>
  </si>
  <si>
    <t>010100100038</t>
  </si>
  <si>
    <t>BANK BALANCES - SUMMIT BANK LIMITED - DIVIDEND - 1 - UNI TOWER BRANCH</t>
  </si>
  <si>
    <t>010100100040</t>
  </si>
  <si>
    <t>BANK BALANCES - UNITED BANK LIMITED - CORPORATE BRANCH</t>
  </si>
  <si>
    <t>010100100044</t>
  </si>
  <si>
    <t>Bank Balances - Bank Al-Habib Limited - DIVIDEND - 1 - KSE BRANCH</t>
  </si>
  <si>
    <t>010100100045</t>
  </si>
  <si>
    <t>Bank Balances - Bank Al-Habib Limited - DIVIDEND # 2 - KSE BRANCH</t>
  </si>
  <si>
    <t>010100100046</t>
  </si>
  <si>
    <t>Bank Balances - Mcb Bank Limited- Stock Exchange Div Ac # 1 Final 2001</t>
  </si>
  <si>
    <t>010100100047</t>
  </si>
  <si>
    <t>Bank Balances - Mcb Bank Limited- Stock Exchange Div Ac # 2 Final 2002</t>
  </si>
  <si>
    <t>010100100048</t>
  </si>
  <si>
    <t>Bank Balances - Summit Bank Limited - Dividend - 2 - Uni Tower Branch</t>
  </si>
  <si>
    <t>010100100049</t>
  </si>
  <si>
    <t>Bank Balances - Summit Bank Limited - Dividend - 3 - Uni Tower Branch</t>
  </si>
  <si>
    <t>010302900001</t>
  </si>
  <si>
    <t>FAIR VALUE OF DERIVATIVE OF FUTURE TRANSACTION</t>
  </si>
  <si>
    <t>010700900001</t>
  </si>
  <si>
    <t>Provision Fortaxation-1996-1997</t>
  </si>
  <si>
    <t>010700900002</t>
  </si>
  <si>
    <t>Provision Fortaxation-1997-1998</t>
  </si>
  <si>
    <t>010700900003</t>
  </si>
  <si>
    <t>Provision Fortaxation-1998-1999</t>
  </si>
  <si>
    <t>010700900004</t>
  </si>
  <si>
    <t>Provision Fortaxation-1999-2000</t>
  </si>
  <si>
    <t>010700900005</t>
  </si>
  <si>
    <t>Provision Fortaxation-2000-2001</t>
  </si>
  <si>
    <t>010700900006</t>
  </si>
  <si>
    <t>Provision Fortaxation-2002-2003</t>
  </si>
  <si>
    <t>010700900007</t>
  </si>
  <si>
    <t>Provision Fortaxation-2003-2004</t>
  </si>
  <si>
    <t>010700900008</t>
  </si>
  <si>
    <t>Provision Fortaxation-2004-2005</t>
  </si>
  <si>
    <t>010700900009</t>
  </si>
  <si>
    <t>Provision For Taxation - 2005-2006</t>
  </si>
  <si>
    <t>010701000001</t>
  </si>
  <si>
    <t>Advances Tax Against- Sale Of Shares</t>
  </si>
  <si>
    <t>010800100001</t>
  </si>
  <si>
    <t>010800100002</t>
  </si>
  <si>
    <t>AMORTISATION OF FORMATION COST</t>
  </si>
  <si>
    <t>020100100001</t>
  </si>
  <si>
    <t>ISSUED OF UNITS AGAINST SALE OF UNITS</t>
  </si>
  <si>
    <t>020100200001</t>
  </si>
  <si>
    <t>REDEMPTION OF UNITS  NORMAL</t>
  </si>
  <si>
    <t>020100300001</t>
  </si>
  <si>
    <t>CONVERSION IN UNITS</t>
  </si>
  <si>
    <t>020100400001</t>
  </si>
  <si>
    <t>CONVERSION OUT UNITS</t>
  </si>
  <si>
    <t>020200100001</t>
  </si>
  <si>
    <t>ELEMENT OF INCOME  REALIZED</t>
  </si>
  <si>
    <t>020200200001</t>
  </si>
  <si>
    <t>ELEMENT OF INCOME  UNREALIZED</t>
  </si>
  <si>
    <t>020500100001</t>
  </si>
  <si>
    <t>BALANCE ACCOUNT</t>
  </si>
  <si>
    <t>040400100001</t>
  </si>
  <si>
    <t>ELEMENT OF INCOME - REALIZED</t>
  </si>
  <si>
    <t>040400200001</t>
  </si>
  <si>
    <t>ELEMENT OF INCOME - UNREALIZED</t>
  </si>
  <si>
    <t>MCB - ARIF HABIB PAKISTAN SOCK MARKET FUND</t>
  </si>
  <si>
    <t>Sum</t>
  </si>
  <si>
    <t>Carrying Value</t>
  </si>
  <si>
    <t>AUTOMOBILE ASSEMBLER</t>
  </si>
  <si>
    <t>Listed equity securities at fair value through profit or loss - held for trading</t>
  </si>
  <si>
    <t xml:space="preserve">Payable to the Securities and Exchange Commission of Pakistan </t>
  </si>
  <si>
    <t>Payable against purchase of investments</t>
  </si>
  <si>
    <t>2016</t>
  </si>
  <si>
    <t>Round Off</t>
  </si>
  <si>
    <t>Round off Sum</t>
  </si>
  <si>
    <t>PAYABLE TO CDC</t>
  </si>
  <si>
    <t>ADVANCES AND SECURITY DEPOSITS</t>
  </si>
  <si>
    <t>ACCRUED EXPENSES AND OTHER LIABILITIES</t>
  </si>
  <si>
    <t>CAPITAL GAIN/LOSS ON SALE OF INVESTMENTS</t>
  </si>
  <si>
    <t>INCOME FROM GOVERNEMETN SECURITIES</t>
  </si>
  <si>
    <t>PROFIT ON BANK DEPOSITS</t>
  </si>
  <si>
    <t>Fees and subscriptions</t>
  </si>
  <si>
    <t>ELEMENT OF INCOME REALIZED</t>
  </si>
  <si>
    <t xml:space="preserve">Net unrealised (diminution) / appreciation in value of investments </t>
  </si>
  <si>
    <t>classified as available for sale  - net</t>
  </si>
  <si>
    <t>Undistributed income brought forward</t>
  </si>
  <si>
    <t xml:space="preserve">included in the prices of units issued less those in units </t>
  </si>
  <si>
    <t>redeemed - transferred to the Distribution Statement</t>
  </si>
  <si>
    <t>ELEMENT OF INCOME UNREALIZED</t>
  </si>
  <si>
    <t>UNREALIZED GAIN/(LOSS) ON INVESTEMENTS (AFS)</t>
  </si>
  <si>
    <t>ISSUE OF UNITS</t>
  </si>
  <si>
    <t>REDEMPTION OF UNITS</t>
  </si>
  <si>
    <t>Net element of (income) / loss and capital (gains) / losses included</t>
  </si>
  <si>
    <t>in prices of units issued less those in units redeemed</t>
  </si>
  <si>
    <t>- amount representing (income) / loss and capital (gains) / losses</t>
  </si>
  <si>
    <t>transferred to the Income Statement:</t>
  </si>
  <si>
    <t>transferred to the Distribution Statement</t>
  </si>
  <si>
    <t>Capital gain on sale of investments - net</t>
  </si>
  <si>
    <t>investments classified as 'financial assets at fair value</t>
  </si>
  <si>
    <t>through profit or loss'</t>
  </si>
  <si>
    <t>Other income (net of expenses)</t>
  </si>
  <si>
    <t xml:space="preserve">    classified as 'available for sale during the period' - net</t>
  </si>
  <si>
    <t>UNREALISED APPRECIATION ON REMEASUREMENT OF INVESTMENTS</t>
  </si>
  <si>
    <t>FORMATION COST AMORTIZATION</t>
  </si>
  <si>
    <t>Advance Tax</t>
  </si>
  <si>
    <t xml:space="preserve">Auditors' remuneration </t>
  </si>
  <si>
    <t>FOR THE HALF YEAR ENDED DECEMBER 31, 2016</t>
  </si>
  <si>
    <t>Automobile Parts &amp; Accessories</t>
  </si>
  <si>
    <t>Cable and Electrical Goods</t>
  </si>
  <si>
    <t>TPL Trakker Limited</t>
  </si>
  <si>
    <t>Appreciation/ (Diminution)</t>
  </si>
  <si>
    <t>Cement</t>
  </si>
  <si>
    <t xml:space="preserve">Fauji Cement Company Limited </t>
  </si>
  <si>
    <t>Chemicals</t>
  </si>
  <si>
    <t>Engro Polymer and Chemicals Limited</t>
  </si>
  <si>
    <t>Commercial Banks</t>
  </si>
  <si>
    <t>Allied Bank Limited</t>
  </si>
  <si>
    <t>Faysal Bank Limited</t>
  </si>
  <si>
    <t>Habib Metropolitan Bank Limited</t>
  </si>
  <si>
    <t>MCB Bank Limited</t>
  </si>
  <si>
    <t>United Bank Limited</t>
  </si>
  <si>
    <t xml:space="preserve">Engineering </t>
  </si>
  <si>
    <t>International Industries Limited</t>
  </si>
  <si>
    <t xml:space="preserve">Fertlizers </t>
  </si>
  <si>
    <t xml:space="preserve">Engro Corporation Limited </t>
  </si>
  <si>
    <t>Insurance</t>
  </si>
  <si>
    <t>Investment Companies</t>
  </si>
  <si>
    <t>Leather and Tanneries</t>
  </si>
  <si>
    <t xml:space="preserve">Oil and Gas Exploration Companies </t>
  </si>
  <si>
    <t>Mari Petroleum Company Limited</t>
  </si>
  <si>
    <t>Oil &amp; Gas Development Company Limited</t>
  </si>
  <si>
    <t xml:space="preserve">Oil and Gas Marketing Companies </t>
  </si>
  <si>
    <t>Hi-Tech Lubricants Limited</t>
  </si>
  <si>
    <t>Sui Northern Gas Pipelines Limited</t>
  </si>
  <si>
    <t>Sui Southern Gas Company Limited</t>
  </si>
  <si>
    <t>Paper and Board</t>
  </si>
  <si>
    <t>Pharmaceuticals</t>
  </si>
  <si>
    <t xml:space="preserve">Power Generation &amp; Distribution </t>
  </si>
  <si>
    <t>Nishat Power Limited</t>
  </si>
  <si>
    <t xml:space="preserve">Refinery </t>
  </si>
  <si>
    <t xml:space="preserve">Technology and Communication </t>
  </si>
  <si>
    <t xml:space="preserve">Textile Composite </t>
  </si>
  <si>
    <t>Gul Ahmed Textile Mills Limited</t>
  </si>
  <si>
    <t>Miscellaneous</t>
  </si>
  <si>
    <t>Cherat Cement Company Limited</t>
  </si>
  <si>
    <t>Archroma Pakistan Limited</t>
  </si>
  <si>
    <t>Bank Al Habib Limited</t>
  </si>
  <si>
    <t>Glass and Ceramics</t>
  </si>
  <si>
    <t>Altern Energy Limited</t>
  </si>
  <si>
    <t>Systems Limited</t>
  </si>
  <si>
    <t>---------Rupees in '000---------</t>
  </si>
  <si>
    <t>MCB PAKISTAN STOCK MARKET FUND</t>
  </si>
  <si>
    <t>CONDENSED INTERIM INCOME STATEMENT (UN-AUDITED)</t>
  </si>
  <si>
    <t>Next Capital Limited</t>
  </si>
  <si>
    <t>Bank charges</t>
  </si>
  <si>
    <t>Nishat Chunian Limited</t>
  </si>
  <si>
    <t>Remuneration payable</t>
  </si>
  <si>
    <t>*</t>
  </si>
  <si>
    <t>Arif Habib Limited</t>
  </si>
  <si>
    <t>MCB-Arif Habib Savings and Investments Limited</t>
  </si>
  <si>
    <t>Adjustment</t>
  </si>
  <si>
    <t>Balance</t>
  </si>
  <si>
    <t>CASH FLOW WORKING</t>
  </si>
  <si>
    <t>Investments - net</t>
  </si>
  <si>
    <t>Opening</t>
  </si>
  <si>
    <t>Closing</t>
  </si>
  <si>
    <t>Net</t>
  </si>
  <si>
    <t>Fee payable to the Trustee</t>
  </si>
  <si>
    <t>Net amount paid</t>
  </si>
  <si>
    <t>Adamjee Life Assurance Company Limited - IMF</t>
  </si>
  <si>
    <t>---------------------------- Rupees in '000 ----------------------------</t>
  </si>
  <si>
    <t>the Distribution Statement</t>
  </si>
  <si>
    <t>prices of units issued less those in units redeemed - transferred to</t>
  </si>
  <si>
    <t>MCB - Arif Habib Savings and Investment Limited - Management Company</t>
  </si>
  <si>
    <t>Accrued expense and other liabilities</t>
  </si>
  <si>
    <t>Unrealised appreciation / (diminution) in fair value of investments</t>
  </si>
  <si>
    <t xml:space="preserve"> - arising from other loss / (income)</t>
  </si>
  <si>
    <t xml:space="preserve"> - arising from capital (gain) and unrealised (gain)</t>
  </si>
  <si>
    <t>Bank Balances - Bank Al Habib Limited - Main Branch</t>
  </si>
  <si>
    <t>010100100069</t>
  </si>
  <si>
    <t xml:space="preserve">Net unrealised appreciation on remeasurement of </t>
  </si>
  <si>
    <t xml:space="preserve">Net element of income and capital gains  </t>
  </si>
  <si>
    <t>Net element of income and capital gains included in</t>
  </si>
  <si>
    <t>- amount representing unrealised capital (gains) -</t>
  </si>
  <si>
    <t>Total comprehensive income for the period</t>
  </si>
  <si>
    <t>**</t>
  </si>
  <si>
    <t>Allocated expenses</t>
  </si>
  <si>
    <t>CONDENSED INTERIM STATEMENT OF COMPREHENSIVE INCOME (UN-AUDITED)</t>
  </si>
  <si>
    <t>All shares have a nominal value of Rs.10 each except as stated otherwise.</t>
  </si>
  <si>
    <t>The Fund has been categorised as equity scheme and offers units for public subscription on a continuous basis. The units of the Fund are transferable and can also be redeemed by surrendering them to the Fund. The units are listed on the Pakistan Stock Exchange. The Fund primarily invests in listed equity securities. However, it also invests in cash instruments and treasury bills not exceeding 90 days in maturities.</t>
  </si>
  <si>
    <t>010100100005</t>
  </si>
  <si>
    <t>010100100018</t>
  </si>
  <si>
    <t>010100100054</t>
  </si>
  <si>
    <t>010100100075</t>
  </si>
  <si>
    <t>010100100087</t>
  </si>
  <si>
    <t>010601100005</t>
  </si>
  <si>
    <t>010601100075</t>
  </si>
  <si>
    <t>010700700005</t>
  </si>
  <si>
    <t>0314001001</t>
  </si>
  <si>
    <t>040200100026</t>
  </si>
  <si>
    <t>040200100075</t>
  </si>
  <si>
    <t>040200100090</t>
  </si>
  <si>
    <t>040300400001</t>
  </si>
  <si>
    <t>0501006001</t>
  </si>
  <si>
    <t>051000100001</t>
  </si>
  <si>
    <t>051000100008</t>
  </si>
  <si>
    <t>051000100021</t>
  </si>
  <si>
    <t>BANK BALANCES - BANK AL FALAH LIMITED  - KSE BRANCH</t>
  </si>
  <si>
    <t>BANK BALANCES - MCB BANK LIMITED - KSE BRANCH</t>
  </si>
  <si>
    <t>Bank Balances - Mcb Bank Limited - Shaheen Complex Branch</t>
  </si>
  <si>
    <t>Bank Balances - Js Bank Limited - Ocean Tower, Clifton Branch</t>
  </si>
  <si>
    <t>Bank Balances - Habib Bank Limited - Kse Branch</t>
  </si>
  <si>
    <t>Profit Receivable - Js Bank Limited - Ocean Tower, Clifton Branch</t>
  </si>
  <si>
    <t>PREPAYMENT OF PACRA AGAINST ANNUAL PACRA RATING FEE</t>
  </si>
  <si>
    <t>Marketing And Selling Payable</t>
  </si>
  <si>
    <t>Profit On - Nib Bank Limited - Main Branch</t>
  </si>
  <si>
    <t>Profit On - Js Bank Limited - Ocean Tower, Clifton Branch</t>
  </si>
  <si>
    <t>Profit On - Habib Bank Limited Kse Branch</t>
  </si>
  <si>
    <t>Back End Load Income</t>
  </si>
  <si>
    <t>Marketing And Selling Expense</t>
  </si>
  <si>
    <t>BANK CHARGES - ALLIED BANK LIMITED</t>
  </si>
  <si>
    <t>BANK CHARGES - HABIB BANK LIMITED</t>
  </si>
  <si>
    <t>Bank Charges - JS Bank Limited</t>
  </si>
  <si>
    <t>As at July 01,
2017</t>
  </si>
  <si>
    <t>010100100100</t>
  </si>
  <si>
    <t>Bank Balances - National Bank Of Pakistan - Main Branch</t>
  </si>
  <si>
    <t>010601100018</t>
  </si>
  <si>
    <t>PROFIT RECEIVABLE - MCB BANK LIMITED - KSE BRANCH</t>
  </si>
  <si>
    <t>040200100018</t>
  </si>
  <si>
    <t>Profit On - Mcb Bank Limited - Kse Branch</t>
  </si>
  <si>
    <t>04060010001</t>
  </si>
  <si>
    <t>Impairment On Impairment Losses - Equity Investment - Afs</t>
  </si>
  <si>
    <t>PROFIT RECEIVABLE - ALLIED BANK LIMITED - FOREIGN EXCHANGE BRANCH</t>
  </si>
  <si>
    <t>SECURITY DEPOSITS  CDC</t>
  </si>
  <si>
    <t>Code</t>
  </si>
  <si>
    <t>2017</t>
  </si>
  <si>
    <t>December 31, 2017</t>
  </si>
  <si>
    <t>Ghandhara Industries Ltd</t>
  </si>
  <si>
    <t>Honda Atlas Cars(Pakistan) Limited</t>
  </si>
  <si>
    <t>General Tyre &amp; Rubber Company</t>
  </si>
  <si>
    <t>Kohat Cement Limited</t>
  </si>
  <si>
    <t>Thatta Cement Company Limited</t>
  </si>
  <si>
    <t>Askari Bank Limited</t>
  </si>
  <si>
    <t>International Steels Limited</t>
  </si>
  <si>
    <t>Ittefaq Iron Industries Limited</t>
  </si>
  <si>
    <t>Adamjee Insurance Company Limited</t>
  </si>
  <si>
    <t>Pakistan Reinsurance Company Limited</t>
  </si>
  <si>
    <t>Pakistan Oil Fields Limited</t>
  </si>
  <si>
    <t>Attock Petroleum Limited</t>
  </si>
  <si>
    <t>Cherat Packaging Limited</t>
  </si>
  <si>
    <t>K-Electric Limited</t>
  </si>
  <si>
    <t>Hum Network Limited</t>
  </si>
  <si>
    <t>Kohinoor Textiles Mills Limited</t>
  </si>
  <si>
    <t>Impairment</t>
  </si>
  <si>
    <t>(2016: 28,043,118) units for the half year and quarter ended respectively</t>
  </si>
  <si>
    <t>(2016: 23,632,792) units for the half year and quarter ended respectively</t>
  </si>
  <si>
    <t>Redemption of 42,503,625 (2016: 36,679,734) units and 10,670,308</t>
  </si>
  <si>
    <t>Saving</t>
  </si>
  <si>
    <t>current</t>
  </si>
  <si>
    <t>a</t>
  </si>
  <si>
    <t>Paid Up capital</t>
  </si>
  <si>
    <t>DOMF</t>
  </si>
  <si>
    <t>Dominion Stock Fund Limited</t>
  </si>
  <si>
    <t>CLOSE - END MUTUAL FUND</t>
  </si>
  <si>
    <t>FDMF</t>
  </si>
  <si>
    <t>First Dawood Mutual Fund</t>
  </si>
  <si>
    <t>GASF</t>
  </si>
  <si>
    <t>Golden Arrow Selected Stocks Fund Limited</t>
  </si>
  <si>
    <t>PGF</t>
  </si>
  <si>
    <t>PICIC Growth Fund</t>
  </si>
  <si>
    <t>INMF</t>
  </si>
  <si>
    <t>Investec Mutual Fund Limited</t>
  </si>
  <si>
    <t>PIF</t>
  </si>
  <si>
    <t>PICIC Investment Fund</t>
  </si>
  <si>
    <t>SINDM</t>
  </si>
  <si>
    <t>Sindh Modaraba</t>
  </si>
  <si>
    <t>MODARABAS</t>
  </si>
  <si>
    <t>PUDF</t>
  </si>
  <si>
    <t>Prudential Stocks Fund Limited</t>
  </si>
  <si>
    <t>TSMF</t>
  </si>
  <si>
    <t>Tri-Star Mutual Fund Limited</t>
  </si>
  <si>
    <t>FANM</t>
  </si>
  <si>
    <t>First Al-Noor Modaraba</t>
  </si>
  <si>
    <t>ARM</t>
  </si>
  <si>
    <t>Allied Rental Modaraba</t>
  </si>
  <si>
    <t>ARMR4</t>
  </si>
  <si>
    <t>Allied Rental(R)</t>
  </si>
  <si>
    <t>BFMOD</t>
  </si>
  <si>
    <t>B.F. Modaraba</t>
  </si>
  <si>
    <t>BRR</t>
  </si>
  <si>
    <t>B.R.R. Guardian Modaraba</t>
  </si>
  <si>
    <t>FCONM</t>
  </si>
  <si>
    <t>First Constellation Modaraba</t>
  </si>
  <si>
    <t>FIM</t>
  </si>
  <si>
    <t>First Investec Modaraba</t>
  </si>
  <si>
    <t>FECM</t>
  </si>
  <si>
    <t>First Elite Capital Modaraba</t>
  </si>
  <si>
    <t>FEM</t>
  </si>
  <si>
    <t>First Equity Modaraba</t>
  </si>
  <si>
    <t>CSM</t>
  </si>
  <si>
    <t>Crescent Standard Modaraba</t>
  </si>
  <si>
    <t>FFLM</t>
  </si>
  <si>
    <t>First Fidelity Leasing Modaraba</t>
  </si>
  <si>
    <t>ORIXM</t>
  </si>
  <si>
    <t>Orix Modaraba</t>
  </si>
  <si>
    <t>FHAM</t>
  </si>
  <si>
    <t>First Habib Modaraba</t>
  </si>
  <si>
    <t>HMM</t>
  </si>
  <si>
    <t>Habib Metro Mod</t>
  </si>
  <si>
    <t>FTMM</t>
  </si>
  <si>
    <t>First Treet Manufacturing Modaraba</t>
  </si>
  <si>
    <t>FIBLM</t>
  </si>
  <si>
    <t>First IBL Modaraba</t>
  </si>
  <si>
    <t>FIMM</t>
  </si>
  <si>
    <t>First Imrooz Modaraba</t>
  </si>
  <si>
    <t>PIM</t>
  </si>
  <si>
    <t>Popular Islamic Modaraba</t>
  </si>
  <si>
    <t>KASBM</t>
  </si>
  <si>
    <t>KASB Modaraba</t>
  </si>
  <si>
    <t>MODAM</t>
  </si>
  <si>
    <t>Modaraba Al-Mali</t>
  </si>
  <si>
    <t>ORM</t>
  </si>
  <si>
    <t>Orient Rental Mod</t>
  </si>
  <si>
    <t>FNBM</t>
  </si>
  <si>
    <t>First National Bank Modaraba</t>
  </si>
  <si>
    <t>PAKMI</t>
  </si>
  <si>
    <t>First Pak Modaraba</t>
  </si>
  <si>
    <t>FPRM</t>
  </si>
  <si>
    <t>First Paramount Modaraba</t>
  </si>
  <si>
    <t>PMI</t>
  </si>
  <si>
    <t>First Prudential Modaraba</t>
  </si>
  <si>
    <t>FPJM</t>
  </si>
  <si>
    <t>First Punjab Modaraba</t>
  </si>
  <si>
    <t>FTSM</t>
  </si>
  <si>
    <t>First Tri-Star Modaraba</t>
  </si>
  <si>
    <t>TRSM</t>
  </si>
  <si>
    <t>Trust Modaraba</t>
  </si>
  <si>
    <t>FUDLM</t>
  </si>
  <si>
    <t>First UDL Modaraba</t>
  </si>
  <si>
    <t>UCAPM</t>
  </si>
  <si>
    <t>Unicap Modaraba</t>
  </si>
  <si>
    <t>CPAL</t>
  </si>
  <si>
    <t>Capital Assets Leasing Corporation Limited</t>
  </si>
  <si>
    <t>LEASING COMPANIES</t>
  </si>
  <si>
    <t>ENGL</t>
  </si>
  <si>
    <t>English Leasing Limited</t>
  </si>
  <si>
    <t>GRYL</t>
  </si>
  <si>
    <t>Grays Leasing Limited</t>
  </si>
  <si>
    <t>OLPL</t>
  </si>
  <si>
    <t>Orix Leasing Pakistan Limited</t>
  </si>
  <si>
    <t>PGLC</t>
  </si>
  <si>
    <t>Pak-Gulf Leasing Company Limited</t>
  </si>
  <si>
    <t>PICL</t>
  </si>
  <si>
    <t>Pakistan Industrial &amp; Commercial Leasing Ltd.</t>
  </si>
  <si>
    <t>SLL</t>
  </si>
  <si>
    <t>SME Leasing Limited</t>
  </si>
  <si>
    <t>SLCL</t>
  </si>
  <si>
    <t>Security Leasing Corporation Limited</t>
  </si>
  <si>
    <t>SPLC</t>
  </si>
  <si>
    <t>Saudi Pak Leasing Company Limited</t>
  </si>
  <si>
    <t>SLCPA</t>
  </si>
  <si>
    <t>Security Leasing Corp.(Pref) 9.1%</t>
  </si>
  <si>
    <t>AMSL</t>
  </si>
  <si>
    <t>Al-Mal Securities &amp; Services Limited</t>
  </si>
  <si>
    <t>INV. BANKS / INV. COS. / SECURITIES COS.</t>
  </si>
  <si>
    <t>MCBAH</t>
  </si>
  <si>
    <t>AHL</t>
  </si>
  <si>
    <t>AHCL</t>
  </si>
  <si>
    <t>Arif Habib Corporation Limited</t>
  </si>
  <si>
    <t>FERTILIZER</t>
  </si>
  <si>
    <t>ICIBL</t>
  </si>
  <si>
    <t>Invest Capital Investment Bank Limited</t>
  </si>
  <si>
    <t>FDIBL</t>
  </si>
  <si>
    <t>First Dawood Investment Bank Limited</t>
  </si>
  <si>
    <t>JSCL</t>
  </si>
  <si>
    <t>Jahangir Siddiqui &amp; Co. Ltd.</t>
  </si>
  <si>
    <t>BIPLS</t>
  </si>
  <si>
    <t>BIPL Securities Limited</t>
  </si>
  <si>
    <t>NEXT</t>
  </si>
  <si>
    <t>AMBL</t>
  </si>
  <si>
    <t>Apna Microfinance Bank Limited</t>
  </si>
  <si>
    <t>ESBL</t>
  </si>
  <si>
    <t>Escorts Investment Bank Limited</t>
  </si>
  <si>
    <t>FCEL</t>
  </si>
  <si>
    <t>First Capital Equities Limited</t>
  </si>
  <si>
    <t>PSX</t>
  </si>
  <si>
    <t>Pakistan Stock Exchange Limited</t>
  </si>
  <si>
    <t>FCSC</t>
  </si>
  <si>
    <t>First Capital Securities Corporation Limited</t>
  </si>
  <si>
    <t>FCIBL</t>
  </si>
  <si>
    <t>First Credit and Investment Bank Limited</t>
  </si>
  <si>
    <t>IGIBL</t>
  </si>
  <si>
    <t>IGI Investment Bank Limited</t>
  </si>
  <si>
    <t>EFGH</t>
  </si>
  <si>
    <t>EFG Hermes Pakistan Limited</t>
  </si>
  <si>
    <t>FNEL</t>
  </si>
  <si>
    <t>First National Equities Limited</t>
  </si>
  <si>
    <t>ITSL</t>
  </si>
  <si>
    <t>Investec Securities Limited</t>
  </si>
  <si>
    <t>JOVC</t>
  </si>
  <si>
    <t>Javed Omer Vohra &amp; Company Limited</t>
  </si>
  <si>
    <t>JSIL</t>
  </si>
  <si>
    <t>JS Investments Limited</t>
  </si>
  <si>
    <t>JSGCL</t>
  </si>
  <si>
    <t>JS Global Capital Limited</t>
  </si>
  <si>
    <t>786 Investment Limited</t>
  </si>
  <si>
    <t>DEL</t>
  </si>
  <si>
    <t>Dawood Equities Limited</t>
  </si>
  <si>
    <t>PASL</t>
  </si>
  <si>
    <t>Pervez Ahmed Securities Limited</t>
  </si>
  <si>
    <t>PDGH</t>
  </si>
  <si>
    <t>Prudential Discourt &amp; Guarantee House Ltd.</t>
  </si>
  <si>
    <t>PRIB</t>
  </si>
  <si>
    <t>Prudential Investment Bank Limited</t>
  </si>
  <si>
    <t>SIBL</t>
  </si>
  <si>
    <t>Security Investment Bank Limited</t>
  </si>
  <si>
    <t>TRIBL</t>
  </si>
  <si>
    <t>Trust Investment Bank Limited</t>
  </si>
  <si>
    <t>TSBL</t>
  </si>
  <si>
    <t>Trust Securities &amp; Brokerage Limited</t>
  </si>
  <si>
    <t>ABL</t>
  </si>
  <si>
    <t>SMBL</t>
  </si>
  <si>
    <t>SMBLCPSA</t>
  </si>
  <si>
    <t>Summit Bank Pref Class "A"</t>
  </si>
  <si>
    <t>SMBLCPSB</t>
  </si>
  <si>
    <t>Summit Bank Pref Class "B"</t>
  </si>
  <si>
    <t>AKBL</t>
  </si>
  <si>
    <t>BAFL</t>
  </si>
  <si>
    <t>BIPL</t>
  </si>
  <si>
    <t>BOK</t>
  </si>
  <si>
    <t>The Bank of Khyber</t>
  </si>
  <si>
    <t>BAHL</t>
  </si>
  <si>
    <t>Bank AL Habib Limited</t>
  </si>
  <si>
    <t>BOP</t>
  </si>
  <si>
    <t>The Bank of Punjab</t>
  </si>
  <si>
    <t>FABL</t>
  </si>
  <si>
    <t>HBL</t>
  </si>
  <si>
    <t>MEBL</t>
  </si>
  <si>
    <t>NBP</t>
  </si>
  <si>
    <t>National Bank of Pakistan</t>
  </si>
  <si>
    <t>HMB</t>
  </si>
  <si>
    <t>MCB</t>
  </si>
  <si>
    <t>JSBL</t>
  </si>
  <si>
    <t>JS Bank Limited</t>
  </si>
  <si>
    <t>SBL</t>
  </si>
  <si>
    <t>Samba Bank Limited</t>
  </si>
  <si>
    <t>SILK</t>
  </si>
  <si>
    <t>Silkbank Limited</t>
  </si>
  <si>
    <t>SILKR1</t>
  </si>
  <si>
    <t>Silkbank (R)</t>
  </si>
  <si>
    <t>SNBL</t>
  </si>
  <si>
    <t>Soneri Bank Limited</t>
  </si>
  <si>
    <t>SCBPL</t>
  </si>
  <si>
    <t>Standard Chartered Bank (Pak) Ltd</t>
  </si>
  <si>
    <t>UBL</t>
  </si>
  <si>
    <t>AICL</t>
  </si>
  <si>
    <t>INSURANCE</t>
  </si>
  <si>
    <t>IGIL</t>
  </si>
  <si>
    <t>IGI Life Insurance Limited</t>
  </si>
  <si>
    <t>ASIC</t>
  </si>
  <si>
    <t>Asia Insurance Company Limited</t>
  </si>
  <si>
    <t>AGIC</t>
  </si>
  <si>
    <t>Askari General Insurance Company Limited</t>
  </si>
  <si>
    <t>BEEM</t>
  </si>
  <si>
    <t>Beema-Pakistan Company Limited</t>
  </si>
  <si>
    <t>BIIC</t>
  </si>
  <si>
    <t>Business &amp; Industrial Insurance Company Ltd.</t>
  </si>
  <si>
    <t>CYAN</t>
  </si>
  <si>
    <t>Cyan Limited</t>
  </si>
  <si>
    <t>CENI</t>
  </si>
  <si>
    <t>Century Insurance Company Limited</t>
  </si>
  <si>
    <t>JLICL</t>
  </si>
  <si>
    <t>Jubilee Life Insurance Company Limited</t>
  </si>
  <si>
    <t>CSIL</t>
  </si>
  <si>
    <t>Crescent Star Insurance Limited</t>
  </si>
  <si>
    <t>CSILR2</t>
  </si>
  <si>
    <t>Crescent Star(R)</t>
  </si>
  <si>
    <t>EFUG</t>
  </si>
  <si>
    <t>EFU General Insurance Limited</t>
  </si>
  <si>
    <t>EFUL</t>
  </si>
  <si>
    <t>EFU Life Assurance Limited</t>
  </si>
  <si>
    <t>EWIC</t>
  </si>
  <si>
    <t>East West Insurance Company Limited</t>
  </si>
  <si>
    <t>HICL</t>
  </si>
  <si>
    <t>Habib Insurance Company Limited</t>
  </si>
  <si>
    <t>IGIIL</t>
  </si>
  <si>
    <t>IGI Insurance Limited</t>
  </si>
  <si>
    <t>EWLA</t>
  </si>
  <si>
    <t>East West Life Assurance Company Limited</t>
  </si>
  <si>
    <t>ATIL</t>
  </si>
  <si>
    <t>Atlas Insurance Limited</t>
  </si>
  <si>
    <t>JGICL</t>
  </si>
  <si>
    <t>Jubilee General Insurance Company Limited</t>
  </si>
  <si>
    <t>PIL</t>
  </si>
  <si>
    <t>PICIC Insurance Limited</t>
  </si>
  <si>
    <t>PKGI</t>
  </si>
  <si>
    <t>The Pakistan General Insurance Company Limited</t>
  </si>
  <si>
    <t>PAKRI</t>
  </si>
  <si>
    <t>PINL</t>
  </si>
  <si>
    <t>Premier Insurance Limited</t>
  </si>
  <si>
    <t>PRIC</t>
  </si>
  <si>
    <t>Progressive Insurance Company Limited</t>
  </si>
  <si>
    <t>HCL</t>
  </si>
  <si>
    <t>Hallmark Company Limited</t>
  </si>
  <si>
    <t>RICL</t>
  </si>
  <si>
    <t>Reliance Insurance Company Limited</t>
  </si>
  <si>
    <t>SHNI</t>
  </si>
  <si>
    <t>Shaheen Insurance Company Limited</t>
  </si>
  <si>
    <t>SSIC</t>
  </si>
  <si>
    <t>Silver Star Insurance Company Limited</t>
  </si>
  <si>
    <t>TPLI</t>
  </si>
  <si>
    <t>TPL Insurance Limited</t>
  </si>
  <si>
    <t>SICL</t>
  </si>
  <si>
    <t>Standard Insurance Company Limited</t>
  </si>
  <si>
    <t>UNIC</t>
  </si>
  <si>
    <t>The United Insurance Company of Pakistan Limited</t>
  </si>
  <si>
    <t>UVIC</t>
  </si>
  <si>
    <t>The Universal Insurance Company Limited</t>
  </si>
  <si>
    <t>ADTM</t>
  </si>
  <si>
    <t>Adil Textile Mills Limited</t>
  </si>
  <si>
    <t>TEXTILE SPINNING</t>
  </si>
  <si>
    <t>AZTM</t>
  </si>
  <si>
    <t>Al-Azhar Textile Mills Limited</t>
  </si>
  <si>
    <t>AATM</t>
  </si>
  <si>
    <t>Ali Asghar Textile Mills Limited</t>
  </si>
  <si>
    <t>AMTEX</t>
  </si>
  <si>
    <t>Amtex Limited</t>
  </si>
  <si>
    <t>AWTX</t>
  </si>
  <si>
    <t>Allawasaya Textile &amp; Finishing Mills Limited</t>
  </si>
  <si>
    <t>AQTM</t>
  </si>
  <si>
    <t>Al-Qaim Textile Mills Limited</t>
  </si>
  <si>
    <t>ANNT</t>
  </si>
  <si>
    <t>Annoor Textile Mills Limited</t>
  </si>
  <si>
    <t>APOT</t>
  </si>
  <si>
    <t>Apollo Textile Mills Limited</t>
  </si>
  <si>
    <t>ASTM</t>
  </si>
  <si>
    <t>Asim Textile Mills Limited</t>
  </si>
  <si>
    <t>AYTM</t>
  </si>
  <si>
    <t>Ayesha Textile Mills Limited</t>
  </si>
  <si>
    <t>AZMT</t>
  </si>
  <si>
    <t>Azmat Textile Mills Limited</t>
  </si>
  <si>
    <t>BCML</t>
  </si>
  <si>
    <t>Babri Cotton Mills Limited</t>
  </si>
  <si>
    <t>BILF</t>
  </si>
  <si>
    <t>Bilal Fibres Limited</t>
  </si>
  <si>
    <t>BROT</t>
  </si>
  <si>
    <t>Brothers Textile Mills Limited</t>
  </si>
  <si>
    <t>CWSM</t>
  </si>
  <si>
    <t>Chakwal Spinning Mills Limited</t>
  </si>
  <si>
    <t>HIRAT</t>
  </si>
  <si>
    <t>Hira Textile Mills Limited</t>
  </si>
  <si>
    <t>CFL</t>
  </si>
  <si>
    <t>Crescent Fibres Limited</t>
  </si>
  <si>
    <t>DSML</t>
  </si>
  <si>
    <t>Dar-es-Salaam Textile Mills Limited</t>
  </si>
  <si>
    <t>DATM</t>
  </si>
  <si>
    <t>Data Textiles Limited</t>
  </si>
  <si>
    <t>DFSM</t>
  </si>
  <si>
    <t>Dewan Farooque Spinning Mills Limited</t>
  </si>
  <si>
    <t>DKTM</t>
  </si>
  <si>
    <t>Dewan Khalid Textile Mills Limited</t>
  </si>
  <si>
    <t>DMTM</t>
  </si>
  <si>
    <t>Dewan Mushtaq Textile Mills Limited</t>
  </si>
  <si>
    <t>DWTM</t>
  </si>
  <si>
    <t>Dewan Textile Mills Limited</t>
  </si>
  <si>
    <t>DINT</t>
  </si>
  <si>
    <t>Din Textile Mills Limited</t>
  </si>
  <si>
    <t>DMTX</t>
  </si>
  <si>
    <t>D.M. Textile Mills Limited</t>
  </si>
  <si>
    <t>DSIL</t>
  </si>
  <si>
    <t>D.S. Industries Limited</t>
  </si>
  <si>
    <t>ELCM</t>
  </si>
  <si>
    <t>Elahi Cotton Mills Limited</t>
  </si>
  <si>
    <t>ELSM</t>
  </si>
  <si>
    <t>Ellcot Spinning Mills Limited</t>
  </si>
  <si>
    <t>FAEL</t>
  </si>
  <si>
    <t>Fatima Enterprises Limited</t>
  </si>
  <si>
    <t>FZCM</t>
  </si>
  <si>
    <t>Fazal Cloth Mills Limited</t>
  </si>
  <si>
    <t>GADT</t>
  </si>
  <si>
    <t>Gadoon Textile Mills Limited</t>
  </si>
  <si>
    <t>GLAT</t>
  </si>
  <si>
    <t>Glamour Textile Mills Limited</t>
  </si>
  <si>
    <t>GLOT</t>
  </si>
  <si>
    <t>Globe Textile Mills Limited</t>
  </si>
  <si>
    <t>GOEM</t>
  </si>
  <si>
    <t>Globe Textile Mills (OE) Limited</t>
  </si>
  <si>
    <t>GUSM</t>
  </si>
  <si>
    <t>Gulistan Spinning Mills Limited</t>
  </si>
  <si>
    <t>GUTM</t>
  </si>
  <si>
    <t>Gulistan Textile Mills Limited</t>
  </si>
  <si>
    <t>GSPM</t>
  </si>
  <si>
    <t>Gulshan Spinning Mills Limited</t>
  </si>
  <si>
    <t>HMIM</t>
  </si>
  <si>
    <t>Haji Mohammad Ismail Mills Limited</t>
  </si>
  <si>
    <t>HAJT</t>
  </si>
  <si>
    <t>Hajra Textile Mills Limited</t>
  </si>
  <si>
    <t>IDSM</t>
  </si>
  <si>
    <t>Ideal Spinning Mills Limited</t>
  </si>
  <si>
    <t>IDRT</t>
  </si>
  <si>
    <t>Idrees Textile Mills Limited</t>
  </si>
  <si>
    <t>IDYM</t>
  </si>
  <si>
    <t>Indus Dyeing &amp; Manufacturing Co. Limited</t>
  </si>
  <si>
    <t>ISHT</t>
  </si>
  <si>
    <t>Ishtiaq Textile Mills Limited</t>
  </si>
  <si>
    <t>ILTM</t>
  </si>
  <si>
    <t>Island Textile Mills Limited</t>
  </si>
  <si>
    <t>JATM</t>
  </si>
  <si>
    <t>J.A. Textile Mills Limited</t>
  </si>
  <si>
    <t>JKSM</t>
  </si>
  <si>
    <t>J.K. Spinning Mills Limited</t>
  </si>
  <si>
    <t>JDMT</t>
  </si>
  <si>
    <t>Janana De Malucho Textile Mills Limited</t>
  </si>
  <si>
    <t>KACM</t>
  </si>
  <si>
    <t>Karim Cotton Mills Limited</t>
  </si>
  <si>
    <t>KSTM</t>
  </si>
  <si>
    <t>Khalid Siraj Textile Mills Limited</t>
  </si>
  <si>
    <t>KHSM</t>
  </si>
  <si>
    <t>Khurshid Spinning Mills Limited</t>
  </si>
  <si>
    <t>KOHTM</t>
  </si>
  <si>
    <t>Kohat Textile Mills Limited</t>
  </si>
  <si>
    <t>KOSM</t>
  </si>
  <si>
    <t>Kohinoor Spinning Mills Limited</t>
  </si>
  <si>
    <t>LMSM</t>
  </si>
  <si>
    <t>Landmark Spinning Industries Limited</t>
  </si>
  <si>
    <t>MQTM</t>
  </si>
  <si>
    <t>Maqbool Textile Mills Limited</t>
  </si>
  <si>
    <t>MDTM</t>
  </si>
  <si>
    <t>Mehr Dastgir Textile Mills Limited</t>
  </si>
  <si>
    <t>MUKT</t>
  </si>
  <si>
    <t>Mukhtar Textile Mills Limited</t>
  </si>
  <si>
    <t>NPSM</t>
  </si>
  <si>
    <t>N.P. Spinning Mills Limited</t>
  </si>
  <si>
    <t>NATM</t>
  </si>
  <si>
    <t>Nadeem Textile Mills Limited</t>
  </si>
  <si>
    <t>NAGC</t>
  </si>
  <si>
    <t>Nagina Cotton Mills Limited</t>
  </si>
  <si>
    <t>NCML</t>
  </si>
  <si>
    <t>Nazir Cotton Mills Limited</t>
  </si>
  <si>
    <t>OLSM</t>
  </si>
  <si>
    <t>Olympia Spinning &amp; Weaving Mills Limited</t>
  </si>
  <si>
    <t>PCML</t>
  </si>
  <si>
    <t>Punjab Cotton Mills Limited</t>
  </si>
  <si>
    <t>TEXTILE WEAVING</t>
  </si>
  <si>
    <t>PRET</t>
  </si>
  <si>
    <t>Premium Textile Mills Limited</t>
  </si>
  <si>
    <t>RAVT</t>
  </si>
  <si>
    <t>Ravi Textile Mills Limited</t>
  </si>
  <si>
    <t>RCML</t>
  </si>
  <si>
    <t>Reliance Cotton Spinning Mills Limited</t>
  </si>
  <si>
    <t>RUBY</t>
  </si>
  <si>
    <t>Ruby Textile Mills Limited</t>
  </si>
  <si>
    <t>SAIF</t>
  </si>
  <si>
    <t>Saif Textile Mills Limited</t>
  </si>
  <si>
    <t>SJTM</t>
  </si>
  <si>
    <t>Sajjad Textile Mills Limited</t>
  </si>
  <si>
    <t>SALT</t>
  </si>
  <si>
    <t>Salfi Textile Mills Limited</t>
  </si>
  <si>
    <t>SLYT</t>
  </si>
  <si>
    <t>Sally Textile Mills Limited</t>
  </si>
  <si>
    <t>SANE</t>
  </si>
  <si>
    <t>Salman Noman Enterprises Limited</t>
  </si>
  <si>
    <t>SNAI</t>
  </si>
  <si>
    <t>Sana Industries Limited</t>
  </si>
  <si>
    <t>SRSM</t>
  </si>
  <si>
    <t>Sargodha Spinning Mills Limited</t>
  </si>
  <si>
    <t>SSML</t>
  </si>
  <si>
    <t>Saritow Spinning Mills Limited</t>
  </si>
  <si>
    <t>SERT</t>
  </si>
  <si>
    <t>Service Industries Textiles Limited</t>
  </si>
  <si>
    <t>SHDT</t>
  </si>
  <si>
    <t>Shadab Textile Mills Limited</t>
  </si>
  <si>
    <t>SHCM</t>
  </si>
  <si>
    <t>Shadman Cotton Mills Limited</t>
  </si>
  <si>
    <t>SZTM</t>
  </si>
  <si>
    <t>Shahzad Textile Mills Limited</t>
  </si>
  <si>
    <t>SUTM</t>
  </si>
  <si>
    <t>Sunrays Textile Mills Limited</t>
  </si>
  <si>
    <t>SUCM</t>
  </si>
  <si>
    <t>Sunshine Cotton Mills Limited</t>
  </si>
  <si>
    <t>UNITY</t>
  </si>
  <si>
    <t>Unity Foods Limited</t>
  </si>
  <si>
    <t>TATM</t>
  </si>
  <si>
    <t>Tata Textile Mills Limited</t>
  </si>
  <si>
    <t>ASHT</t>
  </si>
  <si>
    <t>Ashfaq Textile Mills Limited</t>
  </si>
  <si>
    <t>HKKT</t>
  </si>
  <si>
    <t>Hakkim Textile Mills Limited</t>
  </si>
  <si>
    <t>ICCT</t>
  </si>
  <si>
    <t>ICC Textiles Limited</t>
  </si>
  <si>
    <t>MOHE</t>
  </si>
  <si>
    <t>Mohib Exports Limited</t>
  </si>
  <si>
    <t>FML</t>
  </si>
  <si>
    <t>Feroze1888 Mills Limited</t>
  </si>
  <si>
    <t>PRWM</t>
  </si>
  <si>
    <t>Prosperity Weaving Mills Limited</t>
  </si>
  <si>
    <t>SDOT</t>
  </si>
  <si>
    <t>Sadoon Textile Industries Limited</t>
  </si>
  <si>
    <t>SDIL</t>
  </si>
  <si>
    <t>Saleem Denim Industries Limited</t>
  </si>
  <si>
    <t>SMTM</t>
  </si>
  <si>
    <t>Samin Textiles Limited</t>
  </si>
  <si>
    <t>SERF</t>
  </si>
  <si>
    <t>Service Fabrics Limited</t>
  </si>
  <si>
    <t>STJT</t>
  </si>
  <si>
    <t>Shahtaj Textile Limited</t>
  </si>
  <si>
    <t>YOUW</t>
  </si>
  <si>
    <t>Yousaf Weaving Mills Limited</t>
  </si>
  <si>
    <t>ZTL</t>
  </si>
  <si>
    <t>Zephyr Textiles Limited</t>
  </si>
  <si>
    <t>AHTM</t>
  </si>
  <si>
    <t>Ahmad Hassan Textile Mills Limited</t>
  </si>
  <si>
    <t>TEXTILE COMPOSITE</t>
  </si>
  <si>
    <t>ADMM</t>
  </si>
  <si>
    <t>Artistic Denim Mills Limited</t>
  </si>
  <si>
    <t>ARUJ</t>
  </si>
  <si>
    <t>Aruj Industries Limited</t>
  </si>
  <si>
    <t>BHAT</t>
  </si>
  <si>
    <t>Bhanero Textile Mills Limited</t>
  </si>
  <si>
    <t>CHBL</t>
  </si>
  <si>
    <t>Chenab Limited</t>
  </si>
  <si>
    <t>CLCPS</t>
  </si>
  <si>
    <t>Chenab Limited Preference Shares</t>
  </si>
  <si>
    <t>COST</t>
  </si>
  <si>
    <t>(Colony) Sarhad Textile Mills Limited</t>
  </si>
  <si>
    <t>COTT</t>
  </si>
  <si>
    <t>(Colony) Thal Textile Mills Limited</t>
  </si>
  <si>
    <t>CRTM</t>
  </si>
  <si>
    <t>The Crescent Textile Mills Limited</t>
  </si>
  <si>
    <t>NCL</t>
  </si>
  <si>
    <t>DLL</t>
  </si>
  <si>
    <t>Dawood Lawrencepur Limited</t>
  </si>
  <si>
    <t>REWM</t>
  </si>
  <si>
    <t>Reliance Weaving Mills Limited</t>
  </si>
  <si>
    <t>FSWL</t>
  </si>
  <si>
    <t>Fateh Sports Wear Limited</t>
  </si>
  <si>
    <t>FTHM</t>
  </si>
  <si>
    <t>Fateh Textile Mills Limited</t>
  </si>
  <si>
    <t>GFIL</t>
  </si>
  <si>
    <t>Ghazi Fabrics International Limited</t>
  </si>
  <si>
    <t>GATM</t>
  </si>
  <si>
    <t>HAFL</t>
  </si>
  <si>
    <t>Hafiz Limited</t>
  </si>
  <si>
    <t>HAEL</t>
  </si>
  <si>
    <t>Hala Enterprises Limited</t>
  </si>
  <si>
    <t>HATM</t>
  </si>
  <si>
    <t>Hamid Textile Mills Limited</t>
  </si>
  <si>
    <t>HUSI</t>
  </si>
  <si>
    <t>Husein Industries Limited</t>
  </si>
  <si>
    <t>INKL</t>
  </si>
  <si>
    <t>International Knitwear Limited</t>
  </si>
  <si>
    <t>ISTM</t>
  </si>
  <si>
    <t>Ishaq Textile Mills Limited</t>
  </si>
  <si>
    <t>JUBS</t>
  </si>
  <si>
    <t>Jubilee Spinning &amp; Weaving Mills Ltd.</t>
  </si>
  <si>
    <t>KAKL</t>
  </si>
  <si>
    <t>Kaiser Arts &amp; Krafts Limited</t>
  </si>
  <si>
    <t>KHYT</t>
  </si>
  <si>
    <t>Khyber Textile Mills Limited</t>
  </si>
  <si>
    <t>KML</t>
  </si>
  <si>
    <t>Kohinoor Mills Limited</t>
  </si>
  <si>
    <t>KOIL</t>
  </si>
  <si>
    <t>Kohinoor Industries Limited</t>
  </si>
  <si>
    <t>BTL</t>
  </si>
  <si>
    <t>Blessed Textiles Limited</t>
  </si>
  <si>
    <t>KTML</t>
  </si>
  <si>
    <t>ANL</t>
  </si>
  <si>
    <t>Azgard Nine Limited</t>
  </si>
  <si>
    <t>MEHT</t>
  </si>
  <si>
    <t>Mahmood Textile Mills Limited</t>
  </si>
  <si>
    <t>ANLPS</t>
  </si>
  <si>
    <t>Azgard Nine (Preference) 8.95%</t>
  </si>
  <si>
    <t>ANLNV</t>
  </si>
  <si>
    <t>Azgard Nine Non-Voting Ordinary Shares</t>
  </si>
  <si>
    <t>MTIL</t>
  </si>
  <si>
    <t>Mian Textile Industries Limited</t>
  </si>
  <si>
    <t>MFTM</t>
  </si>
  <si>
    <t>Mohammad Farooq Textile Mills Limited</t>
  </si>
  <si>
    <t>MUBT</t>
  </si>
  <si>
    <t>Mubarak Textile Mills Limited</t>
  </si>
  <si>
    <t>NINA</t>
  </si>
  <si>
    <t>Nina Industries Limited</t>
  </si>
  <si>
    <t>NML</t>
  </si>
  <si>
    <t>REDCO</t>
  </si>
  <si>
    <t>Redco Textiles Limited</t>
  </si>
  <si>
    <t>SFAT</t>
  </si>
  <si>
    <t>Safa Textiles Limited</t>
  </si>
  <si>
    <t>SFL</t>
  </si>
  <si>
    <t>Sapphire Fibres Limited</t>
  </si>
  <si>
    <t>SCHT</t>
  </si>
  <si>
    <t>Schon Textiles Limited</t>
  </si>
  <si>
    <t>SFLL</t>
  </si>
  <si>
    <t>SFL Limited</t>
  </si>
  <si>
    <t>STML</t>
  </si>
  <si>
    <t>Shams Textile Mills Limited</t>
  </si>
  <si>
    <t>SURC</t>
  </si>
  <si>
    <t>Suraj Cotton Mills Limited</t>
  </si>
  <si>
    <t>TAJT</t>
  </si>
  <si>
    <t>Taj Textile Mills Limited</t>
  </si>
  <si>
    <t>TOWL</t>
  </si>
  <si>
    <t>Towellers Limited</t>
  </si>
  <si>
    <t>USMT</t>
  </si>
  <si>
    <t>Usman Textile Mills Limited</t>
  </si>
  <si>
    <t>ZAHID</t>
  </si>
  <si>
    <t>Zahidjee Textile Mills Limited</t>
  </si>
  <si>
    <t>ZHCM</t>
  </si>
  <si>
    <t>Zahur Cotton Mills Limited</t>
  </si>
  <si>
    <t>FASM</t>
  </si>
  <si>
    <t>Faisal Spinning Mills Limited</t>
  </si>
  <si>
    <t>MSOT</t>
  </si>
  <si>
    <t>Masood Textile Mills Limited</t>
  </si>
  <si>
    <t>MSOTPS</t>
  </si>
  <si>
    <t>Masood Textile Preference</t>
  </si>
  <si>
    <t>PASM</t>
  </si>
  <si>
    <t>Paramount Spinning Mills Limited</t>
  </si>
  <si>
    <t>QUET</t>
  </si>
  <si>
    <t>Quetta Textile Mills Limited</t>
  </si>
  <si>
    <t>SAPT</t>
  </si>
  <si>
    <t>Sapphire Textile Mills Limited</t>
  </si>
  <si>
    <t>BNWM</t>
  </si>
  <si>
    <t>Bannu Woollen Mills Limited</t>
  </si>
  <si>
    <t>WOOLLEN</t>
  </si>
  <si>
    <t>MOON</t>
  </si>
  <si>
    <t>Moonlite (Pak) Limited</t>
  </si>
  <si>
    <t>AGL</t>
  </si>
  <si>
    <t>Agritech Limited</t>
  </si>
  <si>
    <t>CHEMICAL</t>
  </si>
  <si>
    <t>AGLNCPS</t>
  </si>
  <si>
    <t>Agritech Non-Voting Pref Class 'A"</t>
  </si>
  <si>
    <t>AASM</t>
  </si>
  <si>
    <t>Al-Abid Silk Mills Limited</t>
  </si>
  <si>
    <t>SYNTHETIC &amp; RAYON</t>
  </si>
  <si>
    <t>DSFL</t>
  </si>
  <si>
    <t>Dewan Salman Fibre Limited</t>
  </si>
  <si>
    <t>GATI</t>
  </si>
  <si>
    <t>Gatron (Industries) Limited</t>
  </si>
  <si>
    <t>IBFL</t>
  </si>
  <si>
    <t>Ibrahim Fibres Limited</t>
  </si>
  <si>
    <t>NAFL</t>
  </si>
  <si>
    <t>National Fibres Limited</t>
  </si>
  <si>
    <t>NSRM</t>
  </si>
  <si>
    <t>The National Silk &amp; Rayon Mills Limited</t>
  </si>
  <si>
    <t>NORS</t>
  </si>
  <si>
    <t>Noor Silk Mills Limited</t>
  </si>
  <si>
    <t>PSYL</t>
  </si>
  <si>
    <t>Pakistan Synthetics Limited</t>
  </si>
  <si>
    <t>RUPL</t>
  </si>
  <si>
    <t>Rupali Polyester Limited</t>
  </si>
  <si>
    <t>SGABL</t>
  </si>
  <si>
    <t>SG.Allied Businsses Limited</t>
  </si>
  <si>
    <t>TRPOL</t>
  </si>
  <si>
    <t>Tri-Star Polyester Limited</t>
  </si>
  <si>
    <t>CJPL</t>
  </si>
  <si>
    <t>Crescent Jute Products Limited</t>
  </si>
  <si>
    <t>JUTE</t>
  </si>
  <si>
    <t>SUHJ</t>
  </si>
  <si>
    <t>Suhail Jute Mills Limited</t>
  </si>
  <si>
    <t>THALL</t>
  </si>
  <si>
    <t>Thal Limited</t>
  </si>
  <si>
    <t>AUTOMOBILE PARTS &amp; ACCESSORIES</t>
  </si>
  <si>
    <t>ADAMS</t>
  </si>
  <si>
    <t>Adam Sugar Mills Limited</t>
  </si>
  <si>
    <t>SUGAR &amp; ALLIED INDUSTRIES</t>
  </si>
  <si>
    <t>AABS</t>
  </si>
  <si>
    <t>Al-Abbas Sugar Mills Limited</t>
  </si>
  <si>
    <t>AGSML</t>
  </si>
  <si>
    <t>Abdullah Shah Ghazi Sugar Mills Limited</t>
  </si>
  <si>
    <t>ALNRS</t>
  </si>
  <si>
    <t>Al-Noor Sugar Mills Limited</t>
  </si>
  <si>
    <t>ANSM</t>
  </si>
  <si>
    <t>Ansari Sugar Mills Limited</t>
  </si>
  <si>
    <t>BAFS</t>
  </si>
  <si>
    <t>Baba Farid Sugar Mills Limited</t>
  </si>
  <si>
    <t>SLSO</t>
  </si>
  <si>
    <t>Saleem Sugar Mills Limited</t>
  </si>
  <si>
    <t>SLSOPVI</t>
  </si>
  <si>
    <t>Saleem Sugar Mills Ltd. (P) 6%</t>
  </si>
  <si>
    <t>SLSOPP</t>
  </si>
  <si>
    <t>Saleem Suger Mills Limited (Pp)</t>
  </si>
  <si>
    <t>CHAS</t>
  </si>
  <si>
    <t>Chashma Sugar Mills Limited</t>
  </si>
  <si>
    <t>IMSL</t>
  </si>
  <si>
    <t>Imperial Sugar Limited</t>
  </si>
  <si>
    <t>CCM</t>
  </si>
  <si>
    <t>Crescent Cotton Mills Limited</t>
  </si>
  <si>
    <t>DWSM</t>
  </si>
  <si>
    <t>Dewan Sugar Mills Limited</t>
  </si>
  <si>
    <t>EFOODS</t>
  </si>
  <si>
    <t>Engro Foods Limited</t>
  </si>
  <si>
    <t>FOOD &amp; PERSONAL CARE PRODUCTS</t>
  </si>
  <si>
    <t>FRSM</t>
  </si>
  <si>
    <t>Faran Sugar Mills Limited</t>
  </si>
  <si>
    <t>HABSM</t>
  </si>
  <si>
    <t>Habib Sugar Mills Limited</t>
  </si>
  <si>
    <t>HAL</t>
  </si>
  <si>
    <t>Habib-ADM Limited</t>
  </si>
  <si>
    <t>HWQS</t>
  </si>
  <si>
    <t>Haseeb Waqas Sugar Mills Limited</t>
  </si>
  <si>
    <t>HSM</t>
  </si>
  <si>
    <t>Husein Sugar Mills Limited</t>
  </si>
  <si>
    <t>JDWS</t>
  </si>
  <si>
    <t>JDW Sugar Mills Limited</t>
  </si>
  <si>
    <t>KPUS</t>
  </si>
  <si>
    <t>Khairpur Sugar Mills Limited</t>
  </si>
  <si>
    <t>JSML</t>
  </si>
  <si>
    <t>Jauharabad Sugar Mills Limited</t>
  </si>
  <si>
    <t>MRNS</t>
  </si>
  <si>
    <t>Mehran Sugar Mills Limited</t>
  </si>
  <si>
    <t>MIRKS</t>
  </si>
  <si>
    <t>Mirpurkhas Sugar Mills Limited</t>
  </si>
  <si>
    <t>MZSM</t>
  </si>
  <si>
    <t>Mirza Sugar Mills Limited</t>
  </si>
  <si>
    <t>NONS</t>
  </si>
  <si>
    <t>Noon Sugar Mills Limited</t>
  </si>
  <si>
    <t>PNGRS</t>
  </si>
  <si>
    <t>Pangrio Sugar Mills Limited</t>
  </si>
  <si>
    <t>PMRS</t>
  </si>
  <si>
    <t>The Premier Sugar Mills &amp; Distillery Company Limited</t>
  </si>
  <si>
    <t>SKRS</t>
  </si>
  <si>
    <t>Sakrand Sugar Mills Limited</t>
  </si>
  <si>
    <t>SANSM</t>
  </si>
  <si>
    <t>Sanghar Sugar Mills Limited</t>
  </si>
  <si>
    <t>SHJS</t>
  </si>
  <si>
    <t>Shahtaj Sugar Mills Limited</t>
  </si>
  <si>
    <t>SHSML</t>
  </si>
  <si>
    <t>Shahmurad Sugar Mills Limited</t>
  </si>
  <si>
    <t>SML</t>
  </si>
  <si>
    <t>Shakarganj Limited</t>
  </si>
  <si>
    <t>SASML</t>
  </si>
  <si>
    <t>Sindh Abadgar's Sugar Mills Limited</t>
  </si>
  <si>
    <t>TSML</t>
  </si>
  <si>
    <t>Tandlianwala Sugar Mills Limited</t>
  </si>
  <si>
    <t>TICL</t>
  </si>
  <si>
    <t>The Thal Industries Corporation Limited</t>
  </si>
  <si>
    <t>ACPL</t>
  </si>
  <si>
    <t>CEMENT</t>
  </si>
  <si>
    <t>BWCL</t>
  </si>
  <si>
    <t>Bestway Cement Limited</t>
  </si>
  <si>
    <t>CHCC</t>
  </si>
  <si>
    <t>DBCI</t>
  </si>
  <si>
    <t>Dadabhoy Cement Industries Limited</t>
  </si>
  <si>
    <t>DNCC</t>
  </si>
  <si>
    <t>Dandot Cement Company Limited</t>
  </si>
  <si>
    <t>DGKC</t>
  </si>
  <si>
    <t>AKZO</t>
  </si>
  <si>
    <t>Akzo Nobel Pakistan Limited</t>
  </si>
  <si>
    <t>POWER</t>
  </si>
  <si>
    <t>Power Cement Limited</t>
  </si>
  <si>
    <t>FCCL</t>
  </si>
  <si>
    <t>FECTC</t>
  </si>
  <si>
    <t>Fecto Cement Limited</t>
  </si>
  <si>
    <t>FLYNG</t>
  </si>
  <si>
    <t>Flying Cement Company Limited</t>
  </si>
  <si>
    <t>GWLC</t>
  </si>
  <si>
    <t>Gharibwal Cement Limited</t>
  </si>
  <si>
    <t>JVDC</t>
  </si>
  <si>
    <t>Javedan Corporation Limited</t>
  </si>
  <si>
    <t>JVDCPS</t>
  </si>
  <si>
    <t>Javedan Corporation Preference</t>
  </si>
  <si>
    <t>KOHC</t>
  </si>
  <si>
    <t>LUCK</t>
  </si>
  <si>
    <t>MLCF</t>
  </si>
  <si>
    <t>DCL</t>
  </si>
  <si>
    <t>Dewan Cement Limited</t>
  </si>
  <si>
    <t>PIOC</t>
  </si>
  <si>
    <t>SMCPL</t>
  </si>
  <si>
    <t>Safe Mix Concrete Limited (Formerly Safe Mix Concrete Products Ltd.)</t>
  </si>
  <si>
    <t>THCCL</t>
  </si>
  <si>
    <t>ZELP</t>
  </si>
  <si>
    <t>Zeal Pak Cement Factory Limited</t>
  </si>
  <si>
    <t>KHTC</t>
  </si>
  <si>
    <t>Khyber Tobacco Company Limited</t>
  </si>
  <si>
    <t>TOBACCO</t>
  </si>
  <si>
    <t>PMPK</t>
  </si>
  <si>
    <t>Philip Morris (Pakistan) Limited</t>
  </si>
  <si>
    <t>PAKT</t>
  </si>
  <si>
    <t>Pakistan Tobacco Company Limited</t>
  </si>
  <si>
    <t>ATRL</t>
  </si>
  <si>
    <t>REFINERY</t>
  </si>
  <si>
    <t>BYCO</t>
  </si>
  <si>
    <t>Byco Petroleum Pakistan Limited</t>
  </si>
  <si>
    <t>NRL</t>
  </si>
  <si>
    <t>PRL</t>
  </si>
  <si>
    <t>Pakistan Refinery Limited</t>
  </si>
  <si>
    <t>ALTN</t>
  </si>
  <si>
    <t>POWER GENERATION &amp; DISTRIBUTION</t>
  </si>
  <si>
    <t>EPQL</t>
  </si>
  <si>
    <t>Engro Powergen Qadirpur Limited</t>
  </si>
  <si>
    <t>GENP</t>
  </si>
  <si>
    <t>Genertech Pakistan Limited</t>
  </si>
  <si>
    <t>AEL</t>
  </si>
  <si>
    <t>Arshad Energy Limited</t>
  </si>
  <si>
    <t>JPGL</t>
  </si>
  <si>
    <t>Japan Power Generation Limited</t>
  </si>
  <si>
    <t>HUBC</t>
  </si>
  <si>
    <t>KEL</t>
  </si>
  <si>
    <t>KOHE</t>
  </si>
  <si>
    <t>Kohinoor Energy Limited</t>
  </si>
  <si>
    <t>KOHP</t>
  </si>
  <si>
    <t>Kohinoor Power Company Limited</t>
  </si>
  <si>
    <t>LPL</t>
  </si>
  <si>
    <t>KAPCO</t>
  </si>
  <si>
    <t>NCPL</t>
  </si>
  <si>
    <t>Nishat Chunian Power Limited</t>
  </si>
  <si>
    <t>NPL</t>
  </si>
  <si>
    <t>PKGP</t>
  </si>
  <si>
    <t>SPWL</t>
  </si>
  <si>
    <t>Saif Power Limited</t>
  </si>
  <si>
    <t>SGPL</t>
  </si>
  <si>
    <t>S.G. Power Limited</t>
  </si>
  <si>
    <t>SEL</t>
  </si>
  <si>
    <t>Sitara Energy Limited</t>
  </si>
  <si>
    <t>SEPCO</t>
  </si>
  <si>
    <t>Southern Electric Power Company Limited</t>
  </si>
  <si>
    <t>TSPL</t>
  </si>
  <si>
    <t>Tri-Star Power Limited</t>
  </si>
  <si>
    <t>APL</t>
  </si>
  <si>
    <t>OIL &amp; GAS MARKETING COMPANIES</t>
  </si>
  <si>
    <t>PSO</t>
  </si>
  <si>
    <t>BPL</t>
  </si>
  <si>
    <t>Burshane LPG (Pakistan) Limited</t>
  </si>
  <si>
    <t>SHEL</t>
  </si>
  <si>
    <t>SSGC</t>
  </si>
  <si>
    <t>SNGP</t>
  </si>
  <si>
    <t>HASCOL</t>
  </si>
  <si>
    <t>HTL</t>
  </si>
  <si>
    <t>MARI</t>
  </si>
  <si>
    <t>OIL &amp; GAS EXPLORATION COMPANIES</t>
  </si>
  <si>
    <t>OGDC</t>
  </si>
  <si>
    <t>POL</t>
  </si>
  <si>
    <t>PPL</t>
  </si>
  <si>
    <t>ADOS</t>
  </si>
  <si>
    <t>Ados Pakistan Limited</t>
  </si>
  <si>
    <t>ASL</t>
  </si>
  <si>
    <t>Aisha Steel Mills Limited</t>
  </si>
  <si>
    <t>ASLPS</t>
  </si>
  <si>
    <t>Aisha Steel Convertible Pref Shares</t>
  </si>
  <si>
    <t>ASLCPS</t>
  </si>
  <si>
    <t>Aisha Steel Convt Pref Right</t>
  </si>
  <si>
    <t>ASTL</t>
  </si>
  <si>
    <t>Amreli Steels Limited</t>
  </si>
  <si>
    <t>BCL</t>
  </si>
  <si>
    <t>Bolan Castings Limited</t>
  </si>
  <si>
    <t>DADX</t>
  </si>
  <si>
    <t>Dadex Eternit Limited</t>
  </si>
  <si>
    <t>DSL</t>
  </si>
  <si>
    <t>Dost Steels Limited</t>
  </si>
  <si>
    <t>CSAP</t>
  </si>
  <si>
    <t>DKL</t>
  </si>
  <si>
    <t>Drekkar Kingsway Limited</t>
  </si>
  <si>
    <t>HSPI</t>
  </si>
  <si>
    <t>Huffaz Seamless Pipe Industries Limited</t>
  </si>
  <si>
    <t>INIL</t>
  </si>
  <si>
    <t>ISL</t>
  </si>
  <si>
    <t>ITTEFAQ</t>
  </si>
  <si>
    <t>KSBP</t>
  </si>
  <si>
    <t>KSB Pumps Company Limited</t>
  </si>
  <si>
    <t>MUGHAL</t>
  </si>
  <si>
    <t>Mughal Iron &amp; Steel Industries Limited</t>
  </si>
  <si>
    <t>MSCL</t>
  </si>
  <si>
    <t>Metropolitan Steel Corporation Limited</t>
  </si>
  <si>
    <t>PECO</t>
  </si>
  <si>
    <t>Pakistan Engineering Company Limited</t>
  </si>
  <si>
    <t>QUSW</t>
  </si>
  <si>
    <t>Quality Steel Works Limited</t>
  </si>
  <si>
    <t>AGTL</t>
  </si>
  <si>
    <t>Al-Ghazi Tractors Limited</t>
  </si>
  <si>
    <t>ATLH</t>
  </si>
  <si>
    <t>Atlas Honda Limited</t>
  </si>
  <si>
    <t>DFML</t>
  </si>
  <si>
    <t>Dewan Farooque Motors Limited</t>
  </si>
  <si>
    <t>GAIL</t>
  </si>
  <si>
    <t>Ghani Automobile Industries Limited</t>
  </si>
  <si>
    <t>GHNI</t>
  </si>
  <si>
    <t>Ghandhara Industries Limited</t>
  </si>
  <si>
    <t>GHNL</t>
  </si>
  <si>
    <t>HINO</t>
  </si>
  <si>
    <t>Hinopak Motors Limited</t>
  </si>
  <si>
    <t>HCAR</t>
  </si>
  <si>
    <t>INDU</t>
  </si>
  <si>
    <t>MTL</t>
  </si>
  <si>
    <t>Millat Tractors Limited</t>
  </si>
  <si>
    <t>PSMC</t>
  </si>
  <si>
    <t>SAZEW</t>
  </si>
  <si>
    <t>AGIL</t>
  </si>
  <si>
    <t>Agriauto Industries Limited</t>
  </si>
  <si>
    <t>DWAE</t>
  </si>
  <si>
    <t>Dewan Automotive Engineering Limited</t>
  </si>
  <si>
    <t>ATBA</t>
  </si>
  <si>
    <t>Atlas Battery Limited</t>
  </si>
  <si>
    <t>BWHL</t>
  </si>
  <si>
    <t>BELA</t>
  </si>
  <si>
    <t>Bela Automotives Limited</t>
  </si>
  <si>
    <t>EXIDE</t>
  </si>
  <si>
    <t>Exide Pakistan Limited</t>
  </si>
  <si>
    <t>GTYR</t>
  </si>
  <si>
    <t>The General Tyre &amp; Rubber Company of Pakistan Limited</t>
  </si>
  <si>
    <t>LOADS</t>
  </si>
  <si>
    <t>Loads Limited</t>
  </si>
  <si>
    <t>TREI</t>
  </si>
  <si>
    <t>Transmission Engineering Industries Limited</t>
  </si>
  <si>
    <t>CECL</t>
  </si>
  <si>
    <t>The Climax Engineering Company Limited</t>
  </si>
  <si>
    <t>CABLE &amp; ELECTRICAL GOODS</t>
  </si>
  <si>
    <t>JOPP</t>
  </si>
  <si>
    <t>Johnson &amp; Phillips (Pakistan) Limited</t>
  </si>
  <si>
    <t>PCAL</t>
  </si>
  <si>
    <t>Pakistan Cables Limited</t>
  </si>
  <si>
    <t>PAEL</t>
  </si>
  <si>
    <t>PELPS</t>
  </si>
  <si>
    <t>Pak Elektron Preference</t>
  </si>
  <si>
    <t>TPL</t>
  </si>
  <si>
    <t>TPL Corp Limited</t>
  </si>
  <si>
    <t>AVN</t>
  </si>
  <si>
    <t>TECHNOLOGY &amp; COMMUNICATION</t>
  </si>
  <si>
    <t>SING</t>
  </si>
  <si>
    <t>Singer Pakistan Limited</t>
  </si>
  <si>
    <t>SIEM</t>
  </si>
  <si>
    <t>Siemens (Pakistan) Engineering Company Ltd.</t>
  </si>
  <si>
    <t>SPEL</t>
  </si>
  <si>
    <t>Synthetic Products Enterprises Limited</t>
  </si>
  <si>
    <t>MISCELLANEOUS</t>
  </si>
  <si>
    <t>PNSC</t>
  </si>
  <si>
    <t>Pakistan National Shipping Corporation Limited</t>
  </si>
  <si>
    <t>TRANSPORT</t>
  </si>
  <si>
    <t>PIBTL</t>
  </si>
  <si>
    <t>Pakistan International Bulk Terminal Limited</t>
  </si>
  <si>
    <t>PICT</t>
  </si>
  <si>
    <t>Pakistan International Container Terminal Limited</t>
  </si>
  <si>
    <t>PIAA</t>
  </si>
  <si>
    <t>Pakistan International Airlines Corporation Limited</t>
  </si>
  <si>
    <t>PIAB</t>
  </si>
  <si>
    <t>HUMNL</t>
  </si>
  <si>
    <t>NETSOL</t>
  </si>
  <si>
    <t>NetSol Technologies Limited</t>
  </si>
  <si>
    <t>PAKD</t>
  </si>
  <si>
    <t>Pak Datacom Limited</t>
  </si>
  <si>
    <t>MDTL</t>
  </si>
  <si>
    <t>Media Times Limited</t>
  </si>
  <si>
    <t>SYS</t>
  </si>
  <si>
    <t>PTC</t>
  </si>
  <si>
    <t>Pakistan Telecommunication Company Ltd</t>
  </si>
  <si>
    <t>TRG</t>
  </si>
  <si>
    <t>TRG Pakistan Limited</t>
  </si>
  <si>
    <t>TELE</t>
  </si>
  <si>
    <t>Telecard Limited</t>
  </si>
  <si>
    <t>WTL</t>
  </si>
  <si>
    <t>Worldcall Telecom Limited</t>
  </si>
  <si>
    <t>DAWH</t>
  </si>
  <si>
    <t>ENGRO</t>
  </si>
  <si>
    <t>EFERT</t>
  </si>
  <si>
    <t>FFBL</t>
  </si>
  <si>
    <t>Fauji Fertilizer Bin Qasim Limited</t>
  </si>
  <si>
    <t>FFC</t>
  </si>
  <si>
    <t>ABOT</t>
  </si>
  <si>
    <t>Abbott Laboratories (Pakistan) Limited</t>
  </si>
  <si>
    <t>PHARMACEUTICALS</t>
  </si>
  <si>
    <t>FEROZ</t>
  </si>
  <si>
    <t>GLAXO</t>
  </si>
  <si>
    <t>GlaxoSmithKline Pakistan Limited</t>
  </si>
  <si>
    <t>GSKCH</t>
  </si>
  <si>
    <t>GlaxoSmithKline Consumer Healthcare Pakistan Limited</t>
  </si>
  <si>
    <t>HINOON</t>
  </si>
  <si>
    <t>Highnoon Laboratories Limited</t>
  </si>
  <si>
    <t>SAPL</t>
  </si>
  <si>
    <t>Sanofi-Aventis Pakistan Limited</t>
  </si>
  <si>
    <t>OTSU</t>
  </si>
  <si>
    <t>Otsuka Pakistan Limited</t>
  </si>
  <si>
    <t>SEARL</t>
  </si>
  <si>
    <t>WYETH</t>
  </si>
  <si>
    <t>Wyeth Pakistan Limited</t>
  </si>
  <si>
    <t>BAPL</t>
  </si>
  <si>
    <t>Bawany Air Products Limited</t>
  </si>
  <si>
    <t>BIFO</t>
  </si>
  <si>
    <t>Biafo Industries Limited</t>
  </si>
  <si>
    <t>BERG</t>
  </si>
  <si>
    <t>Berger Paints Pakistan Limited</t>
  </si>
  <si>
    <t>BUXL</t>
  </si>
  <si>
    <t>Buxly Paints Limited</t>
  </si>
  <si>
    <t>ARPL</t>
  </si>
  <si>
    <t>COLG</t>
  </si>
  <si>
    <t>Colgate-Palmolive (Pakistan) Limited</t>
  </si>
  <si>
    <t>CTM</t>
  </si>
  <si>
    <t>Colony Textile Mills Limited</t>
  </si>
  <si>
    <t>DOL</t>
  </si>
  <si>
    <t>Descon Oxychem Limited</t>
  </si>
  <si>
    <t>DOLCPS</t>
  </si>
  <si>
    <t>Descon Oxychem Limited (12%Non-Voting Preference Shares)</t>
  </si>
  <si>
    <t>DAAG</t>
  </si>
  <si>
    <t>Data Agro Limited</t>
  </si>
  <si>
    <t>DYNO</t>
  </si>
  <si>
    <t>Dynea Pakistan Limited</t>
  </si>
  <si>
    <t>EPCL</t>
  </si>
  <si>
    <t>Engro Polymer &amp; Chemicals Limited</t>
  </si>
  <si>
    <t>FATIMA</t>
  </si>
  <si>
    <t>GGL</t>
  </si>
  <si>
    <t>Ghani Gases Limited</t>
  </si>
  <si>
    <t>ICI</t>
  </si>
  <si>
    <t>ICI Pakistan Limited</t>
  </si>
  <si>
    <t>ICL</t>
  </si>
  <si>
    <t>Ittehad Chemicals Limted</t>
  </si>
  <si>
    <t>LPGL</t>
  </si>
  <si>
    <t>Leiner Pak Gelatine Limited</t>
  </si>
  <si>
    <t>PGCL</t>
  </si>
  <si>
    <t>Pakistan Gum &amp; Chemicals Limited</t>
  </si>
  <si>
    <t>LOTCHEM</t>
  </si>
  <si>
    <t>Lotte Chemical Pakistan Limited</t>
  </si>
  <si>
    <t>PPVC</t>
  </si>
  <si>
    <t>Pakistan PVC Limited</t>
  </si>
  <si>
    <t>NICL</t>
  </si>
  <si>
    <t>Nimir Industrial Chemicals Limited</t>
  </si>
  <si>
    <t>LINDE</t>
  </si>
  <si>
    <t>Linde Pakistan Limited</t>
  </si>
  <si>
    <t>NRSL</t>
  </si>
  <si>
    <t>Nimir Resins Limited</t>
  </si>
  <si>
    <t>SARC</t>
  </si>
  <si>
    <t>Sardar Chemical Industries Limited</t>
  </si>
  <si>
    <t>SHCI</t>
  </si>
  <si>
    <t>Shaffi Chemical Industries Limited</t>
  </si>
  <si>
    <t>SITC</t>
  </si>
  <si>
    <t>Sitara Chemical Industries Limited</t>
  </si>
  <si>
    <t>SPL</t>
  </si>
  <si>
    <t>Sitara Peroxide Limited</t>
  </si>
  <si>
    <t>WAHN</t>
  </si>
  <si>
    <t>Wah Noble Chemicals Limited</t>
  </si>
  <si>
    <t>ABSON</t>
  </si>
  <si>
    <t>Abson Industries Limited</t>
  </si>
  <si>
    <t>PAPER &amp; BOARD</t>
  </si>
  <si>
    <t>BPBL</t>
  </si>
  <si>
    <t>Balochistan Particle Board Limited</t>
  </si>
  <si>
    <t>CEPB</t>
  </si>
  <si>
    <t>Century Paper &amp; Board Mills Limited</t>
  </si>
  <si>
    <t>CPPL</t>
  </si>
  <si>
    <t>DBSL</t>
  </si>
  <si>
    <t>Dadabhoy Sack Limited</t>
  </si>
  <si>
    <t>MERIT</t>
  </si>
  <si>
    <t>Merit Packaging Limited</t>
  </si>
  <si>
    <t>PKGS</t>
  </si>
  <si>
    <t>Packages Limited</t>
  </si>
  <si>
    <t>PPP</t>
  </si>
  <si>
    <t>Pakistan Paper Products Limited</t>
  </si>
  <si>
    <t>RPL</t>
  </si>
  <si>
    <t>Roshan Packages Limited</t>
  </si>
  <si>
    <t>SEPL</t>
  </si>
  <si>
    <t>Security Papers Limited</t>
  </si>
  <si>
    <t>EXTR</t>
  </si>
  <si>
    <t>Extraction (Pakistan) Limited</t>
  </si>
  <si>
    <t>VANASPATI &amp; ALLIED INDUSTRIES</t>
  </si>
  <si>
    <t>MOIL</t>
  </si>
  <si>
    <t>Morafco Industries Limited</t>
  </si>
  <si>
    <t>POML</t>
  </si>
  <si>
    <t>Punjab Oil Mills Limited</t>
  </si>
  <si>
    <t>SSOM</t>
  </si>
  <si>
    <t>S.S.Oil Mills Limited</t>
  </si>
  <si>
    <t>SURAJ</t>
  </si>
  <si>
    <t>Suraj Ghee Industries Limited</t>
  </si>
  <si>
    <t>BATA</t>
  </si>
  <si>
    <t>Bata Pakistan Limited</t>
  </si>
  <si>
    <t>LEATHER &amp; TANNERIES</t>
  </si>
  <si>
    <t>FIL</t>
  </si>
  <si>
    <t>Fateh Industries Limited</t>
  </si>
  <si>
    <t>LEUL</t>
  </si>
  <si>
    <t>Leather Up Limited</t>
  </si>
  <si>
    <t>PAKL</t>
  </si>
  <si>
    <t>Pak Leather Crafts Limited</t>
  </si>
  <si>
    <t>SRVI</t>
  </si>
  <si>
    <t>ASC</t>
  </si>
  <si>
    <t>CLOV</t>
  </si>
  <si>
    <t>Clover Pakistan Limited</t>
  </si>
  <si>
    <t>GLPL</t>
  </si>
  <si>
    <t>Gillette Pakistan Limited</t>
  </si>
  <si>
    <t>GIL</t>
  </si>
  <si>
    <t>Good Luck Industries Ltd.</t>
  </si>
  <si>
    <t>IBLHL</t>
  </si>
  <si>
    <t>IBL HealthCare Limited</t>
  </si>
  <si>
    <t>MACTER</t>
  </si>
  <si>
    <t>Macter International Limited</t>
  </si>
  <si>
    <t>ISIL</t>
  </si>
  <si>
    <t>Ismail Industries Limited</t>
  </si>
  <si>
    <t>NESTLE</t>
  </si>
  <si>
    <t>Nestle Pakistan Limited</t>
  </si>
  <si>
    <t>MFFL</t>
  </si>
  <si>
    <t>Mitchell's Fruit Farms Limited</t>
  </si>
  <si>
    <t>MUREB</t>
  </si>
  <si>
    <t>Murree Brewery Company Limited</t>
  </si>
  <si>
    <t>NATF</t>
  </si>
  <si>
    <t>National Foods Limited</t>
  </si>
  <si>
    <t>FFL</t>
  </si>
  <si>
    <t>Fauji Foods Limited</t>
  </si>
  <si>
    <t>FFLNV</t>
  </si>
  <si>
    <t>Fauji Foods Non Voting</t>
  </si>
  <si>
    <t>QUICE</t>
  </si>
  <si>
    <t>Quice Food Industries Limited</t>
  </si>
  <si>
    <t>UPFL</t>
  </si>
  <si>
    <t>Unilever Pakistan Foods Limited</t>
  </si>
  <si>
    <t>RMPL</t>
  </si>
  <si>
    <t>Rafhan Maize Products Company Limited</t>
  </si>
  <si>
    <t>NMFL</t>
  </si>
  <si>
    <t>Nirala MSR Foods Limited</t>
  </si>
  <si>
    <t>SHEZ</t>
  </si>
  <si>
    <t>SCL</t>
  </si>
  <si>
    <t>Shield Corporation Limited</t>
  </si>
  <si>
    <t>TREET</t>
  </si>
  <si>
    <t>Treet Corporation Limited</t>
  </si>
  <si>
    <t>TCLTC</t>
  </si>
  <si>
    <t>Treet Corporation (Ptc)</t>
  </si>
  <si>
    <t>ZIL</t>
  </si>
  <si>
    <t>ZIL Limited</t>
  </si>
  <si>
    <t>BGL</t>
  </si>
  <si>
    <t>Balochistan Glass Limited</t>
  </si>
  <si>
    <t>GLASS &amp; CERAMICS</t>
  </si>
  <si>
    <t>EMCO</t>
  </si>
  <si>
    <t>Emco Industries Limited</t>
  </si>
  <si>
    <t>FRCL</t>
  </si>
  <si>
    <t>Frontier Ceramics Limited</t>
  </si>
  <si>
    <t>GHGL</t>
  </si>
  <si>
    <t>Ghani Glass Limited</t>
  </si>
  <si>
    <t>GGGL</t>
  </si>
  <si>
    <t>Ghani Global Glass Limited</t>
  </si>
  <si>
    <t>GVGL</t>
  </si>
  <si>
    <t>Ghani Value Glass Limited</t>
  </si>
  <si>
    <t>KCL</t>
  </si>
  <si>
    <t>Karam Ceramics Limited</t>
  </si>
  <si>
    <t>TGL</t>
  </si>
  <si>
    <t>Tariq Glass Industries Limited</t>
  </si>
  <si>
    <t>REGAL</t>
  </si>
  <si>
    <t>Regal Ceramics Limited</t>
  </si>
  <si>
    <t>STCL</t>
  </si>
  <si>
    <t>Shabbir Tiles &amp; Ceramics Limited</t>
  </si>
  <si>
    <t>GAMON</t>
  </si>
  <si>
    <t>Gammon Pakistan Limited</t>
  </si>
  <si>
    <t>AKGL</t>
  </si>
  <si>
    <t>Al-Khair Gadoon Limited</t>
  </si>
  <si>
    <t>HADC</t>
  </si>
  <si>
    <t>Haydari Construction Company Limited</t>
  </si>
  <si>
    <t>ARPAK</t>
  </si>
  <si>
    <t>Arpak International Investments Ltd.</t>
  </si>
  <si>
    <t>MACFL</t>
  </si>
  <si>
    <t>MACPAC Films Limited</t>
  </si>
  <si>
    <t>DIIL</t>
  </si>
  <si>
    <t>Diamond Industries Limited</t>
  </si>
  <si>
    <t>ECOP</t>
  </si>
  <si>
    <t>DCTL</t>
  </si>
  <si>
    <t>Dadabhoy Construction Technology Limited</t>
  </si>
  <si>
    <t>GOC</t>
  </si>
  <si>
    <t>GOC (Pak) Limited.</t>
  </si>
  <si>
    <t>HACC</t>
  </si>
  <si>
    <t>Hashimi Can Company Limited</t>
  </si>
  <si>
    <t>MWMP</t>
  </si>
  <si>
    <t>Mandviwala Mauser Plastic Industries Limited</t>
  </si>
  <si>
    <t>PACE</t>
  </si>
  <si>
    <t>Pace (Pakistan) Limited</t>
  </si>
  <si>
    <t>PHDL</t>
  </si>
  <si>
    <t>Pakistan Hotels Developers Limited</t>
  </si>
  <si>
    <t>PSEL</t>
  </si>
  <si>
    <t>Pakistan Services Limited</t>
  </si>
  <si>
    <t>AKDCL</t>
  </si>
  <si>
    <t>AKD Capital Limited</t>
  </si>
  <si>
    <t>SHFA</t>
  </si>
  <si>
    <t>Shifa International Hospitals Limited</t>
  </si>
  <si>
    <t>STPL</t>
  </si>
  <si>
    <t>Siddiqsons Tin Plate Limited</t>
  </si>
  <si>
    <t>TPLPL</t>
  </si>
  <si>
    <t>TPL Properties Limited</t>
  </si>
  <si>
    <t>TRIPF</t>
  </si>
  <si>
    <t>Tri-Pack Films Limited</t>
  </si>
  <si>
    <t>UBDL</t>
  </si>
  <si>
    <t>United Brands Limited</t>
  </si>
  <si>
    <t>UDPL</t>
  </si>
  <si>
    <t>United Distributors Pakistan Limited</t>
  </si>
  <si>
    <t>MCB-CMAR</t>
  </si>
  <si>
    <t>FUTURE CONTRACTS</t>
  </si>
  <si>
    <t>MCB-CMAY</t>
  </si>
  <si>
    <t>MCB-CAPR</t>
  </si>
  <si>
    <t>NCL-OCTB</t>
  </si>
  <si>
    <t>Nishat (Chunian) Limited.</t>
  </si>
  <si>
    <t>AWWAL</t>
  </si>
  <si>
    <t>Awwal Modaraba</t>
  </si>
  <si>
    <t>DCR</t>
  </si>
  <si>
    <t>Dolmen City REIT</t>
  </si>
  <si>
    <t>REAL ESTATE INVESTMENT TRUST</t>
  </si>
  <si>
    <t>K-Electric Limited (Par Value: Rs 3.5)</t>
  </si>
  <si>
    <t>Hum Network Limited (Par Value: Re 1)</t>
  </si>
  <si>
    <t>-Relating to capital gains</t>
  </si>
  <si>
    <t>-Excluding capital gains</t>
  </si>
  <si>
    <t>Issue of 38,728,225 (2016: 42,550,240) units and 15,804,371</t>
  </si>
  <si>
    <t>Distributions during the period</t>
  </si>
  <si>
    <t xml:space="preserve">Net assets as at the end of the period </t>
  </si>
  <si>
    <t>Net Assets value per unit as at beginning of the period</t>
  </si>
  <si>
    <t>Net Assets value per unit as at end of the period</t>
  </si>
  <si>
    <t>Undistributed income brought forward comprises of:</t>
  </si>
  <si>
    <t>- Realised Gain</t>
  </si>
  <si>
    <t>- Unrealised Gain</t>
  </si>
  <si>
    <t xml:space="preserve">Net element of income / (loss) and capital (losses) / gain included in the </t>
  </si>
  <si>
    <t xml:space="preserve">   prices of units issued less those in units redeemed</t>
  </si>
  <si>
    <t>Interim distributions during the period</t>
  </si>
  <si>
    <t xml:space="preserve"> - Cash Distribution</t>
  </si>
  <si>
    <t xml:space="preserve">Undistributed income carried forward </t>
  </si>
  <si>
    <t>Undistributed income carried forward comprises of:</t>
  </si>
  <si>
    <t xml:space="preserve">   as available for sale</t>
  </si>
  <si>
    <t>Issue of 38,728,225 units during the current period (2016: 42,550,240) representing:</t>
  </si>
  <si>
    <t>- Capital value (at net asset value per unit at the beginning of the period)</t>
  </si>
  <si>
    <t>- Element of loss</t>
  </si>
  <si>
    <t>Redemption of 42,503,625 units during the current period (2016: 36,679,734) representing:</t>
  </si>
  <si>
    <t>Government securities - at fair value through profit or loss - held for trading</t>
  </si>
  <si>
    <t>Market value as percentage of net assets</t>
  </si>
  <si>
    <t>Market value as percentage of total investments</t>
  </si>
  <si>
    <t>Purchases during the year</t>
  </si>
  <si>
    <t>Cost</t>
  </si>
  <si>
    <t>Market
 value</t>
  </si>
  <si>
    <t>Appreciation / (diminution)</t>
  </si>
  <si>
    <t>------------------------------------------------------Rupees in '000'------------------------------------------------------</t>
  </si>
  <si>
    <t>3 Months</t>
  </si>
  <si>
    <t>Unit Holder's Fund</t>
  </si>
  <si>
    <t>Associated companies / undertakings</t>
  </si>
  <si>
    <t>Issued for cash / conversion in transferred in</t>
  </si>
  <si>
    <t>Redeemed / conversion out / transfer out</t>
  </si>
  <si>
    <t>Issued for cash / conversion in / transferred in</t>
  </si>
  <si>
    <t>--------------------------------------- (Units) ---------------------------------------</t>
  </si>
  <si>
    <t>As at
December
31, 2017</t>
  </si>
  <si>
    <t>Amount outstanding as at December 31, 2017</t>
  </si>
  <si>
    <t>MCB-Arif Habib Savings and Investment Limited-Management Company</t>
  </si>
  <si>
    <t>------------------------------------------------ (Rupees in  '000) ------------------------------------------------</t>
  </si>
  <si>
    <t>Profit receivable on bank balances</t>
  </si>
  <si>
    <t>Provision for Sindh Workers' Welfare Fund</t>
  </si>
  <si>
    <t>Nishat Power Limited Employees Provident Fund Trust -</t>
  </si>
  <si>
    <t xml:space="preserve">   Retirement benefit scheme of group company</t>
  </si>
  <si>
    <t>Adamjee Insurance Company Limited Employees Gratuity Fund</t>
  </si>
  <si>
    <t>Adamjee Life Assurance Company Limited.-NUIL</t>
  </si>
  <si>
    <t>Adamjee Life Assurance Company Limited - ISF</t>
  </si>
  <si>
    <t>Sales load payable including related taxes</t>
  </si>
  <si>
    <t>Payable against marketing and selling expenses</t>
  </si>
  <si>
    <t xml:space="preserve">Adamjee Insurance Company Limited Employees Provident Fund Trust </t>
  </si>
  <si>
    <t xml:space="preserve">D.G. Khan Cement Company Limited Employees Provident Fund Trust  </t>
  </si>
  <si>
    <t>Adamjee Life Assurance Company Limited -ISF II</t>
  </si>
  <si>
    <t>Nishat Mills Employees Provident Fund Trust</t>
  </si>
  <si>
    <t xml:space="preserve">Mandate Under Discretionary Portfolio Services </t>
  </si>
  <si>
    <t>Associated Companies</t>
  </si>
  <si>
    <t>Automobile Assembler</t>
  </si>
  <si>
    <t>(Loss) / income for the period</t>
  </si>
  <si>
    <t>Accounting (loss) / income available for distribution:</t>
  </si>
  <si>
    <t>---------------------------------- No. of shares ----------------------------------</t>
  </si>
  <si>
    <t>---------------- Rupees in '000 ----------------</t>
  </si>
  <si>
    <t>------------------------- % -------------------------</t>
  </si>
  <si>
    <t>Sold / matured during the year</t>
  </si>
  <si>
    <t>Total comprehensive (loss) / income for the period</t>
  </si>
  <si>
    <t>Advances, deposits and receivables</t>
  </si>
  <si>
    <t xml:space="preserve">Payable against allocated expense </t>
  </si>
  <si>
    <t>Directors and executives of the Management Company</t>
  </si>
  <si>
    <t>Legal and professional charges</t>
  </si>
  <si>
    <t>- Unrealised (Loss) / Gain</t>
  </si>
  <si>
    <t>- Income / (Loss) already paid / shared on units redeemed</t>
  </si>
  <si>
    <t>- Adjustment on units as element of income</t>
  </si>
  <si>
    <t>Advances, deposits and other receivables</t>
  </si>
  <si>
    <t>Remuneration of the Management Company</t>
  </si>
  <si>
    <t>Remuneration of the Trustee</t>
  </si>
  <si>
    <t>-Relating to capital gains / (losses)</t>
  </si>
  <si>
    <t>-Excluding capital gains / (losses)</t>
  </si>
  <si>
    <t>Net unrealised (diminution) / appreciation on re-measurement on investments classified</t>
  </si>
  <si>
    <t>Distribution for the period</t>
  </si>
  <si>
    <t>Six months period ended December 31,</t>
  </si>
  <si>
    <t>-------------------------------------------------(Rupees in '000)-------------------------------------------------</t>
  </si>
  <si>
    <t>Capital Value</t>
  </si>
  <si>
    <t>Undistributed income</t>
  </si>
  <si>
    <t>- Amount paid out of element of income</t>
  </si>
  <si>
    <t xml:space="preserve">      - Relating to 'Other comprehensive income for the period'</t>
  </si>
  <si>
    <t>(Rupees)</t>
  </si>
  <si>
    <t>Cl</t>
  </si>
  <si>
    <t>in prices of units issued less those in units redeemed - net</t>
  </si>
  <si>
    <t>Net element of income / loss and capital gains / losses included</t>
  </si>
  <si>
    <t>dist element</t>
  </si>
  <si>
    <t>AFS surplus</t>
  </si>
  <si>
    <t>Units</t>
  </si>
  <si>
    <t>Nav</t>
  </si>
  <si>
    <t>Capital value</t>
  </si>
  <si>
    <t>Issued</t>
  </si>
  <si>
    <t>Redeemed</t>
  </si>
  <si>
    <t>Op un</t>
  </si>
  <si>
    <t>Prof YE 17</t>
  </si>
  <si>
    <t>Distrib</t>
  </si>
  <si>
    <t>June 17 AFS</t>
  </si>
  <si>
    <t>June 16 AFS</t>
  </si>
  <si>
    <t>Dividend and profit receivables</t>
  </si>
  <si>
    <t>Profit on balances with banks</t>
  </si>
  <si>
    <t>Accounting income available for distribution:</t>
  </si>
  <si>
    <t xml:space="preserve">      - Relating to 'Net income for the period after taxation'</t>
  </si>
  <si>
    <t>Federal Excise Duty payable on management remuneration</t>
  </si>
  <si>
    <t>Unclaimed dividends</t>
  </si>
  <si>
    <t>Printing and related charges payable</t>
  </si>
  <si>
    <t>Withholding tax payable</t>
  </si>
  <si>
    <t>The details of transactions carried out by the Fund with connected persons / related parties and balances with them at the period end, other than those which have been disclosed elsewhere in these financial statements, are as follows:</t>
  </si>
  <si>
    <t>Fair value of listed equity securities is determined on the basis of closing market prices quoted on the stock exchange.</t>
  </si>
  <si>
    <t>Fair value of future contracts are determined on the basis of closing market prices quoted on the stock exchange.</t>
  </si>
  <si>
    <t>- Unrealised (Loss)</t>
  </si>
  <si>
    <t>Sold during the period</t>
  </si>
  <si>
    <t>Issue of 38,728,225 units (2016: 42,550,240 units):</t>
  </si>
  <si>
    <t>Redemption of 42,503,625 units (2016: 36,679,734 units):</t>
  </si>
  <si>
    <t>Net (loss) / income for the period less distribution</t>
  </si>
  <si>
    <t>Net assets value per unit as at beginning of the period</t>
  </si>
  <si>
    <t>Net assets value per unit as at end of the period</t>
  </si>
  <si>
    <t>SECP vide a circular no.40 SCD/PRDD/ Circular/361/2016 dated December 30, 2016, allowed the Asset Management Companies to charge selling and marketing expenses to open end equity, asset allocation and index funds, initially for three years (from January 1, 2017 till December 31, 2019). Maximum cap of selling and marketing expenses shall be 0.4% per annum of net assets of the fund or actual expenses whichever is lower. Accordingly, such expenses have been charged at the rate of 0.4% of net assets of the Fund, being lower than the actual expenses incurred.</t>
  </si>
  <si>
    <t>D G Khan Cement Company Limited **</t>
  </si>
  <si>
    <t>MCB Bank Limited **</t>
  </si>
  <si>
    <t>Aisha Steel Limited **</t>
  </si>
  <si>
    <t>Mughal Iron and Steel Industries **</t>
  </si>
  <si>
    <t>Adamjee Insurance Company Limited **</t>
  </si>
  <si>
    <t>Arif Habib Limited **</t>
  </si>
  <si>
    <t>Synthetic Products Enterprises Limited **</t>
  </si>
  <si>
    <t>Sui Northern Gas Pipelines Limited **</t>
  </si>
  <si>
    <t>Sui Southern Gas Company Limited **</t>
  </si>
  <si>
    <t>Hub Power Company Limited *</t>
  </si>
  <si>
    <t>Nishat Chunian Limited **</t>
  </si>
  <si>
    <t>Nishat Mills Limited **</t>
  </si>
  <si>
    <t>Oil &amp; Gas Development Company Limited *</t>
  </si>
  <si>
    <t>Engro Fertilizer Limited</t>
  </si>
  <si>
    <t>Brokerage expense*</t>
  </si>
  <si>
    <t>Mine</t>
  </si>
  <si>
    <t>Selling and marketing expenses</t>
  </si>
  <si>
    <t>Unrealised (losses) / gains on AFS investments</t>
  </si>
  <si>
    <t>Redemption payable change</t>
  </si>
  <si>
    <t>December 31, 2018</t>
  </si>
  <si>
    <t>2018</t>
  </si>
  <si>
    <t>FOR THE HALF YEAR ENDED DECEMBER 31, 2018</t>
  </si>
  <si>
    <t>As at July 01,
2018</t>
  </si>
  <si>
    <t>As at December 31, 2018</t>
  </si>
  <si>
    <t>Market value as at December 31, 2018</t>
  </si>
  <si>
    <t>Total as at December 31, 2018</t>
  </si>
  <si>
    <t>Total as at June 30, 2018</t>
  </si>
  <si>
    <t>As at July 01, 2018</t>
  </si>
  <si>
    <t>Balance as at December 31, 2018</t>
  </si>
  <si>
    <t>As at
December
31, 2018</t>
  </si>
  <si>
    <t>Amount outstanding as at December 31, 2018</t>
  </si>
  <si>
    <t>Bank Balances - Silk Bank Limited - Main Branch</t>
  </si>
  <si>
    <t>Prepayment Of Legal Charges</t>
  </si>
  <si>
    <t>Other Receivable Against Collection Account -Mcb</t>
  </si>
  <si>
    <t>Other Receivable Against Collection Account- Faysal Bank</t>
  </si>
  <si>
    <t>Liability</t>
  </si>
  <si>
    <t>Income</t>
  </si>
  <si>
    <t>Profit On - National Bank Of Pakistan - Main Branch</t>
  </si>
  <si>
    <t>Profit On - Silk Bank Limited - Main Branch</t>
  </si>
  <si>
    <t>saving</t>
  </si>
  <si>
    <t>Current</t>
  </si>
  <si>
    <t>Milat Tractors</t>
  </si>
  <si>
    <t>National Bank Of Pakistan</t>
  </si>
  <si>
    <t>Bank Of Punjab</t>
  </si>
  <si>
    <t>Fatima Fertilizer</t>
  </si>
  <si>
    <t>AGP Limited</t>
  </si>
  <si>
    <t>Altem Energy Limited</t>
  </si>
  <si>
    <t>Pakgen Power Limited*</t>
  </si>
  <si>
    <t>Al-Shaheer Corporation</t>
  </si>
  <si>
    <t>Food &amp; Personal Care products</t>
  </si>
  <si>
    <t>June 30,</t>
  </si>
  <si>
    <t>Financial assets which are tradable in an open market are revalued at the market prices prevailing on the statement of assets and liabilities date. The estimated fair value of all other financial assets and financial liabilities is considered not significantly different from book value.</t>
  </si>
  <si>
    <t>The following table shows financial instruments recognized at fair value, analyzed between those whose fair value is based on:</t>
  </si>
  <si>
    <t>Level 1:</t>
  </si>
  <si>
    <t>quoted prices in active markets for identical assets or liabilities;</t>
  </si>
  <si>
    <t>Level 2:</t>
  </si>
  <si>
    <t>those involving inputs other than quoted prices included in Level 1 that are observable for the asset or liability, either directly (as prices) or indirectly (derived from prices); and</t>
  </si>
  <si>
    <t>Level 3:</t>
  </si>
  <si>
    <t>those with inputs for the asset or liability that are not based on observable market data (unobservable inputs).</t>
  </si>
  <si>
    <t>------------------------------------- (Rupees) in '000-------------------------------------</t>
  </si>
  <si>
    <t>IFRS 13 - 'Fair Value Measurement'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t>
  </si>
  <si>
    <t>------- (Rupees in '000) -------</t>
  </si>
  <si>
    <t>Unit holders’ fund (as per statement attached)</t>
  </si>
  <si>
    <t>Contingencies and Commitments</t>
  </si>
  <si>
    <t>----- (Number of units) -----</t>
  </si>
  <si>
    <t>----------- (Rupees) -----------</t>
  </si>
  <si>
    <t>------------------ (Rupees in '000) ------------------</t>
  </si>
  <si>
    <t>Income from Government securities</t>
  </si>
  <si>
    <t>Impairment loss on available for sale investments</t>
  </si>
  <si>
    <t>For MCB-Arif Habib Savings and Investments Limited</t>
  </si>
  <si>
    <t>Chief Executive Officer</t>
  </si>
  <si>
    <t>____________________</t>
  </si>
  <si>
    <t>Director</t>
  </si>
  <si>
    <t>_________</t>
  </si>
  <si>
    <t xml:space="preserve"> Chief Financial Officer</t>
  </si>
  <si>
    <t>Amount received on issuance of units</t>
  </si>
  <si>
    <t>Amount paid on redemption of units</t>
  </si>
  <si>
    <t>Adjustments for non cash and other items:</t>
  </si>
  <si>
    <t>Undistributed income / (loss)</t>
  </si>
  <si>
    <t>Unrealised appreciation on available for sale investments</t>
  </si>
  <si>
    <t>- Capital value (at net asset value per unit at the</t>
  </si>
  <si>
    <t>- Realised</t>
  </si>
  <si>
    <t>- Unrealised</t>
  </si>
  <si>
    <t>- Relating to capital gains</t>
  </si>
  <si>
    <t>- Excluding capital gains</t>
  </si>
  <si>
    <t>1.</t>
  </si>
  <si>
    <t>2.</t>
  </si>
  <si>
    <t>- International Accounting Standard (IAS) 34, 'Interim Financial Reporting', issued by the International Accounting</t>
  </si>
  <si>
    <t>Standards Board (IASB) as notified under the Companies Act, 2017;</t>
  </si>
  <si>
    <t>3.</t>
  </si>
  <si>
    <t>ACCOUNTING POLICIES AND ESTIMATES</t>
  </si>
  <si>
    <t>In current accounts</t>
  </si>
  <si>
    <t>In savings accounts</t>
  </si>
  <si>
    <t>Shares of listed companies - fully paid ordinary shares of Rs.10 each unless stated otherwise</t>
  </si>
  <si>
    <t>Automobile assembler</t>
  </si>
  <si>
    <t>Re-classified under IFRS 9 (see note 3.1)</t>
  </si>
  <si>
    <t>Purchased during the period</t>
  </si>
  <si>
    <t>Market value as a % of net assets of the Fund</t>
  </si>
  <si>
    <t>% of paid-up capital of the investee company</t>
  </si>
  <si>
    <t>---------------- (Rupees in '000) ----------------</t>
  </si>
  <si>
    <t>Chemical</t>
  </si>
  <si>
    <t xml:space="preserve">Oil and gas exploration companies </t>
  </si>
  <si>
    <t xml:space="preserve">Power generation and distribution </t>
  </si>
  <si>
    <t xml:space="preserve">Technology and communication </t>
  </si>
  <si>
    <t>Total as at December 31, 2018 (Un-Audited)</t>
  </si>
  <si>
    <t>Total as at June 30, 2018 (Audited)</t>
  </si>
  <si>
    <t>----- (Number of shares) -----</t>
  </si>
  <si>
    <t>----- (Rupees in '000) -----</t>
  </si>
  <si>
    <t>Listed equity securities - at fair value through profit or loss</t>
  </si>
  <si>
    <t>Listed equity securities - available for sale</t>
  </si>
  <si>
    <t>Balances as at December 31, 2018</t>
  </si>
  <si>
    <t>Appreciation / (diminuton)</t>
  </si>
  <si>
    <t>------------------ (%) ------------------</t>
  </si>
  <si>
    <t>------------------ No. of shares ------------------</t>
  </si>
  <si>
    <t xml:space="preserve">Food and personal care products </t>
  </si>
  <si>
    <t>Related parties / connected persons of the Fund include the Management Company, other collective investment schemes managed by the Management Company, MCB Bank Limited being the Holding Company of the Management Company, the Trustee, directors, key management personnel and other associated undertakings and connected persons. Connected persons also include any person beneficially owing directly or indirectly 10% or more of the units in the issue / net assets of the Fund.</t>
  </si>
  <si>
    <t>--------------------- (Rupees in '000) ---------------------</t>
  </si>
  <si>
    <t>--------------------- (Number of units) ---------------------</t>
  </si>
  <si>
    <t>Group / associated companies</t>
  </si>
  <si>
    <t>Transactions during the period:</t>
  </si>
  <si>
    <t>------ (Rupees in '000) ------</t>
  </si>
  <si>
    <t>MCB - Arif Habib Savings and Investments Limited - Management Company</t>
  </si>
  <si>
    <t>Central Depository Company of Pakistan Limited - Trustee</t>
  </si>
  <si>
    <t>Remuneration of the Trustee (including indirect taxes)</t>
  </si>
  <si>
    <t>Central Depository Service charges</t>
  </si>
  <si>
    <t>Arif Habib Capital Limited - Brokerage House</t>
  </si>
  <si>
    <t>Balances outstanding at period end:</t>
  </si>
  <si>
    <t>Sindh sales tax payable on remuneration</t>
  </si>
  <si>
    <t>Arif Habib Limited - Brokerage House</t>
  </si>
  <si>
    <t>Figures have been rounded off to the nearest thousand rupee unless otherwise stated.</t>
  </si>
  <si>
    <t>14.</t>
  </si>
  <si>
    <t>These interim financial statement were authorised for issue by the Board of Directors of the Management Company in the meeting held on _______________________.</t>
  </si>
  <si>
    <t>TOTAL EXPENSE RATIO</t>
  </si>
  <si>
    <t>---------- (Rupees in '000) -----------</t>
  </si>
  <si>
    <t xml:space="preserve">Sindh Sales Tax on remuneration </t>
  </si>
  <si>
    <t>of the Management Company</t>
  </si>
  <si>
    <t xml:space="preserve">Annual fee of the Securities and </t>
  </si>
  <si>
    <t>Exchange Commission of Pakistan</t>
  </si>
  <si>
    <t>brought forward comprising of:</t>
  </si>
  <si>
    <t xml:space="preserve">Undistributed income </t>
  </si>
  <si>
    <t>--------------------------------------------------------- (Rupees in '000) ---------------------------------------------------------</t>
  </si>
  <si>
    <t>Federal Excise Duty payable on sales load</t>
  </si>
  <si>
    <t>Brokerage payable *</t>
  </si>
  <si>
    <t>--------------------------------- (Rupees in '000) ---------------------------------</t>
  </si>
  <si>
    <t xml:space="preserve">The Hub Power Company Limited </t>
  </si>
  <si>
    <t>Name of security</t>
  </si>
  <si>
    <t>Sold / matured during the period</t>
  </si>
  <si>
    <t>Market Value</t>
  </si>
  <si>
    <t>Treasury Bills</t>
  </si>
  <si>
    <t>Market Treasury Bills - 3 months</t>
  </si>
  <si>
    <t>The Fund has not disclosed the fair values of other financial assets and financial liabilities, as these are either short term in nature or repriced periodically. Therefore, their carrying amounts are a reasonable approximation of their fair values.</t>
  </si>
  <si>
    <t>FOR THE HALF YEAR ENDED DECEMBER 31, 2019</t>
  </si>
  <si>
    <t>BANK BALANCES - HABIB METRO BANK - MAIN BRANCH</t>
  </si>
  <si>
    <t>Bank Balances - Silk Bank Limited - Emaan Islamic Bank- Clifton Branch</t>
  </si>
  <si>
    <t>Back-End Load Payable</t>
  </si>
  <si>
    <t>Dividend Payable - Div  Ac # 9 Final 2010 Summit Bank</t>
  </si>
  <si>
    <t>Profit On Habib Bank Limited Kse Branch</t>
  </si>
  <si>
    <t>INCOME ON NCCPL DEPOSIT AGAINST EXPOSURE MARGIN</t>
  </si>
  <si>
    <t>RS.</t>
  </si>
  <si>
    <t>RS in "000"</t>
  </si>
  <si>
    <t>Savings</t>
  </si>
  <si>
    <t>Mgt payable</t>
  </si>
  <si>
    <t>Trustee payable</t>
  </si>
  <si>
    <t>SECP Payable</t>
  </si>
  <si>
    <t>Payable against equity shares</t>
  </si>
  <si>
    <t>Accrued and other liabilities</t>
  </si>
  <si>
    <t>Gain / loss on sale of investment - net</t>
  </si>
  <si>
    <t>income on Gvot securities</t>
  </si>
  <si>
    <t>Bank profit</t>
  </si>
  <si>
    <t>other income</t>
  </si>
  <si>
    <t>Security transaction cost</t>
  </si>
  <si>
    <t>Audit Fee</t>
  </si>
  <si>
    <t>Annualised basis</t>
  </si>
  <si>
    <t>Interloop Limited</t>
  </si>
  <si>
    <t>For the Half-Year ended December 31, 2019</t>
  </si>
  <si>
    <t>Unrealised gain / (loss)</t>
  </si>
  <si>
    <t>Payable to Management Company</t>
  </si>
  <si>
    <t>Payable to Trustee</t>
  </si>
  <si>
    <t>classified as 'at fair value through profit or loss' - net</t>
  </si>
  <si>
    <t>Other comprehensive income</t>
  </si>
  <si>
    <t>Bonus / right issue during the period</t>
  </si>
  <si>
    <t>------------------------------------- No. of shares -------------------------------------</t>
  </si>
  <si>
    <t>* These have a face value of Rs.5 per share.</t>
  </si>
  <si>
    <t>carried forward comprising of:</t>
  </si>
  <si>
    <t>Income already paid on units redeemed</t>
  </si>
  <si>
    <t>-  Relating to capital gains</t>
  </si>
  <si>
    <t>-  Excluding capital gains</t>
  </si>
  <si>
    <t xml:space="preserve">  Listed equity securities</t>
  </si>
  <si>
    <t xml:space="preserve">Transactions with connected persons essentially comprise sale and redemption of units, fee on account of managing the affairs of the Fund, other charges, sale and purchase of investments and distribution payments to connected persons. The transactions with connected persons are in the normal course of business, at contracted rates and at terms determined in accordance with market rates. </t>
  </si>
  <si>
    <t>Remuneration payable to the Management Company and the Trustee is determined in accordance with the provision of the NBFC Regulations and constitutive documents of the Fund respectively.</t>
  </si>
  <si>
    <t>The Fund has not recorded a tax liability in respect of income relating to the current year as the management company intends to distribute the required minimum percentage of the Fund's accounting income for the year as reduced by capital gains (whether realised or unrealised) to its unit holders</t>
  </si>
  <si>
    <t>Other income</t>
  </si>
  <si>
    <t>Net income for the period</t>
  </si>
  <si>
    <t>Asghari Beg Memorial Trust</t>
  </si>
  <si>
    <t>Purchase of Nil (2018: 4,548,500) shares</t>
  </si>
  <si>
    <t>Sale of Nil (2018: 809,500) shares</t>
  </si>
  <si>
    <t>Remuneration of the Management Company including indirect taxes</t>
  </si>
  <si>
    <t>Marketing and Selling expense</t>
  </si>
  <si>
    <t>Allocated Expenses</t>
  </si>
  <si>
    <t>_____________________</t>
  </si>
  <si>
    <t xml:space="preserve">Companies Ordinance, 1984; </t>
  </si>
  <si>
    <t xml:space="preserve">- Provisions of and directives issued under the Companies Act, 2017 along with part VIIIA of the repealed </t>
  </si>
  <si>
    <t>MCB-Arif Habib Savings and Investments Limited -</t>
  </si>
  <si>
    <t xml:space="preserve">* </t>
  </si>
  <si>
    <t>The amount disclosed represents the amount of brokerage paid to connected persons and not the purchase or sale value of securities transacted through them. The purchase or sale value has not been treated as transactions with connected persons as the ultimate counter parties are not connected persons.</t>
  </si>
  <si>
    <t>Payable to legal advisor</t>
  </si>
  <si>
    <t xml:space="preserve">  Government securities</t>
  </si>
  <si>
    <t>Unit holders holding 10% or more units</t>
  </si>
  <si>
    <t>SWWF</t>
  </si>
  <si>
    <t>Current NAV</t>
  </si>
  <si>
    <t>Revised NAV</t>
  </si>
  <si>
    <t>Revised NAV/unit</t>
  </si>
  <si>
    <t>Current NAV/unit</t>
  </si>
  <si>
    <t>These condensed interim financial statements have been prepared in accordance with the accounting and reporting standards as applicable in Pakistan. Such standards comprise of:</t>
  </si>
  <si>
    <t>- The NBFC rules, the Non-Banking Finance Companies, Notified Entities Regulations, 2008 (the NBFC Regulations) and the requirements of Trust Deed of Trust Deed.</t>
  </si>
  <si>
    <t>Listed Equity Securities</t>
  </si>
  <si>
    <t>Directors And Key Management Personnel</t>
  </si>
  <si>
    <t>15.</t>
  </si>
  <si>
    <t>16.</t>
  </si>
  <si>
    <t>16.1</t>
  </si>
  <si>
    <t xml:space="preserve">D.G. Khan Cement Company Limited - Employees Provident Fund Trust  </t>
  </si>
  <si>
    <t>Adamjee Insurance Company Limited - Employees Gratuity Fund</t>
  </si>
  <si>
    <t xml:space="preserve">Adamjee Insurance Company Limited - Employees Provident Fund Trust </t>
  </si>
  <si>
    <t>Accordingly, the Management Company has resolved in its board meeting that the allocated expenses will be charged based on the discretion of the Management Company being lower than the actual expense.</t>
  </si>
  <si>
    <t>As at July 01, 2020</t>
  </si>
  <si>
    <t>RECEIVABLE FROM NCCPL AMOUNT DEPOSITED AGAINST EXPOSURE MARGIN</t>
  </si>
  <si>
    <t>Recievable Against Bonus Shares Withheld</t>
  </si>
  <si>
    <t>Indus Motors Company Limited</t>
  </si>
  <si>
    <t>Pak Suzuki Motors Company Limited</t>
  </si>
  <si>
    <t>Murree Brewery Company</t>
  </si>
  <si>
    <t>Synthetic Products Limited</t>
  </si>
  <si>
    <t>Tri-Pak Films</t>
  </si>
  <si>
    <t>Agp Limited</t>
  </si>
  <si>
    <t>Glaxosmithkline Pakistan</t>
  </si>
  <si>
    <t>Hub Power Company Limited</t>
  </si>
  <si>
    <t>*** These have a face value of Rs.3.5 per share.</t>
  </si>
  <si>
    <t>** These have a face value of Rs.1 per share.</t>
  </si>
  <si>
    <t>June 30, 2020 (Audited)</t>
  </si>
  <si>
    <t>for note 9 aswell</t>
  </si>
  <si>
    <t>Bank balance</t>
  </si>
  <si>
    <t>Total income</t>
  </si>
  <si>
    <t>Net income for the period before taxation</t>
  </si>
  <si>
    <t>Earnings per unit</t>
  </si>
  <si>
    <t>Net cash generated from / (used) in financing activities</t>
  </si>
  <si>
    <t>- Element of income</t>
  </si>
  <si>
    <t>Net income for the period less distribution</t>
  </si>
  <si>
    <t>EARNINGS PER UNIT</t>
  </si>
  <si>
    <t>Earnings per unit based on cumulative weighted average units for the period has not been disclosed as in the opinion of the Management Company the determination of the same is not practicable.</t>
  </si>
  <si>
    <t>Details of transactions and balances at period end with related parties / connected persons, other than those which have been disclosed elsewhere in these financial statements, are as follows:</t>
  </si>
  <si>
    <t>Group / associated companies / undertakings</t>
  </si>
  <si>
    <t xml:space="preserve">(Increase) / decrease in assets </t>
  </si>
  <si>
    <t xml:space="preserve">- Element of (loss) / income </t>
  </si>
  <si>
    <t xml:space="preserve">Aisha Steel Limited </t>
  </si>
  <si>
    <t xml:space="preserve">Power Cement Limited </t>
  </si>
  <si>
    <t>The Management Company of the Fund has been licensed to act as an Asset Management Company under the Non-Banking Finance Companies (Establishment and Regulations) Rules, 2003 through a certificate of registration issued by the SECP. The registered office of the Management Company is situated at 2nd Floor, Adamjee House, I.I. Chundrigar Road, Karachi, Pakistan.</t>
  </si>
  <si>
    <t>_____________</t>
  </si>
  <si>
    <t xml:space="preserve">Title to the assets of the Fund is held in the name of Central Depository Company of Pakistan Limited (CDC) as the Trustee of the Fund. </t>
  </si>
  <si>
    <t>March 31,</t>
  </si>
  <si>
    <t>Nine months ended</t>
  </si>
  <si>
    <t>2021</t>
  </si>
  <si>
    <t>Nine Months Ended March 31, 2021</t>
  </si>
  <si>
    <t>Nine Months ended</t>
  </si>
  <si>
    <t>As at
March
31, 2021</t>
  </si>
  <si>
    <t>March 31, 2021 (Un-audited)</t>
  </si>
  <si>
    <t>During the period ended March 31, 2021, there were no transfers between level 1 and level 2 fair value measurements, and no transfer into and out of level 3 fair value measurements.</t>
  </si>
  <si>
    <t>As at Marh 31, 2021 and June 30, 2020, the Fund held the following instruments measured at fair values:</t>
  </si>
  <si>
    <t>MCB Balance</t>
  </si>
  <si>
    <t>Agriauto Industires Limited</t>
  </si>
  <si>
    <t>Panther Tyres Limited</t>
  </si>
  <si>
    <t>Cable &amp; Electrical Goods</t>
  </si>
  <si>
    <t>Engineering</t>
  </si>
  <si>
    <t>Fertilizer</t>
  </si>
  <si>
    <t>Food &amp; Personal Care Products</t>
  </si>
  <si>
    <t>Glass &amp; Ceramics</t>
  </si>
  <si>
    <t>Tariq Glass Industries</t>
  </si>
  <si>
    <t>Inv.Banks/Inv.Com./S ecurities Cos.</t>
  </si>
  <si>
    <t>Leather &amp; Tanneries</t>
  </si>
  <si>
    <t>Service Industries</t>
  </si>
  <si>
    <t>Shifa International Hospitals</t>
  </si>
  <si>
    <t>Oil And Gas Marketing Companies</t>
  </si>
  <si>
    <t>Shell (Pakistan) Limited</t>
  </si>
  <si>
    <t>Paper And Board</t>
  </si>
  <si>
    <t>Power Generation &amp; Distribution</t>
  </si>
  <si>
    <t>Refinery</t>
  </si>
  <si>
    <t>Technology &amp; Communications</t>
  </si>
  <si>
    <t>Textile Composite</t>
  </si>
  <si>
    <t>Transport</t>
  </si>
  <si>
    <t>Bank Balances - Bank Al Habib Limited - DIVIDEND - 1 - KSE BRANCH</t>
  </si>
  <si>
    <t>Bank Balances - Bank Al Habib Limited - DIVIDEND # 2 - KSE BRANCH</t>
  </si>
  <si>
    <t>BANK BALANCES - ALLIED BANK LIMITED - FX Current A/C</t>
  </si>
  <si>
    <t>Market Treasury Bills - 6 months</t>
  </si>
  <si>
    <t>Allocation of net income for the period after taxation</t>
  </si>
  <si>
    <t>The Fund's income is exempt from income tax as per clause (99) of part I of the Second Schedule to the Income Tax Ordinance, 2001 subject to the condition that not less than 90% of the accounting income available for distribution for the year as reduced by capital gains whether realised or unrealised is distributed amongst the unit holders by way of cash dividend. Furthermore, as per regulation 63 of the Non-Banking Finance Companies and Notified Entities Regulation, 2008, the Fund is required to distribute 90% of the net accounting income available for distribution other than capital gains to the unit holders in cash. The Fund is also exempt from the provision of Section 113 (minimum tax) under clause 11A of Part IV of the Second Schedule to the Income Tax Ordinance, 2001. The Fund has not recorded any tax liability in respect of income relating to current period as the Management Company intends to distribute in cash the required minimum percentage of the Fund's accounting income for the period as reduced by capital gains (whether realised or unrealised) to its unitholders in the form of cash.</t>
  </si>
  <si>
    <t>Total Expense Ratio of the Fund is 5.32% as on March 31, 2021 (March 31, 2020: 4.06%) and this includes 0.92% (March 31, 2020: 0.29%) representing Government Levy, Sindh Workers' Welfare Fund (SWWF) and SECP fee.</t>
  </si>
  <si>
    <t>MCBPSM</t>
  </si>
  <si>
    <t>GROWTH - GROWTH</t>
  </si>
  <si>
    <t>Opening Balance</t>
  </si>
  <si>
    <t>MUHAMMAD ASAD IQBAL</t>
  </si>
  <si>
    <t>Redemption</t>
  </si>
  <si>
    <t>Closing Balance</t>
  </si>
  <si>
    <t>MUHAMMAD ASIF MEHDI RIZVI</t>
  </si>
  <si>
    <t>MOIZ ALI</t>
  </si>
  <si>
    <t>MOHSIN PERVAIZ</t>
  </si>
  <si>
    <t>Conversion In</t>
  </si>
  <si>
    <t>Conversion Out</t>
  </si>
  <si>
    <t>ALTAF AHMED FAISAL</t>
  </si>
  <si>
    <t>Invest</t>
  </si>
  <si>
    <t>M ASIF MEHDI RIZVI</t>
  </si>
  <si>
    <t xml:space="preserve">KHURRAM SHARF </t>
  </si>
  <si>
    <t>SYED SOHAIL AHMED</t>
  </si>
  <si>
    <t>MURTAZA AKHTAR</t>
  </si>
  <si>
    <t>MUHAMMAD ASIM</t>
  </si>
  <si>
    <t>ALTAF AHMAD FAISAL</t>
  </si>
  <si>
    <t>MUHAMMAD SAQIB SALEEM</t>
  </si>
  <si>
    <t>SHABBIR HUSSAIN</t>
  </si>
  <si>
    <t>MUHAMMAD FAHEEM RAZA</t>
  </si>
  <si>
    <t>MONIS USMAN</t>
  </si>
  <si>
    <t>KHURRUM BASHIR</t>
  </si>
  <si>
    <t>MOHAMMAD AITAZAZ FAROOQUI</t>
  </si>
  <si>
    <t>SYED ABID ALI SHAH</t>
  </si>
  <si>
    <t>MUHAMMAD FAROOQ HAIDER</t>
  </si>
  <si>
    <t>MOBIN AHMED SIDDIQUI</t>
  </si>
  <si>
    <t>ARIF HABIB CORPORATION LIMITED</t>
  </si>
  <si>
    <t>NASIM BEG</t>
  </si>
  <si>
    <t>MCB-ARIF HABIB SAVINGS AND INVESTMENTS LIMITED</t>
  </si>
  <si>
    <t xml:space="preserve">ARIF HABIB INVESTMENT MANAGEMENT EMPLOYE PROV.FUND </t>
  </si>
  <si>
    <t xml:space="preserve">ADAMJEE ENTERPRISES STAFF PROVIDENT FUND </t>
  </si>
  <si>
    <t xml:space="preserve">LADY DUFFERIN HOSPITAL </t>
  </si>
  <si>
    <t>9,5067,91</t>
  </si>
  <si>
    <t>SYED SAVAIL MEEKAL HUSSAIN</t>
  </si>
  <si>
    <t>1273,66</t>
  </si>
  <si>
    <t xml:space="preserve">THE CRESCENT TEXTILE MILLS LTD. EMPLOYEES PROVIDENT FUND TRUST </t>
  </si>
  <si>
    <t>2,6167,16</t>
  </si>
  <si>
    <t>ASGHARI BEG MEMORIAL TRUST</t>
  </si>
  <si>
    <t>7301,79</t>
  </si>
  <si>
    <t>TRUSTEES D.G.KHAN CEMENT CO. LTD. EMPLOYEES PROVIDENT FUND</t>
  </si>
  <si>
    <t>TRUSTEES D.G.KHAN CEMENT CO.LTD.EMP. P.F</t>
  </si>
  <si>
    <t>8085,33</t>
  </si>
  <si>
    <t>MCB EMPLOYEES PROVIDENT FUND (PAK STAFF)</t>
  </si>
  <si>
    <t>MCB EMPLOYEES PENSION FUND</t>
  </si>
  <si>
    <t>141,3723,63</t>
  </si>
  <si>
    <t>NISHAT MILLS LIMITED EMPLOYEES PROVIDENT FUND TRUST</t>
  </si>
  <si>
    <t>19,8029,89</t>
  </si>
  <si>
    <t xml:space="preserve">D.G. KHAN CEMENT COMPANY LTD EMPLOYEES PROVIDENT FUND TRUST </t>
  </si>
  <si>
    <t>348,0613,43</t>
  </si>
  <si>
    <t>ADAMJEE LIFE ASSURANCE CO. LTD.-NUIL FUND</t>
  </si>
  <si>
    <t>3,448,3958,21</t>
  </si>
  <si>
    <t>ADAMJEE LIFE ASSURANCE CO. LTD. (IMF)</t>
  </si>
  <si>
    <t>ADAMJEE LIFE ASSURANCE CO.LTD.(ISF)</t>
  </si>
  <si>
    <t>ADAMJEE LIFE ASSURANCE CO LTD ISF II</t>
  </si>
  <si>
    <t>NISHAT POWER LIMITED EMPLOYEES PROVIDENT FUND TRUST</t>
  </si>
  <si>
    <t>2,4571,69</t>
  </si>
  <si>
    <t>ADAMJEE INSURANCE CO.LTD. EMPLOYEES GRATUITY FUND</t>
  </si>
  <si>
    <t>4,8674,39</t>
  </si>
  <si>
    <t>ADAMJEE INSURANCE CO.LTD EMPLOYEES PROVIDENT FUND</t>
  </si>
  <si>
    <r>
      <t>6.1.1</t>
    </r>
    <r>
      <rPr>
        <sz val="11"/>
        <rFont val="Arial"/>
        <family val="2"/>
      </rPr>
      <t xml:space="preserve"> Following shares have been pledged with National Clearing Company of Pakistan Limited (NCCPL) security against settlement of the Fund's trades in terms of Circular No. 11 dated October 23, 2007 issued by SECP:</t>
    </r>
  </si>
  <si>
    <t>12.1</t>
  </si>
  <si>
    <t>12.2</t>
  </si>
  <si>
    <t>12.3</t>
  </si>
  <si>
    <t xml:space="preserve">Unrealised (gain) / loss on revaluation of investments </t>
  </si>
  <si>
    <t>(Decrease) / Increase in liabilities</t>
  </si>
  <si>
    <t>For the nine months ended March 31, 2021 (Un-audited)</t>
  </si>
  <si>
    <t>Net (Decrease) in cash and cash equivalents during the period</t>
  </si>
  <si>
    <t>* This reflects the position of related party / connected persons status as at March 31, 2021.</t>
  </si>
  <si>
    <t>Mandate under discretionary portfolio services*</t>
  </si>
  <si>
    <t>Unit holders holding 10% or more*</t>
  </si>
  <si>
    <t>Financial assets which are tradable in an open market are revalued at the market prices prevailing on the close of trading i.e., period end. The estimated fair value of all other financial assets and financial liabilities is considered not significantly different from book value as these are short term in nature.</t>
  </si>
  <si>
    <t>The following table shows financial instruments recognized at fair value based on:</t>
  </si>
  <si>
    <t>Level 1 : quoted prices in active markets for identical assets or liabilities;</t>
  </si>
  <si>
    <t>Level 2 : those involving inputs other than quoted prices included in Level 1 that are observable for the asset or liability, either directly (as prices) or indirectly (derived from prices); and</t>
  </si>
  <si>
    <t>Level 3 : those with inputs for the asset or liability that are not based on observable market data (unobservable inputs).</t>
  </si>
  <si>
    <t>---------------------------------------- (Rupees in '000) -----------------------------------------</t>
  </si>
  <si>
    <t>7.2</t>
  </si>
  <si>
    <t>7.1.</t>
  </si>
  <si>
    <t>AS AT MARCH 31, 2022</t>
  </si>
  <si>
    <t>FOR THE NINE MONTHS AND QUARTER ENDED MARCH 31, 2022</t>
  </si>
  <si>
    <t>2022</t>
  </si>
  <si>
    <t xml:space="preserve">Capital gain </t>
  </si>
  <si>
    <t>Other Income</t>
  </si>
  <si>
    <t>FOR THE NINE MONTHS ENDED MARCH 31, 2022</t>
  </si>
  <si>
    <t>Nine Months Ended March 31, 2022</t>
  </si>
  <si>
    <t>Number of units issued</t>
  </si>
  <si>
    <t>Amount received against issuance</t>
  </si>
  <si>
    <t>Portion of Capital</t>
  </si>
  <si>
    <t>Portion of Element</t>
  </si>
  <si>
    <t>Number of units redeemed</t>
  </si>
  <si>
    <t>Amount redeemed against redemption</t>
  </si>
  <si>
    <t>Amount</t>
  </si>
  <si>
    <t>ISSUANCE</t>
  </si>
  <si>
    <t>REDEMPTION</t>
  </si>
  <si>
    <t>As at July 01, 2021</t>
  </si>
  <si>
    <t>As at March 31, 2022</t>
  </si>
  <si>
    <t>Market value as at March 31, 2022</t>
  </si>
  <si>
    <t>Balance as at March 31, 2022</t>
  </si>
  <si>
    <t>Balances as at March 31, 2022</t>
  </si>
  <si>
    <t>Total as at March 31, 2022 (Un-audited)</t>
  </si>
  <si>
    <t>Total as at June 30, 2021 (Audited)</t>
  </si>
  <si>
    <t>Higher/(Lower) by</t>
  </si>
  <si>
    <r>
      <t xml:space="preserve">There were no contingencies and commitments outstanding as at the </t>
    </r>
    <r>
      <rPr>
        <sz val="11"/>
        <color theme="1"/>
        <rFont val="Arial"/>
        <family val="2"/>
      </rPr>
      <t>March 31, 2022</t>
    </r>
    <r>
      <rPr>
        <sz val="11"/>
        <rFont val="Arial"/>
        <family val="2"/>
      </rPr>
      <t xml:space="preserve"> (June 30, 2021: Nil).</t>
    </r>
  </si>
  <si>
    <t>As at
March
31, 2022</t>
  </si>
  <si>
    <t>* This reflects the position of related party / connected persons status as at March 31, 2022.</t>
  </si>
  <si>
    <t>----------- (Rupees in '000) -----------</t>
  </si>
  <si>
    <t>(Reversal) / provision for Sindh Workers' Welfare Fund</t>
  </si>
  <si>
    <t>Taxationworkers Welfare Fund (Wwf) - Reversal</t>
  </si>
  <si>
    <t>unrealized loss</t>
  </si>
  <si>
    <t xml:space="preserve">Unrealised (loss) / gain on revaluation of investments </t>
  </si>
  <si>
    <t>(Loss) / gain on sale of investments - net</t>
  </si>
  <si>
    <t>MCB Pakistan Stock Market Fund (the Fund) was established under a Trust Deed executed between MCB-Arif Habib Savings and Investments Limited as "Management Company" and Central Depository Company of Pakistan Limited (CDC) as Trustee. The Trust Deed was executed on October 23, 2001 and was approved by the Securities and Exchange Commission of Pakistan (SECP) on February 28, 2002 in accordance with the Asset Management Companies Rules, 1995 (AMC Rules) repealed by Non-Banking Finance Companies (Establishment and Regulation) Rules, 2003 (NBFC Rules). The Trust Act, 1882 has been repealed due to the promulgation of Provincial Trust Act namely “Sindh Trusts Act, 2020” (the Sindh Trust Act) as empowered under the Eighteenth Amendment to the Constitution of Pakistan. The Fund is required to be registered under the Sindh Trust Act. Accordingly,  on August 12, 2021 the above-mentioned Trust Deed has been registered under the Sindh Trust Act.</t>
  </si>
  <si>
    <t xml:space="preserve">Sindh Revenue Board (SRB) through its letter dated August 12, 2021 received on August 13, 2021 has intimated Mutual Funds Association of Pakistan's (MUFAP) that the mutual funds do not qualify as Financial Institutions / Industrial Establishments and are therefore, not liable to pay the Sindh Workers’ Welfare Fund (SWWF) contributions. This development was discussed at MUFAP level and was also been taken up with the Securities and Exchange Commission of Pakistan (SECP). All the Asset Management Companies, in consultation with SECP, have reversed the cumulative provision for SWWF recognised in the financial statements of the Funds till August 12, 2021 on August 13, 2021. </t>
  </si>
  <si>
    <t>SECP has also given its concurrence for recording reversal of provision of SWWF on the day letter was received by MUFAP. This reversal of provision has contributed towards an unusual increase in NAV of the Fund on August 13, 2021. This is one-off event and is not likely to be repeated in the future.</t>
  </si>
  <si>
    <t xml:space="preserve">Going forward, no provision for SWWF would be recognised in the financial statements of the Fund. </t>
  </si>
  <si>
    <t>Adamjee Life Assurance Company Limited.-DGF</t>
  </si>
  <si>
    <t>Nasim beg</t>
  </si>
  <si>
    <t>Syed Savail Meekal Hussain</t>
  </si>
  <si>
    <t>Prior period's figures have been rearranged / reclassified wherever necessary for better presentation and comparison. However, there were no material reclassifications to report.</t>
  </si>
  <si>
    <t>The annexed notes 1 to 15 form an integral part of these interim financial statements.</t>
  </si>
  <si>
    <t>Nil shares (2021: 7,193,000 shares)</t>
  </si>
  <si>
    <t>Sale of 68,000 (2021: Nil) shares</t>
  </si>
  <si>
    <t>Sale of Nil (2021: 4,141,500) shares</t>
  </si>
  <si>
    <t>Net (loss) / income for the period</t>
  </si>
  <si>
    <t>Net (loss) / income for the period before taxation</t>
  </si>
  <si>
    <t>The Pakistan Credit Rating Agency (PACRA) Limited has assigned Management quality rating of 'AM1' dated October 06, 2021 to the Management Company.</t>
  </si>
  <si>
    <t xml:space="preserve">Sale of securities Nil  (2021: 2,500 Million) </t>
  </si>
  <si>
    <t>Purchase of 1,275,259 (2021: 2,269,357) shares</t>
  </si>
  <si>
    <t>Sale of 1,275,259 (2021: 4,681,812) shares</t>
  </si>
  <si>
    <t>Ghandhara Tyre &amp; Rubber Company Limited</t>
  </si>
  <si>
    <t>PAK ELEKTRON(R3)</t>
  </si>
  <si>
    <t>Gharibwal Cement Ltd</t>
  </si>
  <si>
    <t>Sitara Chemical Industries</t>
  </si>
  <si>
    <t>Bank AlFalah Limited</t>
  </si>
  <si>
    <t>Bankislami Pakistan Limited</t>
  </si>
  <si>
    <t>AGHA STEEL IND. LTD</t>
  </si>
  <si>
    <t>Al Shaheer Corporation</t>
  </si>
  <si>
    <t>AT-TAHUR LIMITED</t>
  </si>
  <si>
    <t>The Organic Meat Company Limited</t>
  </si>
  <si>
    <t>Service Global Footwear Limited</t>
  </si>
  <si>
    <t>Pakistan Aluminium Beverage Cans Limited</t>
  </si>
  <si>
    <t>Citi Pharma limited</t>
  </si>
  <si>
    <t>Glaxosmithkline Consumer Healthcare Pakistan Limited</t>
  </si>
  <si>
    <t>Cnergyico PK Limited</t>
  </si>
  <si>
    <t>Air Link Communication Ltd</t>
  </si>
  <si>
    <t>Octopus Digital Limited</t>
  </si>
  <si>
    <t>AZGARD NINE LTD</t>
  </si>
  <si>
    <t>Textile Spinning</t>
  </si>
  <si>
    <t>Gadoon Textile</t>
  </si>
  <si>
    <t>Hum Network Limited **</t>
  </si>
  <si>
    <t>K-Electric Limited ***</t>
  </si>
  <si>
    <t>Shabbir Tiles &amp; Ceramics Limited *</t>
  </si>
  <si>
    <t>Thal Limited *</t>
  </si>
  <si>
    <t>Purchase of 65,000 (2021: 2,434,500) shares</t>
  </si>
  <si>
    <t>Sale of 1,099,500 (2021: 5,055,000) shares</t>
  </si>
  <si>
    <t>Purchase of 7,287,309 (2021: 21,123,500) shares</t>
  </si>
  <si>
    <t>Sale of 7,740,000 (2021: 12,795,000) shares</t>
  </si>
  <si>
    <t>Purchase of 6,111,925 (2021: 6,356,080) shares</t>
  </si>
  <si>
    <t>Sale of 7,202,500 (2021: 5,365,500) shares</t>
  </si>
  <si>
    <t>Purchase of Nil (2021: 8,668,000) shares</t>
  </si>
  <si>
    <t>Purchase of 7,688,753 (2021: 1,300,000) shares</t>
  </si>
  <si>
    <t>Sale of 2,141,446 (2021: 1,300,000) shares</t>
  </si>
  <si>
    <t>Purchase of Nil (2021: 500,000) shares</t>
  </si>
  <si>
    <t>Sale of Nil (2021: 476,000) shares</t>
  </si>
  <si>
    <t>Purchase of 3,151,785 (2021: 4,636,500) shares</t>
  </si>
  <si>
    <t>Sale of 884,500 (2021: 4,636,500) shares</t>
  </si>
  <si>
    <t>Purchase of 700,000 (2021: 1,016,500) shares</t>
  </si>
  <si>
    <t>Sale of 1,669,000 (2021: 13,000) shares</t>
  </si>
  <si>
    <t>Purchase of 6,122,000 (2021: 10,153,000) shares</t>
  </si>
  <si>
    <t>Sale of 5,722,000 (2021: 11,053,000) shares</t>
  </si>
  <si>
    <t>Purchase of Nil (2021: 602,000) shares</t>
  </si>
  <si>
    <t>Sale of Nil (2021: 602,000) shares</t>
  </si>
  <si>
    <t>Sale of 7,193,000 (2021: 4,549,000) shares</t>
  </si>
  <si>
    <t>Purchase of Nil (2021: 18,966,500) shares</t>
  </si>
  <si>
    <t>Sale of 2,954,826 (2021: 4,038,600) shares</t>
  </si>
  <si>
    <t>Sale of 816,000 (2021: Nil) shares</t>
  </si>
  <si>
    <t>Nil shares (2021: 1,034,500 shares)</t>
  </si>
  <si>
    <t>3,936,309 shares (2021: 4,389,000 shares)</t>
  </si>
  <si>
    <t>Nil shares (2021: 68,000 shares)</t>
  </si>
  <si>
    <t>5,008,579 shares (2021: 1,851,480 shares)</t>
  </si>
  <si>
    <t>Nil shares (2021: 7,202,500 shares)</t>
  </si>
  <si>
    <t>2,267,285 shares (2021: Nil shares)</t>
  </si>
  <si>
    <t>5,547,307 shares (2021: Nil shares)</t>
  </si>
  <si>
    <t>Nil shares (2021: 969,000 shares)</t>
  </si>
  <si>
    <t>400,000 shares (2021: Nil shares)</t>
  </si>
  <si>
    <t>Total Expense Ratio of the Fund is 4.28% as on March 31, 2022 (March 31, 2021: 5.32%) and this includes 0.3% (March 31, 2021: 0.92%) representing Government Levy, Sindh Workers' Welfare Fund (SWWF) and SECP fee.</t>
  </si>
  <si>
    <t xml:space="preserve"> -   </t>
  </si>
  <si>
    <t>OTHER PAYABLE</t>
  </si>
  <si>
    <t>FED EXPENSE ON MGM FEE</t>
  </si>
  <si>
    <t>These carry profits at the rates ranging from 5.50% to 10.45% (June 30, 2021: 5.50% to 7.83%) per annum and include Rs.477,647 (June 30, 2021: Rs.207.336) million maintained with MCB Bank Limited, a related party which carries profit at the rate of 8.25% (June 30, 2021: 5.50%) per annum.</t>
  </si>
  <si>
    <t>beginning of the period) at Rs.103.6294</t>
  </si>
  <si>
    <t>Issuance of 38,287,611 (2021: 87,744,064) units:</t>
  </si>
  <si>
    <t>Redemption of 49,545,039 (2021: 85,513,085 ) units:</t>
  </si>
  <si>
    <t>Net cash generated from/ (used) in operating activities</t>
  </si>
  <si>
    <t>The accounting policies applied in the preparation of these condensed interim financial statements are the same as those applied in the preparation of the annual financial statements of the Fund for the year ended June 30, 2021.</t>
  </si>
  <si>
    <t>These include a balance of Rs.9.901 (June 30, 2021: Rs.11.768) million maintained with MCB Bank Limited, a related party.</t>
  </si>
  <si>
    <t>There is no change in the status of the appeal filed by the Federal Board of Revenue in the Honorable Supreme Court of Pakistan in respect of levy of Federal Excise Duty, as reported in the annual financial statements of the Fund for the year ended June 30, 2020.Had the provision for FED not been recorded in the condensed interim financial statements of the Fund, the net assets value of the Fund as at March 31, 2022 would have been higher by Re.0.542 (2020: Re.0.4724) per unit.</t>
  </si>
  <si>
    <t>Adamjee Life Assurance Company Limited</t>
  </si>
  <si>
    <t xml:space="preserve">Adamjee Insurance Company Limited </t>
  </si>
  <si>
    <t>1,460,604 shares (2021: Nil shares)</t>
  </si>
  <si>
    <r>
      <t xml:space="preserve">6.1.2 </t>
    </r>
    <r>
      <rPr>
        <sz val="11"/>
        <rFont val="Arial"/>
        <family val="2"/>
      </rPr>
      <t>There is no change is the status of matter related to bonus shares as reported in the annual financial statements of the Fund for the year ended June 30, 2021. As at March 31, 2022, the bonus shares of the Fund withheld by certain companies at the time of declaration of bonus shares amounted to Rs.4.601 million (June 30, 2021: Rs.4.59 million).</t>
    </r>
  </si>
  <si>
    <t>Purchase of 2,276,604 (2021: Nil) shares</t>
  </si>
  <si>
    <t>For the nine months ended March 31, 2022 (Un-audited)</t>
  </si>
  <si>
    <t>**** These are related parties</t>
  </si>
  <si>
    <t>Nishat (Chunian) Limited ****</t>
  </si>
  <si>
    <t>Nishat Mills Limited ****</t>
  </si>
  <si>
    <t>Nishat Power Limited ****</t>
  </si>
  <si>
    <t>Lalpir Power Limited ****</t>
  </si>
  <si>
    <t>ADAMJEE LIFE ASSURANCE COMPANY LIMITED ****</t>
  </si>
  <si>
    <t>Adamjee Insurance Comapny Limited ****</t>
  </si>
  <si>
    <t>MCB Bank Limited ****</t>
  </si>
  <si>
    <t>Power Cement Limited ****</t>
  </si>
  <si>
    <t>D.G. Khan Cement Company Limited ****</t>
  </si>
  <si>
    <t>Pak Elektron Limited ****</t>
  </si>
  <si>
    <t>Where provisions of and directives issued under the Companies Act, 2017, Part VIIIA of the repealed Companies Ordinance, 1984, the NBFC rules, the  NBFC Regulations and requirements of the Trust Deed differ from the International Accounting Standard (IAS) 34, Interim Financial Reporting,  the provisions of and directives issued under the Companies Act, 2017, Part VIIIA of the repealed Companies Ordinance, 1984,  the NBFC Rules, the NBFC Regulations and requirements of the Trust Deed have been followed.</t>
  </si>
  <si>
    <t>This condensed interim financial information does not include all the information and disclosures required for full annual financial statements and should be read in conjunction with the financial statements for the year ended 30 June 2021. The comparative in the statement of assets and liabilities presented in the condensed interim financial information as at 31 March 2022 have been extracted from the audited financial statements of the Fund for the year ended 30 June 2021, where 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nine months ended 31 March 2022.</t>
  </si>
  <si>
    <t>The disclosures made in this condensed interim financial information have, however, been limited based on the requirements of the International Accounting Standard 34: 'Interim Financial Reporting'. This condensed interim financial information is unaudited.</t>
  </si>
  <si>
    <t>This condensed interim financial information is presented in Pak Rupees which is the functional and presentation currency of the Fund.</t>
  </si>
  <si>
    <t>The preparation of the condensed interim financial statements in conformity with accounting and reporting standards as applicable in Pakistan requires management to make estimates, assumptions and use judgments that affect the application of policies and reported amounts of assets, liabilities, income and expenses. Estimates, assumptions and judgments are continually evaluated and are based on historical experience and other factors, including reasonable expectations of future events. Revisions to accounting estimates are recognised prospectively commencing from the period of revision. In preparing the condensed interim financial statements, the significant judgments made by management in applying the Fund’s accounting policies and the key sources of estimation and uncertainty were the same as those applied to the financial statements as at and for the year ended June 30, 2021.</t>
  </si>
  <si>
    <t xml:space="preserve"> The Fund’s financial risk management objectives and policies are consistent with those disclosed in the annual financial statements of the Funds for the year ended June 30,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</si>
</sst>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5">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_(* #,##0_);_(* \(#,##0\);_(* &quot;-&quot;??_);_(@_)"/>
    <numFmt numFmtId="168" formatCode="#,##0.0_);\(#,##0.0\)"/>
    <numFmt numFmtId="169" formatCode="0.0"/>
    <numFmt numFmtId="170" formatCode="\ mmmm\ dd\,\ yyyy"/>
    <numFmt numFmtId="171" formatCode="_(* #,##0.00_);_(* \(#,##0.00\);_(* &quot;-&quot;_);_(@_)"/>
    <numFmt numFmtId="172" formatCode="_(* #,##0.0000_);_(* \(#,##0.0000\);_(* &quot;-&quot;??_);_(@_)"/>
    <numFmt numFmtId="173" formatCode="_(* #,##0.0_);_(* \(#,##0.0\);_(* &quot;-&quot;??_);_(@_)"/>
    <numFmt numFmtId="174" formatCode="#,##0.000_);\(#,##0.000\)"/>
    <numFmt numFmtId="175" formatCode="_(* #,##0.000_);_(* \(#,##0.000\);_(* &quot;-&quot;??_);_(@_)"/>
    <numFmt numFmtId="176" formatCode="_-* #,##0_-;\-* #,##0_-;_-* &quot;-&quot;??_-;_-@_-"/>
    <numFmt numFmtId="177" formatCode="#,##0_);\(#,##0\);&quot;-&quot;_);_(@_)"/>
    <numFmt numFmtId="178" formatCode="[$-409]d\-mmm\-yy;@"/>
    <numFmt numFmtId="179" formatCode="#,##0;_(* \(#,##0\);&quot;-&quot;;_(@_)"/>
    <numFmt numFmtId="180" formatCode="[$-F400]h:mm:ss\ AM/PM"/>
    <numFmt numFmtId="181" formatCode="#,##0_ "/>
    <numFmt numFmtId="182" formatCode="_ * #,##0.00_ ;_ * \-#,##0.00_ ;_ * &quot;-&quot;??_ ;_ @_ "/>
    <numFmt numFmtId="183" formatCode="_ * #,##0_ ;_ * \-#,##0_ ;_ * &quot;-&quot;??_ ;_ @_ "/>
    <numFmt numFmtId="184" formatCode="&quot;$&quot;\ #,##0.00;&quot;$&quot;\ \-#,##0.00"/>
    <numFmt numFmtId="185" formatCode="_(* #,##0.00000_);_(* \(#,##0.00000\);_(* &quot;-&quot;??_);_(@_)"/>
    <numFmt numFmtId="186" formatCode="_ * #,##0.0000_ ;_ * \-#,##0.0000_ ;_ * &quot;-&quot;??_ ;_ @_ "/>
    <numFmt numFmtId="187" formatCode="_([$€-2]* #,##0.00_);_([$€-2]* \(#,##0.00\);_([$€-2]* &quot;-&quot;??_)"/>
    <numFmt numFmtId="188" formatCode="[&gt;1]\ &quot;Pk of &quot;\ #;[=1]\ &quot;Each&quot;;\ 0.000\ &quot; km&quot;"/>
    <numFmt numFmtId="189" formatCode="&quot; $&quot;* #,##0.00_ ;"/>
    <numFmt numFmtId="190" formatCode="_ * #,##0.00_)&quot;F&quot;_ ;_ * \(#,##0.00\)&quot;F&quot;_ ;_ * &quot;-&quot;??_)&quot;F&quot;_ ;_ @_ "/>
    <numFmt numFmtId="191" formatCode="0.0%"/>
    <numFmt numFmtId="192" formatCode="_-* #,##0\ _P_t_s_-;\-* #,##0\ _P_t_s_-;_-* &quot;-&quot;\ _P_t_s_-;_-@_-"/>
    <numFmt numFmtId="193" formatCode="_-* #,##0.00\ _P_t_s_-;\-* #,##0.00\ _P_t_s_-;_-* &quot;-&quot;??\ _P_t_s_-;_-@_-"/>
    <numFmt numFmtId="194" formatCode="_(* #,##0.00_);_(* \(#,##0.00\);_(* \-??_);_(@_)"/>
    <numFmt numFmtId="195" formatCode="_-* #,##0\ &quot;F&quot;_-;\-* #,##0\ &quot;F&quot;_-;_-* &quot;-&quot;\ &quot;F&quot;_-;_-@_-"/>
    <numFmt numFmtId="196" formatCode="_-* #,##0.00\ &quot;F&quot;_-;\-* #,##0.00\ &quot;F&quot;_-;_-* &quot;-&quot;??\ &quot;F&quot;_-;_-@_-"/>
    <numFmt numFmtId="197" formatCode="&quot;$&quot;#,\);\(&quot;$&quot;#,\)"/>
    <numFmt numFmtId="198" formatCode="&quot;$&quot;#,;\(&quot;$&quot;#,\)"/>
    <numFmt numFmtId="199" formatCode="General_)"/>
    <numFmt numFmtId="200" formatCode="\I\n\t\i\a\l\ \c\a\p"/>
    <numFmt numFmtId="201" formatCode="\£\ #,##0_);[Red]\(\£\ #,##0\)"/>
    <numFmt numFmtId="202" formatCode="\¥\ #,##0_);[Red]\(\¥\ #,##0\)"/>
    <numFmt numFmtId="203" formatCode="\•\ \ @"/>
    <numFmt numFmtId="204" formatCode="\ \ _•\–\ \ \ \ @"/>
    <numFmt numFmtId="205" formatCode="&quot;$&quot;##,##0_);[Red]\(&quot;$&quot;#,##0\)"/>
    <numFmt numFmtId="206" formatCode="[$-409]dddd\,\ mmmm\ dd\,\ yyyy"/>
    <numFmt numFmtId="207" formatCode="_(* #,##0.00000000_);_(* \(#,##0.00000000\);_(* &quot;-&quot;??_);_(@_)"/>
    <numFmt numFmtId="208" formatCode="#,##0.000"/>
    <numFmt numFmtId="209" formatCode="_-&quot;$&quot;* #,##0_-;\-&quot;$&quot;* #,##0_-;_-&quot;$&quot;* &quot;-&quot;_-;_-@_-"/>
    <numFmt numFmtId="210" formatCode="_-&quot;$&quot;* #,##0.00_-;\-&quot;$&quot;* #,##0.00_-;_-&quot;$&quot;* &quot;-&quot;??_-;_-@_-"/>
    <numFmt numFmtId="211" formatCode="#,##0;\-#,##0;&quot;-&quot;"/>
    <numFmt numFmtId="212" formatCode="\$#,;&quot;($&quot;#,\)"/>
    <numFmt numFmtId="213" formatCode="[&gt;1]&quot;Pk of  &quot;#;[=1]&quot;Each&quot;;0.000&quot;  km&quot;"/>
    <numFmt numFmtId="214" formatCode="mm/dd/yy"/>
    <numFmt numFmtId="215" formatCode="#,##0.00;[Red]\(#,##0.00\)"/>
    <numFmt numFmtId="216" formatCode="_ * #,##0_ ;_ * \-#,##0_ ;_ * &quot;-&quot;_ ;_ @_ "/>
    <numFmt numFmtId="217" formatCode="_(* #,##0.0_);_(* \(#,##0.0\);_(* &quot;-&quot;?_);@_)"/>
    <numFmt numFmtId="218" formatCode="&quot;Re.&quot;\ #,##0.00"/>
    <numFmt numFmtId="219" formatCode="0.0000"/>
    <numFmt numFmtId="220" formatCode="&quot;£ &quot;#,##0_);[Red]&quot;(£ &quot;#,##0\)"/>
    <numFmt numFmtId="221" formatCode="&quot;¥ &quot;#,##0_);[Red]&quot;(¥ &quot;#,##0\)"/>
    <numFmt numFmtId="222" formatCode="&quot;•  &quot;@"/>
    <numFmt numFmtId="223" formatCode="_(\$* #,##0.00_);_(\$* \(#,##0.00\);_(\$* \-??_);_(@_)"/>
    <numFmt numFmtId="224" formatCode="_•&quot;–    &quot;@"/>
    <numFmt numFmtId="225" formatCode="\$##,##0_);[Red]&quot;($&quot;#,##0\)"/>
    <numFmt numFmtId="226" formatCode="&quot;Intial cap&quot;"/>
    <numFmt numFmtId="227" formatCode="0.000%"/>
    <numFmt numFmtId="228" formatCode="#,##0_);\(#,##0\);_(* &quot;-&quot;??_);_(@_)"/>
    <numFmt numFmtId="229" formatCode="[$-409]d/mmm/yy;@"/>
    <numFmt numFmtId="230" formatCode="_(* #,##0.000_);_(* \(#,##0.000\);_(* \-??_);_(@_)"/>
    <numFmt numFmtId="231" formatCode="_([$€-2]* #,##0.00_);_([$€-2]* \(#,##0.00\);_([$€-2]* \-??_)"/>
    <numFmt numFmtId="232" formatCode="0.000_)"/>
    <numFmt numFmtId="233" formatCode="_([$€]* #,##0.00_);_([$€]* \(#,##0.00\);_([$€]* &quot;-&quot;??_);_(@_)"/>
    <numFmt numFmtId="234" formatCode="#,##0.00&quot; $&quot;;\-#,##0.00&quot; $&quot;"/>
    <numFmt numFmtId="235" formatCode="d\ mmm\ yy\ /\ h:mm"/>
    <numFmt numFmtId="236" formatCode="_(* #,##0_);_(* \(#,##0\);_(* &quot;-&quot;?_);@_)"/>
    <numFmt numFmtId="237" formatCode="#."/>
    <numFmt numFmtId="238" formatCode="#,##0.00;\-#,##0.00;&quot;-&quot;"/>
    <numFmt numFmtId="239" formatCode="#,##0.00%;\-#,##0.00%;&quot;- &quot;"/>
    <numFmt numFmtId="240" formatCode="#,##0.0;\-#,##0.0;&quot;-&quot;"/>
    <numFmt numFmtId="241" formatCode="#,##0.0000;\-#,##0.0000"/>
    <numFmt numFmtId="242" formatCode="#,##0.000000_);\(#,##0.000000\)"/>
    <numFmt numFmtId="243" formatCode="0%;\(0%\)"/>
    <numFmt numFmtId="244" formatCode="\ \ \ \ @"/>
    <numFmt numFmtId="245" formatCode="_-* #,##0.00_-;\-* #,##0.00_-;_-* \-??_-;_-@_-"/>
    <numFmt numFmtId="246" formatCode="#,##0.00&quot; $&quot;;[Red]\-#,##0.00&quot; $&quot;"/>
    <numFmt numFmtId="247" formatCode="_(* #,##0.0000_);_(* \(#,##0.0000\);_(* &quot;-&quot;_);_(@_)"/>
    <numFmt numFmtId="248" formatCode="_-* #,##0.0_-;\-* #,##0.0_-;_-* &quot;-&quot;??_-;_-@_-"/>
    <numFmt numFmtId="249" formatCode="0.0000_);\(0.0000\)"/>
    <numFmt numFmtId="250" formatCode="_-* #,##0.00\ _D_M_-;\-* #,##0.00\ _D_M_-;_-* &quot;-&quot;??\ _D_M_-;_-@_-"/>
    <numFmt numFmtId="251" formatCode="_-* #,##0\ _D_M_-;\-* #,##0\ _D_M_-;_-* &quot;-&quot;??\ _D_M_-;_-@_-"/>
    <numFmt numFmtId="252" formatCode="dd\-mmm\-yyyy"/>
    <numFmt numFmtId="253" formatCode="#,##0.0_);\-#,##0.0"/>
    <numFmt numFmtId="254" formatCode="_-* #,##0.00\ &quot;€&quot;_-;\-* #,##0.00\ &quot;€&quot;_-;_-* &quot;-&quot;??\ &quot;€&quot;_-;_-@_-"/>
    <numFmt numFmtId="255" formatCode="_(&quot;Rs.&quot;* #,##0.00_);_(&quot;Rs.&quot;* \(#,##0.00\);_(&quot;Rs.&quot;* &quot;-&quot;??_);_(@_)"/>
    <numFmt numFmtId="256" formatCode="_ &quot;\&quot;* #,##0_ ;_ &quot;\&quot;* \-#,##0_ ;_ &quot;\&quot;* &quot;-&quot;_ ;_ @_ "/>
    <numFmt numFmtId="257" formatCode="0.00_)"/>
    <numFmt numFmtId="258" formatCode="_-* #,##0.00\ _€_-;\-* #,##0.00\ _€_-;_-* &quot;-&quot;??\ _€_-;_-@_-"/>
    <numFmt numFmtId="259" formatCode="_ [$€]* #,##0.00_ ;_ [$€]* \-#,##0.00_ ;_ [$€]* &quot;-&quot;??_ ;_ @_ "/>
    <numFmt numFmtId="260" formatCode="#,##0_);\(#,##0\);_(* &quot;-&quot;?_);_(@_)"/>
    <numFmt numFmtId="261" formatCode="#,##0.0000_);\(#,##0.0000\);_(* &quot;-&quot;?_);_(@_)"/>
    <numFmt numFmtId="262" formatCode="#,##0."/>
    <numFmt numFmtId="263" formatCode="#,##0.0000_);\(#,##0.0000\)"/>
    <numFmt numFmtId="264" formatCode="[$-409]d\-mmm\-yyyy;@"/>
    <numFmt numFmtId="265" formatCode="&quot;$&quot;#,##0.00"/>
    <numFmt numFmtId="266" formatCode="d\-mmm\-yyyy"/>
    <numFmt numFmtId="267" formatCode="&quot;$&quot;\ #,##0.00;[Red]&quot;$&quot;\ \-#,##0.00"/>
    <numFmt numFmtId="268" formatCode="#,##0;\(#,##0\);0"/>
    <numFmt numFmtId="269" formatCode="0%_);\(0%\)"/>
    <numFmt numFmtId="270" formatCode="#,##0.0000000_);[Red]\(#,##0.0000000\)"/>
    <numFmt numFmtId="271" formatCode="0.0%;\(0.0%\)"/>
    <numFmt numFmtId="272" formatCode="* \(#,##0\);* #,##0_);&quot;-&quot;??_);@"/>
    <numFmt numFmtId="273" formatCode="* #,##0_);* \(#,##0\);&quot;-&quot;??_);@"/>
    <numFmt numFmtId="274" formatCode="d\.mmm"/>
    <numFmt numFmtId="275" formatCode="_ &quot;$&quot;\ * #,##0.00_ ;_ &quot;$&quot;\ * \-#,##0.00_ ;_ &quot;$&quot;\ * &quot;-&quot;??_ ;_ @_ "/>
    <numFmt numFmtId="276" formatCode="[$-409]dd\-mmm\-yy;@"/>
    <numFmt numFmtId="277" formatCode="#,##0.0000"/>
    <numFmt numFmtId="278" formatCode="#,##0.00_ "/>
    <numFmt numFmtId="279" formatCode="#,##0.00_);\(#,##0.00\);_(* &quot;-&quot;?_);_(@_)"/>
    <numFmt numFmtId="280" formatCode="#,##0.000_);\(#,##0.000\);_(* &quot;-&quot;?_);_(@_)"/>
    <numFmt numFmtId="281" formatCode="#,##0.00000_);\(#,##0.00000\);_(* &quot;-&quot;?_);_(@_)"/>
    <numFmt numFmtId="282" formatCode="#,##0.000000_);\(#,##0.000000\);_(* &quot;-&quot;?_);_(@_)"/>
  </numFmts>
  <fonts count="308">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9"/>
      <name val="Arial"/>
      <family val="2"/>
    </font>
    <font>
      <sz val="9"/>
      <name val="Arial"/>
      <family val="2"/>
    </font>
    <font>
      <sz val="10"/>
      <name val="Arial"/>
      <family val="2"/>
    </font>
    <font>
      <sz val="9"/>
      <color indexed="8"/>
      <name val="Arial"/>
      <family val="2"/>
    </font>
    <font>
      <sz val="9"/>
      <color indexed="10"/>
      <name val="Arial"/>
      <family val="2"/>
    </font>
    <font>
      <b/>
      <sz val="9"/>
      <color indexed="10"/>
      <name val="Arial"/>
      <family val="2"/>
    </font>
    <font>
      <b/>
      <sz val="9"/>
      <color indexed="8"/>
      <name val="Arial"/>
      <family val="2"/>
    </font>
    <font>
      <sz val="8"/>
      <name val="Arial"/>
      <family val="2"/>
    </font>
    <font>
      <sz val="12"/>
      <name val="Arial"/>
      <family val="2"/>
    </font>
    <font>
      <b/>
      <sz val="12"/>
      <name val="Arial"/>
      <family val="2"/>
    </font>
    <font>
      <sz val="10"/>
      <color indexed="8"/>
      <name val="Arial"/>
      <family val="2"/>
    </font>
    <font>
      <sz val="10"/>
      <name val="Tahoma"/>
      <family val="2"/>
    </font>
    <font>
      <sz val="7"/>
      <name val="Arial"/>
      <family val="2"/>
    </font>
    <font>
      <b/>
      <sz val="10"/>
      <name val="Arial"/>
      <family val="2"/>
    </font>
    <font>
      <b/>
      <sz val="8"/>
      <name val="Arial"/>
      <family val="2"/>
    </font>
    <font>
      <b/>
      <sz val="9"/>
      <color indexed="9"/>
      <name val="Arial"/>
      <family val="2"/>
    </font>
    <font>
      <sz val="8"/>
      <name val="Times New Roman"/>
      <family val="1"/>
    </font>
    <font>
      <sz val="8"/>
      <color indexed="8"/>
      <name val="Arial"/>
      <family val="2"/>
    </font>
    <font>
      <sz val="7.5"/>
      <name val="Arial"/>
      <family val="2"/>
    </font>
    <font>
      <sz val="8"/>
      <color indexed="10"/>
      <name val="Arial"/>
      <family val="2"/>
    </font>
    <font>
      <sz val="10"/>
      <color indexed="10"/>
      <name val="Arial"/>
      <family val="2"/>
    </font>
    <font>
      <sz val="8"/>
      <name val="Calibri"/>
      <family val="2"/>
    </font>
    <font>
      <b/>
      <sz val="14"/>
      <name val="Arial"/>
      <family val="2"/>
    </font>
    <font>
      <b/>
      <i/>
      <sz val="10"/>
      <name val="Arial"/>
      <family val="2"/>
    </font>
    <font>
      <sz val="8"/>
      <name val="Times New Roman"/>
      <family val="1"/>
    </font>
    <font>
      <sz val="9"/>
      <name val="Times New Roman"/>
      <family val="1"/>
    </font>
    <font>
      <b/>
      <sz val="7.5"/>
      <name val="Arial"/>
      <family val="2"/>
    </font>
    <font>
      <sz val="9"/>
      <color indexed="9"/>
      <name val="Arial"/>
      <family val="2"/>
    </font>
    <font>
      <sz val="8"/>
      <name val="Arial"/>
      <family val="2"/>
    </font>
    <font>
      <b/>
      <sz val="10"/>
      <name val="Trebuchet MS"/>
      <family val="2"/>
    </font>
    <font>
      <sz val="10"/>
      <name val="Trebuchet MS"/>
      <family val="2"/>
    </font>
    <font>
      <b/>
      <sz val="10"/>
      <color indexed="9"/>
      <name val="Trebuchet MS"/>
      <family val="2"/>
    </font>
    <font>
      <sz val="8"/>
      <name val="Verdana"/>
      <family val="2"/>
    </font>
    <font>
      <sz val="8"/>
      <color indexed="8"/>
      <name val="Arial"/>
      <family val="2"/>
    </font>
    <font>
      <b/>
      <sz val="7"/>
      <name val="Arial"/>
      <family val="2"/>
    </font>
    <font>
      <sz val="9"/>
      <color theme="1"/>
      <name val="Georgia"/>
      <family val="1"/>
    </font>
    <font>
      <sz val="9"/>
      <color rgb="FF000000"/>
      <name val="Georgia"/>
      <family val="1"/>
    </font>
    <font>
      <sz val="7"/>
      <color indexed="8"/>
      <name val="Arial"/>
      <family val="2"/>
    </font>
    <font>
      <sz val="8"/>
      <color theme="1"/>
      <name val="Arial"/>
      <family val="2"/>
    </font>
    <font>
      <b/>
      <sz val="9"/>
      <color theme="0"/>
      <name val="Georgia"/>
      <family val="1"/>
    </font>
    <font>
      <sz val="9"/>
      <name val="Georgia"/>
      <family val="1"/>
    </font>
    <font>
      <b/>
      <sz val="9"/>
      <name val="Georgia"/>
      <family val="1"/>
    </font>
    <font>
      <sz val="9"/>
      <color indexed="43"/>
      <name val="Arial"/>
      <family val="2"/>
    </font>
    <font>
      <sz val="7.5"/>
      <name val="Arial Narrow"/>
      <family val="2"/>
    </font>
    <font>
      <b/>
      <sz val="7.5"/>
      <name val="Arial Narrow"/>
      <family val="2"/>
    </font>
    <font>
      <sz val="7.5"/>
      <color indexed="43"/>
      <name val="Arial Narrow"/>
      <family val="2"/>
    </font>
    <font>
      <sz val="9"/>
      <color rgb="FF363636"/>
      <name val="Arial"/>
      <family val="2"/>
    </font>
    <font>
      <sz val="9"/>
      <color indexed="43"/>
      <name val="Georgia"/>
      <family val="1"/>
    </font>
    <font>
      <sz val="9"/>
      <color rgb="FF363636"/>
      <name val="Georgia"/>
      <family val="1"/>
    </font>
    <font>
      <b/>
      <sz val="9"/>
      <color indexed="10"/>
      <name val="Georgia"/>
      <family val="1"/>
    </font>
    <font>
      <sz val="9"/>
      <color indexed="10"/>
      <name val="Georgia"/>
      <family val="1"/>
    </font>
    <font>
      <b/>
      <sz val="9"/>
      <color theme="1"/>
      <name val="Georgia"/>
      <family val="1"/>
    </font>
    <font>
      <b/>
      <u/>
      <sz val="9"/>
      <color theme="1"/>
      <name val="Georgia"/>
      <family val="1"/>
    </font>
    <font>
      <sz val="7.5"/>
      <name val="Times New Roman"/>
      <family val="1"/>
    </font>
    <font>
      <sz val="12"/>
      <name val="Times New Roman"/>
      <family val="1"/>
    </font>
    <font>
      <sz val="10"/>
      <name val="Times New Roman"/>
      <family val="1"/>
    </font>
    <font>
      <sz val="11"/>
      <name val="Times New Roman"/>
      <family val="1"/>
    </font>
    <font>
      <b/>
      <sz val="11"/>
      <name val="Times New Roman"/>
      <family val="1"/>
    </font>
    <font>
      <sz val="10"/>
      <name val="CG Omeg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theme="1"/>
      <name val="Calibri"/>
      <family val="2"/>
      <scheme val="minor"/>
    </font>
    <font>
      <b/>
      <sz val="9"/>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lbertus Medium"/>
      <family val="2"/>
    </font>
    <font>
      <b/>
      <sz val="10"/>
      <name val="Times New Roman"/>
      <family val="1"/>
    </font>
    <font>
      <b/>
      <sz val="18"/>
      <color indexed="56"/>
      <name val="Cambria"/>
      <family val="2"/>
    </font>
    <font>
      <b/>
      <sz val="11"/>
      <color indexed="8"/>
      <name val="Calibri"/>
      <family val="2"/>
    </font>
    <font>
      <sz val="11"/>
      <color indexed="10"/>
      <name val="Calibri"/>
      <family val="2"/>
    </font>
    <font>
      <sz val="12"/>
      <name val="DTMLetterRegular"/>
    </font>
    <font>
      <sz val="10"/>
      <color indexed="8"/>
      <name val="MS Sans Serif"/>
      <family val="2"/>
    </font>
    <font>
      <b/>
      <sz val="12"/>
      <name val="Times New Roman"/>
      <family val="1"/>
    </font>
    <font>
      <b/>
      <sz val="12"/>
      <color indexed="8"/>
      <name val="Times New Roman"/>
      <family val="1"/>
    </font>
    <font>
      <sz val="10"/>
      <color indexed="0"/>
      <name val="MS Sans Serif"/>
      <family val="2"/>
    </font>
    <font>
      <sz val="12"/>
      <color indexed="9"/>
      <name val="Arial"/>
      <family val="2"/>
    </font>
    <font>
      <b/>
      <sz val="14"/>
      <name val="Tms Rmn"/>
    </font>
    <font>
      <sz val="12"/>
      <color indexed="8"/>
      <name val="Times New Roman"/>
      <family val="1"/>
    </font>
    <font>
      <sz val="12"/>
      <name val="Helv"/>
    </font>
    <font>
      <sz val="11"/>
      <color indexed="8"/>
      <name val="Times New Roman"/>
      <family val="1"/>
    </font>
    <font>
      <b/>
      <sz val="10"/>
      <color indexed="17"/>
      <name val="Arial"/>
      <family val="2"/>
    </font>
    <font>
      <sz val="12"/>
      <name val="Tms Rmn"/>
    </font>
    <font>
      <b/>
      <sz val="9"/>
      <color indexed="12"/>
      <name val="Arial"/>
      <family val="2"/>
    </font>
    <font>
      <sz val="10"/>
      <name val="MS Serif"/>
      <family val="1"/>
    </font>
    <font>
      <i/>
      <sz val="9"/>
      <color indexed="8"/>
      <name val="Arial"/>
      <family val="2"/>
    </font>
    <font>
      <sz val="10"/>
      <color indexed="16"/>
      <name val="MS Serif"/>
      <family val="1"/>
    </font>
    <font>
      <b/>
      <sz val="9"/>
      <color indexed="20"/>
      <name val="Arial"/>
      <family val="2"/>
    </font>
    <font>
      <sz val="8"/>
      <color indexed="18"/>
      <name val="Arial"/>
      <family val="2"/>
    </font>
    <font>
      <sz val="8"/>
      <name val="Helv"/>
    </font>
    <font>
      <b/>
      <sz val="8"/>
      <color indexed="8"/>
      <name val="Helv"/>
    </font>
    <font>
      <sz val="10"/>
      <name val="Helv"/>
      <charset val="204"/>
    </font>
    <font>
      <sz val="10"/>
      <name val="ＭＳ Ｐゴシック"/>
      <family val="3"/>
      <charset val="128"/>
    </font>
    <font>
      <sz val="10"/>
      <name val="MS Sans Serif"/>
      <family val="2"/>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6"/>
      <color indexed="13"/>
      <name val="Arial"/>
      <family val="2"/>
    </font>
    <font>
      <b/>
      <sz val="22"/>
      <color indexed="8"/>
      <name val="Times New Roman"/>
      <family val="1"/>
    </font>
    <font>
      <b/>
      <sz val="12"/>
      <color indexed="8"/>
      <name val="Barclays Serif"/>
      <family val="2"/>
    </font>
    <font>
      <b/>
      <sz val="8"/>
      <color indexed="24"/>
      <name val="Arial"/>
      <family val="2"/>
    </font>
    <font>
      <b/>
      <sz val="9"/>
      <color indexed="24"/>
      <name val="Arial"/>
      <family val="2"/>
    </font>
    <font>
      <b/>
      <sz val="11"/>
      <color indexed="24"/>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i/>
      <sz val="16"/>
      <name val="Arial"/>
      <family val="2"/>
    </font>
    <font>
      <sz val="12"/>
      <name val="Tms Rmn"/>
      <charset val="178"/>
    </font>
    <font>
      <b/>
      <sz val="14"/>
      <name val="Helv"/>
    </font>
    <font>
      <sz val="8"/>
      <name val="Helv"/>
      <charset val="178"/>
    </font>
    <font>
      <b/>
      <sz val="8"/>
      <color indexed="8"/>
      <name val="Helv"/>
      <charset val="178"/>
    </font>
    <font>
      <sz val="24"/>
      <color indexed="13"/>
      <name val="Helv"/>
    </font>
    <font>
      <i/>
      <sz val="10"/>
      <name val="CG Omega"/>
      <family val="2"/>
    </font>
    <font>
      <sz val="11"/>
      <name val="Tms Rmn"/>
    </font>
    <font>
      <sz val="9.85"/>
      <color indexed="8"/>
      <name val="Times New Roman"/>
      <family val="1"/>
    </font>
    <font>
      <sz val="12"/>
      <name val="Book Antiqua"/>
      <family val="1"/>
    </font>
    <font>
      <sz val="10"/>
      <name val="ＭＳ ゴシック"/>
      <family val="3"/>
      <charset val="128"/>
    </font>
    <font>
      <b/>
      <sz val="11"/>
      <name val="Book Antiqua"/>
      <family val="1"/>
    </font>
    <font>
      <b/>
      <sz val="18"/>
      <color indexed="8"/>
      <name val="Times New Roman"/>
      <family val="1"/>
    </font>
    <font>
      <b/>
      <u/>
      <sz val="8.0500000000000007"/>
      <color indexed="8"/>
      <name val="Times New Roman"/>
      <family val="1"/>
    </font>
    <font>
      <sz val="1"/>
      <color indexed="16"/>
      <name val="Courier"/>
      <family val="3"/>
    </font>
    <font>
      <u/>
      <sz val="10"/>
      <color indexed="36"/>
      <name val="Arial"/>
      <family val="2"/>
    </font>
    <font>
      <u/>
      <sz val="10"/>
      <color theme="10"/>
      <name val="Arial"/>
      <family val="2"/>
    </font>
    <font>
      <u/>
      <sz val="7"/>
      <color rgb="FF444444"/>
      <name val="Calibri"/>
      <family val="2"/>
      <scheme val="minor"/>
    </font>
    <font>
      <sz val="12"/>
      <color theme="1"/>
      <name val="Times New Roman"/>
      <family val="1"/>
    </font>
    <font>
      <sz val="10"/>
      <color theme="1"/>
      <name val="Tahoma"/>
      <family val="2"/>
    </font>
    <font>
      <b/>
      <sz val="18"/>
      <color theme="3"/>
      <name val="Cambria"/>
      <family val="2"/>
    </font>
    <font>
      <sz val="10"/>
      <name val="Courier"/>
      <family val="3"/>
    </font>
    <font>
      <sz val="10"/>
      <color indexed="12"/>
      <name val="Arial"/>
      <family val="2"/>
    </font>
    <font>
      <u/>
      <sz val="10"/>
      <color indexed="12"/>
      <name val="Arial"/>
      <family val="2"/>
    </font>
    <font>
      <u/>
      <sz val="7.5"/>
      <color indexed="12"/>
      <name val="Arial"/>
      <family val="2"/>
    </font>
    <font>
      <u/>
      <sz val="7.5"/>
      <color indexed="36"/>
      <name val="Arial"/>
      <family val="2"/>
    </font>
    <font>
      <sz val="10"/>
      <color indexed="14"/>
      <name val="Arial"/>
      <family val="2"/>
    </font>
    <font>
      <b/>
      <sz val="16"/>
      <name val="Abadi MT Condensed"/>
      <family val="2"/>
    </font>
    <font>
      <sz val="12"/>
      <color indexed="13"/>
      <name val="Helv"/>
    </font>
    <font>
      <b/>
      <sz val="12"/>
      <name val="Helv"/>
    </font>
    <font>
      <sz val="11"/>
      <color theme="1"/>
      <name val="Arial"/>
      <family val="2"/>
    </font>
    <font>
      <u/>
      <sz val="10"/>
      <color rgb="FF7A1818"/>
      <name val="Georgia"/>
      <family val="1"/>
    </font>
    <font>
      <sz val="10"/>
      <color theme="1"/>
      <name val="Arial Unicode MS"/>
      <family val="2"/>
    </font>
    <font>
      <sz val="10"/>
      <color theme="0"/>
      <name val="Calibri"/>
      <family val="2"/>
      <scheme val="minor"/>
    </font>
    <font>
      <sz val="12"/>
      <name val="¹ÙÅÁÃ¼"/>
    </font>
    <font>
      <sz val="10"/>
      <color rgb="FF9C0006"/>
      <name val="Calibri"/>
      <family val="2"/>
      <scheme val="minor"/>
    </font>
    <font>
      <b/>
      <sz val="10"/>
      <color rgb="FFFA7D00"/>
      <name val="Calibri"/>
      <family val="2"/>
      <scheme val="minor"/>
    </font>
    <font>
      <b/>
      <sz val="10"/>
      <color theme="0"/>
      <name val="Calibri"/>
      <family val="2"/>
      <scheme val="minor"/>
    </font>
    <font>
      <b/>
      <sz val="14.05"/>
      <color indexed="8"/>
      <name val="Times New Roman"/>
      <family val="1"/>
    </font>
    <font>
      <b/>
      <sz val="9.85"/>
      <color indexed="8"/>
      <name val="Times New Roman"/>
      <family val="1"/>
    </font>
    <font>
      <i/>
      <sz val="10"/>
      <color rgb="FF7F7F7F"/>
      <name val="Calibri"/>
      <family val="2"/>
      <scheme val="minor"/>
    </font>
    <font>
      <sz val="10"/>
      <color rgb="FF006100"/>
      <name val="Calibri"/>
      <family val="2"/>
      <scheme val="minor"/>
    </font>
    <font>
      <u/>
      <sz val="11"/>
      <color theme="10"/>
      <name val="Calibri"/>
      <family val="2"/>
    </font>
    <font>
      <u/>
      <sz val="9.5"/>
      <color indexed="12"/>
      <name val="Arial"/>
      <family val="2"/>
    </font>
    <font>
      <sz val="10"/>
      <color rgb="FF3F3F76"/>
      <name val="Calibri"/>
      <family val="2"/>
      <scheme val="minor"/>
    </font>
    <font>
      <sz val="10"/>
      <color rgb="FFFA7D00"/>
      <name val="Calibri"/>
      <family val="2"/>
      <scheme val="minor"/>
    </font>
    <font>
      <sz val="10"/>
      <color rgb="FF9C6500"/>
      <name val="Calibri"/>
      <family val="2"/>
      <scheme val="minor"/>
    </font>
    <font>
      <b/>
      <i/>
      <sz val="16"/>
      <name val="Helv"/>
    </font>
    <font>
      <sz val="9"/>
      <name val="Helv"/>
    </font>
    <font>
      <b/>
      <sz val="10"/>
      <color rgb="FF3F3F3F"/>
      <name val="Calibri"/>
      <family val="2"/>
      <scheme val="minor"/>
    </font>
    <font>
      <sz val="10"/>
      <name val="Helv"/>
      <family val="2"/>
    </font>
    <font>
      <b/>
      <sz val="10"/>
      <color theme="1"/>
      <name val="Calibri"/>
      <family val="2"/>
      <scheme val="minor"/>
    </font>
    <font>
      <sz val="10"/>
      <color rgb="FFFF0000"/>
      <name val="Calibri"/>
      <family val="2"/>
      <scheme val="minor"/>
    </font>
    <font>
      <u/>
      <sz val="10"/>
      <color theme="10"/>
      <name val="Arial Unicode MS"/>
      <family val="2"/>
    </font>
    <font>
      <sz val="7"/>
      <name val="Arial Narrow"/>
      <family val="2"/>
    </font>
    <font>
      <b/>
      <sz val="7"/>
      <name val="Arial Narrow"/>
      <family val="2"/>
    </font>
    <font>
      <sz val="10"/>
      <name val="Garamond"/>
      <family val="1"/>
    </font>
    <font>
      <b/>
      <sz val="14.25"/>
      <color indexed="8"/>
      <name val="Times New Roman"/>
      <family val="1"/>
    </font>
    <font>
      <u/>
      <sz val="9"/>
      <color theme="10"/>
      <name val="Arial"/>
      <family val="2"/>
    </font>
    <font>
      <u/>
      <sz val="12"/>
      <color indexed="12"/>
      <name val="Times New Roman"/>
      <family val="1"/>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24"/>
      <color indexed="13"/>
      <name val="SWISS"/>
      <family val="2"/>
    </font>
    <font>
      <sz val="11"/>
      <color indexed="10"/>
      <name val="Calibri"/>
      <family val="2"/>
      <charset val="238"/>
    </font>
    <font>
      <b/>
      <sz val="14"/>
      <name val="SWISS"/>
      <family val="2"/>
    </font>
    <font>
      <sz val="11"/>
      <color indexed="52"/>
      <name val="Calibri"/>
      <family val="2"/>
      <charset val="238"/>
    </font>
    <font>
      <sz val="11"/>
      <name val="ＭＳ Ｐゴシック"/>
      <family val="3"/>
      <charset val="128"/>
    </font>
    <font>
      <sz val="11"/>
      <color indexed="17"/>
      <name val="Calibri"/>
      <family val="2"/>
      <charset val="238"/>
    </font>
    <font>
      <b/>
      <sz val="11"/>
      <color indexed="63"/>
      <name val="Calibri"/>
      <family val="2"/>
      <charset val="238"/>
    </font>
    <font>
      <i/>
      <sz val="11"/>
      <color indexed="23"/>
      <name val="Calibri"/>
      <family val="2"/>
      <charset val="238"/>
    </font>
    <font>
      <b/>
      <sz val="11"/>
      <color indexed="8"/>
      <name val="Calibri"/>
      <family val="2"/>
      <charset val="238"/>
    </font>
    <font>
      <sz val="11"/>
      <color indexed="20"/>
      <name val="Calibri"/>
      <family val="2"/>
      <charset val="238"/>
    </font>
    <font>
      <sz val="11"/>
      <color indexed="60"/>
      <name val="Calibri"/>
      <family val="2"/>
      <charset val="238"/>
    </font>
    <font>
      <b/>
      <sz val="11"/>
      <color indexed="52"/>
      <name val="Calibri"/>
      <family val="2"/>
      <charset val="238"/>
    </font>
    <font>
      <sz val="11"/>
      <color indexed="8"/>
      <name val=" "/>
      <family val="1"/>
      <charset val="136"/>
    </font>
    <font>
      <sz val="9"/>
      <name val="Arial Narrow"/>
      <family val="2"/>
    </font>
    <font>
      <b/>
      <sz val="8"/>
      <name val="Arial Narrow"/>
      <family val="2"/>
    </font>
    <font>
      <sz val="8"/>
      <name val="Arial Narrow"/>
      <family val="2"/>
    </font>
    <font>
      <sz val="7"/>
      <color indexed="8"/>
      <name val="Arial Narrow"/>
      <family val="2"/>
    </font>
    <font>
      <sz val="10"/>
      <color theme="1"/>
      <name val="EYInterstate"/>
    </font>
    <font>
      <b/>
      <sz val="10"/>
      <color theme="1"/>
      <name val="EYInterstate"/>
    </font>
    <font>
      <sz val="10"/>
      <name val="Arial Narrow"/>
      <family val="2"/>
    </font>
    <font>
      <b/>
      <sz val="10"/>
      <name val="Arial Narrow"/>
      <family val="2"/>
    </font>
    <font>
      <sz val="10"/>
      <color indexed="43"/>
      <name val="Arial Narrow"/>
      <family val="2"/>
    </font>
    <font>
      <sz val="10"/>
      <color rgb="FF363636"/>
      <name val="Arial Narrow"/>
      <family val="2"/>
    </font>
    <font>
      <b/>
      <sz val="10"/>
      <color indexed="10"/>
      <name val="Arial"/>
      <family val="2"/>
    </font>
    <font>
      <b/>
      <sz val="10"/>
      <color rgb="FF000000"/>
      <name val="EYInterstate"/>
    </font>
    <font>
      <sz val="10"/>
      <color rgb="FF000000"/>
      <name val="Arial Narrow"/>
      <family val="2"/>
    </font>
    <font>
      <sz val="10"/>
      <color rgb="FF000000"/>
      <name val="Arialnarrow"/>
    </font>
    <font>
      <b/>
      <sz val="11"/>
      <name val="Arial"/>
      <family val="2"/>
    </font>
    <font>
      <sz val="9.9499999999999993"/>
      <color indexed="8"/>
      <name val="Verdana"/>
      <family val="2"/>
    </font>
    <font>
      <sz val="11"/>
      <name val="Arial"/>
      <family val="2"/>
    </font>
    <font>
      <sz val="12"/>
      <name val="times new romam"/>
    </font>
    <font>
      <b/>
      <sz val="11"/>
      <color theme="1"/>
      <name val="Arial"/>
      <family val="2"/>
    </font>
    <font>
      <sz val="12"/>
      <name val="Times New Roman "/>
    </font>
    <font>
      <sz val="11"/>
      <color indexed="8"/>
      <name val="Arial"/>
      <family val="2"/>
    </font>
    <font>
      <b/>
      <sz val="11"/>
      <color indexed="8"/>
      <name val="Arial"/>
      <family val="2"/>
    </font>
    <font>
      <sz val="11"/>
      <color indexed="10"/>
      <name val="Arial"/>
      <family val="2"/>
    </font>
    <font>
      <b/>
      <sz val="11"/>
      <color indexed="10"/>
      <name val="Arial"/>
      <family val="2"/>
    </font>
    <font>
      <sz val="11"/>
      <color rgb="FFFF0000"/>
      <name val="Arial"/>
      <family val="2"/>
    </font>
    <font>
      <sz val="11"/>
      <color indexed="43"/>
      <name val="Arial"/>
      <family val="2"/>
    </font>
    <font>
      <sz val="11"/>
      <color rgb="FF363636"/>
      <name val="Arial"/>
      <family val="2"/>
    </font>
    <font>
      <b/>
      <sz val="11"/>
      <name val="Arial Black"/>
      <family val="2"/>
    </font>
    <font>
      <sz val="10"/>
      <name val="EYInterstate"/>
    </font>
    <font>
      <b/>
      <sz val="10"/>
      <name val="EYInterstate"/>
    </font>
    <font>
      <b/>
      <sz val="10"/>
      <name val="Arial Black"/>
      <family val="2"/>
    </font>
    <font>
      <sz val="10"/>
      <color rgb="FFFF0000"/>
      <name val="EYInterstate"/>
    </font>
    <font>
      <sz val="12"/>
      <color rgb="FFFF0000"/>
      <name val="Times New Roman"/>
      <family val="1"/>
    </font>
    <font>
      <b/>
      <sz val="12"/>
      <color rgb="FFFF0000"/>
      <name val="Times New Roman"/>
      <family val="1"/>
    </font>
    <font>
      <sz val="12"/>
      <color theme="1"/>
      <name val="Times New Roman"/>
      <family val="2"/>
    </font>
    <font>
      <sz val="10"/>
      <color indexed="60"/>
      <name val="Arial"/>
      <family val="2"/>
    </font>
    <font>
      <b/>
      <sz val="11"/>
      <color indexed="10"/>
      <name val="Calibri"/>
      <family val="2"/>
    </font>
    <font>
      <sz val="11"/>
      <color indexed="19"/>
      <name val="Calibri"/>
      <family val="2"/>
    </font>
    <font>
      <b/>
      <sz val="18"/>
      <color theme="3"/>
      <name val="Cambria"/>
      <family val="2"/>
      <scheme val="major"/>
    </font>
    <font>
      <b/>
      <sz val="10"/>
      <color indexed="8"/>
      <name val="Arial"/>
      <family val="2"/>
    </font>
    <font>
      <sz val="10"/>
      <color indexed="9"/>
      <name val="Arial"/>
      <family val="2"/>
    </font>
    <font>
      <sz val="10"/>
      <color indexed="20"/>
      <name val="Arial"/>
      <family val="2"/>
    </font>
    <font>
      <b/>
      <sz val="10"/>
      <color indexed="52"/>
      <name val="Arial"/>
      <family val="2"/>
    </font>
    <font>
      <b/>
      <sz val="9.9"/>
      <color indexed="8"/>
      <name val="Times New Roman"/>
      <family val="1"/>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b/>
      <sz val="10"/>
      <color indexed="63"/>
      <name val="Arial"/>
      <family val="2"/>
    </font>
    <font>
      <sz val="14.15"/>
      <color indexed="12"/>
      <name val="Times New Roman"/>
      <family val="1"/>
    </font>
    <font>
      <sz val="11"/>
      <color theme="1"/>
      <name val="Times New Roman"/>
      <family val="1"/>
    </font>
    <font>
      <u/>
      <sz val="8.5"/>
      <color indexed="12"/>
      <name val="Arial"/>
      <family val="2"/>
    </font>
    <font>
      <sz val="12"/>
      <color indexed="8"/>
      <name val="Times New Roman"/>
      <family val="2"/>
    </font>
    <font>
      <sz val="14"/>
      <name val="EucrosiaUPC"/>
      <family val="1"/>
    </font>
    <font>
      <sz val="10"/>
      <name val="Helv"/>
    </font>
    <font>
      <sz val="10"/>
      <color indexed="8"/>
      <name val="Book Antiqua"/>
      <family val="2"/>
    </font>
    <font>
      <u/>
      <sz val="6.6"/>
      <color indexed="12"/>
      <name val="Times New Roman"/>
      <family val="1"/>
    </font>
    <font>
      <u/>
      <sz val="10"/>
      <color indexed="14"/>
      <name val="MS Sans Serif"/>
      <family val="2"/>
    </font>
    <font>
      <sz val="10"/>
      <color indexed="8"/>
      <name val="匠牥晩††††††††††"/>
    </font>
    <font>
      <b/>
      <sz val="11"/>
      <color rgb="FFFF0000"/>
      <name val="Arial"/>
      <family val="2"/>
    </font>
    <font>
      <b/>
      <sz val="10"/>
      <color rgb="FF000000"/>
      <name val="Courier New"/>
      <family val="3"/>
    </font>
    <font>
      <b/>
      <sz val="8"/>
      <color rgb="FF000000"/>
      <name val="Verdana"/>
      <family val="2"/>
    </font>
    <font>
      <b/>
      <sz val="8"/>
      <color rgb="FF000000"/>
      <name val="Arial"/>
      <family val="2"/>
    </font>
    <font>
      <b/>
      <sz val="8"/>
      <color rgb="FF000000"/>
      <name val="Courier New"/>
      <family val="3"/>
    </font>
    <font>
      <sz val="8"/>
      <color rgb="FF000000"/>
      <name val="Courier New"/>
      <family val="3"/>
    </font>
    <font>
      <sz val="8"/>
      <color rgb="FF000000"/>
      <name val="Arial"/>
      <family val="2"/>
    </font>
    <font>
      <sz val="10"/>
      <color rgb="FFFF0000"/>
      <name val="Arial"/>
      <family val="2"/>
    </font>
    <font>
      <sz val="10"/>
      <color theme="0"/>
      <name val="Arial"/>
      <family val="2"/>
    </font>
    <font>
      <sz val="8"/>
      <color rgb="FFFF0000"/>
      <name val="Arial"/>
      <family val="2"/>
    </font>
    <font>
      <b/>
      <sz val="10"/>
      <color theme="1"/>
      <name val="Arial"/>
      <family val="2"/>
    </font>
  </fonts>
  <fills count="113">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8"/>
        <bgColor indexed="64"/>
      </patternFill>
    </fill>
    <fill>
      <patternFill patternType="solid">
        <fgColor rgb="FFFFFF00"/>
        <bgColor indexed="64"/>
      </patternFill>
    </fill>
    <fill>
      <patternFill patternType="solid">
        <fgColor rgb="FF80000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002060"/>
        <bgColor indexed="64"/>
      </patternFill>
    </fill>
    <fill>
      <patternFill patternType="solid">
        <fgColor rgb="FFA32020"/>
        <bgColor indexed="64"/>
      </patternFill>
    </fill>
    <fill>
      <patternFill patternType="solid">
        <fgColor rgb="FF7A181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22"/>
        <bgColor indexed="31"/>
      </patternFill>
    </fill>
    <fill>
      <patternFill patternType="solid">
        <fgColor indexed="26"/>
        <bgColor indexed="64"/>
      </patternFill>
    </fill>
    <fill>
      <patternFill patternType="solid">
        <fgColor indexed="9"/>
        <bgColor indexed="64"/>
      </patternFill>
    </fill>
    <fill>
      <patternFill patternType="solid">
        <fgColor indexed="26"/>
        <bgColor indexed="9"/>
      </patternFill>
    </fill>
    <fill>
      <patternFill patternType="solid">
        <fgColor indexed="13"/>
      </patternFill>
    </fill>
    <fill>
      <patternFill patternType="solid">
        <fgColor indexed="17"/>
      </patternFill>
    </fill>
    <fill>
      <patternFill patternType="solid">
        <fgColor indexed="12"/>
      </patternFill>
    </fill>
    <fill>
      <patternFill patternType="solid">
        <fgColor indexed="44"/>
        <bgColor indexed="64"/>
      </patternFill>
    </fill>
    <fill>
      <patternFill patternType="solid">
        <fgColor indexed="4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12"/>
        <bgColor indexed="12"/>
      </patternFill>
    </fill>
    <fill>
      <patternFill patternType="solid">
        <fgColor indexed="13"/>
        <bgColor indexed="13"/>
      </patternFill>
    </fill>
    <fill>
      <patternFill patternType="solid">
        <fgColor rgb="FF00B0F0"/>
        <bgColor indexed="64"/>
      </patternFill>
    </fill>
    <fill>
      <patternFill patternType="solid">
        <fgColor theme="3" tint="0.79998168889431442"/>
        <bgColor indexed="64"/>
      </patternFill>
    </fill>
    <fill>
      <patternFill patternType="solid">
        <fgColor theme="6"/>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indexed="27"/>
        <bgColor indexed="64"/>
      </patternFill>
    </fill>
    <fill>
      <patternFill patternType="solid">
        <fgColor indexed="56"/>
      </patternFill>
    </fill>
    <fill>
      <patternFill patternType="solid">
        <fgColor indexed="42"/>
        <bgColor indexed="64"/>
      </patternFill>
    </fill>
    <fill>
      <patternFill patternType="solid">
        <fgColor theme="9" tint="0.39997558519241921"/>
        <bgColor indexed="64"/>
      </patternFill>
    </fill>
  </fills>
  <borders count="1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ouble">
        <color indexed="64"/>
      </bottom>
      <diagonal/>
    </border>
    <border>
      <left/>
      <right/>
      <top/>
      <bottom style="medium">
        <color indexed="64"/>
      </bottom>
      <diagonal/>
    </border>
    <border>
      <left style="thick">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bottom/>
      <diagonal/>
    </border>
    <border>
      <left style="thin">
        <color indexed="9"/>
      </left>
      <right/>
      <top/>
      <bottom style="thin">
        <color indexed="9"/>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right/>
      <top style="thin">
        <color auto="1"/>
      </top>
      <bottom style="thin">
        <color auto="1"/>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8"/>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ck">
        <color indexed="64"/>
      </left>
      <right style="thick">
        <color indexed="64"/>
      </right>
      <top style="thick">
        <color indexed="64"/>
      </top>
      <bottom style="dashed">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auto="1"/>
      </top>
      <bottom/>
      <diagonal/>
    </border>
    <border>
      <left/>
      <right/>
      <top style="thin">
        <color auto="1"/>
      </top>
      <bottom style="double">
        <color auto="1"/>
      </bottom>
      <diagonal/>
    </border>
    <border>
      <left style="thick">
        <color indexed="9"/>
      </left>
      <right style="thick">
        <color indexed="9"/>
      </right>
      <top style="thick">
        <color indexed="9"/>
      </top>
      <bottom style="thick">
        <color indexed="9"/>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64"/>
      </left>
      <right/>
      <top style="thin">
        <color indexed="64"/>
      </top>
      <bottom/>
      <diagonal/>
    </border>
    <border>
      <left/>
      <right/>
      <top/>
      <bottom style="double">
        <color auto="1"/>
      </bottom>
      <diagonal/>
    </border>
    <border>
      <left/>
      <right style="thin">
        <color auto="1"/>
      </right>
      <top/>
      <bottom style="thin">
        <color auto="1"/>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56"/>
      </top>
      <bottom style="double">
        <color indexed="56"/>
      </bottom>
      <diagonal/>
    </border>
  </borders>
  <cellStyleXfs count="45344">
    <xf numFmtId="0" fontId="0" fillId="0" borderId="0"/>
    <xf numFmtId="0" fontId="24" fillId="0" borderId="0"/>
    <xf numFmtId="0" fontId="24" fillId="0" borderId="0"/>
    <xf numFmtId="260"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43" fontId="20" fillId="0" borderId="0" applyFont="0" applyFill="0" applyBorder="0" applyAlignment="0" applyProtection="0"/>
    <xf numFmtId="0" fontId="24" fillId="0" borderId="0"/>
    <xf numFmtId="43" fontId="24" fillId="0" borderId="0" applyFont="0" applyFill="0" applyBorder="0" applyAlignment="0" applyProtection="0"/>
    <xf numFmtId="0" fontId="19" fillId="0" borderId="0"/>
    <xf numFmtId="43" fontId="19" fillId="0" borderId="0" applyFont="0" applyFill="0" applyBorder="0" applyAlignment="0" applyProtection="0"/>
    <xf numFmtId="0" fontId="24" fillId="0" borderId="0"/>
    <xf numFmtId="9" fontId="77" fillId="0" borderId="0" applyFont="0" applyFill="0" applyBorder="0" applyAlignment="0" applyProtection="0"/>
    <xf numFmtId="182" fontId="77" fillId="0" borderId="0" applyFont="0" applyFill="0" applyBorder="0" applyAlignment="0" applyProtection="0"/>
    <xf numFmtId="0" fontId="78" fillId="0" borderId="0">
      <protection locked="0"/>
    </xf>
    <xf numFmtId="43" fontId="24" fillId="0" borderId="0" applyFont="0" applyFill="0" applyBorder="0" applyAlignment="0" applyProtection="0"/>
    <xf numFmtId="0" fontId="76" fillId="0" borderId="0"/>
    <xf numFmtId="43" fontId="76" fillId="0" borderId="0" applyFont="0" applyFill="0" applyBorder="0" applyAlignment="0" applyProtection="0"/>
    <xf numFmtId="0" fontId="78" fillId="0" borderId="0"/>
    <xf numFmtId="0" fontId="76" fillId="0" borderId="0"/>
    <xf numFmtId="0" fontId="78" fillId="0" borderId="0">
      <protection locked="0"/>
    </xf>
    <xf numFmtId="0" fontId="24" fillId="0" borderId="0"/>
    <xf numFmtId="0" fontId="78" fillId="0" borderId="0">
      <protection locked="0"/>
    </xf>
    <xf numFmtId="0" fontId="76" fillId="0" borderId="0">
      <alignment vertical="top"/>
    </xf>
    <xf numFmtId="0" fontId="24" fillId="0" borderId="0" applyFont="0" applyFill="0" applyBorder="0" applyAlignment="0" applyProtection="0"/>
    <xf numFmtId="0" fontId="76" fillId="0" borderId="0"/>
    <xf numFmtId="43" fontId="24" fillId="0" borderId="0" applyFont="0" applyFill="0" applyBorder="0" applyAlignment="0" applyProtection="0"/>
    <xf numFmtId="0" fontId="32" fillId="0" borderId="0">
      <alignment vertical="top"/>
    </xf>
    <xf numFmtId="43" fontId="76" fillId="0" borderId="0" applyFont="0" applyFill="0" applyBorder="0" applyAlignment="0" applyProtection="0"/>
    <xf numFmtId="0" fontId="76" fillId="0" borderId="0"/>
    <xf numFmtId="0" fontId="24" fillId="0" borderId="0"/>
    <xf numFmtId="0" fontId="76" fillId="0" borderId="0"/>
    <xf numFmtId="182" fontId="7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182" fontId="77"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43" fontId="76" fillId="0" borderId="0" applyFont="0" applyFill="0" applyBorder="0" applyAlignment="0" applyProtection="0"/>
    <xf numFmtId="184" fontId="24" fillId="0" borderId="0" applyFont="0" applyFill="0" applyBorder="0" applyAlignment="0" applyProtection="0"/>
    <xf numFmtId="43" fontId="76" fillId="0" borderId="0" applyFont="0" applyFill="0" applyBorder="0" applyAlignment="0" applyProtection="0"/>
    <xf numFmtId="43" fontId="17" fillId="0" borderId="0" applyFont="0" applyFill="0" applyBorder="0" applyAlignment="0" applyProtection="0"/>
    <xf numFmtId="0" fontId="17" fillId="0" borderId="0"/>
    <xf numFmtId="0" fontId="76" fillId="0" borderId="0"/>
    <xf numFmtId="0" fontId="17" fillId="0" borderId="0"/>
    <xf numFmtId="0" fontId="24" fillId="0" borderId="0"/>
    <xf numFmtId="0" fontId="24" fillId="0" borderId="0">
      <alignment vertical="top"/>
    </xf>
    <xf numFmtId="0" fontId="76" fillId="0" borderId="0"/>
    <xf numFmtId="0" fontId="17" fillId="0" borderId="0"/>
    <xf numFmtId="0" fontId="17" fillId="0" borderId="0"/>
    <xf numFmtId="182" fontId="77" fillId="0" borderId="0" applyFont="0" applyFill="0" applyBorder="0" applyAlignment="0" applyProtection="0"/>
    <xf numFmtId="0" fontId="24" fillId="0" borderId="0"/>
    <xf numFmtId="0" fontId="76" fillId="0" borderId="0"/>
    <xf numFmtId="0" fontId="24" fillId="0" borderId="0"/>
    <xf numFmtId="186" fontId="80" fillId="0" borderId="0" applyFont="0" applyFill="0" applyBorder="0" applyAlignment="0" applyProtection="0"/>
    <xf numFmtId="43" fontId="24" fillId="0" borderId="0" applyFont="0" applyFill="0" applyBorder="0" applyAlignment="0" applyProtection="0"/>
    <xf numFmtId="182" fontId="7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76" fillId="0" borderId="0">
      <alignment vertical="top"/>
    </xf>
    <xf numFmtId="0" fontId="24" fillId="0" borderId="0"/>
    <xf numFmtId="43" fontId="24"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182" fontId="7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24" fillId="0" borderId="0"/>
    <xf numFmtId="0" fontId="24" fillId="0" borderId="0"/>
    <xf numFmtId="176" fontId="21" fillId="0" borderId="0" applyFont="0" applyFill="0" applyBorder="0" applyAlignment="0" applyProtection="0"/>
    <xf numFmtId="0" fontId="24" fillId="0" borderId="0"/>
    <xf numFmtId="0" fontId="24" fillId="0" borderId="0"/>
    <xf numFmtId="43" fontId="14" fillId="0" borderId="0" applyFont="0" applyFill="0" applyBorder="0" applyAlignment="0" applyProtection="0"/>
    <xf numFmtId="0" fontId="24" fillId="0" borderId="0"/>
    <xf numFmtId="43" fontId="14" fillId="0" borderId="0" applyFont="0" applyFill="0" applyBorder="0" applyAlignment="0" applyProtection="0"/>
    <xf numFmtId="0" fontId="24" fillId="0" borderId="0"/>
    <xf numFmtId="0" fontId="24" fillId="0" borderId="0"/>
    <xf numFmtId="0" fontId="32" fillId="0" borderId="0">
      <alignment vertical="top"/>
    </xf>
    <xf numFmtId="49" fontId="24" fillId="0" borderId="0" applyNumberFormat="0" applyFont="0" applyFill="0" applyBorder="0" applyAlignment="0" applyProtection="0"/>
    <xf numFmtId="0" fontId="32" fillId="0" borderId="0">
      <alignment vertical="top"/>
    </xf>
    <xf numFmtId="187" fontId="117" fillId="0" borderId="0"/>
    <xf numFmtId="0" fontId="24" fillId="0" borderId="0"/>
    <xf numFmtId="0" fontId="24" fillId="0" borderId="0"/>
    <xf numFmtId="0" fontId="24" fillId="0" borderId="0"/>
    <xf numFmtId="0" fontId="24" fillId="0" borderId="0"/>
    <xf numFmtId="0" fontId="24" fillId="0" borderId="0"/>
    <xf numFmtId="0" fontId="24" fillId="0" borderId="0"/>
    <xf numFmtId="43" fontId="14" fillId="0" borderId="0" applyFont="0" applyFill="0" applyBorder="0" applyAlignment="0" applyProtection="0"/>
    <xf numFmtId="0" fontId="14" fillId="0" borderId="0"/>
    <xf numFmtId="0" fontId="24" fillId="0" borderId="0"/>
    <xf numFmtId="0" fontId="137" fillId="0" borderId="0"/>
    <xf numFmtId="0" fontId="14" fillId="0" borderId="0"/>
    <xf numFmtId="0" fontId="24" fillId="0" borderId="0"/>
    <xf numFmtId="0" fontId="24" fillId="0" borderId="0"/>
    <xf numFmtId="187" fontId="117" fillId="0" borderId="0"/>
    <xf numFmtId="187" fontId="117" fillId="0" borderId="0"/>
    <xf numFmtId="0" fontId="24" fillId="0" borderId="0"/>
    <xf numFmtId="0" fontId="117" fillId="0" borderId="0"/>
    <xf numFmtId="0" fontId="14" fillId="0" borderId="0"/>
    <xf numFmtId="0" fontId="14" fillId="0" borderId="0"/>
    <xf numFmtId="0" fontId="24" fillId="0" borderId="0"/>
    <xf numFmtId="0" fontId="117" fillId="0" borderId="0"/>
    <xf numFmtId="0" fontId="24" fillId="0" borderId="0"/>
    <xf numFmtId="187" fontId="117" fillId="0" borderId="0"/>
    <xf numFmtId="0" fontId="24" fillId="0" borderId="0"/>
    <xf numFmtId="0" fontId="24" fillId="0" borderId="0"/>
    <xf numFmtId="187" fontId="117" fillId="0" borderId="0"/>
    <xf numFmtId="0" fontId="76" fillId="0" borderId="0">
      <protection locked="0"/>
    </xf>
    <xf numFmtId="187" fontId="117" fillId="0" borderId="0"/>
    <xf numFmtId="0" fontId="24" fillId="0" borderId="0"/>
    <xf numFmtId="0" fontId="117" fillId="0" borderId="0"/>
    <xf numFmtId="187" fontId="117" fillId="0" borderId="0"/>
    <xf numFmtId="0" fontId="24" fillId="0" borderId="0"/>
    <xf numFmtId="0" fontId="117" fillId="0" borderId="0"/>
    <xf numFmtId="49" fontId="24" fillId="0" borderId="0" applyNumberFormat="0" applyFont="0" applyFill="0" applyBorder="0" applyAlignment="0" applyProtection="0"/>
    <xf numFmtId="0" fontId="24" fillId="0" borderId="0"/>
    <xf numFmtId="187" fontId="117" fillId="0" borderId="0"/>
    <xf numFmtId="0" fontId="3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1" fontId="76" fillId="0" borderId="0" applyFont="0" applyFill="0" applyBorder="0" applyAlignment="0" applyProtection="0"/>
    <xf numFmtId="201" fontId="76" fillId="0" borderId="0" applyFont="0" applyFill="0" applyBorder="0" applyAlignment="0" applyProtection="0"/>
    <xf numFmtId="220" fontId="24" fillId="0" borderId="0" applyFill="0" applyBorder="0" applyAlignment="0" applyProtection="0"/>
    <xf numFmtId="201" fontId="76" fillId="0" borderId="0" applyFont="0" applyFill="0" applyBorder="0" applyAlignment="0" applyProtection="0"/>
    <xf numFmtId="220" fontId="24" fillId="0" borderId="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21" fontId="24" fillId="0" borderId="0" applyFill="0" applyBorder="0" applyAlignment="0" applyProtection="0"/>
    <xf numFmtId="202" fontId="76" fillId="0" borderId="0" applyFont="0" applyFill="0" applyBorder="0" applyAlignment="0" applyProtection="0"/>
    <xf numFmtId="221" fontId="24" fillId="0" borderId="0" applyFill="0" applyBorder="0" applyAlignment="0" applyProtection="0"/>
    <xf numFmtId="43" fontId="14" fillId="0" borderId="0" applyFont="0" applyFill="0" applyBorder="0" applyAlignment="0" applyProtection="0"/>
    <xf numFmtId="0" fontId="76" fillId="0" borderId="0"/>
    <xf numFmtId="0" fontId="76" fillId="0" borderId="0"/>
    <xf numFmtId="43" fontId="24" fillId="0" borderId="0" applyFont="0" applyFill="0" applyBorder="0" applyAlignment="0" applyProtection="0"/>
    <xf numFmtId="0" fontId="76" fillId="0" borderId="0"/>
    <xf numFmtId="0" fontId="76" fillId="0" borderId="0"/>
    <xf numFmtId="0" fontId="24" fillId="0" borderId="0"/>
    <xf numFmtId="0" fontId="76" fillId="0" borderId="0"/>
    <xf numFmtId="0" fontId="24" fillId="0" borderId="0"/>
    <xf numFmtId="0" fontId="76" fillId="0" borderId="0"/>
    <xf numFmtId="49" fontId="24" fillId="0" borderId="0" applyNumberFormat="0" applyFont="0" applyFill="0" applyBorder="0" applyAlignment="0" applyProtection="0"/>
    <xf numFmtId="0" fontId="24" fillId="0" borderId="0"/>
    <xf numFmtId="0" fontId="24" fillId="0" borderId="0"/>
    <xf numFmtId="0" fontId="76" fillId="0" borderId="0"/>
    <xf numFmtId="0" fontId="21" fillId="0" borderId="0"/>
    <xf numFmtId="49" fontId="24" fillId="0" borderId="0" applyNumberFormat="0" applyFont="0" applyFill="0" applyBorder="0" applyAlignment="0" applyProtection="0"/>
    <xf numFmtId="0" fontId="76" fillId="0" borderId="0"/>
    <xf numFmtId="0" fontId="76" fillId="0" borderId="0"/>
    <xf numFmtId="0" fontId="117" fillId="0" borderId="0"/>
    <xf numFmtId="0" fontId="165" fillId="0" borderId="0">
      <alignment horizontal="centerContinuous"/>
    </xf>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4" fillId="21" borderId="0" applyNumberFormat="0" applyBorder="0" applyAlignment="0" applyProtection="0"/>
    <xf numFmtId="0" fontId="21" fillId="45"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4" fillId="25" borderId="0" applyNumberFormat="0" applyBorder="0" applyAlignment="0" applyProtection="0"/>
    <xf numFmtId="0" fontId="21" fillId="47"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14" fillId="29" borderId="0" applyNumberFormat="0" applyBorder="0" applyAlignment="0" applyProtection="0"/>
    <xf numFmtId="0" fontId="21" fillId="4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14" fillId="33" borderId="0" applyNumberFormat="0" applyBorder="0" applyAlignment="0" applyProtection="0"/>
    <xf numFmtId="0" fontId="21" fillId="45"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21" fillId="45"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14" fillId="41" borderId="0" applyNumberFormat="0" applyBorder="0" applyAlignment="0" applyProtection="0"/>
    <xf numFmtId="0" fontId="21" fillId="49"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21" fillId="49"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14" fillId="22" borderId="0" applyNumberFormat="0" applyBorder="0" applyAlignment="0" applyProtection="0"/>
    <xf numFmtId="0" fontId="21" fillId="53"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21" fillId="53"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14" fillId="30" borderId="0" applyNumberFormat="0" applyBorder="0" applyAlignment="0" applyProtection="0"/>
    <xf numFmtId="0" fontId="21" fillId="55"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21" fillId="55"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14" fillId="34" borderId="0" applyNumberFormat="0" applyBorder="0" applyAlignment="0" applyProtection="0"/>
    <xf numFmtId="0" fontId="21" fillId="5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21" fillId="53"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14" fillId="42" borderId="0" applyNumberFormat="0" applyBorder="0" applyAlignment="0" applyProtection="0"/>
    <xf numFmtId="0" fontId="21" fillId="5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21" fillId="55"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5" fillId="23" borderId="0" applyNumberFormat="0" applyBorder="0" applyAlignment="0" applyProtection="0"/>
    <xf numFmtId="0" fontId="99" fillId="58" borderId="0" applyNumberFormat="0" applyBorder="0" applyAlignment="0" applyProtection="0"/>
    <xf numFmtId="0" fontId="95" fillId="23" borderId="0" applyNumberFormat="0" applyBorder="0" applyAlignment="0" applyProtection="0"/>
    <xf numFmtId="0" fontId="99" fillId="58"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5" fillId="27"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5" fillId="31" borderId="0" applyNumberFormat="0" applyBorder="0" applyAlignment="0" applyProtection="0"/>
    <xf numFmtId="0" fontId="99" fillId="55" borderId="0" applyNumberFormat="0" applyBorder="0" applyAlignment="0" applyProtection="0"/>
    <xf numFmtId="0" fontId="95" fillId="31" borderId="0" applyNumberFormat="0" applyBorder="0" applyAlignment="0" applyProtection="0"/>
    <xf numFmtId="0" fontId="99" fillId="55"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5" fillId="35" borderId="0" applyNumberFormat="0" applyBorder="0" applyAlignment="0" applyProtection="0"/>
    <xf numFmtId="0" fontId="99" fillId="53" borderId="0" applyNumberFormat="0" applyBorder="0" applyAlignment="0" applyProtection="0"/>
    <xf numFmtId="0" fontId="95" fillId="35" borderId="0" applyNumberFormat="0" applyBorder="0" applyAlignment="0" applyProtection="0"/>
    <xf numFmtId="0" fontId="99" fillId="53"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5" fillId="39"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5" fillId="43" borderId="0" applyNumberFormat="0" applyBorder="0" applyAlignment="0" applyProtection="0"/>
    <xf numFmtId="0" fontId="99" fillId="47" borderId="0" applyNumberFormat="0" applyBorder="0" applyAlignment="0" applyProtection="0"/>
    <xf numFmtId="0" fontId="95" fillId="43" borderId="0" applyNumberFormat="0" applyBorder="0" applyAlignment="0" applyProtection="0"/>
    <xf numFmtId="0" fontId="99" fillId="47" borderId="0" applyNumberFormat="0" applyBorder="0" applyAlignment="0" applyProtection="0"/>
    <xf numFmtId="214" fontId="138" fillId="0" borderId="1" applyFont="0" applyFill="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5" fillId="20" borderId="0" applyNumberFormat="0" applyBorder="0" applyAlignment="0" applyProtection="0"/>
    <xf numFmtId="0" fontId="99" fillId="58" borderId="0" applyNumberFormat="0" applyBorder="0" applyAlignment="0" applyProtection="0"/>
    <xf numFmtId="0" fontId="95" fillId="20" borderId="0" applyNumberFormat="0" applyBorder="0" applyAlignment="0" applyProtection="0"/>
    <xf numFmtId="0" fontId="99" fillId="58"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5" fillId="24"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5" fillId="28"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5" fillId="32" borderId="0" applyNumberFormat="0" applyBorder="0" applyAlignment="0" applyProtection="0"/>
    <xf numFmtId="0" fontId="99" fillId="64" borderId="0" applyNumberFormat="0" applyBorder="0" applyAlignment="0" applyProtection="0"/>
    <xf numFmtId="0" fontId="95" fillId="32" borderId="0" applyNumberFormat="0" applyBorder="0" applyAlignment="0" applyProtection="0"/>
    <xf numFmtId="0" fontId="99" fillId="64"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5" fillId="36"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5" fillId="40" borderId="0" applyNumberFormat="0" applyBorder="0" applyAlignment="0" applyProtection="0"/>
    <xf numFmtId="43" fontId="24" fillId="0" borderId="0" applyFont="0" applyFill="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85" fillId="14" borderId="0" applyNumberFormat="0" applyBorder="0" applyAlignment="0" applyProtection="0"/>
    <xf numFmtId="0" fontId="128" fillId="0" borderId="0" applyNumberFormat="0" applyFill="0" applyBorder="0" applyAlignment="0" applyProtection="0"/>
    <xf numFmtId="0" fontId="155" fillId="0" borderId="0" applyNumberFormat="0" applyFill="0" applyBorder="0" applyAlignment="0" applyProtection="0"/>
    <xf numFmtId="0" fontId="119" fillId="0" borderId="68" applyNumberFormat="0" applyFill="0" applyAlignment="0" applyProtection="0"/>
    <xf numFmtId="0" fontId="119" fillId="0" borderId="68" applyNumberFormat="0" applyFill="0" applyAlignment="0" applyProtection="0"/>
    <xf numFmtId="178" fontId="119" fillId="0" borderId="78" applyNumberFormat="0" applyFill="0" applyAlignment="0" applyProtection="0"/>
    <xf numFmtId="178" fontId="119" fillId="0" borderId="78" applyNumberFormat="0" applyFill="0" applyAlignment="0" applyProtection="0"/>
    <xf numFmtId="178" fontId="119" fillId="0" borderId="78" applyNumberFormat="0" applyFill="0" applyAlignment="0" applyProtection="0"/>
    <xf numFmtId="0" fontId="119" fillId="0" borderId="68" applyNumberFormat="0" applyFill="0" applyAlignment="0" applyProtection="0"/>
    <xf numFmtId="0" fontId="119" fillId="0" borderId="78" applyNumberFormat="0" applyFill="0" applyAlignment="0" applyProtection="0"/>
    <xf numFmtId="49" fontId="147" fillId="0" borderId="0" applyFont="0" applyFill="0" applyBorder="0" applyAlignment="0" applyProtection="0">
      <alignment horizontal="left"/>
    </xf>
    <xf numFmtId="217" fontId="23" fillId="0" borderId="0" applyAlignment="0" applyProtection="0"/>
    <xf numFmtId="191" fontId="29" fillId="0" borderId="0" applyFill="0" applyBorder="0" applyAlignment="0" applyProtection="0"/>
    <xf numFmtId="49" fontId="29" fillId="0" borderId="0" applyNumberFormat="0" applyAlignment="0" applyProtection="0">
      <alignment horizontal="left"/>
    </xf>
    <xf numFmtId="49" fontId="148" fillId="0" borderId="79" applyNumberFormat="0" applyAlignment="0" applyProtection="0">
      <alignment horizontal="left" wrapText="1"/>
    </xf>
    <xf numFmtId="49" fontId="148" fillId="0" borderId="0" applyNumberFormat="0" applyAlignment="0" applyProtection="0">
      <alignment horizontal="left" wrapText="1"/>
    </xf>
    <xf numFmtId="49" fontId="149" fillId="0" borderId="0" applyAlignment="0" applyProtection="0">
      <alignment horizontal="left"/>
    </xf>
    <xf numFmtId="203" fontId="76" fillId="0" borderId="0" applyFont="0" applyFill="0" applyBorder="0" applyAlignment="0" applyProtection="0"/>
    <xf numFmtId="203" fontId="76" fillId="0" borderId="0" applyFont="0" applyFill="0" applyBorder="0" applyAlignment="0" applyProtection="0"/>
    <xf numFmtId="222" fontId="24" fillId="0" borderId="0" applyFill="0" applyBorder="0" applyAlignment="0" applyProtection="0"/>
    <xf numFmtId="203" fontId="76" fillId="0" borderId="0" applyFont="0" applyFill="0" applyBorder="0" applyAlignment="0" applyProtection="0"/>
    <xf numFmtId="222" fontId="24" fillId="0" borderId="0" applyFill="0" applyBorder="0" applyAlignment="0" applyProtection="0"/>
    <xf numFmtId="190" fontId="29" fillId="0" borderId="0" applyFill="0" applyBorder="0" applyAlignment="0"/>
    <xf numFmtId="190" fontId="29" fillId="0" borderId="0" applyFill="0" applyBorder="0" applyAlignment="0"/>
    <xf numFmtId="211" fontId="32" fillId="0" borderId="0" applyFill="0" applyBorder="0" applyAlignment="0"/>
    <xf numFmtId="190" fontId="29" fillId="0" borderId="0" applyFill="0" applyBorder="0" applyAlignment="0"/>
    <xf numFmtId="212" fontId="24" fillId="0" borderId="0" applyFill="0" applyBorder="0" applyAlignment="0"/>
    <xf numFmtId="211" fontId="32" fillId="0" borderId="0" applyFill="0" applyBorder="0" applyAlignment="0"/>
    <xf numFmtId="211" fontId="32" fillId="0" borderId="0" applyFill="0" applyBorder="0" applyAlignment="0"/>
    <xf numFmtId="190" fontId="29" fillId="0" borderId="0" applyFill="0" applyBorder="0" applyAlignment="0"/>
    <xf numFmtId="211" fontId="32" fillId="0" borderId="0" applyFill="0" applyBorder="0" applyAlignment="0"/>
    <xf numFmtId="234" fontId="24" fillId="0" borderId="0" applyFill="0" applyBorder="0" applyAlignment="0"/>
    <xf numFmtId="198" fontId="24" fillId="0" borderId="0" applyFill="0" applyBorder="0" applyAlignment="0"/>
    <xf numFmtId="212" fontId="24" fillId="0" borderId="0" applyFill="0" applyBorder="0" applyAlignment="0"/>
    <xf numFmtId="191" fontId="24" fillId="0" borderId="0" applyFill="0" applyBorder="0" applyAlignment="0"/>
    <xf numFmtId="191" fontId="24" fillId="0" borderId="0" applyFill="0" applyBorder="0" applyAlignment="0"/>
    <xf numFmtId="191" fontId="24" fillId="0" borderId="0" applyFill="0" applyBorder="0" applyAlignment="0"/>
    <xf numFmtId="198" fontId="24" fillId="0" borderId="0" applyFill="0" applyBorder="0" applyAlignment="0"/>
    <xf numFmtId="198" fontId="24" fillId="0" borderId="0" applyFill="0" applyBorder="0" applyAlignment="0"/>
    <xf numFmtId="212" fontId="24" fillId="0" borderId="0" applyFill="0" applyBorder="0" applyAlignment="0"/>
    <xf numFmtId="212" fontId="24" fillId="0" borderId="0" applyFill="0" applyBorder="0" applyAlignment="0"/>
    <xf numFmtId="198" fontId="24" fillId="0" borderId="0" applyFill="0" applyBorder="0" applyAlignment="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89" fillId="17" borderId="72" applyNumberFormat="0" applyAlignment="0" applyProtection="0"/>
    <xf numFmtId="0" fontId="101" fillId="66" borderId="80" applyNumberFormat="0" applyAlignment="0" applyProtection="0"/>
    <xf numFmtId="0" fontId="101" fillId="66" borderId="80" applyNumberFormat="0" applyAlignment="0" applyProtection="0"/>
    <xf numFmtId="0" fontId="101" fillId="66" borderId="80" applyNumberFormat="0" applyAlignment="0" applyProtection="0"/>
    <xf numFmtId="0" fontId="89" fillId="17" borderId="72" applyNumberFormat="0" applyAlignment="0" applyProtection="0"/>
    <xf numFmtId="0" fontId="101" fillId="66" borderId="80" applyNumberFormat="0" applyAlignment="0" applyProtection="0"/>
    <xf numFmtId="0" fontId="101" fillId="66" borderId="80" applyNumberFormat="0" applyAlignment="0" applyProtection="0"/>
    <xf numFmtId="0" fontId="101" fillId="66" borderId="80" applyNumberFormat="0" applyAlignment="0" applyProtection="0"/>
    <xf numFmtId="0" fontId="101" fillId="66" borderId="80" applyNumberFormat="0" applyAlignment="0" applyProtection="0"/>
    <xf numFmtId="0" fontId="101" fillId="66" borderId="80" applyNumberFormat="0" applyAlignment="0" applyProtection="0"/>
    <xf numFmtId="0" fontId="102" fillId="67" borderId="81" applyNumberFormat="0" applyAlignment="0" applyProtection="0"/>
    <xf numFmtId="0" fontId="102" fillId="67" borderId="81" applyNumberFormat="0" applyAlignment="0" applyProtection="0"/>
    <xf numFmtId="0" fontId="102" fillId="67" borderId="81" applyNumberFormat="0" applyAlignment="0" applyProtection="0"/>
    <xf numFmtId="0" fontId="102" fillId="67" borderId="81" applyNumberFormat="0" applyAlignment="0" applyProtection="0"/>
    <xf numFmtId="0" fontId="102" fillId="67" borderId="81" applyNumberFormat="0" applyAlignment="0" applyProtection="0"/>
    <xf numFmtId="0" fontId="102" fillId="67" borderId="81" applyNumberFormat="0" applyAlignment="0" applyProtection="0"/>
    <xf numFmtId="0" fontId="91" fillId="18" borderId="75" applyNumberFormat="0" applyAlignment="0" applyProtection="0"/>
    <xf numFmtId="43" fontId="98" fillId="0" borderId="0" applyFont="0" applyFill="0" applyBorder="0" applyAlignment="0" applyProtection="0"/>
    <xf numFmtId="0" fontId="125" fillId="0" borderId="0"/>
    <xf numFmtId="232" fontId="161" fillId="0" borderId="0"/>
    <xf numFmtId="178" fontId="125" fillId="0" borderId="0"/>
    <xf numFmtId="178" fontId="125" fillId="0" borderId="0"/>
    <xf numFmtId="178" fontId="125" fillId="0" borderId="0"/>
    <xf numFmtId="178" fontId="125" fillId="0" borderId="0"/>
    <xf numFmtId="232" fontId="161" fillId="0" borderId="0"/>
    <xf numFmtId="0" fontId="125" fillId="0" borderId="0"/>
    <xf numFmtId="0" fontId="30" fillId="0" borderId="0"/>
    <xf numFmtId="0" fontId="125" fillId="0" borderId="0"/>
    <xf numFmtId="232" fontId="161" fillId="0" borderId="0"/>
    <xf numFmtId="178" fontId="125" fillId="0" borderId="0"/>
    <xf numFmtId="178" fontId="125" fillId="0" borderId="0"/>
    <xf numFmtId="178" fontId="125" fillId="0" borderId="0"/>
    <xf numFmtId="178" fontId="125" fillId="0" borderId="0"/>
    <xf numFmtId="232" fontId="161" fillId="0" borderId="0"/>
    <xf numFmtId="0" fontId="125" fillId="0" borderId="0"/>
    <xf numFmtId="0" fontId="30" fillId="0" borderId="0"/>
    <xf numFmtId="0" fontId="125" fillId="0" borderId="0"/>
    <xf numFmtId="232" fontId="161" fillId="0" borderId="0"/>
    <xf numFmtId="178" fontId="125" fillId="0" borderId="0"/>
    <xf numFmtId="178" fontId="125" fillId="0" borderId="0"/>
    <xf numFmtId="178" fontId="125" fillId="0" borderId="0"/>
    <xf numFmtId="178" fontId="125" fillId="0" borderId="0"/>
    <xf numFmtId="232" fontId="161" fillId="0" borderId="0"/>
    <xf numFmtId="0" fontId="125" fillId="0" borderId="0"/>
    <xf numFmtId="0" fontId="30" fillId="0" borderId="0"/>
    <xf numFmtId="0" fontId="125" fillId="0" borderId="0"/>
    <xf numFmtId="232" fontId="161" fillId="0" borderId="0"/>
    <xf numFmtId="178" fontId="125" fillId="0" borderId="0"/>
    <xf numFmtId="178" fontId="125" fillId="0" borderId="0"/>
    <xf numFmtId="178" fontId="125" fillId="0" borderId="0"/>
    <xf numFmtId="178" fontId="125" fillId="0" borderId="0"/>
    <xf numFmtId="232" fontId="161" fillId="0" borderId="0"/>
    <xf numFmtId="0" fontId="125" fillId="0" borderId="0"/>
    <xf numFmtId="0" fontId="30" fillId="0" borderId="0"/>
    <xf numFmtId="0" fontId="125" fillId="0" borderId="0"/>
    <xf numFmtId="232" fontId="161" fillId="0" borderId="0"/>
    <xf numFmtId="178" fontId="125" fillId="0" borderId="0"/>
    <xf numFmtId="178" fontId="125" fillId="0" borderId="0"/>
    <xf numFmtId="178" fontId="125" fillId="0" borderId="0"/>
    <xf numFmtId="178" fontId="125" fillId="0" borderId="0"/>
    <xf numFmtId="232" fontId="161" fillId="0" borderId="0"/>
    <xf numFmtId="0" fontId="125" fillId="0" borderId="0"/>
    <xf numFmtId="0" fontId="30" fillId="0" borderId="0"/>
    <xf numFmtId="0" fontId="125" fillId="0" borderId="0"/>
    <xf numFmtId="232" fontId="161" fillId="0" borderId="0"/>
    <xf numFmtId="178" fontId="125" fillId="0" borderId="0"/>
    <xf numFmtId="178" fontId="125" fillId="0" borderId="0"/>
    <xf numFmtId="178" fontId="125" fillId="0" borderId="0"/>
    <xf numFmtId="178" fontId="125" fillId="0" borderId="0"/>
    <xf numFmtId="232" fontId="161" fillId="0" borderId="0"/>
    <xf numFmtId="0" fontId="125" fillId="0" borderId="0"/>
    <xf numFmtId="0" fontId="30" fillId="0" borderId="0"/>
    <xf numFmtId="0" fontId="125" fillId="0" borderId="0"/>
    <xf numFmtId="232" fontId="161" fillId="0" borderId="0"/>
    <xf numFmtId="178" fontId="125" fillId="0" borderId="0"/>
    <xf numFmtId="178" fontId="125" fillId="0" borderId="0"/>
    <xf numFmtId="178" fontId="125" fillId="0" borderId="0"/>
    <xf numFmtId="178" fontId="125" fillId="0" borderId="0"/>
    <xf numFmtId="232" fontId="161" fillId="0" borderId="0"/>
    <xf numFmtId="0" fontId="125" fillId="0" borderId="0"/>
    <xf numFmtId="0" fontId="30" fillId="0" borderId="0"/>
    <xf numFmtId="0" fontId="125" fillId="0" borderId="0"/>
    <xf numFmtId="232" fontId="161" fillId="0" borderId="0"/>
    <xf numFmtId="178" fontId="125" fillId="0" borderId="0"/>
    <xf numFmtId="178" fontId="125" fillId="0" borderId="0"/>
    <xf numFmtId="178" fontId="125" fillId="0" borderId="0"/>
    <xf numFmtId="178" fontId="125" fillId="0" borderId="0"/>
    <xf numFmtId="232" fontId="161" fillId="0" borderId="0"/>
    <xf numFmtId="0" fontId="125" fillId="0" borderId="0"/>
    <xf numFmtId="0" fontId="30" fillId="0" borderId="0"/>
    <xf numFmtId="43" fontId="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6"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8"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6" fillId="0" borderId="0" applyFont="0" applyFill="0" applyBorder="0" applyAlignment="0" applyProtection="0"/>
    <xf numFmtId="43" fontId="21" fillId="0" borderId="0" applyFont="0" applyFill="0" applyBorder="0" applyAlignment="0" applyProtection="0"/>
    <xf numFmtId="0" fontId="118" fillId="0" borderId="0" applyNumberFormat="0" applyFont="0" applyFill="0" applyBorder="0" applyProtection="0">
      <alignment vertical="center"/>
    </xf>
    <xf numFmtId="0" fontId="118" fillId="0" borderId="0" applyNumberFormat="0" applyFont="0" applyFill="0" applyBorder="0" applyProtection="0">
      <alignment vertical="center"/>
    </xf>
    <xf numFmtId="43" fontId="21"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0" fontId="24"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43" fontId="21" fillId="0" borderId="0" applyFont="0" applyFill="0" applyBorder="0" applyAlignment="0" applyProtection="0"/>
    <xf numFmtId="0" fontId="118" fillId="0" borderId="0" applyNumberFormat="0" applyFont="0" applyFill="0" applyBorder="0" applyProtection="0">
      <alignment vertical="center"/>
    </xf>
    <xf numFmtId="0" fontId="118" fillId="0" borderId="0" applyNumberFormat="0" applyFont="0" applyFill="0" applyBorder="0" applyProtection="0">
      <alignment vertical="center"/>
    </xf>
    <xf numFmtId="43"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228" fontId="24" fillId="0" borderId="0" applyFont="0" applyFill="0" applyBorder="0" applyAlignment="0" applyProtection="0"/>
    <xf numFmtId="236" fontId="24" fillId="0" borderId="0" applyFont="0" applyFill="0" applyBorder="0" applyAlignment="0" applyProtection="0"/>
    <xf numFmtId="0"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194" fontId="24" fillId="0" borderId="0" applyFill="0" applyBorder="0" applyProtection="0">
      <alignment vertical="top"/>
    </xf>
    <xf numFmtId="43" fontId="76" fillId="0" borderId="0" applyFont="0" applyFill="0" applyBorder="0" applyAlignment="0" applyProtection="0"/>
    <xf numFmtId="194" fontId="24" fillId="0" borderId="0" applyFill="0" applyBorder="0" applyProtection="0">
      <alignment vertical="top"/>
    </xf>
    <xf numFmtId="43" fontId="76" fillId="0" borderId="0" applyFont="0" applyFill="0" applyBorder="0" applyAlignment="0" applyProtection="0"/>
    <xf numFmtId="194" fontId="24" fillId="0" borderId="0" applyFill="0" applyBorder="0" applyProtection="0">
      <alignment vertical="top"/>
    </xf>
    <xf numFmtId="43" fontId="76" fillId="0" borderId="0" applyFont="0" applyFill="0" applyBorder="0" applyAlignment="0" applyProtection="0"/>
    <xf numFmtId="194" fontId="24" fillId="0" borderId="0" applyFill="0" applyBorder="0" applyProtection="0">
      <alignment vertical="top"/>
    </xf>
    <xf numFmtId="43" fontId="76" fillId="0" borderId="0" applyFont="0" applyFill="0" applyBorder="0" applyAlignment="0" applyProtection="0"/>
    <xf numFmtId="194" fontId="24" fillId="0" borderId="0" applyFill="0" applyBorder="0" applyProtection="0">
      <alignment vertical="top"/>
    </xf>
    <xf numFmtId="43" fontId="76" fillId="0" borderId="0" applyFont="0" applyFill="0" applyBorder="0" applyAlignment="0" applyProtection="0"/>
    <xf numFmtId="194" fontId="24" fillId="0" borderId="0" applyFill="0" applyBorder="0" applyProtection="0">
      <alignment vertical="top"/>
    </xf>
    <xf numFmtId="43" fontId="76" fillId="0" borderId="0" applyFont="0" applyFill="0" applyBorder="0" applyAlignment="0" applyProtection="0"/>
    <xf numFmtId="194" fontId="24" fillId="0" borderId="0" applyFill="0" applyBorder="0" applyProtection="0">
      <alignment vertical="top"/>
    </xf>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4" fontId="24" fillId="0" borderId="0" applyFill="0" applyBorder="0" applyAlignment="0" applyProtection="0"/>
    <xf numFmtId="194" fontId="24" fillId="0" borderId="0" applyFill="0" applyBorder="0" applyProtection="0">
      <alignment vertical="top"/>
    </xf>
    <xf numFmtId="43" fontId="24"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4" fontId="24" fillId="0" borderId="0" applyFill="0" applyBorder="0" applyProtection="0">
      <alignment vertical="top"/>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94" fontId="24" fillId="0" borderId="0" applyFill="0" applyBorder="0" applyProtection="0">
      <alignment vertical="top"/>
    </xf>
    <xf numFmtId="43" fontId="76" fillId="0" borderId="0" applyFont="0" applyFill="0" applyBorder="0" applyAlignment="0" applyProtection="0"/>
    <xf numFmtId="43" fontId="76" fillId="0" borderId="0" applyFont="0" applyFill="0" applyBorder="0" applyAlignment="0" applyProtection="0"/>
    <xf numFmtId="194" fontId="24" fillId="0" borderId="0" applyFill="0" applyBorder="0" applyProtection="0">
      <alignment vertical="top"/>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1" fontId="24" fillId="0" borderId="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6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6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0" fontId="118" fillId="0" borderId="0" applyNumberFormat="0" applyFont="0" applyFill="0" applyBorder="0" applyProtection="0">
      <alignment vertical="center"/>
    </xf>
    <xf numFmtId="43" fontId="24" fillId="0" borderId="0" applyFont="0" applyFill="0" applyBorder="0" applyAlignment="0" applyProtection="0"/>
    <xf numFmtId="194" fontId="76" fillId="0" borderId="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4" fillId="0" borderId="0" applyFont="0" applyFill="0" applyBorder="0" applyAlignment="0" applyProtection="0"/>
    <xf numFmtId="0" fontId="118" fillId="0" borderId="0" applyNumberFormat="0" applyFont="0" applyFill="0" applyBorder="0" applyProtection="0">
      <alignment vertical="center"/>
    </xf>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98" fillId="0" borderId="0" applyFont="0" applyFill="0" applyBorder="0" applyAlignment="0" applyProtection="0"/>
    <xf numFmtId="43" fontId="7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43" fontId="98" fillId="0" borderId="0" applyFont="0" applyFill="0" applyBorder="0" applyAlignment="0" applyProtection="0"/>
    <xf numFmtId="43" fontId="24" fillId="0" borderId="0" applyFont="0" applyFill="0" applyBorder="0" applyAlignment="0" applyProtection="0"/>
    <xf numFmtId="43" fontId="78" fillId="0" borderId="0" applyFont="0" applyFill="0" applyBorder="0" applyAlignment="0" applyProtection="0"/>
    <xf numFmtId="43" fontId="98"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78" fillId="0" borderId="0" applyFont="0" applyFill="0" applyBorder="0" applyAlignment="0" applyProtection="0"/>
    <xf numFmtId="43" fontId="98" fillId="0" borderId="0" applyFont="0" applyFill="0" applyBorder="0" applyAlignment="0" applyProtection="0"/>
    <xf numFmtId="43" fontId="76" fillId="0" borderId="0" applyFont="0" applyFill="0" applyBorder="0" applyAlignment="0" applyProtection="0"/>
    <xf numFmtId="43" fontId="78" fillId="0" borderId="0" applyFont="0" applyFill="0" applyBorder="0" applyAlignment="0" applyProtection="0"/>
    <xf numFmtId="43" fontId="98" fillId="0" borderId="0" applyFont="0" applyFill="0" applyBorder="0" applyAlignment="0" applyProtection="0"/>
    <xf numFmtId="43" fontId="76" fillId="0" borderId="0" applyFont="0" applyFill="0" applyBorder="0" applyAlignment="0" applyProtection="0"/>
    <xf numFmtId="43" fontId="78"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78" fillId="0" borderId="0" applyFont="0" applyFill="0" applyBorder="0" applyAlignment="0" applyProtection="0"/>
    <xf numFmtId="0" fontId="101" fillId="53" borderId="80" applyNumberFormat="0" applyAlignment="0" applyProtection="0"/>
    <xf numFmtId="0" fontId="32" fillId="0" borderId="0">
      <alignment vertical="top"/>
    </xf>
    <xf numFmtId="165" fontId="24" fillId="0" borderId="0" applyFont="0" applyFill="0" applyBorder="0" applyAlignment="0" applyProtection="0"/>
    <xf numFmtId="178" fontId="24" fillId="0" borderId="0" applyFill="0" applyBorder="0" applyProtection="0">
      <alignment vertical="top"/>
    </xf>
    <xf numFmtId="178" fontId="24" fillId="0" borderId="0" applyFill="0" applyBorder="0" applyProtection="0">
      <alignment vertical="top"/>
    </xf>
    <xf numFmtId="0" fontId="32" fillId="0" borderId="0">
      <alignment vertical="top"/>
    </xf>
    <xf numFmtId="43" fontId="76" fillId="0" borderId="0" applyFont="0" applyFill="0" applyBorder="0" applyAlignment="0" applyProtection="0"/>
    <xf numFmtId="178" fontId="24" fillId="0" borderId="0" applyFill="0" applyBorder="0" applyProtection="0">
      <alignment vertical="top"/>
    </xf>
    <xf numFmtId="0" fontId="24" fillId="0" borderId="0" applyFill="0" applyBorder="0" applyProtection="0">
      <alignment vertical="top"/>
    </xf>
    <xf numFmtId="178" fontId="24" fillId="0" borderId="0" applyFill="0" applyBorder="0" applyProtection="0">
      <alignment vertical="top"/>
    </xf>
    <xf numFmtId="43" fontId="24" fillId="0" borderId="0" applyFont="0" applyFill="0" applyBorder="0" applyAlignment="0" applyProtection="0"/>
    <xf numFmtId="0" fontId="32" fillId="0" borderId="0">
      <alignment vertical="top"/>
    </xf>
    <xf numFmtId="43" fontId="24" fillId="0" borderId="0" applyFont="0" applyFill="0" applyBorder="0" applyAlignment="0" applyProtection="0"/>
    <xf numFmtId="43" fontId="76" fillId="0" borderId="0" applyFont="0" applyFill="0" applyBorder="0" applyAlignment="0" applyProtection="0"/>
    <xf numFmtId="0" fontId="101" fillId="53" borderId="80" applyNumberFormat="0" applyAlignment="0" applyProtection="0"/>
    <xf numFmtId="0" fontId="24" fillId="0" borderId="0" applyFont="0" applyFill="0" applyBorder="0" applyAlignment="0" applyProtection="0"/>
    <xf numFmtId="194" fontId="24" fillId="0" borderId="0" applyFill="0" applyBorder="0" applyProtection="0">
      <alignment vertical="top"/>
    </xf>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194" fontId="24" fillId="0" borderId="0" applyFill="0" applyBorder="0" applyProtection="0">
      <alignment vertical="top"/>
    </xf>
    <xf numFmtId="43" fontId="76"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78"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78" fillId="0" borderId="0" applyFont="0" applyFill="0" applyBorder="0" applyAlignment="0" applyProtection="0"/>
    <xf numFmtId="43" fontId="76" fillId="0" borderId="0" applyFont="0" applyFill="0" applyBorder="0" applyAlignment="0" applyProtection="0"/>
    <xf numFmtId="43" fontId="21" fillId="0" borderId="0" applyFont="0" applyFill="0" applyBorder="0" applyAlignment="0" applyProtection="0"/>
    <xf numFmtId="43" fontId="78" fillId="0" borderId="0" applyFont="0" applyFill="0" applyBorder="0" applyAlignment="0" applyProtection="0"/>
    <xf numFmtId="43" fontId="76" fillId="0" borderId="0" applyFont="0" applyFill="0" applyBorder="0" applyAlignment="0" applyProtection="0"/>
    <xf numFmtId="43" fontId="78" fillId="0" borderId="0" applyFont="0" applyFill="0" applyBorder="0" applyAlignment="0" applyProtection="0"/>
    <xf numFmtId="43" fontId="2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8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1" fillId="0" borderId="0" applyFont="0" applyFill="0" applyBorder="0" applyAlignment="0" applyProtection="0"/>
    <xf numFmtId="194" fontId="24" fillId="0" borderId="0" applyFill="0" applyBorder="0" applyProtection="0">
      <alignment vertical="top"/>
    </xf>
    <xf numFmtId="218" fontId="80" fillId="0" borderId="0" applyFont="0" applyFill="0" applyBorder="0" applyAlignment="0" applyProtection="0"/>
    <xf numFmtId="43" fontId="21" fillId="0" borderId="0" applyFont="0" applyFill="0" applyBorder="0" applyAlignment="0" applyProtection="0"/>
    <xf numFmtId="194" fontId="24" fillId="0" borderId="0" applyFill="0" applyBorder="0" applyProtection="0">
      <alignment vertical="top"/>
    </xf>
    <xf numFmtId="168" fontId="24" fillId="0" borderId="0" applyFont="0" applyFill="0" applyBorder="0" applyAlignment="0" applyProtection="0"/>
    <xf numFmtId="194" fontId="24" fillId="0" borderId="0" applyFill="0" applyBorder="0" applyProtection="0">
      <alignment vertical="top"/>
    </xf>
    <xf numFmtId="218" fontId="80" fillId="0" borderId="0" applyFont="0" applyFill="0" applyBorder="0" applyAlignment="0" applyProtection="0"/>
    <xf numFmtId="165" fontId="24" fillId="0" borderId="0" applyFont="0" applyFill="0" applyBorder="0" applyAlignment="0" applyProtection="0"/>
    <xf numFmtId="167" fontId="80" fillId="0" borderId="0" applyFont="0" applyFill="0" applyBorder="0" applyAlignment="0" applyProtection="0"/>
    <xf numFmtId="43" fontId="167" fillId="0" borderId="0" applyFont="0" applyFill="0" applyBorder="0" applyAlignment="0" applyProtection="0"/>
    <xf numFmtId="218" fontId="8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01" fillId="53" borderId="80"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21" fillId="0" borderId="0" applyFont="0" applyFill="0" applyBorder="0" applyAlignment="0" applyProtection="0"/>
    <xf numFmtId="43" fontId="24" fillId="0" borderId="0" applyFont="0" applyFill="0" applyBorder="0" applyAlignment="0" applyProtection="0"/>
    <xf numFmtId="165" fontId="21" fillId="0" borderId="0" applyFont="0" applyFill="0" applyBorder="0" applyAlignment="0" applyProtection="0"/>
    <xf numFmtId="43" fontId="7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28" fontId="24" fillId="0" borderId="0" applyFont="0" applyFill="0" applyBorder="0" applyAlignment="0" applyProtection="0"/>
    <xf numFmtId="43" fontId="24" fillId="0" borderId="0" applyFont="0" applyFill="0" applyBorder="0" applyAlignment="0" applyProtection="0"/>
    <xf numFmtId="228" fontId="24" fillId="0" borderId="0" applyFont="0" applyFill="0" applyBorder="0" applyAlignment="0" applyProtection="0"/>
    <xf numFmtId="43" fontId="24" fillId="0" borderId="0" applyFont="0" applyFill="0" applyBorder="0" applyAlignment="0" applyProtection="0"/>
    <xf numFmtId="228"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80" fillId="0" borderId="0" applyFont="0" applyFill="0" applyBorder="0" applyAlignment="0" applyProtection="0"/>
    <xf numFmtId="43" fontId="24" fillId="0" borderId="0" applyFont="0" applyFill="0" applyBorder="0" applyAlignment="0" applyProtection="0"/>
    <xf numFmtId="230" fontId="24" fillId="0" borderId="0" applyFill="0" applyBorder="0" applyProtection="0">
      <alignment vertical="top"/>
    </xf>
    <xf numFmtId="167" fontId="80" fillId="0" borderId="0" applyFont="0" applyFill="0" applyBorder="0" applyAlignment="0" applyProtection="0"/>
    <xf numFmtId="230" fontId="24" fillId="0" borderId="0" applyFill="0" applyBorder="0" applyProtection="0">
      <alignment vertical="top"/>
    </xf>
    <xf numFmtId="167" fontId="80" fillId="0" borderId="0" applyFont="0" applyFill="0" applyBorder="0" applyAlignment="0" applyProtection="0"/>
    <xf numFmtId="43" fontId="24" fillId="0" borderId="0" applyFont="0" applyFill="0" applyBorder="0" applyAlignment="0" applyProtection="0"/>
    <xf numFmtId="182"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94" fontId="24" fillId="0" borderId="0" applyFill="0" applyBorder="0" applyProtection="0">
      <alignment vertical="top"/>
    </xf>
    <xf numFmtId="43" fontId="24" fillId="0" borderId="0" applyFont="0" applyFill="0" applyBorder="0" applyAlignment="0" applyProtection="0"/>
    <xf numFmtId="194" fontId="24" fillId="0" borderId="0" applyFill="0" applyBorder="0" applyProtection="0">
      <alignment vertical="top"/>
    </xf>
    <xf numFmtId="167" fontId="8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8" fillId="0" borderId="0" applyFont="0" applyFill="0" applyBorder="0" applyAlignment="0" applyProtection="0"/>
    <xf numFmtId="165" fontId="80" fillId="0" borderId="0" applyFont="0" applyFill="0" applyBorder="0" applyAlignment="0" applyProtection="0"/>
    <xf numFmtId="43" fontId="76" fillId="0" borderId="0" applyFont="0" applyFill="0" applyBorder="0" applyAlignment="0" applyProtection="0"/>
    <xf numFmtId="43" fontId="98" fillId="0" borderId="0" applyFont="0" applyFill="0" applyBorder="0" applyAlignment="0" applyProtection="0"/>
    <xf numFmtId="165" fontId="80" fillId="0" borderId="0" applyFont="0" applyFill="0" applyBorder="0" applyAlignment="0" applyProtection="0"/>
    <xf numFmtId="43" fontId="24" fillId="0" borderId="0" applyFont="0" applyFill="0" applyBorder="0" applyAlignment="0" applyProtection="0"/>
    <xf numFmtId="165" fontId="80" fillId="0" borderId="0" applyFont="0" applyFill="0" applyBorder="0" applyAlignment="0" applyProtection="0"/>
    <xf numFmtId="43" fontId="24" fillId="0" borderId="0" applyFont="0" applyFill="0" applyBorder="0" applyAlignment="0" applyProtection="0"/>
    <xf numFmtId="194" fontId="24" fillId="0" borderId="0" applyFill="0" applyBorder="0" applyProtection="0">
      <alignment vertical="top"/>
    </xf>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01" fillId="68" borderId="80" applyNumberFormat="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78" fontId="118" fillId="0" borderId="0" applyNumberFormat="0" applyFill="0" applyBorder="0" applyAlignment="0" applyProtection="0"/>
    <xf numFmtId="0" fontId="118" fillId="0" borderId="0" applyNumberFormat="0" applyFill="0" applyBorder="0" applyAlignment="0" applyProtection="0"/>
    <xf numFmtId="178" fontId="118" fillId="0" borderId="0" applyNumberFormat="0" applyFill="0" applyBorder="0" applyAlignment="0" applyProtection="0"/>
    <xf numFmtId="178" fontId="118" fillId="0" borderId="0" applyNumberFormat="0" applyFill="0" applyBorder="0" applyAlignment="0" applyProtection="0"/>
    <xf numFmtId="0" fontId="121" fillId="0" borderId="0" applyNumberFormat="0" applyFill="0" applyBorder="0" applyAlignment="0" applyProtection="0"/>
    <xf numFmtId="199" fontId="79" fillId="0" borderId="0" applyFill="0" applyBorder="0">
      <alignment horizontal="left"/>
    </xf>
    <xf numFmtId="199" fontId="79" fillId="0" borderId="0" applyFill="0" applyBorder="0">
      <alignment horizontal="left"/>
    </xf>
    <xf numFmtId="0" fontId="129" fillId="2" borderId="0" applyFill="0" applyBorder="0"/>
    <xf numFmtId="0" fontId="129" fillId="2" borderId="0" applyFill="0" applyBorder="0"/>
    <xf numFmtId="0" fontId="130" fillId="0" borderId="0" applyNumberFormat="0" applyAlignment="0">
      <alignment horizontal="left"/>
    </xf>
    <xf numFmtId="0" fontId="130" fillId="0" borderId="0" applyNumberFormat="0" applyAlignment="0">
      <alignment horizontal="left"/>
    </xf>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223" fontId="24" fillId="0" borderId="0" applyFill="0" applyBorder="0" applyProtection="0">
      <alignment vertical="top"/>
    </xf>
    <xf numFmtId="44" fontId="24" fillId="0" borderId="0" applyFont="0" applyFill="0" applyBorder="0" applyAlignment="0" applyProtection="0"/>
    <xf numFmtId="44" fontId="24" fillId="0" borderId="0" applyFont="0" applyFill="0" applyBorder="0" applyAlignment="0" applyProtection="0"/>
    <xf numFmtId="206" fontId="76" fillId="0" borderId="0" applyFont="0" applyFill="0" applyBorder="0" applyAlignment="0" applyProtection="0"/>
    <xf numFmtId="206" fontId="76" fillId="0" borderId="0" applyFont="0" applyFill="0" applyBorder="0" applyAlignment="0" applyProtection="0"/>
    <xf numFmtId="44" fontId="24" fillId="0" borderId="0" applyFont="0" applyFill="0" applyBorder="0" applyAlignment="0" applyProtection="0"/>
    <xf numFmtId="223" fontId="24" fillId="0" borderId="0" applyFill="0" applyBorder="0" applyProtection="0">
      <alignment vertical="top"/>
    </xf>
    <xf numFmtId="44" fontId="78" fillId="0" borderId="0" applyFont="0" applyFill="0" applyBorder="0" applyAlignment="0" applyProtection="0"/>
    <xf numFmtId="206" fontId="76" fillId="0" borderId="0" applyFont="0" applyFill="0" applyBorder="0" applyAlignment="0" applyProtection="0"/>
    <xf numFmtId="206" fontId="76" fillId="0" borderId="0" applyFont="0" applyFill="0" applyBorder="0" applyAlignment="0" applyProtection="0"/>
    <xf numFmtId="206" fontId="76" fillId="0" borderId="0" applyFont="0" applyFill="0" applyBorder="0" applyAlignment="0" applyProtection="0"/>
    <xf numFmtId="206" fontId="76"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78" fontId="118" fillId="0" borderId="0" applyNumberFormat="0" applyFill="0" applyBorder="0" applyAlignment="0" applyProtection="0"/>
    <xf numFmtId="0" fontId="118" fillId="0" borderId="0" applyNumberFormat="0" applyFill="0" applyBorder="0" applyAlignment="0" applyProtection="0"/>
    <xf numFmtId="178" fontId="118" fillId="0" borderId="0" applyNumberFormat="0" applyFill="0" applyBorder="0" applyAlignment="0" applyProtection="0"/>
    <xf numFmtId="178" fontId="118" fillId="0" borderId="0" applyNumberFormat="0" applyFill="0" applyBorder="0" applyAlignment="0" applyProtection="0"/>
    <xf numFmtId="0" fontId="121" fillId="0" borderId="0" applyNumberFormat="0" applyFill="0" applyBorder="0" applyAlignment="0" applyProtection="0"/>
    <xf numFmtId="0" fontId="125" fillId="0" borderId="0"/>
    <xf numFmtId="204" fontId="76" fillId="0" borderId="0" applyFont="0" applyFill="0" applyBorder="0" applyAlignment="0" applyProtection="0"/>
    <xf numFmtId="204" fontId="76" fillId="0" borderId="0" applyFont="0" applyFill="0" applyBorder="0" applyAlignment="0" applyProtection="0"/>
    <xf numFmtId="224" fontId="24" fillId="0" borderId="0" applyFill="0" applyBorder="0" applyAlignment="0" applyProtection="0"/>
    <xf numFmtId="204" fontId="76" fillId="0" borderId="0" applyFont="0" applyFill="0" applyBorder="0" applyAlignment="0" applyProtection="0"/>
    <xf numFmtId="224" fontId="24" fillId="0" borderId="0" applyFill="0" applyBorder="0" applyAlignment="0" applyProtection="0"/>
    <xf numFmtId="0" fontId="125" fillId="0" borderId="82"/>
    <xf numFmtId="0" fontId="125" fillId="0" borderId="82"/>
    <xf numFmtId="0" fontId="125" fillId="0" borderId="82"/>
    <xf numFmtId="0" fontId="125" fillId="0" borderId="82"/>
    <xf numFmtId="0" fontId="125" fillId="0" borderId="82"/>
    <xf numFmtId="0" fontId="125" fillId="0" borderId="82"/>
    <xf numFmtId="237" fontId="168" fillId="0" borderId="0">
      <protection locked="0"/>
    </xf>
    <xf numFmtId="0" fontId="131" fillId="2" borderId="0"/>
    <xf numFmtId="0" fontId="131" fillId="2" borderId="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208" fontId="77" fillId="0" borderId="0"/>
    <xf numFmtId="208" fontId="77" fillId="0" borderId="0"/>
    <xf numFmtId="235" fontId="24" fillId="0" borderId="0" applyFont="0" applyFill="0" applyBorder="0" applyAlignment="0" applyProtection="0"/>
    <xf numFmtId="189" fontId="30" fillId="0" borderId="0" applyFont="0" applyFill="0" applyBorder="0" applyAlignment="0" applyProtection="0"/>
    <xf numFmtId="198" fontId="24" fillId="0" borderId="0" applyFill="0" applyBorder="0" applyAlignment="0"/>
    <xf numFmtId="198" fontId="24" fillId="0" borderId="0" applyFill="0" applyBorder="0" applyAlignment="0"/>
    <xf numFmtId="212" fontId="24" fillId="0" borderId="0" applyFill="0" applyBorder="0" applyAlignment="0"/>
    <xf numFmtId="212" fontId="24" fillId="0" borderId="0" applyFill="0" applyBorder="0" applyAlignment="0"/>
    <xf numFmtId="198" fontId="24" fillId="0" borderId="0" applyFill="0" applyBorder="0" applyAlignment="0"/>
    <xf numFmtId="0" fontId="132" fillId="0" borderId="0" applyNumberFormat="0" applyAlignment="0">
      <alignment horizontal="left"/>
    </xf>
    <xf numFmtId="0" fontId="132" fillId="0" borderId="0" applyNumberFormat="0" applyAlignment="0">
      <alignment horizontal="left"/>
    </xf>
    <xf numFmtId="187" fontId="24" fillId="0" borderId="0" applyFont="0" applyFill="0" applyBorder="0" applyAlignment="0" applyProtection="0"/>
    <xf numFmtId="187" fontId="163" fillId="0" borderId="0" applyFont="0" applyFill="0" applyBorder="0" applyAlignment="0" applyProtection="0"/>
    <xf numFmtId="187"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87" fontId="24" fillId="0" borderId="0" applyFont="0" applyFill="0" applyBorder="0" applyAlignment="0" applyProtection="0"/>
    <xf numFmtId="233" fontId="24" fillId="0" borderId="0" applyFont="0" applyFill="0" applyBorder="0" applyAlignment="0" applyProtection="0"/>
    <xf numFmtId="231" fontId="24" fillId="0" borderId="0" applyFill="0" applyBorder="0" applyProtection="0">
      <alignment vertical="top"/>
    </xf>
    <xf numFmtId="233"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93" fillId="0" borderId="0" applyNumberFormat="0" applyFill="0" applyBorder="0" applyAlignment="0" applyProtection="0"/>
    <xf numFmtId="0" fontId="133" fillId="0" borderId="0" applyFill="0" applyAlignment="0"/>
    <xf numFmtId="0" fontId="133" fillId="0" borderId="0" applyFill="0" applyAlignment="0"/>
    <xf numFmtId="0" fontId="24" fillId="0" borderId="0"/>
    <xf numFmtId="0" fontId="24" fillId="0" borderId="0"/>
    <xf numFmtId="178" fontId="24" fillId="0" borderId="0"/>
    <xf numFmtId="178" fontId="24" fillId="0" borderId="0"/>
    <xf numFmtId="0" fontId="24" fillId="0" borderId="0"/>
    <xf numFmtId="178" fontId="24" fillId="0" borderId="0"/>
    <xf numFmtId="178" fontId="24" fillId="0" borderId="0"/>
    <xf numFmtId="0" fontId="24" fillId="0" borderId="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84" fillId="13" borderId="0" applyNumberFormat="0" applyBorder="0" applyAlignment="0" applyProtection="0"/>
    <xf numFmtId="38" fontId="29" fillId="2" borderId="0" applyNumberFormat="0" applyBorder="0" applyAlignment="0" applyProtection="0"/>
    <xf numFmtId="38" fontId="29" fillId="2" borderId="0" applyNumberFormat="0" applyBorder="0" applyAlignment="0" applyProtection="0"/>
    <xf numFmtId="38" fontId="29" fillId="2" borderId="0" applyNumberFormat="0" applyBorder="0" applyAlignment="0" applyProtection="0"/>
    <xf numFmtId="178" fontId="29" fillId="68" borderId="0" applyNumberFormat="0" applyBorder="0" applyAlignment="0" applyProtection="0"/>
    <xf numFmtId="178" fontId="29" fillId="68" borderId="0" applyNumberFormat="0" applyBorder="0" applyAlignment="0" applyProtection="0"/>
    <xf numFmtId="178" fontId="29" fillId="68" borderId="0" applyNumberFormat="0" applyBorder="0" applyAlignment="0" applyProtection="0"/>
    <xf numFmtId="38" fontId="29" fillId="2" borderId="0" applyNumberFormat="0" applyBorder="0" applyAlignment="0" applyProtection="0"/>
    <xf numFmtId="0" fontId="29" fillId="68" borderId="0" applyNumberFormat="0" applyBorder="0" applyAlignment="0" applyProtection="0"/>
    <xf numFmtId="0" fontId="31" fillId="0" borderId="3" applyNumberFormat="0" applyAlignment="0" applyProtection="0">
      <alignment horizontal="left" vertical="center"/>
    </xf>
    <xf numFmtId="0" fontId="31" fillId="0" borderId="3" applyNumberFormat="0" applyAlignment="0" applyProtection="0">
      <alignment horizontal="left" vertical="center"/>
    </xf>
    <xf numFmtId="178" fontId="31" fillId="0" borderId="83" applyNumberFormat="0" applyAlignment="0" applyProtection="0"/>
    <xf numFmtId="0" fontId="31" fillId="0" borderId="83" applyNumberFormat="0" applyAlignment="0" applyProtection="0"/>
    <xf numFmtId="178" fontId="31" fillId="0" borderId="83" applyNumberFormat="0" applyAlignment="0" applyProtection="0"/>
    <xf numFmtId="178" fontId="31" fillId="0" borderId="83" applyNumberFormat="0" applyAlignment="0" applyProtection="0"/>
    <xf numFmtId="0" fontId="31" fillId="0" borderId="3" applyNumberFormat="0" applyAlignment="0" applyProtection="0">
      <alignment horizontal="left" vertical="center"/>
    </xf>
    <xf numFmtId="0" fontId="31" fillId="0" borderId="3" applyNumberFormat="0" applyAlignment="0" applyProtection="0">
      <alignment horizontal="left" vertical="center"/>
    </xf>
    <xf numFmtId="0" fontId="31" fillId="0" borderId="4">
      <alignment horizontal="left" vertical="center"/>
    </xf>
    <xf numFmtId="0" fontId="31" fillId="0" borderId="4">
      <alignment horizontal="left" vertical="center"/>
    </xf>
    <xf numFmtId="178" fontId="31" fillId="0" borderId="84">
      <alignment horizontal="left" vertical="center"/>
    </xf>
    <xf numFmtId="178" fontId="31" fillId="0" borderId="84">
      <alignment horizontal="left" vertical="center"/>
    </xf>
    <xf numFmtId="178" fontId="31" fillId="0" borderId="84">
      <alignment horizontal="left" vertical="center"/>
    </xf>
    <xf numFmtId="0" fontId="31" fillId="0" borderId="84">
      <alignment horizontal="left" vertical="center"/>
    </xf>
    <xf numFmtId="178" fontId="31" fillId="0" borderId="84">
      <alignment horizontal="left" vertical="center"/>
    </xf>
    <xf numFmtId="178" fontId="31" fillId="0" borderId="84">
      <alignment horizontal="left" vertical="center"/>
    </xf>
    <xf numFmtId="178" fontId="31" fillId="0" borderId="84">
      <alignment horizontal="left" vertical="center"/>
    </xf>
    <xf numFmtId="0" fontId="31" fillId="0" borderId="84">
      <alignment horizontal="left" vertical="center"/>
    </xf>
    <xf numFmtId="178" fontId="31" fillId="0" borderId="84">
      <alignment horizontal="left" vertical="center"/>
    </xf>
    <xf numFmtId="178" fontId="31" fillId="0" borderId="84">
      <alignment horizontal="left" vertical="center"/>
    </xf>
    <xf numFmtId="0" fontId="31" fillId="0" borderId="4">
      <alignment horizontal="left" vertical="center"/>
    </xf>
    <xf numFmtId="0" fontId="31" fillId="0" borderId="4">
      <alignment horizontal="left" vertical="center"/>
    </xf>
    <xf numFmtId="0" fontId="31" fillId="0" borderId="84">
      <alignment horizontal="left" vertical="center"/>
    </xf>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81" fillId="0" borderId="69" applyNumberFormat="0" applyFill="0" applyAlignment="0" applyProtection="0"/>
    <xf numFmtId="0" fontId="150" fillId="0" borderId="86" applyNumberFormat="0" applyFill="0" applyAlignment="0" applyProtection="0"/>
    <xf numFmtId="0" fontId="81" fillId="0" borderId="69" applyNumberFormat="0" applyFill="0" applyAlignment="0" applyProtection="0"/>
    <xf numFmtId="0" fontId="150" fillId="0" borderId="86"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82" fillId="0" borderId="70" applyNumberFormat="0" applyFill="0" applyAlignment="0" applyProtection="0"/>
    <xf numFmtId="0" fontId="151" fillId="0" borderId="87" applyNumberFormat="0" applyFill="0" applyAlignment="0" applyProtection="0"/>
    <xf numFmtId="0" fontId="82" fillId="0" borderId="70" applyNumberFormat="0" applyFill="0" applyAlignment="0" applyProtection="0"/>
    <xf numFmtId="0" fontId="151" fillId="0" borderId="87"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83" fillId="0" borderId="71" applyNumberFormat="0" applyFill="0" applyAlignment="0" applyProtection="0"/>
    <xf numFmtId="0" fontId="152" fillId="0" borderId="89" applyNumberFormat="0" applyFill="0" applyAlignment="0" applyProtection="0"/>
    <xf numFmtId="0" fontId="83" fillId="0" borderId="71" applyNumberFormat="0" applyFill="0" applyAlignment="0" applyProtection="0"/>
    <xf numFmtId="0" fontId="152" fillId="0" borderId="89"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83" fillId="0" borderId="0" applyNumberFormat="0" applyFill="0" applyBorder="0" applyAlignment="0" applyProtection="0"/>
    <xf numFmtId="0" fontId="152" fillId="0" borderId="0" applyNumberFormat="0" applyFill="0" applyBorder="0" applyAlignment="0" applyProtection="0"/>
    <xf numFmtId="0" fontId="83" fillId="0" borderId="0" applyNumberFormat="0" applyFill="0" applyBorder="0" applyAlignment="0" applyProtection="0"/>
    <xf numFmtId="0" fontId="152" fillId="0" borderId="0" applyNumberFormat="0" applyFill="0" applyBorder="0" applyAlignment="0" applyProtection="0"/>
    <xf numFmtId="227" fontId="24" fillId="0" borderId="0">
      <protection locked="0"/>
    </xf>
    <xf numFmtId="227" fontId="24" fillId="0" borderId="0">
      <protection locked="0"/>
    </xf>
    <xf numFmtId="0" fontId="170" fillId="0" borderId="0" applyNumberFormat="0" applyFill="0" applyBorder="0" applyAlignment="0" applyProtection="0">
      <alignment vertical="top"/>
      <protection locked="0"/>
    </xf>
    <xf numFmtId="0" fontId="171" fillId="0" borderId="0" applyNumberFormat="0" applyFill="0" applyBorder="0" applyAlignment="0" applyProtection="0"/>
    <xf numFmtId="0" fontId="171" fillId="0" borderId="0" applyNumberFormat="0" applyFill="0" applyBorder="0" applyAlignment="0" applyProtection="0"/>
    <xf numFmtId="0" fontId="169" fillId="0" borderId="0" applyNumberFormat="0" applyFill="0" applyBorder="0" applyAlignment="0" applyProtection="0">
      <alignment vertical="top"/>
      <protection locked="0"/>
    </xf>
    <xf numFmtId="0" fontId="108" fillId="45" borderId="80" applyNumberFormat="0" applyAlignment="0" applyProtection="0"/>
    <xf numFmtId="10" fontId="29" fillId="69" borderId="1" applyNumberFormat="0" applyBorder="0" applyAlignment="0" applyProtection="0"/>
    <xf numFmtId="10" fontId="29" fillId="69" borderId="1" applyNumberFormat="0" applyBorder="0" applyAlignment="0" applyProtection="0"/>
    <xf numFmtId="10" fontId="29" fillId="70" borderId="1" applyNumberFormat="0" applyBorder="0" applyAlignment="0" applyProtection="0"/>
    <xf numFmtId="178" fontId="29" fillId="71" borderId="0"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78" fontId="29" fillId="71" borderId="0" applyNumberFormat="0" applyBorder="0" applyAlignment="0" applyProtection="0"/>
    <xf numFmtId="10" fontId="29" fillId="69" borderId="1" applyNumberFormat="0" applyBorder="0" applyAlignment="0" applyProtection="0"/>
    <xf numFmtId="178" fontId="29" fillId="71" borderId="0" applyNumberFormat="0" applyBorder="0" applyAlignment="0" applyProtection="0"/>
    <xf numFmtId="10" fontId="29" fillId="69" borderId="1" applyNumberFormat="0" applyBorder="0" applyAlignment="0" applyProtection="0"/>
    <xf numFmtId="0" fontId="29" fillId="71" borderId="0" applyNumberFormat="0" applyBorder="0" applyAlignment="0" applyProtection="0"/>
    <xf numFmtId="10" fontId="29" fillId="69" borderId="1" applyNumberFormat="0" applyBorder="0" applyAlignment="0" applyProtection="0"/>
    <xf numFmtId="0" fontId="87" fillId="16" borderId="72"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87" fillId="16" borderId="72" applyNumberFormat="0" applyAlignment="0" applyProtection="0"/>
    <xf numFmtId="0" fontId="87" fillId="16" borderId="72"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87" fillId="16" borderId="72"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87" fillId="16" borderId="72"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87" fillId="16" borderId="72" applyNumberFormat="0" applyAlignment="0" applyProtection="0"/>
    <xf numFmtId="0" fontId="87" fillId="16" borderId="72" applyNumberFormat="0" applyAlignment="0" applyProtection="0"/>
    <xf numFmtId="0" fontId="108" fillId="55" borderId="80" applyNumberFormat="0" applyAlignment="0" applyProtection="0"/>
    <xf numFmtId="0" fontId="108" fillId="55" borderId="80" applyNumberFormat="0" applyAlignment="0" applyProtection="0"/>
    <xf numFmtId="0" fontId="108" fillId="55" borderId="80" applyNumberFormat="0" applyAlignment="0" applyProtection="0"/>
    <xf numFmtId="0" fontId="87" fillId="16" borderId="72" applyNumberFormat="0" applyAlignment="0" applyProtection="0"/>
    <xf numFmtId="0" fontId="125" fillId="0" borderId="0" applyBorder="0"/>
    <xf numFmtId="205" fontId="24" fillId="0" borderId="0"/>
    <xf numFmtId="205" fontId="24" fillId="0" borderId="0"/>
    <xf numFmtId="225" fontId="24" fillId="0" borderId="0"/>
    <xf numFmtId="205" fontId="24" fillId="0" borderId="0"/>
    <xf numFmtId="225" fontId="24" fillId="0" borderId="0"/>
    <xf numFmtId="200" fontId="47" fillId="0" borderId="0"/>
    <xf numFmtId="200" fontId="47" fillId="0" borderId="0"/>
    <xf numFmtId="200" fontId="47" fillId="0" borderId="0"/>
    <xf numFmtId="226" fontId="47" fillId="0" borderId="0"/>
    <xf numFmtId="0" fontId="156" fillId="72" borderId="82"/>
    <xf numFmtId="0" fontId="156" fillId="72" borderId="82"/>
    <xf numFmtId="0" fontId="156" fillId="72" borderId="82"/>
    <xf numFmtId="0" fontId="156" fillId="72" borderId="82"/>
    <xf numFmtId="0" fontId="156" fillId="72" borderId="82"/>
    <xf numFmtId="0" fontId="156" fillId="72" borderId="82"/>
    <xf numFmtId="198" fontId="24" fillId="0" borderId="0" applyFill="0" applyBorder="0" applyAlignment="0"/>
    <xf numFmtId="198" fontId="24" fillId="0" borderId="0" applyFill="0" applyBorder="0" applyAlignment="0"/>
    <xf numFmtId="212" fontId="24" fillId="0" borderId="0" applyFill="0" applyBorder="0" applyAlignment="0"/>
    <xf numFmtId="212" fontId="24" fillId="0" borderId="0" applyFill="0" applyBorder="0" applyAlignment="0"/>
    <xf numFmtId="198" fontId="24" fillId="0" borderId="0" applyFill="0" applyBorder="0" applyAlignment="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90" fillId="0" borderId="74" applyNumberFormat="0" applyFill="0" applyAlignment="0" applyProtection="0"/>
    <xf numFmtId="192" fontId="24" fillId="0" borderId="0" applyFont="0" applyFill="0" applyBorder="0" applyAlignment="0" applyProtection="0"/>
    <xf numFmtId="193" fontId="24" fillId="0" borderId="0" applyFont="0" applyFill="0" applyBorder="0" applyAlignment="0" applyProtection="0"/>
    <xf numFmtId="42" fontId="24" fillId="0" borderId="0" applyFont="0" applyFill="0" applyBorder="0" applyAlignment="0" applyProtection="0"/>
    <xf numFmtId="44" fontId="24" fillId="0" borderId="0" applyFont="0" applyFill="0" applyBorder="0" applyAlignment="0" applyProtection="0"/>
    <xf numFmtId="174" fontId="24" fillId="0" borderId="0" applyFont="0" applyFill="0" applyBorder="0" applyAlignment="0" applyProtection="0"/>
    <xf numFmtId="197" fontId="24" fillId="0" borderId="0" applyFont="0" applyFill="0" applyBorder="0" applyAlignment="0" applyProtection="0"/>
    <xf numFmtId="195" fontId="24" fillId="0" borderId="0" applyFont="0" applyFill="0" applyBorder="0" applyAlignment="0" applyProtection="0"/>
    <xf numFmtId="196" fontId="24" fillId="0" borderId="0" applyFont="0" applyFill="0" applyBorder="0" applyAlignment="0" applyProtection="0"/>
    <xf numFmtId="188" fontId="77" fillId="0" borderId="0" applyFill="0" applyBorder="0">
      <alignment horizontal="center" vertical="top"/>
    </xf>
    <xf numFmtId="188" fontId="77" fillId="0" borderId="0" applyFill="0" applyBorder="0">
      <alignment horizontal="center" vertical="top"/>
    </xf>
    <xf numFmtId="213" fontId="77" fillId="0" borderId="0" applyFill="0" applyBorder="0">
      <alignment horizontal="center" vertical="top"/>
    </xf>
    <xf numFmtId="219" fontId="24" fillId="0" borderId="0" applyFill="0" applyBorder="0">
      <alignment horizontal="center" vertical="top"/>
    </xf>
    <xf numFmtId="188" fontId="77" fillId="0" borderId="0" applyFill="0" applyBorder="0">
      <alignment horizontal="center" vertical="top"/>
    </xf>
    <xf numFmtId="0" fontId="110" fillId="55" borderId="0" applyNumberFormat="0" applyBorder="0" applyAlignment="0" applyProtection="0"/>
    <xf numFmtId="0" fontId="110" fillId="55" borderId="0" applyNumberFormat="0" applyBorder="0" applyAlignment="0" applyProtection="0"/>
    <xf numFmtId="0" fontId="110" fillId="55" borderId="0" applyNumberFormat="0" applyBorder="0" applyAlignment="0" applyProtection="0"/>
    <xf numFmtId="0" fontId="110" fillId="55" borderId="0" applyNumberFormat="0" applyBorder="0" applyAlignment="0" applyProtection="0"/>
    <xf numFmtId="0" fontId="110" fillId="55" borderId="0" applyNumberFormat="0" applyBorder="0" applyAlignment="0" applyProtection="0"/>
    <xf numFmtId="0" fontId="110" fillId="55" borderId="0" applyNumberFormat="0" applyBorder="0" applyAlignment="0" applyProtection="0"/>
    <xf numFmtId="0" fontId="86" fillId="15" borderId="0" applyNumberFormat="0" applyBorder="0" applyAlignment="0" applyProtection="0"/>
    <xf numFmtId="0" fontId="31" fillId="70" borderId="91">
      <alignment vertical="center"/>
    </xf>
    <xf numFmtId="0" fontId="77" fillId="0" borderId="0"/>
    <xf numFmtId="178" fontId="77" fillId="0" borderId="0"/>
    <xf numFmtId="178" fontId="77" fillId="0" borderId="0"/>
    <xf numFmtId="178" fontId="77" fillId="0" borderId="0"/>
    <xf numFmtId="0" fontId="24" fillId="0" borderId="0"/>
    <xf numFmtId="0" fontId="24" fillId="0" borderId="0"/>
    <xf numFmtId="0" fontId="24" fillId="0" borderId="0"/>
    <xf numFmtId="0" fontId="154" fillId="0" borderId="0"/>
    <xf numFmtId="178" fontId="154" fillId="0" borderId="0"/>
    <xf numFmtId="0" fontId="24" fillId="0" borderId="0"/>
    <xf numFmtId="178" fontId="154" fillId="0" borderId="0"/>
    <xf numFmtId="178" fontId="154" fillId="0" borderId="0"/>
    <xf numFmtId="0" fontId="24" fillId="0" borderId="0"/>
    <xf numFmtId="0" fontId="154" fillId="0" borderId="0"/>
    <xf numFmtId="0" fontId="78" fillId="0" borderId="0"/>
    <xf numFmtId="0" fontId="101" fillId="68" borderId="80" applyNumberFormat="0" applyAlignment="0" applyProtection="0"/>
    <xf numFmtId="0" fontId="78" fillId="0" borderId="0">
      <alignment vertical="top"/>
    </xf>
    <xf numFmtId="0" fontId="76" fillId="0" borderId="0">
      <alignment vertical="top"/>
    </xf>
    <xf numFmtId="0" fontId="172" fillId="0" borderId="0"/>
    <xf numFmtId="0" fontId="21" fillId="0" borderId="0"/>
    <xf numFmtId="0" fontId="14" fillId="0" borderId="0"/>
    <xf numFmtId="0" fontId="24" fillId="0" borderId="0"/>
    <xf numFmtId="0" fontId="14" fillId="0" borderId="0"/>
    <xf numFmtId="0" fontId="76" fillId="0" borderId="0"/>
    <xf numFmtId="0" fontId="172" fillId="0" borderId="0"/>
    <xf numFmtId="0" fontId="24" fillId="0" borderId="0"/>
    <xf numFmtId="0" fontId="118" fillId="0" borderId="0"/>
    <xf numFmtId="0" fontId="24" fillId="0" borderId="0"/>
    <xf numFmtId="0" fontId="24" fillId="0" borderId="0"/>
    <xf numFmtId="229" fontId="76" fillId="0" borderId="0"/>
    <xf numFmtId="0" fontId="118" fillId="0" borderId="0"/>
    <xf numFmtId="0" fontId="14" fillId="0" borderId="0"/>
    <xf numFmtId="178" fontId="76" fillId="0" borderId="0"/>
    <xf numFmtId="178" fontId="76" fillId="0" borderId="0"/>
    <xf numFmtId="187" fontId="76" fillId="0" borderId="0"/>
    <xf numFmtId="0" fontId="24" fillId="0" borderId="0"/>
    <xf numFmtId="0" fontId="24" fillId="0" borderId="0"/>
    <xf numFmtId="0" fontId="76" fillId="0" borderId="0"/>
    <xf numFmtId="0" fontId="76" fillId="0" borderId="0"/>
    <xf numFmtId="0" fontId="14" fillId="0" borderId="0"/>
    <xf numFmtId="0" fontId="24" fillId="0" borderId="0"/>
    <xf numFmtId="0" fontId="14" fillId="0" borderId="0"/>
    <xf numFmtId="0" fontId="76" fillId="0" borderId="0">
      <alignment vertical="top"/>
    </xf>
    <xf numFmtId="0" fontId="24" fillId="0" borderId="0">
      <alignment vertical="top"/>
    </xf>
    <xf numFmtId="0" fontId="21" fillId="0" borderId="0"/>
    <xf numFmtId="0" fontId="24" fillId="0" borderId="0">
      <alignment vertical="top"/>
    </xf>
    <xf numFmtId="207" fontId="76" fillId="0" borderId="0"/>
    <xf numFmtId="207" fontId="76" fillId="0" borderId="0"/>
    <xf numFmtId="0" fontId="21" fillId="81" borderId="0" applyNumberFormat="0" applyBorder="0" applyAlignment="0" applyProtection="0"/>
    <xf numFmtId="0" fontId="76" fillId="0" borderId="0"/>
    <xf numFmtId="0" fontId="172" fillId="0" borderId="0"/>
    <xf numFmtId="0" fontId="14" fillId="0" borderId="0"/>
    <xf numFmtId="0" fontId="14" fillId="0" borderId="0"/>
    <xf numFmtId="0" fontId="24" fillId="0" borderId="0"/>
    <xf numFmtId="0" fontId="14" fillId="0" borderId="0"/>
    <xf numFmtId="0" fontId="14" fillId="0" borderId="0"/>
    <xf numFmtId="0" fontId="78" fillId="0" borderId="0">
      <alignment vertical="top"/>
    </xf>
    <xf numFmtId="0" fontId="24" fillId="0" borderId="0"/>
    <xf numFmtId="0" fontId="76" fillId="0" borderId="0"/>
    <xf numFmtId="0" fontId="14" fillId="0" borderId="0"/>
    <xf numFmtId="0" fontId="14" fillId="0" borderId="0"/>
    <xf numFmtId="0" fontId="24" fillId="0" borderId="0"/>
    <xf numFmtId="0" fontId="14" fillId="0" borderId="0"/>
    <xf numFmtId="0" fontId="14" fillId="0" borderId="0"/>
    <xf numFmtId="0" fontId="14" fillId="0" borderId="0"/>
    <xf numFmtId="0" fontId="78" fillId="0" borderId="0"/>
    <xf numFmtId="0" fontId="97" fillId="0" borderId="0"/>
    <xf numFmtId="0" fontId="76" fillId="0" borderId="0">
      <alignment vertical="center" wrapText="1"/>
    </xf>
    <xf numFmtId="0" fontId="24" fillId="0" borderId="0"/>
    <xf numFmtId="0" fontId="2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24" fillId="0" borderId="0"/>
    <xf numFmtId="0" fontId="97" fillId="0" borderId="0"/>
    <xf numFmtId="0" fontId="14" fillId="0" borderId="0"/>
    <xf numFmtId="0" fontId="14" fillId="0" borderId="0"/>
    <xf numFmtId="0" fontId="14" fillId="0" borderId="0"/>
    <xf numFmtId="0" fontId="14" fillId="0" borderId="0"/>
    <xf numFmtId="0" fontId="126" fillId="0" borderId="0">
      <protection locked="0"/>
    </xf>
    <xf numFmtId="0" fontId="76" fillId="0" borderId="0"/>
    <xf numFmtId="0" fontId="118" fillId="0" borderId="0"/>
    <xf numFmtId="0" fontId="21" fillId="45" borderId="0" applyNumberFormat="0" applyBorder="0" applyAlignment="0" applyProtection="0"/>
    <xf numFmtId="0" fontId="14" fillId="0" borderId="0"/>
    <xf numFmtId="0" fontId="24" fillId="0" borderId="0"/>
    <xf numFmtId="0" fontId="14" fillId="0" borderId="0"/>
    <xf numFmtId="0" fontId="126" fillId="0" borderId="0">
      <protection locked="0"/>
    </xf>
    <xf numFmtId="0" fontId="76" fillId="0" borderId="0"/>
    <xf numFmtId="0" fontId="14" fillId="0" borderId="0"/>
    <xf numFmtId="0" fontId="14" fillId="0" borderId="0"/>
    <xf numFmtId="0" fontId="118" fillId="0" borderId="0"/>
    <xf numFmtId="0" fontId="14" fillId="0" borderId="0"/>
    <xf numFmtId="0" fontId="14" fillId="0" borderId="0"/>
    <xf numFmtId="0" fontId="24" fillId="0" borderId="0"/>
    <xf numFmtId="0" fontId="14" fillId="0" borderId="0"/>
    <xf numFmtId="0" fontId="126" fillId="0" borderId="0">
      <protection locked="0"/>
    </xf>
    <xf numFmtId="0" fontId="76" fillId="0" borderId="0"/>
    <xf numFmtId="0" fontId="14" fillId="0" borderId="0"/>
    <xf numFmtId="0" fontId="24" fillId="0" borderId="0"/>
    <xf numFmtId="0" fontId="76" fillId="0" borderId="0">
      <alignment vertical="top"/>
    </xf>
    <xf numFmtId="0" fontId="76" fillId="0" borderId="0">
      <alignment vertical="top"/>
    </xf>
    <xf numFmtId="0" fontId="21" fillId="49" borderId="0" applyNumberFormat="0" applyBorder="0" applyAlignment="0" applyProtection="0"/>
    <xf numFmtId="0" fontId="24" fillId="0" borderId="0">
      <alignment vertical="top"/>
    </xf>
    <xf numFmtId="0" fontId="24" fillId="0" borderId="0"/>
    <xf numFmtId="0" fontId="24" fillId="0" borderId="0"/>
    <xf numFmtId="0" fontId="24" fillId="0" borderId="0"/>
    <xf numFmtId="0" fontId="1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45" borderId="0" applyNumberFormat="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43" fontId="14" fillId="0" borderId="0" applyFont="0" applyFill="0" applyBorder="0" applyAlignment="0" applyProtection="0"/>
    <xf numFmtId="178" fontId="76" fillId="0" borderId="0"/>
    <xf numFmtId="0" fontId="76" fillId="0" borderId="0"/>
    <xf numFmtId="0" fontId="76"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76" fillId="0" borderId="0"/>
    <xf numFmtId="178" fontId="24" fillId="0" borderId="0"/>
    <xf numFmtId="0" fontId="24" fillId="0" borderId="0"/>
    <xf numFmtId="178" fontId="24" fillId="0" borderId="0"/>
    <xf numFmtId="0" fontId="24" fillId="0" borderId="0">
      <alignment vertical="top"/>
    </xf>
    <xf numFmtId="0" fontId="24" fillId="0" borderId="0">
      <alignment vertical="top"/>
    </xf>
    <xf numFmtId="0" fontId="24" fillId="0" borderId="0">
      <alignment vertical="top"/>
    </xf>
    <xf numFmtId="0" fontId="76" fillId="0" borderId="0"/>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76" fillId="0" borderId="0"/>
    <xf numFmtId="0" fontId="24" fillId="0" borderId="0">
      <alignment vertical="top"/>
    </xf>
    <xf numFmtId="0" fontId="76" fillId="0" borderId="0"/>
    <xf numFmtId="178"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76"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6" fillId="0" borderId="0"/>
    <xf numFmtId="0" fontId="76" fillId="0" borderId="0"/>
    <xf numFmtId="178" fontId="76" fillId="0" borderId="0"/>
    <xf numFmtId="178" fontId="76" fillId="0" borderId="0"/>
    <xf numFmtId="0" fontId="76" fillId="0" borderId="0"/>
    <xf numFmtId="178" fontId="76" fillId="0" borderId="0"/>
    <xf numFmtId="178" fontId="76" fillId="0" borderId="0"/>
    <xf numFmtId="0" fontId="7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6" fillId="0" borderId="0"/>
    <xf numFmtId="0" fontId="76" fillId="0" borderId="0"/>
    <xf numFmtId="0" fontId="76" fillId="0" borderId="0"/>
    <xf numFmtId="0" fontId="24" fillId="0" borderId="0"/>
    <xf numFmtId="0" fontId="76" fillId="0" borderId="0"/>
    <xf numFmtId="178" fontId="24" fillId="0" borderId="0"/>
    <xf numFmtId="178" fontId="24" fillId="0" borderId="0"/>
    <xf numFmtId="0" fontId="76" fillId="0" borderId="0"/>
    <xf numFmtId="0" fontId="24" fillId="0" borderId="0"/>
    <xf numFmtId="0" fontId="7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6" fillId="0" borderId="0"/>
    <xf numFmtId="0" fontId="76" fillId="0" borderId="0"/>
    <xf numFmtId="178" fontId="24" fillId="0" borderId="0"/>
    <xf numFmtId="0" fontId="76" fillId="0" borderId="0"/>
    <xf numFmtId="0" fontId="24" fillId="0" borderId="0">
      <alignment vertical="top"/>
    </xf>
    <xf numFmtId="0" fontId="24" fillId="0" borderId="0"/>
    <xf numFmtId="178" fontId="24" fillId="0" borderId="0"/>
    <xf numFmtId="0" fontId="24" fillId="0" borderId="0">
      <alignment vertical="top"/>
    </xf>
    <xf numFmtId="0" fontId="76" fillId="0" borderId="0">
      <alignment vertical="top"/>
    </xf>
    <xf numFmtId="0" fontId="24" fillId="0" borderId="0"/>
    <xf numFmtId="0" fontId="24" fillId="0" borderId="0"/>
    <xf numFmtId="0" fontId="24" fillId="0" borderId="0"/>
    <xf numFmtId="178"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xf numFmtId="0" fontId="126" fillId="0" borderId="0">
      <protection locked="0"/>
    </xf>
    <xf numFmtId="0" fontId="24" fillId="0" borderId="0"/>
    <xf numFmtId="0" fontId="76" fillId="0" borderId="0"/>
    <xf numFmtId="0" fontId="126" fillId="0" borderId="0">
      <protection locked="0"/>
    </xf>
    <xf numFmtId="0" fontId="24" fillId="0" borderId="0"/>
    <xf numFmtId="0" fontId="76" fillId="0" borderId="0"/>
    <xf numFmtId="0" fontId="126" fillId="0" borderId="0">
      <protection locked="0"/>
    </xf>
    <xf numFmtId="0" fontId="24" fillId="0" borderId="0"/>
    <xf numFmtId="0" fontId="76" fillId="0" borderId="0"/>
    <xf numFmtId="0" fontId="126" fillId="0" borderId="0">
      <protection locked="0"/>
    </xf>
    <xf numFmtId="0" fontId="24" fillId="0" borderId="0"/>
    <xf numFmtId="0" fontId="76" fillId="0" borderId="0"/>
    <xf numFmtId="0" fontId="14" fillId="0" borderId="0"/>
    <xf numFmtId="0" fontId="24" fillId="0" borderId="0"/>
    <xf numFmtId="0" fontId="76" fillId="0" borderId="0"/>
    <xf numFmtId="187" fontId="78" fillId="0" borderId="0">
      <protection locked="0"/>
    </xf>
    <xf numFmtId="0" fontId="24" fillId="0" borderId="0"/>
    <xf numFmtId="0" fontId="76" fillId="0" borderId="0"/>
    <xf numFmtId="0" fontId="101" fillId="53" borderId="80" applyNumberFormat="0" applyAlignment="0" applyProtection="0"/>
    <xf numFmtId="0" fontId="24" fillId="0" borderId="0"/>
    <xf numFmtId="0" fontId="76" fillId="0" borderId="0"/>
    <xf numFmtId="0" fontId="78" fillId="0" borderId="0">
      <protection locked="0"/>
    </xf>
    <xf numFmtId="0" fontId="14" fillId="0" borderId="0"/>
    <xf numFmtId="0" fontId="14" fillId="0" borderId="0"/>
    <xf numFmtId="0" fontId="14" fillId="0" borderId="0"/>
    <xf numFmtId="0" fontId="14" fillId="0" borderId="0"/>
    <xf numFmtId="0" fontId="76" fillId="0" borderId="0"/>
    <xf numFmtId="0" fontId="24" fillId="0" borderId="0"/>
    <xf numFmtId="0" fontId="172" fillId="0" borderId="0"/>
    <xf numFmtId="0" fontId="76" fillId="0" borderId="0"/>
    <xf numFmtId="0" fontId="24" fillId="0" borderId="0"/>
    <xf numFmtId="0" fontId="76" fillId="0" borderId="0"/>
    <xf numFmtId="0" fontId="24" fillId="0" borderId="0"/>
    <xf numFmtId="0" fontId="24" fillId="0" borderId="0"/>
    <xf numFmtId="0" fontId="24" fillId="0" borderId="0" applyNumberFormat="0" applyFont="0" applyFill="0" applyBorder="0" applyAlignment="0" applyProtection="0"/>
    <xf numFmtId="0" fontId="24" fillId="0" borderId="0">
      <alignment vertical="top"/>
    </xf>
    <xf numFmtId="0" fontId="24" fillId="0" borderId="0">
      <alignment vertical="top"/>
    </xf>
    <xf numFmtId="178" fontId="24" fillId="0" borderId="0"/>
    <xf numFmtId="0" fontId="76" fillId="0" borderId="0"/>
    <xf numFmtId="0" fontId="24" fillId="0" borderId="0"/>
    <xf numFmtId="0" fontId="24" fillId="0" borderId="0"/>
    <xf numFmtId="0" fontId="76" fillId="0" borderId="0"/>
    <xf numFmtId="0" fontId="24" fillId="0" borderId="0"/>
    <xf numFmtId="0" fontId="76" fillId="0" borderId="0"/>
    <xf numFmtId="0" fontId="24" fillId="0" borderId="0"/>
    <xf numFmtId="0" fontId="78" fillId="0" borderId="0"/>
    <xf numFmtId="178" fontId="24" fillId="0" borderId="0"/>
    <xf numFmtId="0" fontId="24" fillId="0" borderId="0"/>
    <xf numFmtId="0" fontId="118" fillId="0" borderId="0"/>
    <xf numFmtId="0" fontId="24" fillId="0" borderId="0" applyNumberFormat="0" applyFont="0" applyFill="0" applyBorder="0" applyAlignment="0" applyProtection="0"/>
    <xf numFmtId="0" fontId="118" fillId="0" borderId="0"/>
    <xf numFmtId="0" fontId="24" fillId="0" borderId="0"/>
    <xf numFmtId="178" fontId="24" fillId="0" borderId="0"/>
    <xf numFmtId="178" fontId="24" fillId="0" borderId="0"/>
    <xf numFmtId="0" fontId="24" fillId="0" borderId="0"/>
    <xf numFmtId="0" fontId="76"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76" fillId="0" borderId="0"/>
    <xf numFmtId="0" fontId="14" fillId="0" borderId="0"/>
    <xf numFmtId="0" fontId="24" fillId="0" borderId="0"/>
    <xf numFmtId="0" fontId="76" fillId="0" borderId="0"/>
    <xf numFmtId="0" fontId="14" fillId="0" borderId="0"/>
    <xf numFmtId="0" fontId="14" fillId="0" borderId="0"/>
    <xf numFmtId="166" fontId="76" fillId="0" borderId="0"/>
    <xf numFmtId="0" fontId="24" fillId="0" borderId="0"/>
    <xf numFmtId="0" fontId="76" fillId="0" borderId="0"/>
    <xf numFmtId="0" fontId="24" fillId="0" borderId="0"/>
    <xf numFmtId="0" fontId="76" fillId="0" borderId="0"/>
    <xf numFmtId="0" fontId="14" fillId="0" borderId="0"/>
    <xf numFmtId="0" fontId="24" fillId="0" borderId="0"/>
    <xf numFmtId="0" fontId="76" fillId="0" borderId="0"/>
    <xf numFmtId="0" fontId="24" fillId="0" borderId="0"/>
    <xf numFmtId="0" fontId="14" fillId="0" borderId="0"/>
    <xf numFmtId="0" fontId="76" fillId="0" borderId="0"/>
    <xf numFmtId="0" fontId="14" fillId="0" borderId="0"/>
    <xf numFmtId="0" fontId="14" fillId="0" borderId="0"/>
    <xf numFmtId="0" fontId="24" fillId="0" borderId="0"/>
    <xf numFmtId="0" fontId="14" fillId="0" borderId="0"/>
    <xf numFmtId="0" fontId="24" fillId="0" borderId="0"/>
    <xf numFmtId="0" fontId="14" fillId="0" borderId="0"/>
    <xf numFmtId="0" fontId="14" fillId="0" borderId="0"/>
    <xf numFmtId="0" fontId="14" fillId="0" borderId="0"/>
    <xf numFmtId="0" fontId="24" fillId="0" borderId="0"/>
    <xf numFmtId="0" fontId="24" fillId="0" borderId="0"/>
    <xf numFmtId="0" fontId="173" fillId="0" borderId="0"/>
    <xf numFmtId="0" fontId="24" fillId="0" borderId="0"/>
    <xf numFmtId="0" fontId="14" fillId="0" borderId="0"/>
    <xf numFmtId="187" fontId="24" fillId="0" borderId="0"/>
    <xf numFmtId="0" fontId="14" fillId="0" borderId="0"/>
    <xf numFmtId="0" fontId="24" fillId="0" borderId="0"/>
    <xf numFmtId="0" fontId="76" fillId="0" borderId="0"/>
    <xf numFmtId="0" fontId="76" fillId="0" borderId="0"/>
    <xf numFmtId="0" fontId="24" fillId="0" borderId="0"/>
    <xf numFmtId="178" fontId="24" fillId="0" borderId="0"/>
    <xf numFmtId="0" fontId="76" fillId="0" borderId="0"/>
    <xf numFmtId="0" fontId="76" fillId="0" borderId="0"/>
    <xf numFmtId="178" fontId="24" fillId="0" borderId="0"/>
    <xf numFmtId="178" fontId="24" fillId="0" borderId="0"/>
    <xf numFmtId="0" fontId="118" fillId="0" borderId="0"/>
    <xf numFmtId="0" fontId="24" fillId="0" borderId="0"/>
    <xf numFmtId="0" fontId="76" fillId="0" borderId="0"/>
    <xf numFmtId="178" fontId="24" fillId="0" borderId="0"/>
    <xf numFmtId="0" fontId="76" fillId="0" borderId="0"/>
    <xf numFmtId="0" fontId="14" fillId="0" borderId="0"/>
    <xf numFmtId="0" fontId="14" fillId="0" borderId="0"/>
    <xf numFmtId="0" fontId="24" fillId="0" borderId="0"/>
    <xf numFmtId="0" fontId="14" fillId="0" borderId="0"/>
    <xf numFmtId="0" fontId="14" fillId="0" borderId="0"/>
    <xf numFmtId="187" fontId="24" fillId="0" borderId="0"/>
    <xf numFmtId="0" fontId="14" fillId="0" borderId="0"/>
    <xf numFmtId="0" fontId="17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24" fillId="0" borderId="0"/>
    <xf numFmtId="0" fontId="14" fillId="0" borderId="0"/>
    <xf numFmtId="0" fontId="14" fillId="0" borderId="0"/>
    <xf numFmtId="0" fontId="24" fillId="0" borderId="0"/>
    <xf numFmtId="0" fontId="14" fillId="0" borderId="0"/>
    <xf numFmtId="0" fontId="14" fillId="0" borderId="0"/>
    <xf numFmtId="0" fontId="24" fillId="0" borderId="0"/>
    <xf numFmtId="0" fontId="24" fillId="0" borderId="0"/>
    <xf numFmtId="0" fontId="76" fillId="0" borderId="0"/>
    <xf numFmtId="178" fontId="24" fillId="0" borderId="0"/>
    <xf numFmtId="0" fontId="24" fillId="0" borderId="0"/>
    <xf numFmtId="178" fontId="24" fillId="0" borderId="0"/>
    <xf numFmtId="178" fontId="24" fillId="0" borderId="0"/>
    <xf numFmtId="0" fontId="24" fillId="0" borderId="0"/>
    <xf numFmtId="0" fontId="21" fillId="0" borderId="0"/>
    <xf numFmtId="178" fontId="24" fillId="0" borderId="0"/>
    <xf numFmtId="0" fontId="24" fillId="0" borderId="0"/>
    <xf numFmtId="0" fontId="76" fillId="0" borderId="0">
      <alignment vertical="top"/>
    </xf>
    <xf numFmtId="0" fontId="14" fillId="0" borderId="0"/>
    <xf numFmtId="0" fontId="14" fillId="0" borderId="0"/>
    <xf numFmtId="0" fontId="24" fillId="0" borderId="0"/>
    <xf numFmtId="0" fontId="14" fillId="0" borderId="0"/>
    <xf numFmtId="0" fontId="14" fillId="0" borderId="0"/>
    <xf numFmtId="0" fontId="24" fillId="0" borderId="0"/>
    <xf numFmtId="0" fontId="14" fillId="0" borderId="0"/>
    <xf numFmtId="0" fontId="14" fillId="0" borderId="0"/>
    <xf numFmtId="0" fontId="24" fillId="0" borderId="0"/>
    <xf numFmtId="0" fontId="14" fillId="0" borderId="0"/>
    <xf numFmtId="0" fontId="14" fillId="0" borderId="0"/>
    <xf numFmtId="0" fontId="2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24" fillId="0" borderId="0"/>
    <xf numFmtId="0" fontId="14" fillId="0" borderId="0"/>
    <xf numFmtId="0" fontId="14" fillId="0" borderId="0"/>
    <xf numFmtId="0" fontId="172" fillId="0" borderId="0">
      <alignment vertical="top"/>
    </xf>
    <xf numFmtId="0" fontId="24" fillId="0" borderId="0"/>
    <xf numFmtId="0" fontId="118" fillId="0" borderId="0"/>
    <xf numFmtId="49" fontId="24" fillId="0" borderId="0" applyNumberFormat="0" applyFont="0" applyFill="0" applyBorder="0" applyAlignment="0" applyProtection="0"/>
    <xf numFmtId="178" fontId="76" fillId="0" borderId="0"/>
    <xf numFmtId="229" fontId="76" fillId="0" borderId="0"/>
    <xf numFmtId="0" fontId="76" fillId="0" borderId="0"/>
    <xf numFmtId="0" fontId="21" fillId="0" borderId="0"/>
    <xf numFmtId="0" fontId="76" fillId="0" borderId="0">
      <alignment vertical="top"/>
    </xf>
    <xf numFmtId="0" fontId="24" fillId="0" borderId="0">
      <alignment vertical="top"/>
    </xf>
    <xf numFmtId="0" fontId="76" fillId="0" borderId="0"/>
    <xf numFmtId="0" fontId="118" fillId="0" borderId="0"/>
    <xf numFmtId="0" fontId="76" fillId="0" borderId="0">
      <alignment vertical="top"/>
    </xf>
    <xf numFmtId="0" fontId="24" fillId="0" borderId="0"/>
    <xf numFmtId="0" fontId="118" fillId="0" borderId="0"/>
    <xf numFmtId="0" fontId="76" fillId="0" borderId="0">
      <alignment vertical="top"/>
    </xf>
    <xf numFmtId="0" fontId="24" fillId="0" borderId="0"/>
    <xf numFmtId="178" fontId="24" fillId="0" borderId="0"/>
    <xf numFmtId="0" fontId="76" fillId="0" borderId="0"/>
    <xf numFmtId="0" fontId="14" fillId="0" borderId="0"/>
    <xf numFmtId="0" fontId="76" fillId="0" borderId="0">
      <alignment vertical="top"/>
    </xf>
    <xf numFmtId="0" fontId="118" fillId="0" borderId="0"/>
    <xf numFmtId="0" fontId="76" fillId="0" borderId="0"/>
    <xf numFmtId="0" fontId="172" fillId="0" borderId="0">
      <alignment vertical="top"/>
    </xf>
    <xf numFmtId="0" fontId="24" fillId="0" borderId="0"/>
    <xf numFmtId="0" fontId="172" fillId="0" borderId="0">
      <alignment vertical="top"/>
    </xf>
    <xf numFmtId="0" fontId="172" fillId="0" borderId="0">
      <alignment vertical="top"/>
    </xf>
    <xf numFmtId="0" fontId="172" fillId="0" borderId="0">
      <alignment vertical="top"/>
    </xf>
    <xf numFmtId="0" fontId="172" fillId="0" borderId="0">
      <alignment vertical="top"/>
    </xf>
    <xf numFmtId="0" fontId="172" fillId="0" borderId="0">
      <alignment vertical="top"/>
    </xf>
    <xf numFmtId="0" fontId="76" fillId="0" borderId="0"/>
    <xf numFmtId="0" fontId="76" fillId="0" borderId="0"/>
    <xf numFmtId="0" fontId="172" fillId="0" borderId="0">
      <alignment vertical="top"/>
    </xf>
    <xf numFmtId="0" fontId="172" fillId="0" borderId="0">
      <alignment vertical="top"/>
    </xf>
    <xf numFmtId="0" fontId="21" fillId="0" borderId="0">
      <alignment vertical="top"/>
    </xf>
    <xf numFmtId="0" fontId="21" fillId="0" borderId="0">
      <alignment vertical="top"/>
    </xf>
    <xf numFmtId="178" fontId="14" fillId="0" borderId="0"/>
    <xf numFmtId="178" fontId="14" fillId="0" borderId="0"/>
    <xf numFmtId="0" fontId="76" fillId="0" borderId="0"/>
    <xf numFmtId="0" fontId="21" fillId="0" borderId="0"/>
    <xf numFmtId="178" fontId="14" fillId="0" borderId="0"/>
    <xf numFmtId="178" fontId="14" fillId="0" borderId="0"/>
    <xf numFmtId="0" fontId="76" fillId="0" borderId="0"/>
    <xf numFmtId="0" fontId="76" fillId="0" borderId="0"/>
    <xf numFmtId="0" fontId="118" fillId="0" borderId="0"/>
    <xf numFmtId="0" fontId="76" fillId="0" borderId="0"/>
    <xf numFmtId="0" fontId="172" fillId="0" borderId="0">
      <alignment vertical="top"/>
    </xf>
    <xf numFmtId="0" fontId="76" fillId="0" borderId="0"/>
    <xf numFmtId="0" fontId="76" fillId="0" borderId="0"/>
    <xf numFmtId="0" fontId="99" fillId="87" borderId="0" applyNumberFormat="0" applyBorder="0" applyAlignment="0" applyProtection="0"/>
    <xf numFmtId="0" fontId="76" fillId="0" borderId="0"/>
    <xf numFmtId="0" fontId="76" fillId="0" borderId="0"/>
    <xf numFmtId="0" fontId="76" fillId="0" borderId="0"/>
    <xf numFmtId="0" fontId="24" fillId="0" borderId="0"/>
    <xf numFmtId="0" fontId="24" fillId="0" borderId="0"/>
    <xf numFmtId="0" fontId="76" fillId="0" borderId="0"/>
    <xf numFmtId="0" fontId="14" fillId="0" borderId="0"/>
    <xf numFmtId="0" fontId="24" fillId="0" borderId="0"/>
    <xf numFmtId="0" fontId="76" fillId="0" borderId="0"/>
    <xf numFmtId="49" fontId="24" fillId="0" borderId="0" applyNumberFormat="0" applyFont="0" applyFill="0" applyBorder="0" applyAlignment="0" applyProtection="0"/>
    <xf numFmtId="0" fontId="76" fillId="0" borderId="0"/>
    <xf numFmtId="0" fontId="14" fillId="0" borderId="0"/>
    <xf numFmtId="0" fontId="14" fillId="0" borderId="0"/>
    <xf numFmtId="0" fontId="14" fillId="0" borderId="0"/>
    <xf numFmtId="0" fontId="14" fillId="0" borderId="0"/>
    <xf numFmtId="0" fontId="14" fillId="0" borderId="0"/>
    <xf numFmtId="0" fontId="21" fillId="45" borderId="0" applyNumberFormat="0" applyBorder="0" applyAlignment="0" applyProtection="0"/>
    <xf numFmtId="0" fontId="24" fillId="0" borderId="0"/>
    <xf numFmtId="0" fontId="14" fillId="0" borderId="0"/>
    <xf numFmtId="0" fontId="118" fillId="0" borderId="0"/>
    <xf numFmtId="0" fontId="101" fillId="68" borderId="80" applyNumberFormat="0" applyAlignment="0" applyProtection="0"/>
    <xf numFmtId="0" fontId="99" fillId="87" borderId="0" applyNumberFormat="0" applyBorder="0" applyAlignment="0" applyProtection="0"/>
    <xf numFmtId="0" fontId="101" fillId="53" borderId="80" applyNumberFormat="0" applyAlignment="0" applyProtection="0"/>
    <xf numFmtId="0" fontId="78" fillId="0" borderId="0"/>
    <xf numFmtId="0" fontId="76" fillId="49" borderId="92" applyNumberFormat="0" applyFont="0" applyAlignment="0" applyProtection="0"/>
    <xf numFmtId="0" fontId="21" fillId="49" borderId="92" applyNumberFormat="0" applyFont="0" applyAlignment="0" applyProtection="0"/>
    <xf numFmtId="0" fontId="76" fillId="49" borderId="92" applyNumberFormat="0" applyFont="0" applyAlignment="0" applyProtection="0"/>
    <xf numFmtId="0" fontId="76"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76" fillId="49" borderId="92" applyNumberFormat="0" applyFont="0" applyAlignment="0" applyProtection="0"/>
    <xf numFmtId="0" fontId="21" fillId="49" borderId="92" applyNumberFormat="0" applyFont="0" applyAlignment="0" applyProtection="0"/>
    <xf numFmtId="0" fontId="76" fillId="49" borderId="92" applyNumberFormat="0" applyFont="0" applyAlignment="0" applyProtection="0"/>
    <xf numFmtId="0" fontId="21" fillId="49" borderId="92" applyNumberFormat="0" applyFont="0" applyAlignment="0" applyProtection="0"/>
    <xf numFmtId="0" fontId="76" fillId="49" borderId="92" applyNumberFormat="0" applyFont="0" applyAlignment="0" applyProtection="0"/>
    <xf numFmtId="0" fontId="76"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76" fillId="49" borderId="92" applyNumberFormat="0" applyFont="0" applyAlignment="0" applyProtection="0"/>
    <xf numFmtId="0" fontId="21" fillId="49" borderId="92" applyNumberFormat="0" applyFont="0" applyAlignment="0" applyProtection="0"/>
    <xf numFmtId="0" fontId="76" fillId="49" borderId="92" applyNumberFormat="0" applyFont="0" applyAlignment="0" applyProtection="0"/>
    <xf numFmtId="0" fontId="76" fillId="49" borderId="92" applyNumberFormat="0" applyFont="0" applyAlignment="0" applyProtection="0"/>
    <xf numFmtId="0" fontId="76" fillId="49" borderId="92" applyNumberFormat="0" applyFont="0" applyAlignment="0" applyProtection="0"/>
    <xf numFmtId="0" fontId="76"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76" fillId="49" borderId="92" applyNumberFormat="0" applyFont="0" applyAlignment="0" applyProtection="0"/>
    <xf numFmtId="0" fontId="21" fillId="49" borderId="92" applyNumberFormat="0" applyFont="0" applyAlignment="0" applyProtection="0"/>
    <xf numFmtId="0" fontId="76" fillId="49" borderId="92" applyNumberFormat="0" applyFont="0" applyAlignment="0" applyProtection="0"/>
    <xf numFmtId="0" fontId="76" fillId="49" borderId="92" applyNumberFormat="0" applyFont="0" applyAlignment="0" applyProtection="0"/>
    <xf numFmtId="0" fontId="21" fillId="19" borderId="76" applyNumberFormat="0" applyFont="0" applyAlignment="0" applyProtection="0"/>
    <xf numFmtId="0" fontId="21" fillId="19" borderId="76" applyNumberFormat="0" applyFont="0" applyAlignment="0" applyProtection="0"/>
    <xf numFmtId="0" fontId="21" fillId="19" borderId="76" applyNumberFormat="0" applyFont="0" applyAlignment="0" applyProtection="0"/>
    <xf numFmtId="0" fontId="21" fillId="19" borderId="76" applyNumberFormat="0" applyFont="0" applyAlignment="0" applyProtection="0"/>
    <xf numFmtId="0" fontId="21" fillId="19" borderId="76" applyNumberFormat="0" applyFont="0" applyAlignment="0" applyProtection="0"/>
    <xf numFmtId="0" fontId="76" fillId="49" borderId="92" applyNumberFormat="0" applyFont="0" applyAlignment="0" applyProtection="0"/>
    <xf numFmtId="0" fontId="76" fillId="49" borderId="92" applyNumberFormat="0" applyFont="0" applyAlignment="0" applyProtection="0"/>
    <xf numFmtId="0" fontId="76" fillId="49" borderId="92" applyNumberFormat="0" applyFont="0" applyAlignment="0" applyProtection="0"/>
    <xf numFmtId="0" fontId="76" fillId="49" borderId="92" applyNumberFormat="0" applyFont="0" applyAlignment="0" applyProtection="0"/>
    <xf numFmtId="0" fontId="134" fillId="0" borderId="0">
      <alignment wrapText="1"/>
    </xf>
    <xf numFmtId="0" fontId="134" fillId="0" borderId="0">
      <alignment wrapText="1"/>
    </xf>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88" fillId="17" borderId="73" applyNumberFormat="0" applyAlignment="0" applyProtection="0"/>
    <xf numFmtId="0" fontId="111" fillId="66" borderId="93" applyNumberFormat="0" applyAlignment="0" applyProtection="0"/>
    <xf numFmtId="0" fontId="111" fillId="66" borderId="93" applyNumberFormat="0" applyAlignment="0" applyProtection="0"/>
    <xf numFmtId="0" fontId="111" fillId="66" borderId="93" applyNumberFormat="0" applyAlignment="0" applyProtection="0"/>
    <xf numFmtId="0" fontId="88" fillId="17" borderId="73" applyNumberFormat="0" applyAlignment="0" applyProtection="0"/>
    <xf numFmtId="0" fontId="111" fillId="66" borderId="93" applyNumberFormat="0" applyAlignment="0" applyProtection="0"/>
    <xf numFmtId="0" fontId="111" fillId="66" borderId="93" applyNumberFormat="0" applyAlignment="0" applyProtection="0"/>
    <xf numFmtId="0" fontId="111" fillId="66" borderId="93" applyNumberFormat="0" applyAlignment="0" applyProtection="0"/>
    <xf numFmtId="0" fontId="111" fillId="66" borderId="93" applyNumberFormat="0" applyAlignment="0" applyProtection="0"/>
    <xf numFmtId="0" fontId="111" fillId="66" borderId="93" applyNumberFormat="0" applyAlignment="0" applyProtection="0"/>
    <xf numFmtId="215" fontId="32" fillId="66" borderId="0">
      <alignment horizontal="right"/>
    </xf>
    <xf numFmtId="40" fontId="126" fillId="70" borderId="0">
      <alignment horizontal="right"/>
    </xf>
    <xf numFmtId="215" fontId="32" fillId="66" borderId="0">
      <alignment horizontal="right"/>
    </xf>
    <xf numFmtId="0" fontId="140" fillId="72" borderId="0">
      <alignment horizontal="center"/>
    </xf>
    <xf numFmtId="0" fontId="141" fillId="70" borderId="0">
      <alignment horizontal="right"/>
    </xf>
    <xf numFmtId="0" fontId="142" fillId="73" borderId="5"/>
    <xf numFmtId="0" fontId="143" fillId="70" borderId="5"/>
    <xf numFmtId="0" fontId="127" fillId="66" borderId="0" applyBorder="0">
      <alignment horizontal="centerContinuous"/>
    </xf>
    <xf numFmtId="0" fontId="143" fillId="0" borderId="0" applyBorder="0">
      <alignment horizontal="centerContinuous"/>
    </xf>
    <xf numFmtId="0" fontId="144" fillId="73" borderId="0" applyBorder="0">
      <alignment horizontal="centerContinuous"/>
    </xf>
    <xf numFmtId="0" fontId="145" fillId="0" borderId="0" applyBorder="0">
      <alignment horizontal="centerContinuous"/>
    </xf>
    <xf numFmtId="0" fontId="29" fillId="0" borderId="0" applyFill="0" applyBorder="0" applyProtection="0">
      <alignment horizontal="center" vertical="center"/>
    </xf>
    <xf numFmtId="0" fontId="29" fillId="0" borderId="0" applyFill="0" applyBorder="0" applyProtection="0">
      <alignment horizontal="center" vertical="center"/>
    </xf>
    <xf numFmtId="178" fontId="29" fillId="0" borderId="0" applyFill="0" applyBorder="0" applyProtection="0">
      <alignment horizontal="center" vertical="center"/>
    </xf>
    <xf numFmtId="178" fontId="29" fillId="0" borderId="0" applyFill="0" applyBorder="0" applyProtection="0">
      <alignment horizontal="center" vertical="center"/>
    </xf>
    <xf numFmtId="178" fontId="29" fillId="0" borderId="0" applyFill="0" applyBorder="0" applyProtection="0">
      <alignment horizontal="center" vertical="center"/>
    </xf>
    <xf numFmtId="9" fontId="98"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ill="0" applyBorder="0" applyAlignment="0" applyProtection="0"/>
    <xf numFmtId="10" fontId="24" fillId="0" borderId="0" applyFont="0" applyFill="0" applyBorder="0" applyAlignment="0" applyProtection="0"/>
    <xf numFmtId="10" fontId="24" fillId="0" borderId="0" applyFill="0" applyBorder="0" applyAlignment="0" applyProtection="0"/>
    <xf numFmtId="9" fontId="98"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98" fillId="0" borderId="0" applyFont="0" applyFill="0" applyBorder="0" applyAlignment="0" applyProtection="0"/>
    <xf numFmtId="9" fontId="78"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98"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98"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24" fillId="0" borderId="0" applyFill="0" applyBorder="0" applyProtection="0">
      <alignment vertical="top"/>
    </xf>
    <xf numFmtId="9" fontId="76" fillId="0" borderId="0" applyFont="0" applyFill="0" applyBorder="0" applyAlignment="0" applyProtection="0"/>
    <xf numFmtId="9" fontId="24" fillId="0" borderId="0" applyFill="0" applyBorder="0" applyProtection="0">
      <alignment vertical="top"/>
    </xf>
    <xf numFmtId="9" fontId="76" fillId="0" borderId="0" applyFont="0" applyFill="0" applyBorder="0" applyAlignment="0" applyProtection="0"/>
    <xf numFmtId="9" fontId="24" fillId="0" borderId="0" applyFill="0" applyBorder="0" applyProtection="0">
      <alignment vertical="top"/>
    </xf>
    <xf numFmtId="9" fontId="76" fillId="0" borderId="0" applyFont="0" applyFill="0" applyBorder="0" applyAlignment="0" applyProtection="0"/>
    <xf numFmtId="9" fontId="2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ill="0" applyBorder="0" applyProtection="0">
      <alignment vertical="top"/>
    </xf>
    <xf numFmtId="9"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24" fillId="0" borderId="0" applyFill="0" applyBorder="0" applyProtection="0">
      <alignment vertical="top"/>
    </xf>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ill="0" applyBorder="0" applyProtection="0">
      <alignment vertical="top"/>
    </xf>
    <xf numFmtId="9" fontId="76" fillId="0" borderId="0" applyFont="0" applyFill="0" applyBorder="0" applyAlignment="0" applyProtection="0"/>
    <xf numFmtId="9" fontId="24" fillId="0" borderId="0" applyFill="0" applyBorder="0" applyProtection="0">
      <alignment vertical="top"/>
    </xf>
    <xf numFmtId="9" fontId="76" fillId="0" borderId="0" applyFont="0" applyFill="0" applyBorder="0" applyAlignment="0" applyProtection="0"/>
    <xf numFmtId="9" fontId="24" fillId="0" borderId="0" applyFill="0" applyBorder="0" applyProtection="0">
      <alignment vertical="top"/>
    </xf>
    <xf numFmtId="9" fontId="7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4" fillId="0" borderId="0" applyFill="0" applyBorder="0" applyProtection="0">
      <alignment vertical="top"/>
    </xf>
    <xf numFmtId="9" fontId="24" fillId="0" borderId="0" applyFill="0" applyBorder="0" applyProtection="0">
      <alignment vertical="top"/>
    </xf>
    <xf numFmtId="9" fontId="76"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76" fillId="0" borderId="0" applyFill="0" applyBorder="0" applyAlignment="0" applyProtection="0"/>
    <xf numFmtId="9" fontId="78"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76" fillId="0" borderId="0" applyFont="0" applyFill="0" applyBorder="0" applyAlignment="0" applyProtection="0"/>
    <xf numFmtId="9" fontId="78" fillId="0" borderId="0" applyFont="0" applyFill="0" applyBorder="0" applyAlignment="0" applyProtection="0"/>
    <xf numFmtId="9" fontId="76" fillId="0" borderId="0" applyFont="0" applyFill="0" applyBorder="0" applyAlignment="0" applyProtection="0"/>
    <xf numFmtId="9" fontId="21" fillId="0" borderId="0" applyFont="0" applyFill="0" applyBorder="0" applyAlignment="0" applyProtection="0"/>
    <xf numFmtId="9" fontId="76"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ill="0" applyBorder="0" applyProtection="0">
      <alignment vertical="top"/>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76" fillId="0" borderId="0" applyFont="0" applyFill="0" applyBorder="0" applyAlignment="0" applyProtection="0"/>
    <xf numFmtId="9" fontId="24" fillId="0" borderId="0" applyFill="0" applyBorder="0" applyProtection="0">
      <alignment vertical="top"/>
    </xf>
    <xf numFmtId="9" fontId="21" fillId="0" borderId="0" applyFont="0" applyFill="0" applyBorder="0" applyAlignment="0" applyProtection="0"/>
    <xf numFmtId="9" fontId="76" fillId="0" borderId="0" applyFont="0" applyFill="0" applyBorder="0" applyAlignment="0" applyProtection="0"/>
    <xf numFmtId="9" fontId="24" fillId="0" borderId="0" applyFill="0" applyBorder="0" applyProtection="0">
      <alignment vertical="top"/>
    </xf>
    <xf numFmtId="9" fontId="21" fillId="0" borderId="0" applyFont="0" applyFill="0" applyBorder="0" applyAlignment="0" applyProtection="0"/>
    <xf numFmtId="9" fontId="7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98" fillId="0" borderId="0" applyFont="0" applyFill="0" applyBorder="0" applyAlignment="0" applyProtection="0"/>
    <xf numFmtId="9" fontId="24" fillId="0" borderId="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98"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98"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98" fontId="24" fillId="0" borderId="0" applyFill="0" applyBorder="0" applyAlignment="0"/>
    <xf numFmtId="198" fontId="24" fillId="0" borderId="0" applyFill="0" applyBorder="0" applyAlignment="0"/>
    <xf numFmtId="212" fontId="24" fillId="0" borderId="0" applyFill="0" applyBorder="0" applyAlignment="0"/>
    <xf numFmtId="212" fontId="24" fillId="0" borderId="0" applyFill="0" applyBorder="0" applyAlignment="0"/>
    <xf numFmtId="198" fontId="24" fillId="0" borderId="0" applyFill="0" applyBorder="0" applyAlignment="0"/>
    <xf numFmtId="0" fontId="122" fillId="0" borderId="14" applyNumberFormat="0" applyBorder="0" applyAlignment="0"/>
    <xf numFmtId="0" fontId="122" fillId="0" borderId="14" applyNumberFormat="0" applyBorder="0" applyAlignment="0"/>
    <xf numFmtId="178" fontId="122" fillId="0" borderId="0" applyNumberFormat="0" applyBorder="0" applyAlignment="0"/>
    <xf numFmtId="0" fontId="122" fillId="0" borderId="0" applyNumberFormat="0" applyBorder="0" applyAlignment="0"/>
    <xf numFmtId="178" fontId="122" fillId="0" borderId="0" applyNumberFormat="0" applyBorder="0" applyAlignment="0"/>
    <xf numFmtId="178" fontId="122" fillId="0" borderId="0" applyNumberFormat="0" applyBorder="0" applyAlignment="0"/>
    <xf numFmtId="0" fontId="122" fillId="0" borderId="14" applyNumberFormat="0" applyBorder="0" applyAlignment="0"/>
    <xf numFmtId="0" fontId="139" fillId="0" borderId="0" applyNumberFormat="0" applyFont="0" applyFill="0" applyBorder="0" applyAlignment="0" applyProtection="0">
      <alignment horizontal="left"/>
    </xf>
    <xf numFmtId="0" fontId="125" fillId="0" borderId="0"/>
    <xf numFmtId="14" fontId="135" fillId="0" borderId="0" applyNumberFormat="0" applyFill="0" applyBorder="0" applyAlignment="0" applyProtection="0">
      <alignment horizontal="left"/>
    </xf>
    <xf numFmtId="14" fontId="157" fillId="0" borderId="0" applyNumberFormat="0" applyFill="0" applyBorder="0" applyAlignment="0" applyProtection="0">
      <alignment horizontal="left"/>
    </xf>
    <xf numFmtId="214" fontId="157" fillId="0" borderId="0" applyNumberFormat="0" applyFill="0" applyBorder="0" applyAlignment="0" applyProtection="0">
      <alignment horizontal="left"/>
    </xf>
    <xf numFmtId="214" fontId="157" fillId="0" borderId="0" applyNumberFormat="0" applyFill="0" applyBorder="0" applyAlignment="0" applyProtection="0">
      <alignment horizontal="left"/>
    </xf>
    <xf numFmtId="0" fontId="24" fillId="0" borderId="0"/>
    <xf numFmtId="44" fontId="24" fillId="0" borderId="0" applyFont="0" applyFill="0" applyBorder="0" applyAlignment="0" applyProtection="0"/>
    <xf numFmtId="0" fontId="24" fillId="0" borderId="0"/>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0" fontId="32" fillId="0" borderId="0">
      <alignment vertical="top"/>
    </xf>
    <xf numFmtId="0" fontId="76" fillId="0" borderId="0">
      <protection locked="0"/>
    </xf>
    <xf numFmtId="0" fontId="32" fillId="0" borderId="0">
      <alignment vertical="top"/>
    </xf>
    <xf numFmtId="0" fontId="32" fillId="0" borderId="0">
      <alignment vertical="top"/>
    </xf>
    <xf numFmtId="178" fontId="24" fillId="0" borderId="0"/>
    <xf numFmtId="0" fontId="24" fillId="0" borderId="0"/>
    <xf numFmtId="178" fontId="24" fillId="0" borderId="0"/>
    <xf numFmtId="0" fontId="24" fillId="0" borderId="0"/>
    <xf numFmtId="0" fontId="76" fillId="0" borderId="0"/>
    <xf numFmtId="0" fontId="120" fillId="0" borderId="0"/>
    <xf numFmtId="178" fontId="120" fillId="0" borderId="0"/>
    <xf numFmtId="178" fontId="120" fillId="0" borderId="0"/>
    <xf numFmtId="178" fontId="120" fillId="0" borderId="0"/>
    <xf numFmtId="0" fontId="112" fillId="0" borderId="0">
      <alignment horizontal="left" vertical="center"/>
    </xf>
    <xf numFmtId="178" fontId="112" fillId="0" borderId="0">
      <alignment horizontal="left" vertical="center"/>
    </xf>
    <xf numFmtId="178" fontId="112" fillId="0" borderId="0">
      <alignment horizontal="left" vertical="center"/>
    </xf>
    <xf numFmtId="178" fontId="112" fillId="0" borderId="0">
      <alignment horizontal="left" vertical="center"/>
    </xf>
    <xf numFmtId="0" fontId="113" fillId="0" borderId="0" applyNumberFormat="0" applyFill="0" applyBorder="0" applyProtection="0">
      <alignment vertical="center"/>
    </xf>
    <xf numFmtId="178" fontId="113" fillId="0" borderId="0" applyNumberFormat="0" applyFill="0" applyBorder="0" applyProtection="0">
      <alignment vertical="center"/>
    </xf>
    <xf numFmtId="178" fontId="113" fillId="0" borderId="0" applyNumberFormat="0" applyFill="0" applyBorder="0" applyProtection="0">
      <alignment vertical="center"/>
    </xf>
    <xf numFmtId="178" fontId="113" fillId="0" borderId="0" applyNumberFormat="0" applyFill="0" applyBorder="0" applyProtection="0">
      <alignment vertical="center"/>
    </xf>
    <xf numFmtId="40" fontId="136" fillId="0" borderId="0" applyBorder="0">
      <alignment horizontal="right"/>
    </xf>
    <xf numFmtId="40" fontId="158" fillId="0" borderId="0" applyBorder="0">
      <alignment horizontal="right"/>
    </xf>
    <xf numFmtId="0" fontId="125" fillId="0" borderId="82"/>
    <xf numFmtId="0" fontId="125" fillId="0" borderId="82"/>
    <xf numFmtId="0" fontId="125" fillId="0" borderId="82"/>
    <xf numFmtId="0" fontId="125" fillId="0" borderId="82"/>
    <xf numFmtId="0" fontId="125" fillId="0" borderId="82"/>
    <xf numFmtId="0" fontId="125" fillId="0" borderId="82"/>
    <xf numFmtId="37" fontId="123" fillId="0" borderId="95" applyNumberFormat="0" applyFont="0" applyBorder="0" applyAlignment="0" applyProtection="0">
      <alignment horizontal="centerContinuous"/>
    </xf>
    <xf numFmtId="37" fontId="123" fillId="0" borderId="95" applyNumberFormat="0" applyFont="0" applyBorder="0" applyAlignment="0" applyProtection="0">
      <alignment horizontal="centerContinuous"/>
    </xf>
    <xf numFmtId="178" fontId="24" fillId="0" borderId="0" applyNumberFormat="0" applyBorder="0" applyAlignment="0" applyProtection="0"/>
    <xf numFmtId="178" fontId="24" fillId="0" borderId="0" applyNumberFormat="0" applyBorder="0" applyAlignment="0" applyProtection="0"/>
    <xf numFmtId="0" fontId="24" fillId="0" borderId="0" applyNumberFormat="0" applyBorder="0" applyAlignment="0" applyProtection="0"/>
    <xf numFmtId="178" fontId="24" fillId="0" borderId="0" applyNumberFormat="0" applyBorder="0" applyAlignment="0" applyProtection="0"/>
    <xf numFmtId="178" fontId="24" fillId="0" borderId="0" applyNumberFormat="0" applyBorder="0" applyAlignment="0" applyProtection="0"/>
    <xf numFmtId="0" fontId="24" fillId="0" borderId="0" applyNumberFormat="0" applyBorder="0" applyAlignment="0" applyProtection="0"/>
    <xf numFmtId="37" fontId="123" fillId="0" borderId="95" applyNumberFormat="0" applyFont="0" applyBorder="0" applyAlignment="0" applyProtection="0">
      <alignment horizontal="centerContinuous"/>
    </xf>
    <xf numFmtId="0" fontId="23" fillId="0" borderId="0" applyNumberFormat="0" applyFont="0" applyFill="0" applyBorder="0" applyAlignment="0"/>
    <xf numFmtId="49" fontId="32" fillId="0" borderId="0" applyFill="0" applyBorder="0" applyAlignment="0"/>
    <xf numFmtId="49" fontId="32" fillId="0" borderId="0" applyFill="0" applyBorder="0" applyAlignment="0"/>
    <xf numFmtId="49" fontId="32" fillId="0" borderId="0" applyFill="0" applyBorder="0" applyAlignment="0"/>
    <xf numFmtId="49" fontId="32" fillId="0" borderId="0" applyFill="0" applyBorder="0" applyAlignment="0"/>
    <xf numFmtId="49" fontId="32" fillId="0" borderId="0" applyFill="0" applyBorder="0" applyAlignment="0"/>
    <xf numFmtId="198" fontId="24" fillId="0" borderId="0" applyFill="0" applyBorder="0" applyAlignment="0"/>
    <xf numFmtId="198" fontId="24" fillId="0" borderId="0" applyFill="0" applyBorder="0" applyAlignment="0"/>
    <xf numFmtId="212" fontId="24" fillId="0" borderId="0" applyFill="0" applyBorder="0" applyAlignment="0"/>
    <xf numFmtId="212" fontId="24" fillId="0" borderId="0" applyFill="0" applyBorder="0" applyAlignment="0"/>
    <xf numFmtId="198" fontId="24" fillId="0" borderId="0" applyFill="0" applyBorder="0" applyAlignment="0"/>
    <xf numFmtId="0" fontId="114" fillId="0" borderId="0" applyNumberFormat="0" applyFill="0" applyBorder="0" applyAlignment="0" applyProtection="0"/>
    <xf numFmtId="0" fontId="159" fillId="74" borderId="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74" fillId="0" borderId="0" applyNumberFormat="0" applyFill="0" applyBorder="0" applyAlignment="0" applyProtection="0"/>
    <xf numFmtId="0" fontId="153"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53"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53"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53" fillId="0" borderId="0" applyNumberFormat="0" applyFill="0" applyBorder="0" applyAlignment="0" applyProtection="0"/>
    <xf numFmtId="0" fontId="174" fillId="0" borderId="0" applyNumberFormat="0" applyFill="0" applyBorder="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94" fillId="0" borderId="77" applyNumberFormat="0" applyFill="0" applyAlignment="0" applyProtection="0"/>
    <xf numFmtId="0" fontId="115" fillId="0" borderId="97" applyNumberFormat="0" applyFill="0" applyAlignment="0" applyProtection="0"/>
    <xf numFmtId="0" fontId="115" fillId="0" borderId="97" applyNumberFormat="0" applyFill="0" applyAlignment="0" applyProtection="0"/>
    <xf numFmtId="0" fontId="115" fillId="0" borderId="97" applyNumberFormat="0" applyFill="0" applyAlignment="0" applyProtection="0"/>
    <xf numFmtId="0" fontId="94" fillId="0" borderId="77" applyNumberFormat="0" applyFill="0" applyAlignment="0" applyProtection="0"/>
    <xf numFmtId="0" fontId="115" fillId="0" borderId="97" applyNumberFormat="0" applyFill="0" applyAlignment="0" applyProtection="0"/>
    <xf numFmtId="0" fontId="115" fillId="0" borderId="97" applyNumberFormat="0" applyFill="0" applyAlignment="0" applyProtection="0"/>
    <xf numFmtId="0" fontId="115" fillId="0" borderId="97" applyNumberFormat="0" applyFill="0" applyAlignment="0" applyProtection="0"/>
    <xf numFmtId="0" fontId="115" fillId="0" borderId="97" applyNumberFormat="0" applyFill="0" applyAlignment="0" applyProtection="0"/>
    <xf numFmtId="0" fontId="115" fillId="0" borderId="97" applyNumberFormat="0" applyFill="0" applyAlignment="0" applyProtection="0"/>
    <xf numFmtId="0" fontId="156" fillId="0" borderId="98"/>
    <xf numFmtId="0" fontId="156" fillId="0" borderId="82"/>
    <xf numFmtId="0" fontId="156" fillId="0" borderId="82"/>
    <xf numFmtId="0" fontId="156" fillId="0" borderId="82"/>
    <xf numFmtId="0" fontId="156" fillId="0" borderId="82"/>
    <xf numFmtId="0" fontId="156" fillId="0" borderId="82"/>
    <xf numFmtId="0" fontId="156" fillId="0" borderId="82"/>
    <xf numFmtId="164" fontId="24" fillId="0" borderId="0" applyFont="0" applyFill="0" applyBorder="0" applyAlignment="0" applyProtection="0"/>
    <xf numFmtId="165" fontId="24" fillId="0" borderId="0" applyFont="0" applyFill="0" applyBorder="0" applyAlignment="0" applyProtection="0"/>
    <xf numFmtId="0" fontId="23" fillId="2" borderId="0" applyFont="0" applyFill="0">
      <alignment horizontal="center"/>
    </xf>
    <xf numFmtId="0" fontId="23" fillId="2" borderId="0" applyFont="0" applyFill="0">
      <alignment horizontal="center"/>
    </xf>
    <xf numFmtId="209" fontId="24" fillId="0" borderId="0" applyFont="0" applyFill="0" applyBorder="0" applyAlignment="0" applyProtection="0"/>
    <xf numFmtId="210" fontId="24"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92" fillId="0" borderId="0" applyNumberFormat="0" applyFill="0" applyBorder="0" applyAlignment="0" applyProtection="0"/>
    <xf numFmtId="216" fontId="24" fillId="0" borderId="0" applyFont="0" applyFill="0" applyBorder="0" applyAlignment="0" applyProtection="0"/>
    <xf numFmtId="0" fontId="164" fillId="0" borderId="0"/>
    <xf numFmtId="44" fontId="24" fillId="0" borderId="0" applyFont="0" applyFill="0" applyBorder="0" applyAlignment="0" applyProtection="0"/>
    <xf numFmtId="42" fontId="24" fillId="0" borderId="0" applyFont="0" applyFill="0" applyBorder="0" applyAlignment="0" applyProtection="0"/>
    <xf numFmtId="0" fontId="17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7"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1" fillId="0" borderId="0" applyFont="0" applyFill="0" applyBorder="0" applyAlignment="0" applyProtection="0"/>
    <xf numFmtId="43" fontId="21"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80"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6" fillId="0" borderId="0"/>
    <xf numFmtId="0" fontId="76" fillId="0" borderId="0"/>
    <xf numFmtId="0" fontId="24" fillId="0" borderId="0"/>
    <xf numFmtId="0" fontId="24" fillId="0" borderId="0"/>
    <xf numFmtId="0" fontId="24" fillId="0" borderId="0"/>
    <xf numFmtId="0" fontId="24" fillId="0" borderId="0"/>
    <xf numFmtId="0" fontId="24" fillId="0" borderId="0"/>
    <xf numFmtId="0" fontId="24" fillId="0" borderId="0"/>
    <xf numFmtId="0" fontId="76" fillId="0" borderId="0"/>
    <xf numFmtId="9" fontId="1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alignment vertical="top"/>
    </xf>
    <xf numFmtId="0" fontId="32" fillId="0" borderId="0">
      <alignment vertical="top"/>
    </xf>
    <xf numFmtId="0" fontId="24" fillId="0" borderId="0"/>
    <xf numFmtId="0" fontId="24" fillId="0" borderId="0"/>
    <xf numFmtId="0" fontId="24" fillId="0" borderId="0"/>
    <xf numFmtId="0" fontId="24" fillId="0" borderId="0"/>
    <xf numFmtId="0" fontId="2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4" fillId="0" borderId="0"/>
    <xf numFmtId="0" fontId="2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4" fillId="0" borderId="0"/>
    <xf numFmtId="0" fontId="24" fillId="0" borderId="0"/>
    <xf numFmtId="201" fontId="76" fillId="0" borderId="0" applyFont="0" applyFill="0" applyBorder="0" applyAlignment="0" applyProtection="0"/>
    <xf numFmtId="202" fontId="76" fillId="0" borderId="0" applyFont="0" applyFill="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1" fontId="35" fillId="0" borderId="21" applyNumberFormat="0" applyFont="0" applyAlignment="0"/>
    <xf numFmtId="203" fontId="76" fillId="0" borderId="0" applyFont="0" applyFill="0" applyBorder="0" applyAlignment="0" applyProtection="0"/>
    <xf numFmtId="238" fontId="32" fillId="0" borderId="0" applyFill="0" applyBorder="0" applyAlignment="0"/>
    <xf numFmtId="239" fontId="32" fillId="0" borderId="0" applyFill="0" applyBorder="0" applyAlignment="0"/>
    <xf numFmtId="211" fontId="32" fillId="0" borderId="0" applyFill="0" applyBorder="0" applyAlignment="0"/>
    <xf numFmtId="240" fontId="32" fillId="0" borderId="0" applyFill="0" applyBorder="0" applyAlignment="0"/>
    <xf numFmtId="238" fontId="32" fillId="0" borderId="0" applyFill="0" applyBorder="0" applyAlignment="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211" fontId="24"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241" fontId="24" fillId="0" borderId="0" applyFill="0" applyBorder="0" applyAlignment="0" applyProtection="0"/>
    <xf numFmtId="242" fontId="24"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4"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238" fontId="24" fillId="0" borderId="0" applyFont="0" applyFill="0" applyBorder="0" applyAlignment="0" applyProtection="0"/>
    <xf numFmtId="44" fontId="24" fillId="0" borderId="0" applyFont="0" applyFill="0" applyBorder="0" applyAlignment="0" applyProtection="0"/>
    <xf numFmtId="0" fontId="125" fillId="0" borderId="0"/>
    <xf numFmtId="204" fontId="76" fillId="0" borderId="0" applyFont="0" applyFill="0" applyBorder="0" applyAlignment="0" applyProtection="0"/>
    <xf numFmtId="14" fontId="32" fillId="0" borderId="0" applyFill="0" applyBorder="0" applyAlignment="0"/>
    <xf numFmtId="164" fontId="24" fillId="0" borderId="0" applyFont="0" applyFill="0" applyBorder="0" applyAlignment="0" applyProtection="0"/>
    <xf numFmtId="165" fontId="24" fillId="0" borderId="0" applyFont="0" applyFill="0" applyBorder="0" applyAlignment="0" applyProtection="0"/>
    <xf numFmtId="238" fontId="176" fillId="0" borderId="0" applyFill="0" applyBorder="0" applyAlignment="0"/>
    <xf numFmtId="211" fontId="176" fillId="0" borderId="0" applyFill="0" applyBorder="0" applyAlignment="0"/>
    <xf numFmtId="240" fontId="176" fillId="0" borderId="0" applyFill="0" applyBorder="0" applyAlignment="0"/>
    <xf numFmtId="238" fontId="176" fillId="0" borderId="0" applyFill="0" applyBorder="0" applyAlignment="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5" fillId="0" borderId="85"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77" fillId="0" borderId="0" applyNumberFormat="0" applyFill="0" applyBorder="0" applyAlignment="0" applyProtection="0">
      <alignment vertical="top"/>
      <protection locked="0"/>
    </xf>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35" fillId="0" borderId="40">
      <alignment wrapText="1"/>
    </xf>
    <xf numFmtId="0" fontId="178"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238" fontId="180" fillId="0" borderId="0" applyFill="0" applyBorder="0" applyAlignment="0"/>
    <xf numFmtId="211" fontId="180" fillId="0" borderId="0" applyFill="0" applyBorder="0" applyAlignment="0"/>
    <xf numFmtId="240" fontId="180" fillId="0" borderId="0" applyFill="0" applyBorder="0" applyAlignment="0"/>
    <xf numFmtId="238" fontId="180" fillId="0" borderId="0" applyFill="0" applyBorder="0" applyAlignment="0"/>
    <xf numFmtId="38" fontId="139" fillId="0" borderId="0" applyFont="0" applyFill="0" applyBorder="0" applyAlignment="0" applyProtection="0"/>
    <xf numFmtId="40" fontId="139" fillId="0" borderId="0" applyFont="0" applyFill="0" applyBorder="0" applyAlignment="0" applyProtection="0"/>
    <xf numFmtId="6" fontId="139" fillId="0" borderId="0" applyFont="0" applyFill="0" applyBorder="0" applyAlignment="0" applyProtection="0"/>
    <xf numFmtId="8" fontId="139" fillId="0" borderId="0" applyFont="0" applyFill="0" applyBorder="0" applyAlignment="0" applyProtection="0"/>
    <xf numFmtId="6" fontId="139" fillId="0" borderId="0" applyFont="0" applyFill="0" applyBorder="0" applyAlignment="0" applyProtection="0"/>
    <xf numFmtId="8" fontId="139" fillId="0" borderId="0" applyFont="0" applyFill="0" applyBorder="0" applyAlignment="0" applyProtection="0"/>
    <xf numFmtId="0" fontId="181" fillId="75" borderId="99" applyNumberFormat="0"/>
    <xf numFmtId="0" fontId="172"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239" fontId="24" fillId="0" borderId="0" applyFont="0" applyFill="0" applyBorder="0" applyAlignment="0" applyProtection="0"/>
    <xf numFmtId="243" fontId="24" fillId="0" borderId="0" applyFont="0" applyFill="0" applyBorder="0" applyAlignment="0" applyProtection="0"/>
    <xf numFmtId="10"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9" fillId="0" borderId="13" applyNumberFormat="0" applyBorder="0"/>
    <xf numFmtId="238" fontId="42" fillId="0" borderId="0" applyFill="0" applyBorder="0" applyAlignment="0"/>
    <xf numFmtId="211" fontId="42" fillId="0" borderId="0" applyFill="0" applyBorder="0" applyAlignment="0"/>
    <xf numFmtId="240" fontId="42" fillId="0" borderId="0" applyFill="0" applyBorder="0" applyAlignment="0"/>
    <xf numFmtId="238" fontId="42" fillId="0" borderId="0" applyFill="0" applyBorder="0" applyAlignment="0"/>
    <xf numFmtId="0" fontId="125" fillId="0" borderId="0"/>
    <xf numFmtId="0" fontId="2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25" fillId="0" borderId="82"/>
    <xf numFmtId="244" fontId="32" fillId="0" borderId="0" applyFill="0" applyBorder="0" applyAlignment="0"/>
    <xf numFmtId="0" fontId="182" fillId="74" borderId="0"/>
    <xf numFmtId="0" fontId="35" fillId="76" borderId="100">
      <alignment wrapText="1"/>
    </xf>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83" fillId="0" borderId="98"/>
    <xf numFmtId="0" fontId="183" fillId="0" borderId="82"/>
    <xf numFmtId="42" fontId="24" fillId="0" borderId="0" applyFont="0" applyFill="0" applyBorder="0" applyAlignment="0" applyProtection="0"/>
    <xf numFmtId="44" fontId="24" fillId="0" borderId="0" applyFont="0" applyFill="0" applyBorder="0" applyAlignment="0" applyProtection="0"/>
    <xf numFmtId="0" fontId="124" fillId="0" borderId="0"/>
    <xf numFmtId="43" fontId="21" fillId="0" borderId="0" applyFont="0" applyFill="0" applyBorder="0" applyAlignment="0" applyProtection="0"/>
    <xf numFmtId="0" fontId="108" fillId="45" borderId="80" applyNumberFormat="0" applyAlignment="0" applyProtection="0"/>
    <xf numFmtId="220" fontId="24" fillId="0" borderId="0" applyFill="0" applyBorder="0" applyAlignment="0" applyProtection="0"/>
    <xf numFmtId="221" fontId="24" fillId="0" borderId="0" applyFill="0" applyBorder="0" applyAlignment="0" applyProtection="0"/>
    <xf numFmtId="0" fontId="108" fillId="45" borderId="80" applyNumberFormat="0" applyAlignment="0" applyProtection="0"/>
    <xf numFmtId="0" fontId="119" fillId="0" borderId="78" applyNumberFormat="0" applyFill="0" applyAlignment="0" applyProtection="0"/>
    <xf numFmtId="0" fontId="108" fillId="45" borderId="80" applyNumberFormat="0" applyAlignment="0" applyProtection="0"/>
    <xf numFmtId="222" fontId="24" fillId="0" borderId="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4"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43" fontId="160" fillId="0" borderId="0" applyFont="0" applyFill="0" applyBorder="0" applyAlignment="0" applyProtection="0"/>
    <xf numFmtId="194"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43" fontId="21" fillId="0" borderId="0" applyFont="0" applyFill="0" applyBorder="0" applyAlignment="0" applyProtection="0"/>
    <xf numFmtId="9" fontId="21" fillId="0" borderId="0" applyFont="0" applyFill="0" applyBorder="0" applyAlignment="0" applyProtection="0"/>
    <xf numFmtId="0" fontId="24" fillId="0" borderId="0" applyFill="0" applyBorder="0" applyProtection="0">
      <alignment vertical="top"/>
    </xf>
    <xf numFmtId="0" fontId="24" fillId="0" borderId="0" applyFill="0" applyBorder="0" applyProtection="0">
      <alignment vertical="top"/>
    </xf>
    <xf numFmtId="0" fontId="24" fillId="0" borderId="0" applyFill="0" applyBorder="0" applyProtection="0">
      <alignment vertical="top"/>
    </xf>
    <xf numFmtId="0"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245" fontId="24" fillId="0" borderId="0" applyFill="0" applyBorder="0" applyProtection="0">
      <alignment vertical="top"/>
    </xf>
    <xf numFmtId="245" fontId="24" fillId="0" borderId="0" applyFill="0" applyBorder="0" applyProtection="0">
      <alignment vertical="top"/>
    </xf>
    <xf numFmtId="245" fontId="24" fillId="0" borderId="0" applyFill="0" applyBorder="0" applyProtection="0">
      <alignment vertical="top"/>
    </xf>
    <xf numFmtId="245" fontId="24" fillId="0" borderId="0" applyFill="0" applyBorder="0" applyProtection="0">
      <alignment vertical="top"/>
    </xf>
    <xf numFmtId="245" fontId="24" fillId="0" borderId="0" applyFill="0" applyBorder="0" applyProtection="0">
      <alignment vertical="top"/>
    </xf>
    <xf numFmtId="230" fontId="24" fillId="0" borderId="0" applyFill="0" applyBorder="0" applyProtection="0">
      <alignment vertical="top"/>
    </xf>
    <xf numFmtId="230"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167" fontId="80" fillId="0" borderId="0" applyFont="0" applyFill="0" applyBorder="0" applyAlignment="0" applyProtection="0"/>
    <xf numFmtId="194"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194" fontId="24" fillId="0" borderId="0" applyFill="0" applyBorder="0" applyProtection="0">
      <alignment vertical="top"/>
    </xf>
    <xf numFmtId="0" fontId="118" fillId="0" borderId="0" applyNumberFormat="0" applyFill="0" applyBorder="0" applyAlignment="0" applyProtection="0"/>
    <xf numFmtId="44" fontId="24" fillId="0" borderId="0" applyFont="0" applyFill="0" applyBorder="0" applyAlignment="0" applyProtection="0"/>
    <xf numFmtId="0" fontId="118" fillId="0" borderId="0" applyNumberFormat="0" applyFill="0" applyBorder="0" applyAlignment="0" applyProtection="0"/>
    <xf numFmtId="224" fontId="24" fillId="0" borderId="0" applyFill="0" applyBorder="0" applyAlignment="0" applyProtection="0"/>
    <xf numFmtId="0" fontId="108" fillId="45" borderId="80" applyNumberFormat="0" applyAlignment="0" applyProtection="0"/>
    <xf numFmtId="0" fontId="114" fillId="0" borderId="0" applyNumberFormat="0" applyFill="0" applyBorder="0" applyAlignment="0" applyProtection="0"/>
    <xf numFmtId="0" fontId="108" fillId="45" borderId="80" applyNumberFormat="0" applyAlignment="0" applyProtection="0"/>
    <xf numFmtId="225" fontId="24" fillId="0" borderId="0"/>
    <xf numFmtId="226" fontId="47" fillId="0" borderId="0"/>
    <xf numFmtId="43" fontId="21" fillId="0" borderId="0" applyFont="0" applyFill="0" applyBorder="0" applyAlignment="0" applyProtection="0"/>
    <xf numFmtId="43" fontId="21" fillId="0" borderId="0" applyFont="0" applyFill="0" applyBorder="0" applyAlignment="0" applyProtection="0"/>
    <xf numFmtId="0" fontId="124" fillId="0" borderId="0"/>
    <xf numFmtId="43" fontId="76" fillId="0" borderId="0" applyFont="0" applyFill="0" applyBorder="0" applyAlignment="0" applyProtection="0"/>
    <xf numFmtId="0" fontId="21" fillId="0" borderId="0"/>
    <xf numFmtId="0" fontId="2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1" fillId="0" borderId="0"/>
    <xf numFmtId="0" fontId="76" fillId="0" borderId="0"/>
    <xf numFmtId="0" fontId="76" fillId="0" borderId="0"/>
    <xf numFmtId="0" fontId="76" fillId="0" borderId="0"/>
    <xf numFmtId="0" fontId="76" fillId="0" borderId="0"/>
    <xf numFmtId="0" fontId="76" fillId="0" borderId="0"/>
    <xf numFmtId="0" fontId="21" fillId="0" borderId="0"/>
    <xf numFmtId="0"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4" fillId="0" borderId="0" applyNumberFormat="0" applyFill="0" applyBorder="0" applyAlignment="0" applyProtection="0"/>
    <xf numFmtId="0" fontId="76" fillId="0" borderId="0"/>
    <xf numFmtId="0" fontId="76" fillId="0" borderId="0"/>
    <xf numFmtId="0" fontId="24" fillId="0" borderId="0">
      <alignment vertical="top"/>
    </xf>
    <xf numFmtId="43" fontId="21" fillId="0" borderId="0" applyFont="0" applyFill="0" applyBorder="0" applyAlignment="0" applyProtection="0"/>
    <xf numFmtId="0" fontId="124" fillId="0" borderId="0"/>
    <xf numFmtId="0" fontId="124" fillId="0" borderId="0"/>
    <xf numFmtId="0" fontId="108" fillId="45" borderId="80" applyNumberFormat="0" applyAlignment="0" applyProtection="0"/>
    <xf numFmtId="0" fontId="114" fillId="0" borderId="0" applyNumberFormat="0" applyFill="0" applyBorder="0" applyAlignment="0" applyProtection="0"/>
    <xf numFmtId="9" fontId="21" fillId="0" borderId="0" applyFont="0" applyFill="0" applyBorder="0" applyAlignment="0" applyProtection="0"/>
    <xf numFmtId="9" fontId="76" fillId="0" borderId="0" applyFont="0" applyFill="0" applyBorder="0" applyAlignment="0" applyProtection="0"/>
    <xf numFmtId="9" fontId="24" fillId="0" borderId="0" applyFill="0" applyBorder="0" applyProtection="0">
      <alignment vertical="top"/>
    </xf>
    <xf numFmtId="9" fontId="21" fillId="0" borderId="0" applyFont="0" applyFill="0" applyBorder="0" applyAlignment="0" applyProtection="0"/>
    <xf numFmtId="9" fontId="76" fillId="0" borderId="0" applyFont="0" applyFill="0" applyBorder="0" applyAlignment="0" applyProtection="0"/>
    <xf numFmtId="0" fontId="122" fillId="0" borderId="0" applyNumberFormat="0" applyBorder="0" applyAlignment="0"/>
    <xf numFmtId="9" fontId="21" fillId="0" borderId="0" applyFont="0" applyFill="0" applyBorder="0" applyAlignment="0" applyProtection="0"/>
    <xf numFmtId="0" fontId="114" fillId="0" borderId="0" applyNumberFormat="0" applyFill="0" applyBorder="0" applyAlignment="0" applyProtection="0"/>
    <xf numFmtId="9" fontId="21" fillId="0" borderId="0" applyFont="0" applyFill="0" applyBorder="0" applyAlignment="0" applyProtection="0"/>
    <xf numFmtId="0" fontId="24" fillId="0" borderId="0" applyNumberFormat="0" applyBorder="0" applyAlignment="0" applyProtection="0"/>
    <xf numFmtId="0" fontId="108" fillId="45" borderId="80" applyNumberFormat="0" applyAlignment="0" applyProtection="0"/>
    <xf numFmtId="0" fontId="12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4" fillId="0" borderId="0"/>
    <xf numFmtId="0" fontId="32" fillId="0" borderId="0">
      <alignment vertical="top"/>
    </xf>
    <xf numFmtId="0" fontId="32" fillId="0" borderId="0">
      <alignment vertical="top"/>
    </xf>
    <xf numFmtId="0" fontId="2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4" fillId="0" borderId="0"/>
    <xf numFmtId="0" fontId="24" fillId="0" borderId="0"/>
    <xf numFmtId="0" fontId="24" fillId="0" borderId="0"/>
    <xf numFmtId="0" fontId="24" fillId="0" borderId="0"/>
    <xf numFmtId="0" fontId="24" fillId="0" borderId="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75"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13" fontId="77" fillId="0" borderId="0" applyFill="0" applyBorder="0">
      <alignment horizontal="center" vertical="top"/>
    </xf>
    <xf numFmtId="0" fontId="21" fillId="0" borderId="0"/>
    <xf numFmtId="0" fontId="14" fillId="0" borderId="0"/>
    <xf numFmtId="0" fontId="24" fillId="0" borderId="0"/>
    <xf numFmtId="0" fontId="14" fillId="0" borderId="0"/>
    <xf numFmtId="0" fontId="14" fillId="0" borderId="0"/>
    <xf numFmtId="0" fontId="76" fillId="0" borderId="0"/>
    <xf numFmtId="0" fontId="76" fillId="0" borderId="0"/>
    <xf numFmtId="0" fontId="24" fillId="0" borderId="0"/>
    <xf numFmtId="0" fontId="24" fillId="0" borderId="0"/>
    <xf numFmtId="0" fontId="24" fillId="0" borderId="0"/>
    <xf numFmtId="0" fontId="24" fillId="0" borderId="0"/>
    <xf numFmtId="0" fontId="14" fillId="0" borderId="0"/>
    <xf numFmtId="0" fontId="14" fillId="0" borderId="0"/>
    <xf numFmtId="0" fontId="14" fillId="0" borderId="0"/>
    <xf numFmtId="0" fontId="14" fillId="0" borderId="0"/>
    <xf numFmtId="0" fontId="14" fillId="0" borderId="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7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4" fillId="0" borderId="0" applyFont="0" applyFill="0" applyBorder="0" applyAlignment="0" applyProtection="0"/>
    <xf numFmtId="0" fontId="114" fillId="0" borderId="0" applyNumberForma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114" fillId="0" borderId="0" applyNumberFormat="0" applyFill="0" applyBorder="0" applyAlignment="0" applyProtection="0"/>
    <xf numFmtId="0" fontId="108" fillId="45" borderId="80" applyNumberFormat="0" applyAlignment="0" applyProtection="0"/>
    <xf numFmtId="43" fontId="21" fillId="0" borderId="0" applyFont="0" applyFill="0" applyBorder="0" applyAlignment="0" applyProtection="0"/>
    <xf numFmtId="9" fontId="21" fillId="0" borderId="0" applyFont="0" applyFill="0" applyBorder="0" applyAlignment="0" applyProtection="0"/>
    <xf numFmtId="0" fontId="124" fillId="0" borderId="0"/>
    <xf numFmtId="9" fontId="21" fillId="0" borderId="0" applyFont="0" applyFill="0" applyBorder="0" applyAlignment="0" applyProtection="0"/>
    <xf numFmtId="9" fontId="21" fillId="0" borderId="0" applyFont="0" applyFill="0" applyBorder="0" applyAlignment="0" applyProtection="0"/>
    <xf numFmtId="0" fontId="124" fillId="0" borderId="0"/>
    <xf numFmtId="0" fontId="124" fillId="0" borderId="0"/>
    <xf numFmtId="43" fontId="21" fillId="0" borderId="0" applyFont="0" applyFill="0" applyBorder="0" applyAlignment="0" applyProtection="0"/>
    <xf numFmtId="0" fontId="124" fillId="0" borderId="0"/>
    <xf numFmtId="0" fontId="108" fillId="45" borderId="80" applyNumberFormat="0" applyAlignment="0" applyProtection="0"/>
    <xf numFmtId="0" fontId="124" fillId="0" borderId="0"/>
    <xf numFmtId="9" fontId="21" fillId="0" borderId="0" applyFont="0" applyFill="0" applyBorder="0" applyAlignment="0" applyProtection="0"/>
    <xf numFmtId="0" fontId="108" fillId="45" borderId="80" applyNumberFormat="0" applyAlignment="0" applyProtection="0"/>
    <xf numFmtId="9" fontId="21" fillId="0" borderId="0" applyFont="0" applyFill="0" applyBorder="0" applyAlignment="0" applyProtection="0"/>
    <xf numFmtId="43" fontId="21" fillId="0" borderId="0" applyFont="0" applyFill="0" applyBorder="0" applyAlignment="0" applyProtection="0"/>
    <xf numFmtId="0" fontId="108" fillId="45" borderId="80" applyNumberFormat="0" applyAlignment="0" applyProtection="0"/>
    <xf numFmtId="0" fontId="114" fillId="0" borderId="0" applyNumberFormat="0" applyFill="0" applyBorder="0" applyAlignment="0" applyProtection="0"/>
    <xf numFmtId="0" fontId="124" fillId="0" borderId="0"/>
    <xf numFmtId="0" fontId="114" fillId="0" borderId="0" applyNumberFormat="0" applyFill="0" applyBorder="0" applyAlignment="0" applyProtection="0"/>
    <xf numFmtId="9" fontId="21" fillId="0" borderId="0" applyFont="0" applyFill="0" applyBorder="0" applyAlignment="0" applyProtection="0"/>
    <xf numFmtId="0" fontId="76" fillId="0" borderId="0"/>
    <xf numFmtId="0" fontId="184" fillId="0" borderId="0"/>
    <xf numFmtId="0" fontId="185" fillId="0" borderId="0" applyNumberFormat="0" applyFill="0" applyBorder="0" applyAlignment="0" applyProtection="0"/>
    <xf numFmtId="0" fontId="14" fillId="0" borderId="0"/>
    <xf numFmtId="0" fontId="14" fillId="0" borderId="0"/>
    <xf numFmtId="0" fontId="76" fillId="0" borderId="0"/>
    <xf numFmtId="0" fontId="124" fillId="0" borderId="0"/>
    <xf numFmtId="0" fontId="24" fillId="0" borderId="0" applyFont="0" applyFill="0" applyBorder="0" applyAlignment="0" applyProtection="0"/>
    <xf numFmtId="0" fontId="7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94" fontId="24" fillId="0" borderId="0" applyFill="0" applyBorder="0" applyProtection="0">
      <alignment vertical="top"/>
    </xf>
    <xf numFmtId="0" fontId="29" fillId="68" borderId="0" applyNumberFormat="0" applyBorder="0" applyAlignment="0" applyProtection="0"/>
    <xf numFmtId="0" fontId="31" fillId="0" borderId="84">
      <alignment horizontal="left" vertical="center"/>
    </xf>
    <xf numFmtId="0" fontId="31" fillId="0" borderId="84">
      <alignment horizontal="left" vertical="center"/>
    </xf>
    <xf numFmtId="0" fontId="31" fillId="0" borderId="84">
      <alignment horizontal="left" vertical="center"/>
    </xf>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21" fillId="45" borderId="0" applyNumberFormat="0" applyBorder="0" applyAlignment="0" applyProtection="0"/>
    <xf numFmtId="0" fontId="24" fillId="0" borderId="0"/>
    <xf numFmtId="0" fontId="21" fillId="80" borderId="0" applyNumberFormat="0" applyBorder="0" applyAlignment="0" applyProtection="0"/>
    <xf numFmtId="0" fontId="21" fillId="78" borderId="0" applyNumberFormat="0" applyBorder="0" applyAlignment="0" applyProtection="0"/>
    <xf numFmtId="0" fontId="21" fillId="81" borderId="0" applyNumberFormat="0" applyBorder="0" applyAlignment="0" applyProtection="0"/>
    <xf numFmtId="0" fontId="99" fillId="90" borderId="0" applyNumberFormat="0" applyBorder="0" applyAlignment="0" applyProtection="0"/>
    <xf numFmtId="43" fontId="14" fillId="0" borderId="0" applyFont="0" applyFill="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53"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2"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8" borderId="0" applyNumberFormat="0" applyBorder="0" applyAlignment="0" applyProtection="0"/>
    <xf numFmtId="0" fontId="99" fillId="85" borderId="0" applyNumberFormat="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0" fontId="99" fillId="93" borderId="0" applyNumberFormat="0" applyBorder="0" applyAlignment="0" applyProtection="0"/>
    <xf numFmtId="0" fontId="101" fillId="53" borderId="80" applyNumberFormat="0" applyAlignment="0" applyProtection="0"/>
    <xf numFmtId="43" fontId="14" fillId="0" borderId="0" applyFont="0" applyFill="0" applyBorder="0" applyAlignment="0" applyProtection="0"/>
    <xf numFmtId="0" fontId="99" fillId="89" borderId="0" applyNumberFormat="0" applyBorder="0" applyAlignment="0" applyProtection="0"/>
    <xf numFmtId="43" fontId="14" fillId="0" borderId="0" applyFont="0" applyFill="0" applyBorder="0" applyAlignment="0" applyProtection="0"/>
    <xf numFmtId="43" fontId="24" fillId="0" borderId="0" applyFont="0" applyFill="0" applyBorder="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43" fontId="76"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49" fontId="24" fillId="0" borderId="0" applyFont="0" applyFill="0" applyBorder="0" applyAlignment="0" applyProtection="0"/>
    <xf numFmtId="167" fontId="24" fillId="0" borderId="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1" fillId="50" borderId="0" applyNumberFormat="0" applyBorder="0" applyAlignment="0" applyProtection="0"/>
    <xf numFmtId="43" fontId="14" fillId="0" borderId="0" applyFont="0" applyFill="0" applyBorder="0" applyAlignment="0" applyProtection="0"/>
    <xf numFmtId="250" fontId="24" fillId="0" borderId="0" applyFont="0" applyFill="0" applyBorder="0" applyAlignment="0" applyProtection="0"/>
    <xf numFmtId="0" fontId="104" fillId="79" borderId="0" applyNumberFormat="0" applyBorder="0" applyAlignment="0" applyProtection="0"/>
    <xf numFmtId="43" fontId="24" fillId="0" borderId="0" applyFont="0" applyFill="0" applyBorder="0" applyAlignment="0" applyProtection="0"/>
    <xf numFmtId="0" fontId="108" fillId="45" borderId="80" applyNumberFormat="0" applyAlignment="0" applyProtection="0"/>
    <xf numFmtId="0" fontId="101" fillId="53" borderId="80" applyNumberFormat="0" applyAlignment="0" applyProtection="0"/>
    <xf numFmtId="0" fontId="108" fillId="45" borderId="80" applyNumberFormat="0" applyAlignment="0" applyProtection="0"/>
    <xf numFmtId="0" fontId="101" fillId="53" borderId="80" applyNumberFormat="0" applyAlignment="0" applyProtection="0"/>
    <xf numFmtId="0" fontId="108" fillId="45" borderId="80" applyNumberFormat="0" applyAlignment="0" applyProtection="0"/>
    <xf numFmtId="0" fontId="108" fillId="45" borderId="80" applyNumberFormat="0" applyAlignment="0" applyProtection="0"/>
    <xf numFmtId="0" fontId="101" fillId="53" borderId="80" applyNumberFormat="0" applyAlignment="0" applyProtection="0"/>
    <xf numFmtId="43" fontId="14" fillId="0" borderId="0" applyFont="0" applyFill="0" applyBorder="0" applyAlignment="0" applyProtection="0"/>
    <xf numFmtId="43" fontId="96" fillId="0" borderId="0" applyFont="0" applyFill="0" applyBorder="0" applyAlignment="0" applyProtection="0"/>
    <xf numFmtId="9" fontId="14" fillId="0" borderId="0" applyFont="0" applyFill="0" applyBorder="0" applyAlignment="0" applyProtection="0"/>
    <xf numFmtId="0" fontId="24" fillId="0" borderId="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49" fontId="24" fillId="0" borderId="0" applyNumberFormat="0" applyFont="0" applyFill="0" applyBorder="0" applyAlignment="0" applyProtection="0"/>
    <xf numFmtId="49"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77" borderId="0" applyNumberFormat="0" applyBorder="0" applyAlignment="0" applyProtection="0"/>
    <xf numFmtId="0" fontId="21" fillId="77" borderId="0" applyNumberFormat="0" applyBorder="0" applyAlignment="0" applyProtection="0"/>
    <xf numFmtId="0" fontId="21" fillId="49" borderId="0" applyNumberFormat="0" applyBorder="0" applyAlignment="0" applyProtection="0"/>
    <xf numFmtId="0" fontId="21" fillId="5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97" fillId="30" borderId="0" applyNumberFormat="0" applyBorder="0" applyAlignment="0" applyProtection="0"/>
    <xf numFmtId="0" fontId="21" fillId="54"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99" fillId="89"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2" fillId="95" borderId="81" applyNumberFormat="0" applyAlignment="0" applyProtection="0"/>
    <xf numFmtId="0" fontId="102" fillId="95" borderId="81" applyNumberFormat="0" applyAlignment="0" applyProtection="0"/>
    <xf numFmtId="0" fontId="102" fillId="95" borderId="81" applyNumberFormat="0" applyAlignment="0" applyProtection="0"/>
    <xf numFmtId="43" fontId="14" fillId="0" borderId="0" applyFont="0" applyFill="0" applyBorder="0" applyAlignment="0" applyProtection="0"/>
    <xf numFmtId="248" fontId="24"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94" fontId="24" fillId="0" borderId="0" applyFill="0" applyBorder="0" applyAlignment="0" applyProtection="0"/>
    <xf numFmtId="251" fontId="24"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43" fontId="98" fillId="0" borderId="0" applyFont="0" applyFill="0" applyBorder="0" applyAlignment="0" applyProtection="0"/>
    <xf numFmtId="0" fontId="107" fillId="0" borderId="0" applyNumberFormat="0" applyFill="0" applyBorder="0" applyAlignment="0" applyProtection="0"/>
    <xf numFmtId="10" fontId="29" fillId="69" borderId="1" applyNumberFormat="0" applyBorder="0" applyAlignment="0" applyProtection="0"/>
    <xf numFmtId="10" fontId="29" fillId="69" borderId="1" applyNumberFormat="0" applyBorder="0" applyAlignment="0" applyProtection="0"/>
    <xf numFmtId="0" fontId="29" fillId="71" borderId="0"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69" borderId="1" applyNumberFormat="0" applyBorder="0" applyAlignment="0" applyProtection="0"/>
    <xf numFmtId="10" fontId="29" fillId="69" borderId="1" applyNumberFormat="0" applyBorder="0" applyAlignment="0" applyProtection="0"/>
    <xf numFmtId="10" fontId="29" fillId="69" borderId="1" applyNumberFormat="0" applyBorder="0" applyAlignment="0" applyProtection="0"/>
    <xf numFmtId="10" fontId="29" fillId="69" borderId="1" applyNumberFormat="0" applyBorder="0" applyAlignment="0" applyProtection="0"/>
    <xf numFmtId="10" fontId="29" fillId="69" borderId="1" applyNumberFormat="0" applyBorder="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52" borderId="0" applyNumberFormat="0" applyBorder="0" applyAlignment="0" applyProtection="0"/>
    <xf numFmtId="0" fontId="99" fillId="84" borderId="0" applyNumberFormat="0" applyBorder="0" applyAlignment="0" applyProtection="0"/>
    <xf numFmtId="0" fontId="99" fillId="84"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187" fillId="35" borderId="0" applyNumberFormat="0" applyBorder="0" applyAlignment="0" applyProtection="0"/>
    <xf numFmtId="0" fontId="99" fillId="59" borderId="0" applyNumberFormat="0" applyBorder="0" applyAlignment="0" applyProtection="0"/>
    <xf numFmtId="0" fontId="99" fillId="54" borderId="0" applyNumberFormat="0" applyBorder="0" applyAlignment="0" applyProtection="0"/>
    <xf numFmtId="0" fontId="99" fillId="94" borderId="0" applyNumberFormat="0" applyBorder="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43" fontId="14" fillId="0" borderId="0" applyFont="0" applyFill="0" applyBorder="0" applyAlignment="0" applyProtection="0"/>
    <xf numFmtId="247" fontId="24" fillId="0" borderId="0" applyFont="0" applyFill="0" applyBorder="0" applyAlignment="0" applyProtection="0"/>
    <xf numFmtId="43" fontId="1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50" fontId="24" fillId="0" borderId="0" applyFont="0" applyFill="0" applyBorder="0" applyAlignment="0" applyProtection="0"/>
    <xf numFmtId="165" fontId="24" fillId="0" borderId="0" applyFont="0" applyFill="0" applyBorder="0" applyAlignment="0" applyProtection="0"/>
    <xf numFmtId="250" fontId="24" fillId="0" borderId="0" applyFont="0" applyFill="0" applyBorder="0" applyAlignment="0" applyProtection="0"/>
    <xf numFmtId="0" fontId="104" fillId="48" borderId="0" applyNumberFormat="0" applyBorder="0" applyAlignment="0" applyProtection="0"/>
    <xf numFmtId="43" fontId="14" fillId="0" borderId="0" applyFont="0" applyFill="0" applyBorder="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97" fillId="34" borderId="0" applyNumberFormat="0" applyBorder="0" applyAlignment="0" applyProtection="0"/>
    <xf numFmtId="0" fontId="186" fillId="0" borderId="0"/>
    <xf numFmtId="43" fontId="186" fillId="0" borderId="0" applyFont="0" applyFill="0" applyBorder="0" applyAlignment="0" applyProtection="0"/>
    <xf numFmtId="0" fontId="24" fillId="0" borderId="0"/>
    <xf numFmtId="0" fontId="96" fillId="0" borderId="0"/>
    <xf numFmtId="0" fontId="24" fillId="0" borderId="0"/>
    <xf numFmtId="43" fontId="24" fillId="0" borderId="0" applyFont="0" applyFill="0" applyBorder="0" applyAlignment="0" applyProtection="0"/>
    <xf numFmtId="0" fontId="14" fillId="0" borderId="0"/>
    <xf numFmtId="0" fontId="14" fillId="0" borderId="0"/>
    <xf numFmtId="0" fontId="14" fillId="0" borderId="0"/>
    <xf numFmtId="0" fontId="76" fillId="0" borderId="0"/>
    <xf numFmtId="9" fontId="24" fillId="0" borderId="0" applyFont="0" applyFill="0" applyBorder="0" applyAlignment="0" applyProtection="0"/>
    <xf numFmtId="0" fontId="24" fillId="0" borderId="0"/>
    <xf numFmtId="0" fontId="14" fillId="0" borderId="0"/>
    <xf numFmtId="0" fontId="96"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0" fontId="114" fillId="0" borderId="0" applyNumberForma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6" fillId="0" borderId="0"/>
    <xf numFmtId="0" fontId="76" fillId="0" borderId="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0" fontId="21" fillId="0" borderId="0"/>
    <xf numFmtId="0" fontId="24" fillId="0" borderId="0"/>
    <xf numFmtId="0" fontId="76" fillId="0" borderId="0"/>
    <xf numFmtId="49" fontId="24" fillId="0" borderId="0" applyNumberFormat="0" applyFont="0" applyFill="0" applyBorder="0" applyAlignment="0" applyProtection="0"/>
    <xf numFmtId="0" fontId="21" fillId="0" borderId="0"/>
    <xf numFmtId="0" fontId="21" fillId="0" borderId="0"/>
    <xf numFmtId="0" fontId="24" fillId="0" borderId="0"/>
    <xf numFmtId="0" fontId="24" fillId="0" borderId="0"/>
    <xf numFmtId="0" fontId="24" fillId="0" borderId="0"/>
    <xf numFmtId="0" fontId="24" fillId="0" borderId="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45"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4"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97" fillId="25"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49" borderId="0" applyNumberFormat="0" applyBorder="0" applyAlignment="0" applyProtection="0"/>
    <xf numFmtId="0" fontId="97" fillId="29"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8"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97" fillId="33" borderId="0" applyNumberFormat="0" applyBorder="0" applyAlignment="0" applyProtection="0"/>
    <xf numFmtId="0" fontId="21" fillId="50"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50" borderId="0" applyNumberFormat="0" applyBorder="0" applyAlignment="0" applyProtection="0"/>
    <xf numFmtId="0" fontId="21" fillId="45" borderId="0" applyNumberFormat="0" applyBorder="0" applyAlignment="0" applyProtection="0"/>
    <xf numFmtId="0" fontId="21" fillId="5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51" borderId="0" applyNumberFormat="0" applyBorder="0" applyAlignment="0" applyProtection="0"/>
    <xf numFmtId="0" fontId="97" fillId="37"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9" fontId="98" fillId="0" borderId="0" applyFont="0" applyFill="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49" borderId="0" applyNumberFormat="0" applyBorder="0" applyAlignment="0" applyProtection="0"/>
    <xf numFmtId="0" fontId="97" fillId="41"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97" fillId="22"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97" fillId="26"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55"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52" borderId="0" applyNumberFormat="0" applyBorder="0" applyAlignment="0" applyProtection="0"/>
    <xf numFmtId="0" fontId="97" fillId="38"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6" borderId="0" applyNumberFormat="0" applyBorder="0" applyAlignment="0" applyProtection="0"/>
    <xf numFmtId="0" fontId="97" fillId="42" borderId="0" applyNumberFormat="0" applyBorder="0" applyAlignment="0" applyProtection="0"/>
    <xf numFmtId="0" fontId="21" fillId="56"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99" fillId="87" borderId="0" applyNumberFormat="0" applyBorder="0" applyAlignment="0" applyProtection="0"/>
    <xf numFmtId="0" fontId="99" fillId="87" borderId="0" applyNumberFormat="0" applyBorder="0" applyAlignment="0" applyProtection="0"/>
    <xf numFmtId="0" fontId="99" fillId="84"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99" fillId="85" borderId="0" applyNumberFormat="0" applyBorder="0" applyAlignment="0" applyProtection="0"/>
    <xf numFmtId="0" fontId="187" fillId="31" borderId="0" applyNumberFormat="0" applyBorder="0" applyAlignment="0" applyProtection="0"/>
    <xf numFmtId="0" fontId="99" fillId="88" borderId="0" applyNumberFormat="0" applyBorder="0" applyAlignment="0" applyProtection="0"/>
    <xf numFmtId="0" fontId="187" fillId="39" borderId="0" applyNumberFormat="0" applyBorder="0" applyAlignment="0" applyProtection="0"/>
    <xf numFmtId="0" fontId="99" fillId="90" borderId="0" applyNumberFormat="0" applyBorder="0" applyAlignment="0" applyProtection="0"/>
    <xf numFmtId="0" fontId="99" fillId="90" borderId="0" applyNumberFormat="0" applyBorder="0" applyAlignment="0" applyProtection="0"/>
    <xf numFmtId="0" fontId="99" fillId="90" borderId="0" applyNumberFormat="0" applyBorder="0" applyAlignment="0" applyProtection="0"/>
    <xf numFmtId="0" fontId="99" fillId="90" borderId="0" applyNumberFormat="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0" fontId="99" fillId="91" borderId="0" applyNumberFormat="0" applyBorder="0" applyAlignment="0" applyProtection="0"/>
    <xf numFmtId="0" fontId="99" fillId="91" borderId="0" applyNumberFormat="0" applyBorder="0" applyAlignment="0" applyProtection="0"/>
    <xf numFmtId="0" fontId="99" fillId="91" borderId="0" applyNumberFormat="0" applyBorder="0" applyAlignment="0" applyProtection="0"/>
    <xf numFmtId="0" fontId="99" fillId="91" borderId="0" applyNumberFormat="0" applyBorder="0" applyAlignment="0" applyProtection="0"/>
    <xf numFmtId="0" fontId="99" fillId="91" borderId="0" applyNumberFormat="0" applyBorder="0" applyAlignment="0" applyProtection="0"/>
    <xf numFmtId="0" fontId="108" fillId="45" borderId="80" applyNumberFormat="0" applyAlignment="0" applyProtection="0"/>
    <xf numFmtId="0" fontId="187" fillId="20"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91" borderId="0" applyNumberFormat="0" applyBorder="0" applyAlignment="0" applyProtection="0"/>
    <xf numFmtId="0" fontId="99" fillId="91" borderId="0" applyNumberFormat="0" applyBorder="0" applyAlignment="0" applyProtection="0"/>
    <xf numFmtId="0" fontId="99" fillId="91"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62"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93" borderId="0" applyNumberFormat="0" applyBorder="0" applyAlignment="0" applyProtection="0"/>
    <xf numFmtId="0" fontId="99" fillId="93" borderId="0" applyNumberFormat="0" applyBorder="0" applyAlignment="0" applyProtection="0"/>
    <xf numFmtId="0" fontId="99" fillId="93" borderId="0" applyNumberFormat="0" applyBorder="0" applyAlignment="0" applyProtection="0"/>
    <xf numFmtId="0" fontId="99" fillId="93" borderId="0" applyNumberFormat="0" applyBorder="0" applyAlignment="0" applyProtection="0"/>
    <xf numFmtId="0" fontId="99" fillId="63" borderId="0" applyNumberFormat="0" applyBorder="0" applyAlignment="0" applyProtection="0"/>
    <xf numFmtId="0" fontId="99" fillId="93" borderId="0" applyNumberFormat="0" applyBorder="0" applyAlignment="0" applyProtection="0"/>
    <xf numFmtId="0" fontId="99" fillId="93" borderId="0" applyNumberFormat="0" applyBorder="0" applyAlignment="0" applyProtection="0"/>
    <xf numFmtId="0" fontId="99" fillId="93"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187" fillId="32"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58"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188" fillId="0" borderId="0" applyFont="0" applyFill="0" applyBorder="0" applyAlignment="0" applyProtection="0"/>
    <xf numFmtId="0" fontId="188" fillId="0" borderId="0" applyFont="0" applyFill="0" applyBorder="0" applyAlignment="0" applyProtection="0"/>
    <xf numFmtId="0" fontId="189" fillId="14" borderId="0" applyNumberFormat="0" applyBorder="0" applyAlignment="0" applyProtection="0"/>
    <xf numFmtId="0" fontId="100" fillId="46"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19" fillId="0" borderId="78" applyNumberFormat="0" applyFill="0" applyAlignment="0" applyProtection="0"/>
    <xf numFmtId="246" fontId="24" fillId="0" borderId="0" applyFill="0" applyBorder="0" applyAlignment="0"/>
    <xf numFmtId="190" fontId="29" fillId="0" borderId="0" applyFill="0" applyBorder="0" applyAlignment="0"/>
    <xf numFmtId="190" fontId="29" fillId="0" borderId="0" applyFill="0" applyBorder="0" applyAlignment="0"/>
    <xf numFmtId="190" fontId="29" fillId="0" borderId="0" applyFill="0" applyBorder="0" applyAlignment="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8" fillId="45"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90" fillId="17" borderId="72"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2" fillId="95" borderId="81" applyNumberFormat="0" applyAlignment="0" applyProtection="0"/>
    <xf numFmtId="0" fontId="102" fillId="95" borderId="81" applyNumberFormat="0" applyAlignment="0" applyProtection="0"/>
    <xf numFmtId="0" fontId="191" fillId="18" borderId="75" applyNumberFormat="0" applyAlignment="0" applyProtection="0"/>
    <xf numFmtId="0" fontId="102" fillId="67" borderId="81" applyNumberFormat="0" applyAlignment="0" applyProtection="0"/>
    <xf numFmtId="0" fontId="102" fillId="95" borderId="81" applyNumberFormat="0" applyAlignment="0" applyProtection="0"/>
    <xf numFmtId="0" fontId="102" fillId="95" borderId="81" applyNumberFormat="0" applyAlignment="0" applyProtection="0"/>
    <xf numFmtId="0" fontId="102" fillId="95" borderId="81" applyNumberFormat="0" applyAlignment="0" applyProtection="0"/>
    <xf numFmtId="0" fontId="102" fillId="95" borderId="81" applyNumberForma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43" fontId="166"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47" fontId="24" fillId="0" borderId="0" applyFont="0" applyFill="0" applyBorder="0" applyAlignment="0" applyProtection="0"/>
    <xf numFmtId="194" fontId="24" fillId="0" borderId="0" applyFill="0" applyBorder="0" applyProtection="0">
      <alignment vertical="top"/>
    </xf>
    <xf numFmtId="43" fontId="76" fillId="0" borderId="0" applyFont="0" applyFill="0" applyBorder="0" applyAlignment="0" applyProtection="0"/>
    <xf numFmtId="194" fontId="24" fillId="0" borderId="0" applyFill="0" applyBorder="0" applyProtection="0">
      <alignment vertical="top"/>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94" fontId="24" fillId="0" borderId="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94" fontId="24" fillId="0" borderId="0" applyFill="0" applyBorder="0" applyProtection="0">
      <alignment vertical="top"/>
    </xf>
    <xf numFmtId="194" fontId="24" fillId="0" borderId="0" applyFill="0" applyBorder="0" applyProtection="0">
      <alignment vertical="top"/>
    </xf>
    <xf numFmtId="43" fontId="24"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6" fillId="0" borderId="0" applyFont="0" applyFill="0" applyBorder="0" applyAlignment="0" applyProtection="0"/>
    <xf numFmtId="194" fontId="24" fillId="0" borderId="0" applyFill="0" applyBorder="0" applyProtection="0">
      <alignment vertical="top"/>
    </xf>
    <xf numFmtId="43" fontId="24" fillId="0" borderId="0" applyFont="0" applyFill="0" applyBorder="0" applyAlignment="0" applyProtection="0"/>
    <xf numFmtId="43" fontId="76" fillId="0" borderId="0" applyFont="0" applyFill="0" applyBorder="0" applyAlignment="0" applyProtection="0"/>
    <xf numFmtId="171" fontId="24"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4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6" fillId="0" borderId="0" applyFont="0" applyFill="0" applyBorder="0" applyAlignment="0" applyProtection="0"/>
    <xf numFmtId="217"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0" fontId="24" fillId="0" borderId="0" applyFill="0" applyBorder="0" applyProtection="0">
      <alignment vertical="top"/>
    </xf>
    <xf numFmtId="248" fontId="24" fillId="0" borderId="0" applyFont="0" applyFill="0" applyBorder="0" applyAlignment="0" applyProtection="0"/>
    <xf numFmtId="194" fontId="24" fillId="0" borderId="0" applyFill="0" applyBorder="0" applyProtection="0">
      <alignment vertical="top"/>
    </xf>
    <xf numFmtId="194" fontId="24" fillId="0" borderId="0" applyFill="0" applyBorder="0" applyProtection="0">
      <alignment vertical="top"/>
    </xf>
    <xf numFmtId="43" fontId="24" fillId="0" borderId="0" applyFont="0" applyFill="0" applyBorder="0" applyAlignment="0" applyProtection="0"/>
    <xf numFmtId="250" fontId="24" fillId="0" borderId="0" applyFont="0" applyFill="0" applyBorder="0" applyAlignment="0" applyProtection="0"/>
    <xf numFmtId="165" fontId="21" fillId="0" borderId="0" applyFont="0" applyFill="0" applyBorder="0" applyAlignment="0" applyProtection="0"/>
    <xf numFmtId="43" fontId="24" fillId="0" borderId="0" applyFont="0" applyFill="0" applyBorder="0" applyAlignment="0" applyProtection="0"/>
    <xf numFmtId="187" fontId="21"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43" fontId="3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247"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24" fillId="0" borderId="0" applyFont="0" applyFill="0" applyBorder="0" applyAlignment="0" applyProtection="0"/>
    <xf numFmtId="245" fontId="24" fillId="0" borderId="0" applyFill="0" applyBorder="0" applyProtection="0">
      <alignment vertical="top"/>
    </xf>
    <xf numFmtId="43" fontId="21"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248" fontId="24" fillId="0" borderId="0" applyFont="0" applyFill="0" applyBorder="0" applyAlignment="0" applyProtection="0"/>
    <xf numFmtId="43" fontId="78" fillId="0" borderId="0" applyFont="0" applyFill="0" applyBorder="0" applyAlignment="0" applyProtection="0"/>
    <xf numFmtId="43" fontId="21" fillId="0" borderId="0" applyFont="0" applyFill="0" applyBorder="0" applyAlignment="0" applyProtection="0"/>
    <xf numFmtId="219" fontId="24" fillId="0" borderId="0" applyFont="0" applyFill="0" applyBorder="0" applyAlignment="0" applyProtection="0"/>
    <xf numFmtId="219" fontId="24" fillId="0" borderId="0" applyFont="0" applyFill="0" applyBorder="0" applyAlignment="0" applyProtection="0"/>
    <xf numFmtId="219" fontId="24" fillId="0" borderId="0" applyFont="0" applyFill="0" applyBorder="0" applyAlignment="0" applyProtection="0"/>
    <xf numFmtId="219" fontId="24" fillId="0" borderId="0" applyFont="0" applyFill="0" applyBorder="0" applyAlignment="0" applyProtection="0"/>
    <xf numFmtId="43" fontId="21" fillId="0" borderId="0" applyFont="0" applyFill="0" applyBorder="0" applyAlignment="0" applyProtection="0"/>
    <xf numFmtId="252" fontId="21" fillId="0" borderId="0" applyFont="0" applyFill="0" applyBorder="0" applyAlignment="0" applyProtection="0"/>
    <xf numFmtId="253" fontId="21" fillId="0" borderId="0" applyFont="0" applyFill="0" applyBorder="0" applyAlignment="0" applyProtection="0"/>
    <xf numFmtId="196" fontId="21"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4" fillId="0" borderId="0" applyFont="0" applyFill="0" applyBorder="0" applyAlignment="0" applyProtection="0"/>
    <xf numFmtId="165" fontId="24" fillId="0" borderId="0" applyFont="0" applyFill="0" applyBorder="0" applyAlignment="0" applyProtection="0"/>
    <xf numFmtId="206" fontId="76" fillId="0" borderId="0" applyFont="0" applyFill="0" applyBorder="0" applyAlignment="0" applyProtection="0"/>
    <xf numFmtId="206" fontId="76" fillId="0" borderId="0" applyFont="0" applyFill="0" applyBorder="0" applyAlignment="0" applyProtection="0"/>
    <xf numFmtId="172" fontId="76" fillId="0" borderId="0">
      <protection locked="0"/>
    </xf>
    <xf numFmtId="233" fontId="24" fillId="0" borderId="0" applyFont="0" applyFill="0" applyBorder="0" applyAlignment="0" applyProtection="0"/>
    <xf numFmtId="233" fontId="24"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9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4" fillId="0" borderId="0"/>
    <xf numFmtId="0" fontId="24" fillId="0" borderId="0"/>
    <xf numFmtId="9" fontId="98" fillId="0" borderId="0" applyFont="0" applyFill="0" applyBorder="0" applyAlignment="0" applyProtection="0"/>
    <xf numFmtId="0" fontId="104" fillId="79" borderId="0" applyNumberFormat="0" applyBorder="0" applyAlignment="0" applyProtection="0"/>
    <xf numFmtId="0" fontId="104" fillId="79" borderId="0" applyNumberFormat="0" applyBorder="0" applyAlignment="0" applyProtection="0"/>
    <xf numFmtId="0" fontId="104" fillId="79" borderId="0" applyNumberFormat="0" applyBorder="0" applyAlignment="0" applyProtection="0"/>
    <xf numFmtId="0" fontId="104" fillId="79" borderId="0" applyNumberFormat="0" applyBorder="0" applyAlignment="0" applyProtection="0"/>
    <xf numFmtId="0" fontId="31" fillId="0" borderId="84">
      <alignment horizontal="left" vertical="center"/>
    </xf>
    <xf numFmtId="0" fontId="31" fillId="0" borderId="84">
      <alignment horizontal="left" vertical="center"/>
    </xf>
    <xf numFmtId="0" fontId="31" fillId="0" borderId="84">
      <alignment horizontal="left" vertical="center"/>
    </xf>
    <xf numFmtId="0" fontId="31" fillId="0" borderId="84">
      <alignment horizontal="left" vertical="center"/>
    </xf>
    <xf numFmtId="0" fontId="31" fillId="0" borderId="84">
      <alignment horizontal="left" vertical="center"/>
    </xf>
    <xf numFmtId="0" fontId="31" fillId="0" borderId="84">
      <alignment horizontal="left" vertical="center"/>
    </xf>
    <xf numFmtId="0" fontId="31" fillId="0" borderId="84">
      <alignment horizontal="left" vertical="center"/>
    </xf>
    <xf numFmtId="0" fontId="31" fillId="0" borderId="84">
      <alignment horizontal="left" vertical="center"/>
    </xf>
    <xf numFmtId="0" fontId="31" fillId="0" borderId="84">
      <alignment horizontal="left" vertical="center"/>
    </xf>
    <xf numFmtId="0" fontId="31" fillId="0" borderId="84">
      <alignment horizontal="left" vertical="center"/>
    </xf>
    <xf numFmtId="0" fontId="31" fillId="0" borderId="84">
      <alignment horizontal="left" vertical="center"/>
    </xf>
    <xf numFmtId="0" fontId="31" fillId="0" borderId="84">
      <alignment horizontal="left" vertical="center"/>
    </xf>
    <xf numFmtId="0" fontId="31" fillId="0" borderId="4">
      <alignment horizontal="left" vertical="center"/>
    </xf>
    <xf numFmtId="0" fontId="31" fillId="0" borderId="4">
      <alignment horizontal="left" vertical="center"/>
    </xf>
    <xf numFmtId="0" fontId="31" fillId="0" borderId="4">
      <alignment horizontal="left" vertical="center"/>
    </xf>
    <xf numFmtId="0" fontId="31" fillId="0" borderId="4">
      <alignment horizontal="left" vertical="center"/>
    </xf>
    <xf numFmtId="0" fontId="31" fillId="0" borderId="4">
      <alignment horizontal="left" vertical="center"/>
    </xf>
    <xf numFmtId="43" fontId="98"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256" fontId="24" fillId="0" borderId="0">
      <protection locked="0"/>
    </xf>
    <xf numFmtId="256" fontId="24" fillId="0" borderId="0">
      <protection locked="0"/>
    </xf>
    <xf numFmtId="0" fontId="185" fillId="0" borderId="0" applyNumberFormat="0" applyFill="0" applyBorder="0" applyAlignment="0" applyProtection="0"/>
    <xf numFmtId="0" fontId="177" fillId="0" borderId="0" applyNumberFormat="0" applyFill="0" applyBorder="0" applyAlignment="0" applyProtection="0">
      <alignment vertical="top"/>
      <protection locked="0"/>
    </xf>
    <xf numFmtId="0" fontId="185" fillId="0" borderId="0" applyNumberFormat="0" applyFill="0" applyBorder="0" applyAlignment="0" applyProtection="0"/>
    <xf numFmtId="0" fontId="170"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10" fontId="29" fillId="70" borderId="1" applyNumberFormat="0" applyBorder="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14" fillId="0" borderId="0" applyNumberFormat="0" applyFill="0" applyBorder="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98" fillId="16" borderId="72"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205" fontId="24" fillId="0" borderId="0"/>
    <xf numFmtId="205" fontId="24" fillId="0" borderId="0"/>
    <xf numFmtId="0" fontId="76" fillId="0" borderId="0">
      <protection locked="0"/>
    </xf>
    <xf numFmtId="219" fontId="24" fillId="0" borderId="0" applyFont="0" applyFill="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99" fillId="91" borderId="0" applyNumberFormat="0" applyBorder="0" applyAlignment="0" applyProtection="0"/>
    <xf numFmtId="0" fontId="24" fillId="0" borderId="0"/>
    <xf numFmtId="43" fontId="14" fillId="0" borderId="0" applyFont="0" applyFill="0" applyBorder="0" applyAlignment="0" applyProtection="0"/>
    <xf numFmtId="43" fontId="76" fillId="0" borderId="0" applyFont="0" applyFill="0" applyBorder="0" applyAlignment="0" applyProtection="0"/>
    <xf numFmtId="0" fontId="21" fillId="81" borderId="0" applyNumberFormat="0" applyBorder="0" applyAlignment="0" applyProtection="0"/>
    <xf numFmtId="0" fontId="101" fillId="53" borderId="80" applyNumberFormat="0" applyAlignment="0" applyProtection="0"/>
    <xf numFmtId="49" fontId="24" fillId="0" borderId="0" applyNumberFormat="0" applyFont="0" applyFill="0" applyBorder="0" applyAlignment="0" applyProtection="0"/>
    <xf numFmtId="0" fontId="76" fillId="0" borderId="0"/>
    <xf numFmtId="0" fontId="21" fillId="46"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78" borderId="0" applyNumberFormat="0" applyBorder="0" applyAlignment="0" applyProtection="0"/>
    <xf numFmtId="0" fontId="21" fillId="48" borderId="0" applyNumberFormat="0" applyBorder="0" applyAlignment="0" applyProtection="0"/>
    <xf numFmtId="0" fontId="21" fillId="8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43" fontId="76" fillId="0" borderId="0" applyFont="0" applyFill="0" applyBorder="0" applyAlignment="0" applyProtection="0"/>
    <xf numFmtId="43" fontId="76" fillId="0" borderId="0" applyFont="0" applyFill="0" applyBorder="0" applyAlignment="0" applyProtection="0"/>
    <xf numFmtId="248" fontId="24" fillId="0" borderId="0" applyFill="0" applyBorder="0" applyAlignment="0" applyProtection="0"/>
    <xf numFmtId="164" fontId="2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64" fontId="24" fillId="0" borderId="0" applyFont="0" applyFill="0" applyBorder="0" applyAlignment="0" applyProtection="0"/>
    <xf numFmtId="194" fontId="24" fillId="0" borderId="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08" fillId="45" borderId="80" applyNumberFormat="0" applyAlignment="0" applyProtection="0"/>
    <xf numFmtId="0" fontId="104" fillId="79" borderId="0" applyNumberFormat="0" applyBorder="0" applyAlignment="0" applyProtection="0"/>
    <xf numFmtId="0" fontId="104" fillId="79" borderId="0" applyNumberFormat="0" applyBorder="0" applyAlignment="0" applyProtection="0"/>
    <xf numFmtId="0" fontId="104" fillId="79" borderId="0" applyNumberFormat="0" applyBorder="0" applyAlignment="0" applyProtection="0"/>
    <xf numFmtId="0" fontId="104" fillId="79" borderId="0" applyNumberFormat="0" applyBorder="0" applyAlignment="0" applyProtection="0"/>
    <xf numFmtId="0" fontId="104" fillId="79" borderId="0" applyNumberFormat="0" applyBorder="0" applyAlignment="0" applyProtection="0"/>
    <xf numFmtId="0" fontId="104" fillId="79" borderId="0" applyNumberFormat="0" applyBorder="0" applyAlignment="0" applyProtection="0"/>
    <xf numFmtId="0" fontId="195" fillId="13" borderId="0" applyNumberFormat="0" applyBorder="0" applyAlignment="0" applyProtection="0"/>
    <xf numFmtId="0" fontId="104" fillId="79" borderId="0" applyNumberFormat="0" applyBorder="0" applyAlignment="0" applyProtection="0"/>
    <xf numFmtId="0" fontId="29" fillId="68" borderId="0" applyNumberFormat="0" applyBorder="0" applyAlignment="0" applyProtection="0"/>
    <xf numFmtId="0" fontId="31" fillId="0" borderId="83"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21" fillId="80" borderId="0" applyNumberFormat="0" applyBorder="0" applyAlignment="0" applyProtection="0"/>
    <xf numFmtId="0" fontId="21" fillId="80" borderId="0" applyNumberFormat="0" applyBorder="0" applyAlignment="0" applyProtection="0"/>
    <xf numFmtId="43" fontId="24" fillId="0" borderId="0" applyFont="0" applyFill="0" applyBorder="0" applyAlignment="0" applyProtection="0"/>
    <xf numFmtId="0" fontId="97" fillId="21" borderId="0" applyNumberFormat="0" applyBorder="0" applyAlignment="0" applyProtection="0"/>
    <xf numFmtId="0" fontId="101" fillId="53" borderId="80" applyNumberFormat="0" applyAlignment="0" applyProtection="0"/>
    <xf numFmtId="176" fontId="21" fillId="0" borderId="0" applyFont="0" applyFill="0" applyBorder="0" applyAlignment="0" applyProtection="0"/>
    <xf numFmtId="0" fontId="21" fillId="81" borderId="0" applyNumberFormat="0" applyBorder="0" applyAlignment="0" applyProtection="0"/>
    <xf numFmtId="0" fontId="21" fillId="83"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99" fillId="92" borderId="0" applyNumberFormat="0" applyBorder="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2" fillId="95" borderId="81" applyNumberFormat="0" applyAlignment="0" applyProtection="0"/>
    <xf numFmtId="0" fontId="102" fillId="95" borderId="81" applyNumberFormat="0" applyAlignment="0" applyProtection="0"/>
    <xf numFmtId="0" fontId="102" fillId="95" borderId="81" applyNumberFormat="0" applyAlignment="0" applyProtection="0"/>
    <xf numFmtId="165"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94" fontId="24" fillId="0" borderId="0" applyFill="0" applyBorder="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1" fillId="77" borderId="0" applyNumberFormat="0" applyBorder="0" applyAlignment="0" applyProtection="0"/>
    <xf numFmtId="0" fontId="21" fillId="77" borderId="0" applyNumberFormat="0" applyBorder="0" applyAlignment="0" applyProtection="0"/>
    <xf numFmtId="0" fontId="21" fillId="45" borderId="0" applyNumberFormat="0" applyBorder="0" applyAlignment="0" applyProtection="0"/>
    <xf numFmtId="0" fontId="21" fillId="44"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8"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79"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2" borderId="0" applyNumberFormat="0" applyBorder="0" applyAlignment="0" applyProtection="0"/>
    <xf numFmtId="0" fontId="21" fillId="53"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85"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99" fillId="87" borderId="0" applyNumberFormat="0" applyBorder="0" applyAlignment="0" applyProtection="0"/>
    <xf numFmtId="0" fontId="99" fillId="87" borderId="0" applyNumberFormat="0" applyBorder="0" applyAlignment="0" applyProtection="0"/>
    <xf numFmtId="0" fontId="99" fillId="87" borderId="0" applyNumberFormat="0" applyBorder="0" applyAlignment="0" applyProtection="0"/>
    <xf numFmtId="0" fontId="99" fillId="87" borderId="0" applyNumberFormat="0" applyBorder="0" applyAlignment="0" applyProtection="0"/>
    <xf numFmtId="0" fontId="99" fillId="87" borderId="0" applyNumberFormat="0" applyBorder="0" applyAlignment="0" applyProtection="0"/>
    <xf numFmtId="0" fontId="99" fillId="87" borderId="0" applyNumberFormat="0" applyBorder="0" applyAlignment="0" applyProtection="0"/>
    <xf numFmtId="0" fontId="187" fillId="23"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87" borderId="0" applyNumberFormat="0" applyBorder="0" applyAlignment="0" applyProtection="0"/>
    <xf numFmtId="0" fontId="99" fillId="87" borderId="0" applyNumberFormat="0" applyBorder="0" applyAlignment="0" applyProtection="0"/>
    <xf numFmtId="0" fontId="99" fillId="84" borderId="0" applyNumberFormat="0" applyBorder="0" applyAlignment="0" applyProtection="0"/>
    <xf numFmtId="0" fontId="99" fillId="84" borderId="0" applyNumberFormat="0" applyBorder="0" applyAlignment="0" applyProtection="0"/>
    <xf numFmtId="0" fontId="99" fillId="84" borderId="0" applyNumberFormat="0" applyBorder="0" applyAlignment="0" applyProtection="0"/>
    <xf numFmtId="0" fontId="99" fillId="84" borderId="0" applyNumberFormat="0" applyBorder="0" applyAlignment="0" applyProtection="0"/>
    <xf numFmtId="0" fontId="99" fillId="84" borderId="0" applyNumberFormat="0" applyBorder="0" applyAlignment="0" applyProtection="0"/>
    <xf numFmtId="0" fontId="187" fillId="27" borderId="0" applyNumberFormat="0" applyBorder="0" applyAlignment="0" applyProtection="0"/>
    <xf numFmtId="0" fontId="99" fillId="47" borderId="0" applyNumberFormat="0" applyBorder="0" applyAlignment="0" applyProtection="0"/>
    <xf numFmtId="0" fontId="99" fillId="84" borderId="0" applyNumberFormat="0" applyBorder="0" applyAlignment="0" applyProtection="0"/>
    <xf numFmtId="0" fontId="99" fillId="85" borderId="0" applyNumberFormat="0" applyBorder="0" applyAlignment="0" applyProtection="0"/>
    <xf numFmtId="0" fontId="99" fillId="54"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58"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90" borderId="0" applyNumberFormat="0" applyBorder="0" applyAlignment="0" applyProtection="0"/>
    <xf numFmtId="0" fontId="99" fillId="90" borderId="0" applyNumberFormat="0" applyBorder="0" applyAlignment="0" applyProtection="0"/>
    <xf numFmtId="0" fontId="99" fillId="90" borderId="0" applyNumberFormat="0" applyBorder="0" applyAlignment="0" applyProtection="0"/>
    <xf numFmtId="0" fontId="99" fillId="90" borderId="0" applyNumberFormat="0" applyBorder="0" applyAlignment="0" applyProtection="0"/>
    <xf numFmtId="0" fontId="99" fillId="90" borderId="0" applyNumberFormat="0" applyBorder="0" applyAlignment="0" applyProtection="0"/>
    <xf numFmtId="0" fontId="99" fillId="90" borderId="0" applyNumberFormat="0" applyBorder="0" applyAlignment="0" applyProtection="0"/>
    <xf numFmtId="0" fontId="187" fillId="43"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90" borderId="0" applyNumberFormat="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214" fontId="138" fillId="0" borderId="1" applyFont="0" applyFill="0" applyBorder="0" applyAlignment="0" applyProtection="0"/>
    <xf numFmtId="0" fontId="99" fillId="91" borderId="0" applyNumberFormat="0" applyBorder="0" applyAlignment="0" applyProtection="0"/>
    <xf numFmtId="0" fontId="187" fillId="24" borderId="0" applyNumberFormat="0" applyBorder="0" applyAlignment="0" applyProtection="0"/>
    <xf numFmtId="0" fontId="99" fillId="93" borderId="0" applyNumberFormat="0" applyBorder="0" applyAlignment="0" applyProtection="0"/>
    <xf numFmtId="0" fontId="99" fillId="93" borderId="0" applyNumberFormat="0" applyBorder="0" applyAlignment="0" applyProtection="0"/>
    <xf numFmtId="0" fontId="187" fillId="28" borderId="0" applyNumberFormat="0" applyBorder="0" applyAlignment="0" applyProtection="0"/>
    <xf numFmtId="0" fontId="99" fillId="93"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8"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99" fillId="89" borderId="0" applyNumberFormat="0" applyBorder="0" applyAlignment="0" applyProtection="0"/>
    <xf numFmtId="0" fontId="187" fillId="36" borderId="0" applyNumberFormat="0" applyBorder="0" applyAlignment="0" applyProtection="0"/>
    <xf numFmtId="0" fontId="99" fillId="89"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187" fillId="40" borderId="0" applyNumberFormat="0" applyBorder="0" applyAlignment="0" applyProtection="0"/>
    <xf numFmtId="0" fontId="99" fillId="65" borderId="0" applyNumberFormat="0" applyBorder="0" applyAlignment="0" applyProtection="0"/>
    <xf numFmtId="212" fontId="24" fillId="0" borderId="0" applyFill="0" applyBorder="0" applyAlignment="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01" fillId="53" borderId="80" applyNumberFormat="0" applyAlignment="0" applyProtection="0"/>
    <xf numFmtId="0" fontId="125" fillId="0" borderId="0"/>
    <xf numFmtId="43"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245" fontId="24" fillId="0" borderId="0" applyFill="0" applyBorder="0" applyProtection="0">
      <alignment vertical="top"/>
    </xf>
    <xf numFmtId="43" fontId="24" fillId="0" borderId="0" applyFont="0" applyFill="0" applyBorder="0" applyAlignment="0" applyProtection="0"/>
    <xf numFmtId="43" fontId="24" fillId="0" borderId="0" applyFont="0" applyFill="0" applyBorder="0" applyAlignment="0" applyProtection="0"/>
    <xf numFmtId="43" fontId="193" fillId="0" borderId="0" applyFont="0" applyFill="0" applyBorder="0" applyAlignment="0" applyProtection="0"/>
    <xf numFmtId="43" fontId="24" fillId="0" borderId="0" applyFont="0" applyFill="0" applyBorder="0" applyAlignment="0" applyProtection="0"/>
    <xf numFmtId="194" fontId="24" fillId="0" borderId="0" applyFill="0" applyBorder="0" applyAlignment="0" applyProtection="0"/>
    <xf numFmtId="0" fontId="32" fillId="0" borderId="0">
      <alignment vertical="top"/>
    </xf>
    <xf numFmtId="230" fontId="24" fillId="0" borderId="0" applyFill="0" applyBorder="0" applyProtection="0">
      <alignment vertical="top"/>
    </xf>
    <xf numFmtId="175" fontId="24" fillId="0" borderId="0" applyFont="0" applyFill="0" applyBorder="0" applyAlignment="0" applyProtection="0"/>
    <xf numFmtId="194" fontId="24" fillId="0" borderId="0" applyFill="0" applyBorder="0" applyProtection="0">
      <alignment vertical="top"/>
    </xf>
    <xf numFmtId="43" fontId="21" fillId="0" borderId="0" applyFont="0" applyFill="0" applyBorder="0" applyAlignment="0" applyProtection="0"/>
    <xf numFmtId="43" fontId="24" fillId="0" borderId="0" applyFont="0" applyFill="0" applyBorder="0" applyAlignment="0" applyProtection="0"/>
    <xf numFmtId="194" fontId="24" fillId="0" borderId="0" applyFill="0" applyBorder="0" applyProtection="0">
      <alignment vertical="top"/>
    </xf>
    <xf numFmtId="43" fontId="24"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94" fontId="24" fillId="0" borderId="0" applyFill="0" applyBorder="0" applyProtection="0">
      <alignment vertical="top"/>
    </xf>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9" fontId="79" fillId="0" borderId="0" applyFill="0" applyBorder="0">
      <alignment horizontal="left"/>
    </xf>
    <xf numFmtId="254" fontId="24" fillId="0" borderId="0" applyFont="0" applyFill="0" applyBorder="0" applyAlignment="0" applyProtection="0"/>
    <xf numFmtId="255" fontId="76" fillId="0" borderId="0" applyFont="0" applyFill="0" applyBorder="0" applyAlignment="0" applyProtection="0"/>
    <xf numFmtId="44" fontId="24" fillId="0" borderId="0" applyFont="0" applyFill="0" applyBorder="0" applyAlignment="0" applyProtection="0"/>
    <xf numFmtId="254" fontId="24" fillId="0" borderId="0" applyFont="0" applyFill="0" applyBorder="0" applyAlignment="0" applyProtection="0"/>
    <xf numFmtId="254" fontId="24" fillId="0" borderId="0" applyFont="0" applyFill="0" applyBorder="0" applyAlignment="0" applyProtection="0"/>
    <xf numFmtId="254" fontId="24" fillId="0" borderId="0" applyFont="0" applyFill="0" applyBorder="0" applyAlignment="0" applyProtection="0"/>
    <xf numFmtId="0" fontId="125" fillId="0" borderId="82"/>
    <xf numFmtId="0" fontId="125" fillId="0" borderId="82"/>
    <xf numFmtId="0" fontId="125" fillId="0" borderId="82"/>
    <xf numFmtId="0" fontId="125" fillId="0" borderId="82"/>
    <xf numFmtId="0" fontId="125" fillId="0" borderId="82"/>
    <xf numFmtId="0" fontId="103" fillId="0" borderId="0" applyNumberFormat="0" applyFill="0" applyBorder="0" applyAlignment="0" applyProtection="0"/>
    <xf numFmtId="0" fontId="103" fillId="0" borderId="0" applyNumberFormat="0" applyFill="0" applyBorder="0" applyAlignment="0" applyProtection="0"/>
    <xf numFmtId="0" fontId="24" fillId="0" borderId="0"/>
    <xf numFmtId="0" fontId="185" fillId="0" borderId="0" applyNumberFormat="0" applyFill="0" applyBorder="0" applyAlignment="0" applyProtection="0"/>
    <xf numFmtId="0" fontId="31" fillId="0" borderId="4">
      <alignment horizontal="left" vertical="center"/>
    </xf>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21" fillId="78"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100" fillId="78" borderId="0" applyNumberFormat="0" applyBorder="0" applyAlignment="0" applyProtection="0"/>
    <xf numFmtId="0" fontId="101" fillId="53" borderId="80" applyNumberFormat="0" applyAlignment="0" applyProtection="0"/>
    <xf numFmtId="0" fontId="101" fillId="68" borderId="80" applyNumberFormat="0" applyAlignment="0" applyProtection="0"/>
    <xf numFmtId="49" fontId="24" fillId="0" borderId="0" applyNumberFormat="0" applyFont="0" applyFill="0" applyBorder="0" applyAlignment="0" applyProtection="0"/>
    <xf numFmtId="0" fontId="21" fillId="49" borderId="0" applyNumberFormat="0" applyBorder="0" applyAlignment="0" applyProtection="0"/>
    <xf numFmtId="0" fontId="108" fillId="82" borderId="80" applyNumberFormat="0" applyAlignment="0" applyProtection="0"/>
    <xf numFmtId="0" fontId="24" fillId="0" borderId="0"/>
    <xf numFmtId="0" fontId="24" fillId="0" borderId="0"/>
    <xf numFmtId="0" fontId="21" fillId="78" borderId="0" applyNumberFormat="0" applyBorder="0" applyAlignment="0" applyProtection="0"/>
    <xf numFmtId="0" fontId="24" fillId="0" borderId="0"/>
    <xf numFmtId="0" fontId="175" fillId="0" borderId="0"/>
    <xf numFmtId="0" fontId="21" fillId="77"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51" borderId="0" applyNumberFormat="0" applyBorder="0" applyAlignment="0" applyProtection="0"/>
    <xf numFmtId="0" fontId="21" fillId="81"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83" borderId="0" applyNumberFormat="0" applyBorder="0" applyAlignment="0" applyProtection="0"/>
    <xf numFmtId="0" fontId="21" fillId="84" borderId="0" applyNumberFormat="0" applyBorder="0" applyAlignment="0" applyProtection="0"/>
    <xf numFmtId="0" fontId="100" fillId="78" borderId="0" applyNumberFormat="0" applyBorder="0" applyAlignment="0" applyProtection="0"/>
    <xf numFmtId="0" fontId="188" fillId="0" borderId="0"/>
    <xf numFmtId="0" fontId="21" fillId="80" borderId="0" applyNumberFormat="0" applyBorder="0" applyAlignment="0" applyProtection="0"/>
    <xf numFmtId="0" fontId="21" fillId="77" borderId="0" applyNumberFormat="0" applyBorder="0" applyAlignment="0" applyProtection="0"/>
    <xf numFmtId="43" fontId="14" fillId="0" borderId="0" applyFont="0" applyFill="0" applyBorder="0" applyAlignment="0" applyProtection="0"/>
    <xf numFmtId="0" fontId="101" fillId="53" borderId="80" applyNumberFormat="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08" fillId="45" borderId="80" applyNumberFormat="0" applyAlignment="0" applyProtection="0"/>
    <xf numFmtId="43" fontId="24" fillId="0" borderId="0" applyFont="0" applyFill="0" applyBorder="0" applyAlignment="0" applyProtection="0"/>
    <xf numFmtId="165" fontId="24" fillId="0" borderId="0" applyFont="0" applyFill="0" applyBorder="0" applyAlignment="0" applyProtection="0"/>
    <xf numFmtId="49" fontId="24" fillId="0" borderId="0" applyNumberFormat="0" applyFont="0" applyFill="0" applyBorder="0" applyAlignment="0" applyProtection="0"/>
    <xf numFmtId="0" fontId="100" fillId="78" borderId="0" applyNumberFormat="0" applyBorder="0" applyAlignment="0" applyProtection="0"/>
    <xf numFmtId="0" fontId="108" fillId="45" borderId="80" applyNumberFormat="0" applyAlignment="0" applyProtection="0"/>
    <xf numFmtId="0" fontId="31" fillId="0" borderId="4">
      <alignment horizontal="left" vertical="center"/>
    </xf>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0" fillId="78" borderId="0" applyNumberFormat="0" applyBorder="0" applyAlignment="0" applyProtection="0"/>
    <xf numFmtId="43" fontId="21" fillId="0" borderId="0" applyFont="0" applyFill="0" applyBorder="0" applyAlignment="0" applyProtection="0"/>
    <xf numFmtId="0" fontId="101" fillId="53" borderId="80" applyNumberFormat="0" applyAlignment="0" applyProtection="0"/>
    <xf numFmtId="0" fontId="99" fillId="88" borderId="0" applyNumberFormat="0" applyBorder="0" applyAlignment="0" applyProtection="0"/>
    <xf numFmtId="0" fontId="101" fillId="53" borderId="80" applyNumberFormat="0" applyAlignment="0" applyProtection="0"/>
    <xf numFmtId="0" fontId="99" fillId="84" borderId="0" applyNumberFormat="0" applyBorder="0" applyAlignment="0" applyProtection="0"/>
    <xf numFmtId="0" fontId="99" fillId="84" borderId="0" applyNumberFormat="0" applyBorder="0" applyAlignment="0" applyProtection="0"/>
    <xf numFmtId="0" fontId="21" fillId="50" borderId="0" applyNumberFormat="0" applyBorder="0" applyAlignment="0" applyProtection="0"/>
    <xf numFmtId="0" fontId="99" fillId="89" borderId="0" applyNumberFormat="0" applyBorder="0" applyAlignment="0" applyProtection="0"/>
    <xf numFmtId="0" fontId="21" fillId="81" borderId="0" applyNumberFormat="0" applyBorder="0" applyAlignment="0" applyProtection="0"/>
    <xf numFmtId="43" fontId="14" fillId="0" borderId="0" applyFont="0" applyFill="0" applyBorder="0" applyAlignment="0" applyProtection="0"/>
    <xf numFmtId="0" fontId="24" fillId="0" borderId="0"/>
    <xf numFmtId="0" fontId="24" fillId="0" borderId="0"/>
    <xf numFmtId="0" fontId="21" fillId="44" borderId="0" applyNumberFormat="0" applyBorder="0" applyAlignment="0" applyProtection="0"/>
    <xf numFmtId="0" fontId="21" fillId="77" borderId="0" applyNumberFormat="0" applyBorder="0" applyAlignment="0" applyProtection="0"/>
    <xf numFmtId="0" fontId="21" fillId="77" borderId="0" applyNumberFormat="0" applyBorder="0" applyAlignment="0" applyProtection="0"/>
    <xf numFmtId="0" fontId="21" fillId="49"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101" fillId="53" borderId="80" applyNumberFormat="0" applyAlignment="0" applyProtection="0"/>
    <xf numFmtId="0" fontId="101" fillId="53"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99" fillId="91" borderId="0" applyNumberFormat="0" applyBorder="0" applyAlignment="0" applyProtection="0"/>
    <xf numFmtId="0" fontId="101" fillId="53" borderId="80" applyNumberFormat="0" applyAlignment="0" applyProtection="0"/>
    <xf numFmtId="0" fontId="99" fillId="84" borderId="0" applyNumberFormat="0" applyBorder="0" applyAlignment="0" applyProtection="0"/>
    <xf numFmtId="0" fontId="99" fillId="59" borderId="0" applyNumberFormat="0" applyBorder="0" applyAlignment="0" applyProtection="0"/>
    <xf numFmtId="0" fontId="101" fillId="53" borderId="80" applyNumberFormat="0" applyAlignment="0" applyProtection="0"/>
    <xf numFmtId="0" fontId="101" fillId="68" borderId="80" applyNumberFormat="0" applyAlignment="0" applyProtection="0"/>
    <xf numFmtId="0" fontId="96" fillId="0" borderId="0"/>
    <xf numFmtId="49" fontId="24" fillId="0" borderId="0" applyNumberFormat="0" applyFont="0" applyFill="0" applyBorder="0" applyAlignment="0" applyProtection="0"/>
    <xf numFmtId="49" fontId="24" fillId="0" borderId="0" applyNumberFormat="0" applyFont="0" applyFill="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5" borderId="0" applyNumberFormat="0" applyBorder="0" applyAlignment="0" applyProtection="0"/>
    <xf numFmtId="0" fontId="21" fillId="81" borderId="0" applyNumberFormat="0" applyBorder="0" applyAlignment="0" applyProtection="0"/>
    <xf numFmtId="0" fontId="21" fillId="51"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21" fillId="82" borderId="0" applyNumberFormat="0" applyBorder="0" applyAlignment="0" applyProtection="0"/>
    <xf numFmtId="0" fontId="101" fillId="68" borderId="80" applyNumberFormat="0" applyAlignment="0" applyProtection="0"/>
    <xf numFmtId="0" fontId="101" fillId="53"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68" borderId="80" applyNumberFormat="0" applyAlignment="0" applyProtection="0"/>
    <xf numFmtId="0" fontId="101" fillId="53" borderId="80" applyNumberFormat="0" applyAlignment="0" applyProtection="0"/>
    <xf numFmtId="0" fontId="101" fillId="53" borderId="80"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03" fillId="0" borderId="0" applyNumberFormat="0" applyFill="0" applyBorder="0" applyAlignment="0" applyProtection="0"/>
    <xf numFmtId="0" fontId="31" fillId="0" borderId="84">
      <alignment horizontal="left" vertical="center"/>
    </xf>
    <xf numFmtId="10" fontId="29" fillId="70" borderId="1" applyNumberFormat="0" applyBorder="0" applyAlignment="0" applyProtection="0"/>
    <xf numFmtId="0" fontId="108" fillId="45"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82" borderId="80" applyNumberFormat="0" applyAlignment="0" applyProtection="0"/>
    <xf numFmtId="0" fontId="108" fillId="45" borderId="80" applyNumberFormat="0" applyAlignment="0" applyProtection="0"/>
    <xf numFmtId="0" fontId="108" fillId="45" borderId="80" applyNumberFormat="0" applyAlignment="0" applyProtection="0"/>
    <xf numFmtId="0" fontId="108" fillId="45" borderId="80" applyNumberFormat="0" applyAlignment="0" applyProtection="0"/>
    <xf numFmtId="0" fontId="21" fillId="78" borderId="0" applyNumberFormat="0" applyBorder="0" applyAlignment="0" applyProtection="0"/>
    <xf numFmtId="0" fontId="108" fillId="45" borderId="80" applyNumberFormat="0" applyAlignment="0" applyProtection="0"/>
    <xf numFmtId="0" fontId="108" fillId="45" borderId="80" applyNumberFormat="0" applyAlignment="0" applyProtection="0"/>
    <xf numFmtId="0" fontId="100" fillId="78" borderId="0" applyNumberFormat="0" applyBorder="0" applyAlignment="0" applyProtection="0"/>
    <xf numFmtId="0" fontId="21" fillId="44" borderId="0" applyNumberFormat="0" applyBorder="0" applyAlignment="0" applyProtection="0"/>
    <xf numFmtId="0" fontId="31" fillId="0" borderId="4">
      <alignment horizontal="left" vertical="center"/>
    </xf>
    <xf numFmtId="43" fontId="76" fillId="0" borderId="0" applyFont="0" applyFill="0" applyBorder="0" applyAlignment="0" applyProtection="0"/>
    <xf numFmtId="0" fontId="108" fillId="82" borderId="80" applyNumberFormat="0" applyAlignment="0" applyProtection="0"/>
    <xf numFmtId="43" fontId="76" fillId="0" borderId="0" applyFont="0" applyFill="0" applyBorder="0" applyAlignment="0" applyProtection="0"/>
    <xf numFmtId="0" fontId="21" fillId="79" borderId="0" applyNumberFormat="0" applyBorder="0" applyAlignment="0" applyProtection="0"/>
    <xf numFmtId="242" fontId="24" fillId="0" borderId="0" applyFill="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31" fillId="0" borderId="4">
      <alignment horizontal="left" vertical="center"/>
    </xf>
    <xf numFmtId="0" fontId="21" fillId="78" borderId="0" applyNumberFormat="0" applyBorder="0" applyAlignment="0" applyProtection="0"/>
    <xf numFmtId="0" fontId="100" fillId="78" borderId="0" applyNumberFormat="0" applyBorder="0" applyAlignment="0" applyProtection="0"/>
    <xf numFmtId="0" fontId="108" fillId="45" borderId="80" applyNumberFormat="0" applyAlignment="0" applyProtection="0"/>
    <xf numFmtId="167" fontId="24" fillId="0" borderId="0" applyFill="0" applyBorder="0" applyAlignment="0" applyProtection="0"/>
    <xf numFmtId="0" fontId="108" fillId="45" borderId="80" applyNumberFormat="0" applyAlignment="0" applyProtection="0"/>
    <xf numFmtId="0" fontId="108" fillId="45" borderId="80" applyNumberFormat="0" applyAlignment="0" applyProtection="0"/>
    <xf numFmtId="0" fontId="101" fillId="53" borderId="80" applyNumberFormat="0" applyAlignment="0" applyProtection="0"/>
    <xf numFmtId="0" fontId="99" fillId="91" borderId="0" applyNumberFormat="0" applyBorder="0" applyAlignment="0" applyProtection="0"/>
    <xf numFmtId="0" fontId="125" fillId="0" borderId="0"/>
    <xf numFmtId="0" fontId="101" fillId="68" borderId="80" applyNumberFormat="0" applyAlignment="0" applyProtection="0"/>
    <xf numFmtId="165" fontId="21" fillId="0" borderId="0" applyFont="0" applyFill="0" applyBorder="0" applyAlignment="0" applyProtection="0"/>
    <xf numFmtId="0" fontId="24" fillId="0" borderId="0"/>
    <xf numFmtId="43" fontId="14" fillId="0" borderId="0" applyFont="0" applyFill="0" applyBorder="0" applyAlignment="0" applyProtection="0"/>
    <xf numFmtId="0" fontId="99" fillId="93" borderId="0" applyNumberFormat="0" applyBorder="0" applyAlignment="0" applyProtection="0"/>
    <xf numFmtId="0" fontId="101" fillId="53" borderId="80" applyNumberFormat="0" applyAlignment="0" applyProtection="0"/>
    <xf numFmtId="0" fontId="21" fillId="80" borderId="0" applyNumberFormat="0" applyBorder="0" applyAlignment="0" applyProtection="0"/>
    <xf numFmtId="0" fontId="21" fillId="86" borderId="0" applyNumberFormat="0" applyBorder="0" applyAlignment="0" applyProtection="0"/>
    <xf numFmtId="205" fontId="24" fillId="0" borderId="0"/>
    <xf numFmtId="225" fontId="24" fillId="0" borderId="0"/>
    <xf numFmtId="205" fontId="24" fillId="0" borderId="0"/>
    <xf numFmtId="226" fontId="47" fillId="0" borderId="0"/>
    <xf numFmtId="0" fontId="183" fillId="72" borderId="82"/>
    <xf numFmtId="0" fontId="183" fillId="72" borderId="82"/>
    <xf numFmtId="0" fontId="183" fillId="72" borderId="82"/>
    <xf numFmtId="0" fontId="183" fillId="72" borderId="82"/>
    <xf numFmtId="0" fontId="183" fillId="72" borderId="82"/>
    <xf numFmtId="0" fontId="183" fillId="72" borderId="82"/>
    <xf numFmtId="0" fontId="183" fillId="72" borderId="82"/>
    <xf numFmtId="0" fontId="183" fillId="72" borderId="82"/>
    <xf numFmtId="0" fontId="183" fillId="72" borderId="82"/>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99" fillId="0" borderId="74"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09" fillId="0" borderId="90" applyNumberFormat="0" applyFill="0" applyAlignment="0" applyProtection="0"/>
    <xf numFmtId="0" fontId="110" fillId="96"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200" fillId="15" borderId="0" applyNumberFormat="0" applyBorder="0" applyAlignment="0" applyProtection="0"/>
    <xf numFmtId="0" fontId="110" fillId="55"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54" fillId="0" borderId="0"/>
    <xf numFmtId="0" fontId="154" fillId="0" borderId="0"/>
    <xf numFmtId="257" fontId="201" fillId="0" borderId="0"/>
    <xf numFmtId="0" fontId="24"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32" fillId="0" borderId="0">
      <alignment vertical="top"/>
    </xf>
    <xf numFmtId="0" fontId="76" fillId="0" borderId="0">
      <alignment vertical="top"/>
    </xf>
    <xf numFmtId="0" fontId="21" fillId="0" borderId="0"/>
    <xf numFmtId="0" fontId="21" fillId="0" borderId="0"/>
    <xf numFmtId="0" fontId="76" fillId="0" borderId="0">
      <alignment vertical="top"/>
    </xf>
    <xf numFmtId="0" fontId="24" fillId="0" borderId="0"/>
    <xf numFmtId="0" fontId="14" fillId="0" borderId="0"/>
    <xf numFmtId="0" fontId="14" fillId="0" borderId="0"/>
    <xf numFmtId="0" fontId="14" fillId="0" borderId="0"/>
    <xf numFmtId="0" fontId="1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18"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76" fillId="0" borderId="0"/>
    <xf numFmtId="0" fontId="32"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alignment vertical="top"/>
    </xf>
    <xf numFmtId="0" fontId="14" fillId="0" borderId="0"/>
    <xf numFmtId="0" fontId="14" fillId="0" borderId="0"/>
    <xf numFmtId="0" fontId="21"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24" fillId="0" borderId="0"/>
    <xf numFmtId="0" fontId="14" fillId="0" borderId="0"/>
    <xf numFmtId="0" fontId="14" fillId="0" borderId="0"/>
    <xf numFmtId="0" fontId="14" fillId="0" borderId="0"/>
    <xf numFmtId="0" fontId="24" fillId="0" borderId="0"/>
    <xf numFmtId="0" fontId="24" fillId="0" borderId="0"/>
    <xf numFmtId="0" fontId="24" fillId="0" borderId="0"/>
    <xf numFmtId="0" fontId="21" fillId="0" borderId="0"/>
    <xf numFmtId="0" fontId="21"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24" fillId="0" borderId="0">
      <alignment vertical="top"/>
    </xf>
    <xf numFmtId="0" fontId="24" fillId="0" borderId="0">
      <alignment vertical="top"/>
    </xf>
    <xf numFmtId="0" fontId="14" fillId="0" borderId="0"/>
    <xf numFmtId="0" fontId="14" fillId="0" borderId="0"/>
    <xf numFmtId="0" fontId="14" fillId="0" borderId="0"/>
    <xf numFmtId="0" fontId="14" fillId="0" borderId="0"/>
    <xf numFmtId="0" fontId="21" fillId="0" borderId="0"/>
    <xf numFmtId="0"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24" fillId="0" borderId="0">
      <alignment vertical="top"/>
    </xf>
    <xf numFmtId="0"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24" fillId="0" borderId="0">
      <alignment vertical="top"/>
    </xf>
    <xf numFmtId="0" fontId="21" fillId="0" borderId="0"/>
    <xf numFmtId="0" fontId="14" fillId="0" borderId="0"/>
    <xf numFmtId="0" fontId="76" fillId="0" borderId="0"/>
    <xf numFmtId="0" fontId="24" fillId="0" borderId="0"/>
    <xf numFmtId="0" fontId="24" fillId="0" borderId="0"/>
    <xf numFmtId="0" fontId="24" fillId="0" borderId="0"/>
    <xf numFmtId="0" fontId="2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4" fillId="0" borderId="0"/>
    <xf numFmtId="0" fontId="24" fillId="0" borderId="0">
      <alignment vertical="top"/>
    </xf>
    <xf numFmtId="0" fontId="76" fillId="0" borderId="0"/>
    <xf numFmtId="0" fontId="24" fillId="0" borderId="0"/>
    <xf numFmtId="0" fontId="76" fillId="0" borderId="0"/>
    <xf numFmtId="0" fontId="14" fillId="0" borderId="0"/>
    <xf numFmtId="0" fontId="14" fillId="0" borderId="0"/>
    <xf numFmtId="0" fontId="14" fillId="0" borderId="0"/>
    <xf numFmtId="0" fontId="14" fillId="0" borderId="0"/>
    <xf numFmtId="0" fontId="76" fillId="0" borderId="0"/>
    <xf numFmtId="0" fontId="14" fillId="0" borderId="0"/>
    <xf numFmtId="0" fontId="14" fillId="0" borderId="0"/>
    <xf numFmtId="0" fontId="14" fillId="0" borderId="0"/>
    <xf numFmtId="0" fontId="14" fillId="0" borderId="0"/>
    <xf numFmtId="0" fontId="14" fillId="0" borderId="0"/>
    <xf numFmtId="0" fontId="76" fillId="0" borderId="0"/>
    <xf numFmtId="0" fontId="24" fillId="0" borderId="0"/>
    <xf numFmtId="0" fontId="7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6" fillId="0" borderId="0"/>
    <xf numFmtId="0" fontId="24" fillId="0" borderId="0">
      <alignment vertical="top"/>
    </xf>
    <xf numFmtId="0" fontId="24" fillId="0" borderId="0">
      <alignment vertical="top"/>
    </xf>
    <xf numFmtId="0" fontId="24" fillId="0" borderId="0">
      <alignment vertical="top"/>
    </xf>
    <xf numFmtId="0" fontId="24" fillId="0" borderId="0"/>
    <xf numFmtId="0" fontId="76"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6" fillId="0" borderId="0"/>
    <xf numFmtId="0" fontId="21" fillId="0" borderId="0"/>
    <xf numFmtId="0" fontId="24" fillId="0" borderId="0"/>
    <xf numFmtId="0" fontId="21" fillId="0" borderId="0"/>
    <xf numFmtId="0" fontId="21" fillId="0" borderId="0"/>
    <xf numFmtId="0" fontId="24" fillId="0" borderId="0">
      <alignment vertical="top"/>
    </xf>
    <xf numFmtId="0" fontId="21"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14" fillId="0" borderId="0"/>
    <xf numFmtId="0" fontId="14" fillId="0" borderId="0"/>
    <xf numFmtId="0" fontId="21" fillId="0" borderId="0"/>
    <xf numFmtId="0" fontId="96" fillId="0" borderId="0"/>
    <xf numFmtId="0" fontId="21" fillId="0" borderId="0"/>
    <xf numFmtId="0" fontId="21" fillId="0" borderId="0"/>
    <xf numFmtId="0" fontId="24" fillId="0" borderId="0">
      <alignment vertical="top"/>
    </xf>
    <xf numFmtId="0" fontId="21" fillId="0" borderId="0"/>
    <xf numFmtId="0" fontId="21" fillId="0" borderId="0"/>
    <xf numFmtId="0" fontId="21" fillId="0" borderId="0"/>
    <xf numFmtId="0" fontId="24" fillId="0" borderId="0">
      <alignment vertical="top"/>
    </xf>
    <xf numFmtId="0" fontId="21" fillId="0" borderId="0"/>
    <xf numFmtId="0" fontId="21" fillId="0" borderId="0"/>
    <xf numFmtId="0" fontId="21" fillId="0" borderId="0"/>
    <xf numFmtId="0" fontId="24" fillId="0" borderId="0">
      <alignment vertical="top"/>
    </xf>
    <xf numFmtId="0" fontId="21" fillId="0" borderId="0"/>
    <xf numFmtId="0" fontId="21"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96" fillId="0" borderId="0"/>
    <xf numFmtId="0" fontId="96" fillId="0" borderId="0"/>
    <xf numFmtId="0" fontId="76"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9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pplyNumberFormat="0" applyFont="0" applyFill="0" applyBorder="0" applyAlignment="0" applyProtection="0"/>
    <xf numFmtId="0" fontId="2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alignment vertical="top"/>
    </xf>
    <xf numFmtId="0" fontId="21" fillId="0" borderId="0"/>
    <xf numFmtId="0" fontId="21" fillId="0" borderId="0"/>
    <xf numFmtId="0" fontId="24" fillId="0" borderId="0"/>
    <xf numFmtId="0" fontId="21" fillId="0" borderId="0"/>
    <xf numFmtId="0" fontId="76" fillId="0" borderId="0"/>
    <xf numFmtId="0" fontId="21" fillId="0" borderId="0"/>
    <xf numFmtId="0" fontId="24" fillId="0" borderId="0"/>
    <xf numFmtId="0" fontId="21" fillId="0" borderId="0"/>
    <xf numFmtId="0" fontId="24" fillId="0" borderId="0">
      <alignment vertical="top"/>
    </xf>
    <xf numFmtId="0" fontId="21" fillId="0" borderId="0"/>
    <xf numFmtId="0" fontId="21" fillId="0" borderId="0"/>
    <xf numFmtId="0" fontId="24" fillId="0" borderId="0"/>
    <xf numFmtId="0" fontId="21" fillId="0" borderId="0"/>
    <xf numFmtId="0" fontId="96" fillId="0" borderId="0"/>
    <xf numFmtId="0" fontId="76" fillId="0" borderId="0"/>
    <xf numFmtId="0" fontId="24" fillId="0" borderId="0"/>
    <xf numFmtId="0" fontId="184"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4" fillId="0" borderId="0"/>
    <xf numFmtId="0" fontId="184" fillId="0" borderId="0"/>
    <xf numFmtId="0" fontId="7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alignment vertical="top"/>
    </xf>
    <xf numFmtId="0" fontId="21" fillId="0" borderId="0"/>
    <xf numFmtId="0" fontId="21" fillId="0" borderId="0"/>
    <xf numFmtId="0" fontId="21" fillId="0" borderId="0"/>
    <xf numFmtId="0" fontId="24"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6"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18" fillId="0" borderId="0"/>
    <xf numFmtId="0" fontId="21" fillId="0" borderId="0"/>
    <xf numFmtId="0" fontId="14" fillId="0" borderId="0"/>
    <xf numFmtId="0" fontId="1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vertical="top"/>
    </xf>
    <xf numFmtId="0" fontId="76" fillId="0" borderId="0">
      <alignment vertical="top"/>
    </xf>
    <xf numFmtId="0" fontId="24" fillId="0" borderId="0">
      <alignment vertical="top"/>
    </xf>
    <xf numFmtId="0" fontId="76" fillId="0" borderId="0">
      <alignment vertical="top"/>
    </xf>
    <xf numFmtId="0" fontId="24" fillId="0" borderId="0">
      <alignment vertical="top"/>
    </xf>
    <xf numFmtId="0" fontId="21" fillId="0" borderId="0"/>
    <xf numFmtId="0" fontId="76"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alignment vertical="top"/>
    </xf>
    <xf numFmtId="0" fontId="21" fillId="0" borderId="0"/>
    <xf numFmtId="0" fontId="21"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xf numFmtId="0" fontId="14" fillId="0" borderId="0"/>
    <xf numFmtId="0" fontId="14" fillId="0" borderId="0"/>
    <xf numFmtId="0" fontId="14" fillId="0" borderId="0"/>
    <xf numFmtId="0" fontId="14" fillId="0" borderId="0"/>
    <xf numFmtId="0" fontId="21" fillId="0" borderId="0"/>
    <xf numFmtId="0" fontId="76" fillId="0" borderId="0"/>
    <xf numFmtId="0" fontId="21" fillId="0" borderId="0"/>
    <xf numFmtId="0" fontId="14" fillId="0" borderId="0">
      <alignment vertical="top"/>
    </xf>
    <xf numFmtId="0" fontId="14"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6" fillId="0" borderId="0">
      <alignment vertical="top"/>
    </xf>
    <xf numFmtId="0" fontId="76"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2" fillId="0" borderId="0">
      <alignment vertical="top"/>
    </xf>
    <xf numFmtId="0" fontId="21" fillId="0" borderId="0"/>
    <xf numFmtId="0" fontId="21"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4"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1" fillId="49" borderId="92" applyNumberFormat="0" applyFon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4" fillId="71" borderId="92" applyNumberFormat="0" applyAlignment="0" applyProtection="0"/>
    <xf numFmtId="0" fontId="21" fillId="49" borderId="92" applyNumberFormat="0" applyFont="0" applyAlignment="0" applyProtection="0"/>
    <xf numFmtId="0" fontId="21" fillId="49" borderId="92" applyNumberFormat="0" applyFon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203" fillId="17" borderId="7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53"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68" borderId="93" applyNumberFormat="0" applyAlignment="0" applyProtection="0"/>
    <xf numFmtId="0" fontId="111" fillId="53" borderId="93" applyNumberFormat="0" applyAlignment="0" applyProtection="0"/>
    <xf numFmtId="0" fontId="111" fillId="53" borderId="93" applyNumberFormat="0" applyAlignment="0" applyProtection="0"/>
    <xf numFmtId="215" fontId="32" fillId="66" borderId="0">
      <alignment horizontal="right"/>
    </xf>
    <xf numFmtId="215" fontId="32" fillId="66" borderId="0">
      <alignment horizontal="right"/>
    </xf>
    <xf numFmtId="215" fontId="32" fillId="66" borderId="0">
      <alignment horizontal="right"/>
    </xf>
    <xf numFmtId="215" fontId="32" fillId="66" borderId="0">
      <alignment horizontal="right"/>
    </xf>
    <xf numFmtId="215" fontId="32" fillId="66" borderId="0">
      <alignment horizontal="right"/>
    </xf>
    <xf numFmtId="10" fontId="24" fillId="0" borderId="0" applyFill="0" applyBorder="0" applyAlignment="0" applyProtection="0"/>
    <xf numFmtId="10" fontId="24" fillId="0" borderId="0" applyFill="0" applyBorder="0" applyAlignment="0" applyProtection="0"/>
    <xf numFmtId="9" fontId="32" fillId="0" borderId="0" applyFont="0" applyFill="0" applyBorder="0" applyAlignment="0" applyProtection="0">
      <alignment vertical="top"/>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2" fillId="0" borderId="0" applyFont="0" applyFill="0" applyBorder="0" applyAlignment="0" applyProtection="0">
      <alignment vertical="top"/>
    </xf>
    <xf numFmtId="9" fontId="14" fillId="0" borderId="0" applyFont="0" applyFill="0" applyBorder="0" applyAlignment="0" applyProtection="0"/>
    <xf numFmtId="9" fontId="14" fillId="0" borderId="0" applyFont="0" applyFill="0" applyBorder="0" applyAlignment="0" applyProtection="0"/>
    <xf numFmtId="9" fontId="24" fillId="0" borderId="0" applyFill="0" applyBorder="0" applyAlignment="0" applyProtection="0"/>
    <xf numFmtId="9" fontId="24" fillId="0" borderId="0" applyFill="0" applyBorder="0" applyAlignment="0" applyProtection="0"/>
    <xf numFmtId="9" fontId="118" fillId="0" borderId="0" applyFont="0" applyFill="0" applyBorder="0" applyAlignment="0" applyProtection="0"/>
    <xf numFmtId="9"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9" fontId="24" fillId="0" borderId="0" applyFill="0" applyBorder="0" applyAlignment="0" applyProtection="0"/>
    <xf numFmtId="9" fontId="21" fillId="0" borderId="0" applyFont="0" applyFill="0" applyBorder="0" applyAlignment="0" applyProtection="0"/>
    <xf numFmtId="9" fontId="24" fillId="0" borderId="0" applyFill="0" applyBorder="0" applyAlignment="0" applyProtection="0"/>
    <xf numFmtId="9" fontId="24" fillId="0" borderId="0" applyFill="0" applyBorder="0" applyProtection="0">
      <alignment vertical="top"/>
    </xf>
    <xf numFmtId="9" fontId="76" fillId="0" borderId="0" applyFont="0" applyFill="0" applyBorder="0" applyAlignment="0" applyProtection="0"/>
    <xf numFmtId="9" fontId="24" fillId="0" borderId="0" applyFill="0" applyBorder="0" applyProtection="0">
      <alignment vertical="top"/>
    </xf>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4" fillId="0" borderId="0" applyFill="0" applyBorder="0" applyProtection="0">
      <alignment vertical="top"/>
    </xf>
    <xf numFmtId="9" fontId="24" fillId="0" borderId="0" applyFill="0" applyBorder="0" applyProtection="0">
      <alignment vertical="top"/>
    </xf>
    <xf numFmtId="9" fontId="24" fillId="0" borderId="0" applyFont="0" applyFill="0" applyBorder="0" applyAlignment="0" applyProtection="0"/>
    <xf numFmtId="9" fontId="24" fillId="0" borderId="0" applyFill="0" applyBorder="0" applyProtection="0">
      <alignment vertical="top"/>
    </xf>
    <xf numFmtId="9" fontId="24" fillId="0" borderId="0" applyFont="0" applyFill="0" applyBorder="0" applyAlignment="0" applyProtection="0"/>
    <xf numFmtId="9" fontId="24" fillId="0" borderId="0" applyFill="0" applyBorder="0" applyProtection="0">
      <alignment vertical="top"/>
    </xf>
    <xf numFmtId="9" fontId="24" fillId="0" borderId="0" applyFont="0" applyFill="0" applyBorder="0" applyAlignment="0" applyProtection="0"/>
    <xf numFmtId="9" fontId="24" fillId="0" borderId="0" applyFill="0" applyBorder="0" applyProtection="0">
      <alignment vertical="top"/>
    </xf>
    <xf numFmtId="9" fontId="2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6"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86" fillId="0" borderId="0" applyFont="0" applyFill="0" applyBorder="0" applyAlignment="0" applyProtection="0"/>
    <xf numFmtId="9" fontId="186"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ill="0" applyBorder="0" applyProtection="0">
      <alignment vertical="top"/>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ill="0" applyBorder="0" applyProtection="0">
      <alignment vertical="top"/>
    </xf>
    <xf numFmtId="9" fontId="24"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6"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4" fillId="0" borderId="0" applyFont="0" applyFill="0" applyBorder="0" applyAlignment="0" applyProtection="0"/>
    <xf numFmtId="9" fontId="24" fillId="0" borderId="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4" fillId="0" borderId="0" applyFill="0" applyBorder="0" applyAlignment="0" applyProtection="0"/>
    <xf numFmtId="0" fontId="24" fillId="0" borderId="0"/>
    <xf numFmtId="44" fontId="24" fillId="0" borderId="0" applyFont="0" applyFill="0" applyBorder="0" applyAlignment="0" applyProtection="0"/>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4" fontId="146" fillId="0" borderId="94" applyNumberFormat="0" applyProtection="0">
      <alignment horizontal="right" vertical="center"/>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alignment vertical="top"/>
    </xf>
    <xf numFmtId="0" fontId="32" fillId="0" borderId="0">
      <alignment vertical="top"/>
    </xf>
    <xf numFmtId="0" fontId="24" fillId="0" borderId="0"/>
    <xf numFmtId="0" fontId="24" fillId="0" borderId="0"/>
    <xf numFmtId="0" fontId="24" fillId="0" borderId="0"/>
    <xf numFmtId="0" fontId="204" fillId="0" borderId="0"/>
    <xf numFmtId="0" fontId="204" fillId="0" borderId="0"/>
    <xf numFmtId="0" fontId="204"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25" fillId="0" borderId="82"/>
    <xf numFmtId="0" fontId="125" fillId="0" borderId="82"/>
    <xf numFmtId="0" fontId="125" fillId="0" borderId="82"/>
    <xf numFmtId="0" fontId="125" fillId="0" borderId="82"/>
    <xf numFmtId="0" fontId="125" fillId="0" borderId="82"/>
    <xf numFmtId="0" fontId="125" fillId="0" borderId="82"/>
    <xf numFmtId="0" fontId="125" fillId="0" borderId="82"/>
    <xf numFmtId="0" fontId="125" fillId="0" borderId="82"/>
    <xf numFmtId="0" fontId="125" fillId="0" borderId="82"/>
    <xf numFmtId="0" fontId="125" fillId="0" borderId="82"/>
    <xf numFmtId="0" fontId="125" fillId="0" borderId="82"/>
    <xf numFmtId="0" fontId="125" fillId="0" borderId="82"/>
    <xf numFmtId="0" fontId="125" fillId="0" borderId="82"/>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205" fillId="0" borderId="77"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15" fillId="0" borderId="96" applyNumberFormat="0" applyFill="0" applyAlignment="0" applyProtection="0"/>
    <xf numFmtId="0" fontId="156" fillId="0" borderId="82"/>
    <xf numFmtId="0" fontId="156" fillId="0" borderId="82"/>
    <xf numFmtId="0" fontId="156" fillId="0" borderId="82"/>
    <xf numFmtId="0" fontId="156" fillId="0" borderId="82"/>
    <xf numFmtId="0" fontId="156" fillId="0" borderId="82"/>
    <xf numFmtId="0" fontId="183" fillId="0" borderId="82"/>
    <xf numFmtId="0" fontId="183" fillId="0" borderId="82"/>
    <xf numFmtId="0" fontId="183" fillId="0" borderId="82"/>
    <xf numFmtId="0" fontId="183" fillId="0" borderId="82"/>
    <xf numFmtId="0" fontId="183" fillId="0" borderId="82"/>
    <xf numFmtId="0" fontId="183" fillId="0" borderId="82"/>
    <xf numFmtId="0" fontId="183" fillId="0" borderId="82"/>
    <xf numFmtId="0" fontId="183" fillId="0" borderId="82"/>
    <xf numFmtId="0" fontId="51" fillId="0" borderId="0">
      <alignment horizontal="left"/>
    </xf>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20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207" fillId="0" borderId="0" applyNumberFormat="0" applyFill="0" applyBorder="0" applyAlignment="0" applyProtection="0">
      <alignment vertical="top"/>
      <protection locked="0"/>
    </xf>
    <xf numFmtId="0" fontId="14" fillId="0" borderId="0"/>
    <xf numFmtId="0" fontId="14" fillId="0" borderId="0"/>
    <xf numFmtId="0" fontId="14" fillId="0" borderId="0"/>
    <xf numFmtId="9" fontId="14" fillId="0" borderId="0" applyFont="0" applyFill="0" applyBorder="0" applyAlignment="0" applyProtection="0"/>
    <xf numFmtId="0" fontId="76" fillId="0" borderId="0"/>
    <xf numFmtId="0" fontId="99" fillId="58" borderId="0" applyNumberFormat="0" applyBorder="0" applyAlignment="0" applyProtection="0"/>
    <xf numFmtId="0" fontId="99" fillId="55" borderId="0" applyNumberFormat="0" applyBorder="0" applyAlignment="0" applyProtection="0"/>
    <xf numFmtId="0" fontId="99" fillId="53" borderId="0" applyNumberFormat="0" applyBorder="0" applyAlignment="0" applyProtection="0"/>
    <xf numFmtId="0" fontId="99" fillId="47" borderId="0" applyNumberFormat="0" applyBorder="0" applyAlignment="0" applyProtection="0"/>
    <xf numFmtId="0" fontId="99" fillId="58" borderId="0" applyNumberFormat="0" applyBorder="0" applyAlignment="0" applyProtection="0"/>
    <xf numFmtId="0" fontId="99" fillId="64" borderId="0" applyNumberFormat="0" applyBorder="0" applyAlignment="0" applyProtection="0"/>
    <xf numFmtId="198" fontId="24" fillId="0" borderId="0" applyFill="0" applyBorder="0" applyAlignment="0"/>
    <xf numFmtId="0" fontId="101" fillId="66" borderId="80"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0" fontId="32" fillId="0" borderId="0">
      <alignment vertical="top"/>
    </xf>
    <xf numFmtId="43" fontId="167" fillId="0" borderId="0" applyFont="0" applyFill="0" applyBorder="0" applyAlignment="0" applyProtection="0"/>
    <xf numFmtId="194" fontId="24" fillId="0" borderId="0" applyFill="0" applyBorder="0" applyProtection="0">
      <alignment vertical="top"/>
    </xf>
    <xf numFmtId="182" fontId="24" fillId="0" borderId="0" applyFont="0" applyFill="0" applyBorder="0" applyAlignment="0" applyProtection="0"/>
    <xf numFmtId="0" fontId="125" fillId="0" borderId="82"/>
    <xf numFmtId="237" fontId="168" fillId="0" borderId="0">
      <protection locked="0"/>
    </xf>
    <xf numFmtId="0" fontId="31" fillId="0" borderId="4">
      <alignment horizontal="left" vertical="center"/>
    </xf>
    <xf numFmtId="0" fontId="150" fillId="0" borderId="86" applyNumberFormat="0" applyFill="0" applyAlignment="0" applyProtection="0"/>
    <xf numFmtId="0" fontId="151" fillId="0" borderId="87" applyNumberFormat="0" applyFill="0" applyAlignment="0" applyProtection="0"/>
    <xf numFmtId="0" fontId="152" fillId="0" borderId="89" applyNumberFormat="0" applyFill="0" applyAlignment="0" applyProtection="0"/>
    <xf numFmtId="0" fontId="152" fillId="0" borderId="0" applyNumberFormat="0" applyFill="0" applyBorder="0" applyAlignment="0" applyProtection="0"/>
    <xf numFmtId="227" fontId="24" fillId="0" borderId="0">
      <protection locked="0"/>
    </xf>
    <xf numFmtId="227" fontId="24" fillId="0" borderId="0">
      <protection locked="0"/>
    </xf>
    <xf numFmtId="0" fontId="108" fillId="55" borderId="80" applyNumberFormat="0" applyAlignment="0" applyProtection="0"/>
    <xf numFmtId="10" fontId="29" fillId="69" borderId="1" applyNumberFormat="0" applyBorder="0" applyAlignment="0" applyProtection="0"/>
    <xf numFmtId="0" fontId="156" fillId="72" borderId="82"/>
    <xf numFmtId="0" fontId="76" fillId="0" borderId="0"/>
    <xf numFmtId="0" fontId="24" fillId="0" borderId="0"/>
    <xf numFmtId="0" fontId="24" fillId="0" borderId="0"/>
    <xf numFmtId="0" fontId="76" fillId="0" borderId="0">
      <alignment vertical="top"/>
    </xf>
    <xf numFmtId="0" fontId="118" fillId="0" borderId="0"/>
    <xf numFmtId="0" fontId="118" fillId="0" borderId="0"/>
    <xf numFmtId="0" fontId="118" fillId="0" borderId="0"/>
    <xf numFmtId="0" fontId="76" fillId="49" borderId="92" applyNumberFormat="0" applyFont="0" applyAlignment="0" applyProtection="0"/>
    <xf numFmtId="0" fontId="111" fillId="66" borderId="93" applyNumberFormat="0" applyAlignment="0" applyProtection="0"/>
    <xf numFmtId="215" fontId="32" fillId="66" borderId="0">
      <alignment horizontal="right"/>
    </xf>
    <xf numFmtId="9" fontId="24" fillId="0" borderId="0" applyFont="0" applyFill="0" applyBorder="0" applyAlignment="0" applyProtection="0"/>
    <xf numFmtId="9" fontId="21" fillId="0" borderId="0" applyFont="0" applyFill="0" applyBorder="0" applyAlignment="0" applyProtection="0"/>
    <xf numFmtId="0" fontId="125" fillId="0" borderId="82"/>
    <xf numFmtId="0" fontId="115" fillId="0" borderId="97" applyNumberFormat="0" applyFill="0" applyAlignment="0" applyProtection="0"/>
    <xf numFmtId="0" fontId="156" fillId="0" borderId="82"/>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0" fontId="24" fillId="0" borderId="0">
      <alignment vertical="top"/>
    </xf>
    <xf numFmtId="0" fontId="24" fillId="0" borderId="0"/>
    <xf numFmtId="9" fontId="2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0" fontId="76" fillId="0" borderId="0"/>
    <xf numFmtId="43" fontId="24" fillId="0" borderId="0" applyFont="0" applyFill="0" applyBorder="0" applyAlignment="0" applyProtection="0"/>
    <xf numFmtId="0" fontId="24" fillId="0" borderId="0"/>
    <xf numFmtId="0" fontId="14" fillId="0" borderId="0"/>
    <xf numFmtId="0" fontId="96" fillId="0" borderId="0"/>
    <xf numFmtId="43" fontId="96" fillId="0" borderId="0" applyFont="0" applyFill="0" applyBorder="0" applyAlignment="0" applyProtection="0"/>
    <xf numFmtId="43" fontId="186"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8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0" fontId="14" fillId="0" borderId="0"/>
    <xf numFmtId="0" fontId="96" fillId="0" borderId="0"/>
    <xf numFmtId="0" fontId="76" fillId="0" borderId="0">
      <protection locked="0"/>
    </xf>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214" fontId="138" fillId="0" borderId="104" applyFont="0" applyFill="0" applyBorder="0" applyAlignment="0" applyProtection="0"/>
    <xf numFmtId="0" fontId="119" fillId="0" borderId="2" applyNumberFormat="0" applyFill="0" applyAlignment="0" applyProtection="0"/>
    <xf numFmtId="0" fontId="119" fillId="0" borderId="2" applyNumberFormat="0" applyFill="0" applyAlignment="0" applyProtection="0"/>
    <xf numFmtId="0" fontId="119" fillId="0" borderId="2" applyNumberFormat="0" applyFill="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66" borderId="105" applyNumberFormat="0" applyAlignment="0" applyProtection="0"/>
    <xf numFmtId="0" fontId="101" fillId="66" borderId="105" applyNumberFormat="0" applyAlignment="0" applyProtection="0"/>
    <xf numFmtId="0" fontId="101" fillId="66" borderId="105" applyNumberFormat="0" applyAlignment="0" applyProtection="0"/>
    <xf numFmtId="0" fontId="101" fillId="66" borderId="105" applyNumberFormat="0" applyAlignment="0" applyProtection="0"/>
    <xf numFmtId="0" fontId="101" fillId="66" borderId="105" applyNumberFormat="0" applyAlignment="0" applyProtection="0"/>
    <xf numFmtId="0" fontId="101" fillId="66" borderId="105" applyNumberFormat="0" applyAlignment="0" applyProtection="0"/>
    <xf numFmtId="0" fontId="101" fillId="66" borderId="105" applyNumberFormat="0" applyAlignment="0" applyProtection="0"/>
    <xf numFmtId="0" fontId="101" fillId="66" borderId="105" applyNumberFormat="0" applyAlignment="0" applyProtection="0"/>
    <xf numFmtId="43" fontId="98" fillId="0" borderId="0" applyFont="0" applyFill="0" applyBorder="0" applyAlignment="0" applyProtection="0"/>
    <xf numFmtId="0" fontId="125" fillId="0" borderId="106"/>
    <xf numFmtId="0" fontId="125" fillId="0" borderId="106"/>
    <xf numFmtId="0" fontId="125" fillId="0" borderId="106"/>
    <xf numFmtId="0" fontId="125" fillId="0" borderId="106"/>
    <xf numFmtId="0" fontId="125" fillId="0" borderId="106"/>
    <xf numFmtId="0" fontId="125" fillId="0" borderId="106"/>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8">
      <alignment horizontal="left" vertical="center"/>
    </xf>
    <xf numFmtId="0" fontId="31" fillId="0" borderId="108">
      <alignment horizontal="left" vertical="center"/>
    </xf>
    <xf numFmtId="178" fontId="31" fillId="0" borderId="109">
      <alignment horizontal="left" vertical="center"/>
    </xf>
    <xf numFmtId="178" fontId="31" fillId="0" borderId="109">
      <alignment horizontal="left" vertical="center"/>
    </xf>
    <xf numFmtId="178" fontId="31" fillId="0" borderId="109">
      <alignment horizontal="left" vertical="center"/>
    </xf>
    <xf numFmtId="0" fontId="31" fillId="0" borderId="109">
      <alignment horizontal="left" vertical="center"/>
    </xf>
    <xf numFmtId="178" fontId="31" fillId="0" borderId="109">
      <alignment horizontal="left" vertical="center"/>
    </xf>
    <xf numFmtId="178" fontId="31" fillId="0" borderId="109">
      <alignment horizontal="left" vertical="center"/>
    </xf>
    <xf numFmtId="178" fontId="31" fillId="0" borderId="109">
      <alignment horizontal="left" vertical="center"/>
    </xf>
    <xf numFmtId="0" fontId="31" fillId="0" borderId="109">
      <alignment horizontal="left" vertical="center"/>
    </xf>
    <xf numFmtId="178" fontId="31" fillId="0" borderId="109">
      <alignment horizontal="left" vertical="center"/>
    </xf>
    <xf numFmtId="178" fontId="31" fillId="0" borderId="109">
      <alignment horizontal="left" vertical="center"/>
    </xf>
    <xf numFmtId="0" fontId="31" fillId="0" borderId="108">
      <alignment horizontal="left" vertical="center"/>
    </xf>
    <xf numFmtId="0" fontId="31" fillId="0" borderId="108">
      <alignment horizontal="left" vertical="center"/>
    </xf>
    <xf numFmtId="0" fontId="31" fillId="0" borderId="109">
      <alignment horizontal="left" vertical="center"/>
    </xf>
    <xf numFmtId="0" fontId="108" fillId="45" borderId="105" applyNumberFormat="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70" borderId="104" applyNumberFormat="0" applyBorder="0" applyAlignment="0" applyProtection="0"/>
    <xf numFmtId="10" fontId="29" fillId="70" borderId="104" applyNumberFormat="0" applyBorder="0" applyAlignment="0" applyProtection="0"/>
    <xf numFmtId="10" fontId="29" fillId="70"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08" fillId="55" borderId="105" applyNumberFormat="0" applyAlignment="0" applyProtection="0"/>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8" fontId="11" fillId="0" borderId="0"/>
    <xf numFmtId="178" fontId="11" fillId="0" borderId="0"/>
    <xf numFmtId="178" fontId="11" fillId="0" borderId="0"/>
    <xf numFmtId="17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6"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76" fillId="49" borderId="110" applyNumberFormat="0" applyFont="0" applyAlignment="0" applyProtection="0"/>
    <xf numFmtId="0" fontId="76"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76" fillId="49" borderId="110" applyNumberFormat="0" applyFont="0" applyAlignment="0" applyProtection="0"/>
    <xf numFmtId="0" fontId="76" fillId="49" borderId="110" applyNumberFormat="0" applyFont="0" applyAlignment="0" applyProtection="0"/>
    <xf numFmtId="0" fontId="76" fillId="49" borderId="110" applyNumberFormat="0" applyFont="0" applyAlignment="0" applyProtection="0"/>
    <xf numFmtId="0" fontId="76" fillId="49" borderId="110" applyNumberFormat="0" applyFont="0" applyAlignment="0" applyProtection="0"/>
    <xf numFmtId="0" fontId="76" fillId="49" borderId="110" applyNumberFormat="0" applyFon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66" borderId="111" applyNumberFormat="0" applyAlignment="0" applyProtection="0"/>
    <xf numFmtId="0" fontId="111" fillId="66" borderId="111" applyNumberFormat="0" applyAlignment="0" applyProtection="0"/>
    <xf numFmtId="0" fontId="111" fillId="66" borderId="111" applyNumberFormat="0" applyAlignment="0" applyProtection="0"/>
    <xf numFmtId="0" fontId="111" fillId="66" borderId="111" applyNumberFormat="0" applyAlignment="0" applyProtection="0"/>
    <xf numFmtId="0" fontId="111" fillId="66" borderId="111" applyNumberFormat="0" applyAlignment="0" applyProtection="0"/>
    <xf numFmtId="0" fontId="111" fillId="66" borderId="111" applyNumberFormat="0" applyAlignment="0" applyProtection="0"/>
    <xf numFmtId="0" fontId="111" fillId="66" borderId="111" applyNumberFormat="0" applyAlignment="0" applyProtection="0"/>
    <xf numFmtId="0" fontId="111" fillId="66" borderId="111" applyNumberFormat="0" applyAlignment="0" applyProtection="0"/>
    <xf numFmtId="9" fontId="98" fillId="0" borderId="0" applyFont="0" applyFill="0" applyBorder="0" applyAlignment="0" applyProtection="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0" fontId="125" fillId="0" borderId="106"/>
    <xf numFmtId="0" fontId="125" fillId="0" borderId="106"/>
    <xf numFmtId="0" fontId="125" fillId="0" borderId="106"/>
    <xf numFmtId="0" fontId="125" fillId="0" borderId="106"/>
    <xf numFmtId="0" fontId="125" fillId="0" borderId="106"/>
    <xf numFmtId="0" fontId="125" fillId="0" borderId="106"/>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0" fontId="114" fillId="0" borderId="0" applyNumberFormat="0" applyFill="0" applyBorder="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6" applyNumberFormat="0" applyFill="0" applyAlignment="0" applyProtection="0"/>
    <xf numFmtId="0" fontId="115" fillId="0" borderId="116" applyNumberFormat="0" applyFill="0" applyAlignment="0" applyProtection="0"/>
    <xf numFmtId="0" fontId="115" fillId="0" borderId="116" applyNumberFormat="0" applyFill="0" applyAlignment="0" applyProtection="0"/>
    <xf numFmtId="0" fontId="115" fillId="0" borderId="116" applyNumberFormat="0" applyFill="0" applyAlignment="0" applyProtection="0"/>
    <xf numFmtId="0" fontId="115" fillId="0" borderId="116" applyNumberFormat="0" applyFill="0" applyAlignment="0" applyProtection="0"/>
    <xf numFmtId="0" fontId="115" fillId="0" borderId="116" applyNumberFormat="0" applyFill="0" applyAlignment="0" applyProtection="0"/>
    <xf numFmtId="0" fontId="115" fillId="0" borderId="116" applyNumberFormat="0" applyFill="0" applyAlignment="0" applyProtection="0"/>
    <xf numFmtId="0" fontId="115" fillId="0" borderId="116" applyNumberFormat="0" applyFill="0" applyAlignment="0" applyProtection="0"/>
    <xf numFmtId="0" fontId="156" fillId="0" borderId="106"/>
    <xf numFmtId="0" fontId="156" fillId="0" borderId="106"/>
    <xf numFmtId="0" fontId="156" fillId="0" borderId="106"/>
    <xf numFmtId="0" fontId="156" fillId="0" borderId="106"/>
    <xf numFmtId="0" fontId="156" fillId="0" borderId="106"/>
    <xf numFmtId="0" fontId="156" fillId="0" borderId="106"/>
    <xf numFmtId="0" fontId="11" fillId="0" borderId="0"/>
    <xf numFmtId="1" fontId="35" fillId="0" borderId="117" applyNumberFormat="0" applyFont="0" applyAlignment="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9" fontId="139" fillId="0" borderId="118" applyNumberFormat="0" applyBorder="0"/>
    <xf numFmtId="0" fontId="125" fillId="0" borderId="106"/>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83" fillId="0" borderId="106"/>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1" fillId="0" borderId="0"/>
    <xf numFmtId="0" fontId="11" fillId="0" borderId="0"/>
    <xf numFmtId="0" fontId="24" fillId="0" borderId="0"/>
    <xf numFmtId="182"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77" fillId="0" borderId="0" applyFont="0" applyFill="0" applyBorder="0" applyAlignment="0" applyProtection="0"/>
    <xf numFmtId="0" fontId="186" fillId="0" borderId="0"/>
    <xf numFmtId="43" fontId="186" fillId="0" borderId="0" applyFont="0" applyFill="0" applyBorder="0" applyAlignment="0" applyProtection="0"/>
    <xf numFmtId="0" fontId="184" fillId="0" borderId="0"/>
    <xf numFmtId="0" fontId="96" fillId="0" borderId="0"/>
    <xf numFmtId="0" fontId="97" fillId="0" borderId="0"/>
    <xf numFmtId="258" fontId="24" fillId="0" borderId="0" applyFont="0" applyFill="0" applyBorder="0" applyAlignment="0" applyProtection="0"/>
    <xf numFmtId="0" fontId="184" fillId="0" borderId="0"/>
    <xf numFmtId="9" fontId="21" fillId="0" borderId="0" applyFont="0" applyFill="0" applyBorder="0" applyAlignment="0" applyProtection="0"/>
    <xf numFmtId="0" fontId="184" fillId="0" borderId="0"/>
    <xf numFmtId="0" fontId="184" fillId="0" borderId="0"/>
    <xf numFmtId="43" fontId="184" fillId="0" borderId="0" applyFont="0" applyFill="0" applyBorder="0" applyAlignment="0" applyProtection="0"/>
    <xf numFmtId="0" fontId="186" fillId="0" borderId="0"/>
    <xf numFmtId="0" fontId="97" fillId="0" borderId="0"/>
    <xf numFmtId="0" fontId="76" fillId="0" borderId="0"/>
    <xf numFmtId="0" fontId="76" fillId="0" borderId="0"/>
    <xf numFmtId="0" fontId="76" fillId="0" borderId="0"/>
    <xf numFmtId="0" fontId="76" fillId="0" borderId="0"/>
    <xf numFmtId="0" fontId="76" fillId="0" borderId="0"/>
    <xf numFmtId="0" fontId="117" fillId="0" borderId="0"/>
    <xf numFmtId="0" fontId="76" fillId="0" borderId="0"/>
    <xf numFmtId="0" fontId="76" fillId="0" borderId="0"/>
    <xf numFmtId="0" fontId="76" fillId="0" borderId="0"/>
    <xf numFmtId="0" fontId="76" fillId="0" borderId="0"/>
    <xf numFmtId="0" fontId="30" fillId="0" borderId="0"/>
    <xf numFmtId="0" fontId="30" fillId="0" borderId="0"/>
    <xf numFmtId="0" fontId="30" fillId="0" borderId="0"/>
    <xf numFmtId="0" fontId="30" fillId="0" borderId="0"/>
    <xf numFmtId="0" fontId="30" fillId="0" borderId="0"/>
    <xf numFmtId="0" fontId="30" fillId="0" borderId="0"/>
    <xf numFmtId="0" fontId="24" fillId="0" borderId="0"/>
    <xf numFmtId="0" fontId="24" fillId="0" borderId="0"/>
    <xf numFmtId="0" fontId="24" fillId="0" borderId="0"/>
    <xf numFmtId="201" fontId="76" fillId="0" borderId="0" applyFont="0" applyFill="0" applyBorder="0" applyAlignment="0" applyProtection="0"/>
    <xf numFmtId="220" fontId="24" fillId="0" borderId="0" applyFill="0" applyBorder="0" applyAlignment="0" applyProtection="0"/>
    <xf numFmtId="201" fontId="76" fillId="0" borderId="0" applyFont="0" applyFill="0" applyBorder="0" applyAlignment="0" applyProtection="0"/>
    <xf numFmtId="201" fontId="76" fillId="0" borderId="0" applyFont="0" applyFill="0" applyBorder="0" applyAlignment="0" applyProtection="0"/>
    <xf numFmtId="202" fontId="76" fillId="0" borderId="0" applyFont="0" applyFill="0" applyBorder="0" applyAlignment="0" applyProtection="0"/>
    <xf numFmtId="221" fontId="24" fillId="0" borderId="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1" fillId="77" borderId="0" applyNumberFormat="0" applyBorder="0" applyProtection="0">
      <alignment vertical="top"/>
    </xf>
    <xf numFmtId="0" fontId="21" fillId="44" borderId="0" applyNumberFormat="0" applyBorder="0" applyAlignment="0" applyProtection="0"/>
    <xf numFmtId="0" fontId="21" fillId="77" borderId="0" applyNumberFormat="0" applyBorder="0" applyAlignment="0" applyProtection="0"/>
    <xf numFmtId="0" fontId="21" fillId="78" borderId="0" applyNumberFormat="0" applyBorder="0" applyProtection="0">
      <alignment vertical="top"/>
    </xf>
    <xf numFmtId="0" fontId="21" fillId="46" borderId="0" applyNumberFormat="0" applyBorder="0" applyAlignment="0" applyProtection="0"/>
    <xf numFmtId="0" fontId="21" fillId="78" borderId="0" applyNumberFormat="0" applyBorder="0" applyAlignment="0" applyProtection="0"/>
    <xf numFmtId="0" fontId="21" fillId="79" borderId="0" applyNumberFormat="0" applyBorder="0" applyProtection="0">
      <alignment vertical="top"/>
    </xf>
    <xf numFmtId="0" fontId="21" fillId="48" borderId="0" applyNumberFormat="0" applyBorder="0" applyAlignment="0" applyProtection="0"/>
    <xf numFmtId="0" fontId="21" fillId="79" borderId="0" applyNumberFormat="0" applyBorder="0" applyAlignment="0" applyProtection="0"/>
    <xf numFmtId="0" fontId="21" fillId="80" borderId="0" applyNumberFormat="0" applyBorder="0" applyProtection="0">
      <alignment vertical="top"/>
    </xf>
    <xf numFmtId="0" fontId="21" fillId="50" borderId="0" applyNumberFormat="0" applyBorder="0" applyAlignment="0" applyProtection="0"/>
    <xf numFmtId="0" fontId="21" fillId="80" borderId="0" applyNumberFormat="0" applyBorder="0" applyAlignment="0" applyProtection="0"/>
    <xf numFmtId="0" fontId="21" fillId="81" borderId="0" applyNumberFormat="0" applyBorder="0" applyProtection="0">
      <alignment vertical="top"/>
    </xf>
    <xf numFmtId="0" fontId="21" fillId="51" borderId="0" applyNumberFormat="0" applyBorder="0" applyAlignment="0" applyProtection="0"/>
    <xf numFmtId="0" fontId="21" fillId="81" borderId="0" applyNumberFormat="0" applyBorder="0" applyAlignment="0" applyProtection="0"/>
    <xf numFmtId="0" fontId="21" fillId="82" borderId="0" applyNumberFormat="0" applyBorder="0" applyProtection="0">
      <alignment vertical="top"/>
    </xf>
    <xf numFmtId="0" fontId="21" fillId="45" borderId="0" applyNumberFormat="0" applyBorder="0" applyAlignment="0" applyProtection="0"/>
    <xf numFmtId="0" fontId="21" fillId="82" borderId="0" applyNumberFormat="0" applyBorder="0" applyAlignment="0" applyProtection="0"/>
    <xf numFmtId="0" fontId="21" fillId="83" borderId="0" applyNumberFormat="0" applyBorder="0" applyProtection="0">
      <alignment vertical="top"/>
    </xf>
    <xf numFmtId="0" fontId="21" fillId="52" borderId="0" applyNumberFormat="0" applyBorder="0" applyAlignment="0" applyProtection="0"/>
    <xf numFmtId="0" fontId="21" fillId="83" borderId="0" applyNumberFormat="0" applyBorder="0" applyAlignment="0" applyProtection="0"/>
    <xf numFmtId="0" fontId="21" fillId="84" borderId="0" applyNumberFormat="0" applyBorder="0" applyProtection="0">
      <alignment vertical="top"/>
    </xf>
    <xf numFmtId="0" fontId="21" fillId="47" borderId="0" applyNumberFormat="0" applyBorder="0" applyAlignment="0" applyProtection="0"/>
    <xf numFmtId="0" fontId="21" fillId="84" borderId="0" applyNumberFormat="0" applyBorder="0" applyAlignment="0" applyProtection="0"/>
    <xf numFmtId="0" fontId="21" fillId="85" borderId="0" applyNumberFormat="0" applyBorder="0" applyProtection="0">
      <alignment vertical="top"/>
    </xf>
    <xf numFmtId="0" fontId="21" fillId="54" borderId="0" applyNumberFormat="0" applyBorder="0" applyAlignment="0" applyProtection="0"/>
    <xf numFmtId="0" fontId="21" fillId="85" borderId="0" applyNumberFormat="0" applyBorder="0" applyAlignment="0" applyProtection="0"/>
    <xf numFmtId="0" fontId="21" fillId="80" borderId="0" applyNumberFormat="0" applyBorder="0" applyProtection="0">
      <alignment vertical="top"/>
    </xf>
    <xf numFmtId="0" fontId="21" fillId="50" borderId="0" applyNumberFormat="0" applyBorder="0" applyAlignment="0" applyProtection="0"/>
    <xf numFmtId="0" fontId="21" fillId="80" borderId="0" applyNumberFormat="0" applyBorder="0" applyAlignment="0" applyProtection="0"/>
    <xf numFmtId="0" fontId="21" fillId="83" borderId="0" applyNumberFormat="0" applyBorder="0" applyProtection="0">
      <alignment vertical="top"/>
    </xf>
    <xf numFmtId="0" fontId="21" fillId="52" borderId="0" applyNumberFormat="0" applyBorder="0" applyAlignment="0" applyProtection="0"/>
    <xf numFmtId="0" fontId="21" fillId="83" borderId="0" applyNumberFormat="0" applyBorder="0" applyAlignment="0" applyProtection="0"/>
    <xf numFmtId="0" fontId="21" fillId="86" borderId="0" applyNumberFormat="0" applyBorder="0" applyProtection="0">
      <alignment vertical="top"/>
    </xf>
    <xf numFmtId="0" fontId="21" fillId="56" borderId="0" applyNumberFormat="0" applyBorder="0" applyAlignment="0" applyProtection="0"/>
    <xf numFmtId="0" fontId="21" fillId="86" borderId="0" applyNumberFormat="0" applyBorder="0" applyAlignment="0" applyProtection="0"/>
    <xf numFmtId="0" fontId="99" fillId="87" borderId="0" applyNumberFormat="0" applyBorder="0" applyProtection="0">
      <alignment vertical="top"/>
    </xf>
    <xf numFmtId="0" fontId="99" fillId="87" borderId="0" applyNumberFormat="0" applyBorder="0" applyAlignment="0" applyProtection="0"/>
    <xf numFmtId="0" fontId="99" fillId="84" borderId="0" applyNumberFormat="0" applyBorder="0" applyProtection="0">
      <alignment vertical="top"/>
    </xf>
    <xf numFmtId="0" fontId="99" fillId="84" borderId="0" applyNumberFormat="0" applyBorder="0" applyAlignment="0" applyProtection="0"/>
    <xf numFmtId="0" fontId="99" fillId="85" borderId="0" applyNumberFormat="0" applyBorder="0" applyProtection="0">
      <alignment vertical="top"/>
    </xf>
    <xf numFmtId="0" fontId="99" fillId="85" borderId="0" applyNumberFormat="0" applyBorder="0" applyAlignment="0" applyProtection="0"/>
    <xf numFmtId="0" fontId="99" fillId="88" borderId="0" applyNumberFormat="0" applyBorder="0" applyProtection="0">
      <alignment vertical="top"/>
    </xf>
    <xf numFmtId="0" fontId="99" fillId="88" borderId="0" applyNumberFormat="0" applyBorder="0" applyAlignment="0" applyProtection="0"/>
    <xf numFmtId="0" fontId="99" fillId="89" borderId="0" applyNumberFormat="0" applyBorder="0" applyProtection="0">
      <alignment vertical="top"/>
    </xf>
    <xf numFmtId="0" fontId="99" fillId="89" borderId="0" applyNumberFormat="0" applyBorder="0" applyAlignment="0" applyProtection="0"/>
    <xf numFmtId="0" fontId="99" fillId="90" borderId="0" applyNumberFormat="0" applyBorder="0" applyProtection="0">
      <alignment vertical="top"/>
    </xf>
    <xf numFmtId="0" fontId="99" fillId="90" borderId="0" applyNumberFormat="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214" fontId="138" fillId="0" borderId="104" applyFont="0" applyFill="0" applyBorder="0" applyAlignment="0" applyProtection="0"/>
    <xf numFmtId="0" fontId="99" fillId="91" borderId="0" applyNumberFormat="0" applyBorder="0" applyProtection="0">
      <alignment vertical="top"/>
    </xf>
    <xf numFmtId="0" fontId="99" fillId="91" borderId="0" applyNumberFormat="0" applyBorder="0" applyAlignment="0" applyProtection="0"/>
    <xf numFmtId="0" fontId="99" fillId="92" borderId="0" applyNumberFormat="0" applyBorder="0" applyProtection="0">
      <alignment vertical="top"/>
    </xf>
    <xf numFmtId="0" fontId="99" fillId="92" borderId="0" applyNumberFormat="0" applyBorder="0" applyAlignment="0" applyProtection="0"/>
    <xf numFmtId="0" fontId="99" fillId="93" borderId="0" applyNumberFormat="0" applyBorder="0" applyProtection="0">
      <alignment vertical="top"/>
    </xf>
    <xf numFmtId="0" fontId="99" fillId="93" borderId="0" applyNumberFormat="0" applyBorder="0" applyAlignment="0" applyProtection="0"/>
    <xf numFmtId="0" fontId="99" fillId="88" borderId="0" applyNumberFormat="0" applyBorder="0" applyProtection="0">
      <alignment vertical="top"/>
    </xf>
    <xf numFmtId="0" fontId="99" fillId="88" borderId="0" applyNumberFormat="0" applyBorder="0" applyAlignment="0" applyProtection="0"/>
    <xf numFmtId="0" fontId="99" fillId="89" borderId="0" applyNumberFormat="0" applyBorder="0" applyProtection="0">
      <alignment vertical="top"/>
    </xf>
    <xf numFmtId="0" fontId="99" fillId="89" borderId="0" applyNumberFormat="0" applyBorder="0" applyAlignment="0" applyProtection="0"/>
    <xf numFmtId="0" fontId="99" fillId="94" borderId="0" applyNumberFormat="0" applyBorder="0" applyProtection="0">
      <alignment vertical="top"/>
    </xf>
    <xf numFmtId="0" fontId="99" fillId="94" borderId="0" applyNumberFormat="0" applyBorder="0" applyAlignment="0" applyProtection="0"/>
    <xf numFmtId="0" fontId="100" fillId="78" borderId="0" applyNumberFormat="0" applyBorder="0" applyProtection="0">
      <alignment vertical="top"/>
    </xf>
    <xf numFmtId="0" fontId="100" fillId="78" borderId="0" applyNumberFormat="0" applyBorder="0" applyAlignment="0" applyProtection="0"/>
    <xf numFmtId="0" fontId="155" fillId="0" borderId="0" applyNumberFormat="0" applyFill="0" applyBorder="0" applyAlignment="0" applyProtection="0"/>
    <xf numFmtId="0" fontId="128" fillId="0" borderId="0" applyNumberFormat="0" applyFill="0" applyBorder="0" applyAlignment="0" applyProtection="0"/>
    <xf numFmtId="0" fontId="119" fillId="0" borderId="124" applyNumberFormat="0" applyFill="0" applyAlignment="0" applyProtection="0"/>
    <xf numFmtId="0" fontId="119" fillId="0" borderId="124" applyNumberFormat="0" applyFill="0" applyAlignment="0" applyProtection="0"/>
    <xf numFmtId="0" fontId="119" fillId="0" borderId="124" applyNumberFormat="0" applyFill="0" applyAlignment="0" applyProtection="0"/>
    <xf numFmtId="0" fontId="119" fillId="0" borderId="68" applyNumberFormat="0" applyFill="0" applyAlignment="0" applyProtection="0"/>
    <xf numFmtId="0" fontId="119" fillId="0" borderId="68" applyNumberFormat="0" applyFill="0" applyAlignment="0" applyProtection="0"/>
    <xf numFmtId="0" fontId="119" fillId="0" borderId="68" applyNumberFormat="0" applyFill="0" applyAlignment="0" applyProtection="0"/>
    <xf numFmtId="0" fontId="119" fillId="0" borderId="68" applyNumberFormat="0" applyFill="0" applyAlignment="0" applyProtection="0"/>
    <xf numFmtId="0" fontId="119" fillId="0" borderId="68" applyNumberFormat="0" applyFill="0" applyAlignment="0" applyProtection="0"/>
    <xf numFmtId="0" fontId="119" fillId="0" borderId="68" applyNumberFormat="0" applyFill="0" applyAlignment="0" applyProtection="0"/>
    <xf numFmtId="0" fontId="119" fillId="0" borderId="124" applyNumberFormat="0" applyFill="0" applyAlignment="0" applyProtection="0"/>
    <xf numFmtId="0" fontId="119" fillId="0" borderId="68" applyNumberFormat="0" applyFill="0" applyAlignment="0" applyProtection="0"/>
    <xf numFmtId="0" fontId="119" fillId="0" borderId="68" applyNumberFormat="0" applyFill="0" applyAlignment="0" applyProtection="0"/>
    <xf numFmtId="0" fontId="119" fillId="0" borderId="68" applyNumberFormat="0" applyFill="0" applyAlignment="0" applyProtection="0"/>
    <xf numFmtId="0" fontId="119" fillId="0" borderId="68" applyNumberFormat="0" applyFill="0" applyAlignment="0" applyProtection="0"/>
    <xf numFmtId="0" fontId="119" fillId="0" borderId="68" applyNumberFormat="0" applyFill="0" applyAlignment="0" applyProtection="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1" fontId="35" fillId="0" borderId="117" applyNumberFormat="0" applyFont="0" applyAlignment="0"/>
    <xf numFmtId="203" fontId="76" fillId="0" borderId="0" applyFont="0" applyFill="0" applyBorder="0" applyAlignment="0" applyProtection="0"/>
    <xf numFmtId="222" fontId="24" fillId="0" borderId="0" applyFill="0" applyBorder="0" applyAlignment="0" applyProtection="0"/>
    <xf numFmtId="203" fontId="76" fillId="0" borderId="0" applyFont="0" applyFill="0" applyBorder="0" applyAlignment="0" applyProtection="0"/>
    <xf numFmtId="203" fontId="76" fillId="0" borderId="0" applyFont="0" applyFill="0" applyBorder="0" applyAlignment="0" applyProtection="0"/>
    <xf numFmtId="198" fontId="24" fillId="0" borderId="0" applyFill="0" applyBorder="0" applyAlignment="0"/>
    <xf numFmtId="212" fontId="24" fillId="0" borderId="0" applyFill="0" applyBorder="0" applyAlignment="0"/>
    <xf numFmtId="198" fontId="24" fillId="0" borderId="0" applyFill="0" applyBorder="0" applyAlignment="0"/>
    <xf numFmtId="190" fontId="29" fillId="0" borderId="0" applyFill="0" applyBorder="0" applyAlignment="0"/>
    <xf numFmtId="212" fontId="24" fillId="0" borderId="0" applyFill="0" applyBorder="0" applyAlignment="0"/>
    <xf numFmtId="198" fontId="24" fillId="0" borderId="0" applyFill="0" applyBorder="0" applyAlignment="0"/>
    <xf numFmtId="198" fontId="24" fillId="0" borderId="0" applyFill="0" applyBorder="0" applyAlignment="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90" fillId="17" borderId="72"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90" fillId="17" borderId="72"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90" fillId="17" borderId="72"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68" borderId="105" applyNumberFormat="0" applyProtection="0">
      <alignment vertical="top"/>
    </xf>
    <xf numFmtId="0" fontId="101" fillId="68" borderId="105" applyNumberFormat="0" applyProtection="0">
      <alignment vertical="top"/>
    </xf>
    <xf numFmtId="0" fontId="101" fillId="68" borderId="105" applyNumberFormat="0" applyProtection="0">
      <alignment vertical="top"/>
    </xf>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1" fillId="53" borderId="105" applyNumberFormat="0" applyAlignment="0" applyProtection="0"/>
    <xf numFmtId="0" fontId="102" fillId="95" borderId="81" applyNumberFormat="0" applyProtection="0">
      <alignment vertical="top"/>
    </xf>
    <xf numFmtId="0" fontId="102" fillId="95" borderId="81" applyNumberFormat="0" applyAlignment="0" applyProtection="0"/>
    <xf numFmtId="0" fontId="125" fillId="0" borderId="0"/>
    <xf numFmtId="232" fontId="161" fillId="0" borderId="0"/>
    <xf numFmtId="232" fontId="161" fillId="0" borderId="0"/>
    <xf numFmtId="0" fontId="125" fillId="0" borderId="0"/>
    <xf numFmtId="0" fontId="125" fillId="0" borderId="0"/>
    <xf numFmtId="0" fontId="30" fillId="0" borderId="0"/>
    <xf numFmtId="0" fontId="30" fillId="0" borderId="0"/>
    <xf numFmtId="0" fontId="125" fillId="0" borderId="0"/>
    <xf numFmtId="232" fontId="161" fillId="0" borderId="0"/>
    <xf numFmtId="232" fontId="161" fillId="0" borderId="0"/>
    <xf numFmtId="0" fontId="125" fillId="0" borderId="0"/>
    <xf numFmtId="0" fontId="125" fillId="0" borderId="0"/>
    <xf numFmtId="0" fontId="30" fillId="0" borderId="0"/>
    <xf numFmtId="0" fontId="30" fillId="0" borderId="0"/>
    <xf numFmtId="0" fontId="125" fillId="0" borderId="0"/>
    <xf numFmtId="232" fontId="161" fillId="0" borderId="0"/>
    <xf numFmtId="232" fontId="161" fillId="0" borderId="0"/>
    <xf numFmtId="0" fontId="125" fillId="0" borderId="0"/>
    <xf numFmtId="0" fontId="125" fillId="0" borderId="0"/>
    <xf numFmtId="0" fontId="30" fillId="0" borderId="0"/>
    <xf numFmtId="0" fontId="30" fillId="0" borderId="0"/>
    <xf numFmtId="0" fontId="125" fillId="0" borderId="0"/>
    <xf numFmtId="232" fontId="161" fillId="0" borderId="0"/>
    <xf numFmtId="232" fontId="161" fillId="0" borderId="0"/>
    <xf numFmtId="0" fontId="125" fillId="0" borderId="0"/>
    <xf numFmtId="0" fontId="125" fillId="0" borderId="0"/>
    <xf numFmtId="0" fontId="30" fillId="0" borderId="0"/>
    <xf numFmtId="0" fontId="30" fillId="0" borderId="0"/>
    <xf numFmtId="0" fontId="125" fillId="0" borderId="0"/>
    <xf numFmtId="232" fontId="161" fillId="0" borderId="0"/>
    <xf numFmtId="232" fontId="161" fillId="0" borderId="0"/>
    <xf numFmtId="0" fontId="125" fillId="0" borderId="0"/>
    <xf numFmtId="0" fontId="125" fillId="0" borderId="0"/>
    <xf numFmtId="0" fontId="30" fillId="0" borderId="0"/>
    <xf numFmtId="0" fontId="30" fillId="0" borderId="0"/>
    <xf numFmtId="0" fontId="125" fillId="0" borderId="0"/>
    <xf numFmtId="232" fontId="161" fillId="0" borderId="0"/>
    <xf numFmtId="232" fontId="161" fillId="0" borderId="0"/>
    <xf numFmtId="0" fontId="125" fillId="0" borderId="0"/>
    <xf numFmtId="0" fontId="125" fillId="0" borderId="0"/>
    <xf numFmtId="0" fontId="30" fillId="0" borderId="0"/>
    <xf numFmtId="0" fontId="30" fillId="0" borderId="0"/>
    <xf numFmtId="0" fontId="125" fillId="0" borderId="0"/>
    <xf numFmtId="232" fontId="161" fillId="0" borderId="0"/>
    <xf numFmtId="232" fontId="161" fillId="0" borderId="0"/>
    <xf numFmtId="0" fontId="125" fillId="0" borderId="0"/>
    <xf numFmtId="0" fontId="125" fillId="0" borderId="0"/>
    <xf numFmtId="0" fontId="30" fillId="0" borderId="0"/>
    <xf numFmtId="0" fontId="30" fillId="0" borderId="0"/>
    <xf numFmtId="0" fontId="125" fillId="0" borderId="0"/>
    <xf numFmtId="232" fontId="161" fillId="0" borderId="0"/>
    <xf numFmtId="232" fontId="161" fillId="0" borderId="0"/>
    <xf numFmtId="0" fontId="125" fillId="0" borderId="0"/>
    <xf numFmtId="0" fontId="125" fillId="0" borderId="0"/>
    <xf numFmtId="0" fontId="30" fillId="0" borderId="0"/>
    <xf numFmtId="0" fontId="30" fillId="0" borderId="0"/>
    <xf numFmtId="211"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4" fillId="0" borderId="0" applyFont="0" applyFill="0" applyBorder="0" applyAlignment="0" applyProtection="0"/>
    <xf numFmtId="43" fontId="9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19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43" fontId="210"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43" fontId="186"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43" fontId="186" fillId="0" borderId="0" applyFont="0" applyFill="0" applyBorder="0" applyAlignment="0" applyProtection="0"/>
    <xf numFmtId="0" fontId="24" fillId="0" borderId="0" applyFont="0" applyFill="0" applyBorder="0" applyAlignment="0" applyProtection="0"/>
    <xf numFmtId="43" fontId="21"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182" fontId="24" fillId="0" borderId="0" applyFont="0" applyFill="0" applyBorder="0" applyAlignment="0" applyProtection="0"/>
    <xf numFmtId="0" fontId="24" fillId="0" borderId="0" applyFont="0" applyFill="0" applyBorder="0" applyAlignment="0" applyProtection="0"/>
    <xf numFmtId="182"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ill="0" applyBorder="0" applyAlignment="0" applyProtection="0"/>
    <xf numFmtId="0"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4" fillId="0" borderId="0" applyFont="0" applyFill="0" applyBorder="0" applyAlignment="0" applyProtection="0"/>
    <xf numFmtId="258" fontId="24" fillId="0" borderId="0" applyFont="0" applyFill="0" applyBorder="0" applyAlignment="0" applyProtection="0"/>
    <xf numFmtId="43" fontId="96" fillId="0" borderId="0" applyFont="0" applyFill="0" applyBorder="0" applyAlignment="0" applyProtection="0"/>
    <xf numFmtId="194" fontId="24" fillId="0" borderId="0" applyFill="0" applyBorder="0" applyProtection="0">
      <alignment vertical="top"/>
    </xf>
    <xf numFmtId="194" fontId="24" fillId="0" borderId="0" applyFill="0" applyBorder="0" applyAlignment="0" applyProtection="0"/>
    <xf numFmtId="194" fontId="24" fillId="0" borderId="0" applyFill="0" applyBorder="0" applyProtection="0">
      <alignment vertical="top"/>
    </xf>
    <xf numFmtId="165" fontId="21" fillId="0" borderId="0" applyFont="0" applyFill="0" applyBorder="0" applyAlignment="0" applyProtection="0"/>
    <xf numFmtId="165" fontId="21" fillId="0" borderId="0" applyFont="0" applyFill="0" applyBorder="0" applyAlignment="0" applyProtection="0"/>
    <xf numFmtId="194" fontId="24" fillId="0" borderId="0" applyFill="0" applyBorder="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6" fillId="0" borderId="0" applyFont="0" applyFill="0" applyBorder="0" applyAlignment="0" applyProtection="0"/>
    <xf numFmtId="43" fontId="21" fillId="0" borderId="0" applyFont="0" applyFill="0" applyBorder="0" applyAlignment="0" applyProtection="0"/>
    <xf numFmtId="194" fontId="24" fillId="0" borderId="0" applyFill="0" applyBorder="0" applyProtection="0">
      <alignment vertical="top"/>
    </xf>
    <xf numFmtId="43" fontId="21" fillId="0" borderId="0" applyFont="0" applyFill="0" applyBorder="0" applyAlignment="0" applyProtection="0"/>
    <xf numFmtId="43" fontId="21" fillId="0" borderId="0" applyFont="0" applyFill="0" applyBorder="0" applyAlignment="0" applyProtection="0"/>
    <xf numFmtId="164" fontId="24" fillId="0" borderId="0" applyFont="0" applyFill="0" applyBorder="0" applyAlignment="0" applyProtection="0"/>
    <xf numFmtId="43" fontId="7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58"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6" fillId="0" borderId="0" applyFont="0" applyFill="0" applyBorder="0" applyAlignment="0" applyProtection="0"/>
    <xf numFmtId="258" fontId="24" fillId="0" borderId="0" applyFont="0" applyFill="0" applyBorder="0" applyAlignment="0" applyProtection="0"/>
    <xf numFmtId="43" fontId="96" fillId="0" borderId="0" applyFont="0" applyFill="0" applyBorder="0" applyAlignment="0" applyProtection="0"/>
    <xf numFmtId="43" fontId="9"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58" fontId="24"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58" fontId="24" fillId="0" borderId="0" applyFont="0" applyFill="0" applyBorder="0" applyAlignment="0" applyProtection="0"/>
    <xf numFmtId="43" fontId="96"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43" fontId="9" fillId="0" borderId="0" applyFont="0" applyFill="0" applyBorder="0" applyAlignment="0" applyProtection="0"/>
    <xf numFmtId="43" fontId="96" fillId="0" borderId="0" applyFont="0" applyFill="0" applyBorder="0" applyAlignment="0" applyProtection="0"/>
    <xf numFmtId="194" fontId="24" fillId="0" borderId="0" applyFill="0" applyBorder="0" applyProtection="0">
      <alignment vertical="top"/>
    </xf>
    <xf numFmtId="165" fontId="21" fillId="0" borderId="0" applyFont="0" applyFill="0" applyBorder="0" applyAlignment="0" applyProtection="0"/>
    <xf numFmtId="43" fontId="24" fillId="0" borderId="0" applyFont="0" applyFill="0" applyBorder="0" applyAlignment="0" applyProtection="0"/>
    <xf numFmtId="242" fontId="24" fillId="0" borderId="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 fillId="0" borderId="0" applyFont="0" applyFill="0" applyBorder="0" applyAlignment="0" applyProtection="0"/>
    <xf numFmtId="25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76" fillId="0" borderId="0" applyFont="0" applyFill="0" applyBorder="0" applyAlignment="0" applyProtection="0"/>
    <xf numFmtId="194" fontId="24" fillId="0" borderId="0" applyFill="0" applyBorder="0" applyAlignment="0" applyProtection="0"/>
    <xf numFmtId="194" fontId="24" fillId="0" borderId="0" applyFill="0" applyBorder="0" applyAlignment="0" applyProtection="0"/>
    <xf numFmtId="175" fontId="21" fillId="0" borderId="0" applyFont="0" applyFill="0" applyBorder="0" applyAlignment="0" applyProtection="0"/>
    <xf numFmtId="194" fontId="24" fillId="0" borderId="0" applyFill="0" applyBorder="0" applyAlignment="0" applyProtection="0"/>
    <xf numFmtId="167" fontId="24" fillId="0" borderId="0" applyFill="0" applyBorder="0" applyAlignment="0" applyProtection="0"/>
    <xf numFmtId="167" fontId="24" fillId="0" borderId="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250" fontId="24" fillId="0" borderId="0" applyFont="0" applyFill="0" applyBorder="0" applyAlignment="0" applyProtection="0"/>
    <xf numFmtId="258" fontId="24" fillId="0" borderId="0" applyFont="0" applyFill="0" applyBorder="0" applyAlignment="0" applyProtection="0"/>
    <xf numFmtId="194" fontId="24" fillId="0" borderId="0" applyFill="0" applyBorder="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58"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50" fontId="24"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5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194" fontId="24" fillId="0" borderId="0" applyFill="0" applyBorder="0" applyAlignment="0" applyProtection="0"/>
    <xf numFmtId="43" fontId="9"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76" fillId="0" borderId="0" applyFont="0" applyFill="0" applyBorder="0" applyAlignment="0" applyProtection="0"/>
    <xf numFmtId="43" fontId="96" fillId="0" borderId="0" applyFont="0" applyFill="0" applyBorder="0" applyAlignment="0" applyProtection="0"/>
    <xf numFmtId="43" fontId="7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5"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4" fontId="24" fillId="0" borderId="0" applyFill="0" applyBorder="0" applyProtection="0">
      <alignment vertical="top"/>
    </xf>
    <xf numFmtId="43" fontId="21" fillId="0" borderId="0" applyFont="0" applyFill="0" applyBorder="0" applyAlignment="0" applyProtection="0"/>
    <xf numFmtId="43" fontId="97"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0" fontId="24" fillId="0" borderId="0" applyFill="0" applyBorder="0" applyProtection="0">
      <alignment vertical="top"/>
    </xf>
    <xf numFmtId="43" fontId="9" fillId="0" borderId="0" applyFont="0" applyFill="0" applyBorder="0" applyAlignment="0" applyProtection="0"/>
    <xf numFmtId="0"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32" fillId="0" borderId="0">
      <alignment vertical="top"/>
    </xf>
    <xf numFmtId="165" fontId="21" fillId="0" borderId="0" applyFont="0" applyFill="0" applyBorder="0" applyAlignment="0" applyProtection="0"/>
    <xf numFmtId="43" fontId="97" fillId="0" borderId="0" applyFont="0" applyFill="0" applyBorder="0" applyAlignment="0" applyProtection="0"/>
    <xf numFmtId="43" fontId="24" fillId="0" borderId="0" applyFont="0" applyFill="0" applyBorder="0" applyAlignment="0" applyProtection="0"/>
    <xf numFmtId="194" fontId="24" fillId="0" borderId="0" applyFill="0" applyBorder="0" applyProtection="0">
      <alignment vertical="top"/>
    </xf>
    <xf numFmtId="194" fontId="24" fillId="0" borderId="0" applyFill="0" applyBorder="0" applyProtection="0">
      <alignment vertical="top"/>
    </xf>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1" fillId="0" borderId="0" applyFont="0" applyFill="0" applyBorder="0" applyAlignment="0" applyProtection="0"/>
    <xf numFmtId="43" fontId="24"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182"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2" fontId="2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86" fillId="0" borderId="0" applyFont="0" applyFill="0" applyBorder="0" applyAlignment="0" applyProtection="0"/>
    <xf numFmtId="43" fontId="97" fillId="0" borderId="0" applyFont="0" applyFill="0" applyBorder="0" applyAlignment="0" applyProtection="0"/>
    <xf numFmtId="43" fontId="7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7" fillId="0" borderId="0" applyFont="0" applyFill="0" applyBorder="0" applyAlignment="0" applyProtection="0"/>
    <xf numFmtId="43" fontId="7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86" fillId="0" borderId="0" applyFont="0" applyFill="0" applyBorder="0" applyAlignment="0" applyProtection="0"/>
    <xf numFmtId="43" fontId="24" fillId="0" borderId="0" applyFont="0" applyFill="0" applyBorder="0" applyAlignment="0" applyProtection="0"/>
    <xf numFmtId="43" fontId="32" fillId="0" borderId="0" applyFont="0" applyFill="0" applyBorder="0" applyAlignment="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76" fillId="0" borderId="0" applyFont="0" applyFill="0" applyBorder="0" applyAlignment="0" applyProtection="0"/>
    <xf numFmtId="43" fontId="21" fillId="0" borderId="0" applyFont="0" applyFill="0" applyBorder="0" applyAlignment="0" applyProtection="0"/>
    <xf numFmtId="167" fontId="80" fillId="0" borderId="0" applyFont="0" applyFill="0" applyBorder="0" applyAlignment="0" applyProtection="0"/>
    <xf numFmtId="194" fontId="24" fillId="0" borderId="0" applyFill="0" applyBorder="0" applyProtection="0">
      <alignment vertical="top"/>
    </xf>
    <xf numFmtId="182" fontId="24" fillId="0" borderId="0" applyFont="0" applyFill="0" applyBorder="0" applyAlignment="0" applyProtection="0"/>
    <xf numFmtId="43" fontId="186" fillId="0" borderId="0" applyFont="0" applyFill="0" applyBorder="0" applyAlignment="0" applyProtection="0"/>
    <xf numFmtId="182" fontId="24" fillId="0" borderId="0" applyFont="0" applyFill="0" applyBorder="0" applyAlignment="0" applyProtection="0"/>
    <xf numFmtId="43" fontId="2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96" fillId="0" borderId="0" applyFont="0" applyFill="0" applyBorder="0" applyAlignment="0" applyProtection="0"/>
    <xf numFmtId="43" fontId="186" fillId="0" borderId="0" applyFont="0" applyFill="0" applyBorder="0" applyAlignment="0" applyProtection="0"/>
    <xf numFmtId="165" fontId="24" fillId="0" borderId="0" applyFont="0" applyFill="0" applyBorder="0" applyAlignment="0" applyProtection="0"/>
    <xf numFmtId="43" fontId="9" fillId="0" borderId="0" applyFont="0" applyFill="0" applyBorder="0" applyAlignment="0" applyProtection="0"/>
    <xf numFmtId="43" fontId="18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6" fillId="0" borderId="0" applyFont="0" applyFill="0" applyBorder="0" applyAlignment="0" applyProtection="0"/>
    <xf numFmtId="43" fontId="186" fillId="0" borderId="0" applyFont="0" applyFill="0" applyBorder="0" applyAlignment="0" applyProtection="0"/>
    <xf numFmtId="165"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24" fillId="0" borderId="0" applyFont="0" applyFill="0" applyBorder="0" applyAlignment="0" applyProtection="0"/>
    <xf numFmtId="194" fontId="24" fillId="0" borderId="0" applyFill="0" applyBorder="0" applyProtection="0">
      <alignment vertical="top"/>
    </xf>
    <xf numFmtId="165" fontId="21" fillId="0" borderId="0" applyFont="0" applyFill="0" applyBorder="0" applyAlignment="0" applyProtection="0"/>
    <xf numFmtId="194" fontId="24" fillId="0" borderId="0" applyFill="0" applyBorder="0" applyProtection="0">
      <alignment vertical="top"/>
    </xf>
    <xf numFmtId="245" fontId="24" fillId="0" borderId="0" applyFill="0" applyBorder="0" applyProtection="0">
      <alignment vertical="top"/>
    </xf>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6" fillId="0" borderId="0" applyFont="0" applyFill="0" applyBorder="0" applyAlignment="0" applyProtection="0"/>
    <xf numFmtId="43" fontId="97" fillId="0" borderId="0" applyFont="0" applyFill="0" applyBorder="0" applyAlignment="0" applyProtection="0"/>
    <xf numFmtId="43" fontId="76" fillId="0" borderId="0" applyFont="0" applyFill="0" applyBorder="0" applyAlignment="0" applyProtection="0"/>
    <xf numFmtId="43" fontId="9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5" fontId="24" fillId="0" borderId="0" applyFont="0" applyFill="0" applyBorder="0" applyAlignment="0" applyProtection="0"/>
    <xf numFmtId="230" fontId="24" fillId="0" borderId="0" applyFill="0" applyBorder="0" applyProtection="0">
      <alignment vertical="top"/>
    </xf>
    <xf numFmtId="43" fontId="21" fillId="0" borderId="0" applyFont="0" applyFill="0" applyBorder="0" applyAlignment="0" applyProtection="0"/>
    <xf numFmtId="43" fontId="21" fillId="0" borderId="0" applyFont="0" applyFill="0" applyBorder="0" applyAlignment="0" applyProtection="0"/>
    <xf numFmtId="175" fontId="24" fillId="0" borderId="0" applyFont="0" applyFill="0" applyBorder="0" applyAlignment="0" applyProtection="0"/>
    <xf numFmtId="167" fontId="8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43" fontId="78" fillId="0" borderId="0" applyFont="0" applyFill="0" applyBorder="0" applyAlignment="0" applyProtection="0"/>
    <xf numFmtId="194" fontId="24" fillId="0" borderId="0" applyFill="0" applyBorder="0" applyProtection="0">
      <alignment vertical="top"/>
    </xf>
    <xf numFmtId="199" fontId="24" fillId="0" borderId="0" applyFont="0" applyFill="0" applyBorder="0" applyAlignment="0" applyProtection="0"/>
    <xf numFmtId="43" fontId="24" fillId="0" borderId="0" applyFont="0" applyFill="0" applyBorder="0" applyAlignment="0" applyProtection="0"/>
    <xf numFmtId="199"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4" fontId="24" fillId="0" borderId="0" applyFill="0" applyBorder="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4" fontId="24" fillId="0" borderId="0" applyFill="0" applyBorder="0" applyProtection="0">
      <alignment vertical="top"/>
    </xf>
    <xf numFmtId="43" fontId="24" fillId="0" borderId="0" applyFont="0" applyFill="0" applyBorder="0" applyAlignment="0" applyProtection="0"/>
    <xf numFmtId="167" fontId="80"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80" fillId="0" borderId="0" applyFont="0" applyFill="0" applyBorder="0" applyAlignment="0" applyProtection="0"/>
    <xf numFmtId="43" fontId="76" fillId="0" borderId="0" applyFont="0" applyFill="0" applyBorder="0" applyAlignment="0" applyProtection="0"/>
    <xf numFmtId="165" fontId="8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6" fillId="0" borderId="0" applyFont="0" applyFill="0" applyBorder="0" applyAlignment="0" applyProtection="0"/>
    <xf numFmtId="43" fontId="9"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9" fillId="0" borderId="0" applyFont="0" applyFill="0" applyBorder="0" applyAlignment="0" applyProtection="0"/>
    <xf numFmtId="43" fontId="18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6" fillId="0" borderId="0" applyFont="0" applyFill="0" applyBorder="0" applyAlignment="0" applyProtection="0"/>
    <xf numFmtId="43" fontId="9" fillId="0" borderId="0" applyFon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238" fontId="24" fillId="0" borderId="0" applyFont="0" applyFill="0" applyBorder="0" applyAlignment="0" applyProtection="0"/>
    <xf numFmtId="44" fontId="9" fillId="0" borderId="0" applyFont="0" applyFill="0" applyBorder="0" applyAlignment="0" applyProtection="0"/>
    <xf numFmtId="223" fontId="24" fillId="0" borderId="0" applyFill="0" applyBorder="0" applyProtection="0">
      <alignment vertical="top"/>
    </xf>
    <xf numFmtId="254" fontId="24" fillId="0" borderId="0" applyFont="0" applyFill="0" applyBorder="0" applyAlignment="0" applyProtection="0"/>
    <xf numFmtId="254" fontId="24" fillId="0" borderId="0" applyFont="0" applyFill="0" applyBorder="0" applyAlignment="0" applyProtection="0"/>
    <xf numFmtId="255" fontId="76" fillId="0" borderId="0" applyFont="0" applyFill="0" applyBorder="0" applyAlignment="0" applyProtection="0"/>
    <xf numFmtId="255" fontId="76" fillId="0" borderId="0" applyFon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204" fontId="76" fillId="0" borderId="0" applyFont="0" applyFill="0" applyBorder="0" applyAlignment="0" applyProtection="0"/>
    <xf numFmtId="224" fontId="24" fillId="0" borderId="0" applyFill="0" applyBorder="0" applyAlignment="0" applyProtection="0"/>
    <xf numFmtId="204" fontId="76" fillId="0" borderId="0" applyFont="0" applyFill="0" applyBorder="0" applyAlignment="0" applyProtection="0"/>
    <xf numFmtId="204" fontId="76" fillId="0" borderId="0" applyFont="0" applyFill="0" applyBorder="0" applyAlignment="0" applyProtection="0"/>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172" fontId="76" fillId="0" borderId="0">
      <protection locked="0"/>
    </xf>
    <xf numFmtId="172" fontId="76" fillId="0" borderId="0">
      <protection locked="0"/>
    </xf>
    <xf numFmtId="237" fontId="168" fillId="0" borderId="0">
      <protection locked="0"/>
    </xf>
    <xf numFmtId="237" fontId="168" fillId="0" borderId="0">
      <protection locked="0"/>
    </xf>
    <xf numFmtId="237" fontId="168" fillId="0" borderId="0">
      <protection locked="0"/>
    </xf>
    <xf numFmtId="172" fontId="76" fillId="0" borderId="0">
      <protection locked="0"/>
    </xf>
    <xf numFmtId="208" fontId="77" fillId="0" borderId="0"/>
    <xf numFmtId="189" fontId="30" fillId="0" borderId="0" applyFont="0" applyFill="0" applyBorder="0" applyAlignment="0" applyProtection="0"/>
    <xf numFmtId="198" fontId="24" fillId="0" borderId="0" applyFill="0" applyBorder="0" applyAlignment="0"/>
    <xf numFmtId="187" fontId="24" fillId="0" borderId="0" applyFont="0" applyFill="0" applyBorder="0" applyAlignment="0" applyProtection="0"/>
    <xf numFmtId="231" fontId="24" fillId="0" borderId="0" applyFill="0" applyBorder="0" applyProtection="0">
      <alignment vertical="top"/>
    </xf>
    <xf numFmtId="187" fontId="24" fillId="0" borderId="0" applyFont="0" applyFill="0" applyBorder="0" applyAlignment="0" applyProtection="0"/>
    <xf numFmtId="259" fontId="24" fillId="0" borderId="0" applyFont="0" applyFill="0" applyBorder="0" applyAlignment="0" applyProtection="0"/>
    <xf numFmtId="231" fontId="24" fillId="0" borderId="0" applyFill="0" applyBorder="0" applyProtection="0">
      <alignment vertical="top"/>
    </xf>
    <xf numFmtId="233" fontId="24" fillId="0" borderId="0" applyFont="0" applyFill="0" applyBorder="0" applyAlignment="0" applyProtection="0"/>
    <xf numFmtId="259" fontId="24" fillId="0" borderId="0" applyFont="0" applyFill="0" applyBorder="0" applyAlignment="0" applyProtection="0"/>
    <xf numFmtId="187" fontId="163" fillId="0" borderId="0" applyFont="0" applyFill="0" applyBorder="0" applyAlignment="0" applyProtection="0"/>
    <xf numFmtId="187" fontId="163" fillId="0" borderId="0" applyFont="0" applyFill="0" applyBorder="0" applyAlignment="0" applyProtection="0"/>
    <xf numFmtId="231" fontId="24" fillId="0" borderId="0" applyFill="0" applyBorder="0" applyAlignment="0" applyProtection="0"/>
    <xf numFmtId="231" fontId="24" fillId="0" borderId="0" applyFill="0" applyBorder="0" applyAlignment="0" applyProtection="0"/>
    <xf numFmtId="231" fontId="24" fillId="0" borderId="0" applyFill="0" applyBorder="0" applyAlignment="0" applyProtection="0"/>
    <xf numFmtId="231" fontId="24" fillId="0" borderId="0" applyFill="0" applyBorder="0" applyProtection="0">
      <alignment vertical="top"/>
    </xf>
    <xf numFmtId="187" fontId="163" fillId="0" borderId="0" applyFont="0" applyFill="0" applyBorder="0" applyAlignment="0" applyProtection="0"/>
    <xf numFmtId="0" fontId="103" fillId="0" borderId="0" applyNumberFormat="0" applyFill="0" applyBorder="0" applyProtection="0">
      <alignment vertical="top"/>
    </xf>
    <xf numFmtId="0" fontId="104" fillId="79" borderId="0" applyNumberFormat="0" applyBorder="0" applyProtection="0">
      <alignment vertical="top"/>
    </xf>
    <xf numFmtId="0" fontId="104" fillId="79" borderId="0" applyNumberFormat="0" applyBorder="0" applyAlignment="0" applyProtection="0"/>
    <xf numFmtId="0" fontId="29" fillId="68" borderId="0" applyNumberFormat="0" applyBorder="0" applyAlignment="0" applyProtection="0"/>
    <xf numFmtId="38" fontId="29" fillId="2" borderId="0" applyNumberFormat="0" applyBorder="0" applyAlignment="0" applyProtection="0"/>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83" applyNumberFormat="0" applyAlignment="0" applyProtection="0"/>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83" applyNumberFormat="0" applyAlignment="0" applyProtection="0"/>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107" applyNumberFormat="0" applyAlignment="0" applyProtection="0">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8">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8">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8">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10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31" fillId="0" borderId="39">
      <alignment horizontal="left" vertical="center"/>
    </xf>
    <xf numFmtId="0" fontId="105" fillId="0" borderId="85" applyNumberFormat="0" applyFill="0" applyProtection="0">
      <alignment vertical="top"/>
    </xf>
    <xf numFmtId="0" fontId="106" fillId="0" borderId="87" applyNumberFormat="0" applyFill="0" applyProtection="0">
      <alignment vertical="top"/>
    </xf>
    <xf numFmtId="0" fontId="107" fillId="0" borderId="88" applyNumberFormat="0" applyFill="0" applyProtection="0">
      <alignment vertical="top"/>
    </xf>
    <xf numFmtId="0" fontId="107" fillId="0" borderId="0" applyNumberFormat="0" applyFill="0" applyBorder="0" applyProtection="0">
      <alignment vertical="top"/>
    </xf>
    <xf numFmtId="256" fontId="24" fillId="0" borderId="0">
      <protection locked="0"/>
    </xf>
    <xf numFmtId="256" fontId="24" fillId="0" borderId="0">
      <protection locked="0"/>
    </xf>
    <xf numFmtId="227" fontId="24" fillId="0" borderId="0">
      <protection locked="0"/>
    </xf>
    <xf numFmtId="227" fontId="24" fillId="0" borderId="0">
      <protection locked="0"/>
    </xf>
    <xf numFmtId="227" fontId="24" fillId="0" borderId="0">
      <protection locked="0"/>
    </xf>
    <xf numFmtId="256" fontId="24" fillId="0" borderId="0">
      <protection locked="0"/>
    </xf>
    <xf numFmtId="256" fontId="24" fillId="0" borderId="0">
      <protection locked="0"/>
    </xf>
    <xf numFmtId="256" fontId="24" fillId="0" borderId="0">
      <protection locked="0"/>
    </xf>
    <xf numFmtId="227" fontId="24" fillId="0" borderId="0">
      <protection locked="0"/>
    </xf>
    <xf numFmtId="227" fontId="24" fillId="0" borderId="0">
      <protection locked="0"/>
    </xf>
    <xf numFmtId="227" fontId="24" fillId="0" borderId="0">
      <protection locked="0"/>
    </xf>
    <xf numFmtId="256" fontId="24" fillId="0" borderId="0">
      <protection locked="0"/>
    </xf>
    <xf numFmtId="0" fontId="212"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xf numFmtId="0" fontId="207" fillId="0" borderId="0" applyNumberFormat="0" applyFill="0" applyBorder="0" applyAlignment="0" applyProtection="0"/>
    <xf numFmtId="0" fontId="213" fillId="0" borderId="0" applyNumberFormat="0" applyFill="0" applyBorder="0" applyAlignment="0" applyProtection="0">
      <alignment vertical="top"/>
      <protection locked="0"/>
    </xf>
    <xf numFmtId="0" fontId="170" fillId="0" borderId="0" applyNumberFormat="0" applyFill="0" applyBorder="0" applyAlignment="0" applyProtection="0"/>
    <xf numFmtId="0" fontId="170" fillId="0" borderId="0" applyNumberFormat="0" applyFill="0" applyBorder="0" applyAlignment="0" applyProtection="0"/>
    <xf numFmtId="0" fontId="213"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85" fillId="0" borderId="0" applyNumberFormat="0" applyFill="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70" borderId="104" applyNumberFormat="0" applyBorder="0" applyAlignment="0" applyProtection="0"/>
    <xf numFmtId="0" fontId="29" fillId="71" borderId="0"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69" borderId="104" applyNumberFormat="0" applyBorder="0" applyAlignment="0" applyProtection="0"/>
    <xf numFmtId="10" fontId="29" fillId="70" borderId="104" applyNumberFormat="0" applyBorder="0" applyAlignment="0" applyProtection="0"/>
    <xf numFmtId="10" fontId="29" fillId="70" borderId="104" applyNumberFormat="0" applyBorder="0" applyAlignment="0" applyProtection="0"/>
    <xf numFmtId="10" fontId="29" fillId="70" borderId="104" applyNumberFormat="0" applyBorder="0" applyAlignment="0" applyProtection="0"/>
    <xf numFmtId="10" fontId="29" fillId="70" borderId="104" applyNumberFormat="0" applyBorder="0" applyAlignment="0" applyProtection="0"/>
    <xf numFmtId="10" fontId="29" fillId="70" borderId="104" applyNumberFormat="0" applyBorder="0" applyAlignment="0" applyProtection="0"/>
    <xf numFmtId="10" fontId="29" fillId="70" borderId="104" applyNumberFormat="0" applyBorder="0" applyAlignment="0" applyProtection="0"/>
    <xf numFmtId="10" fontId="29" fillId="70" borderId="104" applyNumberFormat="0" applyBorder="0" applyAlignment="0" applyProtection="0"/>
    <xf numFmtId="10" fontId="29" fillId="69" borderId="104" applyNumberFormat="0" applyBorder="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98" fillId="16" borderId="72"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98" fillId="16" borderId="72"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98" fillId="16" borderId="72"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82" borderId="105" applyNumberFormat="0" applyProtection="0">
      <alignment vertical="top"/>
    </xf>
    <xf numFmtId="0" fontId="108" fillId="82" borderId="105" applyNumberFormat="0" applyProtection="0">
      <alignment vertical="top"/>
    </xf>
    <xf numFmtId="0" fontId="108" fillId="82" borderId="105" applyNumberFormat="0" applyProtection="0">
      <alignment vertical="top"/>
    </xf>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0" fontId="108" fillId="45" borderId="105" applyNumberFormat="0" applyAlignment="0" applyProtection="0"/>
    <xf numFmtId="205" fontId="24" fillId="0" borderId="0"/>
    <xf numFmtId="225" fontId="24" fillId="0" borderId="0"/>
    <xf numFmtId="205" fontId="24" fillId="0" borderId="0"/>
    <xf numFmtId="200" fontId="47" fillId="0" borderId="0"/>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83" fillId="72" borderId="106"/>
    <xf numFmtId="0" fontId="183" fillId="72" borderId="106"/>
    <xf numFmtId="0" fontId="156" fillId="72" borderId="106"/>
    <xf numFmtId="0" fontId="156" fillId="72" borderId="106"/>
    <xf numFmtId="0" fontId="156" fillId="72" borderId="106"/>
    <xf numFmtId="0" fontId="156" fillId="72" borderId="106"/>
    <xf numFmtId="0" fontId="183" fillId="72" borderId="106"/>
    <xf numFmtId="0" fontId="183"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83" fillId="72" borderId="106"/>
    <xf numFmtId="0" fontId="183" fillId="72" borderId="106"/>
    <xf numFmtId="0" fontId="156" fillId="72" borderId="106"/>
    <xf numFmtId="0" fontId="183" fillId="72" borderId="106"/>
    <xf numFmtId="0" fontId="156" fillId="72" borderId="106"/>
    <xf numFmtId="0" fontId="183"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83" fillId="72" borderId="106"/>
    <xf numFmtId="0" fontId="183"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56"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56"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0" fontId="183" fillId="72" borderId="106"/>
    <xf numFmtId="198" fontId="24" fillId="0" borderId="0" applyFill="0" applyBorder="0" applyAlignment="0"/>
    <xf numFmtId="0" fontId="109" fillId="0" borderId="90" applyNumberFormat="0" applyFill="0" applyProtection="0">
      <alignment vertical="top"/>
    </xf>
    <xf numFmtId="188" fontId="77" fillId="0" borderId="0" applyFill="0" applyBorder="0">
      <alignment horizontal="center" vertical="top"/>
    </xf>
    <xf numFmtId="213" fontId="77" fillId="0" borderId="0" applyFill="0" applyBorder="0">
      <alignment horizontal="center" vertical="top"/>
    </xf>
    <xf numFmtId="0" fontId="110" fillId="96" borderId="0" applyNumberFormat="0" applyBorder="0" applyProtection="0">
      <alignment vertical="top"/>
    </xf>
    <xf numFmtId="0" fontId="110" fillId="96" borderId="0" applyNumberFormat="0" applyBorder="0" applyAlignment="0" applyProtection="0"/>
    <xf numFmtId="0" fontId="201" fillId="0" borderId="0"/>
    <xf numFmtId="0" fontId="154" fillId="0" borderId="0"/>
    <xf numFmtId="0" fontId="20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76" fillId="0" borderId="0"/>
    <xf numFmtId="0" fontId="9" fillId="0" borderId="0"/>
    <xf numFmtId="0" fontId="76"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alignment vertical="top"/>
    </xf>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3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alignment vertical="top"/>
    </xf>
    <xf numFmtId="0" fontId="9" fillId="0" borderId="0"/>
    <xf numFmtId="0" fontId="9" fillId="0" borderId="0"/>
    <xf numFmtId="0" fontId="9" fillId="0" borderId="0"/>
    <xf numFmtId="0" fontId="9" fillId="0" borderId="0"/>
    <xf numFmtId="0" fontId="76"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76" fillId="0" borderId="0"/>
    <xf numFmtId="0" fontId="24" fillId="0" borderId="0">
      <alignment vertical="top"/>
    </xf>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2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76"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76" fillId="0" borderId="0">
      <alignment vertical="top"/>
    </xf>
    <xf numFmtId="0" fontId="24" fillId="0" borderId="0"/>
    <xf numFmtId="0" fontId="76" fillId="0" borderId="0">
      <alignment vertical="top"/>
    </xf>
    <xf numFmtId="0" fontId="9" fillId="0" borderId="0"/>
    <xf numFmtId="0" fontId="9" fillId="0" borderId="0"/>
    <xf numFmtId="0" fontId="9" fillId="0" borderId="0"/>
    <xf numFmtId="0" fontId="76" fillId="0" borderId="0">
      <alignment vertical="top"/>
    </xf>
    <xf numFmtId="0" fontId="24" fillId="0" borderId="0"/>
    <xf numFmtId="0" fontId="9" fillId="0" borderId="0"/>
    <xf numFmtId="0" fontId="76" fillId="0" borderId="0"/>
    <xf numFmtId="0" fontId="186" fillId="0" borderId="0"/>
    <xf numFmtId="0" fontId="9" fillId="0" borderId="0"/>
    <xf numFmtId="0" fontId="9" fillId="0" borderId="0"/>
    <xf numFmtId="0" fontId="9" fillId="0" borderId="0"/>
    <xf numFmtId="0" fontId="24" fillId="0" borderId="0"/>
    <xf numFmtId="0" fontId="9" fillId="0" borderId="0"/>
    <xf numFmtId="0" fontId="9" fillId="0" borderId="0"/>
    <xf numFmtId="0" fontId="76" fillId="0" borderId="0"/>
    <xf numFmtId="0" fontId="76" fillId="0" borderId="0"/>
    <xf numFmtId="0" fontId="24" fillId="0" borderId="0">
      <alignment vertical="top"/>
    </xf>
    <xf numFmtId="0" fontId="172" fillId="0" borderId="0"/>
    <xf numFmtId="0" fontId="9" fillId="0" borderId="0"/>
    <xf numFmtId="0" fontId="9" fillId="0" borderId="0"/>
    <xf numFmtId="0" fontId="9" fillId="0" borderId="0"/>
    <xf numFmtId="0" fontId="76" fillId="0" borderId="0"/>
    <xf numFmtId="0" fontId="97" fillId="0" borderId="0"/>
    <xf numFmtId="0" fontId="172" fillId="0" borderId="0"/>
    <xf numFmtId="0" fontId="97" fillId="0" borderId="0"/>
    <xf numFmtId="0" fontId="24" fillId="0" borderId="0"/>
    <xf numFmtId="0" fontId="172" fillId="0" borderId="0"/>
    <xf numFmtId="0" fontId="96" fillId="0" borderId="0"/>
    <xf numFmtId="0" fontId="2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7" fillId="0" borderId="0"/>
    <xf numFmtId="0" fontId="24" fillId="0" borderId="0"/>
    <xf numFmtId="0" fontId="24" fillId="0" borderId="0"/>
    <xf numFmtId="0" fontId="24" fillId="0" borderId="0"/>
    <xf numFmtId="0" fontId="76" fillId="0" borderId="0"/>
    <xf numFmtId="0" fontId="24" fillId="0" borderId="0">
      <alignment vertical="top"/>
    </xf>
    <xf numFmtId="0" fontId="24" fillId="0" borderId="0">
      <alignment vertical="top"/>
    </xf>
    <xf numFmtId="0" fontId="24" fillId="0" borderId="0"/>
    <xf numFmtId="0" fontId="24" fillId="0" borderId="0"/>
    <xf numFmtId="0" fontId="76" fillId="0" borderId="0"/>
    <xf numFmtId="0" fontId="9" fillId="0" borderId="0"/>
    <xf numFmtId="0" fontId="96" fillId="0" borderId="0"/>
    <xf numFmtId="0" fontId="32" fillId="0" borderId="0">
      <alignment vertical="top"/>
    </xf>
    <xf numFmtId="0" fontId="32" fillId="0" borderId="0">
      <alignment vertical="top"/>
    </xf>
    <xf numFmtId="0" fontId="9" fillId="0" borderId="0"/>
    <xf numFmtId="0" fontId="186" fillId="0" borderId="0"/>
    <xf numFmtId="0" fontId="186" fillId="0" borderId="0"/>
    <xf numFmtId="0" fontId="9" fillId="0" borderId="0"/>
    <xf numFmtId="0" fontId="97"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24" fillId="0" borderId="0"/>
    <xf numFmtId="0" fontId="9" fillId="0" borderId="0"/>
    <xf numFmtId="0" fontId="9" fillId="0" borderId="0"/>
    <xf numFmtId="0" fontId="21" fillId="0" borderId="0"/>
    <xf numFmtId="0" fontId="96" fillId="0" borderId="0"/>
    <xf numFmtId="0" fontId="76" fillId="0" borderId="0"/>
    <xf numFmtId="0" fontId="24" fillId="0" borderId="0"/>
    <xf numFmtId="0" fontId="21" fillId="0" borderId="0"/>
    <xf numFmtId="0" fontId="21" fillId="0" borderId="0"/>
    <xf numFmtId="0" fontId="24" fillId="0" borderId="0">
      <alignment vertical="top"/>
    </xf>
    <xf numFmtId="0" fontId="2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alignment vertical="top"/>
    </xf>
    <xf numFmtId="0" fontId="24" fillId="0" borderId="0"/>
    <xf numFmtId="0" fontId="24" fillId="0" borderId="0"/>
    <xf numFmtId="0" fontId="2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alignment vertical="top"/>
    </xf>
    <xf numFmtId="0" fontId="24" fillId="0" borderId="0">
      <alignment vertical="top"/>
    </xf>
    <xf numFmtId="0" fontId="9" fillId="0" borderId="0"/>
    <xf numFmtId="0" fontId="9" fillId="0" borderId="0"/>
    <xf numFmtId="0" fontId="9" fillId="0" borderId="0"/>
    <xf numFmtId="0" fontId="9" fillId="0" borderId="0"/>
    <xf numFmtId="0" fontId="186"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6"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4" fillId="0" borderId="0"/>
    <xf numFmtId="0" fontId="9" fillId="0" borderId="0"/>
    <xf numFmtId="0" fontId="9" fillId="0" borderId="0"/>
    <xf numFmtId="0" fontId="9" fillId="0" borderId="0"/>
    <xf numFmtId="0" fontId="9" fillId="0" borderId="0"/>
    <xf numFmtId="0" fontId="9" fillId="0" borderId="0"/>
    <xf numFmtId="0" fontId="9" fillId="0" borderId="0"/>
    <xf numFmtId="0" fontId="1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7" fillId="0" borderId="0"/>
    <xf numFmtId="0" fontId="96" fillId="0" borderId="0"/>
    <xf numFmtId="0" fontId="9" fillId="0" borderId="0"/>
    <xf numFmtId="0" fontId="9" fillId="0" borderId="0"/>
    <xf numFmtId="0" fontId="9" fillId="0" borderId="0"/>
    <xf numFmtId="0" fontId="9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6" fillId="0" borderId="0"/>
    <xf numFmtId="0" fontId="96" fillId="0" borderId="0"/>
    <xf numFmtId="0" fontId="24" fillId="0" borderId="0"/>
    <xf numFmtId="0" fontId="24" fillId="0" borderId="0"/>
    <xf numFmtId="0" fontId="76" fillId="0" borderId="0"/>
    <xf numFmtId="0" fontId="24" fillId="0" borderId="0"/>
    <xf numFmtId="0" fontId="97" fillId="0" borderId="0"/>
    <xf numFmtId="0" fontId="76" fillId="0" borderId="0"/>
    <xf numFmtId="0" fontId="97"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alignment vertical="top"/>
    </xf>
    <xf numFmtId="0" fontId="96" fillId="0" borderId="0"/>
    <xf numFmtId="0" fontId="96" fillId="0" borderId="0"/>
    <xf numFmtId="0" fontId="186" fillId="0" borderId="0"/>
    <xf numFmtId="0" fontId="24" fillId="0" borderId="0"/>
    <xf numFmtId="0" fontId="24" fillId="0" borderId="0">
      <alignment vertical="top"/>
    </xf>
    <xf numFmtId="0" fontId="1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76" fillId="0" borderId="0"/>
    <xf numFmtId="0" fontId="186" fillId="0" borderId="0"/>
    <xf numFmtId="0" fontId="1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186" fillId="0" borderId="0"/>
    <xf numFmtId="0" fontId="186" fillId="0" borderId="0"/>
    <xf numFmtId="0" fontId="9" fillId="0" borderId="0"/>
    <xf numFmtId="0" fontId="9" fillId="0" borderId="0"/>
    <xf numFmtId="0" fontId="24" fillId="0" borderId="0"/>
    <xf numFmtId="0" fontId="18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1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184" fillId="0" borderId="0"/>
    <xf numFmtId="0" fontId="1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76" fillId="0" borderId="0"/>
    <xf numFmtId="0" fontId="24" fillId="0" borderId="0"/>
    <xf numFmtId="0" fontId="24" fillId="0" borderId="0">
      <alignment vertical="top"/>
    </xf>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7" fillId="0" borderId="0"/>
    <xf numFmtId="0" fontId="124" fillId="0" borderId="0"/>
    <xf numFmtId="0" fontId="124" fillId="0" borderId="0"/>
    <xf numFmtId="0" fontId="96" fillId="0" borderId="0"/>
    <xf numFmtId="0" fontId="96" fillId="0" borderId="0"/>
    <xf numFmtId="0" fontId="124" fillId="0" borderId="0"/>
    <xf numFmtId="0" fontId="9" fillId="0" borderId="0"/>
    <xf numFmtId="0" fontId="32" fillId="0" borderId="0">
      <alignment vertical="top"/>
    </xf>
    <xf numFmtId="0" fontId="32" fillId="0" borderId="0">
      <alignment vertical="top"/>
    </xf>
    <xf numFmtId="0" fontId="186" fillId="0" borderId="0"/>
    <xf numFmtId="0" fontId="96" fillId="0" borderId="0"/>
    <xf numFmtId="0" fontId="186" fillId="0" borderId="0"/>
    <xf numFmtId="0" fontId="24" fillId="0" borderId="0"/>
    <xf numFmtId="0" fontId="186" fillId="0" borderId="0"/>
    <xf numFmtId="0" fontId="24" fillId="0" borderId="0"/>
    <xf numFmtId="0" fontId="186" fillId="0" borderId="0"/>
    <xf numFmtId="0" fontId="9" fillId="0" borderId="0"/>
    <xf numFmtId="0" fontId="9" fillId="0" borderId="0"/>
    <xf numFmtId="0" fontId="9" fillId="0" borderId="0"/>
    <xf numFmtId="0" fontId="9" fillId="0" borderId="0"/>
    <xf numFmtId="0" fontId="186" fillId="0" borderId="0"/>
    <xf numFmtId="0" fontId="76" fillId="0" borderId="0"/>
    <xf numFmtId="0" fontId="76" fillId="0" borderId="0"/>
    <xf numFmtId="0" fontId="96" fillId="0" borderId="0"/>
    <xf numFmtId="0" fontId="76" fillId="0" borderId="0"/>
    <xf numFmtId="0" fontId="9" fillId="0" borderId="0"/>
    <xf numFmtId="0" fontId="9" fillId="0" borderId="0"/>
    <xf numFmtId="0" fontId="21" fillId="0" borderId="0"/>
    <xf numFmtId="0" fontId="9" fillId="0" borderId="0"/>
    <xf numFmtId="0" fontId="24" fillId="0" borderId="0">
      <alignment vertical="top"/>
    </xf>
    <xf numFmtId="0" fontId="76" fillId="0" borderId="0"/>
    <xf numFmtId="0" fontId="24" fillId="0" borderId="0">
      <alignment vertical="top"/>
    </xf>
    <xf numFmtId="0" fontId="24" fillId="0" borderId="0">
      <alignment vertical="top"/>
    </xf>
    <xf numFmtId="0" fontId="24" fillId="0" borderId="0"/>
    <xf numFmtId="0" fontId="76" fillId="0" borderId="0"/>
    <xf numFmtId="0" fontId="24" fillId="0" borderId="0"/>
    <xf numFmtId="0" fontId="118" fillId="0" borderId="0"/>
    <xf numFmtId="0" fontId="24" fillId="0" borderId="0"/>
    <xf numFmtId="0" fontId="76" fillId="0" borderId="0"/>
    <xf numFmtId="0" fontId="24" fillId="0" borderId="0">
      <alignment vertical="top"/>
    </xf>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186" fillId="0" borderId="0"/>
    <xf numFmtId="0" fontId="186" fillId="0" borderId="0"/>
    <xf numFmtId="0" fontId="186"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24" fillId="0" borderId="0">
      <alignment vertical="top"/>
    </xf>
    <xf numFmtId="0" fontId="24" fillId="0" borderId="0"/>
    <xf numFmtId="0" fontId="24" fillId="0" borderId="0"/>
    <xf numFmtId="0" fontId="24" fillId="0" borderId="0">
      <alignment vertical="top"/>
    </xf>
    <xf numFmtId="0" fontId="9" fillId="0" borderId="0"/>
    <xf numFmtId="0" fontId="9" fillId="0" borderId="0"/>
    <xf numFmtId="0" fontId="9" fillId="0" borderId="0"/>
    <xf numFmtId="0" fontId="24" fillId="0" borderId="0">
      <alignment vertical="top"/>
    </xf>
    <xf numFmtId="0" fontId="9" fillId="0" borderId="0"/>
    <xf numFmtId="0" fontId="24" fillId="0" borderId="0"/>
    <xf numFmtId="0" fontId="24" fillId="0" borderId="0"/>
    <xf numFmtId="0" fontId="9" fillId="0" borderId="0"/>
    <xf numFmtId="0" fontId="76" fillId="0" borderId="0">
      <alignment vertical="top"/>
    </xf>
    <xf numFmtId="0" fontId="9" fillId="0" borderId="0"/>
    <xf numFmtId="0" fontId="24" fillId="0" borderId="0">
      <alignment vertical="top"/>
    </xf>
    <xf numFmtId="0" fontId="9" fillId="0" borderId="0"/>
    <xf numFmtId="0" fontId="9" fillId="0" borderId="0"/>
    <xf numFmtId="0" fontId="9" fillId="0" borderId="0"/>
    <xf numFmtId="0" fontId="9" fillId="0" borderId="0"/>
    <xf numFmtId="0" fontId="9" fillId="0" borderId="0"/>
    <xf numFmtId="0" fontId="1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8" fillId="0" borderId="0"/>
    <xf numFmtId="0" fontId="118" fillId="0" borderId="0"/>
    <xf numFmtId="0" fontId="24" fillId="0" borderId="0"/>
    <xf numFmtId="0"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76" fillId="0" borderId="0">
      <alignment vertical="top"/>
    </xf>
    <xf numFmtId="0" fontId="1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76"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24"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184" fillId="0" borderId="0"/>
    <xf numFmtId="0" fontId="184" fillId="0" borderId="0"/>
    <xf numFmtId="0" fontId="9" fillId="0" borderId="0"/>
    <xf numFmtId="0" fontId="186"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alignment vertical="top"/>
    </xf>
    <xf numFmtId="0" fontId="21" fillId="0" borderId="0"/>
    <xf numFmtId="0" fontId="9" fillId="0" borderId="0"/>
    <xf numFmtId="0" fontId="9" fillId="0" borderId="0"/>
    <xf numFmtId="0" fontId="9" fillId="0" borderId="0"/>
    <xf numFmtId="0" fontId="21" fillId="0" borderId="0"/>
    <xf numFmtId="0" fontId="210" fillId="0" borderId="0"/>
    <xf numFmtId="0" fontId="24" fillId="0" borderId="0">
      <alignment vertical="top"/>
    </xf>
    <xf numFmtId="0" fontId="97" fillId="0" borderId="0"/>
    <xf numFmtId="0" fontId="24" fillId="0" borderId="0">
      <alignment vertical="top"/>
    </xf>
    <xf numFmtId="0" fontId="118" fillId="0" borderId="0"/>
    <xf numFmtId="0" fontId="118" fillId="0" borderId="0"/>
    <xf numFmtId="0" fontId="24" fillId="0" borderId="0"/>
    <xf numFmtId="0" fontId="24" fillId="0" borderId="0"/>
    <xf numFmtId="0" fontId="24" fillId="0" borderId="0"/>
    <xf numFmtId="0" fontId="118" fillId="0" borderId="0"/>
    <xf numFmtId="0" fontId="76" fillId="0" borderId="0"/>
    <xf numFmtId="0" fontId="24" fillId="0" borderId="0">
      <alignment vertical="top"/>
    </xf>
    <xf numFmtId="0" fontId="76" fillId="0" borderId="0"/>
    <xf numFmtId="0" fontId="9" fillId="0" borderId="0"/>
    <xf numFmtId="0" fontId="9" fillId="0" borderId="0"/>
    <xf numFmtId="0" fontId="9" fillId="0" borderId="0"/>
    <xf numFmtId="0" fontId="76" fillId="0" borderId="0"/>
    <xf numFmtId="0" fontId="9" fillId="0" borderId="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76"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76"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76"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76"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76"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76"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76"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9" fillId="19" borderId="76"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9" fillId="19" borderId="76" applyNumberFormat="0" applyFont="0" applyAlignment="0" applyProtection="0"/>
    <xf numFmtId="0" fontId="9" fillId="19" borderId="76"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71" borderId="110" applyNumberFormat="0" applyProtection="0">
      <alignment vertical="top"/>
    </xf>
    <xf numFmtId="0" fontId="24" fillId="71" borderId="110" applyNumberFormat="0" applyProtection="0">
      <alignment vertical="top"/>
    </xf>
    <xf numFmtId="0" fontId="24" fillId="71" borderId="110" applyNumberFormat="0" applyProtection="0">
      <alignment vertical="top"/>
    </xf>
    <xf numFmtId="0" fontId="9" fillId="19" borderId="76"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4"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21" fillId="49" borderId="110" applyNumberFormat="0" applyFon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203" fillId="17" borderId="73"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203" fillId="17" borderId="73"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203" fillId="17" borderId="73"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68" borderId="111" applyNumberFormat="0" applyProtection="0">
      <alignment vertical="top"/>
    </xf>
    <xf numFmtId="0" fontId="111" fillId="68" borderId="111" applyNumberFormat="0" applyProtection="0">
      <alignment vertical="top"/>
    </xf>
    <xf numFmtId="0" fontId="111" fillId="68" borderId="111" applyNumberFormat="0" applyProtection="0">
      <alignment vertical="top"/>
    </xf>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11" fillId="53" borderId="111" applyNumberFormat="0" applyAlignment="0" applyProtection="0"/>
    <xf numFmtId="0" fontId="142" fillId="73" borderId="5"/>
    <xf numFmtId="0" fontId="142" fillId="73" borderId="5"/>
    <xf numFmtId="0" fontId="143" fillId="70" borderId="5"/>
    <xf numFmtId="0" fontId="143" fillId="70" borderId="5"/>
    <xf numFmtId="0" fontId="143" fillId="70" borderId="5"/>
    <xf numFmtId="0" fontId="143" fillId="70" borderId="5"/>
    <xf numFmtId="0" fontId="142" fillId="73" borderId="5"/>
    <xf numFmtId="0" fontId="142" fillId="73" borderId="5"/>
    <xf numFmtId="0" fontId="142" fillId="73" borderId="5"/>
    <xf numFmtId="0" fontId="142" fillId="73" borderId="5"/>
    <xf numFmtId="0" fontId="142" fillId="73" borderId="5"/>
    <xf numFmtId="0" fontId="142" fillId="73" borderId="5"/>
    <xf numFmtId="0" fontId="142" fillId="73" borderId="5"/>
    <xf numFmtId="0" fontId="142" fillId="73" borderId="5"/>
    <xf numFmtId="0" fontId="142" fillId="73" borderId="5"/>
    <xf numFmtId="0" fontId="142" fillId="73" borderId="5"/>
    <xf numFmtId="0" fontId="142" fillId="73" borderId="5"/>
    <xf numFmtId="0" fontId="142" fillId="73" borderId="5"/>
    <xf numFmtId="0" fontId="142" fillId="73" borderId="5"/>
    <xf numFmtId="239" fontId="24" fillId="0" borderId="0" applyFont="0" applyFill="0" applyBorder="0" applyAlignment="0" applyProtection="0"/>
    <xf numFmtId="243" fontId="24" fillId="0" borderId="0" applyFont="0" applyFill="0" applyBorder="0" applyAlignment="0" applyProtection="0"/>
    <xf numFmtId="10" fontId="24" fillId="0" borderId="0" applyFont="0" applyFill="0" applyBorder="0" applyAlignment="0" applyProtection="0"/>
    <xf numFmtId="10" fontId="24" fillId="0" borderId="0" applyFill="0" applyBorder="0" applyAlignment="0" applyProtection="0"/>
    <xf numFmtId="10" fontId="24"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9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6" fillId="0" borderId="0" applyFont="0" applyFill="0" applyBorder="0" applyAlignment="0" applyProtection="0"/>
    <xf numFmtId="9" fontId="9" fillId="0" borderId="0" applyFont="0" applyFill="0" applyBorder="0" applyAlignment="0" applyProtection="0"/>
    <xf numFmtId="9" fontId="18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18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184" fillId="0" borderId="0" applyFont="0" applyFill="0" applyBorder="0" applyAlignment="0" applyProtection="0"/>
    <xf numFmtId="9" fontId="24" fillId="0" borderId="0" applyFont="0" applyFill="0" applyBorder="0" applyAlignment="0" applyProtection="0"/>
    <xf numFmtId="9" fontId="184" fillId="0" borderId="0" applyFont="0" applyFill="0" applyBorder="0" applyAlignment="0" applyProtection="0"/>
    <xf numFmtId="9" fontId="24"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24" fillId="0" borderId="0" applyFill="0" applyBorder="0" applyAlignment="0" applyProtection="0"/>
    <xf numFmtId="9" fontId="24" fillId="0" borderId="0" applyFill="0" applyBorder="0" applyProtection="0">
      <alignment vertical="top"/>
    </xf>
    <xf numFmtId="9" fontId="24" fillId="0" borderId="0" applyFill="0" applyBorder="0" applyAlignment="0" applyProtection="0"/>
    <xf numFmtId="9" fontId="76" fillId="0" borderId="0" applyFont="0" applyFill="0" applyBorder="0" applyAlignment="0" applyProtection="0"/>
    <xf numFmtId="9" fontId="24" fillId="0" borderId="0" applyFill="0" applyBorder="0" applyProtection="0">
      <alignment vertical="top"/>
    </xf>
    <xf numFmtId="9" fontId="24"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ill="0" applyBorder="0" applyProtection="0">
      <alignment vertical="top"/>
    </xf>
    <xf numFmtId="9" fontId="24" fillId="0" borderId="0" applyFont="0" applyFill="0" applyBorder="0" applyAlignment="0" applyProtection="0"/>
    <xf numFmtId="9" fontId="24" fillId="0" borderId="0" applyFill="0" applyBorder="0" applyProtection="0">
      <alignment vertical="top"/>
    </xf>
    <xf numFmtId="9" fontId="96" fillId="0" borderId="0" applyFont="0" applyFill="0" applyBorder="0" applyAlignment="0" applyProtection="0"/>
    <xf numFmtId="9" fontId="96"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2" fillId="0" borderId="0" applyFont="0" applyFill="0" applyBorder="0" applyAlignment="0" applyProtection="0">
      <alignment vertical="top"/>
    </xf>
    <xf numFmtId="9" fontId="32" fillId="0" borderId="0" applyFont="0" applyFill="0" applyBorder="0" applyAlignment="0" applyProtection="0">
      <alignment vertical="top"/>
    </xf>
    <xf numFmtId="9" fontId="24" fillId="0" borderId="0" applyFont="0" applyFill="0" applyBorder="0" applyAlignment="0" applyProtection="0"/>
    <xf numFmtId="9" fontId="186" fillId="0" borderId="0" applyFont="0" applyFill="0" applyBorder="0" applyAlignment="0" applyProtection="0"/>
    <xf numFmtId="9" fontId="32" fillId="0" borderId="0" applyFont="0" applyFill="0" applyBorder="0" applyAlignment="0" applyProtection="0">
      <alignment vertical="top"/>
    </xf>
    <xf numFmtId="9" fontId="76" fillId="0" borderId="0" applyFont="0" applyFill="0" applyBorder="0" applyAlignment="0" applyProtection="0"/>
    <xf numFmtId="9" fontId="186" fillId="0" borderId="0" applyFont="0" applyFill="0" applyBorder="0" applyAlignment="0" applyProtection="0"/>
    <xf numFmtId="9" fontId="186" fillId="0" borderId="0" applyFont="0" applyFill="0" applyBorder="0" applyAlignment="0" applyProtection="0"/>
    <xf numFmtId="9" fontId="24" fillId="0" borderId="0" applyFill="0" applyBorder="0" applyProtection="0">
      <alignment vertical="top"/>
    </xf>
    <xf numFmtId="9" fontId="24" fillId="0" borderId="0" applyFont="0" applyFill="0" applyBorder="0" applyAlignment="0" applyProtection="0"/>
    <xf numFmtId="9" fontId="24" fillId="0" borderId="0" applyFill="0" applyBorder="0" applyProtection="0">
      <alignment vertical="top"/>
    </xf>
    <xf numFmtId="9" fontId="24" fillId="0" borderId="0" applyFont="0" applyFill="0" applyBorder="0" applyAlignment="0" applyProtection="0"/>
    <xf numFmtId="9" fontId="24" fillId="0" borderId="0" applyFill="0" applyBorder="0" applyProtection="0">
      <alignment vertical="top"/>
    </xf>
    <xf numFmtId="9" fontId="24" fillId="0" borderId="0" applyFill="0" applyBorder="0" applyProtection="0">
      <alignment vertical="top"/>
    </xf>
    <xf numFmtId="9" fontId="9" fillId="0" borderId="0" applyFont="0" applyFill="0" applyBorder="0" applyAlignment="0" applyProtection="0"/>
    <xf numFmtId="9" fontId="186" fillId="0" borderId="0" applyFont="0" applyFill="0" applyBorder="0" applyAlignment="0" applyProtection="0"/>
    <xf numFmtId="9" fontId="186" fillId="0" borderId="0" applyFont="0" applyFill="0" applyBorder="0" applyAlignment="0" applyProtection="0"/>
    <xf numFmtId="9" fontId="9" fillId="0" borderId="0" applyFont="0" applyFill="0" applyBorder="0" applyAlignment="0" applyProtection="0"/>
    <xf numFmtId="9" fontId="96" fillId="0" borderId="0" applyFont="0" applyFill="0" applyBorder="0" applyAlignment="0" applyProtection="0"/>
    <xf numFmtId="9" fontId="2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6" fillId="0" borderId="0" applyFont="0" applyFill="0" applyBorder="0" applyAlignment="0" applyProtection="0"/>
    <xf numFmtId="9" fontId="24" fillId="0" borderId="0" applyFont="0" applyFill="0" applyBorder="0" applyAlignment="0" applyProtection="0"/>
    <xf numFmtId="9" fontId="186" fillId="0" borderId="0" applyFont="0" applyFill="0" applyBorder="0" applyAlignment="0" applyProtection="0"/>
    <xf numFmtId="9" fontId="21" fillId="0" borderId="0" applyFont="0" applyFill="0" applyBorder="0" applyAlignment="0" applyProtection="0"/>
    <xf numFmtId="9" fontId="24" fillId="0" borderId="0" applyFill="0" applyBorder="0" applyProtection="0">
      <alignment vertical="top"/>
    </xf>
    <xf numFmtId="9" fontId="21" fillId="0" borderId="0" applyFont="0" applyFill="0" applyBorder="0" applyAlignment="0" applyProtection="0"/>
    <xf numFmtId="9" fontId="21" fillId="0" borderId="0" applyFont="0" applyFill="0" applyBorder="0" applyAlignment="0" applyProtection="0"/>
    <xf numFmtId="9" fontId="24" fillId="0" borderId="0" applyFill="0" applyBorder="0" applyProtection="0">
      <alignment vertical="top"/>
    </xf>
    <xf numFmtId="9" fontId="24" fillId="0" borderId="0" applyFont="0" applyFill="0" applyBorder="0" applyAlignment="0" applyProtection="0"/>
    <xf numFmtId="9" fontId="24" fillId="0" borderId="0" applyFill="0" applyBorder="0" applyProtection="0">
      <alignment vertical="top"/>
    </xf>
    <xf numFmtId="9" fontId="96"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6"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32" fillId="0" borderId="0" applyFont="0" applyFill="0" applyBorder="0" applyAlignment="0" applyProtection="0">
      <alignment vertical="top"/>
    </xf>
    <xf numFmtId="9" fontId="24" fillId="0" borderId="0" applyFont="0" applyFill="0" applyBorder="0" applyAlignment="0" applyProtection="0"/>
    <xf numFmtId="9" fontId="24" fillId="0" borderId="0" applyFont="0" applyFill="0" applyBorder="0" applyAlignment="0" applyProtection="0"/>
    <xf numFmtId="9" fontId="32" fillId="0" borderId="0" applyFont="0" applyFill="0" applyBorder="0" applyAlignment="0" applyProtection="0">
      <alignment vertical="top"/>
    </xf>
    <xf numFmtId="9" fontId="76" fillId="0" borderId="0" applyFont="0" applyFill="0" applyBorder="0" applyAlignment="0" applyProtection="0"/>
    <xf numFmtId="9" fontId="24" fillId="0" borderId="0" applyFont="0" applyFill="0" applyBorder="0" applyAlignment="0" applyProtection="0"/>
    <xf numFmtId="9" fontId="120" fillId="0" borderId="0" applyFont="0" applyFill="0" applyBorder="0" applyAlignment="0" applyProtection="0"/>
    <xf numFmtId="9" fontId="21" fillId="0" borderId="0" applyFont="0" applyFill="0" applyBorder="0" applyAlignment="0" applyProtection="0"/>
    <xf numFmtId="9" fontId="32" fillId="0" borderId="0" applyFont="0" applyFill="0" applyBorder="0" applyAlignment="0" applyProtection="0">
      <alignment vertical="top"/>
    </xf>
    <xf numFmtId="9" fontId="24" fillId="0" borderId="0" applyFont="0" applyFill="0" applyBorder="0" applyAlignment="0" applyProtection="0"/>
    <xf numFmtId="9" fontId="96" fillId="0" borderId="0" applyFont="0" applyFill="0" applyBorder="0" applyAlignment="0" applyProtection="0"/>
    <xf numFmtId="9" fontId="76" fillId="0" borderId="0" applyFont="0" applyFill="0" applyBorder="0" applyAlignment="0" applyProtection="0"/>
    <xf numFmtId="9" fontId="21" fillId="0" borderId="0" applyFont="0" applyFill="0" applyBorder="0" applyAlignment="0" applyProtection="0"/>
    <xf numFmtId="9" fontId="21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0" fillId="0" borderId="0" applyFont="0" applyFill="0" applyBorder="0" applyAlignment="0" applyProtection="0"/>
    <xf numFmtId="9" fontId="21" fillId="0" borderId="0" applyFont="0" applyFill="0" applyBorder="0" applyAlignment="0" applyProtection="0"/>
    <xf numFmtId="9" fontId="96"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2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9" fontId="139" fillId="0" borderId="118" applyNumberFormat="0" applyBorder="0"/>
    <xf numFmtId="198" fontId="24" fillId="0" borderId="0" applyFill="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112" applyNumberFormat="0" applyBorder="0" applyAlignment="0"/>
    <xf numFmtId="0" fontId="122" fillId="0" borderId="0" applyNumberFormat="0" applyBorder="0" applyAlignment="0"/>
    <xf numFmtId="0" fontId="122" fillId="0" borderId="112" applyNumberFormat="0" applyBorder="0" applyAlignment="0"/>
    <xf numFmtId="0" fontId="122" fillId="0" borderId="112" applyNumberFormat="0" applyBorder="0" applyAlignment="0"/>
    <xf numFmtId="14" fontId="135" fillId="0" borderId="0" applyNumberFormat="0" applyFill="0" applyBorder="0" applyAlignment="0" applyProtection="0">
      <alignment horizontal="left"/>
    </xf>
    <xf numFmtId="0" fontId="24" fillId="0" borderId="0"/>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4" fontId="146" fillId="0" borderId="113" applyNumberFormat="0" applyProtection="0">
      <alignment horizontal="right" vertical="center"/>
    </xf>
    <xf numFmtId="0" fontId="24" fillId="0" borderId="0"/>
    <xf numFmtId="0" fontId="32" fillId="0" borderId="0">
      <alignment vertical="top"/>
    </xf>
    <xf numFmtId="0" fontId="24" fillId="0" borderId="0"/>
    <xf numFmtId="0" fontId="32" fillId="0" borderId="0">
      <alignment vertical="top"/>
    </xf>
    <xf numFmtId="0" fontId="32" fillId="0" borderId="0">
      <alignment vertical="top"/>
    </xf>
    <xf numFmtId="40" fontId="158" fillId="0" borderId="0" applyBorder="0">
      <alignment horizontal="right"/>
    </xf>
    <xf numFmtId="40" fontId="136" fillId="0" borderId="0" applyBorder="0">
      <alignment horizontal="right"/>
    </xf>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0" fontId="125" fillId="0" borderId="106"/>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0" fontId="24" fillId="0" borderId="0" applyNumberFormat="0" applyBorder="0" applyAlignment="0" applyProtection="0"/>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37" fontId="123" fillId="0" borderId="114" applyNumberFormat="0" applyFont="0" applyBorder="0" applyAlignment="0" applyProtection="0">
      <alignment horizontal="centerContinuous"/>
    </xf>
    <xf numFmtId="198" fontId="24" fillId="0" borderId="0" applyFill="0" applyBorder="0" applyAlignment="0"/>
    <xf numFmtId="0" fontId="114" fillId="0" borderId="0" applyNumberFormat="0" applyFill="0" applyBorder="0" applyProtection="0">
      <alignment vertical="top"/>
    </xf>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205" fillId="0" borderId="77"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205" fillId="0" borderId="77"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205" fillId="0" borderId="77"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Protection="0">
      <alignment vertical="top"/>
    </xf>
    <xf numFmtId="0" fontId="115" fillId="0" borderId="115" applyNumberFormat="0" applyFill="0" applyProtection="0">
      <alignment vertical="top"/>
    </xf>
    <xf numFmtId="0" fontId="115" fillId="0" borderId="115" applyNumberFormat="0" applyFill="0" applyProtection="0">
      <alignment vertical="top"/>
    </xf>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15" fillId="0" borderId="115" applyNumberFormat="0" applyFill="0" applyAlignment="0" applyProtection="0"/>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56"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83" fillId="0" borderId="106"/>
    <xf numFmtId="0" fontId="116" fillId="0" borderId="0" applyNumberFormat="0" applyFill="0" applyBorder="0" applyProtection="0">
      <alignment vertical="top"/>
    </xf>
    <xf numFmtId="0" fontId="214" fillId="44" borderId="0" applyNumberFormat="0" applyBorder="0" applyAlignment="0" applyProtection="0"/>
    <xf numFmtId="0" fontId="214" fillId="46" borderId="0" applyNumberFormat="0" applyBorder="0" applyAlignment="0" applyProtection="0"/>
    <xf numFmtId="0" fontId="214" fillId="48" borderId="0" applyNumberFormat="0" applyBorder="0" applyAlignment="0" applyProtection="0"/>
    <xf numFmtId="0" fontId="214" fillId="50" borderId="0" applyNumberFormat="0" applyBorder="0" applyAlignment="0" applyProtection="0"/>
    <xf numFmtId="0" fontId="214" fillId="51" borderId="0" applyNumberFormat="0" applyBorder="0" applyAlignment="0" applyProtection="0"/>
    <xf numFmtId="0" fontId="214" fillId="45" borderId="0" applyNumberFormat="0" applyBorder="0" applyAlignment="0" applyProtection="0"/>
    <xf numFmtId="0" fontId="214" fillId="52" borderId="0" applyNumberFormat="0" applyBorder="0" applyAlignment="0" applyProtection="0"/>
    <xf numFmtId="0" fontId="214" fillId="47" borderId="0" applyNumberFormat="0" applyBorder="0" applyAlignment="0" applyProtection="0"/>
    <xf numFmtId="0" fontId="214" fillId="54" borderId="0" applyNumberFormat="0" applyBorder="0" applyAlignment="0" applyProtection="0"/>
    <xf numFmtId="0" fontId="214" fillId="50" borderId="0" applyNumberFormat="0" applyBorder="0" applyAlignment="0" applyProtection="0"/>
    <xf numFmtId="0" fontId="214" fillId="52" borderId="0" applyNumberFormat="0" applyBorder="0" applyAlignment="0" applyProtection="0"/>
    <xf numFmtId="0" fontId="214" fillId="56" borderId="0" applyNumberFormat="0" applyBorder="0" applyAlignment="0" applyProtection="0"/>
    <xf numFmtId="0" fontId="215" fillId="57" borderId="0" applyNumberFormat="0" applyBorder="0" applyAlignment="0" applyProtection="0"/>
    <xf numFmtId="0" fontId="215" fillId="47" borderId="0" applyNumberFormat="0" applyBorder="0" applyAlignment="0" applyProtection="0"/>
    <xf numFmtId="0" fontId="215" fillId="54" borderId="0" applyNumberFormat="0" applyBorder="0" applyAlignment="0" applyProtection="0"/>
    <xf numFmtId="0" fontId="215" fillId="59" borderId="0" applyNumberFormat="0" applyBorder="0" applyAlignment="0" applyProtection="0"/>
    <xf numFmtId="0" fontId="215" fillId="58" borderId="0" applyNumberFormat="0" applyBorder="0" applyAlignment="0" applyProtection="0"/>
    <xf numFmtId="0" fontId="215" fillId="60" borderId="0" applyNumberFormat="0" applyBorder="0" applyAlignment="0" applyProtection="0"/>
    <xf numFmtId="0" fontId="216" fillId="45" borderId="105" applyNumberFormat="0" applyAlignment="0" applyProtection="0"/>
    <xf numFmtId="0" fontId="217" fillId="0" borderId="0" applyNumberFormat="0" applyFill="0" applyBorder="0" applyAlignment="0" applyProtection="0"/>
    <xf numFmtId="0" fontId="218" fillId="0" borderId="85" applyNumberFormat="0" applyFill="0" applyAlignment="0" applyProtection="0"/>
    <xf numFmtId="0" fontId="219" fillId="0" borderId="87" applyNumberFormat="0" applyFill="0" applyAlignment="0" applyProtection="0"/>
    <xf numFmtId="0" fontId="220" fillId="0" borderId="88" applyNumberFormat="0" applyFill="0" applyAlignment="0" applyProtection="0"/>
    <xf numFmtId="0" fontId="220" fillId="0" borderId="0" applyNumberFormat="0" applyFill="0" applyBorder="0" applyAlignment="0" applyProtection="0"/>
    <xf numFmtId="0" fontId="175" fillId="0" borderId="0"/>
    <xf numFmtId="0" fontId="175" fillId="0" borderId="106"/>
    <xf numFmtId="0" fontId="175" fillId="0" borderId="106"/>
    <xf numFmtId="0" fontId="221" fillId="67" borderId="81" applyNumberFormat="0" applyAlignment="0" applyProtection="0"/>
    <xf numFmtId="0" fontId="222" fillId="97" borderId="0"/>
    <xf numFmtId="194" fontId="21" fillId="0" borderId="0"/>
    <xf numFmtId="0" fontId="21" fillId="0" borderId="0"/>
    <xf numFmtId="0" fontId="223" fillId="0" borderId="0" applyNumberFormat="0" applyFill="0" applyBorder="0" applyAlignment="0" applyProtection="0"/>
    <xf numFmtId="0" fontId="224" fillId="0" borderId="98"/>
    <xf numFmtId="0" fontId="224" fillId="0" borderId="106"/>
    <xf numFmtId="0" fontId="224" fillId="98" borderId="106"/>
    <xf numFmtId="0" fontId="225" fillId="0" borderId="90" applyNumberFormat="0" applyFill="0" applyAlignment="0" applyProtection="0"/>
    <xf numFmtId="0" fontId="226" fillId="49" borderId="110" applyNumberFormat="0" applyFont="0" applyAlignment="0" applyProtection="0"/>
    <xf numFmtId="0" fontId="215" fillId="61" borderId="0" applyNumberFormat="0" applyBorder="0" applyAlignment="0" applyProtection="0"/>
    <xf numFmtId="0" fontId="215" fillId="62" borderId="0" applyNumberFormat="0" applyBorder="0" applyAlignment="0" applyProtection="0"/>
    <xf numFmtId="0" fontId="215" fillId="63" borderId="0" applyNumberFormat="0" applyBorder="0" applyAlignment="0" applyProtection="0"/>
    <xf numFmtId="0" fontId="215" fillId="59" borderId="0" applyNumberFormat="0" applyBorder="0" applyAlignment="0" applyProtection="0"/>
    <xf numFmtId="0" fontId="215" fillId="58" borderId="0" applyNumberFormat="0" applyBorder="0" applyAlignment="0" applyProtection="0"/>
    <xf numFmtId="0" fontId="215" fillId="65" borderId="0" applyNumberFormat="0" applyBorder="0" applyAlignment="0" applyProtection="0"/>
    <xf numFmtId="0" fontId="227" fillId="48" borderId="0" applyNumberFormat="0" applyBorder="0" applyAlignment="0" applyProtection="0"/>
    <xf numFmtId="0" fontId="228" fillId="53" borderId="111" applyNumberFormat="0" applyAlignment="0" applyProtection="0"/>
    <xf numFmtId="0" fontId="229" fillId="0" borderId="0" applyNumberFormat="0" applyFill="0" applyBorder="0" applyAlignment="0" applyProtection="0"/>
    <xf numFmtId="0" fontId="9" fillId="0" borderId="0">
      <alignment vertical="top"/>
    </xf>
    <xf numFmtId="0" fontId="9" fillId="0" borderId="0">
      <alignment vertical="top"/>
    </xf>
    <xf numFmtId="0" fontId="230" fillId="0" borderId="115" applyNumberFormat="0" applyFill="0" applyAlignment="0" applyProtection="0"/>
    <xf numFmtId="0" fontId="175" fillId="0" borderId="0"/>
    <xf numFmtId="0" fontId="231" fillId="46" borderId="0" applyNumberFormat="0" applyBorder="0" applyAlignment="0" applyProtection="0"/>
    <xf numFmtId="0" fontId="232" fillId="55" borderId="0" applyNumberFormat="0" applyBorder="0" applyAlignment="0" applyProtection="0"/>
    <xf numFmtId="0" fontId="233" fillId="53" borderId="105" applyNumberFormat="0" applyAlignment="0" applyProtection="0"/>
    <xf numFmtId="9" fontId="226" fillId="0" borderId="0" applyFont="0" applyFill="0" applyBorder="0" applyAlignment="0" applyProtection="0"/>
    <xf numFmtId="0" fontId="234" fillId="0" borderId="0"/>
    <xf numFmtId="43" fontId="24"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85" fillId="0" borderId="0" applyNumberFormat="0" applyFill="0" applyBorder="0" applyAlignment="0" applyProtection="0">
      <alignment vertical="top"/>
      <protection locked="0"/>
    </xf>
    <xf numFmtId="0" fontId="78" fillId="0" borderId="0">
      <alignment vertical="top"/>
    </xf>
    <xf numFmtId="0" fontId="24" fillId="0" borderId="0"/>
    <xf numFmtId="43" fontId="76" fillId="0" borderId="0" applyFont="0" applyFill="0" applyBorder="0" applyAlignment="0" applyProtection="0"/>
    <xf numFmtId="0" fontId="24" fillId="0" borderId="0"/>
    <xf numFmtId="0" fontId="24" fillId="0" borderId="0"/>
    <xf numFmtId="0" fontId="126" fillId="0" borderId="0"/>
    <xf numFmtId="43" fontId="76" fillId="0" borderId="0" applyFont="0" applyFill="0" applyBorder="0" applyAlignment="0" applyProtection="0"/>
    <xf numFmtId="43" fontId="7" fillId="0" borderId="0" applyFont="0" applyFill="0" applyBorder="0" applyAlignment="0" applyProtection="0"/>
    <xf numFmtId="0" fontId="7" fillId="0" borderId="0"/>
    <xf numFmtId="0" fontId="24" fillId="0" borderId="0"/>
    <xf numFmtId="43" fontId="24" fillId="0" borderId="0" applyFont="0" applyFill="0" applyBorder="0" applyAlignment="0" applyProtection="0"/>
    <xf numFmtId="43" fontId="250"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50" fillId="0" borderId="0" applyFont="0" applyFill="0" applyBorder="0" applyAlignment="0" applyProtection="0"/>
    <xf numFmtId="0" fontId="252" fillId="0" borderId="0"/>
    <xf numFmtId="0" fontId="24" fillId="0" borderId="0"/>
    <xf numFmtId="0" fontId="126" fillId="0" borderId="0"/>
    <xf numFmtId="0" fontId="254" fillId="0" borderId="0"/>
    <xf numFmtId="0" fontId="24" fillId="0" borderId="0"/>
    <xf numFmtId="0" fontId="76" fillId="0" borderId="0"/>
    <xf numFmtId="264" fontId="77" fillId="0" borderId="0"/>
    <xf numFmtId="0" fontId="76" fillId="0" borderId="0"/>
    <xf numFmtId="165" fontId="24" fillId="0" borderId="0" applyFont="0" applyFill="0" applyBorder="0" applyAlignment="0" applyProtection="0"/>
    <xf numFmtId="0" fontId="5"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76" fillId="0" borderId="0"/>
    <xf numFmtId="264" fontId="76" fillId="0" borderId="0"/>
    <xf numFmtId="264" fontId="24" fillId="0" borderId="0"/>
    <xf numFmtId="264" fontId="119" fillId="0" borderId="128" applyNumberFormat="0" applyFill="0" applyAlignment="0" applyProtection="0"/>
    <xf numFmtId="43" fontId="24" fillId="0" borderId="0" applyFont="0" applyFill="0" applyBorder="0" applyAlignment="0" applyProtection="0"/>
    <xf numFmtId="264" fontId="125" fillId="0" borderId="0"/>
    <xf numFmtId="264" fontId="125" fillId="0" borderId="0"/>
    <xf numFmtId="264" fontId="125" fillId="0" borderId="0"/>
    <xf numFmtId="264" fontId="125" fillId="0" borderId="0"/>
    <xf numFmtId="264" fontId="125" fillId="0" borderId="0"/>
    <xf numFmtId="264" fontId="125" fillId="0" borderId="0"/>
    <xf numFmtId="264" fontId="125" fillId="0" borderId="0"/>
    <xf numFmtId="264" fontId="125" fillId="0" borderId="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64" fontId="24" fillId="0" borderId="0" applyFont="0" applyFill="0" applyBorder="0" applyAlignment="0" applyProtection="0"/>
    <xf numFmtId="167" fontId="80"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43" fontId="24" fillId="0" borderId="0" applyFont="0" applyFill="0" applyBorder="0" applyAlignment="0" applyProtection="0"/>
    <xf numFmtId="267" fontId="77" fillId="0" borderId="0" applyFont="0" applyFill="0" applyBorder="0" applyAlignment="0" applyProtection="0"/>
    <xf numFmtId="167" fontId="80" fillId="0" borderId="0" applyFont="0" applyFill="0" applyBorder="0" applyAlignment="0" applyProtection="0"/>
    <xf numFmtId="165" fontId="80"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264" fontId="24" fillId="0" borderId="0" applyFont="0" applyFill="0" applyBorder="0" applyAlignment="0" applyProtection="0"/>
    <xf numFmtId="264" fontId="24" fillId="0" borderId="0"/>
    <xf numFmtId="264" fontId="24" fillId="0" borderId="0"/>
    <xf numFmtId="264" fontId="31" fillId="0" borderId="107" applyNumberFormat="0" applyAlignment="0" applyProtection="0">
      <alignment horizontal="left" vertical="center"/>
    </xf>
    <xf numFmtId="264" fontId="31" fillId="0" borderId="108">
      <alignment horizontal="left" vertical="center"/>
    </xf>
    <xf numFmtId="14" fontId="35" fillId="109" borderId="26">
      <alignment horizontal="center" vertical="center" wrapText="1"/>
    </xf>
    <xf numFmtId="264" fontId="24" fillId="0" borderId="0"/>
    <xf numFmtId="264" fontId="24" fillId="0" borderId="0"/>
    <xf numFmtId="264" fontId="24" fillId="0" borderId="0"/>
    <xf numFmtId="264" fontId="24" fillId="0" borderId="0"/>
    <xf numFmtId="264" fontId="21" fillId="0" borderId="0"/>
    <xf numFmtId="264" fontId="24" fillId="0" borderId="0"/>
    <xf numFmtId="264" fontId="76" fillId="0" borderId="0"/>
    <xf numFmtId="264" fontId="76" fillId="0" borderId="0"/>
    <xf numFmtId="264" fontId="24"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76" fillId="0" borderId="0"/>
    <xf numFmtId="264" fontId="76" fillId="0" borderId="0"/>
    <xf numFmtId="264" fontId="24" fillId="0" borderId="0"/>
    <xf numFmtId="264" fontId="76" fillId="0" borderId="0"/>
    <xf numFmtId="264" fontId="76" fillId="0" borderId="0"/>
    <xf numFmtId="264" fontId="24" fillId="0" borderId="0"/>
    <xf numFmtId="264" fontId="76"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24" fillId="0" borderId="0"/>
    <xf numFmtId="264" fontId="3" fillId="0" borderId="0"/>
    <xf numFmtId="264" fontId="24" fillId="0" borderId="0"/>
    <xf numFmtId="264" fontId="3" fillId="0" borderId="0"/>
    <xf numFmtId="264" fontId="3" fillId="0" borderId="0"/>
    <xf numFmtId="264" fontId="3" fillId="0" borderId="0"/>
    <xf numFmtId="264" fontId="3" fillId="0" borderId="0"/>
    <xf numFmtId="264" fontId="76" fillId="0" borderId="0"/>
    <xf numFmtId="264" fontId="24" fillId="0" borderId="0"/>
    <xf numFmtId="264" fontId="24" fillId="0" borderId="0"/>
    <xf numFmtId="264" fontId="3" fillId="0" borderId="0"/>
    <xf numFmtId="264" fontId="24" fillId="0" borderId="0"/>
    <xf numFmtId="264" fontId="24" fillId="0" borderId="0"/>
    <xf numFmtId="264" fontId="24" fillId="0" borderId="0"/>
    <xf numFmtId="264" fontId="76" fillId="0" borderId="0">
      <alignment vertical="top"/>
    </xf>
    <xf numFmtId="264" fontId="32" fillId="0" borderId="0">
      <alignment vertical="top"/>
    </xf>
    <xf numFmtId="264" fontId="24" fillId="0" borderId="0"/>
    <xf numFmtId="264" fontId="24" fillId="0" borderId="0"/>
    <xf numFmtId="269" fontId="24" fillId="0" borderId="0" applyFont="0" applyFill="0" applyBorder="0" applyAlignment="0" applyProtection="0"/>
    <xf numFmtId="9" fontId="77" fillId="0" borderId="0" applyFont="0" applyFill="0" applyBorder="0" applyAlignment="0" applyProtection="0"/>
    <xf numFmtId="264" fontId="24" fillId="0" borderId="0"/>
    <xf numFmtId="264" fontId="24" fillId="0" borderId="0"/>
    <xf numFmtId="264" fontId="32" fillId="0" borderId="0">
      <alignment vertical="top"/>
    </xf>
    <xf numFmtId="264" fontId="112" fillId="0" borderId="0">
      <alignment horizontal="left" vertical="center"/>
    </xf>
    <xf numFmtId="264" fontId="113" fillId="0" borderId="0" applyNumberFormat="0" applyFill="0" applyBorder="0" applyProtection="0">
      <alignment vertical="center"/>
    </xf>
    <xf numFmtId="264" fontId="245" fillId="0" borderId="0" applyFill="0" applyBorder="0" applyProtection="0">
      <alignment horizontal="left" vertical="top"/>
    </xf>
    <xf numFmtId="264" fontId="96" fillId="0" borderId="0"/>
    <xf numFmtId="14" fontId="35" fillId="109" borderId="26">
      <alignment horizontal="center" vertical="center" wrapText="1"/>
    </xf>
    <xf numFmtId="264" fontId="3" fillId="0" borderId="0"/>
    <xf numFmtId="264" fontId="3" fillId="0" borderId="0"/>
    <xf numFmtId="264" fontId="24" fillId="0" borderId="0"/>
    <xf numFmtId="264" fontId="24" fillId="0" borderId="0"/>
    <xf numFmtId="264" fontId="24" fillId="0" borderId="0" applyFont="0" applyFill="0" applyBorder="0" applyAlignment="0" applyProtection="0"/>
    <xf numFmtId="264" fontId="24" fillId="0" borderId="0"/>
    <xf numFmtId="264" fontId="24" fillId="0" borderId="0"/>
    <xf numFmtId="264" fontId="3" fillId="0" borderId="0"/>
    <xf numFmtId="43" fontId="3" fillId="0" borderId="0" applyFont="0" applyFill="0" applyBorder="0" applyAlignment="0" applyProtection="0"/>
    <xf numFmtId="264" fontId="3" fillId="19" borderId="76" applyNumberFormat="0" applyFont="0" applyAlignment="0" applyProtection="0"/>
    <xf numFmtId="264" fontId="24" fillId="0" borderId="0"/>
    <xf numFmtId="264" fontId="24" fillId="0" borderId="0"/>
    <xf numFmtId="264" fontId="32" fillId="0" borderId="0">
      <alignment vertical="top"/>
    </xf>
    <xf numFmtId="264" fontId="32" fillId="0" borderId="0">
      <alignment vertical="top"/>
    </xf>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32" fillId="0" borderId="0">
      <alignment vertical="top"/>
    </xf>
    <xf numFmtId="264" fontId="32" fillId="0" borderId="0">
      <alignment vertical="top"/>
    </xf>
    <xf numFmtId="264" fontId="117" fillId="0" borderId="0"/>
    <xf numFmtId="264" fontId="117" fillId="0" borderId="0"/>
    <xf numFmtId="264" fontId="117" fillId="0" borderId="0"/>
    <xf numFmtId="264" fontId="117" fillId="0" borderId="0"/>
    <xf numFmtId="264" fontId="117" fillId="0" borderId="0"/>
    <xf numFmtId="264" fontId="24" fillId="0" borderId="0"/>
    <xf numFmtId="264" fontId="117" fillId="0" borderId="0"/>
    <xf numFmtId="264" fontId="24" fillId="0" borderId="0"/>
    <xf numFmtId="264" fontId="24" fillId="0" borderId="0"/>
    <xf numFmtId="264" fontId="117" fillId="0" borderId="0"/>
    <xf numFmtId="264" fontId="24" fillId="0" borderId="0"/>
    <xf numFmtId="49" fontId="24" fillId="0" borderId="0" applyNumberFormat="0" applyFont="0" applyFill="0" applyBorder="0" applyAlignment="0" applyProtection="0"/>
    <xf numFmtId="264" fontId="24" fillId="0" borderId="0"/>
    <xf numFmtId="264" fontId="24" fillId="0" borderId="0"/>
    <xf numFmtId="264" fontId="24" fillId="0" borderId="0"/>
    <xf numFmtId="264" fontId="24" fillId="0" borderId="0"/>
    <xf numFmtId="264" fontId="24" fillId="0" borderId="0"/>
    <xf numFmtId="264" fontId="76" fillId="0" borderId="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49" fontId="24" fillId="0" borderId="0" applyNumberFormat="0" applyFont="0" applyFill="0" applyBorder="0" applyAlignment="0" applyProtection="0"/>
    <xf numFmtId="264" fontId="76" fillId="0" borderId="0"/>
    <xf numFmtId="264" fontId="21" fillId="52" borderId="0" applyNumberFormat="0" applyBorder="0" applyAlignment="0" applyProtection="0"/>
    <xf numFmtId="264" fontId="21" fillId="47" borderId="0" applyNumberFormat="0" applyBorder="0" applyAlignment="0" applyProtection="0"/>
    <xf numFmtId="264" fontId="21" fillId="49" borderId="0" applyNumberFormat="0" applyBorder="0" applyAlignment="0" applyProtection="0"/>
    <xf numFmtId="264" fontId="21" fillId="45" borderId="0" applyNumberFormat="0" applyBorder="0" applyAlignment="0" applyProtection="0"/>
    <xf numFmtId="264" fontId="21" fillId="51" borderId="0" applyNumberFormat="0" applyBorder="0" applyAlignment="0" applyProtection="0"/>
    <xf numFmtId="264" fontId="21" fillId="49" borderId="0" applyNumberFormat="0" applyBorder="0" applyAlignment="0" applyProtection="0"/>
    <xf numFmtId="264" fontId="21" fillId="51" borderId="0" applyNumberFormat="0" applyBorder="0" applyAlignment="0" applyProtection="0"/>
    <xf numFmtId="264" fontId="21" fillId="47" borderId="0" applyNumberFormat="0" applyBorder="0" applyAlignment="0" applyProtection="0"/>
    <xf numFmtId="264" fontId="21" fillId="55" borderId="0" applyNumberFormat="0" applyBorder="0" applyAlignment="0" applyProtection="0"/>
    <xf numFmtId="264" fontId="21" fillId="46" borderId="0" applyNumberFormat="0" applyBorder="0" applyAlignment="0" applyProtection="0"/>
    <xf numFmtId="264" fontId="21" fillId="51" borderId="0" applyNumberFormat="0" applyBorder="0" applyAlignment="0" applyProtection="0"/>
    <xf numFmtId="264" fontId="21" fillId="49" borderId="0" applyNumberFormat="0" applyBorder="0" applyAlignment="0" applyProtection="0"/>
    <xf numFmtId="264" fontId="99" fillId="51" borderId="0" applyNumberFormat="0" applyBorder="0" applyAlignment="0" applyProtection="0"/>
    <xf numFmtId="264" fontId="99" fillId="65" borderId="0" applyNumberFormat="0" applyBorder="0" applyAlignment="0" applyProtection="0"/>
    <xf numFmtId="264" fontId="99" fillId="56" borderId="0" applyNumberFormat="0" applyBorder="0" applyAlignment="0" applyProtection="0"/>
    <xf numFmtId="264" fontId="99" fillId="46" borderId="0" applyNumberFormat="0" applyBorder="0" applyAlignment="0" applyProtection="0"/>
    <xf numFmtId="264" fontId="99" fillId="51" borderId="0" applyNumberFormat="0" applyBorder="0" applyAlignment="0" applyProtection="0"/>
    <xf numFmtId="264" fontId="99" fillId="47" borderId="0" applyNumberFormat="0" applyBorder="0" applyAlignment="0" applyProtection="0"/>
    <xf numFmtId="264" fontId="99" fillId="110" borderId="0" applyNumberFormat="0" applyBorder="0" applyAlignment="0" applyProtection="0"/>
    <xf numFmtId="264" fontId="99" fillId="65" borderId="0" applyNumberFormat="0" applyBorder="0" applyAlignment="0" applyProtection="0"/>
    <xf numFmtId="264" fontId="99" fillId="56" borderId="0" applyNumberFormat="0" applyBorder="0" applyAlignment="0" applyProtection="0"/>
    <xf numFmtId="264" fontId="99" fillId="64" borderId="0" applyNumberFormat="0" applyBorder="0" applyAlignment="0" applyProtection="0"/>
    <xf numFmtId="264" fontId="99" fillId="58" borderId="0" applyNumberFormat="0" applyBorder="0" applyAlignment="0" applyProtection="0"/>
    <xf numFmtId="264" fontId="99" fillId="62" borderId="0" applyNumberFormat="0" applyBorder="0" applyAlignment="0" applyProtection="0"/>
    <xf numFmtId="264" fontId="100" fillId="50" borderId="0" applyNumberFormat="0" applyBorder="0" applyAlignment="0" applyProtection="0"/>
    <xf numFmtId="264" fontId="271" fillId="66" borderId="80" applyNumberFormat="0" applyAlignment="0" applyProtection="0"/>
    <xf numFmtId="264" fontId="102" fillId="67" borderId="81"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264" fontId="24" fillId="0" borderId="0" applyFont="0" applyFill="0" applyBorder="0" applyAlignment="0" applyProtection="0"/>
    <xf numFmtId="264" fontId="103" fillId="0" borderId="0" applyNumberFormat="0" applyFill="0" applyBorder="0" applyAlignment="0" applyProtection="0"/>
    <xf numFmtId="264" fontId="104" fillId="51" borderId="0" applyNumberFormat="0" applyBorder="0" applyAlignment="0" applyProtection="0"/>
    <xf numFmtId="264" fontId="150" fillId="0" borderId="131" applyNumberFormat="0" applyFill="0" applyAlignment="0" applyProtection="0"/>
    <xf numFmtId="264" fontId="151" fillId="0" borderId="132" applyNumberFormat="0" applyFill="0" applyAlignment="0" applyProtection="0"/>
    <xf numFmtId="264" fontId="152" fillId="0" borderId="133" applyNumberFormat="0" applyFill="0" applyAlignment="0" applyProtection="0"/>
    <xf numFmtId="264" fontId="152" fillId="0" borderId="0" applyNumberFormat="0" applyFill="0" applyBorder="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08" fillId="55" borderId="80" applyNumberFormat="0" applyAlignment="0" applyProtection="0"/>
    <xf numFmtId="264" fontId="116" fillId="0" borderId="134" applyNumberFormat="0" applyFill="0" applyAlignment="0" applyProtection="0"/>
    <xf numFmtId="264" fontId="272" fillId="55" borderId="0" applyNumberFormat="0" applyBorder="0" applyAlignment="0" applyProtection="0"/>
    <xf numFmtId="264" fontId="125" fillId="0" borderId="0"/>
    <xf numFmtId="264" fontId="125" fillId="0" borderId="0"/>
    <xf numFmtId="264" fontId="125" fillId="0" borderId="0"/>
    <xf numFmtId="264" fontId="125" fillId="0" borderId="0"/>
    <xf numFmtId="264" fontId="125" fillId="0" borderId="0"/>
    <xf numFmtId="264" fontId="125" fillId="0" borderId="0"/>
    <xf numFmtId="264" fontId="125"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applyNumberFormat="0" applyFont="0" applyFill="0" applyBorder="0" applyAlignment="0" applyProtection="0"/>
    <xf numFmtId="264" fontId="21" fillId="19" borderId="76" applyNumberFormat="0" applyFont="0" applyAlignment="0" applyProtection="0"/>
    <xf numFmtId="264" fontId="21" fillId="19" borderId="76" applyNumberFormat="0" applyFont="0" applyAlignment="0" applyProtection="0"/>
    <xf numFmtId="264" fontId="24" fillId="49" borderId="92" applyNumberFormat="0" applyFont="0" applyAlignment="0" applyProtection="0"/>
    <xf numFmtId="264" fontId="111" fillId="66" borderId="93"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264" fontId="153" fillId="0" borderId="0" applyNumberFormat="0" applyFill="0" applyBorder="0" applyAlignment="0" applyProtection="0"/>
    <xf numFmtId="264" fontId="115" fillId="0" borderId="135" applyNumberFormat="0" applyFill="0" applyAlignment="0" applyProtection="0"/>
    <xf numFmtId="264" fontId="116" fillId="0" borderId="0" applyNumberFormat="0" applyFill="0" applyBorder="0" applyAlignment="0" applyProtection="0"/>
    <xf numFmtId="49" fontId="76" fillId="0" borderId="0" applyNumberFormat="0" applyFont="0" applyFill="0" applyBorder="0" applyAlignment="0" applyProtection="0"/>
    <xf numFmtId="264" fontId="24" fillId="0" borderId="0">
      <alignment vertical="top"/>
    </xf>
    <xf numFmtId="264" fontId="126" fillId="0" borderId="0"/>
    <xf numFmtId="264" fontId="32" fillId="0" borderId="0">
      <alignment vertical="top"/>
    </xf>
    <xf numFmtId="264" fontId="32" fillId="0" borderId="0">
      <alignment vertical="top"/>
    </xf>
    <xf numFmtId="264" fontId="117" fillId="0" borderId="0"/>
    <xf numFmtId="264" fontId="117" fillId="0" borderId="0"/>
    <xf numFmtId="264" fontId="117" fillId="0" borderId="0"/>
    <xf numFmtId="264" fontId="117" fillId="0" borderId="0"/>
    <xf numFmtId="264" fontId="117" fillId="0" borderId="0"/>
    <xf numFmtId="264" fontId="117" fillId="0" borderId="0"/>
    <xf numFmtId="264" fontId="117" fillId="0" borderId="0"/>
    <xf numFmtId="264" fontId="117" fillId="0" borderId="0"/>
    <xf numFmtId="264" fontId="32" fillId="0" borderId="0">
      <alignment vertical="top"/>
    </xf>
    <xf numFmtId="264" fontId="117" fillId="0" borderId="0"/>
    <xf numFmtId="264" fontId="32" fillId="44" borderId="0" applyNumberFormat="0" applyBorder="0" applyAlignment="0" applyProtection="0"/>
    <xf numFmtId="264" fontId="32" fillId="46" borderId="0" applyNumberFormat="0" applyBorder="0" applyAlignment="0" applyProtection="0"/>
    <xf numFmtId="264" fontId="32" fillId="48" borderId="0" applyNumberFormat="0" applyBorder="0" applyAlignment="0" applyProtection="0"/>
    <xf numFmtId="264" fontId="32" fillId="50" borderId="0" applyNumberFormat="0" applyBorder="0" applyAlignment="0" applyProtection="0"/>
    <xf numFmtId="264" fontId="32" fillId="51" borderId="0" applyNumberFormat="0" applyBorder="0" applyAlignment="0" applyProtection="0"/>
    <xf numFmtId="264" fontId="32" fillId="45" borderId="0" applyNumberFormat="0" applyBorder="0" applyAlignment="0" applyProtection="0"/>
    <xf numFmtId="264" fontId="32" fillId="52" borderId="0" applyNumberFormat="0" applyBorder="0" applyAlignment="0" applyProtection="0"/>
    <xf numFmtId="264" fontId="32" fillId="47" borderId="0" applyNumberFormat="0" applyBorder="0" applyAlignment="0" applyProtection="0"/>
    <xf numFmtId="264" fontId="32" fillId="54" borderId="0" applyNumberFormat="0" applyBorder="0" applyAlignment="0" applyProtection="0"/>
    <xf numFmtId="264" fontId="32" fillId="50" borderId="0" applyNumberFormat="0" applyBorder="0" applyAlignment="0" applyProtection="0"/>
    <xf numFmtId="264" fontId="32" fillId="52" borderId="0" applyNumberFormat="0" applyBorder="0" applyAlignment="0" applyProtection="0"/>
    <xf numFmtId="264" fontId="32" fillId="56" borderId="0" applyNumberFormat="0" applyBorder="0" applyAlignment="0" applyProtection="0"/>
    <xf numFmtId="264" fontId="275" fillId="57" borderId="0" applyNumberFormat="0" applyBorder="0" applyAlignment="0" applyProtection="0"/>
    <xf numFmtId="264" fontId="275" fillId="47" borderId="0" applyNumberFormat="0" applyBorder="0" applyAlignment="0" applyProtection="0"/>
    <xf numFmtId="264" fontId="275" fillId="54" borderId="0" applyNumberFormat="0" applyBorder="0" applyAlignment="0" applyProtection="0"/>
    <xf numFmtId="264" fontId="275" fillId="59" borderId="0" applyNumberFormat="0" applyBorder="0" applyAlignment="0" applyProtection="0"/>
    <xf numFmtId="264" fontId="275" fillId="58" borderId="0" applyNumberFormat="0" applyBorder="0" applyAlignment="0" applyProtection="0"/>
    <xf numFmtId="264" fontId="275" fillId="60" borderId="0" applyNumberFormat="0" applyBorder="0" applyAlignment="0" applyProtection="0"/>
    <xf numFmtId="264" fontId="275" fillId="61" borderId="0" applyNumberFormat="0" applyBorder="0" applyAlignment="0" applyProtection="0"/>
    <xf numFmtId="264" fontId="275" fillId="62" borderId="0" applyNumberFormat="0" applyBorder="0" applyAlignment="0" applyProtection="0"/>
    <xf numFmtId="264" fontId="275" fillId="63" borderId="0" applyNumberFormat="0" applyBorder="0" applyAlignment="0" applyProtection="0"/>
    <xf numFmtId="264" fontId="275" fillId="59" borderId="0" applyNumberFormat="0" applyBorder="0" applyAlignment="0" applyProtection="0"/>
    <xf numFmtId="264" fontId="275" fillId="58" borderId="0" applyNumberFormat="0" applyBorder="0" applyAlignment="0" applyProtection="0"/>
    <xf numFmtId="264" fontId="275" fillId="65" borderId="0" applyNumberFormat="0" applyBorder="0" applyAlignment="0" applyProtection="0"/>
    <xf numFmtId="264" fontId="276" fillId="46" borderId="0" applyNumberFormat="0" applyBorder="0" applyAlignment="0" applyProtection="0"/>
    <xf numFmtId="264" fontId="277" fillId="53" borderId="80" applyNumberFormat="0" applyAlignment="0" applyProtection="0"/>
    <xf numFmtId="264" fontId="142" fillId="67" borderId="81" applyNumberFormat="0" applyAlignment="0" applyProtection="0"/>
    <xf numFmtId="43" fontId="32" fillId="0" borderId="0" applyFont="0" applyFill="0" applyBorder="0" applyAlignment="0" applyProtection="0"/>
    <xf numFmtId="264" fontId="24" fillId="0" borderId="0" applyFont="0" applyFill="0" applyBorder="0" applyAlignment="0" applyProtection="0"/>
    <xf numFmtId="43" fontId="7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alignment vertical="top"/>
    </xf>
    <xf numFmtId="191" fontId="24" fillId="0" borderId="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50" fillId="0" borderId="0" applyFont="0" applyFill="0" applyBorder="0" applyAlignment="0" applyProtection="0"/>
    <xf numFmtId="264" fontId="24" fillId="0" borderId="0" applyFont="0" applyFill="0" applyBorder="0" applyAlignment="0" applyProtection="0"/>
    <xf numFmtId="43" fontId="32" fillId="0" borderId="0" applyFont="0" applyFill="0" applyBorder="0" applyAlignment="0" applyProtection="0"/>
    <xf numFmtId="264" fontId="24" fillId="0" borderId="0" applyFont="0" applyFill="0" applyBorder="0" applyAlignment="0" applyProtection="0"/>
    <xf numFmtId="43" fontId="278"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194" fontId="24" fillId="0" borderId="0" applyFill="0" applyBorder="0" applyAlignment="0" applyProtection="0"/>
    <xf numFmtId="175" fontId="24" fillId="0" borderId="0" applyFont="0" applyFill="0" applyBorder="0" applyAlignment="0" applyProtection="0"/>
    <xf numFmtId="43" fontId="32" fillId="0" borderId="0" applyFont="0" applyFill="0" applyBorder="0" applyAlignment="0" applyProtection="0">
      <alignment vertical="top"/>
    </xf>
    <xf numFmtId="43" fontId="24" fillId="0" borderId="0" applyFont="0" applyFill="0" applyBorder="0" applyAlignment="0" applyProtection="0"/>
    <xf numFmtId="43" fontId="21" fillId="0" borderId="0" applyFont="0" applyFill="0" applyBorder="0" applyAlignment="0" applyProtection="0"/>
    <xf numFmtId="165" fontId="24" fillId="0" borderId="0" applyFont="0" applyFill="0" applyBorder="0" applyAlignment="0" applyProtection="0"/>
    <xf numFmtId="264" fontId="118" fillId="0" borderId="0" applyNumberFormat="0" applyFill="0" applyBorder="0" applyAlignment="0" applyProtection="0"/>
    <xf numFmtId="264" fontId="76" fillId="0" borderId="0" applyFont="0" applyFill="0" applyBorder="0" applyAlignment="0" applyProtection="0"/>
    <xf numFmtId="264" fontId="76" fillId="0" borderId="0" applyFont="0" applyFill="0" applyBorder="0" applyAlignment="0" applyProtection="0"/>
    <xf numFmtId="264" fontId="76" fillId="0" borderId="0" applyFont="0" applyFill="0" applyBorder="0" applyAlignment="0" applyProtection="0"/>
    <xf numFmtId="264" fontId="76" fillId="0" borderId="0" applyFont="0" applyFill="0" applyBorder="0" applyAlignment="0" applyProtection="0"/>
    <xf numFmtId="264" fontId="76" fillId="0" borderId="0" applyFont="0" applyFill="0" applyBorder="0" applyAlignment="0" applyProtection="0"/>
    <xf numFmtId="264" fontId="76" fillId="0" borderId="0" applyFont="0" applyFill="0" applyBorder="0" applyAlignment="0" applyProtection="0"/>
    <xf numFmtId="264" fontId="76" fillId="0" borderId="0" applyFont="0" applyFill="0" applyBorder="0" applyAlignment="0" applyProtection="0"/>
    <xf numFmtId="264" fontId="76" fillId="0" borderId="0" applyFont="0" applyFill="0" applyBorder="0" applyAlignment="0" applyProtection="0"/>
    <xf numFmtId="264" fontId="118" fillId="0" borderId="0" applyNumberForma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79" fillId="0" borderId="0" applyNumberFormat="0" applyFill="0" applyBorder="0" applyAlignment="0" applyProtection="0"/>
    <xf numFmtId="264" fontId="280" fillId="48" borderId="0" applyNumberFormat="0" applyBorder="0" applyAlignment="0" applyProtection="0"/>
    <xf numFmtId="264" fontId="281" fillId="0" borderId="85" applyNumberFormat="0" applyFill="0" applyAlignment="0" applyProtection="0"/>
    <xf numFmtId="264" fontId="282" fillId="0" borderId="87" applyNumberFormat="0" applyFill="0" applyAlignment="0" applyProtection="0"/>
    <xf numFmtId="264" fontId="283" fillId="0" borderId="88" applyNumberFormat="0" applyFill="0" applyAlignment="0" applyProtection="0"/>
    <xf numFmtId="264" fontId="283" fillId="0" borderId="0" applyNumberFormat="0" applyFill="0" applyBorder="0" applyAlignment="0" applyProtection="0"/>
    <xf numFmtId="264" fontId="177" fillId="0" borderId="0" applyNumberFormat="0" applyFill="0" applyBorder="0" applyAlignment="0" applyProtection="0">
      <alignment vertical="top"/>
      <protection locked="0"/>
    </xf>
    <xf numFmtId="264" fontId="284" fillId="45" borderId="80" applyNumberFormat="0" applyAlignment="0" applyProtection="0"/>
    <xf numFmtId="264" fontId="285" fillId="0" borderId="90" applyNumberFormat="0" applyFill="0" applyAlignment="0" applyProtection="0"/>
    <xf numFmtId="264" fontId="270" fillId="55" borderId="0" applyNumberFormat="0" applyBorder="0" applyAlignment="0" applyProtection="0"/>
    <xf numFmtId="264" fontId="77" fillId="0" borderId="0"/>
    <xf numFmtId="264" fontId="24" fillId="0" borderId="0"/>
    <xf numFmtId="264" fontId="24" fillId="0" borderId="0"/>
    <xf numFmtId="264" fontId="32" fillId="0" borderId="0"/>
    <xf numFmtId="264" fontId="252" fillId="0" borderId="0"/>
    <xf numFmtId="264" fontId="24" fillId="0" borderId="0"/>
    <xf numFmtId="264" fontId="118" fillId="0" borderId="0"/>
    <xf numFmtId="264" fontId="32" fillId="0" borderId="0">
      <alignment vertical="top"/>
    </xf>
    <xf numFmtId="264" fontId="24" fillId="0" borderId="0">
      <alignment vertical="top"/>
    </xf>
    <xf numFmtId="264" fontId="76" fillId="0" borderId="0"/>
    <xf numFmtId="264" fontId="118" fillId="0" borderId="0"/>
    <xf numFmtId="264" fontId="76" fillId="0" borderId="0"/>
    <xf numFmtId="264" fontId="21" fillId="0" borderId="0"/>
    <xf numFmtId="264" fontId="24" fillId="0" borderId="0"/>
    <xf numFmtId="264" fontId="32" fillId="0" borderId="0">
      <alignment vertical="top"/>
    </xf>
    <xf numFmtId="264" fontId="76" fillId="0" borderId="0"/>
    <xf numFmtId="264" fontId="24" fillId="0" borderId="0">
      <alignment vertical="top"/>
    </xf>
    <xf numFmtId="264" fontId="24" fillId="0" borderId="0"/>
    <xf numFmtId="264" fontId="24" fillId="0" borderId="0"/>
    <xf numFmtId="264" fontId="24" fillId="0" borderId="0"/>
    <xf numFmtId="264" fontId="118" fillId="0" borderId="0"/>
    <xf numFmtId="264" fontId="21" fillId="0" borderId="0"/>
    <xf numFmtId="264" fontId="118" fillId="0" borderId="0"/>
    <xf numFmtId="264" fontId="21" fillId="0" borderId="0"/>
    <xf numFmtId="264" fontId="76" fillId="0" borderId="0"/>
    <xf numFmtId="264" fontId="24" fillId="0" borderId="0"/>
    <xf numFmtId="264" fontId="24" fillId="0" borderId="0">
      <alignment vertical="top"/>
    </xf>
    <xf numFmtId="264" fontId="76" fillId="0" borderId="0"/>
    <xf numFmtId="264" fontId="76" fillId="0" borderId="0"/>
    <xf numFmtId="264" fontId="32" fillId="0" borderId="0">
      <alignment vertical="top"/>
    </xf>
    <xf numFmtId="264" fontId="76" fillId="0" borderId="0">
      <alignment vertical="top"/>
    </xf>
    <xf numFmtId="264" fontId="21" fillId="0" borderId="0"/>
    <xf numFmtId="264" fontId="24" fillId="49" borderId="92" applyNumberFormat="0" applyFont="0" applyAlignment="0" applyProtection="0"/>
    <xf numFmtId="264" fontId="286" fillId="53" borderId="93" applyNumberFormat="0" applyAlignment="0" applyProtection="0"/>
    <xf numFmtId="264" fontId="143" fillId="70" borderId="5"/>
    <xf numFmtId="264" fontId="143" fillId="70" borderId="5"/>
    <xf numFmtId="264" fontId="29" fillId="0" borderId="0" applyFill="0" applyBorder="0" applyProtection="0">
      <alignment horizontal="center" vertical="center"/>
    </xf>
    <xf numFmtId="9" fontId="287" fillId="0" borderId="0" applyFont="0" applyFill="0" applyBorder="0" applyAlignment="0" applyProtection="0"/>
    <xf numFmtId="9" fontId="32" fillId="0" borderId="0" applyFont="0" applyFill="0" applyBorder="0" applyAlignment="0" applyProtection="0">
      <alignment vertical="top"/>
    </xf>
    <xf numFmtId="9" fontId="76" fillId="0" borderId="0" applyFont="0" applyFill="0" applyBorder="0" applyAlignment="0" applyProtection="0"/>
    <xf numFmtId="9" fontId="28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0" fillId="0" borderId="0" applyFont="0" applyFill="0" applyBorder="0" applyAlignment="0" applyProtection="0"/>
    <xf numFmtId="264" fontId="122" fillId="0" borderId="0" applyNumberFormat="0" applyBorder="0" applyAlignment="0"/>
    <xf numFmtId="264" fontId="32" fillId="0" borderId="0">
      <alignment vertical="top"/>
    </xf>
    <xf numFmtId="264" fontId="24" fillId="0" borderId="0"/>
    <xf numFmtId="264" fontId="32" fillId="0" borderId="0">
      <alignment vertical="top"/>
    </xf>
    <xf numFmtId="264" fontId="24" fillId="0" borderId="0"/>
    <xf numFmtId="264" fontId="120" fillId="0" borderId="0"/>
    <xf numFmtId="264" fontId="24" fillId="0" borderId="0" applyNumberFormat="0" applyBorder="0" applyAlignment="0" applyProtection="0"/>
    <xf numFmtId="264" fontId="114" fillId="0" borderId="0" applyNumberFormat="0" applyFill="0" applyBorder="0" applyAlignment="0" applyProtection="0"/>
    <xf numFmtId="264" fontId="274" fillId="0" borderId="96" applyNumberFormat="0" applyFill="0" applyAlignment="0" applyProtection="0"/>
    <xf numFmtId="264" fontId="42" fillId="0" borderId="0" applyNumberFormat="0" applyFill="0" applyBorder="0" applyAlignment="0" applyProtection="0"/>
    <xf numFmtId="264" fontId="288" fillId="0" borderId="0">
      <alignment vertical="top"/>
    </xf>
    <xf numFmtId="264" fontId="24" fillId="0" borderId="0"/>
    <xf numFmtId="264" fontId="126" fillId="0" borderId="0"/>
    <xf numFmtId="43" fontId="250" fillId="0" borderId="0" applyFont="0" applyFill="0" applyBorder="0" applyAlignment="0" applyProtection="0"/>
    <xf numFmtId="264" fontId="252" fillId="0" borderId="0"/>
    <xf numFmtId="264" fontId="126" fillId="0" borderId="0"/>
    <xf numFmtId="264" fontId="3" fillId="0" borderId="0"/>
    <xf numFmtId="43" fontId="3" fillId="0" borderId="0" applyFont="0" applyFill="0" applyBorder="0" applyAlignment="0" applyProtection="0"/>
    <xf numFmtId="264" fontId="252" fillId="0" borderId="0"/>
    <xf numFmtId="264" fontId="21" fillId="0" borderId="0"/>
    <xf numFmtId="264" fontId="21" fillId="0" borderId="0"/>
    <xf numFmtId="264" fontId="252" fillId="0" borderId="0"/>
    <xf numFmtId="43" fontId="24" fillId="0" borderId="0" applyFont="0" applyFill="0" applyBorder="0" applyAlignment="0" applyProtection="0"/>
    <xf numFmtId="264" fontId="126" fillId="0" borderId="0"/>
    <xf numFmtId="264" fontId="24" fillId="0" borderId="0"/>
    <xf numFmtId="49" fontId="76" fillId="0" borderId="0" applyNumberFormat="0" applyFont="0" applyFill="0" applyBorder="0" applyAlignment="0" applyProtection="0"/>
    <xf numFmtId="264" fontId="21" fillId="44" borderId="0" applyNumberFormat="0" applyBorder="0" applyAlignment="0" applyProtection="0"/>
    <xf numFmtId="264" fontId="21" fillId="46" borderId="0" applyNumberFormat="0" applyBorder="0" applyAlignment="0" applyProtection="0"/>
    <xf numFmtId="264" fontId="21" fillId="48" borderId="0" applyNumberFormat="0" applyBorder="0" applyAlignment="0" applyProtection="0"/>
    <xf numFmtId="264" fontId="21" fillId="50" borderId="0" applyNumberFormat="0" applyBorder="0" applyAlignment="0" applyProtection="0"/>
    <xf numFmtId="264" fontId="21" fillId="51" borderId="0" applyNumberFormat="0" applyBorder="0" applyAlignment="0" applyProtection="0"/>
    <xf numFmtId="264" fontId="21" fillId="45" borderId="0" applyNumberFormat="0" applyBorder="0" applyAlignment="0" applyProtection="0"/>
    <xf numFmtId="264" fontId="21" fillId="52" borderId="0" applyNumberFormat="0" applyBorder="0" applyAlignment="0" applyProtection="0"/>
    <xf numFmtId="264" fontId="21" fillId="47" borderId="0" applyNumberFormat="0" applyBorder="0" applyAlignment="0" applyProtection="0"/>
    <xf numFmtId="264" fontId="21" fillId="54" borderId="0" applyNumberFormat="0" applyBorder="0" applyAlignment="0" applyProtection="0"/>
    <xf numFmtId="264" fontId="21" fillId="50" borderId="0" applyNumberFormat="0" applyBorder="0" applyAlignment="0" applyProtection="0"/>
    <xf numFmtId="264" fontId="21" fillId="52" borderId="0" applyNumberFormat="0" applyBorder="0" applyAlignment="0" applyProtection="0"/>
    <xf numFmtId="264" fontId="21" fillId="56" borderId="0" applyNumberFormat="0" applyBorder="0" applyAlignment="0" applyProtection="0"/>
    <xf numFmtId="264" fontId="99" fillId="57" borderId="0" applyNumberFormat="0" applyBorder="0" applyAlignment="0" applyProtection="0"/>
    <xf numFmtId="264" fontId="99" fillId="47" borderId="0" applyNumberFormat="0" applyBorder="0" applyAlignment="0" applyProtection="0"/>
    <xf numFmtId="264" fontId="99" fillId="54" borderId="0" applyNumberFormat="0" applyBorder="0" applyAlignment="0" applyProtection="0"/>
    <xf numFmtId="264" fontId="99" fillId="59" borderId="0" applyNumberFormat="0" applyBorder="0" applyAlignment="0" applyProtection="0"/>
    <xf numFmtId="264" fontId="99" fillId="58" borderId="0" applyNumberFormat="0" applyBorder="0" applyAlignment="0" applyProtection="0"/>
    <xf numFmtId="264" fontId="99" fillId="60" borderId="0" applyNumberFormat="0" applyBorder="0" applyAlignment="0" applyProtection="0"/>
    <xf numFmtId="264" fontId="99" fillId="61" borderId="0" applyNumberFormat="0" applyBorder="0" applyAlignment="0" applyProtection="0"/>
    <xf numFmtId="264" fontId="99" fillId="62" borderId="0" applyNumberFormat="0" applyBorder="0" applyAlignment="0" applyProtection="0"/>
    <xf numFmtId="264" fontId="99" fillId="63" borderId="0" applyNumberFormat="0" applyBorder="0" applyAlignment="0" applyProtection="0"/>
    <xf numFmtId="264" fontId="99" fillId="59" borderId="0" applyNumberFormat="0" applyBorder="0" applyAlignment="0" applyProtection="0"/>
    <xf numFmtId="264" fontId="99" fillId="58" borderId="0" applyNumberFormat="0" applyBorder="0" applyAlignment="0" applyProtection="0"/>
    <xf numFmtId="264" fontId="99" fillId="65" borderId="0" applyNumberFormat="0" applyBorder="0" applyAlignment="0" applyProtection="0"/>
    <xf numFmtId="264" fontId="100" fillId="46" borderId="0" applyNumberFormat="0" applyBorder="0" applyAlignment="0" applyProtection="0"/>
    <xf numFmtId="264" fontId="101" fillId="53" borderId="80" applyNumberFormat="0" applyAlignment="0" applyProtection="0"/>
    <xf numFmtId="264" fontId="102" fillId="67" borderId="81" applyNumberFormat="0" applyAlignment="0" applyProtection="0"/>
    <xf numFmtId="43" fontId="250"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50" fillId="0" borderId="0" applyFont="0" applyFill="0" applyBorder="0" applyAlignment="0" applyProtection="0"/>
    <xf numFmtId="264" fontId="76" fillId="0" borderId="0" applyFont="0" applyFill="0" applyBorder="0" applyAlignment="0" applyProtection="0"/>
    <xf numFmtId="264" fontId="103" fillId="0" borderId="0" applyNumberFormat="0" applyFill="0" applyBorder="0" applyAlignment="0" applyProtection="0"/>
    <xf numFmtId="264" fontId="104" fillId="48" borderId="0" applyNumberFormat="0" applyBorder="0" applyAlignment="0" applyProtection="0"/>
    <xf numFmtId="264" fontId="105" fillId="0" borderId="85" applyNumberFormat="0" applyFill="0" applyAlignment="0" applyProtection="0"/>
    <xf numFmtId="264" fontId="106" fillId="0" borderId="87" applyNumberFormat="0" applyFill="0" applyAlignment="0" applyProtection="0"/>
    <xf numFmtId="264" fontId="107" fillId="0" borderId="88" applyNumberFormat="0" applyFill="0" applyAlignment="0" applyProtection="0"/>
    <xf numFmtId="264" fontId="107" fillId="0" borderId="0" applyNumberFormat="0" applyFill="0" applyBorder="0" applyAlignment="0" applyProtection="0"/>
    <xf numFmtId="264" fontId="108" fillId="45" borderId="80" applyNumberFormat="0" applyAlignment="0" applyProtection="0"/>
    <xf numFmtId="264" fontId="109" fillId="0" borderId="90" applyNumberFormat="0" applyFill="0" applyAlignment="0" applyProtection="0"/>
    <xf numFmtId="264" fontId="110" fillId="55" borderId="0" applyNumberFormat="0" applyBorder="0" applyAlignment="0" applyProtection="0"/>
    <xf numFmtId="264" fontId="126" fillId="0" borderId="0">
      <alignment vertical="top"/>
    </xf>
    <xf numFmtId="264" fontId="126" fillId="0" borderId="0">
      <alignment vertical="top"/>
    </xf>
    <xf numFmtId="264" fontId="252" fillId="0" borderId="0"/>
    <xf numFmtId="264" fontId="252" fillId="0" borderId="0"/>
    <xf numFmtId="264" fontId="252" fillId="0" borderId="0"/>
    <xf numFmtId="264" fontId="76" fillId="0" borderId="0"/>
    <xf numFmtId="264" fontId="76" fillId="0" borderId="0"/>
    <xf numFmtId="264" fontId="126" fillId="0" borderId="0"/>
    <xf numFmtId="264" fontId="126" fillId="0" borderId="0"/>
    <xf numFmtId="264" fontId="126" fillId="0" borderId="0"/>
    <xf numFmtId="264" fontId="76" fillId="49" borderId="92" applyNumberFormat="0" applyFont="0" applyAlignment="0" applyProtection="0"/>
    <xf numFmtId="264" fontId="111" fillId="53" borderId="93" applyNumberFormat="0" applyAlignment="0" applyProtection="0"/>
    <xf numFmtId="9" fontId="250" fillId="0" borderId="0" applyFont="0" applyFill="0" applyBorder="0" applyAlignment="0" applyProtection="0"/>
    <xf numFmtId="9" fontId="250" fillId="0" borderId="0" applyFont="0" applyFill="0" applyBorder="0" applyAlignment="0" applyProtection="0"/>
    <xf numFmtId="264" fontId="115" fillId="0" borderId="96" applyNumberFormat="0" applyFill="0" applyAlignment="0" applyProtection="0"/>
    <xf numFmtId="264" fontId="116" fillId="0" borderId="0" applyNumberFormat="0" applyFill="0" applyBorder="0" applyAlignment="0" applyProtection="0"/>
    <xf numFmtId="264" fontId="126" fillId="0" borderId="0"/>
    <xf numFmtId="43" fontId="250" fillId="0" borderId="0" applyFont="0" applyFill="0" applyBorder="0" applyAlignment="0" applyProtection="0"/>
    <xf numFmtId="43" fontId="250" fillId="0" borderId="0" applyFont="0" applyFill="0" applyBorder="0" applyAlignment="0" applyProtection="0"/>
    <xf numFmtId="43" fontId="76" fillId="0" borderId="0" applyFont="0" applyFill="0" applyBorder="0" applyAlignment="0" applyProtection="0"/>
    <xf numFmtId="43" fontId="250" fillId="0" borderId="0" applyFont="0" applyFill="0" applyBorder="0" applyAlignment="0" applyProtection="0"/>
    <xf numFmtId="264" fontId="108" fillId="45" borderId="80" applyNumberFormat="0" applyAlignment="0" applyProtection="0"/>
    <xf numFmtId="264" fontId="108" fillId="45" borderId="80" applyNumberFormat="0" applyAlignment="0" applyProtection="0"/>
    <xf numFmtId="264" fontId="108" fillId="45" borderId="80" applyNumberFormat="0" applyAlignment="0" applyProtection="0"/>
    <xf numFmtId="264" fontId="108" fillId="45" borderId="80" applyNumberFormat="0" applyAlignment="0" applyProtection="0"/>
    <xf numFmtId="264" fontId="108" fillId="45" borderId="80" applyNumberFormat="0" applyAlignment="0" applyProtection="0"/>
    <xf numFmtId="264" fontId="108" fillId="45" borderId="80" applyNumberFormat="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264" fontId="126" fillId="0" borderId="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264" fontId="126" fillId="0" borderId="0"/>
    <xf numFmtId="264" fontId="126" fillId="0" borderId="0"/>
    <xf numFmtId="264" fontId="126" fillId="0" borderId="0"/>
    <xf numFmtId="264" fontId="126" fillId="0" borderId="0"/>
    <xf numFmtId="264" fontId="126" fillId="0" borderId="0"/>
    <xf numFmtId="43" fontId="250" fillId="0" borderId="0" applyFont="0" applyFill="0" applyBorder="0" applyAlignment="0" applyProtection="0"/>
    <xf numFmtId="43" fontId="250" fillId="0" borderId="0" applyFont="0" applyFill="0" applyBorder="0" applyAlignment="0" applyProtection="0"/>
    <xf numFmtId="264" fontId="108" fillId="45" borderId="80" applyNumberFormat="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264" fontId="126" fillId="0" borderId="0"/>
    <xf numFmtId="43" fontId="250" fillId="0" borderId="0" applyFont="0" applyFill="0" applyBorder="0" applyAlignment="0" applyProtection="0"/>
    <xf numFmtId="264" fontId="108" fillId="45" borderId="80" applyNumberFormat="0" applyAlignment="0" applyProtection="0"/>
    <xf numFmtId="9" fontId="250" fillId="0" borderId="0" applyFont="0" applyFill="0" applyBorder="0" applyAlignment="0" applyProtection="0"/>
    <xf numFmtId="264" fontId="3" fillId="0" borderId="0"/>
    <xf numFmtId="43" fontId="3" fillId="0" borderId="0" applyFont="0" applyFill="0" applyBorder="0" applyAlignment="0" applyProtection="0"/>
    <xf numFmtId="43"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43" fontId="250" fillId="0" borderId="0" applyFont="0" applyFill="0" applyBorder="0" applyAlignment="0" applyProtection="0"/>
    <xf numFmtId="9" fontId="250"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264" fontId="76" fillId="0" borderId="0"/>
    <xf numFmtId="264" fontId="3" fillId="0" borderId="0"/>
    <xf numFmtId="264" fontId="118" fillId="0" borderId="0"/>
    <xf numFmtId="264" fontId="76" fillId="0" borderId="0"/>
    <xf numFmtId="9" fontId="24" fillId="0" borderId="0" applyFont="0" applyFill="0" applyBorder="0" applyAlignment="0" applyProtection="0"/>
    <xf numFmtId="49" fontId="76" fillId="0" borderId="0" applyNumberFormat="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43" fontId="24" fillId="0" borderId="0" applyFont="0" applyFill="0" applyBorder="0" applyAlignment="0" applyProtection="0"/>
    <xf numFmtId="194" fontId="24" fillId="0" borderId="0" applyFill="0" applyBorder="0" applyAlignment="0" applyProtection="0"/>
    <xf numFmtId="191" fontId="24" fillId="0" borderId="0" applyFill="0" applyBorder="0" applyAlignment="0" applyProtection="0"/>
    <xf numFmtId="2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64" fontId="24" fillId="0" borderId="0" applyFont="0" applyFill="0" applyBorder="0" applyAlignment="0" applyProtection="0"/>
    <xf numFmtId="264" fontId="24" fillId="0" borderId="0"/>
    <xf numFmtId="264" fontId="24" fillId="0" borderId="0"/>
    <xf numFmtId="264" fontId="24" fillId="0" borderId="0"/>
    <xf numFmtId="264" fontId="3" fillId="0" borderId="0"/>
    <xf numFmtId="264" fontId="24" fillId="0" borderId="0">
      <alignment vertical="top"/>
    </xf>
    <xf numFmtId="264" fontId="24" fillId="0" borderId="0"/>
    <xf numFmtId="264" fontId="24" fillId="0" borderId="0"/>
    <xf numFmtId="264" fontId="24" fillId="0" borderId="0"/>
    <xf numFmtId="9" fontId="24" fillId="0" borderId="0" applyFont="0" applyFill="0" applyBorder="0" applyAlignment="0" applyProtection="0"/>
    <xf numFmtId="264" fontId="24" fillId="0" borderId="0"/>
    <xf numFmtId="264" fontId="24" fillId="0" borderId="0" applyNumberFormat="0" applyBorder="0" applyAlignment="0" applyProtection="0"/>
    <xf numFmtId="264" fontId="252" fillId="0" borderId="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0" fillId="0" borderId="0" applyFont="0" applyFill="0" applyBorder="0" applyAlignment="0" applyProtection="0"/>
    <xf numFmtId="264" fontId="24"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3" fillId="0" borderId="0" applyFont="0" applyFill="0" applyBorder="0" applyAlignment="0" applyProtection="0"/>
    <xf numFmtId="264" fontId="24" fillId="0" borderId="0"/>
    <xf numFmtId="264" fontId="24" fillId="0" borderId="0"/>
    <xf numFmtId="264" fontId="24" fillId="0" borderId="0"/>
    <xf numFmtId="264" fontId="24" fillId="0" borderId="0"/>
    <xf numFmtId="264" fontId="3"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alignment vertical="top"/>
    </xf>
    <xf numFmtId="264" fontId="76" fillId="0" borderId="0"/>
    <xf numFmtId="264" fontId="24" fillId="0" borderId="0">
      <alignment vertical="top"/>
    </xf>
    <xf numFmtId="264" fontId="24" fillId="0" borderId="0">
      <alignment vertical="top"/>
    </xf>
    <xf numFmtId="264" fontId="24" fillId="0" borderId="0">
      <alignment vertical="top"/>
    </xf>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126" fillId="0" borderId="0"/>
    <xf numFmtId="264" fontId="126" fillId="0" borderId="0"/>
    <xf numFmtId="264" fontId="126" fillId="0" borderId="0"/>
    <xf numFmtId="264" fontId="126" fillId="0" borderId="0"/>
    <xf numFmtId="264" fontId="126" fillId="0" borderId="0"/>
    <xf numFmtId="264" fontId="126" fillId="0" borderId="0"/>
    <xf numFmtId="264" fontId="126" fillId="0" borderId="0"/>
    <xf numFmtId="264" fontId="126" fillId="0" borderId="0"/>
    <xf numFmtId="264" fontId="3" fillId="0" borderId="0"/>
    <xf numFmtId="264"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264" fontId="252" fillId="0" borderId="0"/>
    <xf numFmtId="43" fontId="3" fillId="0" borderId="0" applyFont="0" applyFill="0" applyBorder="0" applyAlignment="0" applyProtection="0"/>
    <xf numFmtId="264" fontId="252" fillId="0" borderId="0"/>
    <xf numFmtId="264" fontId="252" fillId="0" borderId="0"/>
    <xf numFmtId="264" fontId="252" fillId="0" borderId="0"/>
    <xf numFmtId="264" fontId="252" fillId="0" borderId="0"/>
    <xf numFmtId="264" fontId="252" fillId="0" borderId="0"/>
    <xf numFmtId="264" fontId="126" fillId="0" borderId="0"/>
    <xf numFmtId="264" fontId="24" fillId="0" borderId="0" applyFont="0" applyFill="0" applyBorder="0" applyAlignment="0" applyProtection="0"/>
    <xf numFmtId="264" fontId="252" fillId="0" borderId="0"/>
    <xf numFmtId="264" fontId="3" fillId="0" borderId="0"/>
    <xf numFmtId="264" fontId="252" fillId="0" borderId="0"/>
    <xf numFmtId="264" fontId="252" fillId="0" borderId="0"/>
    <xf numFmtId="264" fontId="76" fillId="0" borderId="0"/>
    <xf numFmtId="9" fontId="250" fillId="0" borderId="0" applyFont="0" applyFill="0" applyBorder="0" applyAlignment="0" applyProtection="0"/>
    <xf numFmtId="264" fontId="252" fillId="0" borderId="0"/>
    <xf numFmtId="264" fontId="126" fillId="0" borderId="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264" fontId="126" fillId="0" borderId="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264" fontId="126" fillId="0" borderId="0"/>
    <xf numFmtId="264" fontId="126" fillId="0" borderId="0"/>
    <xf numFmtId="264" fontId="126" fillId="0" borderId="0"/>
    <xf numFmtId="264" fontId="126" fillId="0" borderId="0"/>
    <xf numFmtId="264" fontId="126" fillId="0" borderId="0"/>
    <xf numFmtId="43" fontId="250" fillId="0" borderId="0" applyFont="0" applyFill="0" applyBorder="0" applyAlignment="0" applyProtection="0"/>
    <xf numFmtId="9" fontId="250" fillId="0" borderId="0" applyFont="0" applyFill="0" applyBorder="0" applyAlignment="0" applyProtection="0"/>
    <xf numFmtId="264" fontId="126" fillId="0" borderId="0"/>
    <xf numFmtId="43" fontId="250" fillId="0" borderId="0" applyFont="0" applyFill="0" applyBorder="0" applyAlignment="0" applyProtection="0"/>
    <xf numFmtId="9" fontId="250" fillId="0" borderId="0" applyFont="0" applyFill="0" applyBorder="0" applyAlignment="0" applyProtection="0"/>
    <xf numFmtId="264" fontId="3" fillId="0" borderId="0"/>
    <xf numFmtId="43" fontId="3"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43" fontId="250" fillId="0" borderId="0" applyFont="0" applyFill="0" applyBorder="0" applyAlignment="0" applyProtection="0"/>
    <xf numFmtId="9" fontId="250" fillId="0" borderId="0" applyFont="0" applyFill="0" applyBorder="0" applyAlignment="0" applyProtection="0"/>
    <xf numFmtId="264" fontId="252" fillId="0" borderId="0"/>
    <xf numFmtId="264" fontId="252" fillId="0" borderId="0"/>
    <xf numFmtId="264" fontId="252" fillId="0" borderId="0"/>
    <xf numFmtId="264" fontId="24" fillId="0" borderId="0"/>
    <xf numFmtId="264" fontId="252" fillId="0" borderId="0"/>
    <xf numFmtId="264" fontId="252" fillId="0" borderId="0"/>
    <xf numFmtId="43" fontId="3" fillId="0" borderId="0" applyFont="0" applyFill="0" applyBorder="0" applyAlignment="0" applyProtection="0"/>
    <xf numFmtId="264" fontId="24" fillId="0" borderId="0"/>
    <xf numFmtId="264" fontId="252" fillId="0" borderId="0"/>
    <xf numFmtId="264" fontId="252" fillId="0" borderId="0"/>
    <xf numFmtId="264" fontId="252" fillId="0" borderId="0"/>
    <xf numFmtId="264" fontId="3" fillId="0" borderId="0"/>
    <xf numFmtId="264" fontId="252" fillId="0" borderId="0"/>
    <xf numFmtId="264" fontId="252" fillId="0" borderId="0"/>
    <xf numFmtId="264" fontId="252" fillId="0" borderId="0"/>
    <xf numFmtId="264" fontId="252" fillId="0" borderId="0"/>
    <xf numFmtId="264" fontId="252" fillId="0" borderId="0"/>
    <xf numFmtId="264" fontId="252" fillId="0" borderId="0"/>
    <xf numFmtId="264" fontId="252" fillId="0" borderId="0"/>
    <xf numFmtId="264" fontId="252" fillId="0" borderId="0"/>
    <xf numFmtId="264" fontId="252" fillId="0" borderId="0"/>
    <xf numFmtId="264" fontId="252" fillId="0" borderId="0"/>
    <xf numFmtId="49" fontId="76" fillId="0" borderId="0" applyNumberFormat="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43" fontId="21" fillId="0" borderId="0" applyFont="0" applyFill="0" applyBorder="0" applyAlignment="0" applyProtection="0"/>
    <xf numFmtId="194" fontId="24" fillId="0" borderId="0" applyFill="0" applyBorder="0" applyAlignment="0" applyProtection="0"/>
    <xf numFmtId="191" fontId="24" fillId="0" borderId="0" applyFill="0" applyBorder="0" applyAlignment="0" applyProtection="0"/>
    <xf numFmtId="264" fontId="24" fillId="0" borderId="0" applyFont="0" applyFill="0" applyBorder="0" applyAlignment="0" applyProtection="0"/>
    <xf numFmtId="43"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194" fontId="24" fillId="0" borderId="0" applyFill="0" applyBorder="0" applyAlignment="0" applyProtection="0"/>
    <xf numFmtId="194" fontId="24" fillId="0" borderId="0" applyFill="0" applyBorder="0" applyAlignment="0" applyProtection="0"/>
    <xf numFmtId="165" fontId="24" fillId="0" borderId="0" applyFont="0" applyFill="0" applyBorder="0" applyAlignment="0" applyProtection="0"/>
    <xf numFmtId="264" fontId="24" fillId="0" borderId="0" applyFont="0" applyFill="0" applyBorder="0" applyAlignment="0" applyProtection="0"/>
    <xf numFmtId="264" fontId="24" fillId="0" borderId="0"/>
    <xf numFmtId="264" fontId="24" fillId="0" borderId="0"/>
    <xf numFmtId="205" fontId="24" fillId="0" borderId="0"/>
    <xf numFmtId="264" fontId="24" fillId="0" borderId="0"/>
    <xf numFmtId="264" fontId="24" fillId="0" borderId="0"/>
    <xf numFmtId="264" fontId="24" fillId="0" borderId="0">
      <alignment vertical="top"/>
    </xf>
    <xf numFmtId="264" fontId="24" fillId="0" borderId="0"/>
    <xf numFmtId="264" fontId="24" fillId="0" borderId="0"/>
    <xf numFmtId="264" fontId="24" fillId="0" borderId="0"/>
    <xf numFmtId="264" fontId="24" fillId="0" borderId="0"/>
    <xf numFmtId="264" fontId="24" fillId="0" borderId="0"/>
    <xf numFmtId="264" fontId="21" fillId="0" borderId="0"/>
    <xf numFmtId="264" fontId="24" fillId="0" borderId="0"/>
    <xf numFmtId="264" fontId="76" fillId="0" borderId="0"/>
    <xf numFmtId="264" fontId="24" fillId="0" borderId="0">
      <alignment vertical="top"/>
    </xf>
    <xf numFmtId="264" fontId="76" fillId="0" borderId="0"/>
    <xf numFmtId="264" fontId="76" fillId="0" borderId="0">
      <alignment vertical="top"/>
    </xf>
    <xf numFmtId="264" fontId="24" fillId="0" borderId="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264" fontId="24" fillId="0" borderId="0"/>
    <xf numFmtId="264" fontId="24" fillId="0" borderId="0"/>
    <xf numFmtId="264" fontId="24" fillId="0" borderId="0" applyNumberFormat="0" applyBorder="0" applyAlignment="0" applyProtection="0"/>
    <xf numFmtId="264" fontId="252" fillId="0" borderId="0"/>
    <xf numFmtId="264" fontId="126" fillId="0" borderId="0"/>
    <xf numFmtId="264" fontId="24" fillId="0" borderId="0"/>
    <xf numFmtId="43" fontId="250" fillId="0" borderId="0" applyFont="0" applyFill="0" applyBorder="0" applyAlignment="0" applyProtection="0"/>
    <xf numFmtId="264" fontId="24" fillId="0" borderId="0" applyFont="0" applyFill="0" applyBorder="0" applyAlignment="0" applyProtection="0"/>
    <xf numFmtId="264" fontId="252" fillId="0" borderId="0"/>
    <xf numFmtId="264" fontId="252" fillId="0" borderId="0"/>
    <xf numFmtId="264" fontId="252" fillId="0" borderId="0"/>
    <xf numFmtId="264" fontId="76" fillId="0" borderId="0"/>
    <xf numFmtId="9" fontId="250" fillId="0" borderId="0" applyFont="0" applyFill="0" applyBorder="0" applyAlignment="0" applyProtection="0"/>
    <xf numFmtId="264" fontId="126" fillId="0" borderId="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264" fontId="126" fillId="0" borderId="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264" fontId="126" fillId="0" borderId="0"/>
    <xf numFmtId="264" fontId="126" fillId="0" borderId="0"/>
    <xf numFmtId="264" fontId="126" fillId="0" borderId="0"/>
    <xf numFmtId="264" fontId="126" fillId="0" borderId="0"/>
    <xf numFmtId="264" fontId="126" fillId="0" borderId="0"/>
    <xf numFmtId="43" fontId="250" fillId="0" borderId="0" applyFont="0" applyFill="0" applyBorder="0" applyAlignment="0" applyProtection="0"/>
    <xf numFmtId="9" fontId="250" fillId="0" borderId="0" applyFont="0" applyFill="0" applyBorder="0" applyAlignment="0" applyProtection="0"/>
    <xf numFmtId="264" fontId="126" fillId="0" borderId="0"/>
    <xf numFmtId="43" fontId="250" fillId="0" borderId="0" applyFont="0" applyFill="0" applyBorder="0" applyAlignment="0" applyProtection="0"/>
    <xf numFmtId="9" fontId="250" fillId="0" borderId="0" applyFont="0" applyFill="0" applyBorder="0" applyAlignment="0" applyProtection="0"/>
    <xf numFmtId="264" fontId="3" fillId="0" borderId="0"/>
    <xf numFmtId="43" fontId="3"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43" fontId="250" fillId="0" borderId="0" applyFont="0" applyFill="0" applyBorder="0" applyAlignment="0" applyProtection="0"/>
    <xf numFmtId="9" fontId="250"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252" fillId="0" borderId="0"/>
    <xf numFmtId="264" fontId="3" fillId="0" borderId="0"/>
    <xf numFmtId="43" fontId="3" fillId="0" borderId="0" applyFont="0" applyFill="0" applyBorder="0" applyAlignment="0" applyProtection="0"/>
    <xf numFmtId="264" fontId="126" fillId="0" borderId="0"/>
    <xf numFmtId="43" fontId="250" fillId="0" borderId="0" applyFont="0" applyFill="0" applyBorder="0" applyAlignment="0" applyProtection="0"/>
    <xf numFmtId="264" fontId="108" fillId="45" borderId="80" applyNumberFormat="0" applyAlignment="0" applyProtection="0"/>
    <xf numFmtId="9" fontId="250" fillId="0" borderId="0" applyFont="0" applyFill="0" applyBorder="0" applyAlignment="0" applyProtection="0"/>
    <xf numFmtId="264" fontId="24" fillId="0" borderId="0"/>
    <xf numFmtId="264" fontId="24" fillId="0" borderId="0"/>
    <xf numFmtId="264" fontId="24"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95" fillId="23" borderId="0" applyNumberFormat="0" applyBorder="0" applyAlignment="0" applyProtection="0"/>
    <xf numFmtId="264" fontId="95" fillId="27" borderId="0" applyNumberFormat="0" applyBorder="0" applyAlignment="0" applyProtection="0"/>
    <xf numFmtId="264" fontId="95" fillId="54" borderId="0" applyNumberFormat="0" applyBorder="0" applyAlignment="0" applyProtection="0"/>
    <xf numFmtId="264" fontId="95" fillId="59" borderId="0" applyNumberFormat="0" applyBorder="0" applyAlignment="0" applyProtection="0"/>
    <xf numFmtId="264" fontId="95" fillId="39" borderId="0" applyNumberFormat="0" applyBorder="0" applyAlignment="0" applyProtection="0"/>
    <xf numFmtId="264" fontId="95" fillId="60" borderId="0" applyNumberFormat="0" applyBorder="0" applyAlignment="0" applyProtection="0"/>
    <xf numFmtId="264" fontId="95" fillId="20" borderId="0" applyNumberFormat="0" applyBorder="0" applyAlignment="0" applyProtection="0"/>
    <xf numFmtId="264" fontId="95" fillId="24" borderId="0" applyNumberFormat="0" applyBorder="0" applyAlignment="0" applyProtection="0"/>
    <xf numFmtId="264" fontId="95" fillId="28" borderId="0" applyNumberFormat="0" applyBorder="0" applyAlignment="0" applyProtection="0"/>
    <xf numFmtId="264" fontId="95" fillId="32" borderId="0" applyNumberFormat="0" applyBorder="0" applyAlignment="0" applyProtection="0"/>
    <xf numFmtId="264" fontId="95" fillId="36" borderId="0" applyNumberFormat="0" applyBorder="0" applyAlignment="0" applyProtection="0"/>
    <xf numFmtId="264" fontId="95" fillId="40" borderId="0" applyNumberFormat="0" applyBorder="0" applyAlignment="0" applyProtection="0"/>
    <xf numFmtId="264" fontId="85" fillId="14" borderId="0" applyNumberFormat="0" applyBorder="0" applyAlignment="0" applyProtection="0"/>
    <xf numFmtId="264" fontId="89" fillId="17" borderId="72" applyNumberFormat="0" applyAlignment="0" applyProtection="0"/>
    <xf numFmtId="264" fontId="91" fillId="18" borderId="75"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264" fontId="24" fillId="0" borderId="0"/>
    <xf numFmtId="264" fontId="93" fillId="0" borderId="0" applyNumberFormat="0" applyFill="0" applyBorder="0" applyAlignment="0" applyProtection="0"/>
    <xf numFmtId="264" fontId="84" fillId="13" borderId="0" applyNumberFormat="0" applyBorder="0" applyAlignment="0" applyProtection="0"/>
    <xf numFmtId="264" fontId="81" fillId="0" borderId="69" applyNumberFormat="0" applyFill="0" applyAlignment="0" applyProtection="0"/>
    <xf numFmtId="264" fontId="82" fillId="0" borderId="70" applyNumberFormat="0" applyFill="0" applyAlignment="0" applyProtection="0"/>
    <xf numFmtId="264" fontId="83" fillId="0" borderId="71" applyNumberFormat="0" applyFill="0" applyAlignment="0" applyProtection="0"/>
    <xf numFmtId="264" fontId="83" fillId="0" borderId="0" applyNumberFormat="0" applyFill="0" applyBorder="0" applyAlignment="0" applyProtection="0"/>
    <xf numFmtId="264" fontId="289" fillId="0" borderId="0" applyNumberFormat="0" applyFill="0" applyBorder="0" applyAlignment="0" applyProtection="0">
      <alignment vertical="top"/>
      <protection locked="0"/>
    </xf>
    <xf numFmtId="264" fontId="289" fillId="0" borderId="0" applyNumberFormat="0" applyFill="0" applyBorder="0" applyAlignment="0" applyProtection="0">
      <alignment vertical="top"/>
      <protection locked="0"/>
    </xf>
    <xf numFmtId="264" fontId="87" fillId="16" borderId="72" applyNumberFormat="0" applyAlignment="0" applyProtection="0"/>
    <xf numFmtId="264" fontId="90" fillId="0" borderId="74" applyNumberFormat="0" applyFill="0" applyAlignment="0" applyProtection="0"/>
    <xf numFmtId="264" fontId="86" fillId="15" borderId="0" applyNumberFormat="0" applyBorder="0" applyAlignment="0" applyProtection="0"/>
    <xf numFmtId="264" fontId="3" fillId="0" borderId="0"/>
    <xf numFmtId="264" fontId="21" fillId="19" borderId="76" applyNumberFormat="0" applyFont="0" applyAlignment="0" applyProtection="0"/>
    <xf numFmtId="264" fontId="21" fillId="49" borderId="92" applyNumberFormat="0" applyFont="0" applyAlignment="0" applyProtection="0"/>
    <xf numFmtId="264" fontId="88" fillId="17" borderId="73" applyNumberFormat="0" applyAlignment="0" applyProtection="0"/>
    <xf numFmtId="9" fontId="24" fillId="0" borderId="0" applyFont="0" applyFill="0" applyBorder="0" applyAlignment="0" applyProtection="0"/>
    <xf numFmtId="264" fontId="24" fillId="0" borderId="0"/>
    <xf numFmtId="264" fontId="24" fillId="0" borderId="0"/>
    <xf numFmtId="264" fontId="24" fillId="0" borderId="0"/>
    <xf numFmtId="264" fontId="273" fillId="0" borderId="0" applyNumberFormat="0" applyFill="0" applyBorder="0" applyAlignment="0" applyProtection="0"/>
    <xf numFmtId="264" fontId="94" fillId="0" borderId="77" applyNumberFormat="0" applyFill="0" applyAlignment="0" applyProtection="0"/>
    <xf numFmtId="264" fontId="92" fillId="0" borderId="0" applyNumberFormat="0" applyFill="0" applyBorder="0" applyAlignment="0" applyProtection="0"/>
    <xf numFmtId="264" fontId="24" fillId="0" borderId="0"/>
    <xf numFmtId="264" fontId="24" fillId="0" borderId="0"/>
    <xf numFmtId="264"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264" fontId="87" fillId="16" borderId="72" applyNumberFormat="0" applyAlignment="0" applyProtection="0"/>
    <xf numFmtId="264" fontId="87" fillId="16" borderId="72" applyNumberFormat="0" applyAlignment="0" applyProtection="0"/>
    <xf numFmtId="264" fontId="87" fillId="16" borderId="72" applyNumberFormat="0" applyAlignment="0" applyProtection="0"/>
    <xf numFmtId="264" fontId="87" fillId="16" borderId="72" applyNumberFormat="0" applyAlignment="0" applyProtection="0"/>
    <xf numFmtId="264" fontId="87" fillId="16" borderId="72" applyNumberFormat="0" applyAlignment="0" applyProtection="0"/>
    <xf numFmtId="264" fontId="87" fillId="16" borderId="72" applyNumberFormat="0" applyAlignment="0" applyProtection="0"/>
    <xf numFmtId="264"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64" fontId="87" fillId="16" borderId="72" applyNumberFormat="0" applyAlignment="0" applyProtection="0"/>
    <xf numFmtId="264" fontId="87" fillId="16" borderId="72" applyNumberFormat="0" applyAlignment="0" applyProtection="0"/>
    <xf numFmtId="264" fontId="87" fillId="16" borderId="72" applyNumberFormat="0" applyAlignment="0" applyProtection="0"/>
    <xf numFmtId="264" fontId="87" fillId="16" borderId="72" applyNumberFormat="0" applyAlignment="0" applyProtection="0"/>
    <xf numFmtId="264" fontId="87" fillId="16" borderId="72" applyNumberFormat="0" applyAlignment="0" applyProtection="0"/>
    <xf numFmtId="264" fontId="87" fillId="16" borderId="72"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264" fontId="24" fillId="0" borderId="0"/>
    <xf numFmtId="264" fontId="24" fillId="0" borderId="0"/>
    <xf numFmtId="264" fontId="24" fillId="0" borderId="0"/>
    <xf numFmtId="264"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64" fontId="87" fillId="16" borderId="72" applyNumberFormat="0" applyAlignment="0" applyProtection="0"/>
    <xf numFmtId="43" fontId="24" fillId="0" borderId="0" applyFont="0" applyFill="0" applyBorder="0" applyAlignment="0" applyProtection="0"/>
    <xf numFmtId="264" fontId="252" fillId="0" borderId="0"/>
    <xf numFmtId="264" fontId="252" fillId="0" borderId="0"/>
    <xf numFmtId="264" fontId="21" fillId="0" borderId="0"/>
    <xf numFmtId="9" fontId="24" fillId="0" borderId="0" applyFont="0" applyFill="0" applyBorder="0" applyAlignment="0" applyProtection="0"/>
    <xf numFmtId="264" fontId="252" fillId="0" borderId="0"/>
    <xf numFmtId="264" fontId="126" fillId="0" borderId="0"/>
    <xf numFmtId="264" fontId="252" fillId="0" borderId="0"/>
    <xf numFmtId="264" fontId="24" fillId="0" borderId="0">
      <alignment vertical="top"/>
    </xf>
    <xf numFmtId="264" fontId="21" fillId="0" borderId="0"/>
    <xf numFmtId="9" fontId="250" fillId="0" borderId="0" applyFont="0" applyFill="0" applyBorder="0" applyAlignment="0" applyProtection="0"/>
    <xf numFmtId="264" fontId="108" fillId="45" borderId="80" applyNumberFormat="0" applyAlignment="0" applyProtection="0"/>
    <xf numFmtId="264" fontId="108" fillId="45" borderId="80" applyNumberFormat="0" applyAlignment="0" applyProtection="0"/>
    <xf numFmtId="264" fontId="108" fillId="45" borderId="80" applyNumberFormat="0" applyAlignment="0" applyProtection="0"/>
    <xf numFmtId="264" fontId="108" fillId="45" borderId="80" applyNumberFormat="0" applyAlignment="0" applyProtection="0"/>
    <xf numFmtId="264" fontId="108" fillId="45" borderId="80" applyNumberFormat="0" applyAlignment="0" applyProtection="0"/>
    <xf numFmtId="264" fontId="108" fillId="45" borderId="80" applyNumberFormat="0" applyAlignment="0" applyProtection="0"/>
    <xf numFmtId="264" fontId="126" fillId="0" borderId="0"/>
    <xf numFmtId="264" fontId="126" fillId="0" borderId="0"/>
    <xf numFmtId="264" fontId="126" fillId="0" borderId="0"/>
    <xf numFmtId="264" fontId="126" fillId="0" borderId="0"/>
    <xf numFmtId="264" fontId="126" fillId="0" borderId="0"/>
    <xf numFmtId="264" fontId="126" fillId="0" borderId="0"/>
    <xf numFmtId="43" fontId="250" fillId="0" borderId="0" applyFont="0" applyFill="0" applyBorder="0" applyAlignment="0" applyProtection="0"/>
    <xf numFmtId="264" fontId="108" fillId="45" borderId="80" applyNumberFormat="0" applyAlignment="0" applyProtection="0"/>
    <xf numFmtId="9" fontId="250" fillId="0" borderId="0" applyFont="0" applyFill="0" applyBorder="0" applyAlignment="0" applyProtection="0"/>
    <xf numFmtId="264" fontId="108" fillId="45" borderId="80" applyNumberFormat="0" applyAlignment="0" applyProtection="0"/>
    <xf numFmtId="264" fontId="3" fillId="0" borderId="0"/>
    <xf numFmtId="43" fontId="3" fillId="0" borderId="0" applyFont="0" applyFill="0" applyBorder="0" applyAlignment="0" applyProtection="0"/>
    <xf numFmtId="9" fontId="24" fillId="0" borderId="0" applyFont="0" applyFill="0" applyBorder="0" applyAlignment="0" applyProtection="0"/>
    <xf numFmtId="264" fontId="24" fillId="0" borderId="0"/>
    <xf numFmtId="264" fontId="32" fillId="0" borderId="0">
      <alignment vertical="top"/>
    </xf>
    <xf numFmtId="264" fontId="32" fillId="0" borderId="0">
      <alignment vertical="top"/>
    </xf>
    <xf numFmtId="264" fontId="117" fillId="0" borderId="0"/>
    <xf numFmtId="264" fontId="24" fillId="0" borderId="0"/>
    <xf numFmtId="264" fontId="24" fillId="0" borderId="0"/>
    <xf numFmtId="264" fontId="24" fillId="0" borderId="0"/>
    <xf numFmtId="264" fontId="76" fillId="0" borderId="0"/>
    <xf numFmtId="264" fontId="117" fillId="0" borderId="0"/>
    <xf numFmtId="264" fontId="165" fillId="0" borderId="0">
      <alignment horizontal="centerContinuous"/>
    </xf>
    <xf numFmtId="264" fontId="21" fillId="52" borderId="0" applyNumberFormat="0" applyBorder="0" applyAlignment="0" applyProtection="0"/>
    <xf numFmtId="264" fontId="21" fillId="52" borderId="0" applyNumberFormat="0" applyBorder="0" applyAlignment="0" applyProtection="0"/>
    <xf numFmtId="264" fontId="21" fillId="44" borderId="0" applyNumberFormat="0" applyBorder="0" applyAlignment="0" applyProtection="0"/>
    <xf numFmtId="264" fontId="21" fillId="47" borderId="0" applyNumberFormat="0" applyBorder="0" applyAlignment="0" applyProtection="0"/>
    <xf numFmtId="264" fontId="21" fillId="47" borderId="0" applyNumberFormat="0" applyBorder="0" applyAlignment="0" applyProtection="0"/>
    <xf numFmtId="264" fontId="21" fillId="46" borderId="0" applyNumberFormat="0" applyBorder="0" applyAlignment="0" applyProtection="0"/>
    <xf numFmtId="264" fontId="21" fillId="49" borderId="0" applyNumberFormat="0" applyBorder="0" applyAlignment="0" applyProtection="0"/>
    <xf numFmtId="264" fontId="21" fillId="49" borderId="0" applyNumberFormat="0" applyBorder="0" applyAlignment="0" applyProtection="0"/>
    <xf numFmtId="264" fontId="21" fillId="48" borderId="0" applyNumberFormat="0" applyBorder="0" applyAlignment="0" applyProtection="0"/>
    <xf numFmtId="264" fontId="21" fillId="45" borderId="0" applyNumberFormat="0" applyBorder="0" applyAlignment="0" applyProtection="0"/>
    <xf numFmtId="264" fontId="21" fillId="45" borderId="0" applyNumberFormat="0" applyBorder="0" applyAlignment="0" applyProtection="0"/>
    <xf numFmtId="264" fontId="21" fillId="50" borderId="0" applyNumberFormat="0" applyBorder="0" applyAlignment="0" applyProtection="0"/>
    <xf numFmtId="264" fontId="21" fillId="49" borderId="0" applyNumberFormat="0" applyBorder="0" applyAlignment="0" applyProtection="0"/>
    <xf numFmtId="264" fontId="21" fillId="49" borderId="0" applyNumberFormat="0" applyBorder="0" applyAlignment="0" applyProtection="0"/>
    <xf numFmtId="264" fontId="21" fillId="45" borderId="0" applyNumberFormat="0" applyBorder="0" applyAlignment="0" applyProtection="0"/>
    <xf numFmtId="264" fontId="21" fillId="51" borderId="0" applyNumberFormat="0" applyBorder="0" applyAlignment="0" applyProtection="0"/>
    <xf numFmtId="264" fontId="21" fillId="51" borderId="0" applyNumberFormat="0" applyBorder="0" applyAlignment="0" applyProtection="0"/>
    <xf numFmtId="264" fontId="21" fillId="52" borderId="0" applyNumberFormat="0" applyBorder="0" applyAlignment="0" applyProtection="0"/>
    <xf numFmtId="264" fontId="21" fillId="55" borderId="0" applyNumberFormat="0" applyBorder="0" applyAlignment="0" applyProtection="0"/>
    <xf numFmtId="264" fontId="21" fillId="55" borderId="0" applyNumberFormat="0" applyBorder="0" applyAlignment="0" applyProtection="0"/>
    <xf numFmtId="264" fontId="21" fillId="54" borderId="0" applyNumberFormat="0" applyBorder="0" applyAlignment="0" applyProtection="0"/>
    <xf numFmtId="264" fontId="21" fillId="46" borderId="0" applyNumberFormat="0" applyBorder="0" applyAlignment="0" applyProtection="0"/>
    <xf numFmtId="264" fontId="21" fillId="46" borderId="0" applyNumberFormat="0" applyBorder="0" applyAlignment="0" applyProtection="0"/>
    <xf numFmtId="264" fontId="21" fillId="50" borderId="0" applyNumberFormat="0" applyBorder="0" applyAlignment="0" applyProtection="0"/>
    <xf numFmtId="264" fontId="21" fillId="51" borderId="0" applyNumberFormat="0" applyBorder="0" applyAlignment="0" applyProtection="0"/>
    <xf numFmtId="264" fontId="21" fillId="51" borderId="0" applyNumberFormat="0" applyBorder="0" applyAlignment="0" applyProtection="0"/>
    <xf numFmtId="264" fontId="21" fillId="52" borderId="0" applyNumberFormat="0" applyBorder="0" applyAlignment="0" applyProtection="0"/>
    <xf numFmtId="264" fontId="21" fillId="49" borderId="0" applyNumberFormat="0" applyBorder="0" applyAlignment="0" applyProtection="0"/>
    <xf numFmtId="264" fontId="21" fillId="49" borderId="0" applyNumberFormat="0" applyBorder="0" applyAlignment="0" applyProtection="0"/>
    <xf numFmtId="264" fontId="21" fillId="56" borderId="0" applyNumberFormat="0" applyBorder="0" applyAlignment="0" applyProtection="0"/>
    <xf numFmtId="264" fontId="99" fillId="51" borderId="0" applyNumberFormat="0" applyBorder="0" applyAlignment="0" applyProtection="0"/>
    <xf numFmtId="264" fontId="99" fillId="51" borderId="0" applyNumberFormat="0" applyBorder="0" applyAlignment="0" applyProtection="0"/>
    <xf numFmtId="264" fontId="99" fillId="65" borderId="0" applyNumberFormat="0" applyBorder="0" applyAlignment="0" applyProtection="0"/>
    <xf numFmtId="264" fontId="99" fillId="65" borderId="0" applyNumberFormat="0" applyBorder="0" applyAlignment="0" applyProtection="0"/>
    <xf numFmtId="264" fontId="99" fillId="56" borderId="0" applyNumberFormat="0" applyBorder="0" applyAlignment="0" applyProtection="0"/>
    <xf numFmtId="264" fontId="99" fillId="56" borderId="0" applyNumberFormat="0" applyBorder="0" applyAlignment="0" applyProtection="0"/>
    <xf numFmtId="264" fontId="99" fillId="46" borderId="0" applyNumberFormat="0" applyBorder="0" applyAlignment="0" applyProtection="0"/>
    <xf numFmtId="264" fontId="99" fillId="46" borderId="0" applyNumberFormat="0" applyBorder="0" applyAlignment="0" applyProtection="0"/>
    <xf numFmtId="264" fontId="99" fillId="51" borderId="0" applyNumberFormat="0" applyBorder="0" applyAlignment="0" applyProtection="0"/>
    <xf numFmtId="264" fontId="99" fillId="51" borderId="0" applyNumberFormat="0" applyBorder="0" applyAlignment="0" applyProtection="0"/>
    <xf numFmtId="264" fontId="99" fillId="47" borderId="0" applyNumberFormat="0" applyBorder="0" applyAlignment="0" applyProtection="0"/>
    <xf numFmtId="264" fontId="99" fillId="47" borderId="0" applyNumberFormat="0" applyBorder="0" applyAlignment="0" applyProtection="0"/>
    <xf numFmtId="264" fontId="99" fillId="110" borderId="0" applyNumberFormat="0" applyBorder="0" applyAlignment="0" applyProtection="0"/>
    <xf numFmtId="264" fontId="99" fillId="110" borderId="0" applyNumberFormat="0" applyBorder="0" applyAlignment="0" applyProtection="0"/>
    <xf numFmtId="264" fontId="99" fillId="65" borderId="0" applyNumberFormat="0" applyBorder="0" applyAlignment="0" applyProtection="0"/>
    <xf numFmtId="264" fontId="99" fillId="65" borderId="0" applyNumberFormat="0" applyBorder="0" applyAlignment="0" applyProtection="0"/>
    <xf numFmtId="264" fontId="99" fillId="56" borderId="0" applyNumberFormat="0" applyBorder="0" applyAlignment="0" applyProtection="0"/>
    <xf numFmtId="264" fontId="99" fillId="56" borderId="0" applyNumberFormat="0" applyBorder="0" applyAlignment="0" applyProtection="0"/>
    <xf numFmtId="264" fontId="99" fillId="64" borderId="0" applyNumberFormat="0" applyBorder="0" applyAlignment="0" applyProtection="0"/>
    <xf numFmtId="264" fontId="99" fillId="64" borderId="0" applyNumberFormat="0" applyBorder="0" applyAlignment="0" applyProtection="0"/>
    <xf numFmtId="264" fontId="99" fillId="62" borderId="0" applyNumberFormat="0" applyBorder="0" applyAlignment="0" applyProtection="0"/>
    <xf numFmtId="264" fontId="99" fillId="62" borderId="0" applyNumberFormat="0" applyBorder="0" applyAlignment="0" applyProtection="0"/>
    <xf numFmtId="264" fontId="100" fillId="50" borderId="0" applyNumberFormat="0" applyBorder="0" applyAlignment="0" applyProtection="0"/>
    <xf numFmtId="264" fontId="100" fillId="50" borderId="0" applyNumberFormat="0" applyBorder="0" applyAlignment="0" applyProtection="0"/>
    <xf numFmtId="264" fontId="271" fillId="66" borderId="80" applyNumberFormat="0" applyAlignment="0" applyProtection="0"/>
    <xf numFmtId="264" fontId="271" fillId="66" borderId="80" applyNumberFormat="0" applyAlignment="0" applyProtection="0"/>
    <xf numFmtId="264" fontId="161" fillId="0" borderId="0"/>
    <xf numFmtId="270" fontId="291" fillId="0" borderId="0"/>
    <xf numFmtId="264" fontId="161" fillId="0" borderId="0"/>
    <xf numFmtId="270" fontId="291" fillId="0" borderId="0"/>
    <xf numFmtId="264" fontId="161" fillId="0" borderId="0"/>
    <xf numFmtId="270" fontId="291" fillId="0" borderId="0"/>
    <xf numFmtId="264" fontId="161" fillId="0" borderId="0"/>
    <xf numFmtId="270" fontId="291" fillId="0" borderId="0"/>
    <xf numFmtId="264" fontId="161" fillId="0" borderId="0"/>
    <xf numFmtId="270" fontId="291" fillId="0" borderId="0"/>
    <xf numFmtId="264" fontId="161" fillId="0" borderId="0"/>
    <xf numFmtId="270" fontId="291" fillId="0" borderId="0"/>
    <xf numFmtId="264" fontId="161" fillId="0" borderId="0"/>
    <xf numFmtId="270" fontId="291" fillId="0" borderId="0"/>
    <xf numFmtId="264" fontId="161" fillId="0" borderId="0"/>
    <xf numFmtId="270" fontId="291" fillId="0" borderId="0"/>
    <xf numFmtId="43" fontId="290"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8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264" fontId="121" fillId="0" borderId="0" applyNumberFormat="0" applyFill="0" applyBorder="0" applyAlignment="0" applyProtection="0"/>
    <xf numFmtId="264" fontId="121" fillId="0" borderId="0" applyNumberFormat="0" applyFill="0" applyBorder="0" applyAlignment="0" applyProtection="0"/>
    <xf numFmtId="264" fontId="104" fillId="51" borderId="0" applyNumberFormat="0" applyBorder="0" applyAlignment="0" applyProtection="0"/>
    <xf numFmtId="264" fontId="104" fillId="51" borderId="0" applyNumberFormat="0" applyBorder="0" applyAlignment="0" applyProtection="0"/>
    <xf numFmtId="264" fontId="150" fillId="0" borderId="131" applyNumberFormat="0" applyFill="0" applyAlignment="0" applyProtection="0"/>
    <xf numFmtId="264" fontId="150" fillId="0" borderId="131" applyNumberFormat="0" applyFill="0" applyAlignment="0" applyProtection="0"/>
    <xf numFmtId="264" fontId="151" fillId="0" borderId="132" applyNumberFormat="0" applyFill="0" applyAlignment="0" applyProtection="0"/>
    <xf numFmtId="264" fontId="151" fillId="0" borderId="132" applyNumberFormat="0" applyFill="0" applyAlignment="0" applyProtection="0"/>
    <xf numFmtId="264" fontId="152" fillId="0" borderId="133" applyNumberFormat="0" applyFill="0" applyAlignment="0" applyProtection="0"/>
    <xf numFmtId="264" fontId="152" fillId="0" borderId="133" applyNumberFormat="0" applyFill="0" applyAlignment="0" applyProtection="0"/>
    <xf numFmtId="264" fontId="152" fillId="0" borderId="0" applyNumberFormat="0" applyFill="0" applyBorder="0" applyAlignment="0" applyProtection="0"/>
    <xf numFmtId="264" fontId="152" fillId="0" borderId="0" applyNumberFormat="0" applyFill="0" applyBorder="0" applyAlignment="0" applyProtection="0"/>
    <xf numFmtId="264" fontId="169" fillId="0" borderId="0" applyNumberFormat="0" applyFill="0" applyBorder="0" applyAlignment="0" applyProtection="0">
      <alignment vertical="top"/>
      <protection locked="0"/>
    </xf>
    <xf numFmtId="264" fontId="108" fillId="55" borderId="80" applyNumberFormat="0" applyAlignment="0" applyProtection="0"/>
    <xf numFmtId="264" fontId="116" fillId="0" borderId="134" applyNumberFormat="0" applyFill="0" applyAlignment="0" applyProtection="0"/>
    <xf numFmtId="264" fontId="116" fillId="0" borderId="134" applyNumberFormat="0" applyFill="0" applyAlignment="0" applyProtection="0"/>
    <xf numFmtId="264" fontId="272" fillId="55" borderId="0" applyNumberFormat="0" applyBorder="0" applyAlignment="0" applyProtection="0"/>
    <xf numFmtId="264" fontId="272" fillId="55" borderId="0" applyNumberFormat="0" applyBorder="0" applyAlignment="0" applyProtection="0"/>
    <xf numFmtId="264" fontId="201" fillId="0" borderId="0"/>
    <xf numFmtId="264" fontId="24" fillId="0" borderId="0"/>
    <xf numFmtId="264" fontId="24" fillId="0" borderId="0"/>
    <xf numFmtId="264" fontId="24" fillId="0" borderId="0"/>
    <xf numFmtId="264" fontId="126" fillId="0" borderId="0"/>
    <xf numFmtId="264" fontId="269" fillId="0" borderId="0"/>
    <xf numFmtId="264" fontId="126" fillId="0" borderId="0"/>
    <xf numFmtId="264" fontId="3" fillId="0" borderId="0"/>
    <xf numFmtId="264" fontId="3" fillId="0" borderId="0"/>
    <xf numFmtId="264" fontId="3" fillId="0" borderId="0"/>
    <xf numFmtId="264" fontId="126" fillId="0" borderId="0"/>
    <xf numFmtId="264" fontId="24" fillId="0" borderId="0"/>
    <xf numFmtId="264" fontId="24" fillId="0" borderId="0"/>
    <xf numFmtId="264" fontId="126" fillId="0" borderId="0"/>
    <xf numFmtId="264" fontId="24" fillId="0" borderId="0"/>
    <xf numFmtId="264" fontId="24" fillId="0" borderId="0"/>
    <xf numFmtId="264" fontId="3" fillId="0" borderId="0"/>
    <xf numFmtId="264" fontId="3" fillId="0" borderId="0"/>
    <xf numFmtId="264" fontId="126" fillId="0" borderId="0"/>
    <xf numFmtId="264" fontId="24" fillId="0" borderId="0"/>
    <xf numFmtId="264" fontId="24" fillId="0" borderId="0"/>
    <xf numFmtId="264" fontId="126" fillId="0" borderId="0"/>
    <xf numFmtId="264" fontId="24" fillId="0" borderId="0"/>
    <xf numFmtId="264" fontId="24" fillId="0" borderId="0"/>
    <xf numFmtId="264" fontId="24" fillId="0" borderId="0"/>
    <xf numFmtId="264" fontId="24" fillId="0" borderId="0"/>
    <xf numFmtId="264" fontId="118" fillId="0" borderId="0"/>
    <xf numFmtId="264" fontId="24" fillId="0" borderId="0">
      <alignment vertical="top"/>
    </xf>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126" fillId="0" borderId="0"/>
    <xf numFmtId="264" fontId="126" fillId="0" borderId="0"/>
    <xf numFmtId="264" fontId="126" fillId="0" borderId="0"/>
    <xf numFmtId="264" fontId="24" fillId="0" borderId="0" applyNumberFormat="0" applyFont="0" applyFill="0" applyBorder="0" applyAlignment="0" applyProtection="0"/>
    <xf numFmtId="264" fontId="24" fillId="0" borderId="0" applyNumberFormat="0" applyFont="0" applyFill="0" applyBorder="0" applyAlignment="0" applyProtection="0"/>
    <xf numFmtId="264" fontId="24" fillId="0" borderId="0"/>
    <xf numFmtId="264" fontId="3" fillId="0" borderId="0"/>
    <xf numFmtId="264" fontId="118" fillId="0" borderId="0"/>
    <xf numFmtId="264" fontId="3" fillId="0" borderId="0"/>
    <xf numFmtId="264" fontId="3" fillId="0" borderId="0"/>
    <xf numFmtId="264" fontId="269" fillId="0" borderId="0"/>
    <xf numFmtId="264" fontId="76" fillId="0" borderId="0"/>
    <xf numFmtId="264" fontId="269" fillId="0" borderId="0"/>
    <xf numFmtId="264" fontId="126" fillId="0" borderId="0"/>
    <xf numFmtId="264" fontId="288" fillId="0" borderId="0">
      <alignment vertical="top"/>
    </xf>
    <xf numFmtId="264" fontId="288" fillId="0" borderId="0">
      <alignment vertical="top"/>
    </xf>
    <xf numFmtId="264" fontId="288" fillId="0" borderId="0">
      <alignment vertical="top"/>
    </xf>
    <xf numFmtId="264" fontId="288" fillId="0" borderId="0">
      <alignment vertical="top"/>
    </xf>
    <xf numFmtId="264" fontId="288" fillId="0" borderId="0">
      <alignment vertical="top"/>
    </xf>
    <xf numFmtId="264" fontId="76" fillId="0" borderId="0"/>
    <xf numFmtId="264" fontId="288" fillId="0" borderId="0">
      <alignment vertical="top"/>
    </xf>
    <xf numFmtId="264" fontId="288" fillId="0" borderId="0">
      <alignment vertical="top"/>
    </xf>
    <xf numFmtId="264" fontId="288" fillId="0" borderId="0">
      <alignment vertical="top"/>
    </xf>
    <xf numFmtId="264" fontId="288" fillId="0" borderId="0">
      <alignment vertical="top"/>
    </xf>
    <xf numFmtId="264" fontId="288" fillId="0" borderId="0">
      <alignment vertical="top"/>
    </xf>
    <xf numFmtId="264" fontId="288" fillId="0" borderId="0">
      <alignment vertical="top"/>
    </xf>
    <xf numFmtId="264" fontId="288" fillId="0" borderId="0">
      <alignment vertical="top"/>
    </xf>
    <xf numFmtId="264" fontId="24" fillId="49" borderId="92" applyNumberFormat="0" applyFont="0" applyAlignment="0" applyProtection="0"/>
    <xf numFmtId="264" fontId="24" fillId="49" borderId="92" applyNumberFormat="0" applyFont="0" applyAlignment="0" applyProtection="0"/>
    <xf numFmtId="264" fontId="111" fillId="66" borderId="93" applyNumberFormat="0" applyAlignment="0" applyProtection="0"/>
    <xf numFmtId="264" fontId="111" fillId="66" borderId="93"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9" fontId="21"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24" fillId="0" borderId="0" applyFont="0" applyFill="0" applyBorder="0" applyAlignment="0" applyProtection="0"/>
    <xf numFmtId="264" fontId="122" fillId="0" borderId="112" applyNumberFormat="0" applyBorder="0" applyAlignment="0"/>
    <xf numFmtId="264" fontId="24" fillId="0" borderId="0"/>
    <xf numFmtId="264" fontId="32" fillId="0" borderId="0">
      <alignment vertical="top"/>
    </xf>
    <xf numFmtId="37" fontId="123" fillId="0" borderId="95" applyNumberFormat="0" applyFont="0" applyBorder="0" applyAlignment="0" applyProtection="0">
      <alignment horizontal="centerContinuous"/>
    </xf>
    <xf numFmtId="264" fontId="153" fillId="0" borderId="0" applyNumberFormat="0" applyFill="0" applyBorder="0" applyAlignment="0" applyProtection="0"/>
    <xf numFmtId="264" fontId="153" fillId="0" borderId="0" applyNumberFormat="0" applyFill="0" applyBorder="0" applyAlignment="0" applyProtection="0"/>
    <xf numFmtId="264" fontId="115" fillId="0" borderId="135" applyNumberFormat="0" applyFill="0" applyAlignment="0" applyProtection="0"/>
    <xf numFmtId="264" fontId="115" fillId="0" borderId="135" applyNumberFormat="0" applyFill="0" applyAlignment="0" applyProtection="0"/>
    <xf numFmtId="264" fontId="24" fillId="0" borderId="0"/>
    <xf numFmtId="264" fontId="24" fillId="0" borderId="0"/>
    <xf numFmtId="264" fontId="24" fillId="0" borderId="0"/>
    <xf numFmtId="264" fontId="24" fillId="0" borderId="0"/>
    <xf numFmtId="264" fontId="126" fillId="0" borderId="0"/>
    <xf numFmtId="43" fontId="250" fillId="0" borderId="0" applyFont="0" applyFill="0" applyBorder="0" applyAlignment="0" applyProtection="0"/>
    <xf numFmtId="264" fontId="108" fillId="45" borderId="80" applyNumberFormat="0" applyAlignment="0" applyProtection="0"/>
    <xf numFmtId="9" fontId="250"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126" fillId="0" borderId="0"/>
    <xf numFmtId="264" fontId="108" fillId="45" borderId="80" applyNumberFormat="0" applyAlignment="0" applyProtection="0"/>
    <xf numFmtId="9" fontId="250" fillId="0" borderId="0" applyFont="0" applyFill="0" applyBorder="0" applyAlignment="0" applyProtection="0"/>
    <xf numFmtId="264" fontId="108" fillId="45" borderId="80" applyNumberFormat="0" applyAlignment="0" applyProtection="0"/>
    <xf numFmtId="43" fontId="250" fillId="0" borderId="0" applyFont="0" applyFill="0" applyBorder="0" applyAlignment="0" applyProtection="0"/>
    <xf numFmtId="9" fontId="250" fillId="0" borderId="0" applyFont="0" applyFill="0" applyBorder="0" applyAlignment="0" applyProtection="0"/>
    <xf numFmtId="264" fontId="126" fillId="0" borderId="0"/>
    <xf numFmtId="43" fontId="250" fillId="0" borderId="0" applyFont="0" applyFill="0" applyBorder="0" applyAlignment="0" applyProtection="0"/>
    <xf numFmtId="264" fontId="126" fillId="0" borderId="0"/>
    <xf numFmtId="264" fontId="108" fillId="45" borderId="80" applyNumberFormat="0" applyAlignment="0" applyProtection="0"/>
    <xf numFmtId="9" fontId="250" fillId="0" borderId="0" applyFont="0" applyFill="0" applyBorder="0" applyAlignment="0" applyProtection="0"/>
    <xf numFmtId="9" fontId="250" fillId="0" borderId="0" applyFont="0" applyFill="0" applyBorder="0" applyAlignment="0" applyProtection="0"/>
    <xf numFmtId="9" fontId="250"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9" fontId="250" fillId="0" borderId="0" applyFont="0" applyFill="0" applyBorder="0" applyAlignment="0" applyProtection="0"/>
    <xf numFmtId="264" fontId="126" fillId="0" borderId="0"/>
    <xf numFmtId="264" fontId="108" fillId="45" borderId="80" applyNumberFormat="0" applyAlignment="0" applyProtection="0"/>
    <xf numFmtId="264" fontId="126" fillId="0" borderId="0"/>
    <xf numFmtId="264" fontId="3" fillId="0" borderId="0"/>
    <xf numFmtId="43" fontId="3" fillId="0" borderId="0" applyFont="0" applyFill="0" applyBorder="0" applyAlignment="0" applyProtection="0"/>
    <xf numFmtId="264" fontId="108" fillId="45" borderId="80" applyNumberFormat="0" applyAlignment="0" applyProtection="0"/>
    <xf numFmtId="264" fontId="108" fillId="45" borderId="80" applyNumberFormat="0" applyAlignment="0" applyProtection="0"/>
    <xf numFmtId="9" fontId="250" fillId="0" borderId="0" applyFont="0" applyFill="0" applyBorder="0" applyAlignment="0" applyProtection="0"/>
    <xf numFmtId="264" fontId="126" fillId="0" borderId="0"/>
    <xf numFmtId="43" fontId="250" fillId="0" borderId="0" applyFont="0" applyFill="0" applyBorder="0" applyAlignment="0" applyProtection="0"/>
    <xf numFmtId="264" fontId="126" fillId="0" borderId="0"/>
    <xf numFmtId="264" fontId="108" fillId="45" borderId="80" applyNumberFormat="0" applyAlignment="0" applyProtection="0"/>
    <xf numFmtId="264" fontId="3" fillId="0" borderId="0"/>
    <xf numFmtId="264" fontId="3" fillId="0" borderId="0"/>
    <xf numFmtId="264" fontId="3" fillId="0" borderId="0"/>
    <xf numFmtId="43" fontId="250"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9" fontId="250" fillId="0" borderId="0" applyFont="0" applyFill="0" applyBorder="0" applyAlignment="0" applyProtection="0"/>
    <xf numFmtId="43" fontId="250" fillId="0" borderId="0" applyFont="0" applyFill="0" applyBorder="0" applyAlignment="0" applyProtection="0"/>
    <xf numFmtId="264" fontId="108" fillId="45" borderId="80" applyNumberFormat="0" applyAlignment="0" applyProtection="0"/>
    <xf numFmtId="43" fontId="250"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264" fontId="126" fillId="0" borderId="0"/>
    <xf numFmtId="264" fontId="288" fillId="0" borderId="0">
      <alignment vertical="top"/>
    </xf>
    <xf numFmtId="43" fontId="3" fillId="0" borderId="0" applyFont="0" applyFill="0" applyBorder="0" applyAlignment="0" applyProtection="0"/>
    <xf numFmtId="264" fontId="24" fillId="0" borderId="0"/>
    <xf numFmtId="264" fontId="118" fillId="0" borderId="0"/>
    <xf numFmtId="9" fontId="288" fillId="0" borderId="0" applyFont="0" applyFill="0" applyBorder="0" applyAlignment="0" applyProtection="0"/>
    <xf numFmtId="43" fontId="26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4" fontId="24" fillId="0" borderId="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9" fontId="3" fillId="0" borderId="0" applyFont="0" applyFill="0" applyBorder="0" applyAlignment="0" applyProtection="0"/>
    <xf numFmtId="264" fontId="24" fillId="0" borderId="0"/>
    <xf numFmtId="264" fontId="126" fillId="0" borderId="0"/>
    <xf numFmtId="43" fontId="250" fillId="0" borderId="0" applyFont="0" applyFill="0" applyBorder="0" applyAlignment="0" applyProtection="0"/>
    <xf numFmtId="264" fontId="108" fillId="45" borderId="80" applyNumberFormat="0" applyAlignment="0" applyProtection="0"/>
    <xf numFmtId="9" fontId="250"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252" fillId="0" borderId="0"/>
    <xf numFmtId="264" fontId="252" fillId="0" borderId="0"/>
    <xf numFmtId="264" fontId="252" fillId="0" borderId="0"/>
    <xf numFmtId="264" fontId="252" fillId="0" borderId="0"/>
    <xf numFmtId="264" fontId="252" fillId="0" borderId="0"/>
    <xf numFmtId="264" fontId="252" fillId="0" borderId="0"/>
    <xf numFmtId="264" fontId="252" fillId="0" borderId="0"/>
    <xf numFmtId="264" fontId="252" fillId="0" borderId="0"/>
    <xf numFmtId="264" fontId="252" fillId="0" borderId="0"/>
    <xf numFmtId="264" fontId="126" fillId="0" borderId="0"/>
    <xf numFmtId="43" fontId="250" fillId="0" borderId="0" applyFont="0" applyFill="0" applyBorder="0" applyAlignment="0" applyProtection="0"/>
    <xf numFmtId="264" fontId="108" fillId="45" borderId="80" applyNumberFormat="0" applyAlignment="0" applyProtection="0"/>
    <xf numFmtId="9" fontId="250" fillId="0" borderId="0" applyFont="0" applyFill="0" applyBorder="0" applyAlignment="0" applyProtection="0"/>
    <xf numFmtId="264" fontId="24" fillId="0" borderId="0"/>
    <xf numFmtId="264" fontId="117" fillId="0" borderId="0"/>
    <xf numFmtId="264" fontId="126" fillId="0" borderId="0"/>
    <xf numFmtId="43" fontId="250" fillId="0" borderId="0" applyFont="0" applyFill="0" applyBorder="0" applyAlignment="0" applyProtection="0"/>
    <xf numFmtId="264" fontId="108" fillId="45" borderId="80" applyNumberFormat="0" applyAlignment="0" applyProtection="0"/>
    <xf numFmtId="9" fontId="250"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264" fontId="24" fillId="0" borderId="0"/>
    <xf numFmtId="49" fontId="76" fillId="0" borderId="0" applyNumberFormat="0" applyFont="0" applyFill="0" applyBorder="0" applyAlignment="0" applyProtection="0"/>
    <xf numFmtId="264" fontId="117" fillId="0" borderId="0"/>
    <xf numFmtId="264" fontId="32" fillId="44" borderId="0" applyNumberFormat="0" applyBorder="0" applyAlignment="0" applyProtection="0"/>
    <xf numFmtId="264" fontId="32" fillId="46" borderId="0" applyNumberFormat="0" applyBorder="0" applyAlignment="0" applyProtection="0"/>
    <xf numFmtId="264" fontId="32" fillId="48" borderId="0" applyNumberFormat="0" applyBorder="0" applyAlignment="0" applyProtection="0"/>
    <xf numFmtId="264" fontId="32" fillId="50" borderId="0" applyNumberFormat="0" applyBorder="0" applyAlignment="0" applyProtection="0"/>
    <xf numFmtId="264" fontId="32" fillId="51" borderId="0" applyNumberFormat="0" applyBorder="0" applyAlignment="0" applyProtection="0"/>
    <xf numFmtId="264" fontId="32" fillId="45" borderId="0" applyNumberFormat="0" applyBorder="0" applyAlignment="0" applyProtection="0"/>
    <xf numFmtId="264" fontId="32" fillId="52" borderId="0" applyNumberFormat="0" applyBorder="0" applyAlignment="0" applyProtection="0"/>
    <xf numFmtId="264" fontId="32" fillId="47" borderId="0" applyNumberFormat="0" applyBorder="0" applyAlignment="0" applyProtection="0"/>
    <xf numFmtId="264" fontId="32" fillId="54" borderId="0" applyNumberFormat="0" applyBorder="0" applyAlignment="0" applyProtection="0"/>
    <xf numFmtId="264" fontId="32" fillId="50" borderId="0" applyNumberFormat="0" applyBorder="0" applyAlignment="0" applyProtection="0"/>
    <xf numFmtId="264" fontId="32" fillId="52" borderId="0" applyNumberFormat="0" applyBorder="0" applyAlignment="0" applyProtection="0"/>
    <xf numFmtId="264" fontId="32" fillId="56" borderId="0" applyNumberFormat="0" applyBorder="0" applyAlignment="0" applyProtection="0"/>
    <xf numFmtId="264" fontId="275" fillId="57" borderId="0" applyNumberFormat="0" applyBorder="0" applyAlignment="0" applyProtection="0"/>
    <xf numFmtId="264" fontId="275" fillId="47" borderId="0" applyNumberFormat="0" applyBorder="0" applyAlignment="0" applyProtection="0"/>
    <xf numFmtId="264" fontId="275" fillId="54" borderId="0" applyNumberFormat="0" applyBorder="0" applyAlignment="0" applyProtection="0"/>
    <xf numFmtId="264" fontId="275" fillId="59" borderId="0" applyNumberFormat="0" applyBorder="0" applyAlignment="0" applyProtection="0"/>
    <xf numFmtId="264" fontId="275" fillId="58" borderId="0" applyNumberFormat="0" applyBorder="0" applyAlignment="0" applyProtection="0"/>
    <xf numFmtId="264" fontId="275" fillId="60" borderId="0" applyNumberFormat="0" applyBorder="0" applyAlignment="0" applyProtection="0"/>
    <xf numFmtId="264" fontId="275" fillId="61" borderId="0" applyNumberFormat="0" applyBorder="0" applyAlignment="0" applyProtection="0"/>
    <xf numFmtId="264" fontId="275" fillId="62" borderId="0" applyNumberFormat="0" applyBorder="0" applyAlignment="0" applyProtection="0"/>
    <xf numFmtId="264" fontId="275" fillId="63" borderId="0" applyNumberFormat="0" applyBorder="0" applyAlignment="0" applyProtection="0"/>
    <xf numFmtId="264" fontId="275" fillId="59" borderId="0" applyNumberFormat="0" applyBorder="0" applyAlignment="0" applyProtection="0"/>
    <xf numFmtId="264" fontId="275" fillId="58" borderId="0" applyNumberFormat="0" applyBorder="0" applyAlignment="0" applyProtection="0"/>
    <xf numFmtId="264" fontId="275" fillId="65" borderId="0" applyNumberFormat="0" applyBorder="0" applyAlignment="0" applyProtection="0"/>
    <xf numFmtId="264" fontId="276" fillId="46" borderId="0" applyNumberFormat="0" applyBorder="0" applyAlignment="0" applyProtection="0"/>
    <xf numFmtId="264" fontId="277" fillId="53" borderId="80" applyNumberFormat="0" applyAlignment="0" applyProtection="0"/>
    <xf numFmtId="264" fontId="142" fillId="67" borderId="81" applyNumberFormat="0" applyAlignment="0" applyProtection="0"/>
    <xf numFmtId="43" fontId="21" fillId="0" borderId="0" applyFont="0" applyFill="0" applyBorder="0" applyAlignment="0" applyProtection="0"/>
    <xf numFmtId="43" fontId="32" fillId="0" borderId="0" applyFont="0" applyFill="0" applyBorder="0" applyAlignment="0" applyProtection="0">
      <alignment vertical="top"/>
    </xf>
    <xf numFmtId="43" fontId="250" fillId="0" borderId="0" applyFont="0" applyFill="0" applyBorder="0" applyAlignment="0" applyProtection="0"/>
    <xf numFmtId="43" fontId="24" fillId="0" borderId="0" applyFont="0" applyFill="0" applyBorder="0" applyAlignment="0" applyProtection="0"/>
    <xf numFmtId="43" fontId="32" fillId="0" borderId="0" applyFont="0" applyFill="0" applyBorder="0" applyAlignment="0" applyProtection="0"/>
    <xf numFmtId="43" fontId="278" fillId="0" borderId="0" applyFont="0" applyFill="0" applyBorder="0" applyAlignment="0" applyProtection="0"/>
    <xf numFmtId="43" fontId="32" fillId="0" borderId="0" applyFont="0" applyFill="0" applyBorder="0" applyAlignment="0" applyProtection="0">
      <alignment vertical="top"/>
    </xf>
    <xf numFmtId="43" fontId="21" fillId="0" borderId="0" applyFont="0" applyFill="0" applyBorder="0" applyAlignment="0" applyProtection="0"/>
    <xf numFmtId="264" fontId="24" fillId="0" borderId="0" applyFont="0" applyFill="0" applyBorder="0" applyAlignment="0" applyProtection="0"/>
    <xf numFmtId="264" fontId="279" fillId="0" borderId="0" applyNumberFormat="0" applyFill="0" applyBorder="0" applyAlignment="0" applyProtection="0"/>
    <xf numFmtId="264" fontId="280" fillId="48" borderId="0" applyNumberFormat="0" applyBorder="0" applyAlignment="0" applyProtection="0"/>
    <xf numFmtId="264" fontId="281" fillId="0" borderId="85" applyNumberFormat="0" applyFill="0" applyAlignment="0" applyProtection="0"/>
    <xf numFmtId="264" fontId="282" fillId="0" borderId="87" applyNumberFormat="0" applyFill="0" applyAlignment="0" applyProtection="0"/>
    <xf numFmtId="264" fontId="283" fillId="0" borderId="88" applyNumberFormat="0" applyFill="0" applyAlignment="0" applyProtection="0"/>
    <xf numFmtId="264" fontId="283" fillId="0" borderId="0" applyNumberFormat="0" applyFill="0" applyBorder="0" applyAlignment="0" applyProtection="0"/>
    <xf numFmtId="264" fontId="177" fillId="0" borderId="0" applyNumberFormat="0" applyFill="0" applyBorder="0" applyAlignment="0" applyProtection="0">
      <alignment vertical="top"/>
      <protection locked="0"/>
    </xf>
    <xf numFmtId="264" fontId="284" fillId="45" borderId="80" applyNumberFormat="0" applyAlignment="0" applyProtection="0"/>
    <xf numFmtId="264" fontId="285" fillId="0" borderId="90" applyNumberFormat="0" applyFill="0" applyAlignment="0" applyProtection="0"/>
    <xf numFmtId="264" fontId="270" fillId="55" borderId="0" applyNumberFormat="0" applyBorder="0" applyAlignment="0" applyProtection="0"/>
    <xf numFmtId="264" fontId="32" fillId="0" borderId="0"/>
    <xf numFmtId="264" fontId="118" fillId="0" borderId="0"/>
    <xf numFmtId="264" fontId="24" fillId="0" borderId="0"/>
    <xf numFmtId="264" fontId="32" fillId="0" borderId="0">
      <alignment vertical="top"/>
    </xf>
    <xf numFmtId="264" fontId="118" fillId="0" borderId="0"/>
    <xf numFmtId="264" fontId="76" fillId="0" borderId="0"/>
    <xf numFmtId="264" fontId="21" fillId="0" borderId="0"/>
    <xf numFmtId="264" fontId="32" fillId="0" borderId="0">
      <alignment vertical="top"/>
    </xf>
    <xf numFmtId="264" fontId="118" fillId="0" borderId="0"/>
    <xf numFmtId="264" fontId="76" fillId="0" borderId="0"/>
    <xf numFmtId="264" fontId="118" fillId="0" borderId="0"/>
    <xf numFmtId="264" fontId="24" fillId="0" borderId="0"/>
    <xf numFmtId="264" fontId="32" fillId="0" borderId="0">
      <alignment vertical="top"/>
    </xf>
    <xf numFmtId="264" fontId="24" fillId="0" borderId="0"/>
    <xf numFmtId="264" fontId="286" fillId="53" borderId="93" applyNumberFormat="0" applyAlignment="0" applyProtection="0"/>
    <xf numFmtId="264" fontId="143" fillId="70" borderId="5"/>
    <xf numFmtId="9" fontId="287" fillId="0" borderId="0" applyFont="0" applyFill="0" applyBorder="0" applyAlignment="0" applyProtection="0"/>
    <xf numFmtId="9" fontId="32" fillId="0" borderId="0" applyFont="0" applyFill="0" applyBorder="0" applyAlignment="0" applyProtection="0">
      <alignment vertical="top"/>
    </xf>
    <xf numFmtId="9" fontId="287" fillId="0" borderId="0" applyFont="0" applyFill="0" applyBorder="0" applyAlignment="0" applyProtection="0"/>
    <xf numFmtId="264" fontId="32" fillId="0" borderId="0">
      <alignment vertical="top"/>
    </xf>
    <xf numFmtId="264" fontId="274" fillId="0" borderId="96" applyNumberFormat="0" applyFill="0" applyAlignment="0" applyProtection="0"/>
    <xf numFmtId="264" fontId="42" fillId="0" borderId="0" applyNumberFormat="0" applyFill="0" applyBorder="0" applyAlignment="0" applyProtection="0"/>
    <xf numFmtId="264" fontId="24" fillId="0" borderId="0"/>
    <xf numFmtId="264" fontId="3" fillId="0" borderId="0"/>
    <xf numFmtId="43" fontId="3" fillId="0" borderId="0" applyFont="0" applyFill="0" applyBorder="0" applyAlignment="0" applyProtection="0"/>
    <xf numFmtId="264" fontId="252" fillId="0" borderId="0"/>
    <xf numFmtId="264" fontId="21" fillId="0" borderId="0"/>
    <xf numFmtId="264" fontId="252" fillId="0" borderId="0"/>
    <xf numFmtId="49" fontId="76" fillId="0" borderId="0" applyNumberFormat="0" applyFont="0" applyFill="0" applyBorder="0" applyAlignment="0" applyProtection="0"/>
    <xf numFmtId="264" fontId="21" fillId="44" borderId="0" applyNumberFormat="0" applyBorder="0" applyAlignment="0" applyProtection="0"/>
    <xf numFmtId="264" fontId="21" fillId="46" borderId="0" applyNumberFormat="0" applyBorder="0" applyAlignment="0" applyProtection="0"/>
    <xf numFmtId="264" fontId="21" fillId="48" borderId="0" applyNumberFormat="0" applyBorder="0" applyAlignment="0" applyProtection="0"/>
    <xf numFmtId="264" fontId="21" fillId="50" borderId="0" applyNumberFormat="0" applyBorder="0" applyAlignment="0" applyProtection="0"/>
    <xf numFmtId="264" fontId="21" fillId="45" borderId="0" applyNumberFormat="0" applyBorder="0" applyAlignment="0" applyProtection="0"/>
    <xf numFmtId="264" fontId="21" fillId="52" borderId="0" applyNumberFormat="0" applyBorder="0" applyAlignment="0" applyProtection="0"/>
    <xf numFmtId="264" fontId="21" fillId="54" borderId="0" applyNumberFormat="0" applyBorder="0" applyAlignment="0" applyProtection="0"/>
    <xf numFmtId="264" fontId="21" fillId="50" borderId="0" applyNumberFormat="0" applyBorder="0" applyAlignment="0" applyProtection="0"/>
    <xf numFmtId="264" fontId="21" fillId="52" borderId="0" applyNumberFormat="0" applyBorder="0" applyAlignment="0" applyProtection="0"/>
    <xf numFmtId="264" fontId="21" fillId="56" borderId="0" applyNumberFormat="0" applyBorder="0" applyAlignment="0" applyProtection="0"/>
    <xf numFmtId="264" fontId="99" fillId="57" borderId="0" applyNumberFormat="0" applyBorder="0" applyAlignment="0" applyProtection="0"/>
    <xf numFmtId="264" fontId="99" fillId="47" borderId="0" applyNumberFormat="0" applyBorder="0" applyAlignment="0" applyProtection="0"/>
    <xf numFmtId="264" fontId="99" fillId="54" borderId="0" applyNumberFormat="0" applyBorder="0" applyAlignment="0" applyProtection="0"/>
    <xf numFmtId="264" fontId="99" fillId="59" borderId="0" applyNumberFormat="0" applyBorder="0" applyAlignment="0" applyProtection="0"/>
    <xf numFmtId="264" fontId="99" fillId="58" borderId="0" applyNumberFormat="0" applyBorder="0" applyAlignment="0" applyProtection="0"/>
    <xf numFmtId="264" fontId="99" fillId="60" borderId="0" applyNumberFormat="0" applyBorder="0" applyAlignment="0" applyProtection="0"/>
    <xf numFmtId="264" fontId="99" fillId="61" borderId="0" applyNumberFormat="0" applyBorder="0" applyAlignment="0" applyProtection="0"/>
    <xf numFmtId="264" fontId="99" fillId="62" borderId="0" applyNumberFormat="0" applyBorder="0" applyAlignment="0" applyProtection="0"/>
    <xf numFmtId="264" fontId="99" fillId="63" borderId="0" applyNumberFormat="0" applyBorder="0" applyAlignment="0" applyProtection="0"/>
    <xf numFmtId="264" fontId="99" fillId="59" borderId="0" applyNumberFormat="0" applyBorder="0" applyAlignment="0" applyProtection="0"/>
    <xf numFmtId="264" fontId="99" fillId="65" borderId="0" applyNumberFormat="0" applyBorder="0" applyAlignment="0" applyProtection="0"/>
    <xf numFmtId="264" fontId="100" fillId="46" borderId="0" applyNumberFormat="0" applyBorder="0" applyAlignment="0" applyProtection="0"/>
    <xf numFmtId="264" fontId="101" fillId="53" borderId="80" applyNumberFormat="0" applyAlignment="0" applyProtection="0"/>
    <xf numFmtId="264" fontId="104" fillId="48" borderId="0" applyNumberFormat="0" applyBorder="0" applyAlignment="0" applyProtection="0"/>
    <xf numFmtId="264" fontId="105" fillId="0" borderId="85" applyNumberFormat="0" applyFill="0" applyAlignment="0" applyProtection="0"/>
    <xf numFmtId="264" fontId="106" fillId="0" borderId="87" applyNumberFormat="0" applyFill="0" applyAlignment="0" applyProtection="0"/>
    <xf numFmtId="264" fontId="107" fillId="0" borderId="88" applyNumberFormat="0" applyFill="0" applyAlignment="0" applyProtection="0"/>
    <xf numFmtId="264" fontId="107" fillId="0" borderId="0" applyNumberFormat="0" applyFill="0" applyBorder="0" applyAlignment="0" applyProtection="0"/>
    <xf numFmtId="264" fontId="108" fillId="45" borderId="80" applyNumberFormat="0" applyAlignment="0" applyProtection="0"/>
    <xf numFmtId="264" fontId="109" fillId="0" borderId="90" applyNumberFormat="0" applyFill="0" applyAlignment="0" applyProtection="0"/>
    <xf numFmtId="264" fontId="110" fillId="55" borderId="0" applyNumberFormat="0" applyBorder="0" applyAlignment="0" applyProtection="0"/>
    <xf numFmtId="264" fontId="111" fillId="53" borderId="93" applyNumberFormat="0" applyAlignment="0" applyProtection="0"/>
    <xf numFmtId="264" fontId="115" fillId="0" borderId="96" applyNumberFormat="0" applyFill="0" applyAlignment="0" applyProtection="0"/>
    <xf numFmtId="264" fontId="3" fillId="0" borderId="0"/>
    <xf numFmtId="43" fontId="3" fillId="0" borderId="0" applyFont="0" applyFill="0" applyBorder="0" applyAlignment="0" applyProtection="0"/>
    <xf numFmtId="9" fontId="252" fillId="0" borderId="0" applyFont="0" applyFill="0" applyBorder="0" applyAlignment="0" applyProtection="0"/>
    <xf numFmtId="9" fontId="252"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194" fontId="24" fillId="0" borderId="0" applyFill="0" applyBorder="0" applyAlignment="0" applyProtection="0"/>
    <xf numFmtId="264" fontId="3" fillId="0" borderId="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9"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9" fontId="24" fillId="111" borderId="0"/>
    <xf numFmtId="264" fontId="24" fillId="0" borderId="0"/>
    <xf numFmtId="264" fontId="76" fillId="0" borderId="0"/>
    <xf numFmtId="264" fontId="24" fillId="0" borderId="0"/>
    <xf numFmtId="264" fontId="24" fillId="0" borderId="0"/>
    <xf numFmtId="264" fontId="76" fillId="0" borderId="0"/>
    <xf numFmtId="264" fontId="24" fillId="0" borderId="0"/>
    <xf numFmtId="264" fontId="21" fillId="44" borderId="0" applyNumberFormat="0" applyBorder="0" applyAlignment="0" applyProtection="0"/>
    <xf numFmtId="264" fontId="21" fillId="46" borderId="0" applyNumberFormat="0" applyBorder="0" applyAlignment="0" applyProtection="0"/>
    <xf numFmtId="264" fontId="21" fillId="48" borderId="0" applyNumberFormat="0" applyBorder="0" applyAlignment="0" applyProtection="0"/>
    <xf numFmtId="264" fontId="21" fillId="50" borderId="0" applyNumberFormat="0" applyBorder="0" applyAlignment="0" applyProtection="0"/>
    <xf numFmtId="264" fontId="21" fillId="51" borderId="0" applyNumberFormat="0" applyBorder="0" applyAlignment="0" applyProtection="0"/>
    <xf numFmtId="264" fontId="21" fillId="51" borderId="0" applyNumberFormat="0" applyBorder="0" applyAlignment="0" applyProtection="0"/>
    <xf numFmtId="264" fontId="21" fillId="45" borderId="0" applyNumberFormat="0" applyBorder="0" applyAlignment="0" applyProtection="0"/>
    <xf numFmtId="264" fontId="21" fillId="52" borderId="0" applyNumberFormat="0" applyBorder="0" applyAlignment="0" applyProtection="0"/>
    <xf numFmtId="264" fontId="21" fillId="47" borderId="0" applyNumberFormat="0" applyBorder="0" applyAlignment="0" applyProtection="0"/>
    <xf numFmtId="264" fontId="21" fillId="47" borderId="0" applyNumberFormat="0" applyBorder="0" applyAlignment="0" applyProtection="0"/>
    <xf numFmtId="264" fontId="21" fillId="54" borderId="0" applyNumberFormat="0" applyBorder="0" applyAlignment="0" applyProtection="0"/>
    <xf numFmtId="264" fontId="21" fillId="50" borderId="0" applyNumberFormat="0" applyBorder="0" applyAlignment="0" applyProtection="0"/>
    <xf numFmtId="264" fontId="21" fillId="52" borderId="0" applyNumberFormat="0" applyBorder="0" applyAlignment="0" applyProtection="0"/>
    <xf numFmtId="264" fontId="21" fillId="56" borderId="0" applyNumberFormat="0" applyBorder="0" applyAlignment="0" applyProtection="0"/>
    <xf numFmtId="264" fontId="99" fillId="58" borderId="0" applyNumberFormat="0" applyBorder="0" applyAlignment="0" applyProtection="0"/>
    <xf numFmtId="264" fontId="24" fillId="0" borderId="0"/>
    <xf numFmtId="264" fontId="128" fillId="0" borderId="0" applyNumberFormat="0" applyFill="0" applyBorder="0" applyAlignment="0" applyProtection="0"/>
    <xf numFmtId="168" fontId="292" fillId="0" borderId="0" applyFill="0" applyBorder="0" applyAlignment="0"/>
    <xf numFmtId="264" fontId="24" fillId="0" borderId="0" applyFill="0" applyBorder="0" applyAlignment="0"/>
    <xf numFmtId="44" fontId="292" fillId="0" borderId="0" applyFill="0" applyBorder="0" applyAlignment="0"/>
    <xf numFmtId="271" fontId="292" fillId="0" borderId="0" applyFill="0" applyBorder="0" applyAlignment="0"/>
    <xf numFmtId="168" fontId="292" fillId="0" borderId="0" applyFill="0" applyBorder="0" applyAlignment="0"/>
    <xf numFmtId="264" fontId="102" fillId="67" borderId="81" applyNumberFormat="0" applyAlignment="0" applyProtection="0"/>
    <xf numFmtId="44" fontId="29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76" fillId="0" borderId="0" applyFont="0" applyFill="0" applyBorder="0" applyAlignment="0" applyProtection="0"/>
    <xf numFmtId="43" fontId="21" fillId="0" borderId="0" applyFont="0" applyFill="0" applyBorder="0" applyAlignment="0" applyProtection="0"/>
    <xf numFmtId="264" fontId="24" fillId="0" borderId="0" applyFont="0" applyFill="0" applyBorder="0" applyAlignment="0" applyProtection="0"/>
    <xf numFmtId="165" fontId="24" fillId="0" borderId="0" applyFont="0" applyFill="0" applyBorder="0" applyAlignment="0" applyProtection="0"/>
    <xf numFmtId="43" fontId="29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175" fontId="78" fillId="0" borderId="0" applyFont="0" applyFill="0" applyBorder="0" applyAlignment="0" applyProtection="0"/>
    <xf numFmtId="264" fontId="129" fillId="2" borderId="0" applyFill="0" applyBorder="0"/>
    <xf numFmtId="264" fontId="129" fillId="2" borderId="0" applyFill="0" applyBorder="0"/>
    <xf numFmtId="264" fontId="129" fillId="2" borderId="0" applyFill="0" applyBorder="0"/>
    <xf numFmtId="264" fontId="130" fillId="0" borderId="0" applyNumberFormat="0" applyAlignment="0">
      <alignment horizontal="left"/>
    </xf>
    <xf numFmtId="272" fontId="77" fillId="0" borderId="0" applyFill="0" applyBorder="0" applyProtection="0"/>
    <xf numFmtId="272" fontId="77" fillId="0" borderId="130" applyFill="0" applyProtection="0"/>
    <xf numFmtId="272" fontId="77" fillId="0" borderId="102" applyFill="0" applyProtection="0"/>
    <xf numFmtId="272" fontId="77" fillId="0" borderId="0" applyFill="0" applyBorder="0" applyProtection="0"/>
    <xf numFmtId="195" fontId="24" fillId="0" borderId="0" applyFont="0" applyFill="0" applyBorder="0" applyAlignment="0" applyProtection="0"/>
    <xf numFmtId="168" fontId="292" fillId="0" borderId="0" applyFont="0" applyFill="0" applyBorder="0" applyAlignment="0" applyProtection="0"/>
    <xf numFmtId="264" fontId="125" fillId="0" borderId="0"/>
    <xf numFmtId="264" fontId="125" fillId="0" borderId="82"/>
    <xf numFmtId="273" fontId="77" fillId="0" borderId="0" applyFill="0" applyBorder="0" applyProtection="0"/>
    <xf numFmtId="273" fontId="77" fillId="0" borderId="130" applyFill="0" applyProtection="0"/>
    <xf numFmtId="273" fontId="77" fillId="0" borderId="102" applyFill="0" applyProtection="0"/>
    <xf numFmtId="273" fontId="77" fillId="0" borderId="0" applyFill="0" applyBorder="0" applyProtection="0"/>
    <xf numFmtId="264" fontId="175" fillId="0" borderId="0"/>
    <xf numFmtId="264" fontId="131" fillId="2" borderId="0"/>
    <xf numFmtId="264" fontId="175" fillId="0" borderId="82"/>
    <xf numFmtId="264" fontId="175" fillId="0" borderId="82"/>
    <xf numFmtId="264" fontId="222" fillId="97" borderId="0"/>
    <xf numFmtId="168" fontId="292" fillId="0" borderId="0" applyFill="0" applyBorder="0" applyAlignment="0"/>
    <xf numFmtId="44" fontId="292" fillId="0" borderId="0" applyFill="0" applyBorder="0" applyAlignment="0"/>
    <xf numFmtId="271" fontId="292" fillId="0" borderId="0" applyFill="0" applyBorder="0" applyAlignment="0"/>
    <xf numFmtId="168" fontId="292" fillId="0" borderId="0" applyFill="0" applyBorder="0" applyAlignment="0"/>
    <xf numFmtId="264" fontId="132" fillId="0" borderId="0" applyNumberFormat="0" applyAlignment="0">
      <alignment horizontal="left"/>
    </xf>
    <xf numFmtId="264" fontId="103" fillId="0" borderId="0" applyNumberFormat="0" applyFill="0" applyBorder="0" applyAlignment="0" applyProtection="0"/>
    <xf numFmtId="264" fontId="133" fillId="0" borderId="0" applyFill="0" applyAlignment="0"/>
    <xf numFmtId="264" fontId="224" fillId="0" borderId="98"/>
    <xf numFmtId="264" fontId="224" fillId="0" borderId="82"/>
    <xf numFmtId="264" fontId="224" fillId="98" borderId="82"/>
    <xf numFmtId="264" fontId="31" fillId="0" borderId="107" applyNumberFormat="0" applyAlignment="0" applyProtection="0">
      <alignment horizontal="left" vertical="center"/>
    </xf>
    <xf numFmtId="264" fontId="31" fillId="0" borderId="108">
      <alignment horizontal="left" vertical="center"/>
    </xf>
    <xf numFmtId="264" fontId="125" fillId="0" borderId="0" applyBorder="0"/>
    <xf numFmtId="264" fontId="156" fillId="72" borderId="82"/>
    <xf numFmtId="264" fontId="294" fillId="0" borderId="0" applyNumberFormat="0" applyFill="0" applyBorder="0" applyAlignment="0" applyProtection="0">
      <alignment vertical="top"/>
      <protection locked="0"/>
    </xf>
    <xf numFmtId="264" fontId="295" fillId="0" borderId="0" applyNumberFormat="0" applyFill="0" applyBorder="0" applyAlignment="0" applyProtection="0"/>
    <xf numFmtId="168" fontId="292" fillId="0" borderId="0" applyFill="0" applyBorder="0" applyAlignment="0"/>
    <xf numFmtId="44" fontId="292" fillId="0" borderId="0" applyFill="0" applyBorder="0" applyAlignment="0"/>
    <xf numFmtId="271" fontId="292" fillId="0" borderId="0" applyFill="0" applyBorder="0" applyAlignment="0"/>
    <xf numFmtId="168" fontId="292" fillId="0" borderId="0" applyFill="0" applyBorder="0" applyAlignment="0"/>
    <xf numFmtId="203" fontId="24" fillId="0" borderId="0"/>
    <xf numFmtId="203" fontId="24" fillId="0" borderId="0"/>
    <xf numFmtId="203" fontId="24" fillId="0" borderId="0"/>
    <xf numFmtId="203" fontId="24" fillId="0" borderId="0"/>
    <xf numFmtId="264" fontId="24" fillId="0" borderId="0"/>
    <xf numFmtId="264" fontId="24" fillId="0" borderId="0"/>
    <xf numFmtId="203" fontId="24" fillId="0" borderId="0"/>
    <xf numFmtId="203" fontId="24" fillId="0" borderId="0"/>
    <xf numFmtId="203" fontId="24" fillId="0" borderId="0"/>
    <xf numFmtId="264" fontId="125" fillId="0" borderId="0"/>
    <xf numFmtId="264" fontId="125" fillId="0" borderId="0"/>
    <xf numFmtId="264" fontId="125" fillId="0" borderId="0"/>
    <xf numFmtId="264" fontId="125" fillId="0" borderId="0"/>
    <xf numFmtId="264" fontId="125" fillId="0" borderId="0"/>
    <xf numFmtId="264" fontId="125" fillId="0" borderId="0"/>
    <xf numFmtId="264" fontId="125" fillId="0" borderId="0"/>
    <xf numFmtId="264" fontId="32" fillId="0" borderId="0">
      <alignment vertical="top"/>
    </xf>
    <xf numFmtId="264" fontId="32" fillId="0" borderId="0">
      <alignment vertical="top"/>
    </xf>
    <xf numFmtId="195" fontId="32" fillId="0" borderId="0">
      <alignment vertical="top"/>
    </xf>
    <xf numFmtId="264" fontId="32" fillId="0" borderId="0">
      <alignment vertical="top"/>
    </xf>
    <xf numFmtId="264" fontId="24" fillId="0" borderId="0"/>
    <xf numFmtId="264" fontId="3" fillId="0" borderId="0"/>
    <xf numFmtId="264" fontId="3" fillId="0" borderId="0"/>
    <xf numFmtId="264" fontId="32" fillId="0" borderId="0"/>
    <xf numFmtId="264" fontId="32" fillId="0" borderId="0"/>
    <xf numFmtId="203" fontId="96" fillId="0" borderId="0"/>
    <xf numFmtId="203" fontId="96" fillId="0" borderId="0"/>
    <xf numFmtId="203" fontId="96" fillId="0" borderId="0"/>
    <xf numFmtId="203" fontId="96" fillId="0" borderId="0"/>
    <xf numFmtId="203" fontId="96" fillId="0" borderId="0"/>
    <xf numFmtId="203" fontId="96" fillId="0" borderId="0"/>
    <xf numFmtId="264" fontId="3" fillId="0" borderId="0"/>
    <xf numFmtId="264" fontId="3" fillId="0" borderId="0"/>
    <xf numFmtId="264" fontId="3" fillId="0" borderId="0"/>
    <xf numFmtId="264" fontId="3" fillId="0" borderId="0"/>
    <xf numFmtId="264" fontId="96" fillId="0" borderId="0"/>
    <xf numFmtId="264" fontId="32" fillId="0" borderId="0"/>
    <xf numFmtId="264" fontId="3" fillId="0" borderId="0"/>
    <xf numFmtId="264" fontId="3" fillId="0" borderId="0"/>
    <xf numFmtId="264" fontId="32" fillId="0" borderId="0"/>
    <xf numFmtId="264" fontId="32" fillId="0" borderId="0"/>
    <xf numFmtId="264" fontId="24" fillId="0" borderId="0"/>
    <xf numFmtId="264" fontId="24" fillId="0" borderId="0"/>
    <xf numFmtId="264" fontId="24" fillId="0" borderId="0"/>
    <xf numFmtId="264" fontId="24" fillId="0" borderId="0"/>
    <xf numFmtId="264" fontId="24" fillId="0" borderId="0"/>
    <xf numFmtId="264" fontId="24" fillId="0" borderId="0"/>
    <xf numFmtId="167" fontId="32" fillId="0" borderId="0">
      <alignment vertical="top"/>
    </xf>
    <xf numFmtId="167" fontId="32" fillId="0" borderId="0">
      <alignment vertical="top"/>
    </xf>
    <xf numFmtId="264" fontId="24" fillId="0" borderId="0"/>
    <xf numFmtId="264" fontId="32" fillId="0" borderId="0">
      <alignment vertical="top"/>
    </xf>
    <xf numFmtId="195" fontId="32" fillId="0" borderId="0">
      <alignment vertical="top"/>
    </xf>
    <xf numFmtId="264" fontId="32" fillId="0" borderId="0">
      <alignment vertical="top"/>
    </xf>
    <xf numFmtId="195" fontId="24" fillId="0" borderId="0"/>
    <xf numFmtId="264" fontId="24" fillId="0" borderId="0"/>
    <xf numFmtId="203" fontId="24" fillId="0" borderId="0"/>
    <xf numFmtId="203" fontId="24" fillId="0" borderId="0"/>
    <xf numFmtId="264" fontId="21" fillId="0" borderId="0"/>
    <xf numFmtId="264" fontId="3" fillId="0" borderId="0"/>
    <xf numFmtId="264" fontId="3" fillId="0" borderId="0"/>
    <xf numFmtId="264" fontId="3" fillId="0" borderId="0"/>
    <xf numFmtId="264" fontId="3" fillId="0" borderId="0"/>
    <xf numFmtId="264" fontId="21" fillId="0" borderId="0"/>
    <xf numFmtId="264" fontId="24" fillId="0" borderId="0"/>
    <xf numFmtId="264" fontId="32" fillId="0" borderId="0">
      <alignment vertical="top"/>
    </xf>
    <xf numFmtId="39" fontId="175" fillId="0" borderId="0"/>
    <xf numFmtId="264" fontId="21" fillId="0" borderId="0"/>
    <xf numFmtId="264" fontId="76" fillId="0" borderId="0"/>
    <xf numFmtId="264" fontId="32" fillId="0" borderId="0">
      <alignment vertical="top"/>
    </xf>
    <xf numFmtId="264" fontId="24" fillId="49" borderId="92" applyNumberFormat="0" applyFont="0" applyAlignment="0" applyProtection="0"/>
    <xf numFmtId="264" fontId="24" fillId="0" borderId="0" applyFont="0" applyFill="0" applyBorder="0" applyAlignment="0" applyProtection="0"/>
    <xf numFmtId="264" fontId="24" fillId="0" borderId="0" applyFont="0" applyFill="0" applyBorder="0" applyAlignment="0" applyProtection="0"/>
    <xf numFmtId="264" fontId="134" fillId="0" borderId="0">
      <alignment wrapText="1"/>
    </xf>
    <xf numFmtId="40" fontId="126" fillId="70" borderId="0">
      <alignment horizontal="right"/>
    </xf>
    <xf numFmtId="264" fontId="140" fillId="72" borderId="0">
      <alignment horizontal="center"/>
    </xf>
    <xf numFmtId="264" fontId="141" fillId="70" borderId="0">
      <alignment horizontal="right"/>
    </xf>
    <xf numFmtId="264" fontId="141" fillId="70" borderId="0">
      <alignment horizontal="right"/>
    </xf>
    <xf numFmtId="264" fontId="142" fillId="73" borderId="5"/>
    <xf numFmtId="264" fontId="127" fillId="66" borderId="0" applyBorder="0">
      <alignment horizontal="centerContinuous"/>
    </xf>
    <xf numFmtId="264" fontId="143" fillId="0" borderId="0" applyBorder="0">
      <alignment horizontal="centerContinuous"/>
    </xf>
    <xf numFmtId="264" fontId="143" fillId="0" borderId="0" applyBorder="0">
      <alignment horizontal="centerContinuous"/>
    </xf>
    <xf numFmtId="264" fontId="144" fillId="73" borderId="0" applyBorder="0">
      <alignment horizontal="centerContinuous"/>
    </xf>
    <xf numFmtId="264" fontId="145" fillId="0" borderId="0" applyBorder="0">
      <alignment horizontal="centerContinuous"/>
    </xf>
    <xf numFmtId="264" fontId="145" fillId="0" borderId="0" applyBorder="0">
      <alignment horizontal="centerContinuous"/>
    </xf>
    <xf numFmtId="264" fontId="24" fillId="0" borderId="0" applyFont="0" applyFill="0" applyBorder="0" applyAlignment="0" applyProtection="0"/>
    <xf numFmtId="274" fontId="77" fillId="0" borderId="0" applyFont="0" applyFill="0" applyBorder="0" applyAlignment="0" applyProtection="0"/>
    <xf numFmtId="9" fontId="76" fillId="0" borderId="0" applyFont="0" applyFill="0" applyBorder="0" applyAlignment="0" applyProtection="0"/>
    <xf numFmtId="9" fontId="32" fillId="0" borderId="0" applyFont="0" applyFill="0" applyBorder="0" applyAlignment="0" applyProtection="0">
      <alignment vertical="top"/>
    </xf>
    <xf numFmtId="9" fontId="293" fillId="0" borderId="0" applyFont="0" applyFill="0" applyBorder="0" applyAlignment="0" applyProtection="0"/>
    <xf numFmtId="168" fontId="292" fillId="0" borderId="0" applyFill="0" applyBorder="0" applyAlignment="0"/>
    <xf numFmtId="44" fontId="292" fillId="0" borderId="0" applyFill="0" applyBorder="0" applyAlignment="0"/>
    <xf numFmtId="271" fontId="292" fillId="0" borderId="0" applyFill="0" applyBorder="0" applyAlignment="0"/>
    <xf numFmtId="168" fontId="292" fillId="0" borderId="0" applyFill="0" applyBorder="0" applyAlignment="0"/>
    <xf numFmtId="264" fontId="125" fillId="0" borderId="0"/>
    <xf numFmtId="264" fontId="175" fillId="0" borderId="0"/>
    <xf numFmtId="264" fontId="24" fillId="0" borderId="0"/>
    <xf numFmtId="264" fontId="24" fillId="0" borderId="0"/>
    <xf numFmtId="264" fontId="24" fillId="0" borderId="0"/>
    <xf numFmtId="264" fontId="112" fillId="0" borderId="0">
      <alignment horizontal="left" vertical="center"/>
    </xf>
    <xf numFmtId="264" fontId="113" fillId="0" borderId="0" applyNumberFormat="0" applyFill="0" applyBorder="0" applyProtection="0">
      <alignment vertical="center"/>
    </xf>
    <xf numFmtId="264" fontId="125" fillId="0" borderId="82"/>
    <xf numFmtId="264" fontId="24" fillId="0" borderId="0" applyFill="0" applyBorder="0" applyAlignment="0"/>
    <xf numFmtId="264" fontId="159" fillId="74" borderId="0"/>
    <xf numFmtId="264" fontId="156" fillId="0" borderId="98"/>
    <xf numFmtId="264" fontId="156" fillId="0" borderId="82"/>
    <xf numFmtId="264" fontId="23" fillId="2" borderId="0" applyFont="0" applyFill="0">
      <alignment horizontal="center"/>
    </xf>
    <xf numFmtId="264" fontId="23" fillId="2" borderId="0" applyFont="0" applyFill="0">
      <alignment horizontal="center"/>
    </xf>
    <xf numFmtId="264" fontId="116" fillId="0" borderId="0" applyNumberFormat="0" applyFill="0" applyBorder="0" applyAlignment="0" applyProtection="0"/>
    <xf numFmtId="43" fontId="3" fillId="0" borderId="0" applyFont="0" applyFill="0" applyBorder="0" applyAlignment="0" applyProtection="0"/>
    <xf numFmtId="182" fontId="77" fillId="0" borderId="0" applyFont="0" applyFill="0" applyBorder="0" applyAlignment="0" applyProtection="0"/>
    <xf numFmtId="264" fontId="3" fillId="0" borderId="0"/>
    <xf numFmtId="264" fontId="3" fillId="0" borderId="0"/>
    <xf numFmtId="264" fontId="3" fillId="0" borderId="0"/>
    <xf numFmtId="264" fontId="3" fillId="0" borderId="0"/>
    <xf numFmtId="0" fontId="24" fillId="0" borderId="0"/>
    <xf numFmtId="0" fontId="3" fillId="0" borderId="0"/>
    <xf numFmtId="43" fontId="3" fillId="0" borderId="0" applyFont="0" applyFill="0" applyBorder="0" applyAlignment="0" applyProtection="0"/>
    <xf numFmtId="264" fontId="24" fillId="0" borderId="0"/>
    <xf numFmtId="44" fontId="24"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264" fontId="3" fillId="19" borderId="76" applyNumberFormat="0" applyFont="0" applyAlignment="0" applyProtection="0"/>
    <xf numFmtId="43" fontId="3" fillId="0" borderId="0" applyFont="0" applyFill="0" applyBorder="0" applyAlignment="0" applyProtection="0"/>
    <xf numFmtId="0" fontId="3" fillId="0" borderId="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9"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9"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272" fontId="77" fillId="0" borderId="130" applyFill="0" applyProtection="0"/>
    <xf numFmtId="273" fontId="77" fillId="0" borderId="130" applyFill="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24" fillId="0" borderId="0"/>
    <xf numFmtId="44" fontId="24" fillId="0" borderId="0" applyFont="0" applyFill="0" applyBorder="0" applyAlignment="0" applyProtection="0"/>
    <xf numFmtId="0" fontId="3" fillId="0" borderId="0"/>
    <xf numFmtId="43" fontId="3" fillId="0" borderId="0" applyFont="0" applyFill="0" applyBorder="0" applyAlignment="0" applyProtection="0"/>
    <xf numFmtId="0" fontId="24" fillId="0" borderId="0"/>
    <xf numFmtId="0" fontId="24" fillId="0" borderId="0"/>
    <xf numFmtId="0" fontId="3" fillId="0" borderId="0"/>
    <xf numFmtId="0" fontId="24" fillId="0" borderId="0"/>
    <xf numFmtId="0" fontId="21" fillId="0" borderId="0"/>
    <xf numFmtId="0" fontId="3" fillId="0" borderId="0"/>
    <xf numFmtId="0" fontId="24" fillId="0" borderId="0"/>
    <xf numFmtId="0" fontId="3" fillId="0" borderId="0"/>
    <xf numFmtId="0" fontId="24"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73" fontId="77" fillId="0" borderId="13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72" fontId="77" fillId="0" borderId="13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72" fontId="77" fillId="0" borderId="130" applyFill="0" applyProtection="0"/>
    <xf numFmtId="272" fontId="77" fillId="0" borderId="130" applyFill="0" applyProtection="0"/>
    <xf numFmtId="273" fontId="77" fillId="0" borderId="130" applyFill="0" applyProtection="0"/>
    <xf numFmtId="273" fontId="77" fillId="0" borderId="130" applyFill="0" applyProtection="0"/>
    <xf numFmtId="264" fontId="3" fillId="0" borderId="0"/>
    <xf numFmtId="264" fontId="3" fillId="0" borderId="0"/>
    <xf numFmtId="0" fontId="3" fillId="0" borderId="0"/>
    <xf numFmtId="0" fontId="3" fillId="0" borderId="0"/>
    <xf numFmtId="0"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19" borderId="76" applyNumberFormat="0" applyFont="0" applyAlignment="0" applyProtection="0"/>
    <xf numFmtId="264" fontId="3" fillId="19" borderId="7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6" fillId="0" borderId="0"/>
    <xf numFmtId="0" fontId="76" fillId="0" borderId="0"/>
    <xf numFmtId="0" fontId="24" fillId="0" borderId="0"/>
    <xf numFmtId="0" fontId="76" fillId="0" borderId="0"/>
    <xf numFmtId="43" fontId="76" fillId="0" borderId="0" applyFont="0" applyFill="0" applyBorder="0" applyAlignment="0" applyProtection="0"/>
    <xf numFmtId="43" fontId="3" fillId="0" borderId="0" applyFont="0" applyFill="0" applyBorder="0" applyAlignment="0" applyProtection="0"/>
    <xf numFmtId="165" fontId="78" fillId="0" borderId="0" applyFill="0" applyBorder="0" applyAlignment="0">
      <protection locked="0"/>
    </xf>
    <xf numFmtId="165" fontId="24" fillId="0" borderId="0" applyFont="0" applyFill="0" applyBorder="0" applyAlignment="0" applyProtection="0"/>
    <xf numFmtId="43" fontId="76" fillId="0" borderId="0" applyFont="0" applyFill="0" applyBorder="0" applyAlignment="0" applyProtection="0"/>
    <xf numFmtId="0" fontId="24" fillId="0" borderId="0"/>
    <xf numFmtId="0" fontId="78" fillId="0" borderId="0">
      <alignment vertical="top"/>
    </xf>
    <xf numFmtId="0" fontId="296" fillId="0" borderId="0"/>
    <xf numFmtId="0" fontId="78"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alignment vertical="top"/>
    </xf>
    <xf numFmtId="9" fontId="80" fillId="0" borderId="0" applyFont="0" applyFill="0" applyBorder="0" applyAlignment="0" applyProtection="0"/>
    <xf numFmtId="0" fontId="24" fillId="0" borderId="0"/>
    <xf numFmtId="0" fontId="3" fillId="0" borderId="0"/>
    <xf numFmtId="0" fontId="24" fillId="0" borderId="0"/>
    <xf numFmtId="43" fontId="3" fillId="0" borderId="0" applyFont="0" applyFill="0" applyBorder="0" applyAlignment="0" applyProtection="0"/>
    <xf numFmtId="43" fontId="250" fillId="0" borderId="0" applyFont="0" applyFill="0" applyBorder="0" applyAlignment="0" applyProtection="0"/>
    <xf numFmtId="0" fontId="126" fillId="0" borderId="0"/>
    <xf numFmtId="43" fontId="3" fillId="0" borderId="0" applyFont="0" applyFill="0" applyBorder="0" applyAlignment="0" applyProtection="0"/>
    <xf numFmtId="43" fontId="3" fillId="0" borderId="0" applyFont="0" applyFill="0" applyBorder="0" applyAlignment="0" applyProtection="0"/>
    <xf numFmtId="0" fontId="24" fillId="0" borderId="0" applyFont="0" applyFill="0" applyBorder="0" applyAlignment="0" applyProtection="0"/>
    <xf numFmtId="0" fontId="76" fillId="0" borderId="0"/>
    <xf numFmtId="0" fontId="78" fillId="0" borderId="0"/>
    <xf numFmtId="0" fontId="172" fillId="0" borderId="0"/>
    <xf numFmtId="43" fontId="3" fillId="0" borderId="0" applyFont="0" applyFill="0" applyBorder="0" applyAlignment="0" applyProtection="0"/>
    <xf numFmtId="0" fontId="252" fillId="0" borderId="0"/>
    <xf numFmtId="43" fontId="3" fillId="0" borderId="0" applyFont="0" applyFill="0" applyBorder="0" applyAlignment="0" applyProtection="0"/>
    <xf numFmtId="43" fontId="3"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76" fillId="0" borderId="0"/>
    <xf numFmtId="0" fontId="119" fillId="0" borderId="128" applyNumberFormat="0" applyFill="0" applyAlignment="0" applyProtection="0"/>
    <xf numFmtId="275" fontId="77" fillId="0" borderId="0" applyFont="0" applyFill="0" applyBorder="0" applyAlignment="0" applyProtection="0"/>
    <xf numFmtId="182" fontId="77"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6" fillId="0" borderId="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82" fontId="77" fillId="0" borderId="0" applyFont="0" applyFill="0" applyBorder="0" applyAlignment="0" applyProtection="0"/>
    <xf numFmtId="267" fontId="77" fillId="0" borderId="0" applyFont="0" applyFill="0" applyBorder="0" applyAlignment="0" applyProtection="0"/>
    <xf numFmtId="182" fontId="77" fillId="0" borderId="0" applyFont="0" applyFill="0" applyBorder="0" applyAlignment="0" applyProtection="0"/>
    <xf numFmtId="275" fontId="77" fillId="0" borderId="0" applyFont="0" applyFill="0" applyBorder="0" applyAlignment="0" applyProtection="0"/>
    <xf numFmtId="0" fontId="24" fillId="0" borderId="0"/>
    <xf numFmtId="0" fontId="31" fillId="0" borderId="107" applyNumberFormat="0" applyAlignment="0" applyProtection="0">
      <alignment horizontal="left" vertical="center"/>
    </xf>
    <xf numFmtId="9" fontId="77" fillId="0" borderId="0" applyFont="0" applyFill="0" applyBorder="0" applyAlignment="0" applyProtection="0"/>
    <xf numFmtId="182" fontId="77" fillId="0" borderId="0" applyFont="0" applyFill="0" applyBorder="0" applyAlignment="0" applyProtection="0"/>
    <xf numFmtId="0" fontId="24" fillId="0" borderId="0"/>
    <xf numFmtId="0" fontId="24" fillId="0" borderId="0"/>
    <xf numFmtId="0" fontId="24" fillId="0" borderId="0"/>
    <xf numFmtId="0" fontId="24" fillId="0" borderId="0"/>
    <xf numFmtId="0" fontId="76" fillId="0" borderId="0"/>
    <xf numFmtId="0" fontId="76" fillId="0" borderId="0"/>
    <xf numFmtId="0" fontId="24"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76" fillId="0" borderId="0"/>
    <xf numFmtId="0" fontId="24" fillId="0" borderId="0"/>
    <xf numFmtId="0" fontId="76"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24" fillId="0" borderId="0"/>
    <xf numFmtId="0" fontId="32" fillId="0" borderId="0">
      <alignment vertical="top"/>
    </xf>
    <xf numFmtId="0" fontId="24" fillId="0" borderId="0"/>
    <xf numFmtId="0" fontId="32" fillId="0" borderId="0">
      <alignment vertical="top"/>
    </xf>
    <xf numFmtId="9" fontId="77" fillId="0" borderId="0" applyFont="0" applyFill="0" applyBorder="0" applyAlignment="0" applyProtection="0"/>
    <xf numFmtId="0" fontId="76" fillId="0" borderId="0"/>
    <xf numFmtId="9" fontId="77" fillId="0" borderId="0" applyFont="0" applyFill="0" applyBorder="0" applyAlignment="0" applyProtection="0"/>
    <xf numFmtId="0" fontId="112" fillId="0" borderId="0">
      <alignment horizontal="left" vertical="center"/>
    </xf>
    <xf numFmtId="0" fontId="113" fillId="0" borderId="0" applyNumberFormat="0" applyFill="0" applyBorder="0" applyProtection="0">
      <alignment vertical="center"/>
    </xf>
    <xf numFmtId="0" fontId="245" fillId="0" borderId="0" applyFill="0" applyBorder="0" applyProtection="0">
      <alignment horizontal="left" vertical="top"/>
    </xf>
    <xf numFmtId="182" fontId="7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4" fillId="0" borderId="0"/>
    <xf numFmtId="0" fontId="3" fillId="0" borderId="0"/>
    <xf numFmtId="276" fontId="118" fillId="0" borderId="0"/>
    <xf numFmtId="43" fontId="32" fillId="0" borderId="0" applyFont="0" applyFill="0" applyBorder="0" applyAlignment="0" applyProtection="0">
      <alignment vertical="top"/>
    </xf>
    <xf numFmtId="275" fontId="77" fillId="0" borderId="0" applyFont="0" applyFill="0" applyBorder="0" applyAlignment="0" applyProtection="0"/>
    <xf numFmtId="0" fontId="3" fillId="0" borderId="0"/>
    <xf numFmtId="182" fontId="77" fillId="0" borderId="0" applyFont="0" applyFill="0" applyBorder="0" applyAlignment="0" applyProtection="0"/>
    <xf numFmtId="0" fontId="78" fillId="0" borderId="0">
      <alignment vertical="top"/>
    </xf>
    <xf numFmtId="275" fontId="77" fillId="0" borderId="0" applyFont="0" applyFill="0" applyBorder="0" applyAlignment="0" applyProtection="0"/>
    <xf numFmtId="0" fontId="24" fillId="0" borderId="0"/>
    <xf numFmtId="0" fontId="24" fillId="0" borderId="0"/>
    <xf numFmtId="0" fontId="76" fillId="0" borderId="0"/>
    <xf numFmtId="9" fontId="77" fillId="0" borderId="0" applyFont="0" applyFill="0" applyBorder="0" applyAlignment="0" applyProtection="0"/>
    <xf numFmtId="9" fontId="77" fillId="0" borderId="0" applyFont="0" applyFill="0" applyBorder="0" applyAlignment="0" applyProtection="0"/>
    <xf numFmtId="182" fontId="77" fillId="0" borderId="0" applyFont="0" applyFill="0" applyBorder="0" applyAlignment="0" applyProtection="0"/>
    <xf numFmtId="0" fontId="76" fillId="0" borderId="0"/>
    <xf numFmtId="0" fontId="76"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15" fillId="0" borderId="136" applyNumberFormat="0" applyFill="0" applyAlignment="0" applyProtection="0"/>
    <xf numFmtId="264" fontId="24" fillId="49" borderId="110" applyNumberFormat="0" applyFont="0" applyAlignment="0" applyProtection="0"/>
    <xf numFmtId="264" fontId="156" fillId="0" borderId="106"/>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108" fillId="45" borderId="105" applyNumberFormat="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108" fillId="55" borderId="105" applyNumberFormat="0" applyAlignment="0" applyProtection="0"/>
    <xf numFmtId="264" fontId="24" fillId="49" borderId="110" applyNumberFormat="0" applyFon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3" fillId="0" borderId="0"/>
    <xf numFmtId="264" fontId="3" fillId="0" borderId="0"/>
    <xf numFmtId="264" fontId="108" fillId="45" borderId="105" applyNumberFormat="0" applyAlignment="0" applyProtection="0"/>
    <xf numFmtId="264" fontId="3" fillId="0" borderId="0"/>
    <xf numFmtId="43" fontId="3" fillId="0" borderId="0" applyFont="0" applyFill="0" applyBorder="0" applyAlignment="0" applyProtection="0"/>
    <xf numFmtId="264" fontId="3" fillId="19" borderId="76" applyNumberFormat="0" applyFont="0" applyAlignment="0" applyProtection="0"/>
    <xf numFmtId="264" fontId="108" fillId="45" borderId="105" applyNumberFormat="0" applyAlignment="0" applyProtection="0"/>
    <xf numFmtId="264" fontId="101" fillId="53" borderId="105" applyNumberFormat="0" applyAlignment="0" applyProtection="0"/>
    <xf numFmtId="264" fontId="271" fillId="66" borderId="105" applyNumberFormat="0" applyAlignment="0" applyProtection="0"/>
    <xf numFmtId="264" fontId="271" fillId="66"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277" fillId="53" borderId="105" applyNumberFormat="0" applyAlignment="0" applyProtection="0"/>
    <xf numFmtId="264" fontId="284" fillId="45" borderId="105" applyNumberFormat="0" applyAlignment="0" applyProtection="0"/>
    <xf numFmtId="264" fontId="24" fillId="49" borderId="110" applyNumberFormat="0" applyFont="0" applyAlignment="0" applyProtection="0"/>
    <xf numFmtId="264" fontId="111" fillId="66" borderId="111"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24" fillId="49" borderId="110" applyNumberFormat="0" applyFont="0" applyAlignment="0" applyProtection="0"/>
    <xf numFmtId="264" fontId="108" fillId="45" borderId="105" applyNumberFormat="0" applyAlignment="0" applyProtection="0"/>
    <xf numFmtId="264" fontId="115" fillId="0" borderId="136" applyNumberFormat="0" applyFill="0" applyAlignment="0" applyProtection="0"/>
    <xf numFmtId="264" fontId="111" fillId="53" borderId="111" applyNumberFormat="0" applyAlignment="0" applyProtection="0"/>
    <xf numFmtId="264" fontId="115" fillId="0" borderId="115" applyNumberFormat="0" applyFill="0" applyAlignment="0" applyProtection="0"/>
    <xf numFmtId="264" fontId="274" fillId="0" borderId="115" applyNumberFormat="0" applyFill="0" applyAlignment="0" applyProtection="0"/>
    <xf numFmtId="264" fontId="108" fillId="45" borderId="105" applyNumberFormat="0" applyAlignment="0" applyProtection="0"/>
    <xf numFmtId="264" fontId="108" fillId="45" borderId="105" applyNumberFormat="0" applyAlignment="0" applyProtection="0"/>
    <xf numFmtId="264" fontId="277" fillId="53" borderId="105" applyNumberFormat="0" applyAlignment="0" applyProtection="0"/>
    <xf numFmtId="264" fontId="277" fillId="53" borderId="105" applyNumberFormat="0" applyAlignment="0" applyProtection="0"/>
    <xf numFmtId="264" fontId="21" fillId="49" borderId="110" applyNumberFormat="0" applyFont="0" applyAlignment="0" applyProtection="0"/>
    <xf numFmtId="264" fontId="108" fillId="55" borderId="105" applyNumberFormat="0" applyAlignment="0" applyProtection="0"/>
    <xf numFmtId="264" fontId="108" fillId="55" borderId="105" applyNumberFormat="0" applyAlignment="0" applyProtection="0"/>
    <xf numFmtId="264" fontId="284" fillId="45" borderId="105" applyNumberFormat="0" applyAlignment="0" applyProtection="0"/>
    <xf numFmtId="264" fontId="108" fillId="55" borderId="105" applyNumberFormat="0" applyAlignment="0" applyProtection="0"/>
    <xf numFmtId="264" fontId="115" fillId="0" borderId="115" applyNumberFormat="0" applyFill="0" applyAlignment="0" applyProtection="0"/>
    <xf numFmtId="264" fontId="115" fillId="0" borderId="136" applyNumberFormat="0" applyFill="0" applyAlignment="0" applyProtection="0"/>
    <xf numFmtId="264" fontId="24" fillId="49" borderId="110" applyNumberFormat="0" applyFont="0" applyAlignment="0" applyProtection="0"/>
    <xf numFmtId="264" fontId="286" fillId="53" borderId="111"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274" fillId="0" borderId="115" applyNumberFormat="0" applyFill="0" applyAlignment="0" applyProtection="0"/>
    <xf numFmtId="264" fontId="111" fillId="53" borderId="111" applyNumberFormat="0" applyAlignment="0" applyProtection="0"/>
    <xf numFmtId="264" fontId="3" fillId="0" borderId="0"/>
    <xf numFmtId="43" fontId="3" fillId="0" borderId="0" applyFont="0" applyFill="0" applyBorder="0" applyAlignment="0" applyProtection="0"/>
    <xf numFmtId="264" fontId="108" fillId="45" borderId="105" applyNumberFormat="0" applyAlignment="0" applyProtection="0"/>
    <xf numFmtId="264" fontId="284" fillId="45" borderId="105" applyNumberFormat="0" applyAlignment="0" applyProtection="0"/>
    <xf numFmtId="264" fontId="101" fillId="53"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76" fillId="49" borderId="110" applyNumberFormat="0" applyFont="0" applyAlignment="0" applyProtection="0"/>
    <xf numFmtId="264" fontId="111" fillId="53" borderId="111" applyNumberFormat="0" applyAlignment="0" applyProtection="0"/>
    <xf numFmtId="264" fontId="115" fillId="0" borderId="115" applyNumberFormat="0" applyFill="0" applyAlignment="0" applyProtection="0"/>
    <xf numFmtId="264" fontId="108" fillId="55" borderId="105" applyNumberFormat="0" applyAlignment="0" applyProtection="0"/>
    <xf numFmtId="264" fontId="271" fillId="66"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3" fillId="0" borderId="0"/>
    <xf numFmtId="43" fontId="3" fillId="0" borderId="0" applyFont="0" applyFill="0" applyBorder="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3" fillId="0" borderId="0"/>
    <xf numFmtId="264" fontId="115" fillId="0" borderId="136" applyNumberFormat="0" applyFill="0" applyAlignment="0" applyProtection="0"/>
    <xf numFmtId="264" fontId="108" fillId="55" borderId="105" applyNumberFormat="0" applyAlignment="0" applyProtection="0"/>
    <xf numFmtId="264" fontId="111" fillId="66" borderId="111" applyNumberFormat="0" applyAlignment="0" applyProtection="0"/>
    <xf numFmtId="264" fontId="3" fillId="0" borderId="0"/>
    <xf numFmtId="264" fontId="108" fillId="55" borderId="105" applyNumberFormat="0" applyAlignment="0" applyProtection="0"/>
    <xf numFmtId="264" fontId="125" fillId="0" borderId="106"/>
    <xf numFmtId="264" fontId="108" fillId="55" borderId="105" applyNumberFormat="0" applyAlignment="0" applyProtection="0"/>
    <xf numFmtId="43" fontId="3" fillId="0" borderId="0" applyFont="0" applyFill="0" applyBorder="0" applyAlignment="0" applyProtection="0"/>
    <xf numFmtId="264" fontId="3" fillId="0" borderId="0"/>
    <xf numFmtId="264" fontId="108" fillId="55" borderId="105" applyNumberFormat="0" applyAlignment="0" applyProtection="0"/>
    <xf numFmtId="264" fontId="108" fillId="55" borderId="105" applyNumberFormat="0" applyAlignment="0" applyProtection="0"/>
    <xf numFmtId="264" fontId="286" fillId="53" borderId="111" applyNumberFormat="0" applyAlignment="0" applyProtection="0"/>
    <xf numFmtId="264" fontId="3" fillId="0" borderId="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9" fontId="3" fillId="0" borderId="0" applyFont="0" applyFill="0" applyBorder="0" applyAlignment="0" applyProtection="0"/>
    <xf numFmtId="43" fontId="3" fillId="0" borderId="0" applyFont="0" applyFill="0" applyBorder="0" applyAlignment="0" applyProtection="0"/>
    <xf numFmtId="264" fontId="3" fillId="0" borderId="0"/>
    <xf numFmtId="264" fontId="108" fillId="55" borderId="105" applyNumberFormat="0" applyAlignment="0" applyProtection="0"/>
    <xf numFmtId="264" fontId="108" fillId="55" borderId="105" applyNumberFormat="0" applyAlignment="0" applyProtection="0"/>
    <xf numFmtId="264" fontId="271" fillId="66" borderId="105" applyNumberFormat="0" applyAlignment="0" applyProtection="0"/>
    <xf numFmtId="264" fontId="3" fillId="0" borderId="0"/>
    <xf numFmtId="43" fontId="3" fillId="0" borderId="0" applyFont="0" applyFill="0" applyBorder="0" applyAlignment="0" applyProtection="0"/>
    <xf numFmtId="264" fontId="108" fillId="55" borderId="105" applyNumberFormat="0" applyAlignment="0" applyProtection="0"/>
    <xf numFmtId="264" fontId="108" fillId="55" borderId="105" applyNumberFormat="0" applyAlignment="0" applyProtection="0"/>
    <xf numFmtId="43" fontId="3" fillId="0" borderId="0" applyFont="0" applyFill="0" applyBorder="0" applyAlignment="0" applyProtection="0"/>
    <xf numFmtId="264" fontId="3" fillId="0" borderId="0"/>
    <xf numFmtId="264" fontId="101" fillId="53" borderId="105" applyNumberFormat="0" applyAlignment="0" applyProtection="0"/>
    <xf numFmtId="264" fontId="115" fillId="0" borderId="136" applyNumberFormat="0" applyFill="0" applyAlignment="0" applyProtection="0"/>
    <xf numFmtId="264" fontId="108" fillId="55" borderId="105" applyNumberFormat="0" applyAlignment="0" applyProtection="0"/>
    <xf numFmtId="264" fontId="111" fillId="66" borderId="111" applyNumberFormat="0" applyAlignment="0" applyProtection="0"/>
    <xf numFmtId="264" fontId="108" fillId="55" borderId="105" applyNumberFormat="0" applyAlignment="0" applyProtection="0"/>
    <xf numFmtId="264" fontId="108" fillId="4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3" fillId="0" borderId="0"/>
    <xf numFmtId="43" fontId="3" fillId="0" borderId="0" applyFont="0" applyFill="0" applyBorder="0" applyAlignment="0" applyProtection="0"/>
    <xf numFmtId="264" fontId="108" fillId="55" borderId="105" applyNumberFormat="0" applyAlignment="0" applyProtection="0"/>
    <xf numFmtId="264" fontId="108" fillId="55" borderId="105" applyNumberFormat="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108" fillId="45" borderId="105" applyNumberFormat="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21" fillId="49" borderId="110" applyNumberFormat="0" applyFont="0" applyAlignment="0" applyProtection="0"/>
    <xf numFmtId="264" fontId="274" fillId="0" borderId="115" applyNumberFormat="0" applyFill="0" applyAlignment="0" applyProtection="0"/>
    <xf numFmtId="264" fontId="101" fillId="53"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75" fillId="0" borderId="106"/>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5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3" fillId="0" borderId="0"/>
    <xf numFmtId="43" fontId="3" fillId="0" borderId="0" applyFont="0" applyFill="0" applyBorder="0" applyAlignment="0" applyProtection="0"/>
    <xf numFmtId="264" fontId="284" fillId="45" borderId="105" applyNumberFormat="0" applyAlignment="0" applyProtection="0"/>
    <xf numFmtId="264" fontId="277" fillId="53"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271" fillId="66" borderId="105" applyNumberFormat="0" applyAlignment="0" applyProtection="0"/>
    <xf numFmtId="264" fontId="271" fillId="66" borderId="105" applyNumberFormat="0" applyAlignment="0" applyProtection="0"/>
    <xf numFmtId="264" fontId="108" fillId="45" borderId="105" applyNumberFormat="0" applyAlignment="0" applyProtection="0"/>
    <xf numFmtId="264" fontId="108" fillId="55" borderId="105" applyNumberFormat="0" applyAlignment="0" applyProtection="0"/>
    <xf numFmtId="264" fontId="274" fillId="0" borderId="115" applyNumberFormat="0" applyFill="0" applyAlignment="0" applyProtection="0"/>
    <xf numFmtId="264" fontId="108" fillId="55" borderId="105" applyNumberFormat="0" applyAlignment="0" applyProtection="0"/>
    <xf numFmtId="264" fontId="108" fillId="55" borderId="105" applyNumberFormat="0" applyAlignment="0" applyProtection="0"/>
    <xf numFmtId="264" fontId="286" fillId="53" borderId="111" applyNumberFormat="0" applyAlignment="0" applyProtection="0"/>
    <xf numFmtId="264" fontId="108" fillId="55" borderId="105" applyNumberFormat="0" applyAlignment="0" applyProtection="0"/>
    <xf numFmtId="264" fontId="3" fillId="0" borderId="0"/>
    <xf numFmtId="264" fontId="3" fillId="0" borderId="0"/>
    <xf numFmtId="264" fontId="3" fillId="0" borderId="0"/>
    <xf numFmtId="264" fontId="3" fillId="0" borderId="0"/>
    <xf numFmtId="264" fontId="3" fillId="0" borderId="0"/>
    <xf numFmtId="264" fontId="108" fillId="5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24" fillId="49" borderId="110" applyNumberFormat="0" applyFont="0" applyAlignment="0" applyProtection="0"/>
    <xf numFmtId="264" fontId="3" fillId="0" borderId="0"/>
    <xf numFmtId="264" fontId="3" fillId="0" borderId="0"/>
    <xf numFmtId="264" fontId="3" fillId="0" borderId="0"/>
    <xf numFmtId="264" fontId="24" fillId="49" borderId="110" applyNumberFormat="0" applyFont="0" applyAlignment="0" applyProtection="0"/>
    <xf numFmtId="264" fontId="24" fillId="49" borderId="110" applyNumberFormat="0" applyFont="0" applyAlignment="0" applyProtection="0"/>
    <xf numFmtId="264" fontId="111" fillId="66" borderId="111" applyNumberFormat="0" applyAlignment="0" applyProtection="0"/>
    <xf numFmtId="264" fontId="111" fillId="66" borderId="111" applyNumberFormat="0" applyAlignment="0" applyProtection="0"/>
    <xf numFmtId="264" fontId="108" fillId="55" borderId="105" applyNumberFormat="0" applyAlignment="0" applyProtection="0"/>
    <xf numFmtId="264" fontId="108" fillId="55" borderId="105" applyNumberFormat="0" applyAlignment="0" applyProtection="0"/>
    <xf numFmtId="264" fontId="115" fillId="0" borderId="136" applyNumberFormat="0" applyFill="0" applyAlignment="0" applyProtection="0"/>
    <xf numFmtId="264" fontId="115" fillId="0" borderId="136" applyNumberFormat="0" applyFill="0" applyAlignment="0" applyProtection="0"/>
    <xf numFmtId="264" fontId="108" fillId="45" borderId="105" applyNumberFormat="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108" fillId="45" borderId="105" applyNumberFormat="0" applyAlignment="0" applyProtection="0"/>
    <xf numFmtId="264" fontId="3" fillId="0" borderId="0"/>
    <xf numFmtId="43" fontId="3" fillId="0" borderId="0" applyFont="0" applyFill="0" applyBorder="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108" fillId="45" borderId="10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9" fontId="3" fillId="0" borderId="0" applyFont="0" applyFill="0" applyBorder="0" applyAlignment="0" applyProtection="0"/>
    <xf numFmtId="264" fontId="108" fillId="45" borderId="105" applyNumberFormat="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108" fillId="45" borderId="105" applyNumberFormat="0" applyAlignment="0" applyProtection="0"/>
    <xf numFmtId="264" fontId="108" fillId="45" borderId="105" applyNumberFormat="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264" fontId="271" fillId="66" borderId="105" applyNumberFormat="0" applyAlignment="0" applyProtection="0"/>
    <xf numFmtId="264" fontId="286" fillId="53" borderId="111" applyNumberFormat="0" applyAlignment="0" applyProtection="0"/>
    <xf numFmtId="264" fontId="108" fillId="45" borderId="105" applyNumberFormat="0" applyAlignment="0" applyProtection="0"/>
    <xf numFmtId="264" fontId="277" fillId="53" borderId="105" applyNumberFormat="0" applyAlignment="0" applyProtection="0"/>
    <xf numFmtId="264" fontId="108" fillId="45" borderId="105" applyNumberFormat="0" applyAlignment="0" applyProtection="0"/>
    <xf numFmtId="264" fontId="284" fillId="45" borderId="105" applyNumberFormat="0" applyAlignment="0" applyProtection="0"/>
    <xf numFmtId="264" fontId="115" fillId="0" borderId="115" applyNumberFormat="0" applyFill="0" applyAlignment="0" applyProtection="0"/>
    <xf numFmtId="264" fontId="286" fillId="53" borderId="111" applyNumberFormat="0" applyAlignment="0" applyProtection="0"/>
    <xf numFmtId="264" fontId="274" fillId="0" borderId="115" applyNumberFormat="0" applyFill="0" applyAlignment="0" applyProtection="0"/>
    <xf numFmtId="264" fontId="3" fillId="0" borderId="0"/>
    <xf numFmtId="43" fontId="3" fillId="0" borderId="0" applyFont="0" applyFill="0" applyBorder="0" applyAlignment="0" applyProtection="0"/>
    <xf numFmtId="264" fontId="101" fillId="53" borderId="105" applyNumberFormat="0" applyAlignment="0" applyProtection="0"/>
    <xf numFmtId="264" fontId="108" fillId="45" borderId="105" applyNumberFormat="0" applyAlignment="0" applyProtection="0"/>
    <xf numFmtId="264" fontId="111" fillId="53" borderId="111" applyNumberFormat="0" applyAlignment="0" applyProtection="0"/>
    <xf numFmtId="264" fontId="115" fillId="0" borderId="115" applyNumberFormat="0" applyFill="0" applyAlignment="0" applyProtection="0"/>
    <xf numFmtId="264" fontId="3" fillId="0" borderId="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9"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108" fillId="5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43" fontId="3" fillId="0" borderId="0" applyFont="0" applyFill="0" applyBorder="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25" fillId="0" borderId="106"/>
    <xf numFmtId="264" fontId="175" fillId="0" borderId="106"/>
    <xf numFmtId="264" fontId="175" fillId="0" borderId="106"/>
    <xf numFmtId="264" fontId="108" fillId="45" borderId="105" applyNumberFormat="0" applyAlignment="0" applyProtection="0"/>
    <xf numFmtId="264" fontId="108" fillId="45" borderId="105" applyNumberFormat="0" applyAlignment="0" applyProtection="0"/>
    <xf numFmtId="264" fontId="224" fillId="0" borderId="106"/>
    <xf numFmtId="264" fontId="224" fillId="98" borderId="106"/>
    <xf numFmtId="264" fontId="156" fillId="72" borderId="106"/>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108" fillId="55" borderId="105" applyNumberFormat="0" applyAlignment="0" applyProtection="0"/>
    <xf numFmtId="264" fontId="3" fillId="0" borderId="0"/>
    <xf numFmtId="264" fontId="3" fillId="0" borderId="0"/>
    <xf numFmtId="264" fontId="108" fillId="5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11" fillId="53" borderId="111" applyNumberFormat="0" applyAlignment="0" applyProtection="0"/>
    <xf numFmtId="264" fontId="76" fillId="49" borderId="110" applyNumberFormat="0" applyFont="0" applyAlignment="0" applyProtection="0"/>
    <xf numFmtId="264" fontId="3" fillId="0" borderId="0"/>
    <xf numFmtId="264" fontId="3" fillId="0" borderId="0"/>
    <xf numFmtId="264" fontId="3" fillId="0" borderId="0"/>
    <xf numFmtId="264" fontId="3" fillId="0" borderId="0"/>
    <xf numFmtId="264" fontId="108" fillId="45" borderId="105" applyNumberFormat="0" applyAlignment="0" applyProtection="0"/>
    <xf numFmtId="264" fontId="24" fillId="49" borderId="110" applyNumberFormat="0" applyFon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08" fillId="55" borderId="105" applyNumberFormat="0" applyAlignment="0" applyProtection="0"/>
    <xf numFmtId="264" fontId="125" fillId="0" borderId="106"/>
    <xf numFmtId="264" fontId="156" fillId="0" borderId="106"/>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0" fontId="3" fillId="0" borderId="0"/>
    <xf numFmtId="43" fontId="3" fillId="0" borderId="0" applyFont="0" applyFill="0" applyBorder="0" applyAlignment="0" applyProtection="0"/>
    <xf numFmtId="264" fontId="108" fillId="55" borderId="105" applyNumberFormat="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264" fontId="3" fillId="19" borderId="76" applyNumberFormat="0" applyFont="0" applyAlignment="0" applyProtection="0"/>
    <xf numFmtId="43" fontId="3" fillId="0" borderId="0" applyFont="0" applyFill="0" applyBorder="0" applyAlignment="0" applyProtection="0"/>
    <xf numFmtId="0" fontId="3" fillId="0" borderId="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9"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9"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43"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9" fontId="3" fillId="0" borderId="0" applyFont="0" applyFill="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264" fontId="108" fillId="55" borderId="105" applyNumberFormat="0" applyAlignment="0" applyProtection="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43" fontId="3" fillId="0" borderId="0" applyFont="0" applyFill="0" applyBorder="0" applyAlignment="0" applyProtection="0"/>
    <xf numFmtId="264" fontId="3" fillId="0" borderId="0"/>
    <xf numFmtId="264" fontId="3" fillId="0" borderId="0"/>
    <xf numFmtId="264" fontId="3" fillId="0" borderId="0"/>
    <xf numFmtId="2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264" fontId="108" fillId="45" borderId="10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4"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6"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48"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50"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37"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41"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2"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26"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5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4"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38"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264" fontId="3" fillId="4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73" fontId="77" fillId="0" borderId="13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72" fontId="77" fillId="0" borderId="13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64" fontId="3" fillId="0" borderId="0"/>
    <xf numFmtId="264" fontId="3" fillId="0" borderId="0"/>
    <xf numFmtId="0" fontId="3" fillId="0" borderId="0"/>
    <xf numFmtId="0" fontId="3" fillId="0" borderId="0"/>
    <xf numFmtId="0"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0" borderId="0"/>
    <xf numFmtId="264" fontId="3" fillId="19" borderId="76" applyNumberFormat="0" applyFont="0" applyAlignment="0" applyProtection="0"/>
    <xf numFmtId="264" fontId="3" fillId="19" borderId="7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64" fontId="111" fillId="53" borderId="111" applyNumberFormat="0" applyAlignment="0" applyProtection="0"/>
    <xf numFmtId="43" fontId="3" fillId="0" borderId="0" applyFont="0" applyFill="0" applyBorder="0" applyAlignment="0" applyProtection="0"/>
    <xf numFmtId="264" fontId="108" fillId="45" borderId="105" applyNumberFormat="0" applyAlignment="0" applyProtection="0"/>
    <xf numFmtId="0" fontId="3" fillId="0" borderId="0"/>
    <xf numFmtId="43" fontId="3" fillId="0" borderId="0" applyFont="0" applyFill="0" applyBorder="0" applyAlignment="0" applyProtection="0"/>
    <xf numFmtId="264" fontId="111" fillId="66" borderId="11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264" fontId="108" fillId="55" borderId="10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64" fontId="24" fillId="49" borderId="110"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264" fontId="108" fillId="55" borderId="10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64" fontId="108" fillId="45" borderId="105" applyNumberFormat="0" applyAlignment="0" applyProtection="0"/>
    <xf numFmtId="0" fontId="3" fillId="0" borderId="0"/>
    <xf numFmtId="0" fontId="3" fillId="0" borderId="0"/>
    <xf numFmtId="0" fontId="3" fillId="0" borderId="0"/>
    <xf numFmtId="0" fontId="3" fillId="0" borderId="0"/>
    <xf numFmtId="264" fontId="277" fillId="53" borderId="105" applyNumberFormat="0" applyAlignment="0" applyProtection="0"/>
    <xf numFmtId="264" fontId="108" fillId="55" borderId="10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264" fontId="108" fillId="45" borderId="105" applyNumberFormat="0" applyAlignment="0" applyProtection="0"/>
    <xf numFmtId="264" fontId="108" fillId="55" borderId="105" applyNumberFormat="0" applyAlignment="0" applyProtection="0"/>
    <xf numFmtId="264" fontId="108" fillId="55" borderId="105" applyNumberFormat="0" applyAlignment="0" applyProtection="0"/>
    <xf numFmtId="0" fontId="3" fillId="0" borderId="0"/>
    <xf numFmtId="264" fontId="101" fillId="53" borderId="105" applyNumberForma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264" fontId="108" fillId="45" borderId="105" applyNumberFormat="0" applyAlignment="0" applyProtection="0"/>
    <xf numFmtId="264" fontId="274" fillId="0" borderId="115" applyNumberFormat="0" applyFill="0" applyAlignment="0" applyProtection="0"/>
    <xf numFmtId="264" fontId="125" fillId="0" borderId="106"/>
    <xf numFmtId="264" fontId="175" fillId="0" borderId="106"/>
    <xf numFmtId="264" fontId="175" fillId="0" borderId="106"/>
    <xf numFmtId="264" fontId="224" fillId="0" borderId="106"/>
    <xf numFmtId="264" fontId="224" fillId="98" borderId="106"/>
    <xf numFmtId="264" fontId="156" fillId="72" borderId="106"/>
    <xf numFmtId="264" fontId="284" fillId="45" borderId="105" applyNumberFormat="0" applyAlignment="0" applyProtection="0"/>
    <xf numFmtId="264" fontId="24" fillId="49" borderId="110" applyNumberFormat="0" applyFont="0" applyAlignment="0" applyProtection="0"/>
    <xf numFmtId="264" fontId="111" fillId="66" borderId="111" applyNumberFormat="0" applyAlignment="0" applyProtection="0"/>
    <xf numFmtId="264" fontId="24" fillId="49" borderId="110" applyNumberFormat="0" applyFont="0" applyAlignment="0" applyProtection="0"/>
    <xf numFmtId="264" fontId="125" fillId="0" borderId="106"/>
    <xf numFmtId="264" fontId="156" fillId="0" borderId="106"/>
    <xf numFmtId="264" fontId="286" fillId="53" borderId="111" applyNumberFormat="0" applyAlignment="0" applyProtection="0"/>
    <xf numFmtId="264" fontId="24" fillId="49" borderId="110" applyNumberFormat="0" applyFont="0" applyAlignment="0" applyProtection="0"/>
    <xf numFmtId="264" fontId="224" fillId="0" borderId="106"/>
    <xf numFmtId="264" fontId="108" fillId="45" borderId="105" applyNumberFormat="0" applyAlignment="0" applyProtection="0"/>
    <xf numFmtId="264" fontId="108" fillId="45" borderId="105" applyNumberFormat="0" applyAlignment="0" applyProtection="0"/>
    <xf numFmtId="264" fontId="111" fillId="66" borderId="111" applyNumberFormat="0" applyAlignment="0" applyProtection="0"/>
    <xf numFmtId="264" fontId="108" fillId="45" borderId="105" applyNumberFormat="0" applyAlignment="0" applyProtection="0"/>
    <xf numFmtId="264" fontId="76" fillId="49" borderId="110" applyNumberFormat="0" applyFont="0" applyAlignment="0" applyProtection="0"/>
    <xf numFmtId="264" fontId="108" fillId="45" borderId="105" applyNumberFormat="0" applyAlignment="0" applyProtection="0"/>
    <xf numFmtId="264" fontId="24" fillId="49" borderId="110" applyNumberFormat="0" applyFont="0" applyAlignment="0" applyProtection="0"/>
    <xf numFmtId="264" fontId="108" fillId="45" borderId="105" applyNumberFormat="0" applyAlignment="0" applyProtection="0"/>
    <xf numFmtId="264" fontId="108" fillId="45" borderId="105" applyNumberFormat="0" applyAlignment="0" applyProtection="0"/>
    <xf numFmtId="264" fontId="175" fillId="0" borderId="106"/>
    <xf numFmtId="264" fontId="156" fillId="72" borderId="106"/>
    <xf numFmtId="264" fontId="224" fillId="98" borderId="106"/>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15" fillId="0" borderId="136" applyNumberFormat="0" applyFill="0" applyAlignment="0" applyProtection="0"/>
    <xf numFmtId="264" fontId="115" fillId="0" borderId="136" applyNumberFormat="0" applyFill="0" applyAlignment="0" applyProtection="0"/>
    <xf numFmtId="264" fontId="24" fillId="49" borderId="110" applyNumberFormat="0" applyFont="0" applyAlignment="0" applyProtection="0"/>
    <xf numFmtId="264" fontId="111" fillId="66" borderId="111" applyNumberFormat="0" applyAlignment="0" applyProtection="0"/>
    <xf numFmtId="264" fontId="108" fillId="55" borderId="105" applyNumberFormat="0" applyAlignment="0" applyProtection="0"/>
    <xf numFmtId="264" fontId="271" fillId="66" borderId="105" applyNumberFormat="0" applyAlignment="0" applyProtection="0"/>
    <xf numFmtId="264" fontId="271" fillId="66"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21" fillId="49" borderId="110" applyNumberFormat="0" applyFon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08" fillId="45" borderId="105" applyNumberFormat="0" applyAlignment="0" applyProtection="0"/>
    <xf numFmtId="264" fontId="115" fillId="0" borderId="115" applyNumberFormat="0" applyFill="0" applyAlignment="0" applyProtection="0"/>
    <xf numFmtId="264" fontId="108" fillId="45" borderId="105" applyNumberFormat="0" applyAlignment="0" applyProtection="0"/>
    <xf numFmtId="264" fontId="125" fillId="0" borderId="106"/>
    <xf numFmtId="264" fontId="108" fillId="45" borderId="105" applyNumberFormat="0" applyAlignment="0" applyProtection="0"/>
    <xf numFmtId="0" fontId="2" fillId="0" borderId="0"/>
    <xf numFmtId="43" fontId="2" fillId="0" borderId="0" applyFont="0" applyFill="0" applyBorder="0" applyAlignment="0" applyProtection="0"/>
    <xf numFmtId="0" fontId="76" fillId="0" borderId="0"/>
    <xf numFmtId="260" fontId="24" fillId="0" borderId="0" applyFont="0" applyFill="0" applyBorder="0" applyAlignment="0" applyProtection="0"/>
    <xf numFmtId="0" fontId="1" fillId="0" borderId="0"/>
    <xf numFmtId="43" fontId="1" fillId="0" borderId="0" applyFont="0" applyFill="0" applyBorder="0" applyAlignment="0" applyProtection="0"/>
  </cellStyleXfs>
  <cellXfs count="2732">
    <xf numFmtId="0" fontId="0" fillId="0" borderId="0" xfId="0"/>
    <xf numFmtId="43" fontId="65" fillId="0" borderId="0" xfId="3" applyNumberFormat="1" applyFont="1" applyFill="1"/>
    <xf numFmtId="43" fontId="65" fillId="0" borderId="10" xfId="3" applyNumberFormat="1" applyFont="1" applyFill="1" applyBorder="1" applyAlignment="1">
      <alignment vertical="center"/>
    </xf>
    <xf numFmtId="43" fontId="65" fillId="0" borderId="7" xfId="3" applyNumberFormat="1" applyFont="1" applyFill="1" applyBorder="1" applyAlignment="1">
      <alignment vertical="center"/>
    </xf>
    <xf numFmtId="43" fontId="65" fillId="0" borderId="6" xfId="3" applyNumberFormat="1" applyFont="1" applyFill="1" applyBorder="1" applyAlignment="1">
      <alignment vertical="center"/>
    </xf>
    <xf numFmtId="37" fontId="29" fillId="0" borderId="0" xfId="0" applyNumberFormat="1" applyFont="1" applyFill="1" applyBorder="1" applyAlignment="1">
      <alignment horizontal="centerContinuous"/>
    </xf>
    <xf numFmtId="0" fontId="22" fillId="0" borderId="0" xfId="0" applyFont="1" applyFill="1" applyAlignment="1">
      <alignment horizontal="center" vertical="center"/>
    </xf>
    <xf numFmtId="0" fontId="23" fillId="0" borderId="0" xfId="0" applyFont="1"/>
    <xf numFmtId="0" fontId="23" fillId="0" borderId="0" xfId="0" applyFont="1" applyFill="1"/>
    <xf numFmtId="0" fontId="22" fillId="0" borderId="0" xfId="0" applyFont="1" applyFill="1"/>
    <xf numFmtId="0" fontId="23" fillId="0" borderId="0" xfId="0" applyFont="1" applyFill="1" applyAlignment="1"/>
    <xf numFmtId="0" fontId="22" fillId="0" borderId="0" xfId="0" applyFont="1" applyFill="1" applyAlignment="1">
      <alignment horizontal="centerContinuous"/>
    </xf>
    <xf numFmtId="0" fontId="23" fillId="0" borderId="0" xfId="0" applyFont="1" applyFill="1" applyAlignment="1">
      <alignment horizontal="centerContinuous"/>
    </xf>
    <xf numFmtId="0" fontId="26" fillId="0" borderId="0" xfId="0" applyFont="1" applyFill="1"/>
    <xf numFmtId="0" fontId="22" fillId="0" borderId="0" xfId="0" applyFont="1" applyFill="1" applyAlignment="1">
      <alignment horizontal="centerContinuous" vertical="center"/>
    </xf>
    <xf numFmtId="0" fontId="22" fillId="0" borderId="0" xfId="0" applyFont="1" applyFill="1" applyAlignment="1">
      <alignment vertical="center"/>
    </xf>
    <xf numFmtId="167" fontId="23" fillId="0" borderId="0" xfId="3" applyNumberFormat="1" applyFont="1"/>
    <xf numFmtId="167" fontId="23" fillId="0" borderId="0" xfId="3" applyNumberFormat="1" applyFont="1" applyFill="1"/>
    <xf numFmtId="0" fontId="22" fillId="0" borderId="0" xfId="0" applyFont="1" applyFill="1" applyBorder="1" applyAlignment="1">
      <alignment horizontal="left" vertical="top"/>
    </xf>
    <xf numFmtId="0" fontId="22" fillId="0" borderId="0" xfId="0" applyFont="1" applyFill="1" applyBorder="1" applyAlignment="1">
      <alignment vertical="top"/>
    </xf>
    <xf numFmtId="0" fontId="27" fillId="0" borderId="0" xfId="0" applyFont="1" applyFill="1" applyBorder="1" applyAlignment="1">
      <alignment vertical="top"/>
    </xf>
    <xf numFmtId="0" fontId="23" fillId="0" borderId="0" xfId="0" applyFont="1" applyFill="1" applyBorder="1" applyAlignment="1">
      <alignment vertical="top"/>
    </xf>
    <xf numFmtId="0" fontId="23" fillId="0" borderId="0" xfId="0" applyFont="1" applyFill="1" applyBorder="1" applyAlignment="1">
      <alignment horizontal="left" vertical="top"/>
    </xf>
    <xf numFmtId="0" fontId="26" fillId="0" borderId="0" xfId="0" applyFont="1" applyFill="1" applyBorder="1" applyAlignment="1">
      <alignment vertical="top"/>
    </xf>
    <xf numFmtId="0" fontId="22" fillId="0" borderId="0" xfId="0" quotePrefix="1" applyFont="1" applyFill="1" applyBorder="1" applyAlignment="1">
      <alignment horizontal="left" vertical="top"/>
    </xf>
    <xf numFmtId="0" fontId="27" fillId="0" borderId="0" xfId="0" applyFont="1" applyFill="1" applyBorder="1" applyAlignment="1">
      <alignment horizontal="justify" vertical="top"/>
    </xf>
    <xf numFmtId="0" fontId="23" fillId="0" borderId="0" xfId="0" applyFont="1" applyFill="1" applyBorder="1" applyAlignment="1">
      <alignment vertical="top"/>
    </xf>
    <xf numFmtId="0" fontId="22" fillId="0" borderId="0" xfId="0" applyNumberFormat="1" applyFont="1" applyFill="1" applyBorder="1" applyAlignment="1">
      <alignment vertical="top"/>
    </xf>
    <xf numFmtId="0" fontId="22" fillId="0" borderId="0" xfId="0" applyFont="1" applyFill="1" applyAlignment="1">
      <alignment horizontal="left" vertical="top"/>
    </xf>
    <xf numFmtId="0" fontId="22" fillId="0" borderId="0" xfId="0" applyFont="1" applyFill="1" applyAlignment="1">
      <alignment vertical="top"/>
    </xf>
    <xf numFmtId="0" fontId="23" fillId="0" borderId="0" xfId="0" applyFont="1" applyFill="1" applyAlignment="1">
      <alignment vertical="top"/>
    </xf>
    <xf numFmtId="0" fontId="23" fillId="0" borderId="0" xfId="0" applyFont="1" applyFill="1" applyAlignment="1">
      <alignment horizontal="justify" vertical="top"/>
    </xf>
    <xf numFmtId="0" fontId="23" fillId="0" borderId="0" xfId="0" applyFont="1" applyFill="1" applyAlignment="1">
      <alignment vertical="top"/>
    </xf>
    <xf numFmtId="0" fontId="23" fillId="0" borderId="0" xfId="0" applyFont="1" applyFill="1" applyBorder="1" applyAlignment="1">
      <alignment horizontal="centerContinuous" vertical="top"/>
    </xf>
    <xf numFmtId="0" fontId="23" fillId="0" borderId="0" xfId="0" applyFont="1" applyFill="1" applyBorder="1" applyAlignment="1">
      <alignment vertical="top"/>
    </xf>
    <xf numFmtId="0" fontId="23" fillId="0" borderId="0" xfId="0" applyFont="1" applyFill="1" applyAlignment="1">
      <alignment horizontal="center"/>
    </xf>
    <xf numFmtId="0" fontId="23" fillId="0" borderId="0" xfId="0" applyFont="1" applyAlignment="1">
      <alignment horizontal="centerContinuous"/>
    </xf>
    <xf numFmtId="0" fontId="23" fillId="0" borderId="0" xfId="0" applyFont="1" applyFill="1"/>
    <xf numFmtId="0" fontId="23" fillId="0" borderId="0" xfId="0" applyFont="1" applyFill="1" applyAlignment="1"/>
    <xf numFmtId="167" fontId="23" fillId="0" borderId="0" xfId="3" applyNumberFormat="1" applyFont="1" applyFill="1" applyAlignment="1"/>
    <xf numFmtId="167" fontId="23" fillId="0" borderId="9" xfId="3" applyNumberFormat="1" applyFont="1" applyFill="1" applyBorder="1" applyAlignment="1"/>
    <xf numFmtId="0" fontId="23" fillId="0" borderId="0" xfId="0" applyFont="1" applyFill="1" applyAlignment="1">
      <alignment horizontal="centerContinuous" vertical="top"/>
    </xf>
    <xf numFmtId="167" fontId="23" fillId="0" borderId="0" xfId="3" applyNumberFormat="1" applyFont="1" applyFill="1" applyBorder="1" applyAlignment="1"/>
    <xf numFmtId="0" fontId="23" fillId="0" borderId="0" xfId="0" applyFont="1" applyFill="1" applyBorder="1" applyAlignment="1"/>
    <xf numFmtId="0" fontId="23" fillId="0" borderId="0" xfId="0" applyFont="1" applyFill="1" applyAlignment="1"/>
    <xf numFmtId="41" fontId="23" fillId="0" borderId="0" xfId="0" applyNumberFormat="1" applyFont="1" applyFill="1" applyBorder="1" applyAlignment="1"/>
    <xf numFmtId="0" fontId="22" fillId="0" borderId="0" xfId="0" applyNumberFormat="1" applyFont="1" applyFill="1"/>
    <xf numFmtId="0" fontId="23" fillId="0" borderId="0" xfId="0" applyFont="1"/>
    <xf numFmtId="37" fontId="22" fillId="0" borderId="0" xfId="0" applyNumberFormat="1" applyFont="1" applyFill="1" applyAlignment="1">
      <alignment horizontal="left"/>
    </xf>
    <xf numFmtId="0" fontId="23" fillId="0" borderId="0" xfId="0" applyFont="1" applyFill="1" applyAlignment="1">
      <alignment horizontal="left"/>
    </xf>
    <xf numFmtId="0" fontId="23" fillId="0" borderId="0" xfId="0" applyFont="1" applyBorder="1" applyAlignment="1">
      <alignment horizontal="centerContinuous"/>
    </xf>
    <xf numFmtId="37" fontId="22" fillId="0" borderId="0" xfId="0" applyNumberFormat="1" applyFont="1" applyFill="1" applyAlignment="1">
      <alignment horizontal="left" vertical="top"/>
    </xf>
    <xf numFmtId="167" fontId="23" fillId="0" borderId="0" xfId="3" applyNumberFormat="1" applyFont="1" applyFill="1" applyAlignment="1">
      <alignment vertical="top"/>
    </xf>
    <xf numFmtId="167" fontId="23" fillId="0" borderId="9" xfId="3" applyNumberFormat="1" applyFont="1" applyFill="1" applyBorder="1" applyAlignment="1">
      <alignment vertical="top"/>
    </xf>
    <xf numFmtId="168" fontId="22" fillId="0" borderId="0" xfId="0" applyNumberFormat="1" applyFont="1" applyFill="1" applyAlignment="1">
      <alignment horizontal="left" vertical="top"/>
    </xf>
    <xf numFmtId="0" fontId="22" fillId="0" borderId="0" xfId="0" applyFont="1" applyFill="1" applyAlignment="1">
      <alignment horizontal="left" vertical="top"/>
    </xf>
    <xf numFmtId="37" fontId="23" fillId="0" borderId="0" xfId="0" applyNumberFormat="1" applyFont="1" applyFill="1" applyAlignment="1">
      <alignment horizontal="centerContinuous" vertical="top"/>
    </xf>
    <xf numFmtId="0" fontId="22" fillId="0" borderId="0" xfId="0" applyFont="1" applyFill="1" applyAlignment="1">
      <alignment horizontal="centerContinuous" vertical="top"/>
    </xf>
    <xf numFmtId="0" fontId="27" fillId="0" borderId="0" xfId="0" applyFont="1" applyFill="1" applyAlignment="1">
      <alignment horizontal="centerContinuous" vertical="top"/>
    </xf>
    <xf numFmtId="49" fontId="23" fillId="0" borderId="0" xfId="0" applyNumberFormat="1" applyFont="1" applyFill="1" applyAlignment="1">
      <alignment horizontal="centerContinuous" vertical="top"/>
    </xf>
    <xf numFmtId="37" fontId="22" fillId="0" borderId="0" xfId="0" applyNumberFormat="1" applyFont="1" applyFill="1" applyAlignment="1">
      <alignment horizontal="left" vertical="top"/>
    </xf>
    <xf numFmtId="167" fontId="23" fillId="0" borderId="0" xfId="3" applyNumberFormat="1" applyFont="1" applyFill="1" applyBorder="1"/>
    <xf numFmtId="167" fontId="23" fillId="0" borderId="0" xfId="3" applyNumberFormat="1" applyFont="1" applyFill="1" applyBorder="1" applyAlignment="1">
      <alignment vertical="top"/>
    </xf>
    <xf numFmtId="167" fontId="23" fillId="0" borderId="0" xfId="0" applyNumberFormat="1" applyFont="1" applyFill="1" applyBorder="1" applyAlignment="1"/>
    <xf numFmtId="0" fontId="23" fillId="0" borderId="0" xfId="3" applyNumberFormat="1" applyFont="1" applyFill="1" applyAlignment="1">
      <alignment vertical="top"/>
    </xf>
    <xf numFmtId="169" fontId="22" fillId="0" borderId="0" xfId="0" applyNumberFormat="1" applyFont="1" applyFill="1" applyAlignment="1">
      <alignment horizontal="left"/>
    </xf>
    <xf numFmtId="0" fontId="22" fillId="0" borderId="0" xfId="0" applyNumberFormat="1" applyFont="1" applyFill="1" applyAlignment="1">
      <alignment horizontal="left" indent="1"/>
    </xf>
    <xf numFmtId="0" fontId="23" fillId="0" borderId="0" xfId="0" applyFont="1" applyFill="1" applyBorder="1" applyAlignment="1">
      <alignment horizontal="centerContinuous"/>
    </xf>
    <xf numFmtId="4" fontId="23" fillId="0" borderId="0" xfId="0" applyNumberFormat="1" applyFont="1" applyFill="1"/>
    <xf numFmtId="167" fontId="23" fillId="0" borderId="9" xfId="0" applyNumberFormat="1" applyFont="1" applyFill="1" applyBorder="1" applyAlignment="1"/>
    <xf numFmtId="0" fontId="22" fillId="0" borderId="0" xfId="0" applyFont="1" applyFill="1" applyAlignment="1">
      <alignment vertical="top" readingOrder="1"/>
    </xf>
    <xf numFmtId="0" fontId="22" fillId="0" borderId="0" xfId="0" applyFont="1" applyFill="1" applyBorder="1" applyAlignment="1">
      <alignment horizontal="center"/>
    </xf>
    <xf numFmtId="0" fontId="23" fillId="0" borderId="0" xfId="0" applyFont="1" applyFill="1" applyAlignment="1">
      <alignment vertical="top" readingOrder="1"/>
    </xf>
    <xf numFmtId="0" fontId="23" fillId="0" borderId="0" xfId="0" applyFont="1" applyFill="1" applyAlignment="1">
      <alignment horizontal="justify" vertical="justify" wrapText="1" readingOrder="1"/>
    </xf>
    <xf numFmtId="49" fontId="23" fillId="0" borderId="0" xfId="3" applyNumberFormat="1" applyFont="1" applyFill="1" applyBorder="1" applyAlignment="1" applyProtection="1">
      <alignment horizontal="center"/>
    </xf>
    <xf numFmtId="0" fontId="22" fillId="0" borderId="0" xfId="0" applyNumberFormat="1" applyFont="1" applyFill="1" applyAlignment="1">
      <alignment vertical="top"/>
    </xf>
    <xf numFmtId="0" fontId="23" fillId="0" borderId="0" xfId="0" applyNumberFormat="1" applyFont="1" applyFill="1" applyAlignment="1">
      <alignment vertical="top"/>
    </xf>
    <xf numFmtId="0" fontId="23" fillId="0" borderId="0" xfId="0" applyFont="1" applyAlignment="1">
      <alignment horizontal="centerContinuous"/>
    </xf>
    <xf numFmtId="0" fontId="23" fillId="0" borderId="0" xfId="0" applyFont="1" applyFill="1" applyAlignment="1">
      <alignment horizontal="centerContinuous" vertical="top"/>
    </xf>
    <xf numFmtId="0" fontId="22" fillId="0" borderId="0" xfId="0" applyFont="1" applyFill="1" applyBorder="1" applyAlignment="1"/>
    <xf numFmtId="0" fontId="23" fillId="0" borderId="9" xfId="0" applyFont="1" applyFill="1" applyBorder="1" applyAlignment="1">
      <alignment horizontal="centerContinuous"/>
    </xf>
    <xf numFmtId="0" fontId="23" fillId="0" borderId="9" xfId="0" applyFont="1" applyBorder="1" applyAlignment="1">
      <alignment horizontal="centerContinuous"/>
    </xf>
    <xf numFmtId="0" fontId="23" fillId="0" borderId="9" xfId="0" applyFont="1" applyFill="1" applyBorder="1" applyAlignment="1">
      <alignment horizontal="centerContinuous" vertical="top"/>
    </xf>
    <xf numFmtId="49" fontId="22" fillId="0" borderId="0" xfId="0" applyNumberFormat="1" applyFont="1" applyFill="1" applyAlignment="1">
      <alignment horizontal="center" vertical="center"/>
    </xf>
    <xf numFmtId="0" fontId="22" fillId="0" borderId="0" xfId="0" quotePrefix="1" applyNumberFormat="1" applyFont="1" applyFill="1" applyAlignment="1">
      <alignment horizontal="left" indent="1"/>
    </xf>
    <xf numFmtId="0" fontId="23" fillId="0" borderId="0" xfId="0" applyFont="1" applyFill="1" applyAlignment="1">
      <alignment vertical="justify"/>
    </xf>
    <xf numFmtId="0" fontId="29" fillId="0" borderId="0" xfId="0" applyFont="1" applyFill="1" applyAlignment="1">
      <alignment vertical="top"/>
    </xf>
    <xf numFmtId="41" fontId="24" fillId="0" borderId="11" xfId="0" applyNumberFormat="1" applyFont="1" applyBorder="1" applyAlignment="1">
      <alignment horizontal="left" vertical="center" wrapText="1"/>
    </xf>
    <xf numFmtId="167" fontId="31" fillId="0" borderId="12" xfId="3" applyNumberFormat="1" applyFont="1" applyBorder="1" applyAlignment="1">
      <alignment vertical="center"/>
    </xf>
    <xf numFmtId="0" fontId="30" fillId="0" borderId="13" xfId="0" applyFont="1" applyBorder="1" applyAlignment="1"/>
    <xf numFmtId="0" fontId="30" fillId="0" borderId="14" xfId="0" applyFont="1" applyBorder="1" applyAlignment="1"/>
    <xf numFmtId="167" fontId="44" fillId="0" borderId="15" xfId="3" applyNumberFormat="1" applyFont="1" applyBorder="1" applyAlignment="1">
      <alignment horizontal="center" vertical="center" wrapText="1"/>
    </xf>
    <xf numFmtId="167" fontId="31" fillId="0" borderId="16" xfId="3" applyNumberFormat="1" applyFont="1" applyBorder="1" applyAlignment="1"/>
    <xf numFmtId="167" fontId="31" fillId="0" borderId="14" xfId="3" applyNumberFormat="1" applyFont="1" applyBorder="1" applyAlignment="1">
      <alignment vertical="center"/>
    </xf>
    <xf numFmtId="167" fontId="31" fillId="0" borderId="3" xfId="3" applyNumberFormat="1" applyFont="1" applyBorder="1" applyAlignment="1">
      <alignment vertical="center"/>
    </xf>
    <xf numFmtId="167" fontId="31" fillId="0" borderId="15" xfId="3" applyNumberFormat="1" applyFont="1" applyBorder="1" applyAlignment="1">
      <alignment vertical="center"/>
    </xf>
    <xf numFmtId="167" fontId="31" fillId="0" borderId="12" xfId="3" applyNumberFormat="1" applyFont="1" applyBorder="1" applyAlignment="1">
      <alignment horizontal="right" vertical="center"/>
    </xf>
    <xf numFmtId="167" fontId="31" fillId="0" borderId="17" xfId="3" applyNumberFormat="1" applyFont="1" applyBorder="1" applyAlignment="1">
      <alignment horizontal="left" vertical="center"/>
    </xf>
    <xf numFmtId="167" fontId="31" fillId="0" borderId="0" xfId="3" applyNumberFormat="1" applyFont="1" applyBorder="1" applyAlignment="1"/>
    <xf numFmtId="167" fontId="31" fillId="0" borderId="18" xfId="3" applyNumberFormat="1" applyFont="1" applyBorder="1" applyAlignment="1">
      <alignment vertical="top"/>
    </xf>
    <xf numFmtId="167" fontId="31" fillId="0" borderId="11" xfId="3" applyNumberFormat="1" applyFont="1" applyBorder="1" applyAlignment="1">
      <alignment vertical="center"/>
    </xf>
    <xf numFmtId="175" fontId="31" fillId="0" borderId="0" xfId="3" applyNumberFormat="1" applyFont="1" applyBorder="1" applyAlignment="1"/>
    <xf numFmtId="167" fontId="31" fillId="0" borderId="19" xfId="3" applyNumberFormat="1" applyFont="1" applyBorder="1" applyAlignment="1">
      <alignment vertical="center"/>
    </xf>
    <xf numFmtId="167" fontId="31" fillId="0" borderId="20" xfId="3" applyNumberFormat="1" applyFont="1" applyBorder="1" applyAlignment="1">
      <alignment vertical="center"/>
    </xf>
    <xf numFmtId="3" fontId="36" fillId="0" borderId="15" xfId="3" applyNumberFormat="1" applyFont="1" applyBorder="1" applyAlignment="1">
      <alignment vertical="center" wrapText="1"/>
    </xf>
    <xf numFmtId="167" fontId="35" fillId="0" borderId="0" xfId="3" applyNumberFormat="1" applyFont="1" applyBorder="1" applyAlignment="1">
      <alignment vertical="center"/>
    </xf>
    <xf numFmtId="3" fontId="36" fillId="0" borderId="21" xfId="3" quotePrefix="1" applyNumberFormat="1" applyFont="1" applyBorder="1" applyAlignment="1">
      <alignment horizontal="center" vertical="center" wrapText="1"/>
    </xf>
    <xf numFmtId="3" fontId="36" fillId="0" borderId="21" xfId="3" applyNumberFormat="1" applyFont="1" applyBorder="1" applyAlignment="1">
      <alignment horizontal="center" vertical="center" wrapText="1"/>
    </xf>
    <xf numFmtId="0" fontId="45" fillId="0" borderId="22" xfId="0" applyFont="1" applyBorder="1" applyAlignment="1">
      <alignment vertical="center" wrapText="1"/>
    </xf>
    <xf numFmtId="41" fontId="35" fillId="0" borderId="22" xfId="3" applyNumberFormat="1" applyFont="1" applyBorder="1" applyAlignment="1">
      <alignment vertical="center" wrapText="1"/>
    </xf>
    <xf numFmtId="41" fontId="24" fillId="0" borderId="22" xfId="3" applyNumberFormat="1" applyFont="1" applyBorder="1" applyAlignment="1">
      <alignment vertical="center" wrapText="1"/>
    </xf>
    <xf numFmtId="41" fontId="35" fillId="0" borderId="12" xfId="3" applyNumberFormat="1" applyFont="1" applyBorder="1" applyAlignment="1">
      <alignment vertical="center" wrapText="1"/>
    </xf>
    <xf numFmtId="41" fontId="35" fillId="0" borderId="17" xfId="3" applyNumberFormat="1" applyFont="1" applyBorder="1" applyAlignment="1">
      <alignment vertical="center" wrapText="1"/>
    </xf>
    <xf numFmtId="167" fontId="35" fillId="0" borderId="0" xfId="3" applyNumberFormat="1" applyFont="1" applyBorder="1" applyAlignment="1"/>
    <xf numFmtId="0" fontId="35" fillId="0" borderId="23" xfId="0" applyFont="1" applyFill="1" applyBorder="1" applyAlignment="1">
      <alignment vertical="center" wrapText="1"/>
    </xf>
    <xf numFmtId="41" fontId="35" fillId="0" borderId="23" xfId="0" applyNumberFormat="1" applyFont="1" applyBorder="1" applyAlignment="1">
      <alignment vertical="center" wrapText="1"/>
    </xf>
    <xf numFmtId="41" fontId="24" fillId="0" borderId="23" xfId="0" quotePrefix="1" applyNumberFormat="1" applyFont="1" applyBorder="1" applyAlignment="1">
      <alignment vertical="center" wrapText="1"/>
    </xf>
    <xf numFmtId="0" fontId="24" fillId="0" borderId="23" xfId="0" applyFont="1" applyBorder="1" applyAlignment="1">
      <alignment vertical="center" wrapText="1"/>
    </xf>
    <xf numFmtId="0" fontId="24" fillId="0" borderId="18" xfId="0" applyFont="1" applyBorder="1" applyAlignment="1">
      <alignment vertical="center" wrapText="1"/>
    </xf>
    <xf numFmtId="0" fontId="24" fillId="0" borderId="11" xfId="0" applyFont="1" applyBorder="1" applyAlignment="1">
      <alignment vertical="center" wrapText="1"/>
    </xf>
    <xf numFmtId="0" fontId="35" fillId="0" borderId="0" xfId="0" applyFont="1" applyBorder="1" applyAlignment="1"/>
    <xf numFmtId="4" fontId="24" fillId="0" borderId="23" xfId="0" applyNumberFormat="1" applyFont="1" applyFill="1" applyBorder="1" applyAlignment="1">
      <alignment horizontal="left" vertical="center" wrapText="1" indent="2"/>
    </xf>
    <xf numFmtId="41" fontId="24" fillId="0" borderId="23" xfId="0" applyNumberFormat="1" applyFont="1" applyFill="1" applyBorder="1" applyAlignment="1">
      <alignment vertical="center" wrapText="1"/>
    </xf>
    <xf numFmtId="41" fontId="24" fillId="0" borderId="23" xfId="0" applyNumberFormat="1" applyFont="1" applyBorder="1" applyAlignment="1">
      <alignment vertical="center" wrapText="1"/>
    </xf>
    <xf numFmtId="41" fontId="24" fillId="0" borderId="23" xfId="3" applyNumberFormat="1" applyFont="1" applyBorder="1" applyAlignment="1">
      <alignment vertical="center" wrapText="1"/>
    </xf>
    <xf numFmtId="9" fontId="24" fillId="0" borderId="23" xfId="4" applyFont="1" applyBorder="1" applyAlignment="1">
      <alignment vertical="center" wrapText="1"/>
    </xf>
    <xf numFmtId="41" fontId="24" fillId="0" borderId="18" xfId="0" applyNumberFormat="1" applyFont="1" applyBorder="1" applyAlignment="1">
      <alignment horizontal="justify" vertical="center" wrapText="1"/>
    </xf>
    <xf numFmtId="0" fontId="32" fillId="0" borderId="11" xfId="0" applyFont="1" applyBorder="1" applyAlignment="1">
      <alignment horizontal="justify"/>
    </xf>
    <xf numFmtId="0" fontId="24" fillId="0" borderId="0" xfId="0" applyFont="1" applyBorder="1" applyAlignment="1"/>
    <xf numFmtId="41" fontId="35" fillId="0" borderId="23" xfId="3" applyNumberFormat="1" applyFont="1" applyBorder="1" applyAlignment="1">
      <alignment vertical="center" wrapText="1"/>
    </xf>
    <xf numFmtId="0" fontId="32" fillId="0" borderId="18" xfId="0" applyFont="1" applyBorder="1" applyAlignment="1">
      <alignment horizontal="justify"/>
    </xf>
    <xf numFmtId="0" fontId="24" fillId="0" borderId="23" xfId="0" quotePrefix="1" applyFont="1" applyFill="1" applyBorder="1" applyAlignment="1">
      <alignment horizontal="left" vertical="center" wrapText="1"/>
    </xf>
    <xf numFmtId="37" fontId="35" fillId="0" borderId="0" xfId="0" applyNumberFormat="1" applyFont="1" applyBorder="1" applyAlignment="1"/>
    <xf numFmtId="39" fontId="35" fillId="0" borderId="0" xfId="0" applyNumberFormat="1" applyFont="1" applyBorder="1" applyAlignment="1"/>
    <xf numFmtId="174" fontId="35" fillId="0" borderId="0" xfId="0" applyNumberFormat="1" applyFont="1" applyBorder="1" applyAlignment="1"/>
    <xf numFmtId="167" fontId="35" fillId="0" borderId="0" xfId="0" applyNumberFormat="1" applyFont="1" applyBorder="1" applyAlignment="1"/>
    <xf numFmtId="0" fontId="24" fillId="0" borderId="23" xfId="0" applyFont="1" applyFill="1" applyBorder="1" applyAlignment="1">
      <alignment vertical="center" wrapText="1"/>
    </xf>
    <xf numFmtId="9" fontId="24" fillId="0" borderId="23" xfId="0" applyNumberFormat="1" applyFont="1" applyBorder="1" applyAlignment="1">
      <alignment vertical="center" wrapText="1"/>
    </xf>
    <xf numFmtId="41" fontId="24" fillId="0" borderId="18" xfId="0" applyNumberFormat="1" applyFont="1" applyBorder="1" applyAlignment="1">
      <alignment vertical="center" wrapText="1"/>
    </xf>
    <xf numFmtId="41" fontId="24" fillId="0" borderId="11" xfId="0" applyNumberFormat="1" applyFont="1" applyBorder="1" applyAlignment="1">
      <alignment vertical="center" wrapText="1"/>
    </xf>
    <xf numFmtId="43" fontId="35" fillId="0" borderId="0" xfId="0" applyNumberFormat="1" applyFont="1" applyBorder="1" applyAlignment="1"/>
    <xf numFmtId="4" fontId="24" fillId="0" borderId="23" xfId="0" applyNumberFormat="1" applyFont="1" applyBorder="1" applyAlignment="1">
      <alignment horizontal="left" vertical="center" wrapText="1"/>
    </xf>
    <xf numFmtId="41" fontId="24" fillId="0" borderId="18" xfId="0" applyNumberFormat="1" applyFont="1" applyBorder="1" applyAlignment="1">
      <alignment horizontal="left" vertical="center" wrapText="1"/>
    </xf>
    <xf numFmtId="4" fontId="24" fillId="0" borderId="23" xfId="0" applyNumberFormat="1" applyFont="1" applyBorder="1" applyAlignment="1">
      <alignment horizontal="left" vertical="center" wrapText="1" indent="2"/>
    </xf>
    <xf numFmtId="0" fontId="35" fillId="0" borderId="24" xfId="0" applyFont="1" applyBorder="1" applyAlignment="1">
      <alignment vertical="center" wrapText="1"/>
    </xf>
    <xf numFmtId="41" fontId="35" fillId="0" borderId="24" xfId="0" applyNumberFormat="1" applyFont="1" applyBorder="1" applyAlignment="1">
      <alignment vertical="center" wrapText="1"/>
    </xf>
    <xf numFmtId="41" fontId="24" fillId="0" borderId="24" xfId="0" applyNumberFormat="1" applyFont="1" applyBorder="1" applyAlignment="1">
      <alignment vertical="center" wrapText="1"/>
    </xf>
    <xf numFmtId="41" fontId="24" fillId="0" borderId="19" xfId="0" applyNumberFormat="1" applyFont="1" applyBorder="1" applyAlignment="1">
      <alignment vertical="center" wrapText="1"/>
    </xf>
    <xf numFmtId="41" fontId="24" fillId="0" borderId="20" xfId="0" applyNumberFormat="1" applyFont="1" applyBorder="1" applyAlignment="1">
      <alignment vertical="center" wrapText="1"/>
    </xf>
    <xf numFmtId="0" fontId="35" fillId="0" borderId="21" xfId="0" applyFont="1" applyBorder="1" applyAlignment="1">
      <alignment vertical="center" wrapText="1"/>
    </xf>
    <xf numFmtId="41" fontId="35" fillId="0" borderId="25" xfId="0" applyNumberFormat="1" applyFont="1" applyBorder="1" applyAlignment="1">
      <alignment vertical="center" wrapText="1"/>
    </xf>
    <xf numFmtId="167" fontId="35" fillId="0" borderId="25" xfId="3" applyNumberFormat="1" applyFont="1" applyBorder="1" applyAlignment="1"/>
    <xf numFmtId="9" fontId="35" fillId="0" borderId="25" xfId="4" applyFont="1" applyBorder="1" applyAlignment="1"/>
    <xf numFmtId="167" fontId="35" fillId="0" borderId="14" xfId="3" applyNumberFormat="1" applyFont="1" applyBorder="1" applyAlignment="1"/>
    <xf numFmtId="167" fontId="35" fillId="0" borderId="15" xfId="3" applyNumberFormat="1" applyFont="1" applyBorder="1" applyAlignment="1"/>
    <xf numFmtId="0" fontId="24" fillId="0" borderId="0" xfId="0" applyFont="1" applyBorder="1" applyAlignment="1">
      <alignment wrapText="1"/>
    </xf>
    <xf numFmtId="167" fontId="35" fillId="0" borderId="18" xfId="3" applyNumberFormat="1" applyFont="1" applyBorder="1" applyAlignment="1">
      <alignment horizontal="right"/>
    </xf>
    <xf numFmtId="3" fontId="35" fillId="0" borderId="0" xfId="3" applyNumberFormat="1" applyFont="1" applyBorder="1" applyAlignment="1"/>
    <xf numFmtId="3" fontId="35" fillId="0" borderId="11" xfId="3" applyNumberFormat="1" applyFont="1" applyBorder="1" applyAlignment="1"/>
    <xf numFmtId="3" fontId="35" fillId="0" borderId="26" xfId="3" applyNumberFormat="1" applyFont="1" applyBorder="1" applyAlignment="1"/>
    <xf numFmtId="3" fontId="35" fillId="0" borderId="20" xfId="3" applyNumberFormat="1" applyFont="1" applyBorder="1" applyAlignment="1"/>
    <xf numFmtId="167" fontId="35" fillId="0" borderId="27" xfId="3" applyNumberFormat="1" applyFont="1" applyBorder="1" applyAlignment="1"/>
    <xf numFmtId="0" fontId="35" fillId="0" borderId="0" xfId="0" applyFont="1" applyAlignment="1"/>
    <xf numFmtId="0" fontId="24" fillId="0" borderId="0" xfId="0" applyFont="1" applyAlignment="1"/>
    <xf numFmtId="37" fontId="24" fillId="0" borderId="0" xfId="0" applyNumberFormat="1" applyFont="1" applyAlignment="1">
      <alignment horizontal="center" vertical="center"/>
    </xf>
    <xf numFmtId="0" fontId="35" fillId="0" borderId="0" xfId="0" applyFont="1" applyFill="1" applyAlignment="1">
      <alignment horizontal="right"/>
    </xf>
    <xf numFmtId="167" fontId="24" fillId="0" borderId="0" xfId="0" applyNumberFormat="1" applyFont="1"/>
    <xf numFmtId="0" fontId="35" fillId="0" borderId="0" xfId="0" applyFont="1" applyFill="1" applyBorder="1" applyAlignment="1">
      <alignment horizontal="right"/>
    </xf>
    <xf numFmtId="9" fontId="24" fillId="0" borderId="0" xfId="0" applyNumberFormat="1" applyFont="1" applyAlignment="1">
      <alignment horizontal="center" vertical="center"/>
    </xf>
    <xf numFmtId="0" fontId="35" fillId="0" borderId="26" xfId="0" applyFont="1" applyBorder="1" applyAlignment="1"/>
    <xf numFmtId="0" fontId="24" fillId="0" borderId="26" xfId="0" applyFont="1" applyBorder="1" applyAlignment="1"/>
    <xf numFmtId="0" fontId="35" fillId="0" borderId="26" xfId="0" applyFont="1" applyFill="1" applyBorder="1" applyAlignment="1">
      <alignment horizontal="left"/>
    </xf>
    <xf numFmtId="167" fontId="24" fillId="0" borderId="26" xfId="0" applyNumberFormat="1" applyFont="1" applyBorder="1"/>
    <xf numFmtId="167" fontId="24" fillId="0" borderId="0" xfId="0" applyNumberFormat="1" applyFont="1" applyBorder="1"/>
    <xf numFmtId="0" fontId="35" fillId="0" borderId="0" xfId="0" applyFont="1" applyFill="1" applyBorder="1" applyAlignment="1">
      <alignment horizontal="left"/>
    </xf>
    <xf numFmtId="0" fontId="35" fillId="0" borderId="0" xfId="0" applyFont="1" applyAlignment="1">
      <alignment horizontal="left" indent="5"/>
    </xf>
    <xf numFmtId="0" fontId="45" fillId="0" borderId="0" xfId="0" applyFont="1" applyAlignment="1"/>
    <xf numFmtId="0" fontId="24" fillId="0" borderId="0" xfId="0" applyFont="1" applyFill="1" applyAlignment="1"/>
    <xf numFmtId="0" fontId="24" fillId="0" borderId="0" xfId="0" quotePrefix="1" applyFont="1" applyAlignment="1"/>
    <xf numFmtId="0" fontId="24" fillId="0" borderId="0" xfId="0" quotePrefix="1" applyFont="1" applyAlignment="1">
      <alignment horizontal="left" indent="3"/>
    </xf>
    <xf numFmtId="0" fontId="35" fillId="2" borderId="21" xfId="0" applyFont="1" applyFill="1" applyBorder="1" applyAlignment="1">
      <alignment horizontal="center" vertical="center" wrapText="1"/>
    </xf>
    <xf numFmtId="37" fontId="35" fillId="2" borderId="21" xfId="0" applyNumberFormat="1" applyFont="1" applyFill="1" applyBorder="1" applyAlignment="1">
      <alignment horizontal="center" vertical="center" wrapText="1"/>
    </xf>
    <xf numFmtId="37" fontId="35" fillId="0" borderId="0" xfId="0" applyNumberFormat="1" applyFont="1" applyFill="1" applyBorder="1" applyAlignment="1">
      <alignment horizontal="center" vertical="center" wrapText="1"/>
    </xf>
    <xf numFmtId="9" fontId="35" fillId="0" borderId="0" xfId="0" applyNumberFormat="1" applyFont="1" applyFill="1" applyBorder="1" applyAlignment="1">
      <alignment horizontal="center" vertical="center" wrapText="1"/>
    </xf>
    <xf numFmtId="37" fontId="45" fillId="0" borderId="0" xfId="0" applyNumberFormat="1" applyFont="1" applyAlignment="1">
      <alignment horizontal="center" vertical="center"/>
    </xf>
    <xf numFmtId="37" fontId="45" fillId="0" borderId="0" xfId="0" applyNumberFormat="1" applyFont="1" applyBorder="1" applyAlignment="1">
      <alignment vertical="center"/>
    </xf>
    <xf numFmtId="9" fontId="35" fillId="0" borderId="0" xfId="0" applyNumberFormat="1" applyFont="1" applyBorder="1" applyAlignment="1">
      <alignment horizontal="center" vertical="center"/>
    </xf>
    <xf numFmtId="37" fontId="24" fillId="0" borderId="0" xfId="0" applyNumberFormat="1" applyFont="1" applyBorder="1" applyAlignment="1">
      <alignment horizontal="center" vertical="center"/>
    </xf>
    <xf numFmtId="9" fontId="24" fillId="0" borderId="0" xfId="0" applyNumberFormat="1" applyFont="1" applyBorder="1" applyAlignment="1">
      <alignment horizontal="center" vertical="center"/>
    </xf>
    <xf numFmtId="0" fontId="35" fillId="0" borderId="26" xfId="0" applyFont="1" applyFill="1" applyBorder="1" applyAlignment="1">
      <alignment vertical="center"/>
    </xf>
    <xf numFmtId="167" fontId="24" fillId="0" borderId="0" xfId="0" applyNumberFormat="1" applyFont="1" applyFill="1" applyBorder="1" applyAlignment="1">
      <alignment horizontal="right" vertical="center"/>
    </xf>
    <xf numFmtId="167" fontId="24" fillId="0" borderId="0" xfId="0" applyNumberFormat="1" applyFont="1" applyBorder="1" applyAlignment="1">
      <alignment horizontal="right" vertical="center"/>
    </xf>
    <xf numFmtId="9" fontId="24" fillId="0" borderId="0" xfId="0" applyNumberFormat="1" applyFont="1" applyBorder="1" applyAlignment="1">
      <alignment horizontal="right" vertical="center"/>
    </xf>
    <xf numFmtId="0" fontId="24" fillId="0" borderId="0" xfId="0" applyFont="1" applyFill="1" applyAlignment="1">
      <alignment vertical="center"/>
    </xf>
    <xf numFmtId="37" fontId="35" fillId="0" borderId="9" xfId="0" applyNumberFormat="1" applyFont="1" applyBorder="1" applyAlignment="1">
      <alignment horizontal="right" vertical="center"/>
    </xf>
    <xf numFmtId="37" fontId="35" fillId="0" borderId="0" xfId="0" applyNumberFormat="1" applyFont="1" applyBorder="1" applyAlignment="1">
      <alignment horizontal="right" vertical="center"/>
    </xf>
    <xf numFmtId="9" fontId="35" fillId="0" borderId="0" xfId="0" applyNumberFormat="1" applyFont="1" applyBorder="1" applyAlignment="1">
      <alignment horizontal="right" vertical="center"/>
    </xf>
    <xf numFmtId="174" fontId="24" fillId="0" borderId="0" xfId="0" applyNumberFormat="1" applyFont="1" applyAlignment="1">
      <alignment horizontal="center" vertical="center"/>
    </xf>
    <xf numFmtId="174" fontId="24" fillId="0" borderId="0" xfId="0" applyNumberFormat="1" applyFont="1" applyBorder="1" applyAlignment="1">
      <alignment horizontal="center" vertical="center"/>
    </xf>
    <xf numFmtId="37" fontId="24" fillId="0" borderId="0" xfId="0" applyNumberFormat="1" applyFont="1" applyBorder="1" applyAlignment="1">
      <alignment horizontal="center" vertical="center"/>
    </xf>
    <xf numFmtId="9" fontId="24" fillId="0" borderId="0" xfId="0" applyNumberFormat="1" applyFont="1" applyBorder="1" applyAlignment="1">
      <alignment horizontal="center" vertical="center"/>
    </xf>
    <xf numFmtId="37" fontId="24" fillId="0" borderId="0" xfId="0" applyNumberFormat="1" applyFont="1" applyAlignment="1">
      <alignment horizontal="center" vertical="center"/>
    </xf>
    <xf numFmtId="0" fontId="35" fillId="0" borderId="0" xfId="0" applyFont="1" applyBorder="1" applyAlignment="1"/>
    <xf numFmtId="9" fontId="24" fillId="0" borderId="0" xfId="0" applyNumberFormat="1" applyFont="1" applyAlignment="1">
      <alignment horizontal="center" vertical="center"/>
    </xf>
    <xf numFmtId="0" fontId="24" fillId="0" borderId="0" xfId="0" applyFont="1" applyAlignment="1">
      <alignment horizontal="left"/>
    </xf>
    <xf numFmtId="0" fontId="23" fillId="0" borderId="0" xfId="0" applyFont="1" applyFill="1" applyAlignment="1">
      <alignment horizontal="left" vertical="top"/>
    </xf>
    <xf numFmtId="0" fontId="23" fillId="0" borderId="0" xfId="0" applyFont="1" applyFill="1" applyAlignment="1">
      <alignment horizontal="center" vertical="top"/>
    </xf>
    <xf numFmtId="1" fontId="22" fillId="0" borderId="0" xfId="0" applyNumberFormat="1" applyFont="1" applyFill="1" applyAlignment="1">
      <alignment horizontal="left" vertical="top"/>
    </xf>
    <xf numFmtId="0" fontId="22" fillId="0" borderId="0" xfId="0" applyNumberFormat="1" applyFont="1" applyFill="1" applyAlignment="1">
      <alignment horizontal="left" vertical="top"/>
    </xf>
    <xf numFmtId="0" fontId="23" fillId="0" borderId="0" xfId="0" applyFont="1" applyFill="1" applyBorder="1" applyAlignment="1">
      <alignment horizontal="justify" vertical="top"/>
    </xf>
    <xf numFmtId="0" fontId="23" fillId="0" borderId="0" xfId="0" applyNumberFormat="1" applyFont="1" applyFill="1" applyAlignment="1">
      <alignment horizontal="centerContinuous" vertical="top"/>
    </xf>
    <xf numFmtId="0" fontId="23" fillId="0" borderId="0" xfId="0" applyFont="1" applyFill="1" applyBorder="1" applyAlignment="1">
      <alignment horizontal="centerContinuous" vertical="top"/>
    </xf>
    <xf numFmtId="0" fontId="29" fillId="0" borderId="0" xfId="0" applyFont="1" applyFill="1"/>
    <xf numFmtId="0" fontId="36" fillId="0" borderId="0" xfId="0" applyFont="1" applyFill="1"/>
    <xf numFmtId="0" fontId="22" fillId="0" borderId="0" xfId="0" applyFont="1" applyFill="1" applyAlignment="1">
      <alignment vertical="top"/>
    </xf>
    <xf numFmtId="169" fontId="22" fillId="0" borderId="0" xfId="0" applyNumberFormat="1" applyFont="1" applyFill="1" applyAlignment="1">
      <alignment horizontal="left" vertical="top"/>
    </xf>
    <xf numFmtId="0" fontId="22" fillId="0" borderId="0" xfId="0" quotePrefix="1" applyFont="1" applyFill="1" applyAlignment="1">
      <alignment horizontal="left" vertical="top"/>
    </xf>
    <xf numFmtId="0" fontId="48" fillId="0" borderId="0" xfId="0" quotePrefix="1" applyFont="1" applyFill="1" applyAlignment="1">
      <alignment horizontal="left" vertical="top"/>
    </xf>
    <xf numFmtId="0" fontId="40" fillId="0" borderId="0" xfId="0" applyFont="1" applyFill="1"/>
    <xf numFmtId="0" fontId="48" fillId="0" borderId="0" xfId="0" quotePrefix="1" applyFont="1" applyFill="1"/>
    <xf numFmtId="0" fontId="48" fillId="0" borderId="0" xfId="0" applyFont="1" applyFill="1"/>
    <xf numFmtId="173" fontId="22" fillId="0" borderId="0" xfId="3" applyNumberFormat="1" applyFont="1" applyFill="1" applyAlignment="1">
      <alignment horizontal="left"/>
    </xf>
    <xf numFmtId="0" fontId="22" fillId="0" borderId="0" xfId="3" quotePrefix="1" applyNumberFormat="1" applyFont="1" applyFill="1" applyAlignment="1">
      <alignment horizontal="left"/>
    </xf>
    <xf numFmtId="0" fontId="22" fillId="0" borderId="0" xfId="0" applyNumberFormat="1" applyFont="1" applyFill="1" applyAlignment="1">
      <alignment horizontal="left"/>
    </xf>
    <xf numFmtId="0" fontId="22" fillId="0" borderId="0" xfId="3" quotePrefix="1" applyNumberFormat="1" applyFont="1" applyFill="1" applyAlignment="1">
      <alignment horizontal="left" vertical="top"/>
    </xf>
    <xf numFmtId="0" fontId="22" fillId="0" borderId="0" xfId="0" applyNumberFormat="1" applyFont="1" applyFill="1" applyAlignment="1">
      <alignment vertical="top"/>
    </xf>
    <xf numFmtId="0" fontId="22" fillId="0" borderId="0" xfId="0" quotePrefix="1" applyFont="1" applyFill="1" applyAlignment="1">
      <alignment horizontal="left"/>
    </xf>
    <xf numFmtId="167" fontId="23" fillId="0" borderId="0" xfId="0" applyNumberFormat="1" applyFont="1" applyFill="1" applyBorder="1" applyAlignment="1">
      <alignment horizontal="centerContinuous"/>
    </xf>
    <xf numFmtId="167" fontId="23" fillId="0" borderId="0" xfId="0" applyNumberFormat="1" applyFont="1" applyFill="1" applyBorder="1"/>
    <xf numFmtId="0" fontId="23" fillId="0" borderId="0" xfId="0" applyFont="1" applyFill="1" applyBorder="1" applyAlignment="1">
      <alignment horizontal="justify" vertical="top" wrapText="1"/>
    </xf>
    <xf numFmtId="167" fontId="29" fillId="0" borderId="0" xfId="3" applyNumberFormat="1" applyFont="1" applyFill="1"/>
    <xf numFmtId="0" fontId="36" fillId="0" borderId="0" xfId="0" applyFont="1" applyFill="1" applyAlignment="1">
      <alignment horizontal="left"/>
    </xf>
    <xf numFmtId="0" fontId="29" fillId="0" borderId="0" xfId="0" applyFont="1" applyFill="1" applyAlignment="1">
      <alignment vertical="top"/>
    </xf>
    <xf numFmtId="1" fontId="22" fillId="0" borderId="0" xfId="0" quotePrefix="1" applyNumberFormat="1" applyFont="1" applyFill="1" applyAlignment="1">
      <alignment horizontal="left" vertical="top"/>
    </xf>
    <xf numFmtId="0" fontId="47" fillId="0" borderId="0" xfId="0" applyFont="1" applyAlignment="1">
      <alignment horizontal="justify" vertical="top" wrapText="1"/>
    </xf>
    <xf numFmtId="0" fontId="23" fillId="0" borderId="0" xfId="0" applyFont="1" applyFill="1" applyAlignment="1">
      <alignment vertical="top"/>
    </xf>
    <xf numFmtId="0" fontId="36" fillId="0" borderId="0" xfId="0" applyFont="1" applyFill="1" applyAlignment="1">
      <alignment horizontal="left" vertical="top"/>
    </xf>
    <xf numFmtId="0" fontId="46" fillId="0" borderId="0" xfId="0" applyFont="1" applyAlignment="1">
      <alignment vertical="top" wrapText="1"/>
    </xf>
    <xf numFmtId="0" fontId="36" fillId="0" borderId="0" xfId="0" quotePrefix="1" applyFont="1" applyFill="1" applyAlignment="1">
      <alignment horizontal="center" vertical="top"/>
    </xf>
    <xf numFmtId="0" fontId="36" fillId="0" borderId="0" xfId="0" applyNumberFormat="1" applyFont="1" applyFill="1" applyAlignment="1">
      <alignment vertical="top"/>
    </xf>
    <xf numFmtId="0" fontId="46" fillId="0" borderId="0" xfId="0" applyFont="1" applyAlignment="1">
      <alignment horizontal="justify" vertical="top" wrapText="1"/>
    </xf>
    <xf numFmtId="0" fontId="36" fillId="0" borderId="0" xfId="0" applyFont="1" applyFill="1" applyAlignment="1">
      <alignment horizontal="center" vertical="top"/>
    </xf>
    <xf numFmtId="1" fontId="22" fillId="0" borderId="0" xfId="0" applyNumberFormat="1" applyFont="1" applyFill="1" applyAlignment="1">
      <alignment horizontal="left" vertical="top"/>
    </xf>
    <xf numFmtId="0" fontId="22" fillId="0" borderId="0" xfId="0" applyFont="1" applyFill="1" applyAlignment="1">
      <alignment horizontal="left" vertical="top"/>
    </xf>
    <xf numFmtId="0" fontId="23" fillId="0" borderId="0" xfId="0" applyFont="1" applyFill="1" applyAlignment="1"/>
    <xf numFmtId="0" fontId="23" fillId="0" borderId="0" xfId="0" applyNumberFormat="1" applyFont="1" applyFill="1" applyAlignment="1"/>
    <xf numFmtId="169" fontId="22" fillId="0" borderId="0" xfId="0" quotePrefix="1" applyNumberFormat="1" applyFont="1" applyFill="1" applyAlignment="1">
      <alignment horizontal="left" vertical="top"/>
    </xf>
    <xf numFmtId="0" fontId="23" fillId="0" borderId="0" xfId="0" applyFont="1" applyAlignment="1">
      <alignment horizontal="justify" vertical="top"/>
    </xf>
    <xf numFmtId="0" fontId="37" fillId="0" borderId="0" xfId="0" applyFont="1" applyFill="1" applyAlignment="1">
      <alignment horizontal="centerContinuous" vertical="center"/>
    </xf>
    <xf numFmtId="0" fontId="27" fillId="0" borderId="0" xfId="0" applyFont="1" applyFill="1" applyAlignment="1">
      <alignment horizontal="centerContinuous" vertical="center"/>
    </xf>
    <xf numFmtId="0" fontId="27" fillId="0" borderId="0" xfId="0" applyFont="1" applyFill="1" applyAlignment="1">
      <alignment vertical="center"/>
    </xf>
    <xf numFmtId="0" fontId="37" fillId="0" borderId="0" xfId="0" applyFont="1" applyFill="1" applyAlignment="1">
      <alignment vertical="center"/>
    </xf>
    <xf numFmtId="0" fontId="22" fillId="0" borderId="0" xfId="0" applyFont="1" applyFill="1" applyAlignment="1">
      <alignment horizontal="right" vertical="center"/>
    </xf>
    <xf numFmtId="0" fontId="49" fillId="0" borderId="0" xfId="0" applyFont="1" applyFill="1"/>
    <xf numFmtId="39" fontId="51" fillId="0" borderId="0" xfId="0" applyNumberFormat="1" applyFont="1" applyAlignment="1">
      <alignment horizontal="left"/>
    </xf>
    <xf numFmtId="0" fontId="52" fillId="0" borderId="0" xfId="0" applyFont="1" applyFill="1" applyBorder="1" applyAlignment="1"/>
    <xf numFmtId="39" fontId="52" fillId="0" borderId="0" xfId="0" applyNumberFormat="1" applyFont="1" applyAlignment="1">
      <alignment horizontal="left"/>
    </xf>
    <xf numFmtId="0" fontId="52" fillId="0" borderId="0" xfId="0" applyFont="1" applyBorder="1" applyAlignment="1"/>
    <xf numFmtId="0" fontId="51" fillId="0" borderId="0" xfId="0" applyFont="1" applyFill="1" applyBorder="1" applyAlignment="1">
      <alignment horizontal="center" vertical="center" wrapText="1"/>
    </xf>
    <xf numFmtId="167" fontId="52" fillId="0" borderId="0" xfId="3" applyNumberFormat="1" applyFont="1" applyFill="1" applyBorder="1" applyAlignment="1">
      <alignment vertical="center"/>
    </xf>
    <xf numFmtId="0" fontId="54" fillId="0" borderId="0" xfId="0" applyFont="1" applyFill="1" applyAlignment="1"/>
    <xf numFmtId="37" fontId="39" fillId="0" borderId="0" xfId="0" applyNumberFormat="1" applyFont="1" applyFill="1" applyBorder="1" applyAlignment="1">
      <alignment horizontal="center"/>
    </xf>
    <xf numFmtId="167" fontId="52" fillId="0" borderId="0" xfId="3" applyNumberFormat="1" applyFont="1" applyFill="1" applyBorder="1"/>
    <xf numFmtId="167" fontId="51" fillId="0" borderId="9" xfId="3" applyNumberFormat="1" applyFont="1" applyFill="1" applyBorder="1"/>
    <xf numFmtId="167" fontId="52" fillId="0" borderId="0" xfId="0" applyNumberFormat="1" applyFont="1" applyFill="1" applyBorder="1" applyAlignment="1"/>
    <xf numFmtId="0" fontId="51" fillId="0" borderId="0" xfId="0" applyFont="1" applyFill="1" applyBorder="1" applyAlignment="1"/>
    <xf numFmtId="10" fontId="51" fillId="0" borderId="0" xfId="4" applyNumberFormat="1" applyFont="1" applyFill="1" applyBorder="1"/>
    <xf numFmtId="0" fontId="52" fillId="0" borderId="0" xfId="0" applyFont="1" applyAlignment="1"/>
    <xf numFmtId="0" fontId="31" fillId="0" borderId="0" xfId="0" applyFont="1" applyAlignment="1"/>
    <xf numFmtId="0" fontId="30" fillId="0" borderId="0" xfId="0" applyFont="1" applyAlignment="1"/>
    <xf numFmtId="167" fontId="30" fillId="0" borderId="0" xfId="3" applyNumberFormat="1" applyFont="1"/>
    <xf numFmtId="0" fontId="31" fillId="0" borderId="0" xfId="0" applyFont="1" applyAlignment="1">
      <alignment horizontal="center" vertical="center" wrapText="1"/>
    </xf>
    <xf numFmtId="0" fontId="31" fillId="3" borderId="21" xfId="0" applyFont="1" applyFill="1" applyBorder="1" applyAlignment="1">
      <alignment horizontal="center" vertical="center" wrapText="1"/>
    </xf>
    <xf numFmtId="0" fontId="31" fillId="0" borderId="4" xfId="0" applyFont="1" applyBorder="1" applyAlignment="1">
      <alignment horizontal="center" vertical="center" wrapText="1"/>
    </xf>
    <xf numFmtId="167" fontId="31" fillId="3" borderId="21" xfId="3" applyNumberFormat="1" applyFont="1" applyFill="1" applyBorder="1" applyAlignment="1">
      <alignment horizontal="center" vertical="center" wrapText="1"/>
    </xf>
    <xf numFmtId="0" fontId="31" fillId="0" borderId="0" xfId="0" applyFont="1" applyFill="1" applyAlignment="1">
      <alignment horizontal="center" vertical="center"/>
    </xf>
    <xf numFmtId="167" fontId="31" fillId="0" borderId="0" xfId="3" applyNumberFormat="1" applyFont="1" applyFill="1" applyAlignment="1">
      <alignment horizontal="center" vertical="center"/>
    </xf>
    <xf numFmtId="0" fontId="30" fillId="0" borderId="0" xfId="0" applyFont="1" applyFill="1" applyAlignment="1">
      <alignment horizontal="center" vertical="center"/>
    </xf>
    <xf numFmtId="0" fontId="30" fillId="0" borderId="0" xfId="0" applyFont="1" applyFill="1" applyAlignment="1">
      <alignment vertical="center"/>
    </xf>
    <xf numFmtId="0" fontId="30" fillId="0" borderId="0" xfId="0" applyFont="1" applyFill="1" applyBorder="1" applyAlignment="1"/>
    <xf numFmtId="167" fontId="30" fillId="0" borderId="0" xfId="3" applyNumberFormat="1" applyFont="1" applyAlignment="1">
      <alignment vertical="center"/>
    </xf>
    <xf numFmtId="0" fontId="30" fillId="0" borderId="0" xfId="0" applyFont="1" applyAlignment="1">
      <alignment vertical="center"/>
    </xf>
    <xf numFmtId="167" fontId="30" fillId="0" borderId="0" xfId="3" applyNumberFormat="1" applyFont="1" applyFill="1" applyAlignment="1">
      <alignment horizontal="center" vertical="center" wrapText="1"/>
    </xf>
    <xf numFmtId="10" fontId="30" fillId="0" borderId="0" xfId="4" applyNumberFormat="1" applyFont="1" applyFill="1"/>
    <xf numFmtId="167" fontId="30" fillId="0" borderId="0" xfId="3" applyNumberFormat="1" applyFont="1" applyFill="1" applyAlignment="1">
      <alignment vertical="center"/>
    </xf>
    <xf numFmtId="10" fontId="30" fillId="0" borderId="0" xfId="4" applyNumberFormat="1" applyFont="1" applyFill="1" applyAlignment="1">
      <alignment vertical="center"/>
    </xf>
    <xf numFmtId="0" fontId="31" fillId="0" borderId="0" xfId="0" applyFont="1" applyFill="1" applyAlignment="1">
      <alignment vertical="center"/>
    </xf>
    <xf numFmtId="0" fontId="30" fillId="0" borderId="0" xfId="0" applyFont="1" applyFill="1" applyAlignment="1">
      <alignment vertical="center" wrapText="1"/>
    </xf>
    <xf numFmtId="167" fontId="31" fillId="0" borderId="0" xfId="3" applyNumberFormat="1" applyFont="1" applyFill="1" applyAlignment="1">
      <alignment vertical="center"/>
    </xf>
    <xf numFmtId="10" fontId="31" fillId="0" borderId="0" xfId="4" applyNumberFormat="1" applyFont="1" applyFill="1" applyBorder="1" applyAlignment="1">
      <alignment vertical="center"/>
    </xf>
    <xf numFmtId="0" fontId="33" fillId="0" borderId="0" xfId="0" applyFont="1"/>
    <xf numFmtId="167" fontId="30" fillId="0" borderId="0" xfId="3" applyNumberFormat="1" applyFont="1" applyFill="1" applyBorder="1" applyAlignment="1">
      <alignment horizontal="center" vertical="center"/>
    </xf>
    <xf numFmtId="167" fontId="30" fillId="0" borderId="0" xfId="3" applyNumberFormat="1" applyFont="1" applyFill="1" applyBorder="1" applyAlignment="1">
      <alignment vertical="center"/>
    </xf>
    <xf numFmtId="10" fontId="30" fillId="0" borderId="0" xfId="4" applyNumberFormat="1" applyFont="1" applyFill="1" applyBorder="1" applyAlignment="1">
      <alignment vertical="center"/>
    </xf>
    <xf numFmtId="0" fontId="31" fillId="0" borderId="0" xfId="0" applyFont="1" applyFill="1" applyBorder="1" applyAlignment="1">
      <alignment horizontal="left" vertical="center"/>
    </xf>
    <xf numFmtId="167" fontId="31" fillId="0" borderId="0" xfId="3" applyNumberFormat="1" applyFont="1" applyFill="1" applyAlignment="1">
      <alignment horizontal="center" vertical="center" wrapText="1"/>
    </xf>
    <xf numFmtId="167" fontId="31" fillId="0" borderId="9" xfId="3" applyNumberFormat="1" applyFont="1" applyFill="1" applyBorder="1" applyAlignment="1">
      <alignment vertical="center"/>
    </xf>
    <xf numFmtId="10" fontId="31" fillId="0" borderId="9" xfId="4" applyNumberFormat="1" applyFont="1" applyFill="1" applyBorder="1" applyAlignment="1">
      <alignment vertical="center"/>
    </xf>
    <xf numFmtId="10" fontId="31" fillId="0" borderId="16" xfId="4" applyNumberFormat="1" applyFont="1" applyFill="1" applyBorder="1"/>
    <xf numFmtId="10" fontId="31" fillId="0" borderId="0" xfId="4" applyNumberFormat="1" applyFont="1" applyFill="1"/>
    <xf numFmtId="0" fontId="36" fillId="0" borderId="0" xfId="0" applyFont="1" applyFill="1" applyAlignment="1"/>
    <xf numFmtId="0" fontId="29" fillId="0" borderId="0" xfId="0" applyFont="1" applyFill="1" applyAlignment="1"/>
    <xf numFmtId="0" fontId="29" fillId="0" borderId="0" xfId="0" applyFont="1" applyFill="1" applyAlignment="1">
      <alignment horizontal="center"/>
    </xf>
    <xf numFmtId="167" fontId="29" fillId="0" borderId="0" xfId="3" applyNumberFormat="1" applyFont="1" applyFill="1" applyAlignment="1"/>
    <xf numFmtId="260" fontId="29" fillId="0" borderId="0" xfId="3" applyFont="1" applyFill="1" applyAlignment="1"/>
    <xf numFmtId="166" fontId="29" fillId="0" borderId="0" xfId="0" applyNumberFormat="1" applyFont="1" applyFill="1" applyAlignment="1">
      <alignment horizontal="left"/>
    </xf>
    <xf numFmtId="43" fontId="29" fillId="0" borderId="0" xfId="3" applyNumberFormat="1" applyFont="1" applyFill="1" applyAlignment="1"/>
    <xf numFmtId="170" fontId="29" fillId="0" borderId="0" xfId="0" applyNumberFormat="1" applyFont="1" applyFill="1" applyAlignment="1">
      <alignment horizontal="left"/>
    </xf>
    <xf numFmtId="41" fontId="29" fillId="0" borderId="0" xfId="0" applyNumberFormat="1" applyFont="1" applyFill="1" applyAlignment="1"/>
    <xf numFmtId="43" fontId="29" fillId="0" borderId="0" xfId="0" applyNumberFormat="1" applyFont="1" applyFill="1" applyAlignment="1">
      <alignment horizontal="center" vertical="center"/>
    </xf>
    <xf numFmtId="167" fontId="36" fillId="0" borderId="9" xfId="3" applyNumberFormat="1" applyFont="1" applyFill="1" applyBorder="1" applyAlignment="1">
      <alignment vertical="top"/>
    </xf>
    <xf numFmtId="260" fontId="36" fillId="0" borderId="9" xfId="3" applyFont="1" applyFill="1" applyBorder="1" applyAlignment="1">
      <alignment vertical="top"/>
    </xf>
    <xf numFmtId="9" fontId="41" fillId="0" borderId="0" xfId="4" applyFont="1" applyFill="1" applyBorder="1" applyAlignment="1"/>
    <xf numFmtId="171" fontId="36" fillId="0" borderId="9" xfId="0" applyNumberFormat="1" applyFont="1" applyFill="1" applyBorder="1" applyAlignment="1"/>
    <xf numFmtId="0" fontId="29" fillId="0" borderId="0" xfId="0" applyFont="1" applyFill="1" applyBorder="1" applyAlignment="1"/>
    <xf numFmtId="0" fontId="36" fillId="0" borderId="0" xfId="0" applyNumberFormat="1" applyFont="1" applyFill="1" applyAlignment="1"/>
    <xf numFmtId="0" fontId="55" fillId="0" borderId="0" xfId="0" applyFont="1" applyFill="1"/>
    <xf numFmtId="0" fontId="29" fillId="0" borderId="0" xfId="0" applyFont="1" applyFill="1"/>
    <xf numFmtId="167" fontId="29" fillId="0" borderId="0" xfId="3" applyNumberFormat="1" applyFont="1"/>
    <xf numFmtId="167" fontId="29" fillId="0" borderId="0" xfId="3" applyNumberFormat="1" applyFont="1" applyFill="1" applyAlignment="1">
      <alignment vertical="top"/>
    </xf>
    <xf numFmtId="167" fontId="29" fillId="0" borderId="0" xfId="3" applyNumberFormat="1" applyFont="1" applyFill="1" applyBorder="1" applyAlignment="1"/>
    <xf numFmtId="9" fontId="29" fillId="0" borderId="0" xfId="4" applyFont="1" applyFill="1" applyBorder="1" applyAlignment="1"/>
    <xf numFmtId="0" fontId="36" fillId="0" borderId="0" xfId="0" applyFont="1" applyFill="1" applyAlignment="1">
      <alignment horizontal="left"/>
    </xf>
    <xf numFmtId="49" fontId="28" fillId="0" borderId="0" xfId="0" quotePrefix="1" applyNumberFormat="1" applyFont="1" applyFill="1" applyBorder="1" applyAlignment="1">
      <alignment horizontal="center" vertical="center"/>
    </xf>
    <xf numFmtId="0" fontId="22" fillId="0" borderId="0" xfId="0" applyNumberFormat="1" applyFont="1" applyFill="1" applyAlignment="1">
      <alignment horizontal="left"/>
    </xf>
    <xf numFmtId="0" fontId="22" fillId="0" borderId="0" xfId="0" applyFont="1" applyFill="1" applyAlignment="1"/>
    <xf numFmtId="0" fontId="23" fillId="0" borderId="0" xfId="0" applyNumberFormat="1" applyFont="1" applyFill="1" applyAlignment="1"/>
    <xf numFmtId="37" fontId="23" fillId="0" borderId="0" xfId="0" applyNumberFormat="1" applyFont="1" applyAlignment="1">
      <alignment horizontal="centerContinuous"/>
    </xf>
    <xf numFmtId="49" fontId="22" fillId="0" borderId="0" xfId="0" applyNumberFormat="1" applyFont="1" applyFill="1" applyAlignment="1">
      <alignment vertical="center"/>
    </xf>
    <xf numFmtId="0" fontId="36" fillId="0" borderId="0" xfId="0" applyFont="1" applyFill="1" applyAlignment="1">
      <alignment horizontal="center" vertical="top"/>
    </xf>
    <xf numFmtId="0" fontId="29" fillId="0" borderId="0" xfId="0" applyNumberFormat="1" applyFont="1" applyFill="1" applyAlignment="1">
      <alignment vertical="top"/>
    </xf>
    <xf numFmtId="0" fontId="46" fillId="0" borderId="0" xfId="0" applyFont="1" applyFill="1" applyAlignment="1">
      <alignment horizontal="justify" vertical="top" wrapText="1"/>
    </xf>
    <xf numFmtId="167" fontId="29" fillId="0" borderId="0" xfId="3" applyNumberFormat="1" applyFont="1" applyFill="1" applyBorder="1" applyAlignment="1">
      <alignment horizontal="center" vertical="center"/>
    </xf>
    <xf numFmtId="41" fontId="36" fillId="0" borderId="8" xfId="0" applyNumberFormat="1" applyFont="1" applyFill="1" applyBorder="1" applyAlignment="1"/>
    <xf numFmtId="0" fontId="34" fillId="0" borderId="0" xfId="0" applyNumberFormat="1" applyFont="1" applyFill="1" applyAlignment="1"/>
    <xf numFmtId="0" fontId="56" fillId="0" borderId="0" xfId="0" applyNumberFormat="1" applyFont="1" applyFill="1" applyBorder="1" applyAlignment="1">
      <alignment horizontal="center" vertical="center" wrapText="1"/>
    </xf>
    <xf numFmtId="0" fontId="56" fillId="0" borderId="0" xfId="0" applyFont="1" applyFill="1" applyAlignment="1">
      <alignment vertical="top"/>
    </xf>
    <xf numFmtId="167" fontId="34" fillId="0" borderId="0" xfId="3" applyNumberFormat="1" applyFont="1" applyFill="1" applyAlignment="1">
      <alignment vertical="top"/>
    </xf>
    <xf numFmtId="0" fontId="56" fillId="0" borderId="1" xfId="0" applyNumberFormat="1" applyFont="1" applyFill="1" applyBorder="1" applyAlignment="1">
      <alignment vertical="center" wrapText="1"/>
    </xf>
    <xf numFmtId="0" fontId="34" fillId="0" borderId="0" xfId="0" applyNumberFormat="1" applyFont="1" applyFill="1" applyBorder="1" applyAlignment="1">
      <alignment vertical="center" wrapText="1"/>
    </xf>
    <xf numFmtId="0" fontId="34" fillId="0" borderId="0" xfId="0" applyNumberFormat="1" applyFont="1" applyFill="1" applyBorder="1" applyAlignment="1"/>
    <xf numFmtId="167" fontId="34" fillId="0" borderId="0" xfId="3" applyNumberFormat="1" applyFont="1" applyFill="1" applyAlignment="1"/>
    <xf numFmtId="1" fontId="22" fillId="5" borderId="0" xfId="0" applyNumberFormat="1" applyFont="1" applyFill="1" applyAlignment="1">
      <alignment horizontal="left" vertical="top"/>
    </xf>
    <xf numFmtId="0" fontId="22" fillId="5" borderId="0" xfId="0" applyFont="1" applyFill="1" applyAlignment="1">
      <alignment horizontal="left" vertical="top"/>
    </xf>
    <xf numFmtId="0" fontId="23" fillId="5" borderId="0" xfId="0" applyFont="1" applyFill="1" applyAlignment="1"/>
    <xf numFmtId="37" fontId="36" fillId="0" borderId="0" xfId="0" applyNumberFormat="1" applyFont="1" applyFill="1" applyAlignment="1">
      <alignment horizontal="left" vertical="top"/>
    </xf>
    <xf numFmtId="37" fontId="23" fillId="0" borderId="0" xfId="0" applyNumberFormat="1" applyFont="1" applyFill="1" applyAlignment="1">
      <alignment horizontal="centerContinuous" vertical="top"/>
    </xf>
    <xf numFmtId="1" fontId="22" fillId="0" borderId="0" xfId="0" quotePrefix="1" applyNumberFormat="1" applyFont="1" applyFill="1" applyAlignment="1">
      <alignment horizontal="left" vertical="top"/>
    </xf>
    <xf numFmtId="0" fontId="23" fillId="0" borderId="0" xfId="0" applyFont="1" applyFill="1" applyAlignment="1">
      <alignment vertical="top"/>
    </xf>
    <xf numFmtId="0" fontId="29" fillId="0" borderId="0" xfId="0" applyFont="1" applyFill="1" applyAlignment="1">
      <alignment vertical="top"/>
    </xf>
    <xf numFmtId="0" fontId="36" fillId="0" borderId="0" xfId="0" applyFont="1" applyFill="1" applyAlignment="1">
      <alignment horizontal="center" vertical="top"/>
    </xf>
    <xf numFmtId="169" fontId="22" fillId="0" borderId="0" xfId="0" quotePrefix="1" applyNumberFormat="1" applyFont="1" applyFill="1" applyAlignment="1">
      <alignment horizontal="left" vertical="top"/>
    </xf>
    <xf numFmtId="0" fontId="22" fillId="0" borderId="0" xfId="0" quotePrefix="1" applyFont="1" applyFill="1" applyAlignment="1">
      <alignment vertical="top"/>
    </xf>
    <xf numFmtId="37" fontId="36" fillId="0" borderId="0" xfId="0" applyNumberFormat="1" applyFont="1" applyFill="1" applyBorder="1" applyAlignment="1">
      <alignment horizontal="left" vertical="top"/>
    </xf>
    <xf numFmtId="0" fontId="29" fillId="0" borderId="0" xfId="0" applyNumberFormat="1" applyFont="1" applyFill="1" applyAlignment="1">
      <alignment horizontal="left" vertical="top" indent="1"/>
    </xf>
    <xf numFmtId="49" fontId="22" fillId="0" borderId="0" xfId="0" applyNumberFormat="1" applyFont="1" applyFill="1" applyBorder="1" applyAlignment="1">
      <alignment horizontal="center" vertical="top"/>
    </xf>
    <xf numFmtId="0" fontId="29" fillId="0" borderId="0" xfId="0" applyFont="1" applyFill="1" applyAlignment="1">
      <alignment horizontal="center" vertical="top"/>
    </xf>
    <xf numFmtId="0" fontId="23" fillId="0" borderId="0" xfId="0" applyFont="1" applyFill="1"/>
    <xf numFmtId="0" fontId="40" fillId="0" borderId="0" xfId="0" applyFont="1" applyFill="1"/>
    <xf numFmtId="0" fontId="34" fillId="0" borderId="0" xfId="0" applyFont="1" applyFill="1"/>
    <xf numFmtId="0" fontId="48" fillId="0" borderId="0" xfId="0" applyFont="1" applyFill="1" applyBorder="1" applyAlignment="1">
      <alignment horizontal="center" vertical="center" wrapText="1"/>
    </xf>
    <xf numFmtId="10" fontId="52" fillId="0" borderId="0" xfId="4" applyNumberFormat="1" applyFont="1" applyFill="1" applyBorder="1"/>
    <xf numFmtId="9" fontId="51" fillId="0" borderId="9" xfId="4" applyFont="1" applyFill="1" applyBorder="1"/>
    <xf numFmtId="1" fontId="36" fillId="0" borderId="0" xfId="0" applyNumberFormat="1" applyFont="1" applyFill="1" applyAlignment="1">
      <alignment horizontal="left" vertical="top"/>
    </xf>
    <xf numFmtId="4" fontId="58" fillId="0" borderId="0" xfId="0" applyNumberFormat="1" applyFont="1" applyFill="1"/>
    <xf numFmtId="0" fontId="57" fillId="0" borderId="0" xfId="0" applyFont="1" applyFill="1"/>
    <xf numFmtId="4" fontId="57" fillId="0" borderId="0" xfId="0" applyNumberFormat="1" applyFont="1" applyFill="1"/>
    <xf numFmtId="3" fontId="57" fillId="0" borderId="0" xfId="0" applyNumberFormat="1" applyFont="1" applyFill="1"/>
    <xf numFmtId="3" fontId="57" fillId="0" borderId="0" xfId="3" applyNumberFormat="1" applyFont="1" applyFill="1"/>
    <xf numFmtId="167" fontId="57" fillId="0" borderId="0" xfId="3" applyNumberFormat="1" applyFont="1" applyFill="1"/>
    <xf numFmtId="37" fontId="23" fillId="0" borderId="0" xfId="0" applyNumberFormat="1" applyFont="1" applyFill="1" applyBorder="1" applyAlignment="1" applyProtection="1">
      <alignment vertical="top" wrapText="1"/>
    </xf>
    <xf numFmtId="0" fontId="23" fillId="0" borderId="0" xfId="0" applyFont="1" applyFill="1" applyAlignment="1">
      <alignment vertical="justify" wrapText="1"/>
    </xf>
    <xf numFmtId="1" fontId="22" fillId="0" borderId="0" xfId="0" quotePrefix="1" applyNumberFormat="1" applyFont="1" applyFill="1" applyAlignment="1">
      <alignment horizontal="left"/>
    </xf>
    <xf numFmtId="1" fontId="48" fillId="0" borderId="0" xfId="0" quotePrefix="1" applyNumberFormat="1" applyFont="1" applyFill="1" applyAlignment="1">
      <alignment horizontal="left"/>
    </xf>
    <xf numFmtId="0" fontId="48" fillId="0" borderId="0" xfId="0" applyFont="1" applyFill="1" applyAlignment="1">
      <alignment horizontal="left" vertical="top"/>
    </xf>
    <xf numFmtId="0" fontId="59" fillId="0" borderId="0" xfId="0" applyFont="1" applyFill="1" applyAlignment="1">
      <alignment horizontal="right"/>
    </xf>
    <xf numFmtId="0" fontId="29" fillId="0" borderId="0" xfId="0" applyFont="1" applyFill="1" applyAlignment="1">
      <alignment horizontal="justify" vertical="top" wrapText="1"/>
    </xf>
    <xf numFmtId="169" fontId="36" fillId="0" borderId="0" xfId="0" quotePrefix="1" applyNumberFormat="1" applyFont="1" applyFill="1" applyAlignment="1">
      <alignment horizontal="left" vertical="top"/>
    </xf>
    <xf numFmtId="167" fontId="40" fillId="0" borderId="0" xfId="3" applyNumberFormat="1" applyFont="1" applyFill="1"/>
    <xf numFmtId="0" fontId="48" fillId="0" borderId="0" xfId="0" applyFont="1" applyFill="1" applyAlignment="1">
      <alignment horizontal="left" indent="1"/>
    </xf>
    <xf numFmtId="0" fontId="36" fillId="0" borderId="0" xfId="0" applyNumberFormat="1" applyFont="1" applyFill="1" applyBorder="1" applyAlignment="1">
      <alignment horizontal="left" vertical="top"/>
    </xf>
    <xf numFmtId="0" fontId="61" fillId="6" borderId="21" xfId="0" applyFont="1" applyFill="1" applyBorder="1"/>
    <xf numFmtId="167" fontId="0" fillId="0" borderId="0" xfId="0" applyNumberFormat="1" applyFont="1"/>
    <xf numFmtId="0" fontId="0" fillId="0" borderId="0" xfId="0"/>
    <xf numFmtId="167" fontId="0" fillId="5" borderId="0" xfId="0" applyNumberFormat="1" applyFont="1" applyFill="1"/>
    <xf numFmtId="167" fontId="0" fillId="0" borderId="0" xfId="0" applyNumberFormat="1"/>
    <xf numFmtId="0" fontId="62" fillId="0" borderId="0" xfId="0" applyFont="1" applyAlignment="1">
      <alignment vertical="top"/>
    </xf>
    <xf numFmtId="0" fontId="62" fillId="0" borderId="13" xfId="0" applyFont="1" applyBorder="1" applyAlignment="1">
      <alignment vertical="top"/>
    </xf>
    <xf numFmtId="167" fontId="62" fillId="0" borderId="13" xfId="3" applyNumberFormat="1" applyFont="1" applyBorder="1" applyAlignment="1">
      <alignment vertical="top"/>
    </xf>
    <xf numFmtId="167" fontId="62" fillId="0" borderId="0" xfId="3" applyNumberFormat="1" applyFont="1" applyAlignment="1">
      <alignment vertical="top"/>
    </xf>
    <xf numFmtId="0" fontId="61" fillId="6" borderId="21" xfId="0" applyFont="1" applyFill="1" applyBorder="1" applyAlignment="1">
      <alignment horizontal="center" vertical="center"/>
    </xf>
    <xf numFmtId="0" fontId="61" fillId="6" borderId="14" xfId="0" applyFont="1" applyFill="1" applyBorder="1" applyAlignment="1">
      <alignment horizontal="center" vertical="center" wrapText="1"/>
    </xf>
    <xf numFmtId="0" fontId="61" fillId="6" borderId="15" xfId="0" applyFont="1" applyFill="1" applyBorder="1" applyAlignment="1">
      <alignment horizontal="center" vertical="center" wrapText="1"/>
    </xf>
    <xf numFmtId="167" fontId="62" fillId="0" borderId="0" xfId="0" applyNumberFormat="1" applyFont="1" applyAlignment="1">
      <alignment vertical="top"/>
    </xf>
    <xf numFmtId="167" fontId="62" fillId="0" borderId="2" xfId="0" applyNumberFormat="1" applyFont="1" applyBorder="1" applyAlignment="1">
      <alignment vertical="top"/>
    </xf>
    <xf numFmtId="167" fontId="62" fillId="0" borderId="0" xfId="0" applyNumberFormat="1" applyFont="1"/>
    <xf numFmtId="167" fontId="62" fillId="0" borderId="0" xfId="3" applyNumberFormat="1" applyFont="1"/>
    <xf numFmtId="167" fontId="62" fillId="0" borderId="9" xfId="3" applyNumberFormat="1" applyFont="1" applyBorder="1"/>
    <xf numFmtId="0" fontId="63" fillId="0" borderId="0" xfId="0" applyFont="1" applyAlignment="1">
      <alignment vertical="top"/>
    </xf>
    <xf numFmtId="167" fontId="62" fillId="0" borderId="0" xfId="3" applyNumberFormat="1" applyFont="1" applyBorder="1"/>
    <xf numFmtId="0" fontId="61" fillId="6" borderId="14" xfId="0" applyFont="1" applyFill="1" applyBorder="1"/>
    <xf numFmtId="167" fontId="62" fillId="0" borderId="9" xfId="0" applyNumberFormat="1" applyFont="1" applyBorder="1" applyAlignment="1">
      <alignment vertical="top"/>
    </xf>
    <xf numFmtId="0" fontId="61" fillId="6" borderId="21" xfId="0" applyFont="1" applyFill="1" applyBorder="1" applyAlignment="1">
      <alignment horizontal="center" vertical="center" wrapText="1"/>
    </xf>
    <xf numFmtId="0" fontId="61" fillId="6" borderId="22" xfId="0" applyFont="1" applyFill="1" applyBorder="1" applyAlignment="1">
      <alignment horizontal="center" vertical="center" wrapText="1"/>
    </xf>
    <xf numFmtId="0" fontId="63" fillId="0" borderId="0" xfId="0" applyNumberFormat="1" applyFont="1" applyAlignment="1"/>
    <xf numFmtId="167" fontId="62" fillId="0" borderId="0" xfId="3" applyNumberFormat="1" applyFont="1" applyFill="1"/>
    <xf numFmtId="167" fontId="62" fillId="0" borderId="0" xfId="0" applyNumberFormat="1" applyFont="1"/>
    <xf numFmtId="0" fontId="62" fillId="0" borderId="0" xfId="0" applyFont="1"/>
    <xf numFmtId="0" fontId="63" fillId="0" borderId="0" xfId="0" applyFont="1"/>
    <xf numFmtId="167" fontId="63" fillId="0" borderId="0" xfId="3" applyNumberFormat="1" applyFont="1" applyFill="1" applyBorder="1" applyAlignment="1">
      <alignment horizontal="center"/>
    </xf>
    <xf numFmtId="167" fontId="63" fillId="0" borderId="0" xfId="0" applyNumberFormat="1" applyFont="1" applyFill="1" applyBorder="1" applyAlignment="1">
      <alignment wrapText="1"/>
    </xf>
    <xf numFmtId="0" fontId="62" fillId="0" borderId="0" xfId="0" applyFont="1" applyFill="1" applyAlignment="1">
      <alignment horizontal="left"/>
    </xf>
    <xf numFmtId="167" fontId="63" fillId="0" borderId="0" xfId="3" applyNumberFormat="1" applyFont="1" applyFill="1" applyBorder="1"/>
    <xf numFmtId="260" fontId="62" fillId="0" borderId="0" xfId="3" applyFont="1" applyFill="1"/>
    <xf numFmtId="0" fontId="62" fillId="0" borderId="0" xfId="0" applyFont="1" applyFill="1"/>
    <xf numFmtId="0" fontId="62" fillId="0" borderId="0" xfId="0" applyNumberFormat="1" applyFont="1" applyFill="1" applyAlignment="1">
      <alignment vertical="top"/>
    </xf>
    <xf numFmtId="0" fontId="62" fillId="5" borderId="0" xfId="0" applyNumberFormat="1" applyFont="1" applyFill="1" applyAlignment="1">
      <alignment vertical="top"/>
    </xf>
    <xf numFmtId="37" fontId="63" fillId="0" borderId="9" xfId="0" applyNumberFormat="1" applyFont="1" applyBorder="1"/>
    <xf numFmtId="37" fontId="62" fillId="0" borderId="0" xfId="0" applyNumberFormat="1" applyFont="1"/>
    <xf numFmtId="167" fontId="62" fillId="0" borderId="40" xfId="3" applyNumberFormat="1" applyFont="1" applyBorder="1"/>
    <xf numFmtId="167" fontId="62" fillId="0" borderId="40" xfId="3" applyNumberFormat="1" applyFont="1" applyFill="1" applyBorder="1"/>
    <xf numFmtId="178" fontId="62" fillId="0" borderId="40" xfId="0" applyNumberFormat="1" applyFont="1" applyBorder="1"/>
    <xf numFmtId="0" fontId="62" fillId="0" borderId="40" xfId="0" applyFont="1" applyBorder="1"/>
    <xf numFmtId="0" fontId="62" fillId="0" borderId="40" xfId="0" applyNumberFormat="1" applyFont="1" applyFill="1" applyBorder="1" applyAlignment="1">
      <alignment vertical="top"/>
    </xf>
    <xf numFmtId="167" fontId="63" fillId="0" borderId="4" xfId="3" applyNumberFormat="1" applyFont="1" applyBorder="1"/>
    <xf numFmtId="167" fontId="63" fillId="0" borderId="4" xfId="3" applyNumberFormat="1" applyFont="1" applyFill="1" applyBorder="1"/>
    <xf numFmtId="37" fontId="63" fillId="0" borderId="0" xfId="0" applyNumberFormat="1" applyFont="1"/>
    <xf numFmtId="167" fontId="63" fillId="0" borderId="0" xfId="3" applyNumberFormat="1" applyFont="1" applyFill="1"/>
    <xf numFmtId="167" fontId="63" fillId="0" borderId="0" xfId="3" applyNumberFormat="1" applyFont="1"/>
    <xf numFmtId="167" fontId="62" fillId="0" borderId="9" xfId="0" applyNumberFormat="1" applyFont="1" applyBorder="1"/>
    <xf numFmtId="10" fontId="62" fillId="0" borderId="0" xfId="4" applyNumberFormat="1" applyFont="1"/>
    <xf numFmtId="37" fontId="23" fillId="0" borderId="0" xfId="0" applyNumberFormat="1" applyFont="1" applyFill="1" applyBorder="1" applyAlignment="1" applyProtection="1">
      <alignment horizontal="left" vertical="top"/>
    </xf>
    <xf numFmtId="0" fontId="48" fillId="0" borderId="0" xfId="0" quotePrefix="1" applyFont="1" applyFill="1" applyAlignment="1">
      <alignment horizontal="left"/>
    </xf>
    <xf numFmtId="0" fontId="48" fillId="0" borderId="0" xfId="0" applyFont="1" applyFill="1" applyAlignment="1">
      <alignment horizontal="left"/>
    </xf>
    <xf numFmtId="0" fontId="23" fillId="0" borderId="0" xfId="0" applyFont="1" applyFill="1" applyAlignment="1">
      <alignment vertical="top"/>
    </xf>
    <xf numFmtId="37" fontId="23" fillId="0" borderId="0" xfId="0" applyNumberFormat="1" applyFont="1" applyFill="1" applyAlignment="1">
      <alignment horizontal="centerContinuous"/>
    </xf>
    <xf numFmtId="0" fontId="23" fillId="0" borderId="0" xfId="0" applyFont="1" applyFill="1" applyAlignment="1">
      <alignment horizontal="centerContinuous" vertical="top"/>
    </xf>
    <xf numFmtId="49" fontId="22" fillId="0" borderId="0" xfId="0" applyNumberFormat="1" applyFont="1" applyFill="1" applyBorder="1" applyAlignment="1" applyProtection="1">
      <alignment horizontal="left"/>
    </xf>
    <xf numFmtId="0" fontId="23" fillId="0" borderId="0" xfId="0" applyFont="1" applyFill="1" applyBorder="1" applyAlignment="1">
      <alignment horizontal="justify" vertical="top" wrapText="1"/>
    </xf>
    <xf numFmtId="37" fontId="23" fillId="0" borderId="0" xfId="0" applyNumberFormat="1" applyFont="1" applyFill="1" applyBorder="1" applyAlignment="1" applyProtection="1">
      <alignment vertical="top" wrapText="1"/>
    </xf>
    <xf numFmtId="37" fontId="23" fillId="0" borderId="0" xfId="0" applyNumberFormat="1" applyFont="1" applyFill="1" applyBorder="1" applyAlignment="1" applyProtection="1">
      <alignment vertical="top"/>
    </xf>
    <xf numFmtId="49" fontId="22" fillId="0" borderId="0" xfId="0" applyNumberFormat="1" applyFont="1" applyFill="1" applyBorder="1" applyAlignment="1" applyProtection="1">
      <alignment horizontal="left"/>
    </xf>
    <xf numFmtId="37" fontId="23" fillId="0" borderId="0" xfId="0" applyNumberFormat="1" applyFont="1" applyFill="1" applyBorder="1" applyAlignment="1" applyProtection="1">
      <alignment horizontal="justify" vertical="top" wrapText="1"/>
    </xf>
    <xf numFmtId="0" fontId="22" fillId="0" borderId="0" xfId="0" applyFont="1" applyFill="1" applyAlignment="1">
      <alignment horizontal="center" vertical="center"/>
    </xf>
    <xf numFmtId="0" fontId="23" fillId="0" borderId="0" xfId="0" applyFont="1" applyFill="1" applyAlignment="1">
      <alignment horizontal="justify" vertical="top"/>
    </xf>
    <xf numFmtId="0" fontId="23" fillId="0" borderId="0" xfId="0" applyFont="1" applyFill="1" applyBorder="1" applyAlignment="1">
      <alignment horizontal="justify" vertical="top"/>
    </xf>
    <xf numFmtId="0" fontId="23" fillId="0" borderId="0" xfId="0" applyFont="1" applyFill="1" applyAlignment="1">
      <alignment horizontal="justify" vertical="top"/>
    </xf>
    <xf numFmtId="0" fontId="23" fillId="0" borderId="0" xfId="0" applyFont="1" applyFill="1" applyAlignment="1">
      <alignment horizontal="justify" vertical="top"/>
    </xf>
    <xf numFmtId="0" fontId="23" fillId="0" borderId="0" xfId="0" applyFont="1" applyFill="1" applyAlignment="1">
      <alignment horizontal="left" vertical="top"/>
    </xf>
    <xf numFmtId="0" fontId="22" fillId="0" borderId="0" xfId="0" applyFont="1" applyFill="1" applyAlignment="1">
      <alignment horizontal="left"/>
    </xf>
    <xf numFmtId="0" fontId="57" fillId="0" borderId="0" xfId="0" applyFont="1" applyFill="1" applyAlignment="1"/>
    <xf numFmtId="49" fontId="58" fillId="0" borderId="0" xfId="0" applyNumberFormat="1" applyFont="1" applyFill="1"/>
    <xf numFmtId="1" fontId="58" fillId="0" borderId="0" xfId="0" applyNumberFormat="1" applyFont="1" applyFill="1" applyAlignment="1"/>
    <xf numFmtId="49" fontId="58" fillId="0" borderId="0" xfId="0" applyNumberFormat="1" applyFont="1" applyFill="1" applyAlignment="1"/>
    <xf numFmtId="4" fontId="58" fillId="0" borderId="0" xfId="0" applyNumberFormat="1" applyFont="1" applyFill="1" applyBorder="1"/>
    <xf numFmtId="2" fontId="58" fillId="0" borderId="0" xfId="0" applyNumberFormat="1" applyFont="1" applyFill="1"/>
    <xf numFmtId="1" fontId="58" fillId="0" borderId="0" xfId="0" applyNumberFormat="1" applyFont="1" applyFill="1"/>
    <xf numFmtId="2" fontId="57" fillId="0" borderId="0" xfId="0" applyNumberFormat="1" applyFont="1" applyFill="1"/>
    <xf numFmtId="0" fontId="23" fillId="0" borderId="0" xfId="0" quotePrefix="1" applyFont="1" applyFill="1" applyBorder="1" applyAlignment="1">
      <alignment horizontal="justify" vertical="top"/>
    </xf>
    <xf numFmtId="172" fontId="62" fillId="0" borderId="0" xfId="3" applyNumberFormat="1" applyFont="1"/>
    <xf numFmtId="167" fontId="62" fillId="0" borderId="53" xfId="0" applyNumberFormat="1" applyFont="1" applyBorder="1" applyAlignment="1">
      <alignment vertical="top"/>
    </xf>
    <xf numFmtId="0" fontId="22" fillId="0" borderId="0" xfId="0" applyFont="1" applyFill="1" applyBorder="1" applyAlignment="1">
      <alignment horizontal="center" vertical="top"/>
    </xf>
    <xf numFmtId="0" fontId="22" fillId="0" borderId="0" xfId="0" applyFont="1" applyFill="1" applyAlignment="1">
      <alignment horizontal="left"/>
    </xf>
    <xf numFmtId="0" fontId="22" fillId="0" borderId="0" xfId="0" applyFont="1" applyFill="1" applyAlignment="1">
      <alignment horizontal="center" vertical="center"/>
    </xf>
    <xf numFmtId="49" fontId="28" fillId="0" borderId="0" xfId="0" quotePrefix="1" applyNumberFormat="1" applyFont="1" applyFill="1" applyBorder="1" applyAlignment="1">
      <alignment horizontal="right" vertical="center"/>
    </xf>
    <xf numFmtId="0" fontId="22" fillId="0" borderId="0" xfId="0" quotePrefix="1" applyFont="1" applyFill="1" applyAlignment="1">
      <alignment horizontal="left"/>
    </xf>
    <xf numFmtId="0" fontId="22" fillId="0" borderId="0" xfId="0" applyFont="1" applyFill="1"/>
    <xf numFmtId="167" fontId="22" fillId="0" borderId="0" xfId="3" applyNumberFormat="1" applyFont="1" applyFill="1" applyAlignment="1">
      <alignment horizontal="centerContinuous"/>
    </xf>
    <xf numFmtId="0" fontId="22" fillId="0" borderId="0" xfId="0" quotePrefix="1" applyFont="1" applyFill="1" applyBorder="1" applyAlignment="1">
      <alignment horizontal="left"/>
    </xf>
    <xf numFmtId="0" fontId="23" fillId="0" borderId="0" xfId="0" quotePrefix="1" applyFont="1" applyFill="1" applyAlignment="1">
      <alignment horizontal="left" indent="1"/>
    </xf>
    <xf numFmtId="0" fontId="22" fillId="0" borderId="0" xfId="0" applyFont="1" applyFill="1" applyBorder="1" applyAlignment="1">
      <alignment horizontal="left"/>
    </xf>
    <xf numFmtId="37" fontId="23" fillId="0" borderId="0" xfId="0" applyNumberFormat="1" applyFont="1" applyFill="1" applyBorder="1" applyAlignment="1">
      <alignment horizontal="centerContinuous"/>
    </xf>
    <xf numFmtId="0" fontId="22" fillId="0" borderId="0" xfId="0" applyFont="1" applyFill="1" applyBorder="1" applyAlignment="1">
      <alignment vertical="top"/>
    </xf>
    <xf numFmtId="0" fontId="23" fillId="0" borderId="0" xfId="0" applyFont="1" applyFill="1" applyAlignment="1">
      <alignment vertical="top"/>
    </xf>
    <xf numFmtId="41" fontId="23" fillId="0" borderId="0" xfId="3" applyNumberFormat="1" applyFont="1" applyFill="1" applyBorder="1" applyAlignment="1">
      <alignment vertical="top"/>
    </xf>
    <xf numFmtId="260" fontId="23" fillId="0" borderId="0" xfId="3" applyFont="1" applyFill="1" applyBorder="1" applyAlignment="1">
      <alignment vertical="top"/>
    </xf>
    <xf numFmtId="0" fontId="23" fillId="0" borderId="0" xfId="0" applyFont="1" applyFill="1" applyBorder="1" applyAlignment="1">
      <alignment vertical="top"/>
    </xf>
    <xf numFmtId="0" fontId="65" fillId="0" borderId="0" xfId="0" applyFont="1" applyFill="1" applyBorder="1" applyAlignment="1"/>
    <xf numFmtId="0" fontId="65" fillId="0" borderId="0" xfId="0" applyFont="1" applyFill="1" applyBorder="1" applyAlignment="1">
      <alignment horizontal="center" vertical="center" wrapText="1"/>
    </xf>
    <xf numFmtId="0" fontId="66" fillId="0" borderId="16" xfId="0" applyFont="1" applyFill="1" applyBorder="1" applyAlignment="1">
      <alignment horizontal="center" vertical="center" wrapText="1"/>
    </xf>
    <xf numFmtId="0" fontId="66" fillId="0" borderId="0" xfId="0" applyNumberFormat="1" applyFont="1" applyFill="1" applyBorder="1" applyAlignment="1">
      <alignment horizontal="left" vertical="center"/>
    </xf>
    <xf numFmtId="0" fontId="65" fillId="0" borderId="0" xfId="0" applyNumberFormat="1" applyFont="1" applyFill="1" applyBorder="1" applyAlignment="1">
      <alignment horizontal="left" vertical="center"/>
    </xf>
    <xf numFmtId="167" fontId="65" fillId="0" borderId="0" xfId="3" applyNumberFormat="1" applyFont="1" applyFill="1" applyBorder="1" applyAlignment="1">
      <alignment vertical="center"/>
    </xf>
    <xf numFmtId="167" fontId="65" fillId="0" borderId="0" xfId="3" applyNumberFormat="1" applyFont="1" applyFill="1" applyAlignment="1">
      <alignment vertical="center" wrapText="1"/>
    </xf>
    <xf numFmtId="260" fontId="65" fillId="0" borderId="0" xfId="3" applyFont="1" applyFill="1" applyAlignment="1">
      <alignment vertical="center"/>
    </xf>
    <xf numFmtId="167" fontId="65" fillId="0" borderId="0" xfId="0" applyNumberFormat="1" applyFont="1" applyFill="1" applyBorder="1" applyAlignment="1">
      <alignment horizontal="left" vertical="center"/>
    </xf>
    <xf numFmtId="167" fontId="65" fillId="0" borderId="6" xfId="3" applyNumberFormat="1" applyFont="1" applyFill="1" applyBorder="1" applyAlignment="1">
      <alignment vertical="center"/>
    </xf>
    <xf numFmtId="167" fontId="65" fillId="0" borderId="7" xfId="3" applyNumberFormat="1" applyFont="1" applyFill="1" applyBorder="1" applyAlignment="1">
      <alignment vertical="center"/>
    </xf>
    <xf numFmtId="0" fontId="65" fillId="0" borderId="0" xfId="0" applyNumberFormat="1" applyFont="1" applyFill="1" applyAlignment="1">
      <alignment vertical="center"/>
    </xf>
    <xf numFmtId="167" fontId="65" fillId="0" borderId="0" xfId="3" applyNumberFormat="1" applyFont="1" applyFill="1" applyAlignment="1">
      <alignment vertical="center"/>
    </xf>
    <xf numFmtId="0" fontId="65" fillId="0" borderId="0" xfId="0" applyNumberFormat="1" applyFont="1" applyFill="1" applyAlignment="1"/>
    <xf numFmtId="167" fontId="65" fillId="0" borderId="10" xfId="3" applyNumberFormat="1" applyFont="1" applyFill="1" applyBorder="1" applyAlignment="1">
      <alignment vertical="center"/>
    </xf>
    <xf numFmtId="260" fontId="65" fillId="0" borderId="0" xfId="3" applyFont="1" applyFill="1" applyBorder="1" applyAlignment="1">
      <alignment vertical="center"/>
    </xf>
    <xf numFmtId="167" fontId="65" fillId="0" borderId="0" xfId="3" applyNumberFormat="1" applyFont="1" applyFill="1"/>
    <xf numFmtId="167" fontId="65" fillId="0" borderId="0" xfId="0" applyNumberFormat="1" applyFont="1" applyFill="1" applyAlignment="1">
      <alignment vertical="center"/>
    </xf>
    <xf numFmtId="0" fontId="66" fillId="0" borderId="0" xfId="0" applyNumberFormat="1" applyFont="1" applyFill="1" applyAlignment="1">
      <alignment vertical="center"/>
    </xf>
    <xf numFmtId="0" fontId="65" fillId="0" borderId="0" xfId="0" applyNumberFormat="1" applyFont="1" applyFill="1" applyBorder="1" applyAlignment="1">
      <alignment vertical="center"/>
    </xf>
    <xf numFmtId="0" fontId="66" fillId="0" borderId="0" xfId="0" applyNumberFormat="1" applyFont="1" applyFill="1" applyBorder="1" applyAlignment="1">
      <alignment vertical="center"/>
    </xf>
    <xf numFmtId="43" fontId="65" fillId="0" borderId="0" xfId="3" applyNumberFormat="1" applyFont="1" applyFill="1" applyAlignment="1">
      <alignment vertical="center"/>
    </xf>
    <xf numFmtId="0" fontId="66" fillId="0" borderId="0" xfId="0" applyNumberFormat="1" applyFont="1" applyFill="1" applyBorder="1" applyAlignment="1">
      <alignment horizontal="left"/>
    </xf>
    <xf numFmtId="167" fontId="66" fillId="0" borderId="53" xfId="3" applyNumberFormat="1" applyFont="1" applyFill="1" applyBorder="1" applyAlignment="1">
      <alignment vertical="center"/>
    </xf>
    <xf numFmtId="43" fontId="66" fillId="0" borderId="53" xfId="3" applyNumberFormat="1" applyFont="1" applyFill="1" applyBorder="1" applyAlignment="1">
      <alignment vertical="center"/>
    </xf>
    <xf numFmtId="43" fontId="65" fillId="0" borderId="0" xfId="3" applyNumberFormat="1" applyFont="1" applyFill="1" applyBorder="1" applyAlignment="1">
      <alignment vertical="center"/>
    </xf>
    <xf numFmtId="0" fontId="65" fillId="0" borderId="0" xfId="0" applyFont="1" applyFill="1"/>
    <xf numFmtId="0" fontId="23" fillId="0" borderId="0" xfId="0" applyNumberFormat="1" applyFont="1" applyFill="1" applyBorder="1" applyAlignment="1">
      <alignment horizontal="centerContinuous" vertical="center"/>
    </xf>
    <xf numFmtId="167" fontId="23" fillId="0" borderId="0" xfId="3" applyNumberFormat="1" applyFont="1" applyFill="1" applyBorder="1" applyAlignment="1">
      <alignment horizontal="centerContinuous" vertical="center"/>
    </xf>
    <xf numFmtId="43" fontId="23" fillId="0" borderId="0" xfId="3" applyNumberFormat="1" applyFont="1" applyFill="1" applyAlignment="1">
      <alignment horizontal="centerContinuous" vertical="center"/>
    </xf>
    <xf numFmtId="0" fontId="23" fillId="0" borderId="0" xfId="0" applyNumberFormat="1" applyFont="1" applyFill="1" applyBorder="1" applyAlignment="1">
      <alignment horizontal="left" vertical="center"/>
    </xf>
    <xf numFmtId="167" fontId="23" fillId="0" borderId="0" xfId="3" applyNumberFormat="1" applyFont="1" applyFill="1" applyBorder="1" applyAlignment="1">
      <alignment vertical="center"/>
    </xf>
    <xf numFmtId="43" fontId="23" fillId="0" borderId="0" xfId="3" applyNumberFormat="1" applyFont="1" applyFill="1" applyAlignment="1">
      <alignment vertical="center"/>
    </xf>
    <xf numFmtId="0" fontId="66" fillId="0" borderId="0" xfId="0" applyFont="1" applyFill="1" applyBorder="1" applyAlignment="1">
      <alignment vertical="center"/>
    </xf>
    <xf numFmtId="0" fontId="66" fillId="0" borderId="0" xfId="0" applyFont="1" applyFill="1" applyBorder="1" applyAlignment="1">
      <alignment horizontal="center" vertical="center" wrapText="1"/>
    </xf>
    <xf numFmtId="167" fontId="66" fillId="0" borderId="0" xfId="3" applyNumberFormat="1" applyFont="1" applyFill="1" applyBorder="1" applyAlignment="1">
      <alignment vertical="center"/>
    </xf>
    <xf numFmtId="43" fontId="66" fillId="0" borderId="0" xfId="3" applyNumberFormat="1" applyFont="1" applyFill="1" applyBorder="1" applyAlignment="1">
      <alignment vertical="center"/>
    </xf>
    <xf numFmtId="0" fontId="65" fillId="0" borderId="0" xfId="0" applyNumberFormat="1" applyFont="1" applyFill="1" applyBorder="1" applyAlignment="1">
      <alignment horizontal="left"/>
    </xf>
    <xf numFmtId="167" fontId="65" fillId="0" borderId="0" xfId="0" applyNumberFormat="1" applyFont="1" applyFill="1" applyBorder="1" applyAlignment="1">
      <alignment vertical="center"/>
    </xf>
    <xf numFmtId="0" fontId="66" fillId="0" borderId="0" xfId="0" applyFont="1" applyFill="1" applyAlignment="1">
      <alignment vertical="center"/>
    </xf>
    <xf numFmtId="0" fontId="65" fillId="0" borderId="0" xfId="0" applyFont="1" applyFill="1" applyAlignment="1">
      <alignment horizontal="left" vertical="center" indent="1"/>
    </xf>
    <xf numFmtId="0" fontId="65" fillId="0" borderId="0" xfId="0" applyFont="1" applyFill="1" applyAlignment="1">
      <alignment horizontal="left" vertical="center"/>
    </xf>
    <xf numFmtId="0" fontId="66" fillId="0" borderId="0" xfId="0" applyFont="1" applyFill="1" applyAlignment="1">
      <alignment horizontal="left" vertical="center"/>
    </xf>
    <xf numFmtId="167" fontId="65" fillId="0" borderId="7" xfId="3" applyNumberFormat="1" applyFont="1" applyFill="1" applyBorder="1"/>
    <xf numFmtId="0" fontId="66" fillId="0" borderId="0" xfId="0" applyNumberFormat="1" applyFont="1" applyFill="1" applyAlignment="1"/>
    <xf numFmtId="167" fontId="65" fillId="0" borderId="0" xfId="3" applyNumberFormat="1" applyFont="1" applyFill="1" applyBorder="1" applyAlignment="1">
      <alignment vertical="top"/>
    </xf>
    <xf numFmtId="167" fontId="65" fillId="0" borderId="0" xfId="3" applyNumberFormat="1" applyFont="1" applyFill="1" applyBorder="1" applyAlignment="1"/>
    <xf numFmtId="167" fontId="65" fillId="0" borderId="10" xfId="3" applyNumberFormat="1" applyFont="1" applyFill="1" applyBorder="1"/>
    <xf numFmtId="260" fontId="65" fillId="0" borderId="0" xfId="3" applyFont="1" applyFill="1"/>
    <xf numFmtId="260" fontId="65" fillId="0" borderId="0" xfId="3" applyFont="1" applyFill="1" applyBorder="1"/>
    <xf numFmtId="0" fontId="66" fillId="0" borderId="0" xfId="0" applyFont="1" applyFill="1"/>
    <xf numFmtId="167" fontId="65" fillId="0" borderId="0" xfId="0" applyNumberFormat="1" applyFont="1" applyFill="1"/>
    <xf numFmtId="167" fontId="65" fillId="0" borderId="9" xfId="0" applyNumberFormat="1" applyFont="1" applyFill="1" applyBorder="1" applyAlignment="1">
      <alignment vertical="center"/>
    </xf>
    <xf numFmtId="260" fontId="65" fillId="0" borderId="9" xfId="3" applyFont="1" applyFill="1" applyBorder="1" applyAlignment="1">
      <alignment vertical="center"/>
    </xf>
    <xf numFmtId="167" fontId="65" fillId="0" borderId="0" xfId="0" applyNumberFormat="1" applyFont="1" applyFill="1" applyBorder="1" applyAlignment="1">
      <alignment vertical="top"/>
    </xf>
    <xf numFmtId="260" fontId="65" fillId="0" borderId="0" xfId="3" applyFont="1" applyFill="1" applyBorder="1" applyAlignment="1">
      <alignment vertical="top"/>
    </xf>
    <xf numFmtId="0" fontId="65" fillId="0" borderId="0" xfId="0" applyFont="1" applyFill="1" applyBorder="1"/>
    <xf numFmtId="167" fontId="65" fillId="0" borderId="8" xfId="3" applyNumberFormat="1" applyFont="1" applyFill="1" applyBorder="1" applyAlignment="1">
      <alignment vertical="top" wrapText="1"/>
    </xf>
    <xf numFmtId="43" fontId="65" fillId="0" borderId="0" xfId="0" applyNumberFormat="1" applyFont="1" applyFill="1" applyBorder="1" applyAlignment="1"/>
    <xf numFmtId="0" fontId="22" fillId="0" borderId="0" xfId="0" applyNumberFormat="1" applyFont="1" applyFill="1" applyAlignment="1"/>
    <xf numFmtId="167" fontId="57" fillId="0" borderId="9" xfId="3" applyNumberFormat="1" applyFont="1" applyBorder="1"/>
    <xf numFmtId="167" fontId="62" fillId="5" borderId="0" xfId="3" applyNumberFormat="1" applyFont="1" applyFill="1"/>
    <xf numFmtId="0" fontId="23" fillId="9" borderId="0" xfId="0" applyFont="1" applyFill="1" applyAlignment="1">
      <alignment horizontal="justify" vertical="top"/>
    </xf>
    <xf numFmtId="0" fontId="22" fillId="9" borderId="0" xfId="0" applyNumberFormat="1" applyFont="1" applyFill="1" applyAlignment="1">
      <alignment vertical="top"/>
    </xf>
    <xf numFmtId="0" fontId="22" fillId="9" borderId="0" xfId="0" applyFont="1" applyFill="1" applyAlignment="1">
      <alignment vertical="top"/>
    </xf>
    <xf numFmtId="0" fontId="23" fillId="9" borderId="0" xfId="0" applyFont="1" applyFill="1" applyAlignment="1">
      <alignment vertical="top"/>
    </xf>
    <xf numFmtId="0" fontId="23" fillId="9" borderId="0" xfId="0" applyFont="1" applyFill="1" applyAlignment="1">
      <alignment horizontal="justify" vertical="top" wrapText="1"/>
    </xf>
    <xf numFmtId="0" fontId="23" fillId="9" borderId="0" xfId="0" applyNumberFormat="1" applyFont="1" applyFill="1" applyAlignment="1">
      <alignment horizontal="justify" vertical="top" wrapText="1"/>
    </xf>
    <xf numFmtId="0" fontId="23" fillId="9" borderId="0" xfId="0" applyFont="1" applyFill="1" applyAlignment="1">
      <alignment vertical="top"/>
    </xf>
    <xf numFmtId="0" fontId="23" fillId="9" borderId="0" xfId="0" applyFont="1" applyFill="1"/>
    <xf numFmtId="0" fontId="23" fillId="9" borderId="0" xfId="0" applyFont="1" applyFill="1" applyAlignment="1">
      <alignment horizontal="centerContinuous" vertical="top"/>
    </xf>
    <xf numFmtId="0" fontId="23" fillId="9" borderId="0" xfId="0" applyFont="1" applyFill="1" applyBorder="1" applyAlignment="1">
      <alignment vertical="top"/>
    </xf>
    <xf numFmtId="167" fontId="23" fillId="9" borderId="0" xfId="3" applyNumberFormat="1" applyFont="1" applyFill="1" applyAlignment="1">
      <alignment horizontal="center" vertical="top"/>
    </xf>
    <xf numFmtId="0" fontId="23" fillId="9" borderId="0" xfId="0" applyFont="1" applyFill="1" applyAlignment="1">
      <alignment vertical="top" wrapText="1"/>
    </xf>
    <xf numFmtId="0" fontId="22" fillId="9" borderId="0" xfId="0" applyFont="1" applyFill="1" applyAlignment="1">
      <alignment horizontal="left" vertical="top"/>
    </xf>
    <xf numFmtId="0" fontId="23" fillId="9" borderId="0" xfId="0" applyFont="1" applyFill="1" applyAlignment="1">
      <alignment vertical="top"/>
    </xf>
    <xf numFmtId="0" fontId="23" fillId="9" borderId="0" xfId="0" applyFont="1" applyFill="1" applyAlignment="1">
      <alignment vertical="top"/>
    </xf>
    <xf numFmtId="0" fontId="29" fillId="9" borderId="0" xfId="0" applyFont="1" applyFill="1" applyAlignment="1">
      <alignment vertical="top"/>
    </xf>
    <xf numFmtId="0" fontId="29" fillId="9" borderId="0" xfId="0" applyFont="1" applyFill="1" applyAlignment="1">
      <alignment vertical="top"/>
    </xf>
    <xf numFmtId="0" fontId="36" fillId="9" borderId="0" xfId="0" applyFont="1" applyFill="1" applyAlignment="1">
      <alignment horizontal="center" vertical="top"/>
    </xf>
    <xf numFmtId="0" fontId="36" fillId="9" borderId="0" xfId="0" applyNumberFormat="1" applyFont="1" applyFill="1" applyBorder="1" applyAlignment="1">
      <alignment horizontal="center" vertical="top"/>
    </xf>
    <xf numFmtId="0" fontId="36" fillId="9" borderId="1" xfId="0" applyFont="1" applyFill="1" applyBorder="1" applyAlignment="1">
      <alignment horizontal="center" vertical="center" wrapText="1"/>
    </xf>
    <xf numFmtId="0" fontId="29" fillId="9" borderId="0" xfId="0" applyFont="1" applyFill="1" applyBorder="1" applyAlignment="1">
      <alignment vertical="top"/>
    </xf>
    <xf numFmtId="0" fontId="29" fillId="9" borderId="0" xfId="0" applyFont="1" applyFill="1" applyAlignment="1">
      <alignment vertical="top"/>
    </xf>
    <xf numFmtId="0" fontId="29" fillId="9" borderId="0" xfId="0" quotePrefix="1" applyFont="1" applyFill="1" applyAlignment="1">
      <alignment horizontal="center" vertical="top"/>
    </xf>
    <xf numFmtId="0" fontId="29" fillId="9" borderId="0" xfId="0" applyFont="1" applyFill="1" applyAlignment="1">
      <alignment horizontal="centerContinuous" vertical="top"/>
    </xf>
    <xf numFmtId="0" fontId="29" fillId="9" borderId="0" xfId="0" applyFont="1" applyFill="1" applyAlignment="1">
      <alignment horizontal="center" vertical="top"/>
    </xf>
    <xf numFmtId="0" fontId="29" fillId="9" borderId="0" xfId="0" applyNumberFormat="1" applyFont="1" applyFill="1" applyBorder="1" applyAlignment="1">
      <alignment horizontal="left" vertical="top"/>
    </xf>
    <xf numFmtId="0" fontId="29" fillId="9" borderId="0" xfId="0" applyFont="1" applyFill="1" applyBorder="1" applyAlignment="1">
      <alignment horizontal="centerContinuous" vertical="top"/>
    </xf>
    <xf numFmtId="0" fontId="29" fillId="9" borderId="0" xfId="0" quotePrefix="1" applyFont="1" applyFill="1" applyAlignment="1">
      <alignment horizontal="left" vertical="top"/>
    </xf>
    <xf numFmtId="0" fontId="23" fillId="9" borderId="0" xfId="0" applyFont="1" applyFill="1" applyAlignment="1">
      <alignment horizontal="justify" vertical="top" wrapText="1"/>
    </xf>
    <xf numFmtId="49" fontId="28" fillId="9" borderId="0" xfId="0" quotePrefix="1" applyNumberFormat="1" applyFont="1" applyFill="1" applyBorder="1" applyAlignment="1">
      <alignment horizontal="center" vertical="top"/>
    </xf>
    <xf numFmtId="0" fontId="29" fillId="9" borderId="0" xfId="0" applyFont="1" applyFill="1" applyAlignment="1">
      <alignment horizontal="center" vertical="top"/>
    </xf>
    <xf numFmtId="0" fontId="29" fillId="9" borderId="0" xfId="0" applyFont="1" applyFill="1" applyAlignment="1">
      <alignment horizontal="justify" vertical="top" wrapText="1"/>
    </xf>
    <xf numFmtId="10" fontId="29" fillId="9" borderId="0" xfId="4" applyNumberFormat="1" applyFont="1" applyFill="1" applyAlignment="1">
      <alignment horizontal="center" vertical="top"/>
    </xf>
    <xf numFmtId="10" fontId="29" fillId="9" borderId="0" xfId="0" applyNumberFormat="1" applyFont="1" applyFill="1" applyAlignment="1">
      <alignment horizontal="center" vertical="top"/>
    </xf>
    <xf numFmtId="0" fontId="23" fillId="9" borderId="0" xfId="0" applyFont="1" applyFill="1" applyAlignment="1">
      <alignment horizontal="left" vertical="top"/>
    </xf>
    <xf numFmtId="0" fontId="23" fillId="9" borderId="0" xfId="0" applyFont="1" applyFill="1" applyAlignment="1">
      <alignment horizontal="center" vertical="top"/>
    </xf>
    <xf numFmtId="10" fontId="23" fillId="9" borderId="0" xfId="0" applyNumberFormat="1" applyFont="1" applyFill="1" applyBorder="1" applyAlignment="1">
      <alignment horizontal="center" vertical="top"/>
    </xf>
    <xf numFmtId="0" fontId="29" fillId="9" borderId="58" xfId="0" applyFont="1" applyFill="1" applyBorder="1" applyAlignment="1">
      <alignment vertical="top"/>
    </xf>
    <xf numFmtId="0" fontId="36" fillId="9" borderId="58" xfId="0" applyFont="1" applyFill="1" applyBorder="1" applyAlignment="1">
      <alignment horizontal="center" vertical="top" wrapText="1"/>
    </xf>
    <xf numFmtId="0" fontId="36" fillId="9" borderId="58" xfId="0" applyFont="1" applyFill="1" applyBorder="1" applyAlignment="1">
      <alignment vertical="top"/>
    </xf>
    <xf numFmtId="0" fontId="29" fillId="9" borderId="52" xfId="0" applyFont="1" applyFill="1" applyBorder="1" applyAlignment="1">
      <alignment vertical="top"/>
    </xf>
    <xf numFmtId="0" fontId="36" fillId="9" borderId="52" xfId="0" applyFont="1" applyFill="1" applyBorder="1" applyAlignment="1">
      <alignment horizontal="center" vertical="top" wrapText="1"/>
    </xf>
    <xf numFmtId="0" fontId="36" fillId="9" borderId="52" xfId="0" applyFont="1" applyFill="1" applyBorder="1" applyAlignment="1">
      <alignment vertical="top"/>
    </xf>
    <xf numFmtId="0" fontId="36" fillId="9" borderId="0" xfId="0" applyFont="1" applyFill="1" applyBorder="1" applyAlignment="1">
      <alignment horizontal="center" vertical="top" wrapText="1"/>
    </xf>
    <xf numFmtId="0" fontId="36" fillId="9" borderId="0" xfId="0" applyFont="1" applyFill="1" applyBorder="1" applyAlignment="1">
      <alignment horizontal="center" vertical="top"/>
    </xf>
    <xf numFmtId="0" fontId="36" fillId="9" borderId="0" xfId="0" applyFont="1" applyFill="1" applyBorder="1" applyAlignment="1">
      <alignment vertical="top"/>
    </xf>
    <xf numFmtId="0" fontId="29" fillId="9" borderId="0" xfId="0" applyFont="1" applyFill="1" applyBorder="1" applyAlignment="1">
      <alignment vertical="top"/>
    </xf>
    <xf numFmtId="0" fontId="29" fillId="9" borderId="0" xfId="3" applyNumberFormat="1" applyFont="1" applyFill="1" applyBorder="1" applyAlignment="1">
      <alignment horizontal="right" vertical="top"/>
    </xf>
    <xf numFmtId="167" fontId="29" fillId="9" borderId="0" xfId="3" applyNumberFormat="1" applyFont="1" applyFill="1" applyAlignment="1">
      <alignment vertical="top"/>
    </xf>
    <xf numFmtId="260" fontId="29" fillId="9" borderId="0" xfId="3" applyFont="1" applyFill="1" applyBorder="1" applyAlignment="1">
      <alignment vertical="top"/>
    </xf>
    <xf numFmtId="10" fontId="29" fillId="9" borderId="0" xfId="0" applyNumberFormat="1" applyFont="1" applyFill="1" applyBorder="1" applyAlignment="1">
      <alignment horizontal="right" vertical="top" wrapText="1"/>
    </xf>
    <xf numFmtId="167" fontId="29" fillId="9" borderId="9" xfId="0" applyNumberFormat="1" applyFont="1" applyFill="1" applyBorder="1" applyAlignment="1">
      <alignment vertical="top"/>
    </xf>
    <xf numFmtId="10" fontId="29" fillId="9" borderId="9" xfId="4" applyNumberFormat="1" applyFont="1" applyFill="1" applyBorder="1" applyAlignment="1">
      <alignment vertical="top"/>
    </xf>
    <xf numFmtId="167" fontId="29" fillId="9" borderId="0" xfId="0" applyNumberFormat="1" applyFont="1" applyFill="1" applyBorder="1" applyAlignment="1">
      <alignment vertical="top"/>
    </xf>
    <xf numFmtId="10" fontId="29" fillId="9" borderId="0" xfId="4" applyNumberFormat="1" applyFont="1" applyFill="1" applyBorder="1" applyAlignment="1">
      <alignment vertical="top"/>
    </xf>
    <xf numFmtId="0" fontId="22" fillId="9" borderId="0" xfId="0" applyNumberFormat="1" applyFont="1" applyFill="1" applyAlignment="1">
      <alignment vertical="center"/>
    </xf>
    <xf numFmtId="0" fontId="23" fillId="9" borderId="0" xfId="0" applyFont="1" applyFill="1"/>
    <xf numFmtId="0" fontId="48" fillId="9" borderId="4" xfId="0" applyFont="1" applyFill="1" applyBorder="1" applyAlignment="1">
      <alignment horizontal="center" vertical="center"/>
    </xf>
    <xf numFmtId="0" fontId="48" fillId="9" borderId="1" xfId="0" applyFont="1" applyFill="1" applyBorder="1" applyAlignment="1">
      <alignment horizontal="center" vertical="center"/>
    </xf>
    <xf numFmtId="0" fontId="48" fillId="9" borderId="0" xfId="0" applyNumberFormat="1" applyFont="1" applyFill="1" applyAlignment="1">
      <alignment vertical="center"/>
    </xf>
    <xf numFmtId="0" fontId="40" fillId="9" borderId="0" xfId="0" applyFont="1" applyFill="1"/>
    <xf numFmtId="0" fontId="40" fillId="9" borderId="0" xfId="0" applyFont="1" applyFill="1" applyAlignment="1">
      <alignment vertical="top"/>
    </xf>
    <xf numFmtId="179" fontId="29" fillId="9" borderId="0" xfId="3" applyNumberFormat="1" applyFont="1" applyFill="1" applyAlignment="1">
      <alignment horizontal="center" vertical="center"/>
    </xf>
    <xf numFmtId="179" fontId="40" fillId="9" borderId="0" xfId="3" applyNumberFormat="1" applyFont="1" applyFill="1" applyAlignment="1">
      <alignment horizontal="center" vertical="center"/>
    </xf>
    <xf numFmtId="0" fontId="40" fillId="9" borderId="0" xfId="0" applyFont="1" applyFill="1" applyAlignment="1">
      <alignment horizontal="centerContinuous" vertical="center"/>
    </xf>
    <xf numFmtId="0" fontId="40" fillId="9" borderId="0" xfId="0" applyFont="1" applyFill="1" applyAlignment="1">
      <alignment horizontal="centerContinuous"/>
    </xf>
    <xf numFmtId="0" fontId="40" fillId="9" borderId="0" xfId="0" applyFont="1" applyFill="1" applyAlignment="1">
      <alignment vertical="center"/>
    </xf>
    <xf numFmtId="0" fontId="29" fillId="9" borderId="0" xfId="0" applyFont="1" applyFill="1" applyAlignment="1"/>
    <xf numFmtId="0" fontId="40" fillId="9" borderId="0" xfId="0" applyFont="1" applyFill="1" applyAlignment="1">
      <alignment horizontal="centerContinuous" vertical="top"/>
    </xf>
    <xf numFmtId="177" fontId="40" fillId="9" borderId="0" xfId="0" applyNumberFormat="1" applyFont="1" applyFill="1" applyAlignment="1">
      <alignment horizontal="center" vertical="top"/>
    </xf>
    <xf numFmtId="0" fontId="40" fillId="9" borderId="0" xfId="0" applyFont="1" applyFill="1"/>
    <xf numFmtId="0" fontId="39" fillId="9" borderId="0" xfId="0" applyFont="1" applyFill="1" applyAlignment="1"/>
    <xf numFmtId="0" fontId="29" fillId="9" borderId="0" xfId="0" applyFont="1" applyFill="1" applyAlignment="1"/>
    <xf numFmtId="0" fontId="34" fillId="9" borderId="0" xfId="0" applyFont="1" applyFill="1" applyAlignment="1">
      <alignment horizontal="left" vertical="top"/>
    </xf>
    <xf numFmtId="0" fontId="34" fillId="9" borderId="0" xfId="0" applyFont="1" applyFill="1" applyAlignment="1">
      <alignment horizontal="center"/>
    </xf>
    <xf numFmtId="0" fontId="34" fillId="9" borderId="0" xfId="0" applyFont="1" applyFill="1"/>
    <xf numFmtId="0" fontId="34" fillId="9" borderId="0" xfId="0" applyFont="1" applyFill="1" applyAlignment="1">
      <alignment horizontal="center" vertical="center"/>
    </xf>
    <xf numFmtId="0" fontId="22" fillId="9" borderId="0" xfId="0" applyNumberFormat="1" applyFont="1" applyFill="1" applyAlignment="1">
      <alignment vertical="top"/>
    </xf>
    <xf numFmtId="0" fontId="23" fillId="9" borderId="0" xfId="0" applyNumberFormat="1" applyFont="1" applyFill="1" applyAlignment="1">
      <alignment horizontal="justify" vertical="top"/>
    </xf>
    <xf numFmtId="0" fontId="29" fillId="9" borderId="0" xfId="0" applyNumberFormat="1" applyFont="1" applyFill="1" applyAlignment="1">
      <alignment vertical="top"/>
    </xf>
    <xf numFmtId="41" fontId="36" fillId="9" borderId="16" xfId="0" applyNumberFormat="1" applyFont="1" applyFill="1" applyBorder="1" applyAlignment="1">
      <alignment horizontal="center" vertical="center" wrapText="1"/>
    </xf>
    <xf numFmtId="41" fontId="36" fillId="9" borderId="58" xfId="0" applyNumberFormat="1" applyFont="1" applyFill="1" applyBorder="1" applyAlignment="1">
      <alignment horizontal="center" vertical="center" wrapText="1"/>
    </xf>
    <xf numFmtId="41" fontId="36" fillId="9" borderId="0" xfId="0" applyNumberFormat="1" applyFont="1" applyFill="1" applyBorder="1" applyAlignment="1">
      <alignment horizontal="center" vertical="center" wrapText="1"/>
    </xf>
    <xf numFmtId="41" fontId="36" fillId="9" borderId="5" xfId="0" applyNumberFormat="1" applyFont="1" applyFill="1" applyBorder="1" applyAlignment="1">
      <alignment horizontal="center" vertical="center" wrapText="1"/>
    </xf>
    <xf numFmtId="41" fontId="36" fillId="9" borderId="2" xfId="0" applyNumberFormat="1" applyFont="1" applyFill="1" applyBorder="1" applyAlignment="1">
      <alignment horizontal="center" vertical="center" wrapText="1"/>
    </xf>
    <xf numFmtId="41" fontId="36" fillId="9" borderId="52" xfId="0" applyNumberFormat="1" applyFont="1" applyFill="1" applyBorder="1" applyAlignment="1">
      <alignment horizontal="center" vertical="center" wrapText="1"/>
    </xf>
    <xf numFmtId="0" fontId="36" fillId="9" borderId="0" xfId="0" applyNumberFormat="1" applyFont="1" applyFill="1" applyAlignment="1">
      <alignment vertical="top"/>
    </xf>
    <xf numFmtId="0" fontId="36" fillId="9" borderId="0" xfId="0" applyFont="1" applyFill="1" applyAlignment="1">
      <alignment horizontal="center" vertical="top"/>
    </xf>
    <xf numFmtId="0" fontId="29" fillId="9" borderId="0" xfId="0" applyNumberFormat="1" applyFont="1" applyFill="1" applyAlignment="1">
      <alignment horizontal="left" vertical="top"/>
    </xf>
    <xf numFmtId="167" fontId="29" fillId="9" borderId="0" xfId="3" applyNumberFormat="1" applyFont="1" applyFill="1" applyAlignment="1">
      <alignment horizontal="centerContinuous" vertical="top"/>
    </xf>
    <xf numFmtId="167" fontId="29" fillId="9" borderId="0" xfId="0" applyNumberFormat="1" applyFont="1" applyFill="1" applyAlignment="1">
      <alignment horizontal="center" vertical="top"/>
    </xf>
    <xf numFmtId="0" fontId="29" fillId="9" borderId="0" xfId="0" applyNumberFormat="1" applyFont="1" applyFill="1" applyAlignment="1">
      <alignment horizontal="left" vertical="top"/>
    </xf>
    <xf numFmtId="167" fontId="29" fillId="9" borderId="0" xfId="3" applyNumberFormat="1" applyFont="1" applyFill="1" applyAlignment="1">
      <alignment horizontal="center" vertical="top"/>
    </xf>
    <xf numFmtId="167" fontId="29" fillId="9" borderId="2" xfId="0" applyNumberFormat="1" applyFont="1" applyFill="1" applyBorder="1" applyAlignment="1">
      <alignment horizontal="center" vertical="top"/>
    </xf>
    <xf numFmtId="0" fontId="29" fillId="9" borderId="0" xfId="0" applyNumberFormat="1" applyFont="1" applyFill="1" applyAlignment="1">
      <alignment vertical="top"/>
    </xf>
    <xf numFmtId="167" fontId="29" fillId="9" borderId="9" xfId="3" applyNumberFormat="1" applyFont="1" applyFill="1" applyBorder="1" applyAlignment="1">
      <alignment horizontal="center" vertical="top"/>
    </xf>
    <xf numFmtId="167" fontId="29" fillId="9" borderId="9" xfId="0" applyNumberFormat="1" applyFont="1" applyFill="1" applyBorder="1" applyAlignment="1">
      <alignment horizontal="center" vertical="top"/>
    </xf>
    <xf numFmtId="167" fontId="29" fillId="9" borderId="0" xfId="0" applyNumberFormat="1" applyFont="1" applyFill="1" applyBorder="1" applyAlignment="1">
      <alignment horizontal="center" vertical="top"/>
    </xf>
    <xf numFmtId="0" fontId="36" fillId="9" borderId="0" xfId="0" applyNumberFormat="1" applyFont="1" applyFill="1" applyBorder="1" applyAlignment="1">
      <alignment vertical="center"/>
    </xf>
    <xf numFmtId="0" fontId="36" fillId="9" borderId="0" xfId="0" applyNumberFormat="1" applyFont="1" applyFill="1" applyAlignment="1">
      <alignment horizontal="left" vertical="top"/>
    </xf>
    <xf numFmtId="0" fontId="29" fillId="9" borderId="0" xfId="0" applyNumberFormat="1" applyFont="1" applyFill="1" applyAlignment="1">
      <alignment horizontal="left" vertical="top"/>
    </xf>
    <xf numFmtId="0" fontId="29" fillId="9" borderId="0" xfId="0" applyFont="1" applyFill="1" applyAlignment="1">
      <alignment horizontal="left" vertical="top" indent="1"/>
    </xf>
    <xf numFmtId="0" fontId="29" fillId="9" borderId="0" xfId="0" applyFont="1" applyFill="1" applyAlignment="1">
      <alignment horizontal="left" vertical="top"/>
    </xf>
    <xf numFmtId="0" fontId="23" fillId="9" borderId="0" xfId="0" applyFont="1" applyFill="1" applyAlignment="1">
      <alignment vertical="top"/>
    </xf>
    <xf numFmtId="0" fontId="23" fillId="9" borderId="0" xfId="0" applyFont="1" applyFill="1" applyAlignment="1">
      <alignment horizontal="justify" vertical="top"/>
    </xf>
    <xf numFmtId="0" fontId="22" fillId="9" borderId="0" xfId="0" applyNumberFormat="1" applyFont="1" applyFill="1" applyAlignment="1">
      <alignment horizontal="left" vertical="top"/>
    </xf>
    <xf numFmtId="0" fontId="22" fillId="9" borderId="0" xfId="0" applyFont="1" applyFill="1" applyAlignment="1">
      <alignment horizontal="left" vertical="top"/>
    </xf>
    <xf numFmtId="0" fontId="23" fillId="9" borderId="0" xfId="0" applyNumberFormat="1" applyFont="1" applyFill="1" applyAlignment="1">
      <alignment horizontal="justify" vertical="top"/>
    </xf>
    <xf numFmtId="0" fontId="40" fillId="9" borderId="0" xfId="0" applyFont="1" applyFill="1" applyAlignment="1">
      <alignment horizontal="justify" vertical="top"/>
    </xf>
    <xf numFmtId="0" fontId="40" fillId="9" borderId="0" xfId="0" applyFont="1" applyFill="1" applyAlignment="1">
      <alignment horizontal="center"/>
    </xf>
    <xf numFmtId="0" fontId="48" fillId="9" borderId="0" xfId="0" applyFont="1" applyFill="1"/>
    <xf numFmtId="167" fontId="48" fillId="9" borderId="0" xfId="3" quotePrefix="1" applyNumberFormat="1" applyFont="1" applyFill="1" applyAlignment="1">
      <alignment horizontal="center" vertical="center"/>
    </xf>
    <xf numFmtId="167" fontId="48" fillId="9" borderId="0" xfId="3" quotePrefix="1" applyNumberFormat="1" applyFont="1" applyFill="1" applyAlignment="1">
      <alignment horizontal="center"/>
    </xf>
    <xf numFmtId="167" fontId="48" fillId="9" borderId="0" xfId="3" applyNumberFormat="1" applyFont="1" applyFill="1"/>
    <xf numFmtId="167" fontId="40" fillId="9" borderId="41" xfId="3" applyNumberFormat="1" applyFont="1" applyFill="1" applyBorder="1"/>
    <xf numFmtId="167" fontId="40" fillId="9" borderId="16" xfId="3" applyNumberFormat="1" applyFont="1" applyFill="1" applyBorder="1"/>
    <xf numFmtId="167" fontId="40" fillId="9" borderId="58" xfId="3" applyNumberFormat="1" applyFont="1" applyFill="1" applyBorder="1"/>
    <xf numFmtId="0" fontId="40" fillId="9" borderId="0" xfId="0" applyFont="1" applyFill="1" applyAlignment="1">
      <alignment horizontal="left"/>
    </xf>
    <xf numFmtId="167" fontId="40" fillId="9" borderId="51" xfId="3" applyNumberFormat="1" applyFont="1" applyFill="1" applyBorder="1"/>
    <xf numFmtId="167" fontId="40" fillId="9" borderId="0" xfId="3" applyNumberFormat="1" applyFont="1" applyFill="1" applyBorder="1"/>
    <xf numFmtId="167" fontId="40" fillId="9" borderId="5" xfId="3" applyNumberFormat="1" applyFont="1" applyFill="1" applyBorder="1"/>
    <xf numFmtId="167" fontId="40" fillId="9" borderId="42" xfId="3" applyNumberFormat="1" applyFont="1" applyFill="1" applyBorder="1"/>
    <xf numFmtId="167" fontId="40" fillId="9" borderId="2" xfId="3" applyNumberFormat="1" applyFont="1" applyFill="1" applyBorder="1"/>
    <xf numFmtId="167" fontId="40" fillId="9" borderId="52" xfId="3" applyNumberFormat="1" applyFont="1" applyFill="1" applyBorder="1"/>
    <xf numFmtId="167" fontId="40" fillId="9" borderId="16" xfId="0" applyNumberFormat="1" applyFont="1" applyFill="1" applyBorder="1"/>
    <xf numFmtId="167" fontId="40" fillId="9" borderId="0" xfId="0" applyNumberFormat="1" applyFont="1" applyFill="1" applyBorder="1"/>
    <xf numFmtId="0" fontId="40" fillId="9" borderId="0" xfId="0" applyFont="1" applyFill="1" applyBorder="1"/>
    <xf numFmtId="0" fontId="40" fillId="9" borderId="0" xfId="0" applyFont="1" applyFill="1" applyAlignment="1"/>
    <xf numFmtId="0" fontId="40" fillId="9" borderId="0" xfId="0" applyFont="1" applyFill="1" applyAlignment="1">
      <alignment horizontal="left" indent="1"/>
    </xf>
    <xf numFmtId="0" fontId="40" fillId="9" borderId="51" xfId="0" applyFont="1" applyFill="1" applyBorder="1"/>
    <xf numFmtId="0" fontId="40" fillId="9" borderId="5" xfId="0" applyFont="1" applyFill="1" applyBorder="1"/>
    <xf numFmtId="167" fontId="40" fillId="9" borderId="9" xfId="0" applyNumberFormat="1" applyFont="1" applyFill="1" applyBorder="1"/>
    <xf numFmtId="0" fontId="40" fillId="9" borderId="0" xfId="0" applyNumberFormat="1" applyFont="1" applyFill="1" applyAlignment="1">
      <alignment vertical="top" wrapText="1"/>
    </xf>
    <xf numFmtId="167" fontId="40" fillId="9" borderId="4" xfId="0" applyNumberFormat="1" applyFont="1" applyFill="1" applyBorder="1"/>
    <xf numFmtId="167" fontId="40" fillId="9" borderId="8" xfId="0" applyNumberFormat="1" applyFont="1" applyFill="1" applyBorder="1"/>
    <xf numFmtId="0" fontId="36" fillId="9" borderId="0" xfId="0" applyFont="1" applyFill="1"/>
    <xf numFmtId="167" fontId="29" fillId="9" borderId="0" xfId="0" applyNumberFormat="1" applyFont="1" applyFill="1" applyBorder="1"/>
    <xf numFmtId="167" fontId="29" fillId="9" borderId="8" xfId="0" applyNumberFormat="1" applyFont="1" applyFill="1" applyBorder="1"/>
    <xf numFmtId="0" fontId="23" fillId="9" borderId="0" xfId="0" applyFont="1" applyFill="1" applyAlignment="1">
      <alignment horizontal="left" vertical="top"/>
    </xf>
    <xf numFmtId="0" fontId="36" fillId="9" borderId="0" xfId="0" applyFont="1" applyFill="1" applyBorder="1" applyAlignment="1">
      <alignment horizontal="left" vertical="top"/>
    </xf>
    <xf numFmtId="0" fontId="36" fillId="9" borderId="0" xfId="0" applyFont="1" applyFill="1" applyBorder="1" applyAlignment="1">
      <alignment vertical="center" wrapText="1"/>
    </xf>
    <xf numFmtId="0" fontId="60" fillId="9" borderId="0" xfId="0" applyFont="1" applyFill="1" applyBorder="1" applyAlignment="1" applyProtection="1">
      <alignment horizontal="center"/>
    </xf>
    <xf numFmtId="0" fontId="60" fillId="9" borderId="0" xfId="0" applyFont="1" applyFill="1" applyBorder="1" applyAlignment="1" applyProtection="1">
      <alignment vertical="center"/>
    </xf>
    <xf numFmtId="0" fontId="60" fillId="9" borderId="0" xfId="0" applyFont="1" applyFill="1" applyBorder="1" applyAlignment="1" applyProtection="1">
      <alignment horizontal="center" vertical="center"/>
    </xf>
    <xf numFmtId="10" fontId="29" fillId="9" borderId="0" xfId="4" applyNumberFormat="1" applyFont="1" applyFill="1" applyBorder="1" applyAlignment="1">
      <alignment horizontal="center"/>
    </xf>
    <xf numFmtId="10" fontId="29" fillId="9" borderId="0" xfId="4" applyNumberFormat="1" applyFont="1" applyFill="1" applyBorder="1" applyAlignment="1">
      <alignment horizontal="center" vertical="top"/>
    </xf>
    <xf numFmtId="0" fontId="60" fillId="9" borderId="0" xfId="0" applyFont="1" applyFill="1" applyBorder="1" applyProtection="1"/>
    <xf numFmtId="10" fontId="29" fillId="9" borderId="0" xfId="0" applyNumberFormat="1" applyFont="1" applyFill="1" applyBorder="1" applyAlignment="1">
      <alignment horizontal="center" vertical="top"/>
    </xf>
    <xf numFmtId="0" fontId="23" fillId="9" borderId="0" xfId="0" applyFont="1" applyFill="1" applyAlignment="1">
      <alignment horizontal="center" vertical="top"/>
    </xf>
    <xf numFmtId="167" fontId="23" fillId="9" borderId="0" xfId="3" applyNumberFormat="1" applyFont="1" applyFill="1" applyBorder="1" applyAlignment="1">
      <alignment horizontal="center" vertical="top"/>
    </xf>
    <xf numFmtId="0" fontId="23" fillId="9" borderId="0" xfId="0" applyFont="1" applyFill="1" applyAlignment="1">
      <alignment horizontal="justify"/>
    </xf>
    <xf numFmtId="0" fontId="22" fillId="9" borderId="0" xfId="0" applyFont="1" applyFill="1" applyAlignment="1">
      <alignment horizontal="left"/>
    </xf>
    <xf numFmtId="0" fontId="23" fillId="9" borderId="0" xfId="0" applyFont="1" applyFill="1" applyBorder="1" applyAlignment="1">
      <alignment horizontal="justify" vertical="top" wrapText="1"/>
    </xf>
    <xf numFmtId="167" fontId="29" fillId="9" borderId="0" xfId="0" applyNumberFormat="1" applyFont="1" applyFill="1"/>
    <xf numFmtId="167" fontId="29" fillId="9" borderId="0" xfId="3" applyNumberFormat="1" applyFont="1" applyFill="1"/>
    <xf numFmtId="167" fontId="29" fillId="9" borderId="0" xfId="3" applyNumberFormat="1" applyFont="1" applyFill="1" applyBorder="1"/>
    <xf numFmtId="0" fontId="29" fillId="9" borderId="0" xfId="0" applyFont="1" applyFill="1" applyAlignment="1">
      <alignment horizontal="left" indent="1"/>
    </xf>
    <xf numFmtId="0" fontId="29" fillId="9" borderId="0" xfId="0" applyFont="1" applyFill="1"/>
    <xf numFmtId="167" fontId="29" fillId="9" borderId="0" xfId="3" applyNumberFormat="1" applyFont="1" applyFill="1" applyBorder="1" applyAlignment="1">
      <alignment vertical="top"/>
    </xf>
    <xf numFmtId="167" fontId="29" fillId="9" borderId="9" xfId="0" applyNumberFormat="1" applyFont="1" applyFill="1" applyBorder="1"/>
    <xf numFmtId="0" fontId="23" fillId="9" borderId="0" xfId="0" applyFont="1" applyFill="1" applyBorder="1" applyAlignment="1">
      <alignment horizontal="justify" vertical="top"/>
    </xf>
    <xf numFmtId="0" fontId="23" fillId="9" borderId="0" xfId="0" applyNumberFormat="1" applyFont="1" applyFill="1" applyAlignment="1">
      <alignment horizontal="justify" vertical="top"/>
    </xf>
    <xf numFmtId="0" fontId="23" fillId="9" borderId="0" xfId="0" applyFont="1" applyFill="1" applyBorder="1" applyAlignment="1">
      <alignment vertical="top" wrapText="1"/>
    </xf>
    <xf numFmtId="0" fontId="23" fillId="9" borderId="0" xfId="0" quotePrefix="1" applyFont="1" applyFill="1" applyAlignment="1">
      <alignment horizontal="justify" vertical="top"/>
    </xf>
    <xf numFmtId="167" fontId="23" fillId="9" borderId="0" xfId="0" applyNumberFormat="1" applyFont="1" applyFill="1" applyBorder="1"/>
    <xf numFmtId="167" fontId="23" fillId="9" borderId="0" xfId="3" applyNumberFormat="1" applyFont="1" applyFill="1" applyBorder="1"/>
    <xf numFmtId="0" fontId="29" fillId="9" borderId="0" xfId="0" applyFont="1" applyFill="1" applyAlignment="1">
      <alignment vertical="top" wrapText="1"/>
    </xf>
    <xf numFmtId="0" fontId="36" fillId="9" borderId="0" xfId="0" applyNumberFormat="1" applyFont="1" applyFill="1" applyAlignment="1">
      <alignment vertical="top"/>
    </xf>
    <xf numFmtId="0" fontId="29" fillId="9" borderId="0" xfId="0" applyFont="1" applyFill="1" applyAlignment="1">
      <alignment horizontal="justify" vertical="top" wrapText="1"/>
    </xf>
    <xf numFmtId="0" fontId="36" fillId="9" borderId="1" xfId="0" applyFont="1" applyFill="1" applyBorder="1" applyAlignment="1">
      <alignment horizontal="center" vertical="center"/>
    </xf>
    <xf numFmtId="0" fontId="29" fillId="9" borderId="0" xfId="0" applyNumberFormat="1" applyFont="1" applyFill="1" applyAlignment="1">
      <alignment vertical="top"/>
    </xf>
    <xf numFmtId="0" fontId="36" fillId="9" borderId="0" xfId="0" quotePrefix="1" applyFont="1" applyFill="1" applyAlignment="1">
      <alignment horizontal="center" vertical="top"/>
    </xf>
    <xf numFmtId="0" fontId="29" fillId="9" borderId="0" xfId="0" applyNumberFormat="1" applyFont="1" applyFill="1" applyAlignment="1">
      <alignment horizontal="left" vertical="top" indent="1"/>
    </xf>
    <xf numFmtId="167" fontId="29" fillId="9" borderId="0" xfId="3" applyNumberFormat="1" applyFont="1" applyFill="1" applyBorder="1" applyAlignment="1">
      <alignment horizontal="center" vertical="center"/>
    </xf>
    <xf numFmtId="0" fontId="22" fillId="9" borderId="0" xfId="0" applyFont="1" applyFill="1" applyAlignment="1">
      <alignment vertical="top"/>
    </xf>
    <xf numFmtId="0" fontId="23" fillId="9" borderId="0" xfId="0" applyFont="1" applyFill="1" applyAlignment="1">
      <alignment vertical="top"/>
    </xf>
    <xf numFmtId="0" fontId="22" fillId="0" borderId="0" xfId="0" applyFont="1" applyFill="1"/>
    <xf numFmtId="37" fontId="23" fillId="0" borderId="0" xfId="0" applyNumberFormat="1" applyFont="1" applyFill="1" applyBorder="1" applyAlignment="1" applyProtection="1">
      <alignment horizontal="justify" vertical="top"/>
    </xf>
    <xf numFmtId="0" fontId="23" fillId="0" borderId="0" xfId="3" applyNumberFormat="1" applyFont="1" applyFill="1" applyBorder="1" applyAlignment="1">
      <alignment horizontal="center" wrapText="1"/>
    </xf>
    <xf numFmtId="37" fontId="23" fillId="0" borderId="0" xfId="0" applyNumberFormat="1" applyFont="1" applyFill="1" applyBorder="1" applyAlignment="1" applyProtection="1">
      <alignment horizontal="left" vertical="top" wrapText="1"/>
    </xf>
    <xf numFmtId="0" fontId="23" fillId="0" borderId="0" xfId="0" applyFont="1" applyFill="1" applyAlignment="1">
      <alignment horizontal="justify" vertical="top"/>
    </xf>
    <xf numFmtId="0" fontId="23" fillId="0" borderId="0" xfId="0" applyFont="1" applyFill="1" applyAlignment="1">
      <alignment horizontal="justify" vertical="top"/>
    </xf>
    <xf numFmtId="0" fontId="23" fillId="0" borderId="0" xfId="0" applyFont="1" applyFill="1" applyBorder="1" applyAlignment="1"/>
    <xf numFmtId="0" fontId="22" fillId="0" borderId="0" xfId="0" applyNumberFormat="1" applyFont="1" applyFill="1" applyAlignment="1">
      <alignment horizontal="justify" vertical="justify" wrapText="1"/>
    </xf>
    <xf numFmtId="180" fontId="23" fillId="0" borderId="0" xfId="0" applyNumberFormat="1" applyFont="1" applyFill="1" applyAlignment="1">
      <alignment horizontal="justify" vertical="justify" wrapText="1"/>
    </xf>
    <xf numFmtId="0" fontId="62" fillId="5" borderId="0" xfId="0" applyFont="1" applyFill="1"/>
    <xf numFmtId="0" fontId="62" fillId="0" borderId="0" xfId="0" applyFont="1" applyFill="1" applyBorder="1" applyAlignment="1"/>
    <xf numFmtId="167" fontId="62" fillId="0" borderId="0" xfId="0" applyNumberFormat="1" applyFont="1" applyFill="1" applyBorder="1" applyAlignment="1"/>
    <xf numFmtId="0" fontId="63" fillId="0" borderId="0" xfId="0" applyFont="1" applyFill="1" applyBorder="1" applyAlignment="1">
      <alignment vertical="top"/>
    </xf>
    <xf numFmtId="0" fontId="62" fillId="0" borderId="0" xfId="0" applyFont="1" applyFill="1" applyAlignment="1">
      <alignment vertical="top"/>
    </xf>
    <xf numFmtId="41" fontId="62" fillId="0" borderId="0" xfId="3" applyNumberFormat="1" applyFont="1" applyFill="1" applyBorder="1" applyAlignment="1">
      <alignment vertical="top"/>
    </xf>
    <xf numFmtId="260" fontId="62" fillId="0" borderId="0" xfId="3" applyFont="1" applyFill="1" applyBorder="1" applyAlignment="1">
      <alignment vertical="top"/>
    </xf>
    <xf numFmtId="0" fontId="62" fillId="0" borderId="0" xfId="0" applyFont="1" applyFill="1" applyBorder="1" applyAlignment="1">
      <alignment vertical="top"/>
    </xf>
    <xf numFmtId="0" fontId="62" fillId="0" borderId="0" xfId="0" applyNumberFormat="1" applyFont="1" applyFill="1" applyBorder="1" applyAlignment="1">
      <alignment horizontal="centerContinuous" vertical="center"/>
    </xf>
    <xf numFmtId="167" fontId="62" fillId="0" borderId="0" xfId="3" applyNumberFormat="1" applyFont="1" applyFill="1" applyBorder="1" applyAlignment="1">
      <alignment horizontal="centerContinuous" vertical="center"/>
    </xf>
    <xf numFmtId="43" fontId="62" fillId="0" borderId="0" xfId="3" applyNumberFormat="1" applyFont="1" applyFill="1" applyAlignment="1">
      <alignment horizontal="centerContinuous" vertical="center"/>
    </xf>
    <xf numFmtId="167" fontId="62" fillId="5" borderId="0" xfId="3" applyNumberFormat="1" applyFont="1" applyFill="1" applyAlignment="1">
      <alignment vertical="top"/>
    </xf>
    <xf numFmtId="167" fontId="69" fillId="5" borderId="0" xfId="3" applyNumberFormat="1" applyFont="1" applyFill="1"/>
    <xf numFmtId="0" fontId="62" fillId="0" borderId="0" xfId="0" applyNumberFormat="1" applyFont="1" applyFill="1" applyBorder="1" applyAlignment="1">
      <alignment horizontal="left" vertical="center"/>
    </xf>
    <xf numFmtId="167" fontId="62" fillId="0" borderId="0" xfId="3" applyNumberFormat="1" applyFont="1" applyFill="1" applyBorder="1" applyAlignment="1">
      <alignment vertical="center"/>
    </xf>
    <xf numFmtId="43" fontId="62" fillId="0" borderId="0" xfId="3" applyNumberFormat="1" applyFont="1" applyFill="1" applyAlignment="1">
      <alignment vertical="center"/>
    </xf>
    <xf numFmtId="3" fontId="70" fillId="0" borderId="0" xfId="0" applyNumberFormat="1" applyFont="1"/>
    <xf numFmtId="0" fontId="63" fillId="0" borderId="0" xfId="0" applyFont="1" applyFill="1" applyAlignment="1">
      <alignment horizontal="centerContinuous" vertical="top"/>
    </xf>
    <xf numFmtId="0" fontId="62" fillId="0" borderId="0" xfId="0" applyFont="1" applyFill="1" applyAlignment="1">
      <alignment horizontal="centerContinuous" vertical="top"/>
    </xf>
    <xf numFmtId="0" fontId="71" fillId="0" borderId="0" xfId="0" applyFont="1" applyFill="1" applyAlignment="1">
      <alignment horizontal="centerContinuous" vertical="top"/>
    </xf>
    <xf numFmtId="49" fontId="62" fillId="0" borderId="0" xfId="0" applyNumberFormat="1" applyFont="1" applyFill="1" applyAlignment="1">
      <alignment horizontal="centerContinuous" vertical="top"/>
    </xf>
    <xf numFmtId="0" fontId="72" fillId="0" borderId="0" xfId="0" applyFont="1" applyFill="1" applyBorder="1" applyAlignment="1">
      <alignment vertical="top"/>
    </xf>
    <xf numFmtId="0" fontId="62" fillId="0" borderId="0" xfId="0" applyFont="1" applyFill="1" applyAlignment="1">
      <alignment vertical="top"/>
    </xf>
    <xf numFmtId="0" fontId="62" fillId="5" borderId="0" xfId="0" applyFont="1" applyFill="1" applyAlignment="1">
      <alignment vertical="top"/>
    </xf>
    <xf numFmtId="0" fontId="63" fillId="5" borderId="0" xfId="0" applyFont="1" applyFill="1" applyAlignment="1">
      <alignment vertical="top"/>
    </xf>
    <xf numFmtId="0" fontId="62" fillId="0" borderId="0" xfId="0" applyFont="1" applyFill="1" applyBorder="1" applyAlignment="1">
      <alignment horizontal="center" vertical="center" wrapText="1"/>
    </xf>
    <xf numFmtId="0" fontId="63" fillId="0" borderId="16" xfId="0" applyFont="1" applyFill="1" applyBorder="1" applyAlignment="1">
      <alignment vertical="center"/>
    </xf>
    <xf numFmtId="0" fontId="63" fillId="0" borderId="16" xfId="0" applyFont="1" applyFill="1" applyBorder="1" applyAlignment="1">
      <alignment horizontal="center" vertical="center" wrapText="1"/>
    </xf>
    <xf numFmtId="0" fontId="63" fillId="0" borderId="0" xfId="0" applyNumberFormat="1" applyFont="1" applyFill="1" applyBorder="1" applyAlignment="1">
      <alignment horizontal="left" vertical="center"/>
    </xf>
    <xf numFmtId="167" fontId="62" fillId="0" borderId="0" xfId="3" applyNumberFormat="1" applyFont="1" applyFill="1" applyAlignment="1">
      <alignment vertical="center" wrapText="1"/>
    </xf>
    <xf numFmtId="260" fontId="62" fillId="0" borderId="0" xfId="3" applyFont="1" applyFill="1" applyAlignment="1">
      <alignment vertical="center"/>
    </xf>
    <xf numFmtId="167" fontId="62" fillId="0" borderId="0" xfId="0" applyNumberFormat="1" applyFont="1" applyFill="1" applyBorder="1" applyAlignment="1">
      <alignment horizontal="left" vertical="center"/>
    </xf>
    <xf numFmtId="167" fontId="62" fillId="0" borderId="6" xfId="3" applyNumberFormat="1" applyFont="1" applyFill="1" applyBorder="1" applyAlignment="1">
      <alignment vertical="center"/>
    </xf>
    <xf numFmtId="260" fontId="62" fillId="0" borderId="41" xfId="3" applyFont="1" applyFill="1" applyBorder="1" applyAlignment="1">
      <alignment vertical="center"/>
    </xf>
    <xf numFmtId="260" fontId="62" fillId="0" borderId="6" xfId="3" applyFont="1" applyFill="1" applyBorder="1" applyAlignment="1">
      <alignment vertical="center"/>
    </xf>
    <xf numFmtId="2" fontId="62" fillId="0" borderId="51" xfId="3" applyNumberFormat="1" applyFont="1" applyFill="1" applyBorder="1" applyAlignment="1">
      <alignment vertical="center"/>
    </xf>
    <xf numFmtId="167" fontId="62" fillId="7" borderId="0" xfId="0" applyNumberFormat="1" applyFont="1" applyFill="1"/>
    <xf numFmtId="167" fontId="62" fillId="0" borderId="7" xfId="3" applyNumberFormat="1" applyFont="1" applyFill="1" applyBorder="1" applyAlignment="1">
      <alignment vertical="center"/>
    </xf>
    <xf numFmtId="260" fontId="62" fillId="0" borderId="51" xfId="3" applyFont="1" applyFill="1" applyBorder="1" applyAlignment="1">
      <alignment vertical="center"/>
    </xf>
    <xf numFmtId="260" fontId="62" fillId="0" borderId="7" xfId="3" applyFont="1" applyFill="1" applyBorder="1" applyAlignment="1">
      <alignment vertical="center"/>
    </xf>
    <xf numFmtId="0" fontId="62" fillId="0" borderId="0" xfId="0" applyNumberFormat="1" applyFont="1" applyFill="1" applyAlignment="1">
      <alignment vertical="center"/>
    </xf>
    <xf numFmtId="167" fontId="62" fillId="0" borderId="0" xfId="3" applyNumberFormat="1" applyFont="1" applyFill="1" applyAlignment="1">
      <alignment vertical="center"/>
    </xf>
    <xf numFmtId="0" fontId="62" fillId="0" borderId="0" xfId="0" applyNumberFormat="1" applyFont="1" applyFill="1" applyAlignment="1"/>
    <xf numFmtId="0" fontId="62" fillId="0" borderId="0" xfId="0" applyNumberFormat="1" applyFont="1" applyFill="1" applyAlignment="1">
      <alignment horizontal="left" vertical="center" indent="1"/>
    </xf>
    <xf numFmtId="167" fontId="62" fillId="0" borderId="0" xfId="0" applyNumberFormat="1" applyFont="1"/>
    <xf numFmtId="167" fontId="62" fillId="0" borderId="10" xfId="3" applyNumberFormat="1" applyFont="1" applyFill="1" applyBorder="1" applyAlignment="1">
      <alignment vertical="center"/>
    </xf>
    <xf numFmtId="260" fontId="62" fillId="0" borderId="42" xfId="3" applyFont="1" applyFill="1" applyBorder="1" applyAlignment="1">
      <alignment vertical="center"/>
    </xf>
    <xf numFmtId="260" fontId="62" fillId="0" borderId="10" xfId="3" applyFont="1" applyFill="1" applyBorder="1" applyAlignment="1">
      <alignment vertical="center"/>
    </xf>
    <xf numFmtId="260" fontId="62" fillId="0" borderId="0" xfId="3" applyFont="1" applyFill="1" applyBorder="1" applyAlignment="1">
      <alignment vertical="center"/>
    </xf>
    <xf numFmtId="167" fontId="62" fillId="0" borderId="0" xfId="0" applyNumberFormat="1" applyFont="1" applyFill="1" applyAlignment="1">
      <alignment vertical="center"/>
    </xf>
    <xf numFmtId="0" fontId="63" fillId="0" borderId="0" xfId="0" applyNumberFormat="1" applyFont="1" applyFill="1" applyAlignment="1">
      <alignment vertical="center"/>
    </xf>
    <xf numFmtId="0" fontId="62" fillId="0" borderId="0" xfId="0" applyNumberFormat="1" applyFont="1" applyFill="1" applyBorder="1" applyAlignment="1">
      <alignment vertical="center"/>
    </xf>
    <xf numFmtId="0" fontId="63" fillId="0" borderId="0" xfId="0" applyNumberFormat="1" applyFont="1" applyFill="1" applyBorder="1" applyAlignment="1">
      <alignment vertical="center"/>
    </xf>
    <xf numFmtId="43" fontId="62" fillId="5" borderId="0" xfId="3" applyNumberFormat="1" applyFont="1" applyFill="1" applyAlignment="1">
      <alignment vertical="top"/>
    </xf>
    <xf numFmtId="0" fontId="63" fillId="0" borderId="0" xfId="0" applyNumberFormat="1" applyFont="1" applyFill="1" applyBorder="1" applyAlignment="1">
      <alignment horizontal="left"/>
    </xf>
    <xf numFmtId="167" fontId="63" fillId="0" borderId="53" xfId="3" applyNumberFormat="1" applyFont="1" applyFill="1" applyBorder="1" applyAlignment="1">
      <alignment vertical="center"/>
    </xf>
    <xf numFmtId="43" fontId="63" fillId="0" borderId="53" xfId="3" applyNumberFormat="1" applyFont="1" applyFill="1" applyBorder="1" applyAlignment="1">
      <alignment vertical="center"/>
    </xf>
    <xf numFmtId="43" fontId="62" fillId="0" borderId="0" xfId="3" applyNumberFormat="1" applyFont="1" applyFill="1" applyBorder="1" applyAlignment="1">
      <alignment vertical="center"/>
    </xf>
    <xf numFmtId="0" fontId="62" fillId="0" borderId="0" xfId="0" applyFont="1" applyFill="1"/>
    <xf numFmtId="167" fontId="62" fillId="5" borderId="0" xfId="0" applyNumberFormat="1" applyFont="1" applyFill="1"/>
    <xf numFmtId="0" fontId="63" fillId="0" borderId="0" xfId="0" applyFont="1" applyFill="1" applyBorder="1" applyAlignment="1">
      <alignment vertical="center"/>
    </xf>
    <xf numFmtId="0" fontId="63" fillId="0" borderId="0" xfId="0" applyFont="1" applyFill="1" applyBorder="1" applyAlignment="1">
      <alignment horizontal="center" vertical="center" wrapText="1"/>
    </xf>
    <xf numFmtId="0" fontId="62" fillId="0" borderId="0" xfId="0" quotePrefix="1" applyFont="1" applyFill="1" applyBorder="1" applyAlignment="1">
      <alignment horizontal="center" vertical="center"/>
    </xf>
    <xf numFmtId="0" fontId="62" fillId="0" borderId="0" xfId="0" applyFont="1" applyFill="1" applyAlignment="1">
      <alignment horizontal="center" vertical="center"/>
    </xf>
    <xf numFmtId="167" fontId="63" fillId="0" borderId="0" xfId="3" applyNumberFormat="1" applyFont="1" applyFill="1" applyBorder="1" applyAlignment="1">
      <alignment vertical="center"/>
    </xf>
    <xf numFmtId="43" fontId="63" fillId="0" borderId="0" xfId="3" applyNumberFormat="1" applyFont="1" applyFill="1" applyBorder="1" applyAlignment="1">
      <alignment vertical="center"/>
    </xf>
    <xf numFmtId="0" fontId="62" fillId="0" borderId="0" xfId="0" applyNumberFormat="1" applyFont="1" applyFill="1" applyBorder="1" applyAlignment="1">
      <alignment horizontal="left"/>
    </xf>
    <xf numFmtId="0" fontId="62" fillId="5" borderId="0" xfId="0" applyFont="1" applyFill="1" applyBorder="1"/>
    <xf numFmtId="167" fontId="62" fillId="5" borderId="0" xfId="3" applyNumberFormat="1" applyFont="1" applyFill="1" applyBorder="1" applyAlignment="1">
      <alignment vertical="top"/>
    </xf>
    <xf numFmtId="167" fontId="62" fillId="0" borderId="0" xfId="0" applyNumberFormat="1" applyFont="1" applyFill="1" applyBorder="1" applyAlignment="1">
      <alignment vertical="center"/>
    </xf>
    <xf numFmtId="0" fontId="63" fillId="0" borderId="0" xfId="0" applyFont="1" applyFill="1" applyAlignment="1">
      <alignment vertical="center"/>
    </xf>
    <xf numFmtId="0" fontId="62" fillId="0" borderId="0" xfId="0" applyFont="1" applyFill="1" applyAlignment="1">
      <alignment horizontal="left" vertical="center" indent="1"/>
    </xf>
    <xf numFmtId="0" fontId="62" fillId="0" borderId="0" xfId="0" applyFont="1" applyFill="1" applyAlignment="1">
      <alignment horizontal="left" vertical="center"/>
    </xf>
    <xf numFmtId="0" fontId="63" fillId="0" borderId="0" xfId="0" applyFont="1" applyFill="1" applyAlignment="1">
      <alignment horizontal="left" vertical="center"/>
    </xf>
    <xf numFmtId="167" fontId="62" fillId="0" borderId="7" xfId="3" applyNumberFormat="1" applyFont="1" applyFill="1" applyBorder="1"/>
    <xf numFmtId="0" fontId="63" fillId="0" borderId="0" xfId="0" applyNumberFormat="1" applyFont="1" applyFill="1" applyAlignment="1"/>
    <xf numFmtId="167" fontId="62" fillId="0" borderId="0" xfId="3" applyNumberFormat="1" applyFont="1" applyFill="1" applyBorder="1" applyAlignment="1">
      <alignment vertical="top"/>
    </xf>
    <xf numFmtId="167" fontId="62" fillId="0" borderId="0" xfId="3" applyNumberFormat="1" applyFont="1" applyFill="1" applyBorder="1" applyAlignment="1"/>
    <xf numFmtId="167" fontId="62" fillId="0" borderId="10" xfId="3" applyNumberFormat="1" applyFont="1" applyFill="1" applyBorder="1"/>
    <xf numFmtId="260" fontId="62" fillId="0" borderId="0" xfId="3" applyFont="1" applyFill="1" applyBorder="1"/>
    <xf numFmtId="0" fontId="63" fillId="0" borderId="0" xfId="0" applyFont="1" applyFill="1"/>
    <xf numFmtId="167" fontId="62" fillId="0" borderId="0" xfId="0" applyNumberFormat="1" applyFont="1" applyFill="1"/>
    <xf numFmtId="167" fontId="62" fillId="0" borderId="9" xfId="0" applyNumberFormat="1" applyFont="1" applyFill="1" applyBorder="1" applyAlignment="1">
      <alignment vertical="center"/>
    </xf>
    <xf numFmtId="260" fontId="62" fillId="0" borderId="9" xfId="3" applyFont="1" applyFill="1" applyBorder="1" applyAlignment="1">
      <alignment vertical="center"/>
    </xf>
    <xf numFmtId="167" fontId="62" fillId="0" borderId="0" xfId="0" applyNumberFormat="1" applyFont="1" applyFill="1" applyBorder="1" applyAlignment="1">
      <alignment vertical="top"/>
    </xf>
    <xf numFmtId="0" fontId="62" fillId="0" borderId="0" xfId="0" applyFont="1" applyFill="1" applyBorder="1"/>
    <xf numFmtId="167" fontId="62" fillId="0" borderId="8" xfId="3" applyNumberFormat="1" applyFont="1" applyFill="1" applyBorder="1" applyAlignment="1">
      <alignment vertical="top" wrapText="1"/>
    </xf>
    <xf numFmtId="43" fontId="62" fillId="0" borderId="0" xfId="0" applyNumberFormat="1" applyFont="1" applyFill="1" applyBorder="1" applyAlignment="1"/>
    <xf numFmtId="0" fontId="72" fillId="0" borderId="0" xfId="0" applyFont="1" applyFill="1" applyAlignment="1">
      <alignment vertical="top"/>
    </xf>
    <xf numFmtId="0" fontId="62" fillId="0" borderId="0" xfId="0" applyFont="1" applyFill="1" applyBorder="1" applyAlignment="1">
      <alignment vertical="top"/>
    </xf>
    <xf numFmtId="167" fontId="62" fillId="0" borderId="0" xfId="3" applyNumberFormat="1" applyFont="1" applyFill="1" applyAlignment="1">
      <alignment vertical="top"/>
    </xf>
    <xf numFmtId="0" fontId="61" fillId="10" borderId="62" xfId="0" applyFont="1" applyFill="1" applyBorder="1" applyAlignment="1"/>
    <xf numFmtId="0" fontId="23" fillId="0" borderId="0" xfId="0" applyFont="1" applyFill="1" applyBorder="1"/>
    <xf numFmtId="0" fontId="73" fillId="0" borderId="0" xfId="0" applyFont="1"/>
    <xf numFmtId="0" fontId="73" fillId="0" borderId="0" xfId="0" applyFont="1" applyAlignment="1">
      <alignment horizontal="center" vertical="center" wrapText="1"/>
    </xf>
    <xf numFmtId="167" fontId="57" fillId="0" borderId="0" xfId="0" applyNumberFormat="1" applyFont="1"/>
    <xf numFmtId="0" fontId="57" fillId="0" borderId="0" xfId="0" applyFont="1"/>
    <xf numFmtId="0" fontId="61" fillId="11" borderId="21" xfId="0" applyFont="1" applyFill="1" applyBorder="1" applyAlignment="1">
      <alignment horizontal="center"/>
    </xf>
    <xf numFmtId="0" fontId="61" fillId="11" borderId="21" xfId="0" applyFont="1" applyFill="1" applyBorder="1" applyAlignment="1">
      <alignment horizontal="center" vertical="center" wrapText="1"/>
    </xf>
    <xf numFmtId="167" fontId="57" fillId="0" borderId="2" xfId="0" applyNumberFormat="1" applyFont="1" applyBorder="1"/>
    <xf numFmtId="0" fontId="57" fillId="0" borderId="0" xfId="0" applyFont="1" applyAlignment="1">
      <alignment wrapText="1"/>
    </xf>
    <xf numFmtId="172" fontId="57" fillId="0" borderId="0" xfId="0" applyNumberFormat="1" applyFont="1"/>
    <xf numFmtId="0" fontId="57" fillId="0" borderId="0" xfId="0" applyFont="1" applyAlignment="1">
      <alignment vertical="center" wrapText="1"/>
    </xf>
    <xf numFmtId="167" fontId="73" fillId="0" borderId="9" xfId="0" applyNumberFormat="1" applyFont="1" applyBorder="1" applyAlignment="1">
      <alignment vertical="center"/>
    </xf>
    <xf numFmtId="167" fontId="57" fillId="0" borderId="9" xfId="0" applyNumberFormat="1" applyFont="1" applyBorder="1"/>
    <xf numFmtId="2" fontId="65" fillId="0" borderId="0" xfId="3" applyNumberFormat="1" applyFont="1" applyFill="1" applyBorder="1" applyAlignment="1">
      <alignment vertical="center"/>
    </xf>
    <xf numFmtId="0" fontId="73" fillId="0" borderId="0" xfId="0" applyFont="1"/>
    <xf numFmtId="0" fontId="73" fillId="0" borderId="0" xfId="0" applyFont="1" applyAlignment="1">
      <alignment horizontal="center" vertical="center" wrapText="1"/>
    </xf>
    <xf numFmtId="167" fontId="57" fillId="0" borderId="0" xfId="0" applyNumberFormat="1" applyFont="1"/>
    <xf numFmtId="0" fontId="57" fillId="0" borderId="0" xfId="0" applyFont="1"/>
    <xf numFmtId="0" fontId="61" fillId="11" borderId="21" xfId="0" applyFont="1" applyFill="1" applyBorder="1" applyAlignment="1">
      <alignment horizontal="center"/>
    </xf>
    <xf numFmtId="0" fontId="61" fillId="11" borderId="21" xfId="0" applyFont="1" applyFill="1" applyBorder="1" applyAlignment="1">
      <alignment horizontal="center" vertical="center" wrapText="1"/>
    </xf>
    <xf numFmtId="167" fontId="57" fillId="0" borderId="2" xfId="0" applyNumberFormat="1" applyFont="1" applyBorder="1"/>
    <xf numFmtId="0" fontId="57" fillId="0" borderId="0" xfId="0" applyFont="1" applyAlignment="1">
      <alignment wrapText="1"/>
    </xf>
    <xf numFmtId="172" fontId="57" fillId="0" borderId="0" xfId="0" applyNumberFormat="1" applyFont="1"/>
    <xf numFmtId="0" fontId="57" fillId="0" borderId="0" xfId="0" applyFont="1" applyAlignment="1">
      <alignment vertical="center" wrapText="1"/>
    </xf>
    <xf numFmtId="167" fontId="57" fillId="0" borderId="9" xfId="0" applyNumberFormat="1" applyFont="1" applyBorder="1"/>
    <xf numFmtId="0" fontId="74" fillId="0" borderId="0" xfId="0" applyFont="1"/>
    <xf numFmtId="168" fontId="22" fillId="0" borderId="0" xfId="0" applyNumberFormat="1" applyFont="1" applyFill="1" applyAlignment="1">
      <alignment horizontal="left" vertical="top"/>
    </xf>
    <xf numFmtId="167" fontId="36" fillId="0" borderId="0" xfId="3" applyNumberFormat="1" applyFont="1" applyFill="1" applyAlignment="1">
      <alignment horizontal="centerContinuous"/>
    </xf>
    <xf numFmtId="49" fontId="36" fillId="0" borderId="0" xfId="0" quotePrefix="1" applyNumberFormat="1" applyFont="1" applyFill="1" applyBorder="1" applyAlignment="1">
      <alignment horizontal="center" vertical="center"/>
    </xf>
    <xf numFmtId="0" fontId="23" fillId="0" borderId="0" xfId="0" applyFont="1" applyFill="1"/>
    <xf numFmtId="167" fontId="57" fillId="0" borderId="0" xfId="3" applyNumberFormat="1" applyFont="1"/>
    <xf numFmtId="172" fontId="57" fillId="0" borderId="0" xfId="3" applyNumberFormat="1" applyFont="1"/>
    <xf numFmtId="167" fontId="73" fillId="0" borderId="9" xfId="3" applyNumberFormat="1" applyFont="1" applyFill="1" applyBorder="1" applyAlignment="1">
      <alignment vertical="center"/>
    </xf>
    <xf numFmtId="167" fontId="57" fillId="0" borderId="9" xfId="3" applyNumberFormat="1" applyFont="1" applyFill="1" applyBorder="1"/>
    <xf numFmtId="167" fontId="65" fillId="0" borderId="51" xfId="3" applyNumberFormat="1" applyFont="1" applyFill="1" applyBorder="1" applyAlignment="1">
      <alignment vertical="center"/>
    </xf>
    <xf numFmtId="167" fontId="65" fillId="0" borderId="42" xfId="3" applyNumberFormat="1" applyFont="1" applyFill="1" applyBorder="1" applyAlignment="1">
      <alignment vertical="center"/>
    </xf>
    <xf numFmtId="167" fontId="65" fillId="0" borderId="49" xfId="3" applyNumberFormat="1" applyFont="1" applyFill="1" applyBorder="1" applyAlignment="1">
      <alignment vertical="center"/>
    </xf>
    <xf numFmtId="43" fontId="65" fillId="0" borderId="58" xfId="3" applyNumberFormat="1" applyFont="1" applyFill="1" applyBorder="1" applyAlignment="1">
      <alignment vertical="center"/>
    </xf>
    <xf numFmtId="43" fontId="65" fillId="0" borderId="59" xfId="3" applyNumberFormat="1" applyFont="1" applyFill="1" applyBorder="1" applyAlignment="1">
      <alignment vertical="center"/>
    </xf>
    <xf numFmtId="43" fontId="65" fillId="0" borderId="49" xfId="3" applyNumberFormat="1" applyFont="1" applyFill="1" applyBorder="1" applyAlignment="1">
      <alignment vertical="center"/>
    </xf>
    <xf numFmtId="43" fontId="65" fillId="0" borderId="51" xfId="3" applyNumberFormat="1" applyFont="1" applyFill="1" applyBorder="1" applyAlignment="1">
      <alignment vertical="center"/>
    </xf>
    <xf numFmtId="43" fontId="65" fillId="0" borderId="5" xfId="3" applyNumberFormat="1" applyFont="1" applyFill="1" applyBorder="1" applyAlignment="1">
      <alignment vertical="center"/>
    </xf>
    <xf numFmtId="43" fontId="65" fillId="0" borderId="42" xfId="3" applyNumberFormat="1" applyFont="1" applyFill="1" applyBorder="1" applyAlignment="1">
      <alignment vertical="center"/>
    </xf>
    <xf numFmtId="43" fontId="65" fillId="0" borderId="52" xfId="3" applyNumberFormat="1" applyFont="1" applyFill="1" applyBorder="1" applyAlignment="1">
      <alignment vertical="center"/>
    </xf>
    <xf numFmtId="43" fontId="65" fillId="0" borderId="51" xfId="3" applyNumberFormat="1" applyFont="1" applyFill="1" applyBorder="1"/>
    <xf numFmtId="43" fontId="65" fillId="0" borderId="42" xfId="3" applyNumberFormat="1" applyFont="1" applyFill="1" applyBorder="1"/>
    <xf numFmtId="167" fontId="65" fillId="0" borderId="9" xfId="3" applyNumberFormat="1" applyFont="1" applyFill="1" applyBorder="1" applyAlignment="1">
      <alignment vertical="center"/>
    </xf>
    <xf numFmtId="0" fontId="23" fillId="0" borderId="0" xfId="0" applyFont="1" applyFill="1" applyAlignment="1">
      <alignment horizontal="justify" vertical="justify" wrapText="1"/>
    </xf>
    <xf numFmtId="0" fontId="65" fillId="0" borderId="0" xfId="0" quotePrefix="1" applyFont="1" applyFill="1" applyBorder="1" applyAlignment="1">
      <alignment horizontal="center" vertical="center"/>
    </xf>
    <xf numFmtId="0" fontId="65" fillId="0" borderId="0" xfId="0" applyFont="1" applyFill="1" applyAlignment="1">
      <alignment horizontal="center" vertical="center"/>
    </xf>
    <xf numFmtId="0" fontId="65" fillId="0" borderId="0" xfId="0" applyFont="1" applyFill="1" applyAlignment="1">
      <alignment vertical="top"/>
    </xf>
    <xf numFmtId="0" fontId="66" fillId="0" borderId="0" xfId="0" applyFont="1" applyFill="1" applyAlignment="1">
      <alignment vertical="top"/>
    </xf>
    <xf numFmtId="167" fontId="65" fillId="0" borderId="0" xfId="3" applyNumberFormat="1" applyFont="1" applyFill="1" applyAlignment="1">
      <alignment vertical="top"/>
    </xf>
    <xf numFmtId="167" fontId="67" fillId="0" borderId="0" xfId="3" applyNumberFormat="1" applyFont="1" applyFill="1"/>
    <xf numFmtId="167" fontId="29" fillId="0" borderId="0" xfId="0" applyNumberFormat="1" applyFont="1" applyFill="1"/>
    <xf numFmtId="43" fontId="65" fillId="0" borderId="0" xfId="3" applyNumberFormat="1" applyFont="1" applyFill="1" applyAlignment="1">
      <alignment vertical="top"/>
    </xf>
    <xf numFmtId="167" fontId="64" fillId="0" borderId="0" xfId="3" applyNumberFormat="1" applyFont="1" applyFill="1"/>
    <xf numFmtId="43" fontId="65" fillId="0" borderId="0" xfId="0" applyNumberFormat="1" applyFont="1" applyFill="1"/>
    <xf numFmtId="3" fontId="68" fillId="0" borderId="0" xfId="0" applyNumberFormat="1" applyFont="1" applyFill="1"/>
    <xf numFmtId="0" fontId="23" fillId="0" borderId="0" xfId="0" applyFont="1"/>
    <xf numFmtId="0" fontId="66" fillId="5" borderId="0" xfId="0" applyNumberFormat="1" applyFont="1" applyFill="1" applyBorder="1" applyAlignment="1">
      <alignment horizontal="left" vertical="center"/>
    </xf>
    <xf numFmtId="0" fontId="65" fillId="5" borderId="0" xfId="0" applyNumberFormat="1" applyFont="1" applyFill="1" applyBorder="1" applyAlignment="1">
      <alignment horizontal="left" vertical="center"/>
    </xf>
    <xf numFmtId="0" fontId="65" fillId="5" borderId="0" xfId="0" applyFont="1" applyFill="1"/>
    <xf numFmtId="167" fontId="65" fillId="5" borderId="0" xfId="3" applyNumberFormat="1" applyFont="1" applyFill="1" applyBorder="1" applyAlignment="1">
      <alignment vertical="center"/>
    </xf>
    <xf numFmtId="167" fontId="65" fillId="5" borderId="0" xfId="3" applyNumberFormat="1" applyFont="1" applyFill="1" applyAlignment="1">
      <alignment vertical="center" wrapText="1"/>
    </xf>
    <xf numFmtId="260" fontId="65" fillId="5" borderId="0" xfId="3" applyFont="1" applyFill="1" applyAlignment="1">
      <alignment vertical="center"/>
    </xf>
    <xf numFmtId="167" fontId="65" fillId="5" borderId="0" xfId="0" applyNumberFormat="1" applyFont="1" applyFill="1" applyBorder="1" applyAlignment="1">
      <alignment horizontal="left" vertical="center"/>
    </xf>
    <xf numFmtId="167" fontId="65" fillId="5" borderId="49" xfId="3" applyNumberFormat="1" applyFont="1" applyFill="1" applyBorder="1" applyAlignment="1">
      <alignment vertical="center"/>
    </xf>
    <xf numFmtId="43" fontId="65" fillId="5" borderId="59" xfId="3" applyNumberFormat="1" applyFont="1" applyFill="1" applyBorder="1" applyAlignment="1">
      <alignment vertical="center"/>
    </xf>
    <xf numFmtId="2" fontId="65" fillId="5" borderId="0" xfId="3" applyNumberFormat="1" applyFont="1" applyFill="1" applyBorder="1" applyAlignment="1">
      <alignment vertical="center"/>
    </xf>
    <xf numFmtId="167" fontId="65" fillId="5" borderId="51" xfId="3" applyNumberFormat="1" applyFont="1" applyFill="1" applyBorder="1" applyAlignment="1">
      <alignment vertical="center"/>
    </xf>
    <xf numFmtId="43" fontId="65" fillId="5" borderId="7" xfId="3" applyNumberFormat="1" applyFont="1" applyFill="1" applyBorder="1" applyAlignment="1">
      <alignment vertical="center"/>
    </xf>
    <xf numFmtId="0" fontId="65" fillId="5" borderId="0" xfId="0" applyNumberFormat="1" applyFont="1" applyFill="1" applyAlignment="1">
      <alignment vertical="center"/>
    </xf>
    <xf numFmtId="167" fontId="65" fillId="5" borderId="0" xfId="3" applyNumberFormat="1" applyFont="1" applyFill="1" applyAlignment="1">
      <alignment vertical="center"/>
    </xf>
    <xf numFmtId="0" fontId="65" fillId="5" borderId="0" xfId="0" applyNumberFormat="1" applyFont="1" applyFill="1" applyAlignment="1"/>
    <xf numFmtId="0" fontId="65" fillId="5" borderId="0" xfId="0" applyNumberFormat="1" applyFont="1" applyFill="1" applyAlignment="1">
      <alignment horizontal="left" vertical="center" indent="1"/>
    </xf>
    <xf numFmtId="167" fontId="65" fillId="5" borderId="42" xfId="3" applyNumberFormat="1" applyFont="1" applyFill="1" applyBorder="1" applyAlignment="1">
      <alignment vertical="center"/>
    </xf>
    <xf numFmtId="43" fontId="65" fillId="5" borderId="10" xfId="3" applyNumberFormat="1" applyFont="1" applyFill="1" applyBorder="1" applyAlignment="1">
      <alignment vertical="center"/>
    </xf>
    <xf numFmtId="0" fontId="65" fillId="5" borderId="0" xfId="0" applyFont="1" applyFill="1" applyBorder="1" applyAlignment="1">
      <alignment horizontal="center" vertical="center" wrapText="1"/>
    </xf>
    <xf numFmtId="43" fontId="65" fillId="5" borderId="0" xfId="3" applyNumberFormat="1" applyFont="1" applyFill="1" applyBorder="1" applyAlignment="1">
      <alignment vertical="center"/>
    </xf>
    <xf numFmtId="260" fontId="65" fillId="5" borderId="0" xfId="3" applyFont="1" applyFill="1" applyBorder="1" applyAlignment="1">
      <alignment vertical="center"/>
    </xf>
    <xf numFmtId="0" fontId="19" fillId="0" borderId="0" xfId="23"/>
    <xf numFmtId="167" fontId="0" fillId="0" borderId="0" xfId="24" applyNumberFormat="1" applyFont="1"/>
    <xf numFmtId="0" fontId="19" fillId="0" borderId="0" xfId="23" quotePrefix="1"/>
    <xf numFmtId="167" fontId="19" fillId="0" borderId="0" xfId="23" applyNumberFormat="1"/>
    <xf numFmtId="167" fontId="0" fillId="0" borderId="0" xfId="24" applyNumberFormat="1" applyFont="1" applyFill="1"/>
    <xf numFmtId="0" fontId="19" fillId="8" borderId="0" xfId="23" applyFill="1"/>
    <xf numFmtId="167" fontId="0" fillId="0" borderId="0" xfId="3" applyNumberFormat="1" applyFont="1"/>
    <xf numFmtId="0" fontId="61" fillId="12" borderId="0" xfId="23" applyFont="1" applyFill="1" applyAlignment="1">
      <alignment horizontal="center"/>
    </xf>
    <xf numFmtId="167" fontId="61" fillId="12" borderId="0" xfId="24" applyNumberFormat="1" applyFont="1" applyFill="1" applyAlignment="1">
      <alignment horizontal="center"/>
    </xf>
    <xf numFmtId="0" fontId="19" fillId="0" borderId="0" xfId="23" applyFill="1"/>
    <xf numFmtId="167" fontId="0" fillId="0" borderId="0" xfId="3" applyNumberFormat="1" applyFont="1" applyFill="1"/>
    <xf numFmtId="167" fontId="19" fillId="0" borderId="0" xfId="3" applyNumberFormat="1" applyFont="1"/>
    <xf numFmtId="167" fontId="61" fillId="8" borderId="0" xfId="24" applyNumberFormat="1" applyFont="1" applyFill="1" applyAlignment="1">
      <alignment horizontal="center"/>
    </xf>
    <xf numFmtId="0" fontId="73" fillId="8" borderId="0" xfId="23" quotePrefix="1" applyFont="1" applyFill="1"/>
    <xf numFmtId="0" fontId="19" fillId="0" borderId="0" xfId="23" quotePrefix="1" applyFill="1"/>
    <xf numFmtId="43" fontId="0" fillId="0" borderId="0" xfId="24" applyNumberFormat="1" applyFont="1" applyFill="1"/>
    <xf numFmtId="49" fontId="36" fillId="0" borderId="0" xfId="0" applyNumberFormat="1" applyFont="1" applyFill="1" applyBorder="1" applyAlignment="1">
      <alignment vertical="center"/>
    </xf>
    <xf numFmtId="167" fontId="29" fillId="0" borderId="0" xfId="3" applyNumberFormat="1" applyFont="1" applyFill="1" applyAlignment="1">
      <alignment horizontal="center"/>
    </xf>
    <xf numFmtId="0" fontId="29" fillId="0" borderId="0" xfId="0" applyFont="1" applyFill="1" applyAlignment="1" applyProtection="1">
      <alignment vertical="top"/>
      <protection locked="0"/>
    </xf>
    <xf numFmtId="0" fontId="29" fillId="0" borderId="0" xfId="0" applyFont="1" applyFill="1" applyAlignment="1" applyProtection="1">
      <alignment horizontal="left" vertical="top" indent="1"/>
      <protection locked="0"/>
    </xf>
    <xf numFmtId="0" fontId="29" fillId="0" borderId="0" xfId="32" applyFont="1" applyFill="1" applyAlignment="1">
      <alignment horizontal="left" indent="1"/>
    </xf>
    <xf numFmtId="167" fontId="29" fillId="0" borderId="0" xfId="3" applyNumberFormat="1" applyFont="1" applyFill="1" applyBorder="1" applyAlignment="1">
      <alignment horizontal="centerContinuous"/>
    </xf>
    <xf numFmtId="0" fontId="29" fillId="0" borderId="0" xfId="33" applyFont="1" applyFill="1" applyAlignment="1">
      <alignment horizontal="left"/>
    </xf>
    <xf numFmtId="0" fontId="29" fillId="0" borderId="0" xfId="33" applyFont="1" applyFill="1" applyAlignment="1">
      <alignment horizontal="left" indent="1"/>
    </xf>
    <xf numFmtId="0" fontId="39" fillId="0" borderId="0" xfId="0" quotePrefix="1" applyFont="1" applyFill="1" applyAlignment="1" applyProtection="1">
      <alignment horizontal="left" indent="2"/>
      <protection locked="0"/>
    </xf>
    <xf numFmtId="0" fontId="39" fillId="0" borderId="0" xfId="0" applyFont="1" applyFill="1" applyAlignment="1" applyProtection="1">
      <alignment horizontal="left" indent="3"/>
      <protection locked="0"/>
    </xf>
    <xf numFmtId="0" fontId="39" fillId="0" borderId="0" xfId="0" applyFont="1" applyFill="1" applyAlignment="1" applyProtection="1">
      <alignment horizontal="left" indent="4"/>
      <protection locked="0"/>
    </xf>
    <xf numFmtId="0" fontId="29" fillId="0" borderId="0" xfId="33" applyFont="1" applyFill="1"/>
    <xf numFmtId="0" fontId="29" fillId="0" borderId="0" xfId="33" applyFont="1" applyFill="1" applyBorder="1" applyAlignment="1">
      <alignment horizontal="left" indent="1"/>
    </xf>
    <xf numFmtId="0" fontId="39" fillId="0" borderId="0" xfId="131" applyFont="1" applyFill="1" applyAlignment="1">
      <alignment horizontal="left" indent="1"/>
      <protection locked="0"/>
    </xf>
    <xf numFmtId="0" fontId="39" fillId="0" borderId="0" xfId="2251" applyFont="1" applyFill="1" applyAlignment="1">
      <alignment horizontal="left"/>
      <protection locked="0"/>
    </xf>
    <xf numFmtId="0" fontId="39" fillId="0" borderId="0" xfId="4837" applyFont="1" applyFill="1" applyAlignment="1">
      <protection locked="0"/>
    </xf>
    <xf numFmtId="0" fontId="13" fillId="0" borderId="0" xfId="23" applyFont="1"/>
    <xf numFmtId="260" fontId="19" fillId="0" borderId="0" xfId="3" applyFont="1"/>
    <xf numFmtId="43" fontId="19" fillId="0" borderId="0" xfId="23" applyNumberFormat="1"/>
    <xf numFmtId="43" fontId="19" fillId="0" borderId="0" xfId="23" applyNumberFormat="1" applyFill="1"/>
    <xf numFmtId="167" fontId="19" fillId="0" borderId="0" xfId="23" applyNumberFormat="1" applyFill="1"/>
    <xf numFmtId="167" fontId="19" fillId="0" borderId="0" xfId="3" applyNumberFormat="1" applyFont="1" applyFill="1"/>
    <xf numFmtId="167" fontId="12" fillId="0" borderId="0" xfId="3" applyNumberFormat="1" applyFont="1"/>
    <xf numFmtId="0" fontId="12" fillId="0" borderId="0" xfId="23" applyFont="1" applyFill="1"/>
    <xf numFmtId="0" fontId="29" fillId="0" borderId="0" xfId="0" applyFont="1" applyFill="1" applyBorder="1"/>
    <xf numFmtId="167" fontId="29" fillId="0" borderId="0" xfId="0" applyNumberFormat="1" applyFont="1" applyFill="1" applyBorder="1"/>
    <xf numFmtId="49" fontId="36" fillId="0" borderId="0" xfId="0" applyNumberFormat="1" applyFont="1" applyFill="1" applyBorder="1" applyAlignment="1">
      <alignment horizontal="center" vertical="center"/>
    </xf>
    <xf numFmtId="49" fontId="36" fillId="0" borderId="0" xfId="0" applyNumberFormat="1" applyFont="1" applyFill="1" applyBorder="1" applyAlignment="1">
      <alignment horizontal="center" vertical="top"/>
    </xf>
    <xf numFmtId="37" fontId="29" fillId="0" borderId="0" xfId="0" applyNumberFormat="1" applyFont="1" applyFill="1" applyBorder="1"/>
    <xf numFmtId="167" fontId="29" fillId="0" borderId="59" xfId="3" applyNumberFormat="1" applyFont="1" applyFill="1" applyBorder="1"/>
    <xf numFmtId="167" fontId="29" fillId="0" borderId="0" xfId="3" applyNumberFormat="1" applyFont="1" applyFill="1" applyBorder="1"/>
    <xf numFmtId="37" fontId="29" fillId="0" borderId="0" xfId="3" applyNumberFormat="1" applyFont="1" applyFill="1" applyBorder="1"/>
    <xf numFmtId="167" fontId="29" fillId="0" borderId="7" xfId="3" applyNumberFormat="1" applyFont="1" applyFill="1" applyBorder="1"/>
    <xf numFmtId="37" fontId="29" fillId="0" borderId="7" xfId="0" applyNumberFormat="1" applyFont="1" applyFill="1" applyBorder="1"/>
    <xf numFmtId="167" fontId="29" fillId="0" borderId="64" xfId="3" applyNumberFormat="1" applyFont="1" applyFill="1" applyBorder="1"/>
    <xf numFmtId="167" fontId="29" fillId="0" borderId="10" xfId="3" applyNumberFormat="1" applyFont="1" applyFill="1" applyBorder="1"/>
    <xf numFmtId="37" fontId="29" fillId="0" borderId="0" xfId="3" applyNumberFormat="1" applyFont="1" applyFill="1"/>
    <xf numFmtId="0" fontId="29" fillId="0" borderId="0" xfId="0" applyFont="1" applyFill="1" applyAlignment="1">
      <alignment horizontal="left" indent="1"/>
    </xf>
    <xf numFmtId="37" fontId="36" fillId="0" borderId="0" xfId="0" applyNumberFormat="1" applyFont="1" applyFill="1"/>
    <xf numFmtId="167" fontId="29" fillId="0" borderId="9" xfId="3" applyNumberFormat="1" applyFont="1" applyFill="1" applyBorder="1"/>
    <xf numFmtId="43" fontId="29" fillId="0" borderId="0" xfId="0" applyNumberFormat="1" applyFont="1" applyFill="1"/>
    <xf numFmtId="37" fontId="29" fillId="0" borderId="9" xfId="0" applyNumberFormat="1" applyFont="1" applyFill="1" applyBorder="1"/>
    <xf numFmtId="167" fontId="29" fillId="0" borderId="16" xfId="3" applyNumberFormat="1" applyFont="1" applyFill="1" applyBorder="1"/>
    <xf numFmtId="167" fontId="29" fillId="0" borderId="0" xfId="3" applyNumberFormat="1" applyFont="1" applyFill="1" applyBorder="1" applyAlignment="1">
      <alignment horizontal="center"/>
    </xf>
    <xf numFmtId="3" fontId="29" fillId="0" borderId="0" xfId="0" applyNumberFormat="1" applyFont="1" applyFill="1" applyAlignment="1">
      <alignment vertical="top"/>
    </xf>
    <xf numFmtId="41" fontId="29" fillId="0" borderId="0" xfId="3" applyNumberFormat="1" applyFont="1" applyFill="1" applyBorder="1"/>
    <xf numFmtId="0" fontId="38" fillId="0" borderId="0" xfId="30" applyFont="1" applyFill="1" applyBorder="1" applyAlignment="1"/>
    <xf numFmtId="167" fontId="38" fillId="0" borderId="0" xfId="27" applyNumberFormat="1" applyFont="1" applyFill="1" applyBorder="1" applyAlignment="1"/>
    <xf numFmtId="41" fontId="29" fillId="0" borderId="0" xfId="3" applyNumberFormat="1" applyFont="1" applyFill="1"/>
    <xf numFmtId="167" fontId="38" fillId="0" borderId="0" xfId="30" applyNumberFormat="1" applyFont="1" applyFill="1" applyBorder="1" applyAlignment="1"/>
    <xf numFmtId="167" fontId="29" fillId="0" borderId="67" xfId="0" applyNumberFormat="1" applyFont="1" applyFill="1" applyBorder="1"/>
    <xf numFmtId="0" fontId="29" fillId="0" borderId="67" xfId="0" applyFont="1" applyFill="1" applyBorder="1"/>
    <xf numFmtId="0" fontId="29" fillId="0" borderId="6" xfId="0" applyFont="1" applyFill="1" applyBorder="1"/>
    <xf numFmtId="3" fontId="29" fillId="0" borderId="0" xfId="0" applyNumberFormat="1" applyFont="1" applyFill="1"/>
    <xf numFmtId="167" fontId="29" fillId="7" borderId="64" xfId="31" applyNumberFormat="1" applyFont="1" applyFill="1" applyBorder="1" applyAlignment="1"/>
    <xf numFmtId="167" fontId="29" fillId="0" borderId="7" xfId="0" applyNumberFormat="1" applyFont="1" applyFill="1" applyBorder="1"/>
    <xf numFmtId="0" fontId="29" fillId="0" borderId="7" xfId="0" applyFont="1" applyFill="1" applyBorder="1"/>
    <xf numFmtId="0" fontId="29" fillId="0" borderId="0" xfId="0" applyFont="1" applyFill="1" applyBorder="1" applyAlignment="1">
      <alignment horizontal="left"/>
    </xf>
    <xf numFmtId="167" fontId="29" fillId="7" borderId="7" xfId="31" applyNumberFormat="1" applyFont="1" applyFill="1" applyBorder="1"/>
    <xf numFmtId="167" fontId="29" fillId="7" borderId="64" xfId="31" applyNumberFormat="1" applyFont="1" applyFill="1" applyBorder="1"/>
    <xf numFmtId="167" fontId="29" fillId="0" borderId="64" xfId="0" applyNumberFormat="1" applyFont="1" applyFill="1" applyBorder="1"/>
    <xf numFmtId="167" fontId="29" fillId="0" borderId="9" xfId="0" applyNumberFormat="1" applyFont="1" applyFill="1" applyBorder="1"/>
    <xf numFmtId="0" fontId="208" fillId="0" borderId="0" xfId="0" applyFont="1" applyFill="1" applyBorder="1" applyAlignment="1"/>
    <xf numFmtId="0" fontId="208" fillId="0" borderId="0" xfId="0" applyFont="1" applyFill="1"/>
    <xf numFmtId="167" fontId="208" fillId="0" borderId="0" xfId="3" applyNumberFormat="1" applyFont="1" applyFill="1"/>
    <xf numFmtId="167" fontId="208" fillId="0" borderId="0" xfId="0" applyNumberFormat="1" applyFont="1" applyFill="1"/>
    <xf numFmtId="260" fontId="208" fillId="0" borderId="0" xfId="3" applyFont="1" applyFill="1"/>
    <xf numFmtId="0" fontId="208" fillId="0" borderId="0" xfId="0" applyFont="1" applyFill="1" applyBorder="1"/>
    <xf numFmtId="0" fontId="209" fillId="0" borderId="0" xfId="0" applyFont="1" applyFill="1"/>
    <xf numFmtId="0" fontId="209" fillId="0" borderId="0" xfId="0" applyNumberFormat="1" applyFont="1" applyFill="1" applyAlignment="1"/>
    <xf numFmtId="260" fontId="208" fillId="0" borderId="0" xfId="3" applyFont="1" applyFill="1" applyBorder="1"/>
    <xf numFmtId="260" fontId="208" fillId="0" borderId="0" xfId="3" applyFont="1" applyFill="1" applyBorder="1" applyAlignment="1">
      <alignment vertical="top"/>
    </xf>
    <xf numFmtId="3" fontId="208" fillId="0" borderId="0" xfId="0" applyNumberFormat="1" applyFont="1" applyFill="1" applyBorder="1"/>
    <xf numFmtId="228" fontId="208" fillId="0" borderId="0" xfId="3" applyNumberFormat="1" applyFont="1" applyFill="1" applyAlignment="1"/>
    <xf numFmtId="0" fontId="29" fillId="0" borderId="0" xfId="0" quotePrefix="1" applyFont="1" applyFill="1"/>
    <xf numFmtId="172" fontId="29" fillId="0" borderId="0" xfId="0" applyNumberFormat="1" applyFont="1" applyFill="1"/>
    <xf numFmtId="0" fontId="22" fillId="0" borderId="0" xfId="0" applyFont="1" applyFill="1" applyBorder="1" applyAlignment="1" applyProtection="1">
      <protection locked="0"/>
    </xf>
    <xf numFmtId="0" fontId="23" fillId="0" borderId="0" xfId="0" applyFont="1" applyFill="1" applyAlignment="1" applyProtection="1">
      <protection locked="0"/>
    </xf>
    <xf numFmtId="0" fontId="22" fillId="0" borderId="0" xfId="0" applyFont="1" applyFill="1" applyAlignment="1" applyProtection="1">
      <protection locked="0"/>
    </xf>
    <xf numFmtId="0" fontId="23" fillId="0" borderId="0" xfId="0" applyNumberFormat="1" applyFont="1" applyFill="1" applyBorder="1" applyAlignment="1" applyProtection="1">
      <alignment vertical="center"/>
    </xf>
    <xf numFmtId="0" fontId="22" fillId="0" borderId="0" xfId="0" applyFont="1" applyFill="1" applyAlignment="1" applyProtection="1">
      <alignment horizontal="center" vertical="top"/>
    </xf>
    <xf numFmtId="0" fontId="22" fillId="0" borderId="0" xfId="0" applyFont="1" applyFill="1" applyAlignment="1" applyProtection="1">
      <alignment horizontal="center"/>
      <protection locked="0"/>
    </xf>
    <xf numFmtId="0" fontId="22" fillId="0" borderId="0" xfId="0" applyNumberFormat="1" applyFont="1" applyFill="1" applyAlignment="1" applyProtection="1">
      <alignment horizontal="center"/>
      <protection locked="0"/>
    </xf>
    <xf numFmtId="167" fontId="23" fillId="0" borderId="0" xfId="42" applyNumberFormat="1" applyFont="1" applyFill="1" applyAlignment="1">
      <alignment horizontal="center"/>
    </xf>
    <xf numFmtId="0" fontId="23" fillId="0" borderId="0" xfId="0" applyFont="1" applyFill="1" applyBorder="1" applyProtection="1">
      <protection locked="0"/>
    </xf>
    <xf numFmtId="167" fontId="23" fillId="0" borderId="0" xfId="42" applyNumberFormat="1" applyFont="1" applyFill="1"/>
    <xf numFmtId="0" fontId="22" fillId="0" borderId="0" xfId="0" applyNumberFormat="1" applyFont="1" applyFill="1" applyBorder="1" applyAlignment="1" applyProtection="1"/>
    <xf numFmtId="167" fontId="22" fillId="0" borderId="0" xfId="42" applyNumberFormat="1" applyFont="1" applyFill="1" applyAlignment="1">
      <alignment horizontal="center"/>
    </xf>
    <xf numFmtId="0" fontId="22" fillId="0" borderId="0" xfId="0" applyFont="1" applyFill="1" applyProtection="1">
      <protection locked="0"/>
    </xf>
    <xf numFmtId="167" fontId="22" fillId="0" borderId="0" xfId="42" applyNumberFormat="1" applyFont="1" applyFill="1"/>
    <xf numFmtId="0" fontId="23" fillId="0" borderId="0" xfId="0" applyFont="1" applyFill="1" applyProtection="1">
      <protection locked="0"/>
    </xf>
    <xf numFmtId="0" fontId="0" fillId="0" borderId="0" xfId="0" quotePrefix="1" applyFill="1"/>
    <xf numFmtId="167" fontId="0" fillId="8" borderId="0" xfId="24" applyNumberFormat="1" applyFont="1" applyFill="1"/>
    <xf numFmtId="167" fontId="0" fillId="8" borderId="0" xfId="3" applyNumberFormat="1" applyFont="1" applyFill="1"/>
    <xf numFmtId="0" fontId="13" fillId="0" borderId="0" xfId="23" applyFont="1" applyAlignment="1">
      <alignment horizontal="center"/>
    </xf>
    <xf numFmtId="181" fontId="0" fillId="0" borderId="0" xfId="24" applyNumberFormat="1" applyFont="1" applyFill="1"/>
    <xf numFmtId="3" fontId="19" fillId="0" borderId="0" xfId="23" applyNumberFormat="1" applyFill="1"/>
    <xf numFmtId="0" fontId="0" fillId="0" borderId="0" xfId="0" applyFill="1"/>
    <xf numFmtId="0" fontId="18" fillId="0" borderId="0" xfId="23" applyFont="1" applyFill="1"/>
    <xf numFmtId="43" fontId="0" fillId="0" borderId="0" xfId="3" applyNumberFormat="1" applyFont="1" applyFill="1"/>
    <xf numFmtId="0" fontId="63" fillId="8" borderId="0" xfId="23" applyFont="1" applyFill="1" applyAlignment="1"/>
    <xf numFmtId="0" fontId="13" fillId="0" borderId="0" xfId="23" applyFont="1" applyAlignment="1"/>
    <xf numFmtId="0" fontId="19" fillId="0" borderId="0" xfId="23" applyAlignment="1"/>
    <xf numFmtId="0" fontId="73" fillId="8" borderId="0" xfId="23" quotePrefix="1" applyFont="1" applyFill="1" applyAlignment="1"/>
    <xf numFmtId="0" fontId="8" fillId="0" borderId="0" xfId="23" applyFont="1" applyFill="1"/>
    <xf numFmtId="0" fontId="0" fillId="0" borderId="0" xfId="0" quotePrefix="1"/>
    <xf numFmtId="0" fontId="0" fillId="5" borderId="0" xfId="0" quotePrefix="1" applyFill="1"/>
    <xf numFmtId="0" fontId="19" fillId="5" borderId="0" xfId="23" quotePrefix="1" applyFill="1"/>
    <xf numFmtId="0" fontId="8" fillId="5" borderId="0" xfId="23" quotePrefix="1" applyFont="1" applyFill="1"/>
    <xf numFmtId="49" fontId="36" fillId="0" borderId="0" xfId="0" applyNumberFormat="1" applyFont="1" applyFill="1" applyBorder="1" applyAlignment="1">
      <alignment horizontal="center" vertical="center"/>
    </xf>
    <xf numFmtId="49" fontId="36" fillId="0" borderId="0" xfId="0" applyNumberFormat="1" applyFont="1" applyFill="1" applyBorder="1" applyAlignment="1">
      <alignment horizontal="center" vertical="top"/>
    </xf>
    <xf numFmtId="37" fontId="29" fillId="0" borderId="102" xfId="0" applyNumberFormat="1" applyFont="1" applyFill="1" applyBorder="1"/>
    <xf numFmtId="167" fontId="0" fillId="99" borderId="0" xfId="24" applyNumberFormat="1" applyFont="1" applyFill="1"/>
    <xf numFmtId="185" fontId="19" fillId="0" borderId="0" xfId="3" applyNumberFormat="1" applyFont="1" applyFill="1"/>
    <xf numFmtId="167" fontId="208" fillId="0" borderId="0" xfId="3" applyNumberFormat="1" applyFont="1" applyFill="1" applyBorder="1"/>
    <xf numFmtId="49" fontId="36" fillId="0" borderId="0" xfId="0" applyNumberFormat="1" applyFont="1" applyFill="1" applyBorder="1" applyAlignment="1">
      <alignment horizontal="center" vertical="center"/>
    </xf>
    <xf numFmtId="49" fontId="36" fillId="0" borderId="0" xfId="0" applyNumberFormat="1" applyFont="1" applyFill="1" applyBorder="1" applyAlignment="1">
      <alignment horizontal="center" vertical="top"/>
    </xf>
    <xf numFmtId="3" fontId="23" fillId="0" borderId="0" xfId="0" applyNumberFormat="1" applyFont="1" applyFill="1"/>
    <xf numFmtId="0" fontId="29" fillId="0" borderId="0" xfId="33" applyFont="1" applyFill="1" applyAlignment="1"/>
    <xf numFmtId="0" fontId="36" fillId="0" borderId="0" xfId="33" applyFont="1" applyFill="1" applyAlignment="1"/>
    <xf numFmtId="167" fontId="29" fillId="0" borderId="102" xfId="3" applyNumberFormat="1" applyFont="1" applyFill="1" applyBorder="1"/>
    <xf numFmtId="167" fontId="29" fillId="0" borderId="119" xfId="3" applyNumberFormat="1" applyFont="1" applyFill="1" applyBorder="1"/>
    <xf numFmtId="43" fontId="29" fillId="0" borderId="0" xfId="3" applyNumberFormat="1" applyFont="1" applyFill="1"/>
    <xf numFmtId="167" fontId="29" fillId="0" borderId="120" xfId="0" applyNumberFormat="1" applyFont="1" applyFill="1" applyBorder="1"/>
    <xf numFmtId="37" fontId="235" fillId="0" borderId="0" xfId="0" applyNumberFormat="1" applyFont="1" applyFill="1" applyAlignment="1">
      <alignment horizontal="centerContinuous" vertical="top"/>
    </xf>
    <xf numFmtId="0" fontId="235" fillId="0" borderId="0" xfId="0" applyFont="1" applyFill="1" applyAlignment="1">
      <alignment vertical="top"/>
    </xf>
    <xf numFmtId="167" fontId="235" fillId="0" borderId="0" xfId="3" applyNumberFormat="1" applyFont="1" applyFill="1" applyAlignment="1">
      <alignment vertical="top"/>
    </xf>
    <xf numFmtId="0" fontId="209" fillId="0" borderId="0" xfId="30" applyFont="1" applyFill="1" applyBorder="1" applyAlignment="1">
      <alignment horizontal="left" vertical="top" wrapText="1"/>
    </xf>
    <xf numFmtId="167" fontId="209" fillId="0" borderId="0" xfId="40371" quotePrefix="1" applyNumberFormat="1" applyFont="1" applyFill="1" applyBorder="1" applyAlignment="1">
      <alignment horizontal="center" vertical="center"/>
    </xf>
    <xf numFmtId="0" fontId="236" fillId="0" borderId="0" xfId="30" applyFont="1" applyFill="1" applyBorder="1" applyAlignment="1">
      <alignment horizontal="left" vertical="top" wrapText="1"/>
    </xf>
    <xf numFmtId="0" fontId="236" fillId="0" borderId="0" xfId="30" applyFont="1" applyFill="1" applyBorder="1" applyAlignment="1">
      <alignment vertical="top" wrapText="1"/>
    </xf>
    <xf numFmtId="0" fontId="236" fillId="0" borderId="0" xfId="30" applyFont="1" applyFill="1" applyBorder="1" applyAlignment="1">
      <alignment horizontal="center" vertical="top" wrapText="1"/>
    </xf>
    <xf numFmtId="0" fontId="237" fillId="0" borderId="0" xfId="23807" applyFont="1" applyFill="1" applyBorder="1" applyAlignment="1" applyProtection="1">
      <alignment horizontal="center" vertical="top" wrapText="1"/>
      <protection locked="0"/>
    </xf>
    <xf numFmtId="167" fontId="236" fillId="0" borderId="0" xfId="31" applyNumberFormat="1" applyFont="1" applyFill="1" applyBorder="1" applyAlignment="1">
      <alignment horizontal="center" vertical="top" wrapText="1"/>
    </xf>
    <xf numFmtId="167" fontId="236" fillId="0" borderId="0" xfId="3" applyNumberFormat="1" applyFont="1" applyFill="1" applyBorder="1" applyAlignment="1">
      <alignment vertical="top" wrapText="1"/>
    </xf>
    <xf numFmtId="167" fontId="237" fillId="0" borderId="0" xfId="3" applyNumberFormat="1" applyFont="1" applyFill="1" applyBorder="1" applyAlignment="1" applyProtection="1">
      <alignment horizontal="center" vertical="top" wrapText="1"/>
      <protection locked="0"/>
    </xf>
    <xf numFmtId="167" fontId="237" fillId="0" borderId="102" xfId="3" applyNumberFormat="1" applyFont="1" applyFill="1" applyBorder="1" applyAlignment="1" applyProtection="1">
      <alignment horizontal="center" vertical="top" wrapText="1"/>
      <protection locked="0"/>
    </xf>
    <xf numFmtId="167" fontId="236" fillId="0" borderId="0" xfId="3" applyNumberFormat="1" applyFont="1" applyFill="1" applyBorder="1" applyAlignment="1">
      <alignment horizontal="center" vertical="top" wrapText="1"/>
    </xf>
    <xf numFmtId="167" fontId="237" fillId="0" borderId="8" xfId="3" applyNumberFormat="1" applyFont="1" applyFill="1" applyBorder="1" applyAlignment="1" applyProtection="1">
      <alignment horizontal="center" vertical="top" wrapText="1"/>
      <protection locked="0"/>
    </xf>
    <xf numFmtId="167" fontId="236" fillId="0" borderId="8" xfId="3" applyNumberFormat="1" applyFont="1" applyFill="1" applyBorder="1" applyAlignment="1">
      <alignment horizontal="center" vertical="top" wrapText="1"/>
    </xf>
    <xf numFmtId="260" fontId="208" fillId="0" borderId="120" xfId="3" applyFont="1" applyFill="1" applyBorder="1" applyAlignment="1">
      <alignment vertical="top"/>
    </xf>
    <xf numFmtId="260" fontId="208" fillId="0" borderId="7" xfId="3" applyFont="1" applyFill="1" applyBorder="1" applyAlignment="1">
      <alignment vertical="top"/>
    </xf>
    <xf numFmtId="260" fontId="208" fillId="0" borderId="10" xfId="3" applyFont="1" applyFill="1" applyBorder="1" applyAlignment="1">
      <alignment vertical="top"/>
    </xf>
    <xf numFmtId="260" fontId="208" fillId="0" borderId="119" xfId="3" applyFont="1" applyFill="1" applyBorder="1" applyAlignment="1">
      <alignment vertical="top"/>
    </xf>
    <xf numFmtId="0" fontId="208" fillId="0" borderId="0" xfId="0" quotePrefix="1" applyFont="1" applyFill="1"/>
    <xf numFmtId="167" fontId="29" fillId="0" borderId="120" xfId="3" applyNumberFormat="1" applyFont="1" applyFill="1" applyBorder="1"/>
    <xf numFmtId="260" fontId="22" fillId="0" borderId="0" xfId="3" applyFont="1" applyFill="1"/>
    <xf numFmtId="0" fontId="39" fillId="0" borderId="0" xfId="2251" quotePrefix="1" applyFont="1" applyFill="1" applyAlignment="1">
      <alignment horizontal="left"/>
      <protection locked="0"/>
    </xf>
    <xf numFmtId="0" fontId="36" fillId="0" borderId="0" xfId="0" applyFont="1" applyFill="1" applyAlignment="1">
      <alignment vertical="top"/>
    </xf>
    <xf numFmtId="49" fontId="36" fillId="0" borderId="0" xfId="0" applyNumberFormat="1" applyFont="1" applyFill="1" applyBorder="1" applyAlignment="1">
      <alignment horizontal="center" vertical="top"/>
    </xf>
    <xf numFmtId="0" fontId="36" fillId="0" borderId="0" xfId="0" applyFont="1" applyFill="1" applyBorder="1" applyAlignment="1" applyProtection="1">
      <protection locked="0"/>
    </xf>
    <xf numFmtId="0" fontId="36" fillId="0" borderId="0" xfId="0" applyFont="1" applyFill="1" applyAlignment="1" applyProtection="1">
      <protection locked="0"/>
    </xf>
    <xf numFmtId="0" fontId="36" fillId="0" borderId="0" xfId="0" applyFont="1" applyFill="1" applyAlignment="1" applyProtection="1">
      <alignment horizontal="center"/>
      <protection locked="0"/>
    </xf>
    <xf numFmtId="260" fontId="36" fillId="0" borderId="0" xfId="3" applyFont="1" applyFill="1"/>
    <xf numFmtId="3" fontId="29" fillId="0" borderId="0" xfId="0" applyNumberFormat="1" applyFont="1" applyFill="1" applyBorder="1"/>
    <xf numFmtId="0" fontId="29" fillId="0" borderId="0" xfId="0" applyFont="1" applyFill="1" applyAlignment="1" applyProtection="1">
      <protection locked="0"/>
    </xf>
    <xf numFmtId="0" fontId="36" fillId="0" borderId="0" xfId="0" applyFont="1" applyFill="1" applyProtection="1">
      <protection locked="0"/>
    </xf>
    <xf numFmtId="167" fontId="29" fillId="0" borderId="0" xfId="42" applyNumberFormat="1" applyFont="1" applyFill="1"/>
    <xf numFmtId="167" fontId="36" fillId="0" borderId="0" xfId="42" applyNumberFormat="1" applyFont="1" applyFill="1"/>
    <xf numFmtId="0" fontId="29" fillId="0" borderId="0" xfId="0" applyFont="1" applyFill="1" applyProtection="1">
      <protection locked="0"/>
    </xf>
    <xf numFmtId="0" fontId="29" fillId="0" borderId="0" xfId="0" applyNumberFormat="1" applyFont="1" applyFill="1" applyBorder="1" applyAlignment="1" applyProtection="1">
      <alignment vertical="center"/>
    </xf>
    <xf numFmtId="0" fontId="36" fillId="0" borderId="0" xfId="0" applyFont="1" applyFill="1" applyAlignment="1" applyProtection="1">
      <alignment horizontal="center" vertical="top"/>
    </xf>
    <xf numFmtId="0" fontId="36" fillId="0" borderId="0" xfId="0" applyNumberFormat="1" applyFont="1" applyFill="1" applyBorder="1" applyAlignment="1" applyProtection="1"/>
    <xf numFmtId="260" fontId="29" fillId="0" borderId="0" xfId="3" applyFont="1" applyFill="1"/>
    <xf numFmtId="260" fontId="36" fillId="0" borderId="0" xfId="3" applyFont="1" applyFill="1" applyBorder="1" applyAlignment="1" applyProtection="1">
      <protection locked="0"/>
    </xf>
    <xf numFmtId="260" fontId="36" fillId="0" borderId="0" xfId="3" applyFont="1" applyFill="1" applyAlignment="1" applyProtection="1">
      <protection locked="0"/>
    </xf>
    <xf numFmtId="0" fontId="36" fillId="0" borderId="0" xfId="0" applyNumberFormat="1" applyFont="1" applyFill="1" applyAlignment="1" applyProtection="1">
      <alignment horizontal="center"/>
      <protection locked="0"/>
    </xf>
    <xf numFmtId="0" fontId="29" fillId="0" borderId="0" xfId="0" applyFont="1" applyFill="1" applyBorder="1" applyProtection="1">
      <protection locked="0"/>
    </xf>
    <xf numFmtId="167" fontId="29" fillId="0" borderId="0" xfId="42" applyNumberFormat="1" applyFont="1" applyFill="1" applyAlignment="1">
      <alignment horizontal="center"/>
    </xf>
    <xf numFmtId="167" fontId="36" fillId="0" borderId="0" xfId="42" applyNumberFormat="1" applyFont="1" applyFill="1" applyAlignment="1">
      <alignment horizontal="center"/>
    </xf>
    <xf numFmtId="167" fontId="29" fillId="0" borderId="119" xfId="0" applyNumberFormat="1" applyFont="1" applyFill="1" applyBorder="1"/>
    <xf numFmtId="43" fontId="29" fillId="0" borderId="0" xfId="3" applyNumberFormat="1" applyFont="1" applyFill="1" applyBorder="1"/>
    <xf numFmtId="43" fontId="29" fillId="0" borderId="2" xfId="3" applyNumberFormat="1" applyFont="1" applyFill="1" applyBorder="1"/>
    <xf numFmtId="260" fontId="36" fillId="0" borderId="0" xfId="3" applyFont="1" applyFill="1" applyBorder="1" applyAlignment="1">
      <alignment horizontal="right" vertical="center"/>
    </xf>
    <xf numFmtId="0" fontId="209" fillId="0" borderId="0" xfId="1730" applyFont="1" applyFill="1" applyBorder="1" applyAlignment="1" applyProtection="1">
      <alignment horizontal="center" vertical="top"/>
    </xf>
    <xf numFmtId="260" fontId="209" fillId="0" borderId="0" xfId="3" applyFont="1" applyFill="1" applyBorder="1" applyAlignment="1" applyProtection="1">
      <alignment horizontal="right" vertical="top"/>
    </xf>
    <xf numFmtId="49" fontId="209" fillId="0" borderId="0" xfId="0" applyNumberFormat="1" applyFont="1" applyFill="1" applyBorder="1" applyAlignment="1">
      <alignment horizontal="center" vertical="center"/>
    </xf>
    <xf numFmtId="43" fontId="208" fillId="0" borderId="0" xfId="0" applyNumberFormat="1" applyFont="1" applyFill="1"/>
    <xf numFmtId="3" fontId="208" fillId="0" borderId="0" xfId="0" applyNumberFormat="1" applyFont="1" applyFill="1"/>
    <xf numFmtId="0" fontId="209" fillId="0" borderId="0" xfId="1730" quotePrefix="1" applyFont="1" applyFill="1" applyBorder="1" applyAlignment="1" applyProtection="1">
      <alignment horizontal="center" vertical="top"/>
    </xf>
    <xf numFmtId="260" fontId="209" fillId="0" borderId="0" xfId="3" quotePrefix="1" applyFont="1" applyFill="1" applyBorder="1" applyAlignment="1" applyProtection="1">
      <alignment horizontal="center" vertical="top"/>
    </xf>
    <xf numFmtId="49" fontId="209" fillId="0" borderId="0" xfId="0" quotePrefix="1" applyNumberFormat="1" applyFont="1" applyFill="1" applyBorder="1" applyAlignment="1">
      <alignment horizontal="center" vertical="center"/>
    </xf>
    <xf numFmtId="0" fontId="209" fillId="0" borderId="104" xfId="848" applyNumberFormat="1" applyFont="1" applyFill="1" applyBorder="1" applyAlignment="1">
      <alignment horizontal="center" vertical="center" wrapText="1"/>
    </xf>
    <xf numFmtId="0" fontId="209" fillId="0" borderId="0" xfId="848" applyNumberFormat="1" applyFont="1" applyFill="1" applyBorder="1" applyAlignment="1">
      <alignment horizontal="center" vertical="center" wrapText="1"/>
    </xf>
    <xf numFmtId="167" fontId="209" fillId="0" borderId="0" xfId="3" applyNumberFormat="1" applyFont="1" applyFill="1" applyAlignment="1">
      <alignment horizontal="centerContinuous"/>
    </xf>
    <xf numFmtId="0" fontId="208" fillId="0" borderId="0" xfId="0" applyFont="1" applyFill="1" applyAlignment="1">
      <alignment vertical="top"/>
    </xf>
    <xf numFmtId="167" fontId="209" fillId="0" borderId="0" xfId="3" applyNumberFormat="1" applyFont="1" applyFill="1"/>
    <xf numFmtId="0" fontId="238" fillId="0" borderId="0" xfId="2251" applyFont="1" applyFill="1" applyAlignment="1">
      <alignment horizontal="left"/>
      <protection locked="0"/>
    </xf>
    <xf numFmtId="167" fontId="208" fillId="0" borderId="120" xfId="40375" applyNumberFormat="1" applyFont="1" applyFill="1" applyBorder="1" applyAlignment="1">
      <alignment vertical="top"/>
    </xf>
    <xf numFmtId="167" fontId="208" fillId="0" borderId="67" xfId="0" applyNumberFormat="1" applyFont="1" applyFill="1" applyBorder="1"/>
    <xf numFmtId="0" fontId="208" fillId="0" borderId="6" xfId="0" applyFont="1" applyFill="1" applyBorder="1"/>
    <xf numFmtId="167" fontId="208" fillId="0" borderId="7" xfId="40375" applyNumberFormat="1" applyFont="1" applyFill="1" applyBorder="1" applyAlignment="1">
      <alignment vertical="top"/>
    </xf>
    <xf numFmtId="261" fontId="208" fillId="0" borderId="0" xfId="3" applyNumberFormat="1" applyFont="1" applyFill="1"/>
    <xf numFmtId="167" fontId="208" fillId="0" borderId="120" xfId="0" applyNumberFormat="1" applyFont="1" applyFill="1" applyBorder="1"/>
    <xf numFmtId="167" fontId="208" fillId="0" borderId="7" xfId="3" applyNumberFormat="1" applyFont="1" applyFill="1" applyBorder="1"/>
    <xf numFmtId="167" fontId="208" fillId="0" borderId="10" xfId="40375" applyNumberFormat="1" applyFont="1" applyFill="1" applyBorder="1" applyAlignment="1">
      <alignment vertical="top"/>
    </xf>
    <xf numFmtId="260" fontId="208" fillId="0" borderId="52" xfId="3" applyFont="1" applyFill="1" applyBorder="1" applyAlignment="1">
      <alignment vertical="top"/>
    </xf>
    <xf numFmtId="167" fontId="208" fillId="0" borderId="64" xfId="3" applyNumberFormat="1" applyFont="1" applyFill="1" applyBorder="1"/>
    <xf numFmtId="0" fontId="238" fillId="0" borderId="0" xfId="131" applyFont="1" applyFill="1" applyAlignment="1">
      <alignment horizontal="left" indent="1"/>
      <protection locked="0"/>
    </xf>
    <xf numFmtId="167" fontId="208" fillId="0" borderId="0" xfId="40375" applyNumberFormat="1" applyFont="1" applyFill="1" applyBorder="1" applyAlignment="1">
      <alignment vertical="top"/>
    </xf>
    <xf numFmtId="0" fontId="238" fillId="0" borderId="0" xfId="4837" applyFont="1" applyFill="1" applyAlignment="1">
      <protection locked="0"/>
    </xf>
    <xf numFmtId="260" fontId="208" fillId="0" borderId="120" xfId="3" applyFont="1" applyFill="1" applyBorder="1"/>
    <xf numFmtId="167" fontId="208" fillId="0" borderId="10" xfId="3" applyNumberFormat="1" applyFont="1" applyFill="1" applyBorder="1"/>
    <xf numFmtId="0" fontId="238" fillId="0" borderId="0" xfId="2251" quotePrefix="1" applyFont="1" applyFill="1" applyAlignment="1">
      <alignment horizontal="left"/>
      <protection locked="0"/>
    </xf>
    <xf numFmtId="260" fontId="208" fillId="0" borderId="7" xfId="3" applyFont="1" applyFill="1" applyBorder="1"/>
    <xf numFmtId="167" fontId="208" fillId="0" borderId="0" xfId="0" applyNumberFormat="1" applyFont="1" applyFill="1" applyBorder="1"/>
    <xf numFmtId="260" fontId="208" fillId="0" borderId="64" xfId="3" applyFont="1" applyFill="1" applyBorder="1"/>
    <xf numFmtId="260" fontId="208" fillId="0" borderId="10" xfId="3" applyFont="1" applyFill="1" applyBorder="1"/>
    <xf numFmtId="167" fontId="208" fillId="0" borderId="0" xfId="848" applyNumberFormat="1" applyFont="1" applyFill="1" applyBorder="1" applyAlignment="1" applyProtection="1">
      <alignment vertical="top"/>
      <protection locked="0"/>
    </xf>
    <xf numFmtId="43" fontId="208" fillId="0" borderId="0" xfId="848" applyFont="1" applyFill="1" applyBorder="1" applyAlignment="1" applyProtection="1">
      <alignment vertical="top"/>
      <protection locked="0"/>
    </xf>
    <xf numFmtId="0" fontId="208" fillId="0" borderId="0" xfId="33" applyFont="1" applyFill="1" applyAlignment="1">
      <alignment horizontal="left"/>
    </xf>
    <xf numFmtId="260" fontId="208" fillId="0" borderId="119" xfId="3" applyFont="1" applyFill="1" applyBorder="1"/>
    <xf numFmtId="0" fontId="208" fillId="0" borderId="0" xfId="33" applyFont="1" applyFill="1" applyAlignment="1">
      <alignment horizontal="left" indent="1"/>
    </xf>
    <xf numFmtId="0" fontId="238" fillId="0" borderId="0" xfId="0" applyFont="1" applyFill="1" applyAlignment="1" applyProtection="1">
      <alignment horizontal="left" indent="4"/>
      <protection locked="0"/>
    </xf>
    <xf numFmtId="0" fontId="208" fillId="0" borderId="0" xfId="33" applyFont="1" applyFill="1"/>
    <xf numFmtId="0" fontId="238" fillId="0" borderId="0" xfId="0" applyFont="1" applyFill="1" applyAlignment="1" applyProtection="1">
      <protection locked="0"/>
    </xf>
    <xf numFmtId="167" fontId="208" fillId="0" borderId="120" xfId="591" applyNumberFormat="1" applyFont="1" applyFill="1" applyBorder="1" applyAlignment="1">
      <alignment vertical="top"/>
    </xf>
    <xf numFmtId="167" fontId="208" fillId="0" borderId="0" xfId="591" applyNumberFormat="1" applyFont="1" applyFill="1" applyBorder="1" applyAlignment="1">
      <alignment vertical="top"/>
    </xf>
    <xf numFmtId="167" fontId="208" fillId="0" borderId="10" xfId="591" applyNumberFormat="1" applyFont="1" applyFill="1" applyBorder="1" applyAlignment="1">
      <alignment vertical="top"/>
    </xf>
    <xf numFmtId="0" fontId="209" fillId="0" borderId="0" xfId="33" applyFont="1" applyFill="1" applyAlignment="1"/>
    <xf numFmtId="260" fontId="209" fillId="0" borderId="102" xfId="3" applyFont="1" applyFill="1" applyBorder="1"/>
    <xf numFmtId="167" fontId="209" fillId="0" borderId="102" xfId="3" applyNumberFormat="1" applyFont="1" applyFill="1" applyBorder="1"/>
    <xf numFmtId="167" fontId="208" fillId="0" borderId="102" xfId="3" applyNumberFormat="1" applyFont="1" applyFill="1" applyBorder="1"/>
    <xf numFmtId="43" fontId="208" fillId="0" borderId="0" xfId="3" applyNumberFormat="1" applyFont="1" applyFill="1"/>
    <xf numFmtId="0" fontId="208" fillId="0" borderId="0" xfId="33" applyFont="1" applyFill="1" applyAlignment="1"/>
    <xf numFmtId="178" fontId="208" fillId="0" borderId="0" xfId="3" applyNumberFormat="1" applyFont="1" applyFill="1"/>
    <xf numFmtId="260" fontId="208" fillId="0" borderId="101" xfId="3" applyFont="1" applyFill="1" applyBorder="1"/>
    <xf numFmtId="260" fontId="209" fillId="0" borderId="0" xfId="3" applyFont="1" applyFill="1"/>
    <xf numFmtId="167" fontId="209" fillId="0" borderId="119" xfId="3" applyNumberFormat="1" applyFont="1" applyFill="1" applyBorder="1"/>
    <xf numFmtId="167" fontId="208" fillId="0" borderId="119" xfId="3" applyNumberFormat="1" applyFont="1" applyFill="1" applyBorder="1"/>
    <xf numFmtId="260" fontId="208" fillId="0" borderId="102" xfId="3" applyFont="1" applyFill="1" applyBorder="1"/>
    <xf numFmtId="0" fontId="208" fillId="0" borderId="0" xfId="0" applyFont="1" applyFill="1" applyAlignment="1">
      <alignment horizontal="left" indent="1"/>
    </xf>
    <xf numFmtId="0" fontId="238" fillId="0" borderId="0" xfId="0" quotePrefix="1" applyFont="1" applyFill="1" applyAlignment="1" applyProtection="1">
      <alignment horizontal="left" indent="2"/>
      <protection locked="0"/>
    </xf>
    <xf numFmtId="167" fontId="208" fillId="0" borderId="59" xfId="3" applyNumberFormat="1" applyFont="1" applyFill="1" applyBorder="1"/>
    <xf numFmtId="0" fontId="238" fillId="0" borderId="0" xfId="0" applyFont="1" applyFill="1" applyAlignment="1" applyProtection="1">
      <alignment horizontal="left" indent="3"/>
      <protection locked="0"/>
    </xf>
    <xf numFmtId="0" fontId="208" fillId="0" borderId="0" xfId="33" applyFont="1" applyFill="1" applyBorder="1" applyAlignment="1">
      <alignment horizontal="left" indent="1"/>
    </xf>
    <xf numFmtId="172" fontId="208" fillId="0" borderId="0" xfId="0" applyNumberFormat="1" applyFont="1" applyFill="1"/>
    <xf numFmtId="167" fontId="208" fillId="0" borderId="7" xfId="0" applyNumberFormat="1" applyFont="1" applyFill="1" applyBorder="1"/>
    <xf numFmtId="0" fontId="208" fillId="0" borderId="7" xfId="0" applyFont="1" applyFill="1" applyBorder="1"/>
    <xf numFmtId="37" fontId="208" fillId="0" borderId="0" xfId="0" applyNumberFormat="1" applyFont="1" applyFill="1" applyBorder="1"/>
    <xf numFmtId="37" fontId="208" fillId="0" borderId="7" xfId="0" applyNumberFormat="1" applyFont="1" applyFill="1" applyBorder="1"/>
    <xf numFmtId="0" fontId="208" fillId="0" borderId="0" xfId="0" applyFont="1" applyFill="1" applyBorder="1" applyAlignment="1">
      <alignment horizontal="left"/>
    </xf>
    <xf numFmtId="37" fontId="208" fillId="0" borderId="0" xfId="3" applyNumberFormat="1" applyFont="1" applyFill="1" applyBorder="1"/>
    <xf numFmtId="167" fontId="208" fillId="7" borderId="7" xfId="31" applyNumberFormat="1" applyFont="1" applyFill="1" applyBorder="1"/>
    <xf numFmtId="167" fontId="208" fillId="7" borderId="64" xfId="31" applyNumberFormat="1" applyFont="1" applyFill="1" applyBorder="1"/>
    <xf numFmtId="167" fontId="208" fillId="0" borderId="64" xfId="0" applyNumberFormat="1" applyFont="1" applyFill="1" applyBorder="1"/>
    <xf numFmtId="37" fontId="208" fillId="0" borderId="0" xfId="3" applyNumberFormat="1" applyFont="1" applyFill="1"/>
    <xf numFmtId="167" fontId="208" fillId="0" borderId="16" xfId="3" applyNumberFormat="1" applyFont="1" applyFill="1" applyBorder="1"/>
    <xf numFmtId="167" fontId="208" fillId="0" borderId="9" xfId="0" applyNumberFormat="1" applyFont="1" applyFill="1" applyBorder="1"/>
    <xf numFmtId="37" fontId="208" fillId="0" borderId="9" xfId="0" applyNumberFormat="1" applyFont="1" applyFill="1" applyBorder="1"/>
    <xf numFmtId="37" fontId="208" fillId="0" borderId="102" xfId="0" applyNumberFormat="1" applyFont="1" applyFill="1" applyBorder="1"/>
    <xf numFmtId="0" fontId="209" fillId="0" borderId="0" xfId="1730" applyFont="1" applyFill="1" applyAlignment="1" applyProtection="1">
      <alignment horizontal="center" vertical="top"/>
      <protection locked="0"/>
    </xf>
    <xf numFmtId="43" fontId="208" fillId="0" borderId="0" xfId="3" applyNumberFormat="1" applyFont="1" applyFill="1" applyBorder="1"/>
    <xf numFmtId="0" fontId="209" fillId="0" borderId="0" xfId="0" applyNumberFormat="1" applyFont="1" applyFill="1" applyAlignment="1">
      <alignment horizontal="center" vertical="center"/>
    </xf>
    <xf numFmtId="43" fontId="208" fillId="0" borderId="126" xfId="3" applyNumberFormat="1" applyFont="1" applyFill="1" applyBorder="1"/>
    <xf numFmtId="260" fontId="209" fillId="0" borderId="0" xfId="3" applyFont="1" applyFill="1" applyBorder="1"/>
    <xf numFmtId="260" fontId="208" fillId="0" borderId="9" xfId="3" applyFont="1" applyFill="1" applyBorder="1"/>
    <xf numFmtId="0" fontId="36" fillId="5" borderId="0" xfId="0" applyNumberFormat="1" applyFont="1" applyFill="1" applyAlignment="1"/>
    <xf numFmtId="0" fontId="36" fillId="5" borderId="0" xfId="0" applyFont="1" applyFill="1"/>
    <xf numFmtId="0" fontId="22" fillId="7" borderId="0" xfId="0" applyFont="1" applyFill="1"/>
    <xf numFmtId="167" fontId="239" fillId="0" borderId="0" xfId="40376" applyNumberFormat="1" applyFont="1"/>
    <xf numFmtId="0" fontId="239" fillId="0" borderId="0" xfId="40377" applyFont="1"/>
    <xf numFmtId="0" fontId="24" fillId="0" borderId="0" xfId="0" applyFont="1" applyFill="1" applyBorder="1" applyAlignment="1">
      <alignment horizontal="centerContinuous" vertical="top"/>
    </xf>
    <xf numFmtId="37" fontId="24" fillId="0" borderId="0" xfId="0" applyNumberFormat="1" applyFont="1" applyFill="1" applyBorder="1" applyAlignment="1">
      <alignment horizontal="centerContinuous"/>
    </xf>
    <xf numFmtId="228" fontId="24" fillId="0" borderId="0" xfId="0" applyNumberFormat="1" applyFont="1" applyFill="1" applyBorder="1" applyAlignment="1">
      <alignment horizontal="centerContinuous"/>
    </xf>
    <xf numFmtId="167" fontId="24" fillId="0" borderId="0" xfId="3" applyNumberFormat="1" applyFont="1" applyFill="1" applyBorder="1" applyAlignment="1">
      <alignment horizontal="centerContinuous"/>
    </xf>
    <xf numFmtId="0" fontId="24" fillId="0" borderId="0" xfId="0" applyFont="1" applyFill="1"/>
    <xf numFmtId="0" fontId="35" fillId="0" borderId="0" xfId="0" applyNumberFormat="1" applyFont="1" applyFill="1" applyBorder="1" applyAlignment="1"/>
    <xf numFmtId="228" fontId="24" fillId="0" borderId="0" xfId="0" applyNumberFormat="1" applyFont="1" applyFill="1" applyBorder="1" applyAlignment="1"/>
    <xf numFmtId="0" fontId="24" fillId="0" borderId="0" xfId="0" applyFont="1" applyFill="1" applyAlignment="1">
      <alignment vertical="top"/>
    </xf>
    <xf numFmtId="228" fontId="35" fillId="0" borderId="0" xfId="0" applyNumberFormat="1" applyFont="1" applyFill="1" applyBorder="1" applyAlignment="1">
      <alignment vertical="top"/>
    </xf>
    <xf numFmtId="228" fontId="24" fillId="0" borderId="0" xfId="0" applyNumberFormat="1" applyFont="1" applyFill="1" applyAlignment="1">
      <alignment vertical="top"/>
    </xf>
    <xf numFmtId="228" fontId="24" fillId="0" borderId="0" xfId="3" applyNumberFormat="1" applyFont="1" applyFill="1" applyBorder="1" applyAlignment="1">
      <alignment vertical="top"/>
    </xf>
    <xf numFmtId="260" fontId="24" fillId="0" borderId="0" xfId="3" applyFont="1" applyFill="1" applyBorder="1" applyAlignment="1">
      <alignment vertical="top"/>
    </xf>
    <xf numFmtId="167" fontId="24" fillId="0" borderId="0" xfId="3" applyNumberFormat="1" applyFont="1" applyFill="1" applyAlignment="1">
      <alignment vertical="top"/>
    </xf>
    <xf numFmtId="167" fontId="24" fillId="0" borderId="0" xfId="3" applyNumberFormat="1" applyFont="1" applyFill="1"/>
    <xf numFmtId="0" fontId="24" fillId="0" borderId="0" xfId="0" applyFont="1" applyFill="1" applyBorder="1" applyAlignment="1"/>
    <xf numFmtId="228" fontId="24" fillId="0" borderId="0" xfId="0" applyNumberFormat="1" applyFont="1" applyFill="1" applyAlignment="1"/>
    <xf numFmtId="228" fontId="24" fillId="0" borderId="0" xfId="0" applyNumberFormat="1" applyFont="1" applyFill="1" applyBorder="1" applyAlignment="1">
      <alignment vertical="top"/>
    </xf>
    <xf numFmtId="0" fontId="241" fillId="0" borderId="0" xfId="0" applyNumberFormat="1" applyFont="1" applyFill="1" applyBorder="1" applyAlignment="1"/>
    <xf numFmtId="0" fontId="242" fillId="0" borderId="0" xfId="3" applyNumberFormat="1" applyFont="1" applyFill="1" applyBorder="1" applyAlignment="1">
      <alignment horizontal="center" vertical="center" wrapText="1"/>
    </xf>
    <xf numFmtId="167" fontId="242" fillId="0" borderId="0" xfId="3" applyNumberFormat="1" applyFont="1" applyFill="1" applyBorder="1" applyAlignment="1">
      <alignment horizontal="center" vertical="center" wrapText="1"/>
    </xf>
    <xf numFmtId="0" fontId="241" fillId="0" borderId="0" xfId="0" applyNumberFormat="1" applyFont="1" applyFill="1"/>
    <xf numFmtId="0" fontId="242" fillId="0" borderId="0" xfId="0" applyNumberFormat="1" applyFont="1" applyFill="1" applyAlignment="1">
      <alignment vertical="top"/>
    </xf>
    <xf numFmtId="260" fontId="241" fillId="0" borderId="0" xfId="3" applyFont="1" applyFill="1" applyAlignment="1">
      <alignment vertical="top"/>
    </xf>
    <xf numFmtId="0" fontId="241" fillId="0" borderId="0" xfId="0" applyNumberFormat="1" applyFont="1" applyFill="1" applyAlignment="1">
      <alignment vertical="top"/>
    </xf>
    <xf numFmtId="0" fontId="242" fillId="0" borderId="0" xfId="0" applyNumberFormat="1" applyFont="1" applyFill="1" applyAlignment="1">
      <alignment vertical="center"/>
    </xf>
    <xf numFmtId="260" fontId="241" fillId="0" borderId="0" xfId="3" applyFont="1" applyFill="1" applyAlignment="1">
      <alignment vertical="center"/>
    </xf>
    <xf numFmtId="0" fontId="241" fillId="0" borderId="0" xfId="3" applyNumberFormat="1" applyFont="1" applyFill="1" applyAlignment="1">
      <alignment vertical="top"/>
    </xf>
    <xf numFmtId="0" fontId="241" fillId="0" borderId="0" xfId="3" applyNumberFormat="1" applyFont="1" applyFill="1"/>
    <xf numFmtId="0" fontId="241" fillId="0" borderId="0" xfId="0" applyNumberFormat="1" applyFont="1" applyFill="1" applyBorder="1" applyAlignment="1">
      <alignment horizontal="center" vertical="center" wrapText="1"/>
    </xf>
    <xf numFmtId="0" fontId="241" fillId="0" borderId="0" xfId="0" applyNumberFormat="1" applyFont="1" applyFill="1" applyAlignment="1">
      <alignment horizontal="center" vertical="center"/>
    </xf>
    <xf numFmtId="167" fontId="241" fillId="0" borderId="0" xfId="3" applyNumberFormat="1" applyFont="1" applyFill="1" applyAlignment="1">
      <alignment horizontal="center" vertical="center"/>
    </xf>
    <xf numFmtId="228" fontId="242" fillId="0" borderId="0" xfId="0" applyNumberFormat="1" applyFont="1" applyFill="1" applyBorder="1" applyAlignment="1">
      <alignment vertical="center"/>
    </xf>
    <xf numFmtId="0" fontId="77" fillId="0" borderId="0" xfId="0" applyFont="1" applyAlignment="1">
      <alignment vertical="center"/>
    </xf>
    <xf numFmtId="0" fontId="241" fillId="0" borderId="0" xfId="0" quotePrefix="1" applyNumberFormat="1" applyFont="1" applyFill="1" applyBorder="1" applyAlignment="1">
      <alignment horizontal="center" vertical="center"/>
    </xf>
    <xf numFmtId="0" fontId="241" fillId="0" borderId="0" xfId="0" applyFont="1" applyFill="1" applyBorder="1" applyAlignment="1"/>
    <xf numFmtId="0" fontId="242" fillId="0" borderId="0" xfId="0" applyFont="1" applyFill="1" applyBorder="1" applyAlignment="1">
      <alignment horizontal="left" vertical="center"/>
    </xf>
    <xf numFmtId="228" fontId="241" fillId="0" borderId="0" xfId="0" applyNumberFormat="1" applyFont="1" applyFill="1" applyBorder="1" applyAlignment="1">
      <alignment vertical="center"/>
    </xf>
    <xf numFmtId="228" fontId="241" fillId="0" borderId="0" xfId="0" applyNumberFormat="1" applyFont="1" applyFill="1" applyAlignment="1"/>
    <xf numFmtId="228" fontId="241" fillId="0" borderId="0" xfId="3" applyNumberFormat="1" applyFont="1" applyFill="1" applyBorder="1" applyAlignment="1">
      <alignment vertical="center"/>
    </xf>
    <xf numFmtId="228" fontId="241" fillId="0" borderId="0" xfId="3" applyNumberFormat="1" applyFont="1" applyFill="1" applyAlignment="1">
      <alignment vertical="center"/>
    </xf>
    <xf numFmtId="167" fontId="241" fillId="0" borderId="0" xfId="3" applyNumberFormat="1" applyFont="1" applyFill="1" applyAlignment="1">
      <alignment vertical="center"/>
    </xf>
    <xf numFmtId="167" fontId="241" fillId="0" borderId="0" xfId="3" applyNumberFormat="1" applyFont="1" applyFill="1" applyAlignment="1">
      <alignment vertical="top"/>
    </xf>
    <xf numFmtId="167" fontId="243" fillId="0" borderId="0" xfId="3" applyNumberFormat="1" applyFont="1" applyFill="1"/>
    <xf numFmtId="167" fontId="241" fillId="0" borderId="0" xfId="3" applyNumberFormat="1" applyFont="1" applyFill="1"/>
    <xf numFmtId="0" fontId="241" fillId="0" borderId="0" xfId="0" applyFont="1" applyFill="1"/>
    <xf numFmtId="0" fontId="241" fillId="0" borderId="0" xfId="0" applyFont="1" applyFill="1" applyBorder="1" applyAlignment="1">
      <alignment horizontal="left" vertical="center"/>
    </xf>
    <xf numFmtId="260" fontId="241" fillId="0" borderId="0" xfId="3" applyFont="1" applyFill="1" applyBorder="1" applyAlignment="1">
      <alignment vertical="top"/>
    </xf>
    <xf numFmtId="260" fontId="241" fillId="0" borderId="120" xfId="3" applyFont="1" applyFill="1" applyBorder="1" applyAlignment="1">
      <alignment vertical="top"/>
    </xf>
    <xf numFmtId="260" fontId="241" fillId="0" borderId="125" xfId="3" applyFont="1" applyFill="1" applyBorder="1" applyAlignment="1">
      <alignment vertical="center"/>
    </xf>
    <xf numFmtId="260" fontId="241" fillId="0" borderId="120" xfId="3" applyFont="1" applyFill="1" applyBorder="1" applyAlignment="1">
      <alignment vertical="center"/>
    </xf>
    <xf numFmtId="10" fontId="241" fillId="0" borderId="0" xfId="4" applyNumberFormat="1" applyFont="1" applyFill="1" applyBorder="1" applyAlignment="1">
      <alignment vertical="center"/>
    </xf>
    <xf numFmtId="191" fontId="241" fillId="0" borderId="0" xfId="4" applyNumberFormat="1" applyFont="1" applyFill="1" applyBorder="1" applyAlignment="1">
      <alignment vertical="center"/>
    </xf>
    <xf numFmtId="9" fontId="241" fillId="0" borderId="0" xfId="4" applyNumberFormat="1" applyFont="1" applyFill="1" applyBorder="1" applyAlignment="1">
      <alignment vertical="center"/>
    </xf>
    <xf numFmtId="167" fontId="241" fillId="0" borderId="0" xfId="3" applyNumberFormat="1" applyFont="1" applyFill="1" applyBorder="1" applyAlignment="1">
      <alignment vertical="center"/>
    </xf>
    <xf numFmtId="2" fontId="241" fillId="0" borderId="0" xfId="3" applyNumberFormat="1" applyFont="1" applyFill="1" applyBorder="1" applyAlignment="1">
      <alignment vertical="center"/>
    </xf>
    <xf numFmtId="167" fontId="241" fillId="0" borderId="0" xfId="0" applyNumberFormat="1" applyFont="1" applyFill="1"/>
    <xf numFmtId="260" fontId="241" fillId="0" borderId="0" xfId="3" applyFont="1" applyFill="1"/>
    <xf numFmtId="0" fontId="241" fillId="0" borderId="0" xfId="0" applyFont="1" applyFill="1" applyAlignment="1">
      <alignment vertical="center"/>
    </xf>
    <xf numFmtId="260" fontId="241" fillId="0" borderId="7" xfId="3" applyFont="1" applyFill="1" applyBorder="1" applyAlignment="1">
      <alignment vertical="top"/>
    </xf>
    <xf numFmtId="260" fontId="241" fillId="0" borderId="51" xfId="3" applyFont="1" applyFill="1" applyBorder="1" applyAlignment="1">
      <alignment vertical="center"/>
    </xf>
    <xf numFmtId="260" fontId="241" fillId="0" borderId="7" xfId="3" applyFont="1" applyFill="1" applyBorder="1" applyAlignment="1">
      <alignment vertical="center"/>
    </xf>
    <xf numFmtId="191" fontId="241" fillId="0" borderId="51" xfId="4" applyNumberFormat="1" applyFont="1" applyFill="1" applyBorder="1" applyAlignment="1">
      <alignment vertical="center"/>
    </xf>
    <xf numFmtId="191" fontId="241" fillId="0" borderId="7" xfId="4" applyNumberFormat="1" applyFont="1" applyFill="1" applyBorder="1" applyAlignment="1">
      <alignment vertical="center"/>
    </xf>
    <xf numFmtId="260" fontId="241" fillId="0" borderId="0" xfId="3" applyFont="1" applyFill="1" applyBorder="1" applyAlignment="1">
      <alignment vertical="center"/>
    </xf>
    <xf numFmtId="260" fontId="241" fillId="0" borderId="10" xfId="3" applyFont="1" applyFill="1" applyBorder="1" applyAlignment="1">
      <alignment vertical="top"/>
    </xf>
    <xf numFmtId="191" fontId="241" fillId="0" borderId="42" xfId="4" applyNumberFormat="1" applyFont="1" applyFill="1" applyBorder="1" applyAlignment="1">
      <alignment vertical="center"/>
    </xf>
    <xf numFmtId="191" fontId="241" fillId="0" borderId="10" xfId="4" applyNumberFormat="1" applyFont="1" applyFill="1" applyBorder="1" applyAlignment="1">
      <alignment vertical="center"/>
    </xf>
    <xf numFmtId="191" fontId="241" fillId="0" borderId="0" xfId="4" applyNumberFormat="1" applyFont="1" applyFill="1" applyAlignment="1"/>
    <xf numFmtId="9" fontId="241" fillId="0" borderId="0" xfId="4" applyNumberFormat="1" applyFont="1" applyFill="1"/>
    <xf numFmtId="10" fontId="241" fillId="0" borderId="0" xfId="4" applyNumberFormat="1" applyFont="1" applyFill="1"/>
    <xf numFmtId="185" fontId="241" fillId="0" borderId="0" xfId="3" applyNumberFormat="1" applyFont="1" applyFill="1"/>
    <xf numFmtId="191" fontId="241" fillId="0" borderId="0" xfId="4" applyNumberFormat="1" applyFont="1" applyFill="1"/>
    <xf numFmtId="0" fontId="241" fillId="0" borderId="0" xfId="0" applyFont="1" applyFill="1" applyAlignment="1"/>
    <xf numFmtId="260" fontId="241" fillId="0" borderId="1" xfId="3" applyFont="1" applyFill="1" applyBorder="1" applyAlignment="1">
      <alignment vertical="top"/>
    </xf>
    <xf numFmtId="260" fontId="241" fillId="0" borderId="60" xfId="3" applyFont="1" applyFill="1" applyBorder="1" applyAlignment="1">
      <alignment vertical="top"/>
    </xf>
    <xf numFmtId="191" fontId="241" fillId="0" borderId="1" xfId="4" applyNumberFormat="1" applyFont="1" applyFill="1" applyBorder="1" applyAlignment="1">
      <alignment vertical="center"/>
    </xf>
    <xf numFmtId="191" fontId="241" fillId="0" borderId="104" xfId="4" applyNumberFormat="1" applyFont="1" applyFill="1" applyBorder="1" applyAlignment="1">
      <alignment vertical="center"/>
    </xf>
    <xf numFmtId="0" fontId="241" fillId="0" borderId="0" xfId="0" applyFont="1" applyFill="1" applyBorder="1" applyAlignment="1">
      <alignment horizontal="center" vertical="center" wrapText="1"/>
    </xf>
    <xf numFmtId="191" fontId="241" fillId="0" borderId="0" xfId="3" applyNumberFormat="1" applyFont="1" applyFill="1" applyBorder="1" applyAlignment="1">
      <alignment vertical="center"/>
    </xf>
    <xf numFmtId="260" fontId="241" fillId="0" borderId="59" xfId="3" applyFont="1" applyFill="1" applyBorder="1" applyAlignment="1">
      <alignment vertical="top"/>
    </xf>
    <xf numFmtId="260" fontId="241" fillId="0" borderId="49" xfId="3" applyFont="1" applyFill="1" applyBorder="1" applyAlignment="1">
      <alignment vertical="top"/>
    </xf>
    <xf numFmtId="191" fontId="241" fillId="0" borderId="120" xfId="4" applyNumberFormat="1" applyFont="1" applyFill="1" applyBorder="1" applyAlignment="1">
      <alignment vertical="center"/>
    </xf>
    <xf numFmtId="191" fontId="241" fillId="0" borderId="121" xfId="4" applyNumberFormat="1" applyFont="1" applyFill="1" applyBorder="1" applyAlignment="1">
      <alignment vertical="center"/>
    </xf>
    <xf numFmtId="260" fontId="241" fillId="0" borderId="64" xfId="3" applyFont="1" applyFill="1" applyBorder="1" applyAlignment="1">
      <alignment vertical="top"/>
    </xf>
    <xf numFmtId="260" fontId="241" fillId="0" borderId="65" xfId="3" applyFont="1" applyFill="1" applyBorder="1" applyAlignment="1">
      <alignment vertical="top"/>
    </xf>
    <xf numFmtId="260" fontId="241" fillId="0" borderId="10" xfId="3" applyFont="1" applyFill="1" applyBorder="1" applyAlignment="1">
      <alignment vertical="center"/>
    </xf>
    <xf numFmtId="260" fontId="241" fillId="0" borderId="127" xfId="3" applyFont="1" applyFill="1" applyBorder="1" applyAlignment="1">
      <alignment vertical="center"/>
    </xf>
    <xf numFmtId="260" fontId="242" fillId="0" borderId="0" xfId="3" applyFont="1" applyFill="1" applyBorder="1" applyAlignment="1">
      <alignment vertical="top"/>
    </xf>
    <xf numFmtId="9" fontId="241" fillId="0" borderId="0" xfId="4" applyFont="1" applyFill="1"/>
    <xf numFmtId="227" fontId="241" fillId="0" borderId="0" xfId="4" applyNumberFormat="1" applyFont="1" applyFill="1"/>
    <xf numFmtId="0" fontId="241" fillId="0" borderId="0" xfId="0" applyFont="1" applyFill="1" applyBorder="1" applyAlignment="1">
      <alignment horizontal="right"/>
    </xf>
    <xf numFmtId="0" fontId="242" fillId="0" borderId="0" xfId="0" applyNumberFormat="1" applyFont="1" applyFill="1" applyBorder="1" applyAlignment="1">
      <alignment horizontal="left"/>
    </xf>
    <xf numFmtId="228" fontId="242" fillId="0" borderId="0" xfId="3" applyNumberFormat="1" applyFont="1" applyFill="1" applyBorder="1" applyAlignment="1">
      <alignment vertical="center"/>
    </xf>
    <xf numFmtId="43" fontId="241" fillId="0" borderId="0" xfId="3" applyNumberFormat="1" applyFont="1" applyFill="1" applyAlignment="1">
      <alignment vertical="center"/>
    </xf>
    <xf numFmtId="0" fontId="24" fillId="0" borderId="0" xfId="0" applyFont="1" applyFill="1" applyBorder="1" applyAlignment="1">
      <alignment horizontal="center" vertical="center" wrapText="1"/>
    </xf>
    <xf numFmtId="228" fontId="24" fillId="0" borderId="0" xfId="0" applyNumberFormat="1" applyFont="1" applyFill="1" applyBorder="1" applyAlignment="1">
      <alignment vertical="center"/>
    </xf>
    <xf numFmtId="228" fontId="35" fillId="0" borderId="0" xfId="0" applyNumberFormat="1" applyFont="1" applyFill="1" applyBorder="1" applyAlignment="1">
      <alignment vertical="center"/>
    </xf>
    <xf numFmtId="0" fontId="24" fillId="0" borderId="0" xfId="0" quotePrefix="1" applyFont="1" applyFill="1" applyBorder="1" applyAlignment="1">
      <alignment horizontal="center" vertical="center"/>
    </xf>
    <xf numFmtId="0" fontId="24" fillId="0" borderId="0" xfId="0" applyFont="1" applyFill="1" applyAlignment="1">
      <alignment horizontal="center" vertical="center"/>
    </xf>
    <xf numFmtId="167" fontId="24" fillId="0" borderId="0" xfId="3" applyNumberFormat="1" applyFont="1" applyFill="1" applyAlignment="1">
      <alignment horizontal="center" vertical="center"/>
    </xf>
    <xf numFmtId="9" fontId="241" fillId="0" borderId="0" xfId="4" applyFont="1" applyFill="1" applyAlignment="1">
      <alignment vertical="center"/>
    </xf>
    <xf numFmtId="227" fontId="241" fillId="0" borderId="0" xfId="4" applyNumberFormat="1" applyFont="1" applyFill="1" applyAlignment="1">
      <alignment vertical="center"/>
    </xf>
    <xf numFmtId="191" fontId="241" fillId="0" borderId="52" xfId="4" applyNumberFormat="1" applyFont="1" applyFill="1" applyBorder="1" applyAlignment="1">
      <alignment vertical="center"/>
    </xf>
    <xf numFmtId="0" fontId="241" fillId="0" borderId="0" xfId="0" applyNumberFormat="1" applyFont="1" applyFill="1" applyBorder="1" applyAlignment="1">
      <alignment horizontal="left" vertical="center"/>
    </xf>
    <xf numFmtId="0" fontId="242" fillId="0" borderId="0" xfId="0" applyFont="1" applyFill="1" applyAlignment="1">
      <alignment vertical="center"/>
    </xf>
    <xf numFmtId="191" fontId="241" fillId="0" borderId="59" xfId="4" applyNumberFormat="1" applyFont="1" applyFill="1" applyBorder="1" applyAlignment="1">
      <alignment vertical="center"/>
    </xf>
    <xf numFmtId="191" fontId="241" fillId="0" borderId="120" xfId="3" applyNumberFormat="1" applyFont="1" applyFill="1" applyBorder="1" applyAlignment="1">
      <alignment vertical="center"/>
    </xf>
    <xf numFmtId="191" fontId="241" fillId="0" borderId="7" xfId="3" applyNumberFormat="1" applyFont="1" applyFill="1" applyBorder="1" applyAlignment="1">
      <alignment vertical="center"/>
    </xf>
    <xf numFmtId="260" fontId="241" fillId="0" borderId="7" xfId="4" applyNumberFormat="1" applyFont="1" applyFill="1" applyBorder="1" applyAlignment="1">
      <alignment vertical="center"/>
    </xf>
    <xf numFmtId="0" fontId="241" fillId="0" borderId="0" xfId="0" applyFont="1" applyFill="1" applyBorder="1" applyAlignment="1">
      <alignment vertical="center"/>
    </xf>
    <xf numFmtId="191" fontId="241" fillId="0" borderId="64" xfId="4" applyNumberFormat="1" applyFont="1" applyFill="1" applyBorder="1" applyAlignment="1">
      <alignment vertical="center"/>
    </xf>
    <xf numFmtId="191" fontId="241" fillId="0" borderId="10" xfId="3" applyNumberFormat="1" applyFont="1" applyFill="1" applyBorder="1" applyAlignment="1">
      <alignment vertical="center"/>
    </xf>
    <xf numFmtId="43" fontId="241" fillId="0" borderId="0" xfId="3" applyNumberFormat="1" applyFont="1" applyFill="1" applyAlignment="1">
      <alignment vertical="top"/>
    </xf>
    <xf numFmtId="191" fontId="241" fillId="0" borderId="0" xfId="4" applyNumberFormat="1" applyFont="1" applyFill="1" applyAlignment="1">
      <alignment vertical="center"/>
    </xf>
    <xf numFmtId="260" fontId="241" fillId="0" borderId="120" xfId="4" applyNumberFormat="1" applyFont="1" applyFill="1" applyBorder="1" applyAlignment="1">
      <alignment vertical="center"/>
    </xf>
    <xf numFmtId="260" fontId="241" fillId="0" borderId="10" xfId="4" applyNumberFormat="1" applyFont="1" applyFill="1" applyBorder="1" applyAlignment="1">
      <alignment vertical="center"/>
    </xf>
    <xf numFmtId="10" fontId="241" fillId="0" borderId="0" xfId="4" applyNumberFormat="1" applyFont="1" applyFill="1" applyAlignment="1">
      <alignment vertical="center"/>
    </xf>
    <xf numFmtId="260" fontId="241" fillId="0" borderId="125" xfId="3" applyFont="1" applyFill="1" applyBorder="1" applyAlignment="1">
      <alignment vertical="top"/>
    </xf>
    <xf numFmtId="10" fontId="241" fillId="0" borderId="0" xfId="4" applyNumberFormat="1" applyFont="1" applyFill="1" applyAlignment="1">
      <alignment horizontal="right" vertical="center"/>
    </xf>
    <xf numFmtId="2" fontId="241" fillId="0" borderId="0" xfId="3" applyNumberFormat="1" applyFont="1" applyFill="1" applyAlignment="1">
      <alignment horizontal="right" vertical="center"/>
    </xf>
    <xf numFmtId="260" fontId="241" fillId="0" borderId="51" xfId="3" applyFont="1" applyFill="1" applyBorder="1" applyAlignment="1">
      <alignment vertical="top"/>
    </xf>
    <xf numFmtId="260" fontId="241" fillId="0" borderId="42" xfId="3" applyFont="1" applyFill="1" applyBorder="1" applyAlignment="1">
      <alignment vertical="top"/>
    </xf>
    <xf numFmtId="260" fontId="241" fillId="0" borderId="104" xfId="3" applyFont="1" applyFill="1" applyBorder="1" applyAlignment="1">
      <alignment vertical="top"/>
    </xf>
    <xf numFmtId="191" fontId="241" fillId="0" borderId="104" xfId="4" applyNumberFormat="1" applyFont="1" applyFill="1" applyBorder="1" applyAlignment="1">
      <alignment horizontal="right" vertical="center"/>
    </xf>
    <xf numFmtId="191" fontId="241" fillId="0" borderId="0" xfId="4" applyNumberFormat="1" applyFont="1" applyFill="1" applyAlignment="1">
      <alignment horizontal="center" vertical="center"/>
    </xf>
    <xf numFmtId="10" fontId="241" fillId="0" borderId="0" xfId="4" applyNumberFormat="1" applyFont="1" applyFill="1" applyAlignment="1">
      <alignment horizontal="center" vertical="center"/>
    </xf>
    <xf numFmtId="0" fontId="241" fillId="0" borderId="0" xfId="0" applyFont="1" applyFill="1" applyAlignment="1">
      <alignment horizontal="center" vertical="center"/>
    </xf>
    <xf numFmtId="0" fontId="241" fillId="0" borderId="0" xfId="0" applyFont="1" applyFill="1" applyBorder="1"/>
    <xf numFmtId="260" fontId="241" fillId="0" borderId="119" xfId="3" applyFont="1" applyFill="1" applyBorder="1" applyAlignment="1">
      <alignment vertical="top"/>
    </xf>
    <xf numFmtId="191" fontId="241" fillId="0" borderId="120" xfId="4" applyNumberFormat="1" applyFont="1" applyFill="1" applyBorder="1" applyAlignment="1">
      <alignment horizontal="right" vertical="center"/>
    </xf>
    <xf numFmtId="3" fontId="241" fillId="0" borderId="0" xfId="0" applyNumberFormat="1" applyFont="1" applyFill="1" applyAlignment="1">
      <alignment horizontal="center" vertical="center"/>
    </xf>
    <xf numFmtId="260" fontId="241" fillId="0" borderId="68" xfId="3" applyFont="1" applyFill="1" applyBorder="1" applyAlignment="1">
      <alignment vertical="top"/>
    </xf>
    <xf numFmtId="191" fontId="241" fillId="0" borderId="10" xfId="4" applyNumberFormat="1" applyFont="1" applyFill="1" applyBorder="1" applyAlignment="1">
      <alignment horizontal="right" vertical="center"/>
    </xf>
    <xf numFmtId="2" fontId="241" fillId="0" borderId="0" xfId="3" applyNumberFormat="1" applyFont="1" applyFill="1" applyAlignment="1">
      <alignment vertical="center"/>
    </xf>
    <xf numFmtId="167" fontId="241" fillId="0" borderId="0" xfId="3" applyNumberFormat="1" applyFont="1" applyFill="1" applyBorder="1" applyAlignment="1">
      <alignment vertical="top"/>
    </xf>
    <xf numFmtId="0" fontId="241" fillId="0" borderId="0" xfId="0" applyNumberFormat="1" applyFont="1" applyFill="1" applyAlignment="1">
      <alignment vertical="center"/>
    </xf>
    <xf numFmtId="0" fontId="241" fillId="0" borderId="0" xfId="0" applyFont="1" applyFill="1" applyAlignment="1">
      <alignment horizontal="left" vertical="center"/>
    </xf>
    <xf numFmtId="260" fontId="241" fillId="0" borderId="1" xfId="3" applyFont="1" applyFill="1" applyBorder="1" applyAlignment="1">
      <alignment vertical="center"/>
    </xf>
    <xf numFmtId="260" fontId="241" fillId="0" borderId="104" xfId="3" applyFont="1" applyFill="1" applyBorder="1" applyAlignment="1">
      <alignment vertical="center"/>
    </xf>
    <xf numFmtId="0" fontId="242" fillId="0" borderId="0" xfId="0" applyFont="1" applyFill="1" applyAlignment="1">
      <alignment horizontal="left" vertical="center"/>
    </xf>
    <xf numFmtId="0" fontId="242" fillId="0" borderId="0" xfId="0" applyFont="1" applyFill="1"/>
    <xf numFmtId="191" fontId="241" fillId="0" borderId="1" xfId="4" applyNumberFormat="1" applyFont="1" applyFill="1" applyBorder="1"/>
    <xf numFmtId="260" fontId="241" fillId="0" borderId="121" xfId="3" applyFont="1" applyFill="1" applyBorder="1" applyAlignment="1">
      <alignment vertical="center"/>
    </xf>
    <xf numFmtId="191" fontId="241" fillId="0" borderId="5" xfId="4" applyNumberFormat="1" applyFont="1" applyFill="1" applyBorder="1" applyAlignment="1">
      <alignment vertical="center"/>
    </xf>
    <xf numFmtId="191" fontId="241" fillId="0" borderId="127" xfId="4" applyNumberFormat="1" applyFont="1" applyFill="1" applyBorder="1" applyAlignment="1">
      <alignment vertical="center"/>
    </xf>
    <xf numFmtId="10" fontId="241" fillId="0" borderId="0" xfId="4" applyNumberFormat="1" applyFont="1" applyFill="1" applyBorder="1"/>
    <xf numFmtId="191" fontId="241" fillId="0" borderId="125" xfId="4" applyNumberFormat="1" applyFont="1" applyFill="1" applyBorder="1" applyAlignment="1">
      <alignment vertical="center"/>
    </xf>
    <xf numFmtId="260" fontId="241" fillId="0" borderId="5" xfId="3" applyFont="1" applyFill="1" applyBorder="1" applyAlignment="1">
      <alignment vertical="center"/>
    </xf>
    <xf numFmtId="260" fontId="241" fillId="0" borderId="42" xfId="3" applyFont="1" applyFill="1" applyBorder="1" applyAlignment="1">
      <alignment vertical="center"/>
    </xf>
    <xf numFmtId="191" fontId="241" fillId="0" borderId="0" xfId="4" applyNumberFormat="1" applyFont="1" applyFill="1" applyBorder="1"/>
    <xf numFmtId="167" fontId="241" fillId="0" borderId="0" xfId="3" applyNumberFormat="1" applyFont="1" applyFill="1" applyBorder="1"/>
    <xf numFmtId="260" fontId="241" fillId="0" borderId="0" xfId="3" applyFont="1" applyFill="1" applyBorder="1"/>
    <xf numFmtId="191" fontId="241" fillId="0" borderId="104" xfId="4" applyNumberFormat="1" applyFont="1" applyFill="1" applyBorder="1"/>
    <xf numFmtId="191" fontId="241" fillId="0" borderId="0" xfId="3" applyNumberFormat="1" applyFont="1" applyFill="1" applyBorder="1"/>
    <xf numFmtId="191" fontId="241" fillId="0" borderId="0" xfId="3" applyNumberFormat="1" applyFont="1" applyFill="1"/>
    <xf numFmtId="260" fontId="241" fillId="0" borderId="10" xfId="3" applyFont="1" applyFill="1" applyBorder="1"/>
    <xf numFmtId="9" fontId="241" fillId="0" borderId="0" xfId="4" applyFont="1" applyFill="1" applyBorder="1" applyAlignment="1">
      <alignment vertical="center"/>
    </xf>
    <xf numFmtId="3" fontId="244" fillId="0" borderId="0" xfId="0" applyNumberFormat="1" applyFont="1" applyFill="1"/>
    <xf numFmtId="0" fontId="241" fillId="0" borderId="0" xfId="0" applyFont="1" applyFill="1" applyAlignment="1">
      <alignment horizontal="right"/>
    </xf>
    <xf numFmtId="260" fontId="241" fillId="0" borderId="7" xfId="3" applyFont="1" applyFill="1" applyBorder="1"/>
    <xf numFmtId="260" fontId="241" fillId="0" borderId="51" xfId="3" applyFont="1" applyFill="1" applyBorder="1"/>
    <xf numFmtId="260" fontId="241" fillId="0" borderId="64" xfId="3" applyFont="1" applyFill="1" applyBorder="1"/>
    <xf numFmtId="260" fontId="241" fillId="0" borderId="42" xfId="3" applyFont="1" applyFill="1" applyBorder="1"/>
    <xf numFmtId="191" fontId="241" fillId="0" borderId="120" xfId="4" applyNumberFormat="1" applyFont="1" applyFill="1" applyBorder="1"/>
    <xf numFmtId="191" fontId="241" fillId="0" borderId="121" xfId="4" applyNumberFormat="1" applyFont="1" applyFill="1" applyBorder="1"/>
    <xf numFmtId="260" fontId="241" fillId="0" borderId="5" xfId="3" applyFont="1" applyFill="1" applyBorder="1"/>
    <xf numFmtId="191" fontId="241" fillId="0" borderId="10" xfId="4" applyNumberFormat="1" applyFont="1" applyFill="1" applyBorder="1"/>
    <xf numFmtId="191" fontId="241" fillId="0" borderId="52" xfId="4" applyNumberFormat="1" applyFont="1" applyFill="1" applyBorder="1"/>
    <xf numFmtId="191" fontId="241" fillId="0" borderId="64" xfId="4" applyNumberFormat="1" applyFont="1" applyFill="1" applyBorder="1"/>
    <xf numFmtId="0" fontId="242" fillId="0" borderId="0" xfId="0" applyNumberFormat="1" applyFont="1" applyFill="1" applyAlignment="1"/>
    <xf numFmtId="260" fontId="241" fillId="0" borderId="9" xfId="3" applyFont="1" applyFill="1" applyBorder="1" applyAlignment="1">
      <alignment vertical="top"/>
    </xf>
    <xf numFmtId="9" fontId="241" fillId="0" borderId="9" xfId="3" applyNumberFormat="1" applyFont="1" applyFill="1" applyBorder="1" applyAlignment="1">
      <alignment vertical="center"/>
    </xf>
    <xf numFmtId="9" fontId="241" fillId="0" borderId="9" xfId="4" applyNumberFormat="1" applyFont="1" applyFill="1" applyBorder="1" applyAlignment="1">
      <alignment vertical="center"/>
    </xf>
    <xf numFmtId="191" fontId="241" fillId="0" borderId="0" xfId="3" applyNumberFormat="1" applyFont="1" applyFill="1" applyBorder="1" applyAlignment="1">
      <alignment vertical="top"/>
    </xf>
    <xf numFmtId="227" fontId="241" fillId="0" borderId="0" xfId="4" applyNumberFormat="1" applyFont="1" applyFill="1" applyBorder="1"/>
    <xf numFmtId="260" fontId="241" fillId="0" borderId="8" xfId="3" applyFont="1" applyFill="1" applyBorder="1" applyAlignment="1">
      <alignment vertical="top"/>
    </xf>
    <xf numFmtId="9" fontId="241" fillId="0" borderId="8" xfId="4" applyNumberFormat="1" applyFont="1" applyFill="1" applyBorder="1" applyAlignment="1"/>
    <xf numFmtId="9" fontId="241" fillId="0" borderId="8" xfId="0" applyNumberFormat="1" applyFont="1" applyFill="1" applyBorder="1"/>
    <xf numFmtId="191" fontId="241" fillId="0" borderId="0" xfId="0" applyNumberFormat="1" applyFont="1" applyFill="1"/>
    <xf numFmtId="37" fontId="24" fillId="0" borderId="0" xfId="0" applyNumberFormat="1" applyFont="1" applyFill="1" applyAlignment="1">
      <alignment horizontal="centerContinuous" vertical="top"/>
    </xf>
    <xf numFmtId="228" fontId="245" fillId="0" borderId="0" xfId="0" applyNumberFormat="1" applyFont="1" applyFill="1" applyAlignment="1">
      <alignment vertical="top"/>
    </xf>
    <xf numFmtId="228" fontId="42" fillId="0" borderId="0" xfId="0" applyNumberFormat="1" applyFont="1" applyFill="1" applyBorder="1" applyAlignment="1">
      <alignment vertical="top"/>
    </xf>
    <xf numFmtId="260" fontId="241" fillId="0" borderId="121" xfId="3" applyFont="1" applyFill="1" applyBorder="1" applyAlignment="1">
      <alignment vertical="top"/>
    </xf>
    <xf numFmtId="260" fontId="241" fillId="0" borderId="128" xfId="3" applyFont="1" applyFill="1" applyBorder="1" applyAlignment="1">
      <alignment vertical="top"/>
    </xf>
    <xf numFmtId="260" fontId="241" fillId="0" borderId="127" xfId="3" applyFont="1" applyFill="1" applyBorder="1" applyAlignment="1">
      <alignment vertical="top"/>
    </xf>
    <xf numFmtId="49" fontId="246" fillId="7" borderId="0" xfId="0" applyNumberFormat="1" applyFont="1" applyFill="1" applyBorder="1" applyAlignment="1">
      <alignment vertical="center"/>
    </xf>
    <xf numFmtId="0" fontId="241" fillId="7" borderId="0" xfId="0" applyFont="1" applyFill="1" applyBorder="1"/>
    <xf numFmtId="49" fontId="247" fillId="7" borderId="0" xfId="0" applyNumberFormat="1" applyFont="1" applyFill="1" applyBorder="1" applyAlignment="1">
      <alignment vertical="center"/>
    </xf>
    <xf numFmtId="49" fontId="248" fillId="7" borderId="0" xfId="0" applyNumberFormat="1" applyFont="1" applyFill="1" applyBorder="1" applyAlignment="1">
      <alignment vertical="center"/>
    </xf>
    <xf numFmtId="0" fontId="241" fillId="0" borderId="10" xfId="4" applyNumberFormat="1" applyFont="1" applyFill="1" applyBorder="1" applyAlignment="1">
      <alignment vertical="center"/>
    </xf>
    <xf numFmtId="191" fontId="241" fillId="7" borderId="0" xfId="4" applyNumberFormat="1" applyFont="1" applyFill="1" applyBorder="1" applyAlignment="1">
      <alignment vertical="center"/>
    </xf>
    <xf numFmtId="9" fontId="241" fillId="7" borderId="0" xfId="4" applyNumberFormat="1" applyFont="1" applyFill="1" applyBorder="1" applyAlignment="1">
      <alignment vertical="center"/>
    </xf>
    <xf numFmtId="260" fontId="241" fillId="0" borderId="5" xfId="4" applyNumberFormat="1" applyFont="1" applyFill="1" applyBorder="1" applyAlignment="1">
      <alignment vertical="center"/>
    </xf>
    <xf numFmtId="260" fontId="241" fillId="0" borderId="127" xfId="4" applyNumberFormat="1" applyFont="1" applyFill="1" applyBorder="1" applyAlignment="1">
      <alignment vertical="center"/>
    </xf>
    <xf numFmtId="0" fontId="35" fillId="0" borderId="0" xfId="0" applyFont="1" applyFill="1" applyAlignment="1">
      <alignment horizontal="center" vertical="top"/>
    </xf>
    <xf numFmtId="262" fontId="249" fillId="0" borderId="0" xfId="40383" quotePrefix="1" applyNumberFormat="1" applyFont="1" applyFill="1" applyAlignment="1">
      <alignment horizontal="left" vertical="top"/>
    </xf>
    <xf numFmtId="0" fontId="249" fillId="0" borderId="0" xfId="1372" applyFont="1" applyFill="1" applyAlignment="1">
      <alignment vertical="top"/>
    </xf>
    <xf numFmtId="167" fontId="251" fillId="0" borderId="0" xfId="40384" applyNumberFormat="1" applyFont="1" applyFill="1"/>
    <xf numFmtId="167" fontId="249" fillId="0" borderId="0" xfId="40384" applyNumberFormat="1" applyFont="1" applyFill="1" applyAlignment="1">
      <alignment horizontal="center"/>
    </xf>
    <xf numFmtId="0" fontId="253" fillId="0" borderId="0" xfId="40385" applyFont="1" applyFill="1" applyAlignment="1">
      <alignment vertical="top"/>
    </xf>
    <xf numFmtId="0" fontId="184" fillId="0" borderId="0" xfId="40385" applyFont="1" applyFill="1"/>
    <xf numFmtId="0" fontId="251" fillId="0" borderId="0" xfId="40387" applyNumberFormat="1" applyFont="1" applyFill="1" applyAlignment="1">
      <alignment horizontal="left" vertical="justify" wrapText="1"/>
    </xf>
    <xf numFmtId="167" fontId="249" fillId="0" borderId="0" xfId="40384" applyNumberFormat="1" applyFont="1" applyFill="1" applyAlignment="1">
      <alignment vertical="top"/>
    </xf>
    <xf numFmtId="0" fontId="184" fillId="0" borderId="0" xfId="40385" applyFont="1" applyFill="1" applyBorder="1" applyAlignment="1"/>
    <xf numFmtId="37" fontId="251" fillId="0" borderId="0" xfId="40387" applyNumberFormat="1" applyFont="1" applyFill="1" applyAlignment="1" applyProtection="1">
      <alignment vertical="top"/>
    </xf>
    <xf numFmtId="0" fontId="251" fillId="0" borderId="0" xfId="40384" applyNumberFormat="1" applyFont="1" applyFill="1"/>
    <xf numFmtId="0" fontId="251" fillId="0" borderId="0" xfId="40386" applyFont="1" applyFill="1" applyAlignment="1">
      <alignment horizontal="center"/>
    </xf>
    <xf numFmtId="37" fontId="251" fillId="0" borderId="0" xfId="1372" applyNumberFormat="1" applyFont="1" applyFill="1" applyAlignment="1" applyProtection="1">
      <alignment vertical="top"/>
    </xf>
    <xf numFmtId="37" fontId="251" fillId="0" borderId="0" xfId="40387" applyNumberFormat="1" applyFont="1" applyFill="1" applyAlignment="1" applyProtection="1">
      <alignment vertical="top" wrapText="1"/>
    </xf>
    <xf numFmtId="37" fontId="249" fillId="0" borderId="0" xfId="40387" quotePrefix="1" applyNumberFormat="1" applyFont="1" applyFill="1" applyAlignment="1" applyProtection="1">
      <alignment vertical="top" wrapText="1"/>
    </xf>
    <xf numFmtId="37" fontId="249" fillId="0" borderId="0" xfId="40388" applyNumberFormat="1" applyFont="1" applyFill="1" applyAlignment="1" applyProtection="1">
      <alignment horizontal="left"/>
    </xf>
    <xf numFmtId="0" fontId="249" fillId="0" borderId="0" xfId="40387" quotePrefix="1" applyFont="1" applyFill="1" applyAlignment="1">
      <alignment horizontal="center"/>
    </xf>
    <xf numFmtId="37" fontId="249" fillId="0" borderId="0" xfId="40387" applyNumberFormat="1" applyFont="1" applyFill="1" applyAlignment="1" applyProtection="1">
      <alignment horizontal="left" vertical="top" indent="1"/>
    </xf>
    <xf numFmtId="37" fontId="251" fillId="0" borderId="0" xfId="40389" applyNumberFormat="1" applyFont="1" applyFill="1" applyAlignment="1" applyProtection="1">
      <alignment horizontal="left" vertical="top" indent="1"/>
    </xf>
    <xf numFmtId="167" fontId="249" fillId="0" borderId="0" xfId="662" applyNumberFormat="1" applyFont="1" applyFill="1" applyBorder="1"/>
    <xf numFmtId="167" fontId="251" fillId="0" borderId="0" xfId="662" applyNumberFormat="1" applyFont="1" applyFill="1" applyBorder="1"/>
    <xf numFmtId="167" fontId="251" fillId="0" borderId="0" xfId="40384" applyNumberFormat="1" applyFont="1" applyFill="1" applyAlignment="1" applyProtection="1">
      <alignment vertical="top"/>
    </xf>
    <xf numFmtId="167" fontId="251" fillId="0" borderId="0" xfId="40384" applyNumberFormat="1" applyFont="1" applyFill="1" applyAlignment="1" applyProtection="1">
      <alignment horizontal="left" vertical="top"/>
    </xf>
    <xf numFmtId="167" fontId="251" fillId="0" borderId="0" xfId="40384" applyNumberFormat="1" applyFont="1" applyFill="1" applyBorder="1" applyAlignment="1">
      <alignment vertical="top"/>
    </xf>
    <xf numFmtId="167" fontId="251" fillId="0" borderId="0" xfId="40384" applyNumberFormat="1" applyFont="1" applyFill="1" applyAlignment="1">
      <alignment horizontal="left" vertical="justify"/>
    </xf>
    <xf numFmtId="167" fontId="251" fillId="0" borderId="0" xfId="40384" applyNumberFormat="1" applyFont="1" applyFill="1" applyAlignment="1">
      <alignment vertical="top"/>
    </xf>
    <xf numFmtId="167" fontId="249" fillId="0" borderId="126" xfId="662" applyNumberFormat="1" applyFont="1" applyFill="1" applyBorder="1"/>
    <xf numFmtId="167" fontId="251" fillId="0" borderId="126" xfId="662" applyNumberFormat="1" applyFont="1" applyFill="1" applyBorder="1"/>
    <xf numFmtId="0" fontId="184" fillId="0" borderId="0" xfId="68" applyFont="1" applyFill="1" applyAlignment="1">
      <alignment horizontal="left" vertical="top"/>
    </xf>
    <xf numFmtId="0" fontId="251" fillId="0" borderId="0" xfId="40386" applyFont="1" applyFill="1" applyAlignment="1">
      <alignment horizontal="left" indent="1"/>
    </xf>
    <xf numFmtId="37" fontId="251" fillId="0" borderId="0" xfId="40387" quotePrefix="1" applyNumberFormat="1" applyFont="1" applyFill="1" applyAlignment="1" applyProtection="1">
      <alignment horizontal="center" vertical="top" wrapText="1"/>
    </xf>
    <xf numFmtId="0" fontId="249" fillId="0" borderId="0" xfId="0" applyFont="1" applyFill="1"/>
    <xf numFmtId="0" fontId="251" fillId="0" borderId="0" xfId="0" applyFont="1" applyFill="1"/>
    <xf numFmtId="0" fontId="249" fillId="0" borderId="0" xfId="0" applyFont="1" applyFill="1" applyAlignment="1">
      <alignment horizontal="center" vertical="center" wrapText="1"/>
    </xf>
    <xf numFmtId="0" fontId="251" fillId="0" borderId="0" xfId="0" applyFont="1" applyFill="1" applyBorder="1" applyAlignment="1">
      <alignment horizontal="center"/>
    </xf>
    <xf numFmtId="0" fontId="251" fillId="0" borderId="0" xfId="0" applyFont="1" applyFill="1" applyBorder="1"/>
    <xf numFmtId="0" fontId="249" fillId="0" borderId="0" xfId="0" applyFont="1" applyFill="1" applyBorder="1" applyAlignment="1">
      <alignment horizontal="center"/>
    </xf>
    <xf numFmtId="37" fontId="249" fillId="0" borderId="0" xfId="3" applyNumberFormat="1" applyFont="1" applyFill="1" applyAlignment="1">
      <alignment horizontal="center"/>
    </xf>
    <xf numFmtId="0" fontId="251" fillId="0" borderId="0" xfId="0" applyFont="1" applyFill="1" applyAlignment="1">
      <alignment horizontal="center"/>
    </xf>
    <xf numFmtId="0" fontId="251" fillId="0" borderId="0" xfId="0" applyFont="1" applyFill="1" applyAlignment="1">
      <alignment horizontal="right"/>
    </xf>
    <xf numFmtId="37" fontId="251" fillId="0" borderId="0" xfId="0" applyNumberFormat="1" applyFont="1" applyFill="1" applyBorder="1"/>
    <xf numFmtId="4" fontId="251" fillId="0" borderId="0" xfId="0" applyNumberFormat="1" applyFont="1" applyFill="1" applyBorder="1"/>
    <xf numFmtId="260" fontId="251" fillId="0" borderId="0" xfId="3" applyFont="1" applyFill="1" applyBorder="1"/>
    <xf numFmtId="167" fontId="251" fillId="0" borderId="7" xfId="0" applyNumberFormat="1" applyFont="1" applyFill="1" applyBorder="1" applyAlignment="1">
      <alignment horizontal="left"/>
    </xf>
    <xf numFmtId="191" fontId="251" fillId="0" borderId="0" xfId="4" applyNumberFormat="1" applyFont="1" applyFill="1" applyBorder="1"/>
    <xf numFmtId="0" fontId="251" fillId="0" borderId="0" xfId="0" applyFont="1" applyFill="1" applyAlignment="1">
      <alignment horizontal="left"/>
    </xf>
    <xf numFmtId="167" fontId="255" fillId="0" borderId="7" xfId="0" applyNumberFormat="1" applyFont="1" applyFill="1" applyBorder="1" applyAlignment="1">
      <alignment horizontal="left"/>
    </xf>
    <xf numFmtId="37" fontId="255" fillId="0" borderId="0" xfId="0" applyNumberFormat="1" applyFont="1" applyFill="1" applyBorder="1"/>
    <xf numFmtId="167" fontId="255" fillId="0" borderId="10" xfId="0" applyNumberFormat="1" applyFont="1" applyFill="1" applyBorder="1" applyAlignment="1">
      <alignment horizontal="left"/>
    </xf>
    <xf numFmtId="37" fontId="255" fillId="0" borderId="0" xfId="0" applyNumberFormat="1" applyFont="1" applyFill="1"/>
    <xf numFmtId="0" fontId="249" fillId="0" borderId="0" xfId="0" applyFont="1" applyFill="1" applyBorder="1"/>
    <xf numFmtId="0" fontId="251" fillId="0" borderId="0" xfId="0" applyFont="1" applyFill="1" applyAlignment="1">
      <alignment horizontal="left" vertical="center"/>
    </xf>
    <xf numFmtId="37" fontId="255" fillId="0" borderId="0" xfId="0" applyNumberFormat="1" applyFont="1" applyFill="1" applyBorder="1" applyAlignment="1">
      <alignment horizontal="center"/>
    </xf>
    <xf numFmtId="37" fontId="249" fillId="0" borderId="120" xfId="0" applyNumberFormat="1" applyFont="1" applyFill="1" applyBorder="1"/>
    <xf numFmtId="167" fontId="251" fillId="0" borderId="120" xfId="0" applyNumberFormat="1" applyFont="1" applyFill="1" applyBorder="1"/>
    <xf numFmtId="0" fontId="257" fillId="0" borderId="0" xfId="0" applyFont="1" applyFill="1"/>
    <xf numFmtId="37" fontId="251" fillId="0" borderId="0" xfId="0" applyNumberFormat="1" applyFont="1" applyFill="1" applyAlignment="1">
      <alignment horizontal="center"/>
    </xf>
    <xf numFmtId="167" fontId="251" fillId="0" borderId="7" xfId="0" applyNumberFormat="1" applyFont="1" applyFill="1" applyBorder="1"/>
    <xf numFmtId="37" fontId="251" fillId="0" borderId="0" xfId="0" applyNumberFormat="1" applyFont="1" applyFill="1"/>
    <xf numFmtId="167" fontId="251" fillId="0" borderId="7" xfId="3" applyNumberFormat="1" applyFont="1" applyFill="1" applyBorder="1" applyAlignment="1"/>
    <xf numFmtId="167" fontId="251" fillId="0" borderId="0" xfId="3" applyNumberFormat="1" applyFont="1" applyFill="1" applyBorder="1" applyAlignment="1"/>
    <xf numFmtId="43" fontId="255" fillId="0" borderId="0" xfId="3" applyNumberFormat="1" applyFont="1" applyFill="1" applyBorder="1"/>
    <xf numFmtId="167" fontId="255" fillId="0" borderId="0" xfId="3" applyNumberFormat="1" applyFont="1" applyFill="1" applyBorder="1"/>
    <xf numFmtId="167" fontId="251" fillId="0" borderId="0" xfId="3" applyNumberFormat="1" applyFont="1" applyFill="1" applyBorder="1"/>
    <xf numFmtId="37" fontId="249" fillId="0" borderId="0" xfId="0" applyNumberFormat="1" applyFont="1" applyFill="1"/>
    <xf numFmtId="37" fontId="249" fillId="0" borderId="0" xfId="0" applyNumberFormat="1" applyFont="1" applyFill="1" applyBorder="1"/>
    <xf numFmtId="37" fontId="251" fillId="0" borderId="9" xfId="0" applyNumberFormat="1" applyFont="1" applyFill="1" applyBorder="1"/>
    <xf numFmtId="174" fontId="251" fillId="0" borderId="0" xfId="0" applyNumberFormat="1" applyFont="1" applyFill="1" applyBorder="1"/>
    <xf numFmtId="37" fontId="251" fillId="0" borderId="8" xfId="0" applyNumberFormat="1" applyFont="1" applyFill="1" applyBorder="1"/>
    <xf numFmtId="172" fontId="251" fillId="0" borderId="0" xfId="0" applyNumberFormat="1" applyFont="1" applyFill="1" applyBorder="1"/>
    <xf numFmtId="167" fontId="249" fillId="0" borderId="0" xfId="3" applyNumberFormat="1" applyFont="1" applyFill="1" applyBorder="1" applyAlignment="1">
      <alignment horizontal="center"/>
    </xf>
    <xf numFmtId="37" fontId="249" fillId="0" borderId="0" xfId="0" applyNumberFormat="1" applyFont="1" applyFill="1" applyAlignment="1">
      <alignment horizontal="center" wrapText="1"/>
    </xf>
    <xf numFmtId="37" fontId="249" fillId="0" borderId="0" xfId="0" applyNumberFormat="1" applyFont="1" applyFill="1" applyBorder="1" applyAlignment="1">
      <alignment horizontal="center" wrapText="1"/>
    </xf>
    <xf numFmtId="167" fontId="251" fillId="0" borderId="8" xfId="0" applyNumberFormat="1" applyFont="1" applyFill="1" applyBorder="1"/>
    <xf numFmtId="43" fontId="249" fillId="0" borderId="0" xfId="3" applyNumberFormat="1" applyFont="1" applyFill="1" applyBorder="1" applyAlignment="1">
      <alignment horizontal="center"/>
    </xf>
    <xf numFmtId="37" fontId="249" fillId="0" borderId="0" xfId="0" applyNumberFormat="1" applyFont="1" applyFill="1" applyAlignment="1">
      <alignment horizontal="center"/>
    </xf>
    <xf numFmtId="263" fontId="249" fillId="0" borderId="0" xfId="0" applyNumberFormat="1" applyFont="1" applyFill="1" applyBorder="1" applyAlignment="1">
      <alignment horizontal="center"/>
    </xf>
    <xf numFmtId="37" fontId="249" fillId="0" borderId="0" xfId="0" applyNumberFormat="1" applyFont="1" applyFill="1" applyBorder="1" applyAlignment="1">
      <alignment horizontal="center"/>
    </xf>
    <xf numFmtId="0" fontId="256" fillId="0" borderId="0" xfId="0" applyFont="1" applyFill="1"/>
    <xf numFmtId="0" fontId="258" fillId="0" borderId="0" xfId="0" applyFont="1" applyFill="1"/>
    <xf numFmtId="172" fontId="255" fillId="0" borderId="8" xfId="3" applyNumberFormat="1" applyFont="1" applyFill="1" applyBorder="1"/>
    <xf numFmtId="172" fontId="255" fillId="0" borderId="0" xfId="3" applyNumberFormat="1" applyFont="1" applyFill="1" applyBorder="1"/>
    <xf numFmtId="0" fontId="251" fillId="0" borderId="0" xfId="0" applyFont="1" applyFill="1" applyAlignment="1"/>
    <xf numFmtId="0" fontId="249" fillId="0" borderId="0" xfId="0" applyFont="1" applyFill="1" applyBorder="1" applyAlignment="1" applyProtection="1">
      <protection locked="0"/>
    </xf>
    <xf numFmtId="0" fontId="251" fillId="0" borderId="0" xfId="0" applyFont="1" applyFill="1" applyAlignment="1" applyProtection="1">
      <protection locked="0"/>
    </xf>
    <xf numFmtId="0" fontId="249" fillId="0" borderId="0" xfId="0" applyFont="1" applyFill="1" applyAlignment="1" applyProtection="1">
      <protection locked="0"/>
    </xf>
    <xf numFmtId="0" fontId="249" fillId="0" borderId="0" xfId="0" applyFont="1" applyFill="1" applyProtection="1">
      <protection locked="0"/>
    </xf>
    <xf numFmtId="0" fontId="249" fillId="0" borderId="0" xfId="0" applyFont="1" applyFill="1" applyAlignment="1" applyProtection="1">
      <alignment horizontal="center"/>
      <protection locked="0"/>
    </xf>
    <xf numFmtId="0" fontId="249" fillId="0" borderId="0" xfId="0" applyNumberFormat="1" applyFont="1" applyFill="1" applyAlignment="1" applyProtection="1">
      <alignment horizontal="center"/>
      <protection locked="0"/>
    </xf>
    <xf numFmtId="167" fontId="251" fillId="0" borderId="0" xfId="42" applyNumberFormat="1" applyFont="1" applyFill="1"/>
    <xf numFmtId="0" fontId="251" fillId="0" borderId="0" xfId="0" applyFont="1" applyFill="1" applyBorder="1" applyProtection="1">
      <protection locked="0"/>
    </xf>
    <xf numFmtId="0" fontId="251" fillId="0" borderId="0" xfId="0" applyFont="1" applyFill="1" applyProtection="1">
      <protection locked="0"/>
    </xf>
    <xf numFmtId="0" fontId="251" fillId="0" borderId="0" xfId="0" applyNumberFormat="1" applyFont="1" applyFill="1" applyBorder="1" applyAlignment="1" applyProtection="1">
      <alignment vertical="center"/>
    </xf>
    <xf numFmtId="0" fontId="249" fillId="0" borderId="0" xfId="0" applyFont="1" applyFill="1" applyAlignment="1" applyProtection="1">
      <alignment horizontal="center" vertical="top"/>
    </xf>
    <xf numFmtId="167" fontId="251" fillId="0" borderId="0" xfId="42" applyNumberFormat="1" applyFont="1" applyFill="1" applyAlignment="1">
      <alignment horizontal="center"/>
    </xf>
    <xf numFmtId="0" fontId="249" fillId="0" borderId="0" xfId="0" applyNumberFormat="1" applyFont="1" applyFill="1" applyBorder="1" applyAlignment="1" applyProtection="1"/>
    <xf numFmtId="167" fontId="249" fillId="0" borderId="0" xfId="42" applyNumberFormat="1" applyFont="1" applyFill="1" applyAlignment="1">
      <alignment horizontal="center"/>
    </xf>
    <xf numFmtId="0" fontId="249" fillId="0" borderId="0" xfId="0" applyNumberFormat="1" applyFont="1" applyFill="1" applyBorder="1" applyAlignment="1" applyProtection="1">
      <alignment horizontal="centerContinuous"/>
    </xf>
    <xf numFmtId="0" fontId="249" fillId="0" borderId="0" xfId="0" applyFont="1" applyFill="1" applyAlignment="1" applyProtection="1">
      <alignment horizontal="centerContinuous" vertical="top"/>
    </xf>
    <xf numFmtId="0" fontId="249" fillId="0" borderId="0" xfId="0" applyFont="1" applyFill="1" applyAlignment="1" applyProtection="1">
      <alignment horizontal="centerContinuous"/>
      <protection locked="0"/>
    </xf>
    <xf numFmtId="0" fontId="249" fillId="0" borderId="0" xfId="0" applyNumberFormat="1" applyFont="1" applyFill="1" applyAlignment="1" applyProtection="1">
      <alignment horizontal="centerContinuous"/>
      <protection locked="0"/>
    </xf>
    <xf numFmtId="167" fontId="249" fillId="0" borderId="0" xfId="42" applyNumberFormat="1" applyFont="1" applyFill="1" applyAlignment="1">
      <alignment horizontal="centerContinuous"/>
    </xf>
    <xf numFmtId="0" fontId="251" fillId="0" borderId="0" xfId="0" applyFont="1" applyFill="1" applyBorder="1" applyAlignment="1" applyProtection="1">
      <alignment horizontal="centerContinuous"/>
      <protection locked="0"/>
    </xf>
    <xf numFmtId="49" fontId="249" fillId="0" borderId="0" xfId="0" applyNumberFormat="1" applyFont="1" applyFill="1" applyAlignment="1">
      <alignment vertical="center" wrapText="1"/>
    </xf>
    <xf numFmtId="0" fontId="249" fillId="0" borderId="0" xfId="0" applyFont="1" applyFill="1" applyAlignment="1">
      <alignment horizontal="center" vertical="center"/>
    </xf>
    <xf numFmtId="1" fontId="249" fillId="0" borderId="0" xfId="0" applyNumberFormat="1" applyFont="1" applyFill="1" applyBorder="1" applyAlignment="1">
      <alignment horizontal="center" vertical="center"/>
    </xf>
    <xf numFmtId="0" fontId="249" fillId="0" borderId="0" xfId="0" applyNumberFormat="1" applyFont="1" applyFill="1"/>
    <xf numFmtId="0" fontId="249" fillId="0" borderId="0" xfId="0" applyFont="1" applyFill="1" applyAlignment="1">
      <alignment vertical="center"/>
    </xf>
    <xf numFmtId="0" fontId="251" fillId="5" borderId="0" xfId="0" applyFont="1" applyFill="1"/>
    <xf numFmtId="37" fontId="251" fillId="0" borderId="120" xfId="0" applyNumberFormat="1" applyFont="1" applyFill="1" applyBorder="1"/>
    <xf numFmtId="260" fontId="251" fillId="0" borderId="7" xfId="3" applyFont="1" applyFill="1" applyBorder="1"/>
    <xf numFmtId="167" fontId="251" fillId="0" borderId="0" xfId="0" applyNumberFormat="1" applyFont="1" applyFill="1"/>
    <xf numFmtId="37" fontId="249" fillId="0" borderId="7" xfId="3" applyNumberFormat="1" applyFont="1" applyFill="1" applyBorder="1"/>
    <xf numFmtId="37" fontId="251" fillId="0" borderId="0" xfId="3" applyNumberFormat="1" applyFont="1" applyFill="1" applyBorder="1"/>
    <xf numFmtId="37" fontId="251" fillId="0" borderId="7" xfId="3" applyNumberFormat="1" applyFont="1" applyFill="1" applyBorder="1"/>
    <xf numFmtId="0" fontId="251" fillId="0" borderId="0" xfId="0" quotePrefix="1" applyFont="1" applyFill="1" applyAlignment="1">
      <alignment horizontal="left" indent="1"/>
    </xf>
    <xf numFmtId="0" fontId="251" fillId="0" borderId="0" xfId="0" applyNumberFormat="1" applyFont="1" applyFill="1" applyBorder="1" applyAlignment="1">
      <alignment horizontal="center"/>
    </xf>
    <xf numFmtId="260" fontId="249" fillId="0" borderId="64" xfId="3" applyFont="1" applyFill="1" applyBorder="1"/>
    <xf numFmtId="37" fontId="249" fillId="0" borderId="0" xfId="3" applyNumberFormat="1" applyFont="1" applyFill="1" applyBorder="1"/>
    <xf numFmtId="167" fontId="251" fillId="0" borderId="0" xfId="3" applyNumberFormat="1" applyFont="1" applyFill="1"/>
    <xf numFmtId="37" fontId="249" fillId="0" borderId="0" xfId="3" applyNumberFormat="1" applyFont="1" applyFill="1"/>
    <xf numFmtId="37" fontId="251" fillId="0" borderId="0" xfId="3" applyNumberFormat="1" applyFont="1" applyFill="1"/>
    <xf numFmtId="37" fontId="251" fillId="0" borderId="0" xfId="0" applyNumberFormat="1" applyFont="1" applyFill="1" applyAlignment="1" applyProtection="1"/>
    <xf numFmtId="168" fontId="251" fillId="0" borderId="0" xfId="0" applyNumberFormat="1" applyFont="1" applyFill="1" applyBorder="1" applyAlignment="1">
      <alignment horizontal="center"/>
    </xf>
    <xf numFmtId="37" fontId="249" fillId="0" borderId="120" xfId="3" applyNumberFormat="1" applyFont="1" applyFill="1" applyBorder="1"/>
    <xf numFmtId="167" fontId="251" fillId="0" borderId="120" xfId="3" applyNumberFormat="1" applyFont="1" applyFill="1" applyBorder="1"/>
    <xf numFmtId="167" fontId="249" fillId="0" borderId="0" xfId="0" applyNumberFormat="1" applyFont="1" applyFill="1" applyBorder="1"/>
    <xf numFmtId="167" fontId="251" fillId="0" borderId="7" xfId="3" applyNumberFormat="1" applyFont="1" applyFill="1" applyBorder="1"/>
    <xf numFmtId="0" fontId="251" fillId="0" borderId="0" xfId="0" quotePrefix="1" applyFont="1" applyFill="1" applyAlignment="1">
      <alignment horizontal="left"/>
    </xf>
    <xf numFmtId="0" fontId="251" fillId="0" borderId="0" xfId="0" applyFont="1" applyFill="1" applyAlignment="1" applyProtection="1"/>
    <xf numFmtId="37" fontId="251" fillId="0" borderId="0" xfId="0" applyNumberFormat="1" applyFont="1" applyFill="1" applyBorder="1" applyAlignment="1">
      <alignment horizontal="center"/>
    </xf>
    <xf numFmtId="167" fontId="251" fillId="0" borderId="10" xfId="3" applyNumberFormat="1" applyFont="1" applyFill="1" applyBorder="1"/>
    <xf numFmtId="260" fontId="251" fillId="0" borderId="0" xfId="3" applyFont="1" applyFill="1"/>
    <xf numFmtId="37" fontId="249" fillId="0" borderId="2" xfId="3" applyNumberFormat="1" applyFont="1" applyFill="1" applyBorder="1"/>
    <xf numFmtId="37" fontId="251" fillId="0" borderId="53" xfId="3" applyNumberFormat="1" applyFont="1" applyFill="1" applyBorder="1"/>
    <xf numFmtId="167" fontId="249" fillId="0" borderId="120" xfId="3" applyNumberFormat="1" applyFont="1" applyFill="1" applyBorder="1"/>
    <xf numFmtId="167" fontId="249" fillId="0" borderId="10" xfId="3" applyNumberFormat="1" applyFont="1" applyFill="1" applyBorder="1"/>
    <xf numFmtId="260" fontId="249" fillId="0" borderId="0" xfId="3" applyFont="1" applyFill="1"/>
    <xf numFmtId="260" fontId="251" fillId="5" borderId="0" xfId="3" applyFont="1" applyFill="1"/>
    <xf numFmtId="37" fontId="249" fillId="0" borderId="102" xfId="3" applyNumberFormat="1" applyFont="1" applyFill="1" applyBorder="1"/>
    <xf numFmtId="37" fontId="251" fillId="0" borderId="102" xfId="3" applyNumberFormat="1" applyFont="1" applyFill="1" applyBorder="1"/>
    <xf numFmtId="167" fontId="251" fillId="0" borderId="9" xfId="3" applyNumberFormat="1" applyFont="1" applyFill="1" applyBorder="1"/>
    <xf numFmtId="43" fontId="251" fillId="0" borderId="0" xfId="0" applyNumberFormat="1" applyFont="1" applyFill="1"/>
    <xf numFmtId="167" fontId="251" fillId="0" borderId="0" xfId="5300" applyNumberFormat="1" applyFont="1" applyFill="1"/>
    <xf numFmtId="167" fontId="249" fillId="0" borderId="0" xfId="5300" applyNumberFormat="1" applyFont="1" applyFill="1" applyAlignment="1">
      <alignment vertical="top"/>
    </xf>
    <xf numFmtId="167" fontId="249" fillId="0" borderId="0" xfId="5300" applyNumberFormat="1" applyFont="1" applyFill="1" applyAlignment="1">
      <alignment horizontal="center" vertical="top"/>
    </xf>
    <xf numFmtId="167" fontId="249" fillId="0" borderId="0" xfId="5300" applyNumberFormat="1" applyFont="1" applyFill="1" applyBorder="1" applyAlignment="1">
      <alignment horizontal="center" vertical="top"/>
    </xf>
    <xf numFmtId="167" fontId="249" fillId="0" borderId="0" xfId="5300" applyNumberFormat="1" applyFont="1" applyFill="1" applyAlignment="1" applyProtection="1">
      <alignment horizontal="center"/>
    </xf>
    <xf numFmtId="167" fontId="251" fillId="0" borderId="0" xfId="5300" applyNumberFormat="1" applyFont="1" applyFill="1" applyBorder="1"/>
    <xf numFmtId="0" fontId="251" fillId="0" borderId="0" xfId="5300" applyNumberFormat="1" applyFont="1" applyFill="1" applyAlignment="1">
      <alignment vertical="top"/>
    </xf>
    <xf numFmtId="0" fontId="255" fillId="0" borderId="0" xfId="26639" applyFont="1"/>
    <xf numFmtId="37" fontId="249" fillId="0" borderId="0" xfId="1372" applyNumberFormat="1" applyFont="1" applyFill="1" applyAlignment="1">
      <alignment vertical="top"/>
    </xf>
    <xf numFmtId="167" fontId="251" fillId="0" borderId="0" xfId="5300" applyNumberFormat="1" applyFont="1" applyFill="1" applyBorder="1" applyAlignment="1">
      <alignment horizontal="center"/>
    </xf>
    <xf numFmtId="0" fontId="251" fillId="0" borderId="0" xfId="5300" applyNumberFormat="1" applyFont="1" applyFill="1" applyBorder="1" applyAlignment="1">
      <alignment vertical="top"/>
    </xf>
    <xf numFmtId="0" fontId="249" fillId="0" borderId="0" xfId="39" applyFont="1" applyFill="1" applyAlignment="1" applyProtection="1">
      <alignment horizontal="left" vertical="top"/>
    </xf>
    <xf numFmtId="167" fontId="251" fillId="0" borderId="0" xfId="5300" applyNumberFormat="1" applyFont="1" applyFill="1" applyAlignment="1">
      <alignment horizontal="center"/>
    </xf>
    <xf numFmtId="0" fontId="255" fillId="0" borderId="0" xfId="26639" applyFont="1" applyFill="1"/>
    <xf numFmtId="0" fontId="251" fillId="0" borderId="0" xfId="0" applyNumberFormat="1" applyFont="1" applyFill="1" applyAlignment="1"/>
    <xf numFmtId="0" fontId="249" fillId="0" borderId="0" xfId="0" applyNumberFormat="1" applyFont="1" applyFill="1" applyAlignment="1"/>
    <xf numFmtId="0" fontId="251" fillId="0" borderId="0" xfId="0" quotePrefix="1" applyFont="1" applyFill="1"/>
    <xf numFmtId="0" fontId="251" fillId="0" borderId="0" xfId="0" applyFont="1" applyFill="1" applyAlignment="1">
      <alignment vertical="top"/>
    </xf>
    <xf numFmtId="228" fontId="251" fillId="0" borderId="0" xfId="3" applyNumberFormat="1" applyFont="1" applyFill="1" applyAlignment="1"/>
    <xf numFmtId="260" fontId="251" fillId="0" borderId="0" xfId="3" applyFont="1" applyFill="1" applyAlignment="1"/>
    <xf numFmtId="0" fontId="251" fillId="0" borderId="0" xfId="0" applyFont="1" applyFill="1" applyBorder="1" applyAlignment="1"/>
    <xf numFmtId="260" fontId="249" fillId="0" borderId="0" xfId="3" applyFont="1" applyFill="1" applyAlignment="1" applyProtection="1">
      <protection locked="0"/>
    </xf>
    <xf numFmtId="167" fontId="249" fillId="0" borderId="0" xfId="42" applyNumberFormat="1" applyFont="1" applyFill="1"/>
    <xf numFmtId="0" fontId="249" fillId="0" borderId="0" xfId="0" applyFont="1" applyFill="1" applyBorder="1" applyAlignment="1">
      <alignment vertical="top"/>
    </xf>
    <xf numFmtId="0" fontId="251" fillId="0" borderId="0" xfId="0" applyFont="1" applyFill="1" applyBorder="1" applyAlignment="1">
      <alignment vertical="top"/>
    </xf>
    <xf numFmtId="0" fontId="249" fillId="0" borderId="0" xfId="0" quotePrefix="1" applyFont="1" applyFill="1" applyBorder="1" applyAlignment="1">
      <alignment horizontal="left" vertical="top"/>
    </xf>
    <xf numFmtId="0" fontId="249" fillId="0" borderId="0" xfId="0" applyFont="1" applyFill="1" applyBorder="1" applyAlignment="1">
      <alignment horizontal="left" vertical="top"/>
    </xf>
    <xf numFmtId="0" fontId="249" fillId="0" borderId="0" xfId="0" applyFont="1" applyFill="1" applyBorder="1" applyAlignment="1" applyProtection="1">
      <alignment horizontal="left" vertical="top"/>
    </xf>
    <xf numFmtId="49" fontId="249" fillId="0" borderId="0" xfId="0" applyNumberFormat="1" applyFont="1" applyFill="1" applyBorder="1" applyAlignment="1" applyProtection="1">
      <alignment horizontal="left" vertical="top"/>
    </xf>
    <xf numFmtId="167" fontId="251" fillId="0" borderId="0" xfId="3" applyNumberFormat="1" applyFont="1" applyFill="1" applyBorder="1" applyAlignment="1">
      <alignment vertical="top"/>
    </xf>
    <xf numFmtId="0" fontId="251" fillId="0" borderId="0" xfId="0" applyFont="1" applyFill="1" applyBorder="1" applyAlignment="1" applyProtection="1">
      <alignment horizontal="left" vertical="top" wrapText="1"/>
    </xf>
    <xf numFmtId="37" fontId="259" fillId="0" borderId="0" xfId="0" applyNumberFormat="1" applyFont="1" applyFill="1" applyBorder="1" applyAlignment="1" applyProtection="1">
      <alignment vertical="top" wrapText="1"/>
    </xf>
    <xf numFmtId="37" fontId="251" fillId="0" borderId="0" xfId="0" applyNumberFormat="1" applyFont="1" applyFill="1" applyBorder="1" applyAlignment="1" applyProtection="1">
      <alignment horizontal="justify" vertical="top"/>
    </xf>
    <xf numFmtId="0" fontId="249" fillId="0" borderId="0" xfId="0" applyNumberFormat="1" applyFont="1" applyFill="1" applyBorder="1" applyAlignment="1">
      <alignment vertical="top"/>
    </xf>
    <xf numFmtId="0" fontId="257" fillId="0" borderId="0" xfId="0" applyFont="1" applyFill="1" applyBorder="1" applyAlignment="1">
      <alignment vertical="top"/>
    </xf>
    <xf numFmtId="0" fontId="251" fillId="0" borderId="0" xfId="1" quotePrefix="1" applyFont="1" applyFill="1" applyAlignment="1">
      <alignment vertical="top"/>
    </xf>
    <xf numFmtId="0" fontId="184" fillId="0" borderId="0" xfId="68" applyFont="1" applyFill="1" applyAlignment="1">
      <alignment vertical="top"/>
    </xf>
    <xf numFmtId="0" fontId="251" fillId="0" borderId="0" xfId="1" quotePrefix="1" applyFont="1" applyFill="1" applyAlignment="1">
      <alignment horizontal="left" vertical="top" indent="1"/>
    </xf>
    <xf numFmtId="0" fontId="184" fillId="0" borderId="0" xfId="68" applyFont="1" applyFill="1" applyAlignment="1">
      <alignment vertical="top" wrapText="1"/>
    </xf>
    <xf numFmtId="0" fontId="249" fillId="0" borderId="0" xfId="0" applyNumberFormat="1" applyFont="1" applyFill="1" applyAlignment="1">
      <alignment vertical="top"/>
    </xf>
    <xf numFmtId="0" fontId="249" fillId="0" borderId="0" xfId="25159" quotePrefix="1" applyFont="1" applyFill="1" applyAlignment="1">
      <alignment horizontal="left" vertical="top"/>
    </xf>
    <xf numFmtId="0" fontId="249" fillId="0" borderId="0" xfId="0" applyFont="1" applyFill="1" applyAlignment="1">
      <alignment horizontal="left" vertical="top"/>
    </xf>
    <xf numFmtId="0" fontId="251" fillId="0" borderId="0" xfId="0" applyNumberFormat="1" applyFont="1" applyFill="1" applyAlignment="1">
      <alignment vertical="top"/>
    </xf>
    <xf numFmtId="0" fontId="251" fillId="0" borderId="0" xfId="0" applyFont="1" applyFill="1" applyAlignment="1">
      <alignment horizontal="center" vertical="top"/>
    </xf>
    <xf numFmtId="0" fontId="249" fillId="0" borderId="0" xfId="0" applyFont="1" applyFill="1" applyAlignment="1">
      <alignment horizontal="center" vertical="top"/>
    </xf>
    <xf numFmtId="49" fontId="256" fillId="0" borderId="0" xfId="0" quotePrefix="1" applyNumberFormat="1" applyFont="1" applyFill="1" applyBorder="1" applyAlignment="1">
      <alignment horizontal="center" vertical="top" wrapText="1"/>
    </xf>
    <xf numFmtId="0" fontId="251" fillId="0" borderId="0" xfId="0" applyFont="1" applyFill="1" applyAlignment="1">
      <alignment horizontal="center" vertical="top" wrapText="1"/>
    </xf>
    <xf numFmtId="0" fontId="249" fillId="0" borderId="0" xfId="0" quotePrefix="1" applyFont="1" applyFill="1" applyBorder="1" applyAlignment="1">
      <alignment horizontal="center" vertical="top"/>
    </xf>
    <xf numFmtId="0" fontId="249" fillId="0" borderId="0" xfId="0" applyFont="1" applyFill="1" applyBorder="1" applyAlignment="1">
      <alignment horizontal="center" vertical="top"/>
    </xf>
    <xf numFmtId="0" fontId="249" fillId="0" borderId="0" xfId="0" applyFont="1" applyFill="1" applyAlignment="1">
      <alignment vertical="top"/>
    </xf>
    <xf numFmtId="167" fontId="251" fillId="0" borderId="0" xfId="3" applyNumberFormat="1" applyFont="1" applyFill="1" applyAlignment="1">
      <alignment vertical="top"/>
    </xf>
    <xf numFmtId="228" fontId="251" fillId="0" borderId="0" xfId="0" applyNumberFormat="1" applyFont="1" applyFill="1" applyAlignment="1"/>
    <xf numFmtId="0" fontId="251" fillId="0" borderId="0" xfId="0" quotePrefix="1" applyFont="1" applyFill="1" applyAlignment="1">
      <alignment horizontal="left" vertical="top"/>
    </xf>
    <xf numFmtId="0" fontId="249" fillId="0" borderId="0" xfId="0" applyNumberFormat="1" applyFont="1" applyFill="1" applyBorder="1" applyAlignment="1"/>
    <xf numFmtId="228" fontId="251" fillId="0" borderId="0" xfId="0" applyNumberFormat="1" applyFont="1" applyFill="1" applyBorder="1" applyAlignment="1"/>
    <xf numFmtId="37" fontId="251" fillId="0" borderId="0" xfId="0" applyNumberFormat="1" applyFont="1" applyFill="1" applyBorder="1" applyAlignment="1">
      <alignment horizontal="centerContinuous"/>
    </xf>
    <xf numFmtId="228" fontId="251" fillId="0" borderId="0" xfId="0" applyNumberFormat="1" applyFont="1" applyFill="1" applyAlignment="1">
      <alignment vertical="top"/>
    </xf>
    <xf numFmtId="260" fontId="251" fillId="0" borderId="0" xfId="3" applyFont="1" applyFill="1" applyBorder="1" applyAlignment="1">
      <alignment vertical="top"/>
    </xf>
    <xf numFmtId="228" fontId="251" fillId="0" borderId="0" xfId="0" applyNumberFormat="1" applyFont="1" applyFill="1" applyBorder="1" applyAlignment="1">
      <alignment vertical="top"/>
    </xf>
    <xf numFmtId="0" fontId="251" fillId="0" borderId="0" xfId="0" applyFont="1" applyFill="1" applyBorder="1" applyAlignment="1">
      <alignment horizontal="center" vertical="center" wrapText="1"/>
    </xf>
    <xf numFmtId="228" fontId="251" fillId="0" borderId="0" xfId="0" applyNumberFormat="1" applyFont="1" applyFill="1" applyBorder="1" applyAlignment="1">
      <alignment vertical="center"/>
    </xf>
    <xf numFmtId="228" fontId="249" fillId="0" borderId="0" xfId="0" applyNumberFormat="1" applyFont="1" applyFill="1" applyBorder="1" applyAlignment="1">
      <alignment vertical="center"/>
    </xf>
    <xf numFmtId="0" fontId="251" fillId="0" borderId="0" xfId="0" applyFont="1" applyFill="1" applyAlignment="1">
      <alignment horizontal="center" vertical="center"/>
    </xf>
    <xf numFmtId="167" fontId="251" fillId="0" borderId="0" xfId="3" applyNumberFormat="1" applyFont="1" applyFill="1" applyAlignment="1">
      <alignment horizontal="center" vertical="center"/>
    </xf>
    <xf numFmtId="37" fontId="251" fillId="0" borderId="0" xfId="0" applyNumberFormat="1" applyFont="1" applyFill="1" applyAlignment="1">
      <alignment horizontal="centerContinuous" vertical="top"/>
    </xf>
    <xf numFmtId="228" fontId="258" fillId="0" borderId="0" xfId="0" applyNumberFormat="1" applyFont="1" applyFill="1" applyAlignment="1">
      <alignment vertical="top"/>
    </xf>
    <xf numFmtId="228" fontId="249" fillId="0" borderId="0" xfId="0" applyNumberFormat="1" applyFont="1" applyFill="1" applyAlignment="1">
      <alignment horizontal="center"/>
    </xf>
    <xf numFmtId="1" fontId="249" fillId="0" borderId="0" xfId="0" applyNumberFormat="1" applyFont="1" applyFill="1" applyAlignment="1">
      <alignment horizontal="center"/>
    </xf>
    <xf numFmtId="37" fontId="256" fillId="0" borderId="0" xfId="0" quotePrefix="1" applyNumberFormat="1" applyFont="1" applyFill="1" applyAlignment="1">
      <alignment horizontal="left" vertical="top"/>
    </xf>
    <xf numFmtId="0" fontId="256" fillId="0" borderId="0" xfId="0" applyFont="1" applyFill="1" applyAlignment="1">
      <alignment vertical="top"/>
    </xf>
    <xf numFmtId="167" fontId="249" fillId="0" borderId="0" xfId="3" quotePrefix="1" applyNumberFormat="1" applyFont="1" applyFill="1" applyAlignment="1">
      <alignment vertical="top"/>
    </xf>
    <xf numFmtId="0" fontId="255" fillId="0" borderId="0" xfId="0" applyFont="1" applyFill="1" applyAlignment="1">
      <alignment vertical="top"/>
    </xf>
    <xf numFmtId="167" fontId="255" fillId="0" borderId="0" xfId="3" applyNumberFormat="1" applyFont="1" applyFill="1" applyBorder="1" applyAlignment="1">
      <alignment vertical="top"/>
    </xf>
    <xf numFmtId="167" fontId="255" fillId="0" borderId="0" xfId="3" applyNumberFormat="1" applyFont="1" applyFill="1" applyAlignment="1">
      <alignment vertical="top"/>
    </xf>
    <xf numFmtId="168" fontId="251" fillId="0" borderId="0" xfId="0" applyNumberFormat="1" applyFont="1" applyFill="1" applyAlignment="1">
      <alignment horizontal="center" vertical="top"/>
    </xf>
    <xf numFmtId="167" fontId="251" fillId="0" borderId="0" xfId="0" applyNumberFormat="1" applyFont="1" applyFill="1" applyBorder="1" applyAlignment="1">
      <alignment vertical="top"/>
    </xf>
    <xf numFmtId="0" fontId="256" fillId="0" borderId="0" xfId="0" applyFont="1" applyFill="1" applyAlignment="1">
      <alignment horizontal="left" vertical="top"/>
    </xf>
    <xf numFmtId="167" fontId="255" fillId="0" borderId="0" xfId="0" applyNumberFormat="1" applyFont="1" applyFill="1" applyBorder="1" applyAlignment="1">
      <alignment vertical="top"/>
    </xf>
    <xf numFmtId="1" fontId="251" fillId="0" borderId="0" xfId="0" applyNumberFormat="1" applyFont="1" applyFill="1" applyBorder="1" applyAlignment="1">
      <alignment vertical="top"/>
    </xf>
    <xf numFmtId="0" fontId="249" fillId="0" borderId="0" xfId="0" applyNumberFormat="1" applyFont="1" applyFill="1" applyAlignment="1">
      <alignment horizontal="center" vertical="top"/>
    </xf>
    <xf numFmtId="0" fontId="251" fillId="0" borderId="0" xfId="0" applyNumberFormat="1" applyFont="1" applyFill="1" applyAlignment="1">
      <alignment vertical="top" wrapText="1"/>
    </xf>
    <xf numFmtId="37" fontId="249" fillId="0" borderId="0" xfId="0" applyNumberFormat="1" applyFont="1" applyFill="1" applyAlignment="1">
      <alignment horizontal="left" vertical="top"/>
    </xf>
    <xf numFmtId="0" fontId="249" fillId="0" borderId="0" xfId="0" applyNumberFormat="1" applyFont="1" applyFill="1" applyAlignment="1">
      <alignment horizontal="left" vertical="top"/>
    </xf>
    <xf numFmtId="0" fontId="251" fillId="0" borderId="0" xfId="0" applyFont="1" applyFill="1" applyAlignment="1">
      <alignment horizontal="centerContinuous" vertical="top"/>
    </xf>
    <xf numFmtId="0" fontId="257" fillId="0" borderId="0" xfId="0" applyFont="1" applyFill="1" applyAlignment="1">
      <alignment horizontal="centerContinuous" vertical="top"/>
    </xf>
    <xf numFmtId="49" fontId="251" fillId="0" borderId="0" xfId="0" applyNumberFormat="1" applyFont="1" applyFill="1" applyAlignment="1">
      <alignment horizontal="centerContinuous" vertical="top"/>
    </xf>
    <xf numFmtId="0" fontId="251" fillId="0" borderId="0" xfId="0" applyNumberFormat="1" applyFont="1" applyFill="1" applyAlignment="1">
      <alignment horizontal="left" vertical="top"/>
    </xf>
    <xf numFmtId="49" fontId="251" fillId="0" borderId="0" xfId="0" applyNumberFormat="1" applyFont="1" applyFill="1" applyAlignment="1">
      <alignment horizontal="center" vertical="top"/>
    </xf>
    <xf numFmtId="167" fontId="251" fillId="0" borderId="0" xfId="0" applyNumberFormat="1" applyFont="1" applyFill="1" applyBorder="1" applyAlignment="1">
      <alignment horizontal="center" vertical="top"/>
    </xf>
    <xf numFmtId="0" fontId="249" fillId="0" borderId="0" xfId="3722" applyFont="1" applyFill="1" applyAlignment="1">
      <alignment vertical="top"/>
    </xf>
    <xf numFmtId="0" fontId="249" fillId="0" borderId="0" xfId="21" applyNumberFormat="1" applyFont="1" applyFill="1" applyAlignment="1">
      <alignment vertical="top"/>
    </xf>
    <xf numFmtId="0" fontId="251" fillId="0" borderId="0" xfId="0" applyNumberFormat="1" applyFont="1" applyFill="1" applyAlignment="1">
      <alignment horizontal="justify" vertical="top" wrapText="1"/>
    </xf>
    <xf numFmtId="0" fontId="251" fillId="0" borderId="0" xfId="0" applyFont="1" applyFill="1" applyAlignment="1">
      <alignment horizontal="left" vertical="top"/>
    </xf>
    <xf numFmtId="260" fontId="251" fillId="0" borderId="0" xfId="3" applyFont="1" applyFill="1" applyAlignment="1">
      <alignment vertical="top"/>
    </xf>
    <xf numFmtId="0" fontId="251" fillId="0" borderId="0" xfId="0" applyFont="1" applyFill="1" applyBorder="1" applyAlignment="1">
      <alignment horizontal="left" vertical="top"/>
    </xf>
    <xf numFmtId="1" fontId="249" fillId="0" borderId="0" xfId="0" quotePrefix="1" applyNumberFormat="1" applyFont="1" applyFill="1" applyAlignment="1">
      <alignment horizontal="left" vertical="top"/>
    </xf>
    <xf numFmtId="0" fontId="251" fillId="0" borderId="0" xfId="0" applyFont="1" applyAlignment="1">
      <alignment vertical="top"/>
    </xf>
    <xf numFmtId="168" fontId="249" fillId="0" borderId="0" xfId="0" quotePrefix="1" applyNumberFormat="1" applyFont="1" applyFill="1" applyAlignment="1">
      <alignment horizontal="left" vertical="top"/>
    </xf>
    <xf numFmtId="0" fontId="255" fillId="0" borderId="0" xfId="0" applyFont="1" applyFill="1" applyAlignment="1">
      <alignment horizontal="left" vertical="top" wrapText="1"/>
    </xf>
    <xf numFmtId="2" fontId="251" fillId="0" borderId="0" xfId="1372" applyNumberFormat="1" applyFont="1" applyFill="1" applyAlignment="1">
      <alignment vertical="top"/>
    </xf>
    <xf numFmtId="167" fontId="249" fillId="0" borderId="0" xfId="3" applyNumberFormat="1" applyFont="1" applyFill="1" applyAlignment="1">
      <alignment vertical="top"/>
    </xf>
    <xf numFmtId="0" fontId="251" fillId="0" borderId="0" xfId="0" applyNumberFormat="1" applyFont="1" applyFill="1" applyAlignment="1">
      <alignment horizontal="left" vertical="top" wrapText="1"/>
    </xf>
    <xf numFmtId="0" fontId="251" fillId="0" borderId="0" xfId="40390" applyFont="1" applyFill="1" applyAlignment="1">
      <alignment horizontal="left" vertical="top" wrapText="1"/>
    </xf>
    <xf numFmtId="37" fontId="251" fillId="0" borderId="0" xfId="40387" applyNumberFormat="1" applyFont="1" applyFill="1" applyAlignment="1" applyProtection="1">
      <alignment horizontal="left" vertical="top" wrapText="1"/>
    </xf>
    <xf numFmtId="16" fontId="253" fillId="0" borderId="0" xfId="31" quotePrefix="1" applyNumberFormat="1" applyFont="1" applyFill="1" applyAlignment="1">
      <alignment horizontal="center"/>
    </xf>
    <xf numFmtId="187" fontId="251" fillId="0" borderId="0" xfId="19" applyNumberFormat="1" applyFont="1" applyFill="1"/>
    <xf numFmtId="0" fontId="253" fillId="0" borderId="0" xfId="31" quotePrefix="1" applyNumberFormat="1" applyFont="1" applyFill="1" applyAlignment="1">
      <alignment horizontal="center"/>
    </xf>
    <xf numFmtId="166" fontId="249" fillId="0" borderId="0" xfId="659" quotePrefix="1" applyNumberFormat="1" applyFont="1" applyFill="1" applyAlignment="1">
      <alignment horizontal="center" vertical="center" wrapText="1"/>
    </xf>
    <xf numFmtId="167" fontId="249" fillId="0" borderId="9" xfId="3" applyNumberFormat="1" applyFont="1" applyFill="1" applyBorder="1" applyAlignment="1">
      <alignment vertical="top"/>
    </xf>
    <xf numFmtId="260" fontId="249" fillId="0" borderId="10" xfId="3" applyFont="1" applyFill="1" applyBorder="1"/>
    <xf numFmtId="167" fontId="249" fillId="0" borderId="7" xfId="3" applyNumberFormat="1" applyFont="1" applyFill="1" applyBorder="1"/>
    <xf numFmtId="0" fontId="251" fillId="0" borderId="0" xfId="0" applyFont="1" applyFill="1" applyAlignment="1">
      <alignment vertical="center"/>
    </xf>
    <xf numFmtId="0" fontId="249" fillId="0" borderId="0" xfId="0" applyFont="1" applyFill="1" applyAlignment="1" applyProtection="1">
      <alignment horizontal="center"/>
      <protection locked="0"/>
    </xf>
    <xf numFmtId="0" fontId="251" fillId="0" borderId="0" xfId="0" applyFont="1" applyFill="1" applyAlignment="1" applyProtection="1">
      <alignment horizontal="center"/>
      <protection locked="0"/>
    </xf>
    <xf numFmtId="0" fontId="251" fillId="0" borderId="0" xfId="0" applyFont="1" applyFill="1" applyAlignment="1" applyProtection="1">
      <alignment horizontal="left"/>
      <protection locked="0"/>
    </xf>
    <xf numFmtId="0" fontId="249" fillId="0" borderId="0" xfId="0" applyFont="1" applyFill="1" applyAlignment="1" applyProtection="1">
      <alignment horizontal="left"/>
      <protection locked="0"/>
    </xf>
    <xf numFmtId="167" fontId="249" fillId="0" borderId="0" xfId="5300" applyNumberFormat="1" applyFont="1" applyFill="1" applyBorder="1" applyAlignment="1">
      <alignment horizontal="center"/>
    </xf>
    <xf numFmtId="167" fontId="249" fillId="0" borderId="0" xfId="5300" applyNumberFormat="1" applyFont="1" applyFill="1" applyBorder="1"/>
    <xf numFmtId="167" fontId="249" fillId="0" borderId="0" xfId="0" applyNumberFormat="1" applyFont="1" applyFill="1"/>
    <xf numFmtId="228" fontId="249" fillId="0" borderId="0" xfId="3" applyNumberFormat="1" applyFont="1" applyFill="1" applyAlignment="1"/>
    <xf numFmtId="228" fontId="251" fillId="0" borderId="0" xfId="3" applyNumberFormat="1" applyFont="1" applyFill="1" applyAlignment="1">
      <alignment vertical="center"/>
    </xf>
    <xf numFmtId="260" fontId="251" fillId="0" borderId="0" xfId="3" applyFont="1" applyFill="1" applyAlignment="1">
      <alignment vertical="center"/>
    </xf>
    <xf numFmtId="167" fontId="251" fillId="0" borderId="0" xfId="3" applyNumberFormat="1" applyFont="1" applyFill="1" applyAlignment="1">
      <alignment vertical="center"/>
    </xf>
    <xf numFmtId="167" fontId="251" fillId="0" borderId="0" xfId="3" applyNumberFormat="1" applyFont="1" applyFill="1" applyBorder="1" applyAlignment="1">
      <alignment vertical="center"/>
    </xf>
    <xf numFmtId="0" fontId="251" fillId="0" borderId="0" xfId="0" applyNumberFormat="1" applyFont="1" applyFill="1" applyBorder="1" applyAlignment="1"/>
    <xf numFmtId="0" fontId="249" fillId="0" borderId="0" xfId="3" applyNumberFormat="1" applyFont="1" applyFill="1" applyBorder="1" applyAlignment="1">
      <alignment horizontal="center" vertical="center" wrapText="1"/>
    </xf>
    <xf numFmtId="167" fontId="249" fillId="0" borderId="0" xfId="3" applyNumberFormat="1" applyFont="1" applyFill="1" applyBorder="1" applyAlignment="1">
      <alignment horizontal="center" vertical="center" wrapText="1"/>
    </xf>
    <xf numFmtId="0" fontId="251" fillId="0" borderId="0" xfId="0" applyNumberFormat="1" applyFont="1" applyFill="1"/>
    <xf numFmtId="0" fontId="251" fillId="0" borderId="0" xfId="0" applyNumberFormat="1" applyFont="1" applyFill="1" applyBorder="1" applyAlignment="1">
      <alignment horizontal="center" vertical="center" wrapText="1"/>
    </xf>
    <xf numFmtId="0" fontId="249" fillId="0" borderId="101" xfId="0" applyNumberFormat="1" applyFont="1" applyFill="1" applyBorder="1" applyAlignment="1">
      <alignment vertical="center"/>
    </xf>
    <xf numFmtId="0" fontId="251" fillId="0" borderId="0" xfId="0" applyNumberFormat="1" applyFont="1" applyFill="1" applyAlignment="1">
      <alignment horizontal="center" vertical="center"/>
    </xf>
    <xf numFmtId="0" fontId="249" fillId="0" borderId="0" xfId="0" applyFont="1" applyFill="1" applyBorder="1" applyAlignment="1">
      <alignment horizontal="left" vertical="center"/>
    </xf>
    <xf numFmtId="228" fontId="251" fillId="0" borderId="0" xfId="3" applyNumberFormat="1" applyFont="1" applyFill="1" applyBorder="1" applyAlignment="1">
      <alignment vertical="center"/>
    </xf>
    <xf numFmtId="167" fontId="260" fillId="0" borderId="0" xfId="3" applyNumberFormat="1" applyFont="1" applyFill="1"/>
    <xf numFmtId="0" fontId="251" fillId="0" borderId="0" xfId="0" applyFont="1" applyFill="1" applyBorder="1" applyAlignment="1">
      <alignment horizontal="left" vertical="center"/>
    </xf>
    <xf numFmtId="191" fontId="251" fillId="0" borderId="0" xfId="4" applyNumberFormat="1" applyFont="1" applyFill="1"/>
    <xf numFmtId="10" fontId="251" fillId="0" borderId="0" xfId="4" applyNumberFormat="1" applyFont="1" applyFill="1"/>
    <xf numFmtId="191" fontId="251" fillId="0" borderId="0" xfId="3" applyNumberFormat="1" applyFont="1" applyFill="1" applyBorder="1" applyAlignment="1">
      <alignment vertical="center"/>
    </xf>
    <xf numFmtId="191" fontId="251" fillId="0" borderId="0" xfId="4" applyNumberFormat="1" applyFont="1" applyFill="1" applyBorder="1" applyAlignment="1">
      <alignment vertical="center"/>
    </xf>
    <xf numFmtId="10" fontId="251" fillId="0" borderId="0" xfId="4" applyNumberFormat="1" applyFont="1" applyFill="1" applyBorder="1" applyAlignment="1">
      <alignment vertical="center"/>
    </xf>
    <xf numFmtId="260" fontId="249" fillId="0" borderId="0" xfId="3" applyFont="1" applyFill="1" applyBorder="1" applyAlignment="1">
      <alignment vertical="top"/>
    </xf>
    <xf numFmtId="0" fontId="251" fillId="0" borderId="0" xfId="0" applyFont="1" applyFill="1" applyBorder="1" applyAlignment="1">
      <alignment horizontal="right"/>
    </xf>
    <xf numFmtId="0" fontId="251" fillId="0" borderId="0" xfId="0" applyNumberFormat="1" applyFont="1" applyFill="1" applyBorder="1" applyAlignment="1">
      <alignment horizontal="left" vertical="center"/>
    </xf>
    <xf numFmtId="10" fontId="251" fillId="0" borderId="0" xfId="4" applyNumberFormat="1" applyFont="1" applyFill="1" applyAlignment="1">
      <alignment vertical="center"/>
    </xf>
    <xf numFmtId="191" fontId="251" fillId="0" borderId="0" xfId="3" applyNumberFormat="1" applyFont="1" applyFill="1" applyBorder="1" applyAlignment="1">
      <alignment vertical="top"/>
    </xf>
    <xf numFmtId="10" fontId="251" fillId="0" borderId="0" xfId="4" applyNumberFormat="1" applyFont="1" applyFill="1" applyAlignment="1">
      <alignment horizontal="center" vertical="center"/>
    </xf>
    <xf numFmtId="260" fontId="251" fillId="0" borderId="0" xfId="3" applyFont="1" applyFill="1" applyBorder="1" applyAlignment="1">
      <alignment vertical="center"/>
    </xf>
    <xf numFmtId="10" fontId="251" fillId="0" borderId="0" xfId="3" applyNumberFormat="1" applyFont="1" applyFill="1" applyBorder="1" applyAlignment="1">
      <alignment vertical="center"/>
    </xf>
    <xf numFmtId="10" fontId="251" fillId="0" borderId="0" xfId="4" applyNumberFormat="1" applyFont="1" applyFill="1" applyBorder="1"/>
    <xf numFmtId="191" fontId="251" fillId="0" borderId="0" xfId="3" applyNumberFormat="1" applyFont="1" applyFill="1" applyBorder="1"/>
    <xf numFmtId="0" fontId="249" fillId="0" borderId="0" xfId="0" applyNumberFormat="1" applyFont="1" applyFill="1" applyBorder="1" applyAlignment="1">
      <alignment horizontal="left"/>
    </xf>
    <xf numFmtId="228" fontId="249" fillId="0" borderId="0" xfId="3" applyNumberFormat="1" applyFont="1" applyFill="1" applyBorder="1" applyAlignment="1">
      <alignment vertical="center"/>
    </xf>
    <xf numFmtId="49" fontId="251" fillId="0" borderId="0" xfId="40391" quotePrefix="1" applyNumberFormat="1" applyFont="1" applyFill="1" applyBorder="1" applyAlignment="1"/>
    <xf numFmtId="10" fontId="249" fillId="0" borderId="128" xfId="4" applyNumberFormat="1" applyFont="1" applyFill="1" applyBorder="1" applyAlignment="1">
      <alignment vertical="center"/>
    </xf>
    <xf numFmtId="10" fontId="249" fillId="0" borderId="108" xfId="4" applyNumberFormat="1" applyFont="1" applyFill="1" applyBorder="1" applyAlignment="1">
      <alignment vertical="center"/>
    </xf>
    <xf numFmtId="0" fontId="249" fillId="0" borderId="0" xfId="0" quotePrefix="1" applyNumberFormat="1" applyFont="1" applyFill="1" applyBorder="1" applyAlignment="1">
      <alignment horizontal="center" vertical="center"/>
    </xf>
    <xf numFmtId="10" fontId="249" fillId="0" borderId="128" xfId="3" applyNumberFormat="1" applyFont="1" applyFill="1" applyBorder="1" applyAlignment="1">
      <alignment vertical="center"/>
    </xf>
    <xf numFmtId="10" fontId="249" fillId="0" borderId="108" xfId="4" applyNumberFormat="1" applyFont="1" applyFill="1" applyBorder="1"/>
    <xf numFmtId="10" fontId="251" fillId="0" borderId="0" xfId="3" applyNumberFormat="1" applyFont="1" applyFill="1" applyBorder="1"/>
    <xf numFmtId="10" fontId="249" fillId="0" borderId="128" xfId="4" applyNumberFormat="1" applyFont="1" applyFill="1" applyBorder="1"/>
    <xf numFmtId="260" fontId="249" fillId="0" borderId="9" xfId="3" applyFont="1" applyFill="1" applyBorder="1" applyAlignment="1">
      <alignment vertical="top"/>
    </xf>
    <xf numFmtId="10" fontId="251" fillId="0" borderId="0" xfId="3" applyNumberFormat="1" applyFont="1" applyFill="1" applyAlignment="1">
      <alignment vertical="center"/>
    </xf>
    <xf numFmtId="2" fontId="251" fillId="0" borderId="0" xfId="3" applyNumberFormat="1" applyFont="1" applyFill="1" applyBorder="1" applyAlignment="1">
      <alignment vertical="center"/>
    </xf>
    <xf numFmtId="43" fontId="260" fillId="0" borderId="0" xfId="3" applyNumberFormat="1" applyFont="1" applyFill="1"/>
    <xf numFmtId="228" fontId="251" fillId="0" borderId="0" xfId="0" applyNumberFormat="1" applyFont="1" applyFill="1" applyAlignment="1">
      <alignment vertical="center"/>
    </xf>
    <xf numFmtId="10" fontId="251" fillId="0" borderId="0" xfId="4" applyNumberFormat="1" applyFont="1" applyFill="1" applyBorder="1" applyAlignment="1">
      <alignment horizontal="center" vertical="center"/>
    </xf>
    <xf numFmtId="167" fontId="251" fillId="0" borderId="0" xfId="3" applyNumberFormat="1" applyFont="1" applyFill="1" applyBorder="1" applyAlignment="1">
      <alignment horizontal="center" vertical="center"/>
    </xf>
    <xf numFmtId="0" fontId="251" fillId="0" borderId="0" xfId="0" applyFont="1" applyFill="1" applyBorder="1" applyAlignment="1">
      <alignment horizontal="center" vertical="center"/>
    </xf>
    <xf numFmtId="3" fontId="261" fillId="0" borderId="0" xfId="0" applyNumberFormat="1" applyFont="1" applyFill="1"/>
    <xf numFmtId="191" fontId="251" fillId="0" borderId="0" xfId="0" applyNumberFormat="1" applyFont="1" applyFill="1" applyBorder="1"/>
    <xf numFmtId="228" fontId="251" fillId="0" borderId="8" xfId="3" applyNumberFormat="1" applyFont="1" applyFill="1" applyBorder="1" applyAlignment="1"/>
    <xf numFmtId="228" fontId="251" fillId="0" borderId="8" xfId="3" applyNumberFormat="1" applyFont="1" applyFill="1" applyBorder="1" applyAlignment="1">
      <alignment vertical="top"/>
    </xf>
    <xf numFmtId="191" fontId="251" fillId="0" borderId="0" xfId="0" applyNumberFormat="1" applyFont="1" applyFill="1"/>
    <xf numFmtId="0" fontId="249" fillId="0" borderId="0" xfId="30" applyFont="1" applyFill="1" applyBorder="1" applyAlignment="1">
      <alignment horizontal="left" vertical="top" wrapText="1"/>
    </xf>
    <xf numFmtId="0" fontId="249" fillId="0" borderId="0" xfId="30" applyFont="1" applyFill="1" applyBorder="1" applyAlignment="1">
      <alignment vertical="top" wrapText="1"/>
    </xf>
    <xf numFmtId="0" fontId="249" fillId="0" borderId="0" xfId="30" applyFont="1" applyFill="1" applyBorder="1" applyAlignment="1">
      <alignment horizontal="center" vertical="top" wrapText="1"/>
    </xf>
    <xf numFmtId="167" fontId="249" fillId="0" borderId="0" xfId="31" applyNumberFormat="1" applyFont="1" applyFill="1" applyBorder="1" applyAlignment="1">
      <alignment horizontal="center" vertical="top" wrapText="1"/>
    </xf>
    <xf numFmtId="167" fontId="249" fillId="0" borderId="0" xfId="3" applyNumberFormat="1" applyFont="1" applyFill="1" applyBorder="1" applyAlignment="1">
      <alignment vertical="top" wrapText="1"/>
    </xf>
    <xf numFmtId="167" fontId="251" fillId="0" borderId="0" xfId="3" applyNumberFormat="1" applyFont="1" applyFill="1" applyBorder="1" applyAlignment="1" applyProtection="1">
      <alignment horizontal="center" vertical="top" wrapText="1"/>
      <protection locked="0"/>
    </xf>
    <xf numFmtId="167" fontId="249" fillId="0" borderId="0" xfId="3" applyNumberFormat="1" applyFont="1" applyFill="1" applyBorder="1" applyAlignment="1">
      <alignment horizontal="center" vertical="top" wrapText="1"/>
    </xf>
    <xf numFmtId="0" fontId="249" fillId="0" borderId="0" xfId="0" applyFont="1" applyFill="1" applyAlignment="1">
      <alignment horizontal="left"/>
    </xf>
    <xf numFmtId="0" fontId="251" fillId="0" borderId="0" xfId="0" applyNumberFormat="1" applyFont="1" applyFill="1" applyBorder="1" applyAlignment="1">
      <alignment horizontal="left"/>
    </xf>
    <xf numFmtId="0" fontId="249" fillId="0" borderId="0" xfId="0" applyNumberFormat="1" applyFont="1" applyFill="1" applyBorder="1" applyAlignment="1">
      <alignment horizontal="center" vertical="center"/>
    </xf>
    <xf numFmtId="0" fontId="251" fillId="0" borderId="0" xfId="0" quotePrefix="1" applyNumberFormat="1" applyFont="1" applyFill="1" applyBorder="1" applyAlignment="1">
      <alignment horizontal="center" vertical="center"/>
    </xf>
    <xf numFmtId="0" fontId="249" fillId="0" borderId="53" xfId="0" quotePrefix="1" applyNumberFormat="1" applyFont="1" applyFill="1" applyBorder="1" applyAlignment="1">
      <alignment vertical="center"/>
    </xf>
    <xf numFmtId="0" fontId="249" fillId="0" borderId="53" xfId="0" applyNumberFormat="1" applyFont="1" applyFill="1" applyBorder="1" applyAlignment="1">
      <alignment vertical="center"/>
    </xf>
    <xf numFmtId="0" fontId="249" fillId="0" borderId="119" xfId="0" applyNumberFormat="1" applyFont="1" applyFill="1" applyBorder="1" applyAlignment="1">
      <alignment vertical="center"/>
    </xf>
    <xf numFmtId="228" fontId="249" fillId="0" borderId="128" xfId="3" applyNumberFormat="1" applyFont="1" applyFill="1" applyBorder="1" applyAlignment="1">
      <alignment vertical="center"/>
    </xf>
    <xf numFmtId="260" fontId="249" fillId="0" borderId="128" xfId="3" applyFont="1" applyFill="1" applyBorder="1" applyAlignment="1">
      <alignment vertical="center"/>
    </xf>
    <xf numFmtId="228" fontId="249" fillId="0" borderId="108" xfId="3" applyNumberFormat="1" applyFont="1" applyFill="1" applyBorder="1" applyAlignment="1">
      <alignment vertical="center"/>
    </xf>
    <xf numFmtId="260" fontId="249" fillId="0" borderId="108" xfId="3" applyFont="1" applyFill="1" applyBorder="1" applyAlignment="1">
      <alignment vertical="center"/>
    </xf>
    <xf numFmtId="10" fontId="249" fillId="0" borderId="128" xfId="3" applyNumberFormat="1" applyFont="1" applyFill="1" applyBorder="1"/>
    <xf numFmtId="228" fontId="249" fillId="0" borderId="128" xfId="0" applyNumberFormat="1" applyFont="1" applyFill="1" applyBorder="1" applyAlignment="1"/>
    <xf numFmtId="260" fontId="249" fillId="0" borderId="128" xfId="3" applyFont="1" applyFill="1" applyBorder="1"/>
    <xf numFmtId="228" fontId="249" fillId="0" borderId="108" xfId="0" applyNumberFormat="1" applyFont="1" applyFill="1" applyBorder="1" applyAlignment="1"/>
    <xf numFmtId="228" fontId="249" fillId="0" borderId="9" xfId="0" applyNumberFormat="1" applyFont="1" applyFill="1" applyBorder="1" applyAlignment="1">
      <alignment vertical="center"/>
    </xf>
    <xf numFmtId="260" fontId="251" fillId="0" borderId="8" xfId="3" applyFont="1" applyFill="1" applyBorder="1" applyAlignment="1"/>
    <xf numFmtId="260" fontId="255" fillId="0" borderId="0" xfId="3" applyFont="1" applyFill="1" applyAlignment="1">
      <alignment horizontal="centerContinuous" vertical="top"/>
    </xf>
    <xf numFmtId="260" fontId="255" fillId="0" borderId="0" xfId="3" applyFont="1" applyFill="1" applyBorder="1" applyAlignment="1">
      <alignment horizontal="centerContinuous" vertical="top"/>
    </xf>
    <xf numFmtId="265" fontId="251" fillId="0" borderId="0" xfId="40386" applyNumberFormat="1" applyFont="1" applyFill="1" applyAlignment="1">
      <alignment horizontal="center"/>
    </xf>
    <xf numFmtId="265" fontId="251" fillId="0" borderId="0" xfId="1372" applyNumberFormat="1" applyFont="1" applyFill="1" applyAlignment="1" applyProtection="1">
      <alignment vertical="top"/>
    </xf>
    <xf numFmtId="265" fontId="251" fillId="0" borderId="0" xfId="40387" applyNumberFormat="1" applyFont="1" applyFill="1" applyAlignment="1" applyProtection="1">
      <alignment vertical="top" wrapText="1"/>
    </xf>
    <xf numFmtId="265" fontId="251" fillId="0" borderId="0" xfId="40387" applyNumberFormat="1" applyFont="1" applyFill="1" applyAlignment="1" applyProtection="1">
      <alignment horizontal="left" vertical="top" wrapText="1"/>
    </xf>
    <xf numFmtId="265" fontId="249" fillId="0" borderId="0" xfId="40387" applyNumberFormat="1" applyFont="1" applyFill="1" applyAlignment="1">
      <alignment horizontal="center"/>
    </xf>
    <xf numFmtId="265" fontId="251" fillId="0" borderId="0" xfId="40387" applyNumberFormat="1" applyFont="1" applyFill="1" applyAlignment="1" applyProtection="1">
      <alignment horizontal="left" wrapText="1"/>
    </xf>
    <xf numFmtId="265" fontId="251" fillId="0" borderId="0" xfId="40387" applyNumberFormat="1" applyFont="1" applyFill="1" applyAlignment="1">
      <alignment horizontal="left" wrapText="1"/>
    </xf>
    <xf numFmtId="0" fontId="255" fillId="0" borderId="0" xfId="40387" applyNumberFormat="1" applyFont="1" applyFill="1" applyBorder="1" applyAlignment="1" applyProtection="1">
      <alignment vertical="top"/>
    </xf>
    <xf numFmtId="265" fontId="255" fillId="0" borderId="0" xfId="40387" applyNumberFormat="1" applyFont="1" applyFill="1" applyAlignment="1">
      <alignment horizontal="center" wrapText="1"/>
    </xf>
    <xf numFmtId="265" fontId="255" fillId="0" borderId="0" xfId="40387" applyNumberFormat="1" applyFont="1" applyFill="1" applyAlignment="1">
      <alignment wrapText="1"/>
    </xf>
    <xf numFmtId="0" fontId="251" fillId="0" borderId="0" xfId="40386" applyFont="1" applyFill="1"/>
    <xf numFmtId="265" fontId="251" fillId="0" borderId="0" xfId="40386" applyNumberFormat="1" applyFont="1" applyFill="1"/>
    <xf numFmtId="37" fontId="251" fillId="0" borderId="0" xfId="0" applyNumberFormat="1" applyFont="1" applyFill="1" applyAlignment="1" applyProtection="1">
      <alignment horizontal="left" indent="1"/>
    </xf>
    <xf numFmtId="0" fontId="6" fillId="0" borderId="0" xfId="40385" applyFont="1" applyFill="1" applyAlignment="1">
      <alignment vertical="top"/>
    </xf>
    <xf numFmtId="37" fontId="251" fillId="0" borderId="0" xfId="0" applyNumberFormat="1" applyFont="1" applyFill="1" applyAlignment="1">
      <alignment horizontal="centerContinuous"/>
    </xf>
    <xf numFmtId="266" fontId="251" fillId="0" borderId="0" xfId="40391" applyNumberFormat="1" applyFont="1" applyFill="1" applyBorder="1" applyAlignment="1">
      <alignment horizontal="center"/>
    </xf>
    <xf numFmtId="0" fontId="251" fillId="0" borderId="0" xfId="40384" applyNumberFormat="1" applyFont="1" applyFill="1" applyAlignment="1">
      <alignment horizontal="justify" vertical="top"/>
    </xf>
    <xf numFmtId="0" fontId="249" fillId="0" borderId="0" xfId="0" quotePrefix="1" applyFont="1" applyAlignment="1">
      <alignment vertical="top"/>
    </xf>
    <xf numFmtId="0" fontId="249" fillId="0" borderId="0" xfId="0" applyFont="1" applyFill="1" applyAlignment="1" applyProtection="1">
      <alignment horizontal="center"/>
      <protection locked="0"/>
    </xf>
    <xf numFmtId="49" fontId="249" fillId="0" borderId="0" xfId="0" applyNumberFormat="1" applyFont="1" applyFill="1" applyBorder="1" applyAlignment="1">
      <alignment horizontal="center" vertical="center"/>
    </xf>
    <xf numFmtId="0" fontId="249" fillId="5" borderId="0" xfId="0" applyFont="1" applyFill="1"/>
    <xf numFmtId="0" fontId="249" fillId="5" borderId="0" xfId="0" applyFont="1" applyFill="1" applyAlignment="1" applyProtection="1">
      <alignment horizontal="center"/>
      <protection locked="0"/>
    </xf>
    <xf numFmtId="0" fontId="251" fillId="0" borderId="0" xfId="0" applyFont="1" applyFill="1" applyBorder="1" applyAlignment="1" applyProtection="1">
      <alignment horizontal="justify" vertical="top"/>
    </xf>
    <xf numFmtId="0" fontId="251" fillId="0" borderId="0" xfId="0" applyFont="1" applyFill="1" applyAlignment="1">
      <alignment horizontal="justify" vertical="top"/>
    </xf>
    <xf numFmtId="0" fontId="251" fillId="0" borderId="0" xfId="0" applyFont="1" applyFill="1" applyAlignment="1">
      <alignment horizontal="left" vertical="top" wrapText="1"/>
    </xf>
    <xf numFmtId="0" fontId="0" fillId="5" borderId="0" xfId="0" applyFill="1"/>
    <xf numFmtId="0" fontId="0" fillId="101" borderId="0" xfId="0" applyFill="1"/>
    <xf numFmtId="0" fontId="0" fillId="103" borderId="0" xfId="0" applyFill="1"/>
    <xf numFmtId="0" fontId="0" fillId="104" borderId="0" xfId="0" applyFill="1"/>
    <xf numFmtId="0" fontId="263" fillId="0" borderId="0" xfId="0" applyFont="1"/>
    <xf numFmtId="167" fontId="263" fillId="0" borderId="0" xfId="3" applyNumberFormat="1" applyFont="1"/>
    <xf numFmtId="0" fontId="263" fillId="0" borderId="0" xfId="0" quotePrefix="1" applyFont="1"/>
    <xf numFmtId="0" fontId="263" fillId="5" borderId="0" xfId="0" applyFont="1" applyFill="1"/>
    <xf numFmtId="167" fontId="263" fillId="5" borderId="0" xfId="3" applyNumberFormat="1" applyFont="1" applyFill="1"/>
    <xf numFmtId="0" fontId="263" fillId="101" borderId="0" xfId="0" quotePrefix="1" applyFont="1" applyFill="1"/>
    <xf numFmtId="0" fontId="263" fillId="101" borderId="0" xfId="0" applyFont="1" applyFill="1"/>
    <xf numFmtId="167" fontId="263" fillId="101" borderId="0" xfId="3" applyNumberFormat="1" applyFont="1" applyFill="1"/>
    <xf numFmtId="0" fontId="263" fillId="5" borderId="0" xfId="0" quotePrefix="1" applyFont="1" applyFill="1"/>
    <xf numFmtId="0" fontId="263" fillId="103" borderId="0" xfId="0" quotePrefix="1" applyFont="1" applyFill="1"/>
    <xf numFmtId="0" fontId="263" fillId="103" borderId="0" xfId="0" applyFont="1" applyFill="1"/>
    <xf numFmtId="167" fontId="263" fillId="103" borderId="0" xfId="3" applyNumberFormat="1" applyFont="1" applyFill="1"/>
    <xf numFmtId="0" fontId="263" fillId="104" borderId="0" xfId="0" quotePrefix="1" applyFont="1" applyFill="1"/>
    <xf numFmtId="0" fontId="263" fillId="104" borderId="0" xfId="0" applyFont="1" applyFill="1"/>
    <xf numFmtId="167" fontId="263" fillId="104" borderId="0" xfId="3" applyNumberFormat="1" applyFont="1" applyFill="1"/>
    <xf numFmtId="167" fontId="240" fillId="102" borderId="117" xfId="40376" applyNumberFormat="1" applyFont="1" applyFill="1" applyBorder="1" applyAlignment="1">
      <alignment horizontal="center"/>
    </xf>
    <xf numFmtId="0" fontId="264" fillId="0" borderId="0" xfId="0" applyFont="1" applyFill="1"/>
    <xf numFmtId="0" fontId="263" fillId="0" borderId="0" xfId="0" applyFont="1" applyFill="1"/>
    <xf numFmtId="167" fontId="263" fillId="0" borderId="0" xfId="3" applyNumberFormat="1" applyFont="1" applyFill="1"/>
    <xf numFmtId="0" fontId="263" fillId="0" borderId="0" xfId="0" quotePrefix="1" applyFont="1" applyFill="1"/>
    <xf numFmtId="0" fontId="239" fillId="0" borderId="0" xfId="40377" applyFont="1" applyFill="1"/>
    <xf numFmtId="167" fontId="240" fillId="0" borderId="0" xfId="40376" applyNumberFormat="1" applyFont="1" applyFill="1" applyBorder="1" applyAlignment="1">
      <alignment horizontal="center"/>
    </xf>
    <xf numFmtId="0" fontId="239" fillId="0" borderId="0" xfId="40377" applyFont="1" applyFill="1" applyBorder="1"/>
    <xf numFmtId="0" fontId="264" fillId="0" borderId="0" xfId="0" applyFont="1"/>
    <xf numFmtId="167" fontId="264" fillId="0" borderId="0" xfId="3" applyNumberFormat="1" applyFont="1"/>
    <xf numFmtId="0" fontId="119" fillId="0" borderId="0" xfId="0" applyFont="1"/>
    <xf numFmtId="167" fontId="240" fillId="102" borderId="112" xfId="40376" applyNumberFormat="1" applyFont="1" applyFill="1" applyBorder="1" applyAlignment="1">
      <alignment horizontal="center"/>
    </xf>
    <xf numFmtId="0" fontId="119" fillId="0" borderId="0" xfId="0" applyFont="1" applyFill="1"/>
    <xf numFmtId="167" fontId="0" fillId="0" borderId="0" xfId="0" applyNumberFormat="1" applyFill="1"/>
    <xf numFmtId="260" fontId="263" fillId="0" borderId="0" xfId="3" applyFont="1" applyFill="1"/>
    <xf numFmtId="260" fontId="263" fillId="0" borderId="0" xfId="3" applyFont="1"/>
    <xf numFmtId="260" fontId="240" fillId="102" borderId="112" xfId="3" applyFont="1" applyFill="1" applyBorder="1" applyAlignment="1">
      <alignment horizontal="center"/>
    </xf>
    <xf numFmtId="260" fontId="240" fillId="102" borderId="117" xfId="3" applyFont="1" applyFill="1" applyBorder="1" applyAlignment="1">
      <alignment horizontal="center"/>
    </xf>
    <xf numFmtId="167" fontId="240" fillId="102" borderId="117" xfId="40376" applyNumberFormat="1" applyFont="1" applyFill="1" applyBorder="1" applyAlignment="1">
      <alignment horizontal="center" vertical="center"/>
    </xf>
    <xf numFmtId="260" fontId="0" fillId="0" borderId="0" xfId="0" applyNumberFormat="1"/>
    <xf numFmtId="260" fontId="0" fillId="0" borderId="0" xfId="0" applyNumberFormat="1" applyFill="1"/>
    <xf numFmtId="260" fontId="119" fillId="0" borderId="0" xfId="0" applyNumberFormat="1" applyFont="1" applyFill="1"/>
    <xf numFmtId="260" fontId="119" fillId="0" borderId="102" xfId="0" applyNumberFormat="1" applyFont="1" applyFill="1" applyBorder="1"/>
    <xf numFmtId="0" fontId="263" fillId="105" borderId="0" xfId="0" quotePrefix="1" applyFont="1" applyFill="1"/>
    <xf numFmtId="0" fontId="263" fillId="105" borderId="0" xfId="0" applyFont="1" applyFill="1"/>
    <xf numFmtId="167" fontId="263" fillId="105" borderId="0" xfId="3" applyNumberFormat="1" applyFont="1" applyFill="1"/>
    <xf numFmtId="0" fontId="0" fillId="105" borderId="0" xfId="0" applyFill="1"/>
    <xf numFmtId="260" fontId="263" fillId="105" borderId="0" xfId="3" applyFont="1" applyFill="1"/>
    <xf numFmtId="43" fontId="0" fillId="0" borderId="0" xfId="0" applyNumberFormat="1" applyFill="1"/>
    <xf numFmtId="37" fontId="249" fillId="0" borderId="7" xfId="0" applyNumberFormat="1" applyFont="1" applyFill="1" applyBorder="1"/>
    <xf numFmtId="260" fontId="249" fillId="0" borderId="7" xfId="3" applyFont="1" applyFill="1" applyBorder="1"/>
    <xf numFmtId="37" fontId="249" fillId="0" borderId="7" xfId="3" applyNumberFormat="1" applyFont="1" applyFill="1" applyBorder="1" applyAlignment="1">
      <alignment horizontal="right"/>
    </xf>
    <xf numFmtId="37" fontId="249" fillId="0" borderId="10" xfId="3" applyNumberFormat="1" applyFont="1" applyFill="1" applyBorder="1"/>
    <xf numFmtId="37" fontId="256" fillId="0" borderId="0" xfId="0" applyNumberFormat="1" applyFont="1" applyFill="1"/>
    <xf numFmtId="0" fontId="263" fillId="100" borderId="0" xfId="0" quotePrefix="1" applyFont="1" applyFill="1"/>
    <xf numFmtId="0" fontId="263" fillId="100" borderId="0" xfId="0" applyFont="1" applyFill="1"/>
    <xf numFmtId="167" fontId="263" fillId="100" borderId="0" xfId="3" applyNumberFormat="1" applyFont="1" applyFill="1"/>
    <xf numFmtId="0" fontId="0" fillId="100" borderId="0" xfId="0" applyFill="1"/>
    <xf numFmtId="260" fontId="263" fillId="100" borderId="0" xfId="3" applyFont="1" applyFill="1"/>
    <xf numFmtId="260" fontId="263" fillId="101" borderId="0" xfId="3" applyFont="1" applyFill="1"/>
    <xf numFmtId="260" fontId="0" fillId="101" borderId="0" xfId="0" applyNumberFormat="1" applyFill="1"/>
    <xf numFmtId="260" fontId="0" fillId="100" borderId="0" xfId="0" applyNumberFormat="1" applyFill="1"/>
    <xf numFmtId="37" fontId="249" fillId="0" borderId="7" xfId="3" applyNumberFormat="1" applyFont="1" applyFill="1" applyBorder="1" applyAlignment="1"/>
    <xf numFmtId="37" fontId="249" fillId="0" borderId="9" xfId="0" applyNumberFormat="1" applyFont="1" applyFill="1" applyBorder="1"/>
    <xf numFmtId="172" fontId="256" fillId="0" borderId="8" xfId="3" applyNumberFormat="1" applyFont="1" applyFill="1" applyBorder="1"/>
    <xf numFmtId="260" fontId="263" fillId="5" borderId="0" xfId="3" applyFont="1" applyFill="1"/>
    <xf numFmtId="260" fontId="0" fillId="5" borderId="0" xfId="0" applyNumberFormat="1" applyFill="1"/>
    <xf numFmtId="0" fontId="240" fillId="0" borderId="0" xfId="40377" applyFont="1" applyFill="1"/>
    <xf numFmtId="167" fontId="251" fillId="102" borderId="0" xfId="5300" applyNumberFormat="1" applyFont="1" applyFill="1"/>
    <xf numFmtId="0" fontId="251" fillId="5" borderId="0" xfId="0" applyFont="1" applyFill="1" applyProtection="1">
      <protection locked="0"/>
    </xf>
    <xf numFmtId="260" fontId="249" fillId="0" borderId="0" xfId="3" applyFont="1" applyFill="1" applyProtection="1">
      <protection locked="0"/>
    </xf>
    <xf numFmtId="260" fontId="119" fillId="5" borderId="0" xfId="0" applyNumberFormat="1" applyFont="1" applyFill="1"/>
    <xf numFmtId="0" fontId="263" fillId="106" borderId="0" xfId="0" quotePrefix="1" applyFont="1" applyFill="1"/>
    <xf numFmtId="0" fontId="263" fillId="106" borderId="0" xfId="0" applyFont="1" applyFill="1"/>
    <xf numFmtId="167" fontId="263" fillId="106" borderId="0" xfId="3" applyNumberFormat="1" applyFont="1" applyFill="1"/>
    <xf numFmtId="0" fontId="0" fillId="106" borderId="0" xfId="0" applyFill="1"/>
    <xf numFmtId="260" fontId="263" fillId="106" borderId="0" xfId="3" applyFont="1" applyFill="1"/>
    <xf numFmtId="260" fontId="119" fillId="106" borderId="0" xfId="0" applyNumberFormat="1" applyFont="1" applyFill="1"/>
    <xf numFmtId="0" fontId="239" fillId="106" borderId="0" xfId="40377" applyFont="1" applyFill="1"/>
    <xf numFmtId="260" fontId="263" fillId="103" borderId="0" xfId="3" applyFont="1" applyFill="1"/>
    <xf numFmtId="260" fontId="119" fillId="103" borderId="0" xfId="0" applyNumberFormat="1" applyFont="1" applyFill="1"/>
    <xf numFmtId="0" fontId="263" fillId="107" borderId="0" xfId="0" quotePrefix="1" applyFont="1" applyFill="1"/>
    <xf numFmtId="0" fontId="263" fillId="107" borderId="0" xfId="0" applyFont="1" applyFill="1"/>
    <xf numFmtId="167" fontId="263" fillId="107" borderId="0" xfId="3" applyNumberFormat="1" applyFont="1" applyFill="1"/>
    <xf numFmtId="0" fontId="0" fillId="107" borderId="0" xfId="0" applyFill="1"/>
    <xf numFmtId="260" fontId="263" fillId="107" borderId="0" xfId="3" applyFont="1" applyFill="1"/>
    <xf numFmtId="260" fontId="119" fillId="107" borderId="0" xfId="0" applyNumberFormat="1" applyFont="1" applyFill="1"/>
    <xf numFmtId="37" fontId="255" fillId="0" borderId="7" xfId="0" applyNumberFormat="1" applyFont="1" applyFill="1" applyBorder="1"/>
    <xf numFmtId="260" fontId="251" fillId="0" borderId="10" xfId="3" applyFont="1" applyFill="1" applyBorder="1"/>
    <xf numFmtId="0" fontId="263" fillId="108" borderId="0" xfId="0" quotePrefix="1" applyFont="1" applyFill="1"/>
    <xf numFmtId="0" fontId="263" fillId="108" borderId="0" xfId="0" applyFont="1" applyFill="1"/>
    <xf numFmtId="167" fontId="263" fillId="108" borderId="0" xfId="3" applyNumberFormat="1" applyFont="1" applyFill="1"/>
    <xf numFmtId="0" fontId="0" fillId="108" borderId="0" xfId="0" applyFill="1"/>
    <xf numFmtId="260" fontId="263" fillId="108" borderId="0" xfId="3" applyFont="1" applyFill="1"/>
    <xf numFmtId="260" fontId="119" fillId="108" borderId="0" xfId="0" applyNumberFormat="1" applyFont="1" applyFill="1"/>
    <xf numFmtId="260" fontId="119" fillId="105" borderId="0" xfId="0" applyNumberFormat="1" applyFont="1" applyFill="1"/>
    <xf numFmtId="260" fontId="263" fillId="104" borderId="0" xfId="3" applyFont="1" applyFill="1"/>
    <xf numFmtId="260" fontId="119" fillId="104" borderId="0" xfId="0" applyNumberFormat="1" applyFont="1" applyFill="1"/>
    <xf numFmtId="260" fontId="119" fillId="0" borderId="0" xfId="3" applyFont="1" applyFill="1"/>
    <xf numFmtId="0" fontId="255" fillId="0" borderId="0" xfId="26639" applyFont="1" applyFill="1" applyBorder="1"/>
    <xf numFmtId="0" fontId="78" fillId="0" borderId="0" xfId="0" applyFont="1" applyFill="1"/>
    <xf numFmtId="2" fontId="251" fillId="0" borderId="0" xfId="0" applyNumberFormat="1" applyFont="1" applyFill="1" applyBorder="1" applyAlignment="1">
      <alignment horizontal="centerContinuous"/>
    </xf>
    <xf numFmtId="2" fontId="251" fillId="0" borderId="0" xfId="4" applyNumberFormat="1" applyFont="1" applyFill="1"/>
    <xf numFmtId="2" fontId="251" fillId="0" borderId="0" xfId="0" applyNumberFormat="1" applyFont="1" applyFill="1"/>
    <xf numFmtId="2" fontId="249" fillId="0" borderId="0" xfId="0" quotePrefix="1" applyNumberFormat="1" applyFont="1" applyFill="1" applyBorder="1" applyAlignment="1">
      <alignment horizontal="center" vertical="top"/>
    </xf>
    <xf numFmtId="2" fontId="249" fillId="0" borderId="0" xfId="40378" quotePrefix="1" applyNumberFormat="1" applyFont="1" applyFill="1" applyAlignment="1" applyProtection="1">
      <alignment horizontal="center" vertical="center" wrapText="1"/>
    </xf>
    <xf numFmtId="0" fontId="249" fillId="0" borderId="122" xfId="0" quotePrefix="1" applyNumberFormat="1" applyFont="1" applyFill="1" applyBorder="1" applyAlignment="1">
      <alignment vertical="center"/>
    </xf>
    <xf numFmtId="0" fontId="249" fillId="0" borderId="108" xfId="0" quotePrefix="1" applyNumberFormat="1" applyFont="1" applyFill="1" applyBorder="1" applyAlignment="1">
      <alignment vertical="center"/>
    </xf>
    <xf numFmtId="0" fontId="249" fillId="0" borderId="123" xfId="0" quotePrefix="1" applyNumberFormat="1" applyFont="1" applyFill="1" applyBorder="1" applyAlignment="1">
      <alignment vertical="center"/>
    </xf>
    <xf numFmtId="260" fontId="251" fillId="0" borderId="0" xfId="3" applyNumberFormat="1" applyFont="1" applyFill="1"/>
    <xf numFmtId="0" fontId="29" fillId="5" borderId="0" xfId="0" applyFont="1" applyFill="1"/>
    <xf numFmtId="0" fontId="209" fillId="5" borderId="0" xfId="40372" applyNumberFormat="1" applyFont="1" applyFill="1" applyAlignment="1">
      <alignment vertical="top"/>
    </xf>
    <xf numFmtId="0" fontId="208" fillId="5" borderId="0" xfId="40374" applyFont="1" applyFill="1"/>
    <xf numFmtId="0" fontId="208" fillId="5" borderId="0" xfId="40372" applyFont="1" applyFill="1"/>
    <xf numFmtId="0" fontId="208" fillId="5" borderId="0" xfId="0" applyFont="1" applyFill="1"/>
    <xf numFmtId="169" fontId="209" fillId="5" borderId="0" xfId="173" applyNumberFormat="1" applyFont="1" applyFill="1" applyAlignment="1">
      <alignment horizontal="justify" vertical="top"/>
    </xf>
    <xf numFmtId="0" fontId="209" fillId="5" borderId="0" xfId="40372" applyNumberFormat="1" applyFont="1" applyFill="1" applyAlignment="1">
      <alignment horizontal="center" vertical="top"/>
    </xf>
    <xf numFmtId="0" fontId="209" fillId="5" borderId="0" xfId="40372" applyNumberFormat="1" applyFont="1" applyFill="1" applyAlignment="1">
      <alignment horizontal="center" vertical="center" wrapText="1"/>
    </xf>
    <xf numFmtId="0" fontId="209" fillId="5" borderId="0" xfId="40372" quotePrefix="1" applyFont="1" applyFill="1" applyAlignment="1">
      <alignment horizontal="center" vertical="top"/>
    </xf>
    <xf numFmtId="0" fontId="209" fillId="5" borderId="0" xfId="0" applyFont="1" applyFill="1"/>
    <xf numFmtId="260" fontId="208" fillId="5" borderId="0" xfId="3" applyFont="1" applyFill="1"/>
    <xf numFmtId="0" fontId="209" fillId="5" borderId="0" xfId="40372" applyFont="1" applyFill="1"/>
    <xf numFmtId="260" fontId="209" fillId="5" borderId="0" xfId="3" applyFont="1" applyFill="1"/>
    <xf numFmtId="167" fontId="208" fillId="5" borderId="0" xfId="3" applyNumberFormat="1" applyFont="1" applyFill="1"/>
    <xf numFmtId="172" fontId="208" fillId="5" borderId="0" xfId="3" applyNumberFormat="1" applyFont="1" applyFill="1"/>
    <xf numFmtId="0" fontId="208" fillId="5" borderId="0" xfId="0" quotePrefix="1" applyFont="1" applyFill="1"/>
    <xf numFmtId="4" fontId="208" fillId="5" borderId="0" xfId="0" applyNumberFormat="1" applyFont="1" applyFill="1"/>
    <xf numFmtId="43" fontId="208" fillId="5" borderId="0" xfId="3" applyNumberFormat="1" applyFont="1" applyFill="1"/>
    <xf numFmtId="167" fontId="208" fillId="5" borderId="0" xfId="0" applyNumberFormat="1" applyFont="1" applyFill="1"/>
    <xf numFmtId="0" fontId="249" fillId="0" borderId="0" xfId="0" applyFont="1" applyFill="1" applyAlignment="1" applyProtection="1">
      <alignment horizontal="center"/>
      <protection locked="0"/>
    </xf>
    <xf numFmtId="0" fontId="249" fillId="0" borderId="0" xfId="0" applyFont="1" applyFill="1" applyAlignment="1">
      <alignment horizontal="center"/>
    </xf>
    <xf numFmtId="167" fontId="249" fillId="0" borderId="0" xfId="3" applyNumberFormat="1" applyFont="1" applyFill="1"/>
    <xf numFmtId="167" fontId="249" fillId="0" borderId="0" xfId="3" applyNumberFormat="1" applyFont="1" applyFill="1" applyBorder="1"/>
    <xf numFmtId="167" fontId="249" fillId="0" borderId="16" xfId="3" applyNumberFormat="1" applyFont="1" applyFill="1" applyBorder="1"/>
    <xf numFmtId="167" fontId="251" fillId="0" borderId="53" xfId="3" applyNumberFormat="1" applyFont="1" applyFill="1" applyBorder="1"/>
    <xf numFmtId="167" fontId="249" fillId="0" borderId="6" xfId="3" applyNumberFormat="1" applyFont="1" applyFill="1" applyBorder="1"/>
    <xf numFmtId="167" fontId="251" fillId="0" borderId="59" xfId="3" applyNumberFormat="1" applyFont="1" applyFill="1" applyBorder="1"/>
    <xf numFmtId="167" fontId="251" fillId="0" borderId="64" xfId="3" applyNumberFormat="1" applyFont="1" applyFill="1" applyBorder="1"/>
    <xf numFmtId="0" fontId="251" fillId="0" borderId="0" xfId="0" applyFont="1" applyFill="1" applyAlignment="1">
      <alignment horizontal="left" indent="1"/>
    </xf>
    <xf numFmtId="173" fontId="249" fillId="0" borderId="0" xfId="3" applyNumberFormat="1" applyFont="1" applyFill="1"/>
    <xf numFmtId="167" fontId="251" fillId="0" borderId="16" xfId="3" applyNumberFormat="1" applyFont="1" applyFill="1" applyBorder="1"/>
    <xf numFmtId="180" fontId="251" fillId="0" borderId="0" xfId="0" applyNumberFormat="1" applyFont="1" applyFill="1" applyAlignment="1">
      <alignment vertical="top"/>
    </xf>
    <xf numFmtId="169" fontId="249" fillId="0" borderId="0" xfId="30" quotePrefix="1" applyNumberFormat="1" applyFont="1" applyFill="1" applyAlignment="1">
      <alignment horizontal="left" vertical="top"/>
    </xf>
    <xf numFmtId="37" fontId="256" fillId="0" borderId="10" xfId="3" applyNumberFormat="1" applyFont="1" applyFill="1" applyBorder="1"/>
    <xf numFmtId="167" fontId="255" fillId="0" borderId="10" xfId="3" applyNumberFormat="1" applyFont="1" applyFill="1" applyBorder="1"/>
    <xf numFmtId="0" fontId="249" fillId="0" borderId="0" xfId="0" applyFont="1" applyFill="1" applyBorder="1" applyAlignment="1" applyProtection="1">
      <alignment horizontal="center" vertical="top"/>
    </xf>
    <xf numFmtId="0" fontId="249" fillId="0" borderId="0" xfId="0" applyFont="1" applyFill="1" applyBorder="1" applyAlignment="1" applyProtection="1">
      <alignment horizontal="center"/>
      <protection locked="0"/>
    </xf>
    <xf numFmtId="0" fontId="251" fillId="0" borderId="0" xfId="0" applyFont="1" applyFill="1" applyBorder="1" applyAlignment="1" applyProtection="1">
      <alignment horizontal="left"/>
      <protection locked="0"/>
    </xf>
    <xf numFmtId="0" fontId="249" fillId="0" borderId="0" xfId="0" applyNumberFormat="1" applyFont="1" applyFill="1" applyBorder="1" applyAlignment="1" applyProtection="1">
      <alignment horizontal="center"/>
      <protection locked="0"/>
    </xf>
    <xf numFmtId="0" fontId="249" fillId="0" borderId="0" xfId="0" applyFont="1" applyFill="1" applyAlignment="1"/>
    <xf numFmtId="0" fontId="251" fillId="0" borderId="0" xfId="40370" applyFont="1" applyFill="1" applyAlignment="1"/>
    <xf numFmtId="0" fontId="251" fillId="0" borderId="0" xfId="5300" quotePrefix="1" applyNumberFormat="1" applyFont="1" applyFill="1" applyBorder="1" applyAlignment="1">
      <alignment horizontal="left" indent="1"/>
    </xf>
    <xf numFmtId="0" fontId="251" fillId="0" borderId="0" xfId="39" applyFont="1" applyFill="1"/>
    <xf numFmtId="167" fontId="251" fillId="0" borderId="0" xfId="5300" quotePrefix="1" applyNumberFormat="1" applyFont="1" applyFill="1" applyBorder="1" applyAlignment="1" applyProtection="1">
      <alignment horizontal="center" vertical="top"/>
    </xf>
    <xf numFmtId="0" fontId="251" fillId="0" borderId="0" xfId="39" applyFont="1" applyFill="1" applyBorder="1" applyAlignment="1">
      <alignment horizontal="center"/>
    </xf>
    <xf numFmtId="0" fontId="249" fillId="0" borderId="0" xfId="39" applyFont="1" applyFill="1" applyAlignment="1"/>
    <xf numFmtId="167" fontId="249" fillId="0" borderId="102" xfId="799" applyNumberFormat="1" applyFont="1" applyFill="1" applyBorder="1" applyAlignment="1">
      <alignment horizontal="center" vertical="top" wrapText="1"/>
    </xf>
    <xf numFmtId="0" fontId="249" fillId="0" borderId="0" xfId="39" applyFont="1" applyFill="1" applyAlignment="1">
      <alignment horizontal="center"/>
    </xf>
    <xf numFmtId="167" fontId="249" fillId="0" borderId="0" xfId="5300" applyNumberFormat="1" applyFont="1" applyFill="1"/>
    <xf numFmtId="167" fontId="249" fillId="0" borderId="0" xfId="799" applyNumberFormat="1" applyFont="1" applyFill="1" applyBorder="1" applyAlignment="1">
      <alignment horizontal="center" vertical="top" wrapText="1"/>
    </xf>
    <xf numFmtId="167" fontId="255" fillId="0" borderId="0" xfId="26639" applyNumberFormat="1" applyFont="1" applyFill="1" applyBorder="1"/>
    <xf numFmtId="167" fontId="255" fillId="0" borderId="0" xfId="42" applyNumberFormat="1" applyFont="1" applyFill="1" applyBorder="1"/>
    <xf numFmtId="0" fontId="251" fillId="0" borderId="0" xfId="5300" applyNumberFormat="1" applyFont="1" applyFill="1" applyBorder="1" applyAlignment="1" applyProtection="1">
      <alignment vertical="top"/>
    </xf>
    <xf numFmtId="0" fontId="251" fillId="0" borderId="0" xfId="0" quotePrefix="1" applyFont="1" applyFill="1" applyAlignment="1">
      <alignment vertical="top"/>
    </xf>
    <xf numFmtId="10" fontId="251" fillId="0" borderId="0" xfId="4" applyNumberFormat="1" applyFont="1" applyFill="1" applyBorder="1" applyAlignment="1">
      <alignment horizontal="centerContinuous"/>
    </xf>
    <xf numFmtId="10" fontId="251" fillId="0" borderId="0" xfId="4" applyNumberFormat="1" applyFont="1" applyFill="1" applyAlignment="1">
      <alignment vertical="top"/>
    </xf>
    <xf numFmtId="10" fontId="249" fillId="0" borderId="0" xfId="4" applyNumberFormat="1" applyFont="1" applyFill="1" applyBorder="1" applyAlignment="1">
      <alignment horizontal="center" vertical="top"/>
    </xf>
    <xf numFmtId="10" fontId="249" fillId="0" borderId="0" xfId="4" applyNumberFormat="1" applyFont="1" applyFill="1" applyAlignment="1">
      <alignment horizontal="center"/>
    </xf>
    <xf numFmtId="10" fontId="249" fillId="0" borderId="0" xfId="4" quotePrefix="1" applyNumberFormat="1" applyFont="1" applyFill="1" applyAlignment="1" applyProtection="1">
      <alignment horizontal="center" vertical="center" wrapText="1"/>
    </xf>
    <xf numFmtId="0" fontId="249" fillId="0" borderId="0" xfId="0" applyFont="1" applyFill="1" applyAlignment="1">
      <alignment vertical="top" wrapText="1"/>
    </xf>
    <xf numFmtId="3" fontId="251" fillId="0" borderId="0" xfId="0" applyNumberFormat="1" applyFont="1" applyFill="1" applyBorder="1"/>
    <xf numFmtId="260" fontId="249" fillId="0" borderId="0" xfId="3" applyFont="1" applyFill="1" applyBorder="1" applyAlignment="1">
      <alignment horizontal="right" vertical="center"/>
    </xf>
    <xf numFmtId="3" fontId="251" fillId="0" borderId="0" xfId="0" applyNumberFormat="1" applyFont="1" applyFill="1"/>
    <xf numFmtId="0" fontId="249" fillId="0" borderId="0" xfId="1730" applyFont="1" applyFill="1" applyBorder="1" applyAlignment="1" applyProtection="1">
      <alignment horizontal="center" vertical="top"/>
    </xf>
    <xf numFmtId="0" fontId="249" fillId="0" borderId="0" xfId="1730" applyFont="1" applyFill="1" applyBorder="1" applyAlignment="1" applyProtection="1">
      <alignment horizontal="center" vertical="center" wrapText="1"/>
    </xf>
    <xf numFmtId="260" fontId="249" fillId="0" borderId="0" xfId="3" applyFont="1" applyFill="1" applyBorder="1" applyAlignment="1" applyProtection="1">
      <alignment horizontal="right" vertical="top"/>
    </xf>
    <xf numFmtId="0" fontId="249" fillId="0" borderId="0" xfId="0" applyNumberFormat="1" applyFont="1" applyFill="1" applyAlignment="1">
      <alignment horizontal="center" vertical="center"/>
    </xf>
    <xf numFmtId="0" fontId="249" fillId="0" borderId="104" xfId="848" applyNumberFormat="1" applyFont="1" applyFill="1" applyBorder="1" applyAlignment="1">
      <alignment horizontal="center" wrapText="1"/>
    </xf>
    <xf numFmtId="0" fontId="249" fillId="0" borderId="0" xfId="848" applyNumberFormat="1" applyFont="1" applyFill="1" applyBorder="1" applyAlignment="1">
      <alignment horizontal="center" wrapText="1"/>
    </xf>
    <xf numFmtId="0" fontId="249" fillId="0" borderId="0" xfId="848" applyNumberFormat="1" applyFont="1" applyFill="1" applyBorder="1" applyAlignment="1">
      <alignment horizontal="center" vertical="center" wrapText="1"/>
    </xf>
    <xf numFmtId="0" fontId="249" fillId="0" borderId="0" xfId="1730" quotePrefix="1" applyFont="1" applyFill="1" applyBorder="1" applyAlignment="1" applyProtection="1">
      <alignment horizontal="center" vertical="top"/>
    </xf>
    <xf numFmtId="260" fontId="249" fillId="0" borderId="0" xfId="3" quotePrefix="1" applyFont="1" applyFill="1" applyBorder="1" applyAlignment="1" applyProtection="1">
      <alignment horizontal="center" vertical="top"/>
    </xf>
    <xf numFmtId="49" fontId="249" fillId="0" borderId="0" xfId="0" quotePrefix="1" applyNumberFormat="1" applyFont="1" applyFill="1" applyBorder="1" applyAlignment="1">
      <alignment horizontal="center" vertical="center"/>
    </xf>
    <xf numFmtId="0" fontId="255" fillId="0" borderId="0" xfId="2251" applyFont="1" applyFill="1" applyAlignment="1">
      <alignment horizontal="left"/>
      <protection locked="0"/>
    </xf>
    <xf numFmtId="260" fontId="251" fillId="0" borderId="0" xfId="0" applyNumberFormat="1" applyFont="1" applyFill="1"/>
    <xf numFmtId="260" fontId="251" fillId="0" borderId="0" xfId="0" applyNumberFormat="1" applyFont="1" applyFill="1" applyBorder="1"/>
    <xf numFmtId="0" fontId="255" fillId="0" borderId="0" xfId="2251" quotePrefix="1" applyFont="1" applyFill="1" applyAlignment="1">
      <alignment horizontal="left" indent="1"/>
      <protection locked="0"/>
    </xf>
    <xf numFmtId="228" fontId="251" fillId="0" borderId="120" xfId="40375" applyNumberFormat="1" applyFont="1" applyFill="1" applyBorder="1" applyAlignment="1">
      <alignment vertical="top"/>
    </xf>
    <xf numFmtId="228" fontId="251" fillId="0" borderId="120" xfId="3" applyNumberFormat="1" applyFont="1" applyFill="1" applyBorder="1" applyAlignment="1">
      <alignment vertical="top"/>
    </xf>
    <xf numFmtId="261" fontId="251" fillId="0" borderId="0" xfId="3" applyNumberFormat="1" applyFont="1" applyFill="1"/>
    <xf numFmtId="0" fontId="255" fillId="0" borderId="0" xfId="2251" applyFont="1" applyFill="1" applyAlignment="1">
      <alignment horizontal="left" indent="3"/>
      <protection locked="0"/>
    </xf>
    <xf numFmtId="228" fontId="251" fillId="0" borderId="7" xfId="40375" applyNumberFormat="1" applyFont="1" applyFill="1" applyBorder="1" applyAlignment="1">
      <alignment vertical="top"/>
    </xf>
    <xf numFmtId="228" fontId="251" fillId="0" borderId="7" xfId="3" applyNumberFormat="1" applyFont="1" applyFill="1" applyBorder="1" applyAlignment="1">
      <alignment vertical="top"/>
    </xf>
    <xf numFmtId="228" fontId="251" fillId="0" borderId="10" xfId="40375" applyNumberFormat="1" applyFont="1" applyFill="1" applyBorder="1" applyAlignment="1">
      <alignment vertical="top"/>
    </xf>
    <xf numFmtId="228" fontId="251" fillId="0" borderId="10" xfId="3" applyNumberFormat="1" applyFont="1" applyFill="1" applyBorder="1" applyAlignment="1">
      <alignment vertical="top"/>
    </xf>
    <xf numFmtId="0" fontId="255" fillId="0" borderId="0" xfId="131" applyFont="1" applyFill="1" applyAlignment="1">
      <alignment horizontal="left" indent="1"/>
      <protection locked="0"/>
    </xf>
    <xf numFmtId="260" fontId="251" fillId="0" borderId="120" xfId="3" applyFont="1" applyFill="1" applyBorder="1"/>
    <xf numFmtId="167" fontId="251" fillId="0" borderId="0" xfId="0" applyNumberFormat="1" applyFont="1" applyFill="1" applyBorder="1"/>
    <xf numFmtId="228" fontId="249" fillId="0" borderId="102" xfId="3" applyNumberFormat="1" applyFont="1" applyFill="1" applyBorder="1" applyAlignment="1"/>
    <xf numFmtId="0" fontId="255" fillId="0" borderId="0" xfId="0" applyFont="1" applyFill="1" applyAlignment="1" applyProtection="1">
      <alignment horizontal="left" indent="4"/>
      <protection locked="0"/>
    </xf>
    <xf numFmtId="0" fontId="251" fillId="0" borderId="0" xfId="33" applyFont="1" applyFill="1"/>
    <xf numFmtId="0" fontId="255" fillId="0" borderId="0" xfId="0" applyFont="1" applyFill="1" applyAlignment="1" applyProtection="1">
      <protection locked="0"/>
    </xf>
    <xf numFmtId="228" fontId="251" fillId="0" borderId="0" xfId="591" applyNumberFormat="1" applyFont="1" applyFill="1" applyBorder="1" applyAlignment="1">
      <alignment vertical="top"/>
    </xf>
    <xf numFmtId="167" fontId="251" fillId="0" borderId="0" xfId="591" applyNumberFormat="1" applyFont="1" applyFill="1" applyBorder="1" applyAlignment="1">
      <alignment vertical="top"/>
    </xf>
    <xf numFmtId="43" fontId="251" fillId="0" borderId="0" xfId="3" applyNumberFormat="1" applyFont="1" applyFill="1"/>
    <xf numFmtId="0" fontId="249" fillId="0" borderId="0" xfId="33" applyFont="1" applyFill="1" applyAlignment="1"/>
    <xf numFmtId="228" fontId="251" fillId="0" borderId="102" xfId="3" applyNumberFormat="1" applyFont="1" applyFill="1" applyBorder="1" applyAlignment="1">
      <alignment vertical="center"/>
    </xf>
    <xf numFmtId="228" fontId="251" fillId="0" borderId="0" xfId="3" applyNumberFormat="1" applyFont="1" applyFill="1" applyBorder="1" applyAlignment="1"/>
    <xf numFmtId="0" fontId="249" fillId="0" borderId="0" xfId="0" applyFont="1" applyFill="1" applyAlignment="1">
      <alignment horizontal="left" indent="1"/>
    </xf>
    <xf numFmtId="228" fontId="251" fillId="0" borderId="101" xfId="3" applyNumberFormat="1" applyFont="1" applyFill="1" applyBorder="1" applyAlignment="1"/>
    <xf numFmtId="228" fontId="249" fillId="0" borderId="0" xfId="3" applyNumberFormat="1" applyFont="1" applyFill="1" applyBorder="1" applyAlignment="1"/>
    <xf numFmtId="0" fontId="251" fillId="0" borderId="0" xfId="33" applyFont="1" applyFill="1" applyAlignment="1"/>
    <xf numFmtId="0" fontId="249" fillId="0" borderId="0" xfId="1730" applyFont="1" applyFill="1" applyAlignment="1" applyProtection="1">
      <alignment horizontal="center" vertical="top"/>
      <protection locked="0"/>
    </xf>
    <xf numFmtId="4" fontId="249" fillId="0" borderId="0" xfId="1730" applyNumberFormat="1" applyFont="1" applyFill="1" applyAlignment="1" applyProtection="1">
      <alignment horizontal="center" vertical="top"/>
      <protection locked="0"/>
    </xf>
    <xf numFmtId="37" fontId="251" fillId="0" borderId="7" xfId="0" applyNumberFormat="1" applyFont="1" applyFill="1" applyBorder="1"/>
    <xf numFmtId="260" fontId="249" fillId="0" borderId="0" xfId="3" applyFont="1" applyFill="1" applyBorder="1"/>
    <xf numFmtId="43" fontId="251" fillId="0" borderId="0" xfId="3" applyNumberFormat="1" applyFont="1" applyFill="1" applyBorder="1"/>
    <xf numFmtId="172" fontId="251" fillId="0" borderId="126" xfId="3" applyNumberFormat="1" applyFont="1" applyFill="1" applyBorder="1"/>
    <xf numFmtId="260" fontId="249" fillId="0" borderId="0" xfId="3" applyFont="1" applyFill="1" applyBorder="1" applyAlignment="1" applyProtection="1">
      <protection locked="0"/>
    </xf>
    <xf numFmtId="167" fontId="251" fillId="0" borderId="0" xfId="3" applyNumberFormat="1" applyFont="1" applyFill="1" applyProtection="1">
      <protection locked="0"/>
    </xf>
    <xf numFmtId="49" fontId="22" fillId="0" borderId="103" xfId="0" applyNumberFormat="1" applyFont="1" applyFill="1" applyBorder="1" applyAlignment="1">
      <alignment horizontal="center" vertical="center" wrapText="1"/>
    </xf>
    <xf numFmtId="167" fontId="22" fillId="0" borderId="103" xfId="3" applyNumberFormat="1" applyFont="1" applyFill="1" applyBorder="1" applyAlignment="1">
      <alignment horizontal="center"/>
    </xf>
    <xf numFmtId="43" fontId="23" fillId="0" borderId="0" xfId="0" applyNumberFormat="1" applyFont="1" applyFill="1"/>
    <xf numFmtId="167" fontId="23" fillId="0" borderId="0" xfId="0" applyNumberFormat="1" applyFont="1" applyFill="1"/>
    <xf numFmtId="0" fontId="23" fillId="0" borderId="0" xfId="0" applyFont="1" applyFill="1" applyAlignment="1">
      <alignment horizontal="left" indent="1"/>
    </xf>
    <xf numFmtId="167" fontId="22" fillId="0" borderId="102" xfId="3" applyNumberFormat="1" applyFont="1" applyFill="1" applyBorder="1"/>
    <xf numFmtId="167" fontId="22" fillId="0" borderId="0" xfId="3" applyNumberFormat="1" applyFont="1" applyFill="1" applyBorder="1"/>
    <xf numFmtId="168" fontId="249" fillId="0" borderId="0" xfId="0" applyNumberFormat="1" applyFont="1" applyFill="1" applyAlignment="1">
      <alignment horizontal="left" vertical="top"/>
    </xf>
    <xf numFmtId="0" fontId="262" fillId="0" borderId="0" xfId="0" applyFont="1" applyFill="1" applyBorder="1" applyAlignment="1">
      <alignment horizontal="center" vertical="top"/>
    </xf>
    <xf numFmtId="0" fontId="249" fillId="0" borderId="0" xfId="40372" quotePrefix="1" applyFont="1" applyFill="1" applyAlignment="1">
      <alignment horizontal="center" vertical="top"/>
    </xf>
    <xf numFmtId="168" fontId="249" fillId="0" borderId="0" xfId="40390" quotePrefix="1" applyNumberFormat="1" applyFont="1" applyFill="1" applyAlignment="1">
      <alignment horizontal="left" vertical="top"/>
    </xf>
    <xf numFmtId="0" fontId="249" fillId="0" borderId="0" xfId="40392" applyNumberFormat="1" applyFont="1" applyFill="1" applyAlignment="1">
      <alignment vertical="top"/>
    </xf>
    <xf numFmtId="0" fontId="258" fillId="0" borderId="0" xfId="0" applyFont="1" applyFill="1" applyAlignment="1">
      <alignment vertical="top"/>
    </xf>
    <xf numFmtId="167" fontId="251" fillId="0" borderId="0" xfId="0" applyNumberFormat="1" applyFont="1" applyFill="1" applyAlignment="1">
      <alignment vertical="top"/>
    </xf>
    <xf numFmtId="167" fontId="251" fillId="0" borderId="0" xfId="0" applyNumberFormat="1" applyFont="1" applyFill="1" applyAlignment="1">
      <alignment horizontal="center" vertical="top"/>
    </xf>
    <xf numFmtId="49" fontId="249" fillId="0" borderId="0" xfId="0" applyNumberFormat="1" applyFont="1" applyFill="1" applyAlignment="1">
      <alignment horizontal="center" vertical="top"/>
    </xf>
    <xf numFmtId="0" fontId="251" fillId="0" borderId="0" xfId="3" applyNumberFormat="1" applyFont="1" applyFill="1" applyAlignment="1">
      <alignment vertical="top"/>
    </xf>
    <xf numFmtId="1" fontId="251" fillId="0" borderId="0" xfId="3" applyNumberFormat="1" applyFont="1" applyFill="1" applyAlignment="1">
      <alignment vertical="top"/>
    </xf>
    <xf numFmtId="0" fontId="249" fillId="0" borderId="0" xfId="0" applyNumberFormat="1" applyFont="1" applyFill="1" applyBorder="1" applyAlignment="1">
      <alignment vertical="top" wrapText="1"/>
    </xf>
    <xf numFmtId="187" fontId="251" fillId="0" borderId="0" xfId="40394" applyNumberFormat="1" applyFont="1" applyFill="1"/>
    <xf numFmtId="0" fontId="78" fillId="0" borderId="0" xfId="0" applyFont="1" applyFill="1" applyAlignment="1">
      <alignment vertical="top" wrapText="1"/>
    </xf>
    <xf numFmtId="0" fontId="78" fillId="0" borderId="0" xfId="0" applyFont="1" applyFill="1" applyAlignment="1">
      <alignment horizontal="center" vertical="top" wrapText="1"/>
    </xf>
    <xf numFmtId="37" fontId="251" fillId="0" borderId="0" xfId="0" applyNumberFormat="1" applyFont="1" applyFill="1" applyBorder="1" applyAlignment="1">
      <alignment vertical="top"/>
    </xf>
    <xf numFmtId="37" fontId="251" fillId="0" borderId="0" xfId="0" applyNumberFormat="1" applyFont="1" applyFill="1" applyAlignment="1">
      <alignment horizontal="center" vertical="top"/>
    </xf>
    <xf numFmtId="3" fontId="251" fillId="0" borderId="0" xfId="0" applyNumberFormat="1" applyFont="1" applyFill="1" applyAlignment="1">
      <alignment vertical="top"/>
    </xf>
    <xf numFmtId="4" fontId="251" fillId="0" borderId="0" xfId="0" applyNumberFormat="1" applyFont="1" applyFill="1" applyAlignment="1">
      <alignment vertical="top"/>
    </xf>
    <xf numFmtId="0" fontId="249" fillId="0" borderId="0" xfId="0" applyFont="1" applyFill="1" applyAlignment="1">
      <alignment horizontal="right" vertical="top"/>
    </xf>
    <xf numFmtId="169" fontId="251" fillId="0" borderId="0" xfId="3" applyNumberFormat="1" applyFont="1" applyFill="1" applyAlignment="1">
      <alignment horizontal="center" vertical="center"/>
    </xf>
    <xf numFmtId="167" fontId="251" fillId="0" borderId="102" xfId="799" applyNumberFormat="1" applyFont="1" applyFill="1" applyBorder="1" applyAlignment="1">
      <alignment horizontal="center" vertical="top" wrapText="1"/>
    </xf>
    <xf numFmtId="0" fontId="4" fillId="0" borderId="0" xfId="68" applyFont="1" applyFill="1" applyAlignment="1">
      <alignment horizontal="left" vertical="top" indent="1"/>
    </xf>
    <xf numFmtId="0" fontId="249" fillId="0" borderId="0" xfId="0" quotePrefix="1" applyFont="1" applyFill="1" applyAlignment="1">
      <alignment horizontal="right" vertical="top"/>
    </xf>
    <xf numFmtId="0" fontId="249" fillId="0" borderId="0" xfId="0" applyFont="1" applyFill="1" applyAlignment="1" applyProtection="1">
      <alignment horizontal="center"/>
      <protection locked="0"/>
    </xf>
    <xf numFmtId="0" fontId="249" fillId="0" borderId="0" xfId="40390" applyFont="1" applyFill="1" applyAlignment="1">
      <alignment vertical="top"/>
    </xf>
    <xf numFmtId="37" fontId="0" fillId="0" borderId="0" xfId="0" applyNumberFormat="1" applyFill="1"/>
    <xf numFmtId="219" fontId="0" fillId="0" borderId="0" xfId="0" applyNumberFormat="1" applyFill="1"/>
    <xf numFmtId="228" fontId="251" fillId="0" borderId="120" xfId="3" applyNumberFormat="1" applyFont="1" applyFill="1" applyBorder="1" applyAlignment="1"/>
    <xf numFmtId="228" fontId="251" fillId="0" borderId="10" xfId="3" applyNumberFormat="1" applyFont="1" applyFill="1" applyBorder="1" applyAlignment="1"/>
    <xf numFmtId="228" fontId="251" fillId="0" borderId="102" xfId="3" applyNumberFormat="1" applyFont="1" applyFill="1" applyBorder="1" applyAlignment="1"/>
    <xf numFmtId="228" fontId="251" fillId="0" borderId="9" xfId="3" applyNumberFormat="1" applyFont="1" applyFill="1" applyBorder="1" applyAlignment="1"/>
    <xf numFmtId="0" fontId="249" fillId="0" borderId="0" xfId="40383" applyFont="1" applyFill="1"/>
    <xf numFmtId="0" fontId="251" fillId="0" borderId="0" xfId="40393" applyNumberFormat="1" applyFont="1" applyFill="1" applyAlignment="1">
      <alignment horizontal="left" indent="1"/>
    </xf>
    <xf numFmtId="260" fontId="251" fillId="0" borderId="102" xfId="3" applyFont="1" applyFill="1" applyBorder="1"/>
    <xf numFmtId="0" fontId="249" fillId="0" borderId="0" xfId="40393" applyNumberFormat="1" applyFont="1" applyFill="1" applyAlignment="1">
      <alignment horizontal="left" indent="1"/>
    </xf>
    <xf numFmtId="0" fontId="251" fillId="0" borderId="0" xfId="40393" quotePrefix="1" applyNumberFormat="1" applyFont="1" applyFill="1" applyAlignment="1">
      <alignment horizontal="left" indent="2"/>
    </xf>
    <xf numFmtId="260" fontId="249" fillId="0" borderId="120" xfId="3" applyFont="1" applyFill="1" applyBorder="1"/>
    <xf numFmtId="260" fontId="249" fillId="0" borderId="102" xfId="3" applyFont="1" applyFill="1" applyBorder="1"/>
    <xf numFmtId="260" fontId="239" fillId="0" borderId="0" xfId="3" applyFont="1" applyFill="1"/>
    <xf numFmtId="180" fontId="251" fillId="0" borderId="0" xfId="0" applyNumberFormat="1" applyFont="1" applyFill="1" applyAlignment="1">
      <alignment horizontal="justify" vertical="top" wrapText="1"/>
    </xf>
    <xf numFmtId="0" fontId="249" fillId="0" borderId="0" xfId="0" applyFont="1" applyFill="1" applyBorder="1" applyProtection="1">
      <protection locked="0"/>
    </xf>
    <xf numFmtId="2" fontId="0" fillId="0" borderId="0" xfId="0" applyNumberFormat="1" applyFill="1"/>
    <xf numFmtId="41" fontId="239" fillId="0" borderId="0" xfId="40377" applyNumberFormat="1" applyFont="1" applyFill="1"/>
    <xf numFmtId="41" fontId="240" fillId="0" borderId="0" xfId="40377" applyNumberFormat="1" applyFont="1" applyFill="1"/>
    <xf numFmtId="0" fontId="266" fillId="0" borderId="0" xfId="0" quotePrefix="1" applyFont="1" applyFill="1"/>
    <xf numFmtId="0" fontId="266" fillId="0" borderId="0" xfId="0" applyFont="1" applyFill="1"/>
    <xf numFmtId="167" fontId="266" fillId="0" borderId="0" xfId="3" applyNumberFormat="1" applyFont="1" applyFill="1"/>
    <xf numFmtId="0" fontId="267" fillId="0" borderId="0" xfId="0" applyFont="1" applyFill="1"/>
    <xf numFmtId="260" fontId="266" fillId="0" borderId="0" xfId="3" applyFont="1" applyFill="1"/>
    <xf numFmtId="260" fontId="266" fillId="0" borderId="0" xfId="3" applyFont="1"/>
    <xf numFmtId="0" fontId="266" fillId="0" borderId="0" xfId="40377" applyFont="1" applyFill="1"/>
    <xf numFmtId="41" fontId="266" fillId="0" borderId="0" xfId="40377" applyNumberFormat="1" applyFont="1" applyFill="1"/>
    <xf numFmtId="0" fontId="266" fillId="0" borderId="0" xfId="0" quotePrefix="1" applyFont="1"/>
    <xf numFmtId="167" fontId="266" fillId="0" borderId="0" xfId="3" applyNumberFormat="1" applyFont="1"/>
    <xf numFmtId="0" fontId="267" fillId="0" borderId="0" xfId="0" applyFont="1"/>
    <xf numFmtId="0" fontId="266" fillId="107" borderId="0" xfId="0" quotePrefix="1" applyFont="1" applyFill="1"/>
    <xf numFmtId="0" fontId="266" fillId="107" borderId="0" xfId="0" applyFont="1" applyFill="1"/>
    <xf numFmtId="167" fontId="266" fillId="107" borderId="0" xfId="3" applyNumberFormat="1" applyFont="1" applyFill="1"/>
    <xf numFmtId="0" fontId="267" fillId="107" borderId="0" xfId="0" applyFont="1" applyFill="1"/>
    <xf numFmtId="260" fontId="266" fillId="107" borderId="0" xfId="3" applyFont="1" applyFill="1"/>
    <xf numFmtId="260" fontId="268" fillId="107" borderId="0" xfId="0" applyNumberFormat="1" applyFont="1" applyFill="1"/>
    <xf numFmtId="0" fontId="266" fillId="108" borderId="0" xfId="0" quotePrefix="1" applyFont="1" applyFill="1"/>
    <xf numFmtId="0" fontId="266" fillId="108" borderId="0" xfId="0" applyFont="1" applyFill="1"/>
    <xf numFmtId="167" fontId="266" fillId="108" borderId="0" xfId="3" applyNumberFormat="1" applyFont="1" applyFill="1"/>
    <xf numFmtId="0" fontId="267" fillId="108" borderId="0" xfId="0" applyFont="1" applyFill="1"/>
    <xf numFmtId="260" fontId="266" fillId="108" borderId="0" xfId="3" applyFont="1" applyFill="1"/>
    <xf numFmtId="260" fontId="267" fillId="0" borderId="0" xfId="0" applyNumberFormat="1" applyFont="1" applyFill="1"/>
    <xf numFmtId="37" fontId="249" fillId="0" borderId="8" xfId="0" applyNumberFormat="1" applyFont="1" applyFill="1" applyBorder="1"/>
    <xf numFmtId="0" fontId="249" fillId="0" borderId="0" xfId="0" applyFont="1" applyFill="1" applyAlignment="1" applyProtection="1">
      <alignment horizontal="center"/>
      <protection locked="0"/>
    </xf>
    <xf numFmtId="0" fontId="251" fillId="0" borderId="0" xfId="0" applyFont="1" applyFill="1" applyAlignment="1" applyProtection="1">
      <alignment horizontal="center"/>
      <protection locked="0"/>
    </xf>
    <xf numFmtId="228" fontId="249" fillId="0" borderId="0" xfId="40375" applyNumberFormat="1" applyFont="1" applyFill="1" applyBorder="1" applyAlignment="1">
      <alignment vertical="top"/>
    </xf>
    <xf numFmtId="228" fontId="249" fillId="0" borderId="120" xfId="40375" applyNumberFormat="1" applyFont="1" applyFill="1" applyBorder="1" applyAlignment="1">
      <alignment vertical="top"/>
    </xf>
    <xf numFmtId="228" fontId="249" fillId="0" borderId="120" xfId="3" applyNumberFormat="1" applyFont="1" applyFill="1" applyBorder="1" applyAlignment="1">
      <alignment vertical="top"/>
    </xf>
    <xf numFmtId="228" fontId="249" fillId="0" borderId="7" xfId="40375" applyNumberFormat="1" applyFont="1" applyFill="1" applyBorder="1" applyAlignment="1">
      <alignment vertical="top"/>
    </xf>
    <xf numFmtId="228" fontId="249" fillId="0" borderId="7" xfId="3" applyNumberFormat="1" applyFont="1" applyFill="1" applyBorder="1" applyAlignment="1">
      <alignment vertical="top"/>
    </xf>
    <xf numFmtId="228" fontId="249" fillId="0" borderId="10" xfId="40375" applyNumberFormat="1" applyFont="1" applyFill="1" applyBorder="1" applyAlignment="1">
      <alignment vertical="top"/>
    </xf>
    <xf numFmtId="228" fontId="249" fillId="0" borderId="10" xfId="3" applyNumberFormat="1" applyFont="1" applyFill="1" applyBorder="1" applyAlignment="1">
      <alignment vertical="top"/>
    </xf>
    <xf numFmtId="228" fontId="249" fillId="0" borderId="10" xfId="3" applyNumberFormat="1" applyFont="1" applyFill="1" applyBorder="1" applyAlignment="1"/>
    <xf numFmtId="228" fontId="249" fillId="0" borderId="0" xfId="848" applyNumberFormat="1" applyFont="1" applyFill="1" applyBorder="1" applyAlignment="1" applyProtection="1">
      <alignment vertical="top"/>
      <protection locked="0"/>
    </xf>
    <xf numFmtId="228" fontId="249" fillId="0" borderId="102" xfId="3" applyNumberFormat="1" applyFont="1" applyFill="1" applyBorder="1" applyAlignment="1">
      <alignment vertical="center"/>
    </xf>
    <xf numFmtId="228" fontId="249" fillId="0" borderId="101" xfId="3" applyNumberFormat="1" applyFont="1" applyFill="1" applyBorder="1" applyAlignment="1"/>
    <xf numFmtId="228" fontId="249" fillId="0" borderId="120" xfId="3" applyNumberFormat="1" applyFont="1" applyFill="1" applyBorder="1" applyAlignment="1"/>
    <xf numFmtId="228" fontId="249" fillId="0" borderId="9" xfId="3" applyNumberFormat="1" applyFont="1" applyFill="1" applyBorder="1" applyAlignment="1"/>
    <xf numFmtId="172" fontId="249" fillId="0" borderId="126" xfId="3" applyNumberFormat="1" applyFont="1" applyFill="1" applyBorder="1"/>
    <xf numFmtId="172" fontId="249" fillId="0" borderId="0" xfId="3" applyNumberFormat="1" applyFont="1" applyFill="1"/>
    <xf numFmtId="167" fontId="249" fillId="0" borderId="9" xfId="3" applyNumberFormat="1" applyFont="1" applyFill="1" applyBorder="1" applyAlignment="1" applyProtection="1">
      <alignment horizontal="center" vertical="top"/>
      <protection locked="0"/>
    </xf>
    <xf numFmtId="167" fontId="251" fillId="0" borderId="126" xfId="3" applyNumberFormat="1" applyFont="1" applyFill="1" applyBorder="1" applyAlignment="1">
      <alignment horizontal="center" vertical="top"/>
    </xf>
    <xf numFmtId="167" fontId="249" fillId="0" borderId="9" xfId="3" applyNumberFormat="1" applyFont="1" applyFill="1" applyBorder="1"/>
    <xf numFmtId="167" fontId="251" fillId="0" borderId="119" xfId="0" applyNumberFormat="1" applyFont="1" applyFill="1" applyBorder="1"/>
    <xf numFmtId="0" fontId="249" fillId="5" borderId="104" xfId="848" applyNumberFormat="1" applyFont="1" applyFill="1" applyBorder="1" applyAlignment="1">
      <alignment horizontal="center" wrapText="1"/>
    </xf>
    <xf numFmtId="0" fontId="249" fillId="5" borderId="0" xfId="848" applyNumberFormat="1" applyFont="1" applyFill="1" applyBorder="1" applyAlignment="1">
      <alignment horizontal="center" vertical="center" wrapText="1"/>
    </xf>
    <xf numFmtId="228" fontId="251" fillId="5" borderId="0" xfId="3" applyNumberFormat="1" applyFont="1" applyFill="1" applyAlignment="1"/>
    <xf numFmtId="228" fontId="251" fillId="5" borderId="119" xfId="3" applyNumberFormat="1" applyFont="1" applyFill="1" applyBorder="1" applyAlignment="1">
      <alignment vertical="top"/>
    </xf>
    <xf numFmtId="228" fontId="251" fillId="5" borderId="0" xfId="3" applyNumberFormat="1" applyFont="1" applyFill="1" applyBorder="1" applyAlignment="1">
      <alignment vertical="top"/>
    </xf>
    <xf numFmtId="228" fontId="251" fillId="5" borderId="127" xfId="3" applyNumberFormat="1" applyFont="1" applyFill="1" applyBorder="1" applyAlignment="1">
      <alignment vertical="top"/>
    </xf>
    <xf numFmtId="228" fontId="251" fillId="5" borderId="102" xfId="3" applyNumberFormat="1" applyFont="1" applyFill="1" applyBorder="1" applyAlignment="1">
      <alignment vertical="center"/>
    </xf>
    <xf numFmtId="228" fontId="251" fillId="5" borderId="0" xfId="3" applyNumberFormat="1" applyFont="1" applyFill="1" applyBorder="1" applyAlignment="1"/>
    <xf numFmtId="0" fontId="249" fillId="5" borderId="0" xfId="1730" applyFont="1" applyFill="1" applyAlignment="1" applyProtection="1">
      <alignment horizontal="center" vertical="top"/>
      <protection locked="0"/>
    </xf>
    <xf numFmtId="260" fontId="249" fillId="5" borderId="0" xfId="3" applyFont="1" applyFill="1" applyBorder="1"/>
    <xf numFmtId="43" fontId="251" fillId="5" borderId="0" xfId="3" applyNumberFormat="1" applyFont="1" applyFill="1" applyBorder="1"/>
    <xf numFmtId="43" fontId="251" fillId="5" borderId="0" xfId="3" applyNumberFormat="1" applyFont="1" applyFill="1"/>
    <xf numFmtId="260" fontId="249" fillId="5" borderId="0" xfId="3" applyFont="1" applyFill="1" applyAlignment="1" applyProtection="1">
      <protection locked="0"/>
    </xf>
    <xf numFmtId="0" fontId="251" fillId="5" borderId="0" xfId="0" applyFont="1" applyFill="1" applyAlignment="1" applyProtection="1">
      <alignment horizontal="center"/>
      <protection locked="0"/>
    </xf>
    <xf numFmtId="260" fontId="249" fillId="0" borderId="0" xfId="3" applyNumberFormat="1" applyFont="1" applyFill="1" applyAlignment="1" applyProtection="1">
      <alignment horizontal="center"/>
      <protection locked="0"/>
    </xf>
    <xf numFmtId="228" fontId="249" fillId="0" borderId="0" xfId="0" applyNumberFormat="1" applyFont="1" applyFill="1"/>
    <xf numFmtId="37" fontId="249" fillId="0" borderId="6" xfId="0" applyNumberFormat="1" applyFont="1" applyFill="1" applyBorder="1"/>
    <xf numFmtId="37" fontId="256" fillId="0" borderId="7" xfId="0" applyNumberFormat="1" applyFont="1" applyFill="1" applyBorder="1"/>
    <xf numFmtId="0" fontId="255" fillId="0" borderId="0" xfId="4837" applyFont="1" applyFill="1" applyAlignment="1">
      <protection locked="0"/>
    </xf>
    <xf numFmtId="228" fontId="249" fillId="0" borderId="0" xfId="3" applyNumberFormat="1" applyFont="1" applyFill="1" applyAlignment="1">
      <alignment vertical="center"/>
    </xf>
    <xf numFmtId="228" fontId="251" fillId="0" borderId="0" xfId="3" applyNumberFormat="1" applyFont="1" applyFill="1" applyBorder="1" applyAlignment="1">
      <alignment vertical="top"/>
    </xf>
    <xf numFmtId="228" fontId="251" fillId="0" borderId="127" xfId="3" applyNumberFormat="1" applyFont="1" applyFill="1" applyBorder="1" applyAlignment="1">
      <alignment vertical="top"/>
    </xf>
    <xf numFmtId="0" fontId="249" fillId="0" borderId="0" xfId="0" applyFont="1" applyFill="1" applyAlignment="1" applyProtection="1">
      <alignment horizontal="center"/>
      <protection locked="0"/>
    </xf>
    <xf numFmtId="0" fontId="78" fillId="5" borderId="0" xfId="0" applyFont="1" applyFill="1"/>
    <xf numFmtId="43" fontId="251" fillId="0" borderId="0" xfId="0" applyNumberFormat="1" applyFont="1" applyFill="1" applyAlignment="1">
      <alignment vertical="top"/>
    </xf>
    <xf numFmtId="37" fontId="251" fillId="0" borderId="6" xfId="0" applyNumberFormat="1" applyFont="1" applyFill="1" applyBorder="1"/>
    <xf numFmtId="0" fontId="249" fillId="0" borderId="0" xfId="0" applyFont="1" applyFill="1" applyAlignment="1" applyProtection="1">
      <alignment horizontal="center"/>
      <protection locked="0"/>
    </xf>
    <xf numFmtId="167" fontId="249" fillId="0" borderId="0" xfId="3" applyNumberFormat="1" applyFont="1" applyFill="1" applyAlignment="1">
      <alignment horizontal="center"/>
    </xf>
    <xf numFmtId="0" fontId="249" fillId="0" borderId="0" xfId="0" applyFont="1" applyFill="1" applyAlignment="1">
      <alignment horizontal="center"/>
    </xf>
    <xf numFmtId="49" fontId="249" fillId="0" borderId="0" xfId="0" applyNumberFormat="1" applyFont="1" applyFill="1" applyBorder="1" applyAlignment="1">
      <alignment horizontal="center" vertical="center"/>
    </xf>
    <xf numFmtId="0" fontId="251" fillId="0" borderId="0" xfId="0" applyFont="1" applyFill="1" applyAlignment="1" applyProtection="1">
      <alignment horizontal="center"/>
      <protection locked="0"/>
    </xf>
    <xf numFmtId="260" fontId="249" fillId="0" borderId="0" xfId="0" applyNumberFormat="1" applyFont="1" applyFill="1" applyAlignment="1">
      <alignment vertical="top" wrapText="1"/>
    </xf>
    <xf numFmtId="167" fontId="249" fillId="0" borderId="0" xfId="3" applyNumberFormat="1" applyFont="1" applyFill="1" applyAlignment="1">
      <alignment horizontal="center"/>
    </xf>
    <xf numFmtId="167" fontId="249" fillId="0" borderId="0" xfId="31" applyNumberFormat="1" applyFont="1" applyFill="1" applyAlignment="1">
      <alignment horizontal="center"/>
    </xf>
    <xf numFmtId="0" fontId="249" fillId="0" borderId="0" xfId="0" applyFont="1" applyFill="1" applyAlignment="1" applyProtection="1">
      <alignment horizontal="center"/>
      <protection locked="0"/>
    </xf>
    <xf numFmtId="167" fontId="249" fillId="0" borderId="0" xfId="19" quotePrefix="1" applyNumberFormat="1" applyFont="1" applyFill="1" applyAlignment="1">
      <alignment horizontal="center"/>
    </xf>
    <xf numFmtId="0" fontId="262" fillId="0" borderId="0" xfId="19" applyFont="1" applyFill="1" applyAlignment="1">
      <alignment horizontal="center"/>
    </xf>
    <xf numFmtId="49" fontId="249" fillId="0" borderId="0" xfId="0" applyNumberFormat="1" applyFont="1" applyFill="1" applyBorder="1" applyAlignment="1">
      <alignment horizontal="center" vertical="center"/>
    </xf>
    <xf numFmtId="167" fontId="249" fillId="0" borderId="0" xfId="3" quotePrefix="1" applyNumberFormat="1" applyFont="1" applyFill="1" applyAlignment="1"/>
    <xf numFmtId="0" fontId="251" fillId="0" borderId="0" xfId="0" applyFont="1" applyFill="1" applyAlignment="1" applyProtection="1">
      <alignment horizontal="center"/>
      <protection locked="0"/>
    </xf>
    <xf numFmtId="37" fontId="249" fillId="0" borderId="119" xfId="3" applyNumberFormat="1" applyFont="1" applyFill="1" applyBorder="1"/>
    <xf numFmtId="0" fontId="0" fillId="0" borderId="0" xfId="0" applyFill="1" applyBorder="1"/>
    <xf numFmtId="10" fontId="0" fillId="0" borderId="0" xfId="4" applyNumberFormat="1" applyFont="1" applyFill="1"/>
    <xf numFmtId="49" fontId="249" fillId="0" borderId="0" xfId="0" applyNumberFormat="1" applyFont="1" applyFill="1" applyBorder="1" applyAlignment="1">
      <alignment vertical="center"/>
    </xf>
    <xf numFmtId="49" fontId="249" fillId="0" borderId="128" xfId="0" applyNumberFormat="1" applyFont="1" applyFill="1" applyBorder="1" applyAlignment="1">
      <alignment vertical="center"/>
    </xf>
    <xf numFmtId="37" fontId="249" fillId="0" borderId="130" xfId="3" applyNumberFormat="1" applyFont="1" applyFill="1" applyBorder="1"/>
    <xf numFmtId="228" fontId="251" fillId="0" borderId="0" xfId="40375" applyNumberFormat="1" applyFont="1" applyFill="1" applyBorder="1" applyAlignment="1">
      <alignment vertical="top"/>
    </xf>
    <xf numFmtId="49" fontId="251" fillId="0" borderId="0" xfId="0" applyNumberFormat="1" applyFont="1" applyFill="1" applyBorder="1" applyAlignment="1">
      <alignment horizontal="center" vertical="top"/>
    </xf>
    <xf numFmtId="0" fontId="251" fillId="0" borderId="0" xfId="40372" quotePrefix="1" applyFont="1" applyFill="1" applyAlignment="1">
      <alignment horizontal="center" vertical="top"/>
    </xf>
    <xf numFmtId="0" fontId="4" fillId="0" borderId="0" xfId="40385" applyFont="1" applyFill="1" applyAlignment="1">
      <alignment vertical="top"/>
    </xf>
    <xf numFmtId="4" fontId="251" fillId="0" borderId="0" xfId="0" applyNumberFormat="1" applyFont="1" applyFill="1"/>
    <xf numFmtId="4" fontId="249" fillId="0" borderId="0" xfId="0" applyNumberFormat="1" applyFont="1" applyFill="1"/>
    <xf numFmtId="3" fontId="249" fillId="0" borderId="0" xfId="0" applyNumberFormat="1" applyFont="1" applyFill="1" applyAlignment="1">
      <alignment vertical="top" wrapText="1"/>
    </xf>
    <xf numFmtId="4" fontId="239" fillId="0" borderId="0" xfId="40377" applyNumberFormat="1" applyFont="1" applyFill="1"/>
    <xf numFmtId="4" fontId="240" fillId="0" borderId="0" xfId="40377" applyNumberFormat="1" applyFont="1" applyFill="1"/>
    <xf numFmtId="3" fontId="239" fillId="0" borderId="0" xfId="40377" applyNumberFormat="1" applyFont="1" applyFill="1"/>
    <xf numFmtId="41" fontId="251" fillId="0" borderId="0" xfId="1475" applyNumberFormat="1" applyFont="1" applyFill="1" applyAlignment="1">
      <alignment vertical="top"/>
    </xf>
    <xf numFmtId="37" fontId="249" fillId="0" borderId="0" xfId="0" applyNumberFormat="1" applyFont="1" applyFill="1" applyAlignment="1" applyProtection="1">
      <alignment horizontal="center"/>
      <protection locked="0"/>
    </xf>
    <xf numFmtId="37" fontId="249" fillId="0" borderId="0" xfId="0" applyNumberFormat="1" applyFont="1" applyFill="1" applyAlignment="1" applyProtection="1">
      <alignment horizontal="centerContinuous"/>
      <protection locked="0"/>
    </xf>
    <xf numFmtId="37" fontId="297" fillId="0" borderId="0" xfId="0" applyNumberFormat="1" applyFont="1" applyFill="1" applyBorder="1"/>
    <xf numFmtId="167" fontId="253" fillId="0" borderId="0" xfId="3" applyNumberFormat="1" applyFont="1" applyFill="1" applyAlignment="1">
      <alignment vertical="top"/>
    </xf>
    <xf numFmtId="167" fontId="249" fillId="0" borderId="0" xfId="3" applyNumberFormat="1" applyFont="1" applyFill="1" applyBorder="1" applyAlignment="1">
      <alignment vertical="top"/>
    </xf>
    <xf numFmtId="167" fontId="249" fillId="0" borderId="59" xfId="3" applyNumberFormat="1" applyFont="1" applyFill="1" applyBorder="1"/>
    <xf numFmtId="37" fontId="249" fillId="0" borderId="8" xfId="0" quotePrefix="1" applyNumberFormat="1" applyFont="1" applyFill="1" applyBorder="1"/>
    <xf numFmtId="0" fontId="298" fillId="5" borderId="0" xfId="45338" applyFont="1" applyFill="1" applyAlignment="1">
      <alignment horizontal="left" wrapText="1" readingOrder="1"/>
    </xf>
    <xf numFmtId="0" fontId="2" fillId="5" borderId="0" xfId="45338" applyFill="1" applyAlignment="1">
      <alignment wrapText="1"/>
    </xf>
    <xf numFmtId="0" fontId="2" fillId="5" borderId="0" xfId="45338" applyFill="1"/>
    <xf numFmtId="167" fontId="0" fillId="5" borderId="0" xfId="45339" applyNumberFormat="1" applyFont="1" applyFill="1"/>
    <xf numFmtId="0" fontId="2" fillId="0" borderId="0" xfId="45338"/>
    <xf numFmtId="0" fontId="2" fillId="5" borderId="0" xfId="45338" applyFill="1" applyAlignment="1">
      <alignment horizontal="left" wrapText="1" readingOrder="1"/>
    </xf>
    <xf numFmtId="4" fontId="2" fillId="5" borderId="0" xfId="45338" applyNumberFormat="1" applyFill="1"/>
    <xf numFmtId="43" fontId="2" fillId="5" borderId="0" xfId="45338" applyNumberFormat="1" applyFill="1"/>
    <xf numFmtId="0" fontId="2" fillId="5" borderId="0" xfId="45338" applyFill="1" applyAlignment="1">
      <alignment horizontal="right" wrapText="1" readingOrder="1"/>
    </xf>
    <xf numFmtId="4" fontId="303" fillId="5" borderId="0" xfId="45338" applyNumberFormat="1" applyFont="1" applyFill="1" applyAlignment="1">
      <alignment horizontal="right" wrapText="1" readingOrder="1"/>
    </xf>
    <xf numFmtId="4" fontId="2" fillId="0" borderId="0" xfId="45338" applyNumberFormat="1"/>
    <xf numFmtId="4" fontId="2" fillId="5" borderId="0" xfId="45338" applyNumberFormat="1" applyFill="1" applyAlignment="1">
      <alignment horizontal="left" wrapText="1" readingOrder="1"/>
    </xf>
    <xf numFmtId="0" fontId="303" fillId="5" borderId="0" xfId="45338" applyFont="1" applyFill="1" applyAlignment="1">
      <alignment horizontal="right" wrapText="1" readingOrder="1"/>
    </xf>
    <xf numFmtId="3" fontId="303" fillId="5" borderId="0" xfId="45338" applyNumberFormat="1" applyFont="1" applyFill="1" applyAlignment="1">
      <alignment horizontal="right" wrapText="1" readingOrder="1"/>
    </xf>
    <xf numFmtId="167" fontId="0" fillId="0" borderId="0" xfId="45339" applyNumberFormat="1" applyFont="1"/>
    <xf numFmtId="277" fontId="2" fillId="5" borderId="0" xfId="45338" applyNumberFormat="1" applyFill="1"/>
    <xf numFmtId="0" fontId="35" fillId="0" borderId="0" xfId="1475" quotePrefix="1" applyFont="1" applyFill="1" applyAlignment="1">
      <alignment horizontal="left" vertical="top"/>
    </xf>
    <xf numFmtId="260" fontId="251" fillId="0" borderId="0" xfId="3" applyFont="1" applyFill="1" applyAlignment="1">
      <alignment horizontal="right"/>
    </xf>
    <xf numFmtId="228" fontId="251" fillId="0" borderId="9" xfId="0" applyNumberFormat="1" applyFont="1" applyFill="1" applyBorder="1" applyAlignment="1"/>
    <xf numFmtId="260" fontId="251" fillId="0" borderId="9" xfId="3" applyFont="1" applyFill="1" applyBorder="1" applyAlignment="1"/>
    <xf numFmtId="0" fontId="251" fillId="0" borderId="0" xfId="0" applyFont="1" applyFill="1" applyAlignment="1">
      <alignment vertical="top" wrapText="1"/>
    </xf>
    <xf numFmtId="0" fontId="0" fillId="0" borderId="0" xfId="0" applyFont="1" applyFill="1" applyAlignment="1">
      <alignment vertical="top" wrapText="1"/>
    </xf>
    <xf numFmtId="260" fontId="249" fillId="0" borderId="7" xfId="3" applyFont="1" applyFill="1" applyBorder="1" applyAlignment="1"/>
    <xf numFmtId="0" fontId="259" fillId="0" borderId="0" xfId="0" applyFont="1" applyFill="1"/>
    <xf numFmtId="3" fontId="249" fillId="0" borderId="0" xfId="0" applyNumberFormat="1" applyFont="1" applyFill="1"/>
    <xf numFmtId="0" fontId="249" fillId="0" borderId="0" xfId="0" applyFont="1" applyFill="1" applyAlignment="1" applyProtection="1">
      <alignment horizontal="center"/>
      <protection locked="0"/>
    </xf>
    <xf numFmtId="49" fontId="249" fillId="0" borderId="0" xfId="0" applyNumberFormat="1" applyFont="1" applyFill="1" applyBorder="1" applyAlignment="1">
      <alignment horizontal="center" vertical="center"/>
    </xf>
    <xf numFmtId="49" fontId="249" fillId="0" borderId="0" xfId="0" applyNumberFormat="1" applyFont="1" applyFill="1" applyBorder="1" applyAlignment="1">
      <alignment horizontal="center" vertical="top"/>
    </xf>
    <xf numFmtId="0" fontId="251" fillId="0" borderId="0" xfId="0" applyFont="1" applyFill="1" applyAlignment="1" applyProtection="1">
      <alignment horizontal="center"/>
      <protection locked="0"/>
    </xf>
    <xf numFmtId="0" fontId="251" fillId="0" borderId="0" xfId="0" applyNumberFormat="1" applyFont="1" applyFill="1" applyAlignment="1">
      <alignment horizontal="justify" vertical="top" wrapText="1"/>
    </xf>
    <xf numFmtId="0" fontId="251" fillId="0" borderId="0" xfId="0" applyFont="1" applyFill="1" applyAlignment="1">
      <alignment horizontal="justify" vertical="top"/>
    </xf>
    <xf numFmtId="37" fontId="249" fillId="0" borderId="0" xfId="40378" quotePrefix="1" applyNumberFormat="1" applyFont="1" applyFill="1" applyAlignment="1" applyProtection="1">
      <alignment horizontal="center" vertical="center" wrapText="1"/>
    </xf>
    <xf numFmtId="0" fontId="251" fillId="0" borderId="0" xfId="0" applyFont="1" applyFill="1" applyAlignment="1">
      <alignment horizontal="justify" vertical="top" wrapText="1"/>
    </xf>
    <xf numFmtId="0" fontId="249" fillId="0" borderId="0" xfId="0" applyNumberFormat="1" applyFont="1" applyFill="1" applyAlignment="1">
      <alignment horizontal="left" vertical="top" wrapText="1"/>
    </xf>
    <xf numFmtId="0" fontId="249" fillId="0" borderId="0" xfId="0" applyNumberFormat="1" applyFont="1" applyFill="1" applyBorder="1" applyAlignment="1">
      <alignment horizontal="center" vertical="top" wrapText="1"/>
    </xf>
    <xf numFmtId="167" fontId="249" fillId="0" borderId="0" xfId="3" applyNumberFormat="1" applyFont="1" applyFill="1" applyAlignment="1"/>
    <xf numFmtId="167" fontId="251" fillId="0" borderId="6" xfId="3" applyNumberFormat="1" applyFont="1" applyFill="1" applyBorder="1"/>
    <xf numFmtId="183" fontId="251" fillId="0" borderId="0" xfId="0" applyNumberFormat="1" applyFont="1" applyFill="1"/>
    <xf numFmtId="37" fontId="258" fillId="0" borderId="0" xfId="0" applyNumberFormat="1" applyFont="1" applyFill="1" applyAlignment="1">
      <alignment horizontal="center"/>
    </xf>
    <xf numFmtId="167" fontId="251" fillId="0" borderId="0" xfId="3" applyNumberFormat="1" applyFont="1" applyFill="1" applyAlignment="1" applyProtection="1">
      <protection locked="0"/>
    </xf>
    <xf numFmtId="260" fontId="267" fillId="0" borderId="0" xfId="3" applyFont="1" applyFill="1"/>
    <xf numFmtId="43" fontId="267" fillId="0" borderId="0" xfId="3" applyNumberFormat="1" applyFont="1" applyFill="1"/>
    <xf numFmtId="0" fontId="249" fillId="0" borderId="0" xfId="0" applyNumberFormat="1" applyFont="1" applyFill="1" applyAlignment="1">
      <alignment horizontal="left" vertical="top" wrapText="1"/>
    </xf>
    <xf numFmtId="37" fontId="249" fillId="0" borderId="0" xfId="848" applyNumberFormat="1" applyFont="1" applyFill="1" applyBorder="1" applyAlignment="1">
      <alignment horizontal="center" vertical="center" wrapText="1"/>
    </xf>
    <xf numFmtId="49" fontId="249" fillId="0" borderId="0" xfId="0" applyNumberFormat="1" applyFont="1" applyFill="1" applyBorder="1" applyAlignment="1">
      <alignment horizontal="center" vertical="center"/>
    </xf>
    <xf numFmtId="167" fontId="249" fillId="0" borderId="0" xfId="3" quotePrefix="1" applyNumberFormat="1" applyFont="1" applyFill="1" applyAlignment="1"/>
    <xf numFmtId="49" fontId="249" fillId="0" borderId="0" xfId="0" applyNumberFormat="1" applyFont="1" applyFill="1" applyBorder="1" applyAlignment="1">
      <alignment horizontal="center" vertical="top"/>
    </xf>
    <xf numFmtId="0" fontId="249" fillId="0" borderId="0" xfId="0" quotePrefix="1" applyNumberFormat="1" applyFont="1" applyFill="1" applyAlignment="1">
      <alignment horizontal="left" vertical="top"/>
    </xf>
    <xf numFmtId="260" fontId="251" fillId="0" borderId="2" xfId="3" applyFont="1" applyFill="1" applyBorder="1"/>
    <xf numFmtId="260" fontId="251" fillId="0" borderId="104" xfId="3" applyFont="1" applyFill="1" applyBorder="1"/>
    <xf numFmtId="0" fontId="251" fillId="0" borderId="104" xfId="0" applyFont="1" applyFill="1" applyBorder="1" applyAlignment="1">
      <alignment horizontal="center"/>
    </xf>
    <xf numFmtId="228" fontId="251" fillId="0" borderId="125" xfId="40375" applyNumberFormat="1" applyFont="1" applyFill="1" applyBorder="1" applyAlignment="1">
      <alignment vertical="top"/>
    </xf>
    <xf numFmtId="228" fontId="251" fillId="0" borderId="51" xfId="40375" applyNumberFormat="1" applyFont="1" applyFill="1" applyBorder="1" applyAlignment="1">
      <alignment vertical="top"/>
    </xf>
    <xf numFmtId="228" fontId="251" fillId="0" borderId="42" xfId="40375" applyNumberFormat="1" applyFont="1" applyFill="1" applyBorder="1" applyAlignment="1">
      <alignment vertical="top"/>
    </xf>
    <xf numFmtId="0" fontId="249" fillId="0" borderId="0" xfId="0" applyFont="1" applyFill="1" applyBorder="1" applyAlignment="1"/>
    <xf numFmtId="228" fontId="249" fillId="0" borderId="0" xfId="0" applyNumberFormat="1" applyFont="1" applyFill="1" applyBorder="1"/>
    <xf numFmtId="4" fontId="249" fillId="0" borderId="0" xfId="1730" applyNumberFormat="1" applyFont="1" applyFill="1" applyBorder="1" applyAlignment="1" applyProtection="1">
      <alignment horizontal="center" vertical="top"/>
      <protection locked="0"/>
    </xf>
    <xf numFmtId="43" fontId="251" fillId="0" borderId="0" xfId="0" applyNumberFormat="1" applyFont="1" applyFill="1" applyBorder="1"/>
    <xf numFmtId="167" fontId="249" fillId="0" borderId="0" xfId="3" quotePrefix="1" applyNumberFormat="1" applyFont="1" applyFill="1" applyBorder="1" applyAlignment="1"/>
    <xf numFmtId="167" fontId="249" fillId="0" borderId="0" xfId="3" applyNumberFormat="1" applyFont="1" applyFill="1" applyBorder="1" applyAlignment="1">
      <alignment horizontal="centerContinuous"/>
    </xf>
    <xf numFmtId="261" fontId="251" fillId="0" borderId="0" xfId="3" applyNumberFormat="1" applyFont="1" applyFill="1" applyBorder="1"/>
    <xf numFmtId="178" fontId="251" fillId="0" borderId="0" xfId="3" applyNumberFormat="1" applyFont="1" applyFill="1" applyBorder="1"/>
    <xf numFmtId="0" fontId="251" fillId="0" borderId="0" xfId="0" applyFont="1" applyFill="1" applyBorder="1" applyAlignment="1">
      <alignment vertical="center"/>
    </xf>
    <xf numFmtId="43" fontId="251" fillId="0" borderId="0" xfId="0" applyNumberFormat="1" applyFont="1" applyFill="1" applyBorder="1" applyAlignment="1">
      <alignment vertical="center"/>
    </xf>
    <xf numFmtId="0" fontId="249" fillId="0" borderId="0" xfId="1730" applyFont="1" applyFill="1" applyBorder="1" applyAlignment="1" applyProtection="1">
      <alignment horizontal="center" vertical="top"/>
      <protection locked="0"/>
    </xf>
    <xf numFmtId="167" fontId="251" fillId="0" borderId="0" xfId="31" applyNumberFormat="1" applyFont="1" applyFill="1" applyBorder="1"/>
    <xf numFmtId="0" fontId="251" fillId="0" borderId="0" xfId="0" applyFont="1" applyFill="1" applyBorder="1" applyAlignment="1" applyProtection="1">
      <protection locked="0"/>
    </xf>
    <xf numFmtId="167" fontId="251" fillId="0" borderId="0" xfId="42" applyNumberFormat="1" applyFont="1" applyFill="1" applyBorder="1"/>
    <xf numFmtId="167" fontId="249" fillId="0" borderId="0" xfId="42" applyNumberFormat="1" applyFont="1" applyFill="1" applyBorder="1"/>
    <xf numFmtId="167" fontId="251" fillId="0" borderId="0" xfId="42" applyNumberFormat="1" applyFont="1" applyFill="1" applyBorder="1" applyAlignment="1">
      <alignment horizontal="center"/>
    </xf>
    <xf numFmtId="167" fontId="249" fillId="0" borderId="0" xfId="42" applyNumberFormat="1" applyFont="1" applyFill="1" applyBorder="1" applyAlignment="1">
      <alignment horizontal="center"/>
    </xf>
    <xf numFmtId="260" fontId="35" fillId="0" borderId="104" xfId="3" applyFont="1" applyFill="1" applyBorder="1"/>
    <xf numFmtId="167" fontId="24" fillId="0" borderId="104" xfId="36" applyNumberFormat="1" applyFont="1" applyFill="1" applyBorder="1" applyAlignment="1">
      <alignment vertical="top"/>
      <protection locked="0"/>
    </xf>
    <xf numFmtId="260" fontId="24" fillId="0" borderId="104" xfId="3" applyFont="1" applyFill="1" applyBorder="1" applyAlignment="1" applyProtection="1">
      <alignment vertical="top"/>
      <protection locked="0"/>
    </xf>
    <xf numFmtId="0" fontId="304" fillId="0" borderId="104" xfId="36" applyFont="1" applyFill="1" applyBorder="1" applyAlignment="1">
      <alignment vertical="top"/>
      <protection locked="0"/>
    </xf>
    <xf numFmtId="167" fontId="24" fillId="0" borderId="104" xfId="3" applyNumberFormat="1" applyFont="1" applyFill="1" applyBorder="1"/>
    <xf numFmtId="260" fontId="24" fillId="0" borderId="104" xfId="3" applyFont="1" applyFill="1" applyBorder="1"/>
    <xf numFmtId="167" fontId="24" fillId="0" borderId="0" xfId="36" applyNumberFormat="1" applyFont="1" applyFill="1" applyBorder="1" applyAlignment="1">
      <alignment vertical="top"/>
      <protection locked="0"/>
    </xf>
    <xf numFmtId="43" fontId="24" fillId="0" borderId="102" xfId="36" applyNumberFormat="1" applyFont="1" applyFill="1" applyBorder="1" applyAlignment="1">
      <alignment vertical="top"/>
      <protection locked="0"/>
    </xf>
    <xf numFmtId="0" fontId="24" fillId="0" borderId="0" xfId="36" applyFont="1" applyFill="1" applyBorder="1" applyAlignment="1">
      <alignment vertical="top"/>
      <protection locked="0"/>
    </xf>
    <xf numFmtId="167" fontId="35" fillId="0" borderId="104" xfId="45340" applyNumberFormat="1" applyFont="1" applyFill="1" applyBorder="1" applyAlignment="1">
      <alignment horizontal="center"/>
    </xf>
    <xf numFmtId="0" fontId="35" fillId="0" borderId="104" xfId="45340" applyFont="1" applyFill="1" applyBorder="1" applyAlignment="1">
      <alignment horizontal="center"/>
    </xf>
    <xf numFmtId="167" fontId="24" fillId="0" borderId="104" xfId="45341" applyNumberFormat="1" applyFont="1" applyFill="1" applyBorder="1" applyAlignment="1">
      <alignment vertical="top"/>
    </xf>
    <xf numFmtId="167" fontId="24" fillId="0" borderId="0" xfId="45341" applyNumberFormat="1" applyFont="1" applyFill="1" applyBorder="1" applyAlignment="1">
      <alignment vertical="top"/>
    </xf>
    <xf numFmtId="260" fontId="24" fillId="0" borderId="130" xfId="3" applyFont="1" applyFill="1" applyBorder="1" applyAlignment="1" applyProtection="1">
      <alignment vertical="top"/>
      <protection locked="0"/>
    </xf>
    <xf numFmtId="0" fontId="24" fillId="0" borderId="130" xfId="36" applyFont="1" applyFill="1" applyBorder="1" applyAlignment="1">
      <alignment vertical="top"/>
      <protection locked="0"/>
    </xf>
    <xf numFmtId="167" fontId="24" fillId="0" borderId="130" xfId="3" applyNumberFormat="1" applyFont="1" applyFill="1" applyBorder="1"/>
    <xf numFmtId="260" fontId="24" fillId="0" borderId="130" xfId="3" applyFont="1" applyFill="1" applyBorder="1"/>
    <xf numFmtId="0" fontId="249" fillId="0" borderId="104" xfId="0" applyFont="1" applyFill="1" applyBorder="1" applyAlignment="1">
      <alignment horizontal="center"/>
    </xf>
    <xf numFmtId="228" fontId="251" fillId="0" borderId="7" xfId="3" applyNumberFormat="1" applyFont="1" applyFill="1" applyBorder="1" applyAlignment="1"/>
    <xf numFmtId="260" fontId="251" fillId="0" borderId="7" xfId="3" applyFont="1" applyFill="1" applyBorder="1" applyAlignment="1"/>
    <xf numFmtId="4" fontId="251" fillId="0" borderId="7" xfId="0" applyNumberFormat="1" applyFont="1" applyFill="1" applyBorder="1"/>
    <xf numFmtId="0" fontId="249" fillId="0" borderId="120" xfId="0" applyFont="1" applyFill="1" applyBorder="1" applyAlignment="1">
      <alignment horizontal="center"/>
    </xf>
    <xf numFmtId="260" fontId="305" fillId="0" borderId="102" xfId="3" applyFont="1" applyFill="1" applyBorder="1" applyAlignment="1" applyProtection="1">
      <alignment vertical="top"/>
      <protection locked="0"/>
    </xf>
    <xf numFmtId="0" fontId="255" fillId="0" borderId="0" xfId="0" applyFont="1" applyFill="1" applyBorder="1" applyAlignment="1">
      <alignment vertical="top"/>
    </xf>
    <xf numFmtId="168" fontId="251" fillId="0" borderId="0" xfId="0" applyNumberFormat="1" applyFont="1" applyFill="1" applyBorder="1" applyAlignment="1">
      <alignment horizontal="center" vertical="top"/>
    </xf>
    <xf numFmtId="15" fontId="249" fillId="0" borderId="0" xfId="40373" quotePrefix="1" applyNumberFormat="1" applyFont="1" applyFill="1" applyBorder="1" applyAlignment="1">
      <alignment horizontal="center" vertical="top"/>
    </xf>
    <xf numFmtId="0" fontId="249" fillId="0" borderId="0" xfId="40373" applyFont="1" applyFill="1" applyBorder="1" applyAlignment="1">
      <alignment horizontal="center" vertical="top"/>
    </xf>
    <xf numFmtId="0" fontId="251" fillId="0" borderId="0" xfId="0" applyFont="1" applyFill="1" applyAlignment="1">
      <alignment horizontal="left" vertical="top" indent="1"/>
    </xf>
    <xf numFmtId="260" fontId="251" fillId="0" borderId="0" xfId="3" applyFont="1" applyFill="1" applyAlignment="1">
      <alignment horizontal="center" vertical="top"/>
    </xf>
    <xf numFmtId="37" fontId="251" fillId="0" borderId="130" xfId="0" applyNumberFormat="1" applyFont="1" applyFill="1" applyBorder="1"/>
    <xf numFmtId="167" fontId="251" fillId="0" borderId="125" xfId="3" applyNumberFormat="1" applyFont="1" applyFill="1" applyBorder="1"/>
    <xf numFmtId="167" fontId="251" fillId="0" borderId="51" xfId="3" applyNumberFormat="1" applyFont="1" applyFill="1" applyBorder="1"/>
    <xf numFmtId="167" fontId="251" fillId="0" borderId="42" xfId="3" applyNumberFormat="1" applyFont="1" applyFill="1" applyBorder="1"/>
    <xf numFmtId="37" fontId="251" fillId="0" borderId="130" xfId="3" applyNumberFormat="1" applyFont="1" applyFill="1" applyBorder="1"/>
    <xf numFmtId="0" fontId="251" fillId="0" borderId="0" xfId="40390" applyFont="1" applyFill="1" applyAlignment="1">
      <alignment horizontal="left" vertical="top" wrapText="1"/>
    </xf>
    <xf numFmtId="0" fontId="263" fillId="112" borderId="0" xfId="0" applyFont="1" applyFill="1"/>
    <xf numFmtId="167" fontId="263" fillId="112" borderId="0" xfId="3" applyNumberFormat="1" applyFont="1" applyFill="1"/>
    <xf numFmtId="0" fontId="76" fillId="0" borderId="0" xfId="0" applyFont="1" applyFill="1"/>
    <xf numFmtId="0" fontId="0" fillId="105" borderId="0" xfId="0" applyFont="1" applyFill="1"/>
    <xf numFmtId="0" fontId="0" fillId="0" borderId="0" xfId="0" applyFont="1" applyFill="1"/>
    <xf numFmtId="0" fontId="251" fillId="0" borderId="0" xfId="0" quotePrefix="1" applyFont="1" applyFill="1" applyAlignment="1">
      <alignment vertical="top" wrapText="1"/>
    </xf>
    <xf numFmtId="0" fontId="251" fillId="0" borderId="0" xfId="0" applyFont="1" applyFill="1" applyBorder="1" applyAlignment="1" applyProtection="1">
      <alignment vertical="top" wrapText="1"/>
    </xf>
    <xf numFmtId="0" fontId="249" fillId="0" borderId="0" xfId="30" applyFont="1" applyAlignment="1">
      <alignment horizontal="left" vertical="top" wrapText="1"/>
    </xf>
    <xf numFmtId="0" fontId="249" fillId="0" borderId="0" xfId="30" applyFont="1" applyAlignment="1">
      <alignment vertical="top" wrapText="1"/>
    </xf>
    <xf numFmtId="0" fontId="249" fillId="0" borderId="0" xfId="30" applyFont="1" applyAlignment="1">
      <alignment horizontal="center" vertical="top" wrapText="1"/>
    </xf>
    <xf numFmtId="0" fontId="251" fillId="0" borderId="0" xfId="23807" applyFont="1" applyAlignment="1" applyProtection="1">
      <alignment horizontal="center" vertical="top" wrapText="1"/>
      <protection locked="0"/>
    </xf>
    <xf numFmtId="167" fontId="251" fillId="0" borderId="0" xfId="0" applyNumberFormat="1" applyFont="1" applyAlignment="1">
      <alignment vertical="top"/>
    </xf>
    <xf numFmtId="0" fontId="255" fillId="0" borderId="0" xfId="0" applyFont="1" applyFill="1" applyAlignment="1">
      <alignment horizontal="left" vertical="top" wrapText="1"/>
    </xf>
    <xf numFmtId="260" fontId="251" fillId="0" borderId="0" xfId="3" applyFont="1" applyFill="1" applyBorder="1" applyAlignment="1">
      <alignment horizontal="center" vertical="top"/>
    </xf>
    <xf numFmtId="260" fontId="255" fillId="0" borderId="0" xfId="3" applyFont="1" applyFill="1" applyBorder="1" applyAlignment="1">
      <alignment vertical="top"/>
    </xf>
    <xf numFmtId="260" fontId="251" fillId="0" borderId="9" xfId="3" applyFont="1" applyFill="1" applyBorder="1" applyAlignment="1">
      <alignment vertical="top"/>
    </xf>
    <xf numFmtId="266" fontId="251" fillId="0" borderId="0" xfId="40391" quotePrefix="1" applyNumberFormat="1" applyFont="1" applyFill="1" applyAlignment="1">
      <alignment horizontal="center"/>
    </xf>
    <xf numFmtId="266" fontId="251" fillId="0" borderId="0" xfId="40391" applyNumberFormat="1" applyFont="1" applyFill="1" applyAlignment="1">
      <alignment horizontal="center"/>
    </xf>
    <xf numFmtId="167" fontId="251" fillId="0" borderId="9" xfId="3" applyNumberFormat="1" applyFont="1" applyFill="1" applyBorder="1" applyAlignment="1">
      <alignment vertical="top"/>
    </xf>
    <xf numFmtId="278" fontId="251" fillId="0" borderId="0" xfId="0" applyNumberFormat="1" applyFont="1" applyFill="1" applyAlignment="1">
      <alignment vertical="top"/>
    </xf>
    <xf numFmtId="167" fontId="0" fillId="0" borderId="0" xfId="3" applyNumberFormat="1" applyFont="1" applyBorder="1"/>
    <xf numFmtId="279" fontId="0" fillId="0" borderId="0" xfId="3" applyNumberFormat="1" applyFont="1"/>
    <xf numFmtId="279" fontId="0" fillId="0" borderId="0" xfId="3" applyNumberFormat="1" applyFont="1" applyBorder="1"/>
    <xf numFmtId="0" fontId="251" fillId="0" borderId="0" xfId="0" applyFont="1" applyFill="1" applyAlignment="1">
      <alignment horizontal="justify" vertical="top"/>
    </xf>
    <xf numFmtId="0" fontId="259" fillId="0" borderId="0" xfId="0" applyFont="1" applyFill="1" applyAlignment="1">
      <alignment vertical="top"/>
    </xf>
    <xf numFmtId="278" fontId="306" fillId="0" borderId="0" xfId="0" applyNumberFormat="1" applyFont="1"/>
    <xf numFmtId="3" fontId="259" fillId="0" borderId="0" xfId="0" applyNumberFormat="1" applyFont="1" applyFill="1" applyAlignment="1">
      <alignment vertical="top"/>
    </xf>
    <xf numFmtId="10" fontId="0" fillId="0" borderId="0" xfId="0" applyNumberFormat="1" applyFill="1"/>
    <xf numFmtId="15" fontId="0" fillId="0" borderId="0" xfId="0" applyNumberFormat="1" applyFill="1"/>
    <xf numFmtId="4" fontId="266" fillId="0" borderId="0" xfId="0" quotePrefix="1" applyNumberFormat="1" applyFont="1" applyFill="1"/>
    <xf numFmtId="260" fontId="249" fillId="0" borderId="7" xfId="3" applyNumberFormat="1" applyFont="1" applyFill="1" applyBorder="1"/>
    <xf numFmtId="4" fontId="0" fillId="0" borderId="0" xfId="0" applyNumberFormat="1" applyFill="1"/>
    <xf numFmtId="49" fontId="249" fillId="0" borderId="0" xfId="0" applyNumberFormat="1" applyFont="1" applyFill="1" applyBorder="1" applyAlignment="1">
      <alignment horizontal="center" vertical="center"/>
    </xf>
    <xf numFmtId="49" fontId="249" fillId="0" borderId="0" xfId="0" applyNumberFormat="1" applyFont="1" applyFill="1" applyBorder="1" applyAlignment="1">
      <alignment horizontal="center" vertical="top"/>
    </xf>
    <xf numFmtId="0" fontId="251" fillId="0" borderId="0" xfId="0" applyFont="1" applyFill="1" applyAlignment="1">
      <alignment horizontal="left" vertical="top" wrapText="1"/>
    </xf>
    <xf numFmtId="0" fontId="249" fillId="0" borderId="0" xfId="0" applyNumberFormat="1" applyFont="1" applyFill="1" applyBorder="1" applyAlignment="1">
      <alignment horizontal="center" vertical="top" wrapText="1"/>
    </xf>
    <xf numFmtId="4" fontId="0" fillId="0" borderId="0" xfId="0" applyNumberFormat="1"/>
    <xf numFmtId="3" fontId="0" fillId="0" borderId="0" xfId="0" applyNumberFormat="1"/>
    <xf numFmtId="228" fontId="251" fillId="5" borderId="129" xfId="591" applyNumberFormat="1" applyFont="1" applyFill="1" applyBorder="1" applyAlignment="1">
      <alignment vertical="top"/>
    </xf>
    <xf numFmtId="228" fontId="249" fillId="0" borderId="104" xfId="591" applyNumberFormat="1" applyFont="1" applyFill="1" applyBorder="1" applyAlignment="1">
      <alignment vertical="top"/>
    </xf>
    <xf numFmtId="228" fontId="251" fillId="0" borderId="104" xfId="591" applyNumberFormat="1" applyFont="1" applyFill="1" applyBorder="1" applyAlignment="1">
      <alignment vertical="top"/>
    </xf>
    <xf numFmtId="228" fontId="251" fillId="0" borderId="104" xfId="40375" applyNumberFormat="1" applyFont="1" applyFill="1" applyBorder="1" applyAlignment="1">
      <alignment vertical="top"/>
    </xf>
    <xf numFmtId="260" fontId="249" fillId="0" borderId="0" xfId="3" applyFont="1" applyFill="1" applyBorder="1" applyAlignment="1"/>
    <xf numFmtId="49" fontId="249" fillId="0" borderId="0" xfId="0" applyNumberFormat="1" applyFont="1" applyFill="1" applyBorder="1" applyAlignment="1">
      <alignment horizontal="center" vertical="top"/>
    </xf>
    <xf numFmtId="167" fontId="249" fillId="0" borderId="0" xfId="0" applyNumberFormat="1" applyFont="1" applyFill="1" applyAlignment="1">
      <alignment vertical="top"/>
    </xf>
    <xf numFmtId="278" fontId="29" fillId="0" borderId="0" xfId="0" applyNumberFormat="1" applyFont="1"/>
    <xf numFmtId="260" fontId="29" fillId="0" borderId="0" xfId="3" applyFont="1"/>
    <xf numFmtId="16" fontId="249" fillId="0" borderId="0" xfId="31" quotePrefix="1" applyNumberFormat="1" applyFont="1" applyFill="1" applyAlignment="1">
      <alignment horizontal="center"/>
    </xf>
    <xf numFmtId="0" fontId="249" fillId="0" borderId="0" xfId="31" quotePrefix="1" applyNumberFormat="1" applyFont="1" applyFill="1" applyAlignment="1">
      <alignment horizontal="center"/>
    </xf>
    <xf numFmtId="49" fontId="24" fillId="0" borderId="0" xfId="40391" quotePrefix="1" applyNumberFormat="1" applyFont="1" applyFill="1" applyBorder="1" applyAlignment="1"/>
    <xf numFmtId="0" fontId="24" fillId="0" borderId="0" xfId="0" applyNumberFormat="1" applyFont="1" applyFill="1"/>
    <xf numFmtId="0" fontId="35" fillId="0" borderId="0" xfId="0" applyNumberFormat="1" applyFont="1" applyFill="1" applyBorder="1" applyAlignment="1">
      <alignment vertical="center"/>
    </xf>
    <xf numFmtId="0" fontId="35" fillId="0" borderId="0" xfId="0" quotePrefix="1" applyNumberFormat="1" applyFont="1" applyFill="1" applyBorder="1" applyAlignment="1">
      <alignment horizontal="center" vertical="center"/>
    </xf>
    <xf numFmtId="2" fontId="24" fillId="0" borderId="0" xfId="0" applyNumberFormat="1" applyFont="1" applyFill="1" applyAlignment="1">
      <alignment vertical="center"/>
    </xf>
    <xf numFmtId="10" fontId="24" fillId="0" borderId="0" xfId="4" applyNumberFormat="1" applyFont="1" applyFill="1" applyAlignment="1">
      <alignment vertical="center"/>
    </xf>
    <xf numFmtId="0" fontId="307" fillId="0" borderId="0" xfId="0" applyFont="1"/>
    <xf numFmtId="0" fontId="24" fillId="0" borderId="0" xfId="0" applyFont="1"/>
    <xf numFmtId="10" fontId="35" fillId="0" borderId="0" xfId="4" applyNumberFormat="1" applyFont="1" applyFill="1" applyBorder="1" applyAlignment="1">
      <alignment vertical="center"/>
    </xf>
    <xf numFmtId="10" fontId="35" fillId="0" borderId="0" xfId="4" applyNumberFormat="1" applyFont="1" applyFill="1" applyBorder="1"/>
    <xf numFmtId="167" fontId="24" fillId="0" borderId="0" xfId="3" applyNumberFormat="1" applyFont="1"/>
    <xf numFmtId="10" fontId="24" fillId="0" borderId="0" xfId="4" applyNumberFormat="1" applyFont="1" applyFill="1" applyBorder="1" applyAlignment="1">
      <alignment vertical="center"/>
    </xf>
    <xf numFmtId="10" fontId="24" fillId="0" borderId="0" xfId="4" applyNumberFormat="1" applyFont="1" applyFill="1" applyBorder="1"/>
    <xf numFmtId="167" fontId="24" fillId="0" borderId="108" xfId="3" applyNumberFormat="1" applyFont="1" applyBorder="1"/>
    <xf numFmtId="10" fontId="24" fillId="0" borderId="108" xfId="4" applyNumberFormat="1" applyFont="1" applyFill="1" applyBorder="1"/>
    <xf numFmtId="10" fontId="24" fillId="0" borderId="108" xfId="4" applyNumberFormat="1" applyFont="1" applyBorder="1"/>
    <xf numFmtId="167" fontId="24" fillId="0" borderId="0" xfId="3" applyNumberFormat="1" applyFont="1" applyBorder="1"/>
    <xf numFmtId="10" fontId="35" fillId="0" borderId="0" xfId="4" applyNumberFormat="1" applyFont="1" applyFill="1" applyBorder="1" applyAlignment="1">
      <alignment vertical="top"/>
    </xf>
    <xf numFmtId="10" fontId="24" fillId="0" borderId="108" xfId="4" applyNumberFormat="1" applyFont="1" applyFill="1" applyBorder="1" applyAlignment="1">
      <alignment vertical="center"/>
    </xf>
    <xf numFmtId="0" fontId="24" fillId="0" borderId="0" xfId="0" applyFont="1" applyFill="1" applyBorder="1" applyAlignment="1">
      <alignment vertical="center"/>
    </xf>
    <xf numFmtId="260" fontId="35" fillId="0" borderId="0" xfId="3" applyNumberFormat="1" applyFont="1" applyFill="1" applyBorder="1" applyAlignment="1">
      <alignment horizontal="right" vertical="top"/>
    </xf>
    <xf numFmtId="260" fontId="24" fillId="0" borderId="0" xfId="3" applyFont="1" applyFill="1" applyAlignment="1">
      <alignment vertical="top"/>
    </xf>
    <xf numFmtId="260" fontId="35" fillId="0" borderId="0" xfId="3" applyNumberFormat="1" applyFont="1" applyFill="1" applyBorder="1" applyAlignment="1">
      <alignment vertical="top"/>
    </xf>
    <xf numFmtId="0" fontId="35" fillId="0" borderId="0" xfId="0" applyNumberFormat="1" applyFont="1" applyFill="1" applyAlignment="1"/>
    <xf numFmtId="260" fontId="35" fillId="0" borderId="9" xfId="3" applyFont="1" applyFill="1" applyBorder="1" applyAlignment="1">
      <alignment vertical="top"/>
    </xf>
    <xf numFmtId="260" fontId="35" fillId="0" borderId="9" xfId="3" applyNumberFormat="1" applyFont="1" applyFill="1" applyBorder="1" applyAlignment="1">
      <alignment vertical="top"/>
    </xf>
    <xf numFmtId="2" fontId="24" fillId="0" borderId="0" xfId="4" applyNumberFormat="1" applyFont="1" applyFill="1"/>
    <xf numFmtId="10" fontId="24" fillId="0" borderId="0" xfId="4" applyNumberFormat="1" applyFont="1" applyFill="1"/>
    <xf numFmtId="2" fontId="24" fillId="0" borderId="0" xfId="3" applyNumberFormat="1" applyFont="1" applyFill="1" applyBorder="1" applyAlignment="1">
      <alignment vertical="top"/>
    </xf>
    <xf numFmtId="0" fontId="24" fillId="0" borderId="0" xfId="0" applyNumberFormat="1" applyFont="1" applyFill="1" applyAlignment="1"/>
    <xf numFmtId="260" fontId="24" fillId="0" borderId="126" xfId="3" applyFont="1" applyFill="1" applyBorder="1" applyAlignment="1">
      <alignment vertical="top"/>
    </xf>
    <xf numFmtId="10" fontId="24" fillId="0" borderId="0" xfId="4" applyNumberFormat="1" applyFont="1" applyFill="1" applyAlignment="1">
      <alignment vertical="top"/>
    </xf>
    <xf numFmtId="0" fontId="249" fillId="0" borderId="0" xfId="0" applyFont="1" applyFill="1" applyAlignment="1">
      <alignment horizontal="left" vertical="top" indent="1"/>
    </xf>
    <xf numFmtId="282" fontId="249" fillId="0" borderId="0" xfId="3" applyNumberFormat="1" applyFont="1" applyFill="1"/>
    <xf numFmtId="280" fontId="249" fillId="0" borderId="0" xfId="3" applyNumberFormat="1" applyFont="1" applyFill="1"/>
    <xf numFmtId="281" fontId="249" fillId="0" borderId="0" xfId="3" applyNumberFormat="1" applyFont="1" applyFill="1"/>
    <xf numFmtId="260" fontId="249" fillId="0" borderId="0" xfId="3" applyNumberFormat="1" applyFont="1" applyFill="1"/>
    <xf numFmtId="4" fontId="249" fillId="0" borderId="0" xfId="0" applyNumberFormat="1" applyFont="1" applyFill="1" applyAlignment="1">
      <alignment vertical="top"/>
    </xf>
    <xf numFmtId="260" fontId="249" fillId="0" borderId="0" xfId="3" applyFont="1" applyFill="1" applyAlignment="1">
      <alignment horizontal="right"/>
    </xf>
    <xf numFmtId="260" fontId="249" fillId="0" borderId="9" xfId="3" applyFont="1" applyFill="1" applyBorder="1" applyAlignment="1">
      <alignment horizontal="right"/>
    </xf>
    <xf numFmtId="49" fontId="249" fillId="0" borderId="0" xfId="0" applyNumberFormat="1" applyFont="1" applyFill="1" applyBorder="1" applyAlignment="1">
      <alignment horizontal="center" vertical="center"/>
    </xf>
    <xf numFmtId="228" fontId="249" fillId="0" borderId="125" xfId="3" applyNumberFormat="1" applyFont="1" applyFill="1" applyBorder="1" applyAlignment="1">
      <alignment vertical="top"/>
    </xf>
    <xf numFmtId="228" fontId="249" fillId="0" borderId="51" xfId="3" applyNumberFormat="1" applyFont="1" applyFill="1" applyBorder="1" applyAlignment="1">
      <alignment vertical="top"/>
    </xf>
    <xf numFmtId="228" fontId="249" fillId="0" borderId="42" xfId="3" applyNumberFormat="1" applyFont="1" applyFill="1" applyBorder="1" applyAlignment="1"/>
    <xf numFmtId="228" fontId="249" fillId="0" borderId="42" xfId="3" applyNumberFormat="1" applyFont="1" applyFill="1" applyBorder="1" applyAlignment="1">
      <alignment vertical="top"/>
    </xf>
    <xf numFmtId="279" fontId="251" fillId="0" borderId="0" xfId="3" applyNumberFormat="1" applyFont="1" applyFill="1"/>
    <xf numFmtId="0" fontId="24" fillId="0" borderId="0" xfId="0" applyNumberFormat="1" applyFont="1" applyFill="1" applyBorder="1" applyAlignment="1">
      <alignment horizontal="center" vertical="center" wrapText="1"/>
    </xf>
    <xf numFmtId="37" fontId="251" fillId="0" borderId="0" xfId="0" applyNumberFormat="1" applyFont="1" applyFill="1" applyBorder="1" applyAlignment="1">
      <alignment horizontal="right"/>
    </xf>
    <xf numFmtId="167" fontId="249" fillId="0" borderId="0" xfId="3" quotePrefix="1" applyNumberFormat="1" applyFont="1" applyFill="1" applyAlignment="1">
      <alignment horizontal="center"/>
    </xf>
    <xf numFmtId="167" fontId="249" fillId="0" borderId="0" xfId="3" applyNumberFormat="1" applyFont="1" applyFill="1" applyAlignment="1">
      <alignment horizontal="center"/>
    </xf>
    <xf numFmtId="167" fontId="249" fillId="0" borderId="0" xfId="31" quotePrefix="1" applyNumberFormat="1" applyFont="1" applyFill="1" applyAlignment="1">
      <alignment horizontal="center"/>
    </xf>
    <xf numFmtId="167" fontId="249" fillId="0" borderId="0" xfId="31" applyNumberFormat="1" applyFont="1" applyFill="1" applyAlignment="1">
      <alignment horizontal="center"/>
    </xf>
    <xf numFmtId="0" fontId="249" fillId="0" borderId="0" xfId="0" applyFont="1" applyFill="1" applyAlignment="1" applyProtection="1">
      <alignment horizontal="center"/>
      <protection locked="0"/>
    </xf>
    <xf numFmtId="167" fontId="249" fillId="0" borderId="0" xfId="19" quotePrefix="1" applyNumberFormat="1" applyFont="1" applyFill="1" applyAlignment="1">
      <alignment horizontal="center"/>
    </xf>
    <xf numFmtId="0" fontId="262" fillId="0" borderId="0" xfId="19" applyFont="1" applyFill="1" applyAlignment="1">
      <alignment horizontal="center"/>
    </xf>
    <xf numFmtId="0" fontId="249" fillId="0" borderId="0" xfId="0" applyFont="1" applyFill="1" applyAlignment="1">
      <alignment horizontal="center"/>
    </xf>
    <xf numFmtId="49" fontId="249" fillId="0" borderId="128" xfId="0" applyNumberFormat="1" applyFont="1" applyFill="1" applyBorder="1" applyAlignment="1">
      <alignment horizontal="center" vertical="center"/>
    </xf>
    <xf numFmtId="49" fontId="249" fillId="0" borderId="0" xfId="0" applyNumberFormat="1" applyFont="1" applyFill="1" applyBorder="1" applyAlignment="1">
      <alignment horizontal="center" vertical="center"/>
    </xf>
    <xf numFmtId="49" fontId="249" fillId="0" borderId="130" xfId="0" applyNumberFormat="1" applyFont="1" applyFill="1" applyBorder="1" applyAlignment="1">
      <alignment horizontal="center" vertical="center"/>
    </xf>
    <xf numFmtId="49" fontId="36" fillId="0" borderId="0" xfId="0" applyNumberFormat="1" applyFont="1" applyFill="1" applyBorder="1" applyAlignment="1">
      <alignment horizontal="center" vertical="top"/>
    </xf>
    <xf numFmtId="49" fontId="36" fillId="0" borderId="0" xfId="0" applyNumberFormat="1" applyFont="1" applyFill="1" applyBorder="1" applyAlignment="1">
      <alignment horizontal="center" vertical="center"/>
    </xf>
    <xf numFmtId="167" fontId="36" fillId="0" borderId="0" xfId="3" quotePrefix="1" applyNumberFormat="1" applyFont="1" applyFill="1" applyAlignment="1">
      <alignment horizontal="center"/>
    </xf>
    <xf numFmtId="167" fontId="36" fillId="7" borderId="0" xfId="3" applyNumberFormat="1" applyFont="1" applyFill="1" applyAlignment="1">
      <alignment horizontal="center"/>
    </xf>
    <xf numFmtId="167" fontId="36" fillId="0" borderId="0" xfId="3" quotePrefix="1" applyNumberFormat="1" applyFont="1" applyFill="1" applyAlignment="1"/>
    <xf numFmtId="167" fontId="249" fillId="0" borderId="0" xfId="3" quotePrefix="1" applyNumberFormat="1" applyFont="1" applyFill="1" applyBorder="1" applyAlignment="1"/>
    <xf numFmtId="49" fontId="249" fillId="0" borderId="0" xfId="0" applyNumberFormat="1" applyFont="1" applyFill="1" applyBorder="1" applyAlignment="1">
      <alignment horizontal="center" vertical="top"/>
    </xf>
    <xf numFmtId="0" fontId="249" fillId="0" borderId="122" xfId="1730" applyFont="1" applyFill="1" applyBorder="1" applyAlignment="1" applyProtection="1">
      <alignment horizontal="center"/>
    </xf>
    <xf numFmtId="0" fontId="249" fillId="0" borderId="108" xfId="1730" applyFont="1" applyFill="1" applyBorder="1" applyAlignment="1" applyProtection="1">
      <alignment horizontal="center"/>
    </xf>
    <xf numFmtId="0" fontId="249" fillId="0" borderId="123" xfId="1730" applyFont="1" applyFill="1" applyBorder="1" applyAlignment="1" applyProtection="1">
      <alignment horizontal="center"/>
    </xf>
    <xf numFmtId="0" fontId="249" fillId="0" borderId="120" xfId="848" applyNumberFormat="1" applyFont="1" applyFill="1" applyBorder="1" applyAlignment="1">
      <alignment horizontal="center" vertical="center" wrapText="1"/>
    </xf>
    <xf numFmtId="0" fontId="249" fillId="0" borderId="104" xfId="848" applyNumberFormat="1" applyFont="1" applyFill="1" applyBorder="1" applyAlignment="1">
      <alignment horizontal="center" vertical="center" wrapText="1"/>
    </xf>
    <xf numFmtId="0" fontId="262" fillId="0" borderId="0" xfId="0" applyFont="1" applyFill="1" applyBorder="1" applyAlignment="1">
      <alignment horizontal="center" vertical="top"/>
    </xf>
    <xf numFmtId="0" fontId="249" fillId="0" borderId="0" xfId="0" quotePrefix="1" applyFont="1" applyFill="1" applyAlignment="1">
      <alignment horizontal="center"/>
    </xf>
    <xf numFmtId="0" fontId="251" fillId="0" borderId="0" xfId="0" applyFont="1" applyFill="1" applyAlignment="1" applyProtection="1">
      <alignment horizontal="center"/>
      <protection locked="0"/>
    </xf>
    <xf numFmtId="49" fontId="249" fillId="0" borderId="128" xfId="0" applyNumberFormat="1" applyFont="1" applyFill="1" applyBorder="1" applyAlignment="1">
      <alignment horizontal="center" vertical="top"/>
    </xf>
    <xf numFmtId="167" fontId="249" fillId="0" borderId="0" xfId="3" quotePrefix="1" applyNumberFormat="1" applyFont="1" applyFill="1" applyAlignment="1">
      <alignment horizontal="center" vertical="top"/>
    </xf>
    <xf numFmtId="167" fontId="249" fillId="0" borderId="0" xfId="3" applyNumberFormat="1" applyFont="1" applyFill="1" applyAlignment="1">
      <alignment horizontal="center" vertical="top"/>
    </xf>
    <xf numFmtId="0" fontId="265" fillId="0" borderId="0" xfId="0" applyFont="1" applyFill="1" applyBorder="1" applyAlignment="1">
      <alignment horizontal="center" vertical="top"/>
    </xf>
    <xf numFmtId="0" fontId="265" fillId="0" borderId="0" xfId="0" applyFont="1" applyFill="1" applyBorder="1" applyAlignment="1">
      <alignment horizontal="left" vertical="top"/>
    </xf>
    <xf numFmtId="0" fontId="184" fillId="0" borderId="0" xfId="68" applyFont="1" applyFill="1" applyAlignment="1">
      <alignment horizontal="justify" vertical="top"/>
    </xf>
    <xf numFmtId="37" fontId="251" fillId="0" borderId="0" xfId="0" applyNumberFormat="1" applyFont="1" applyFill="1" applyBorder="1" applyAlignment="1" applyProtection="1">
      <alignment horizontal="justify" vertical="top" wrapText="1"/>
    </xf>
    <xf numFmtId="0" fontId="251" fillId="0" borderId="0" xfId="1" quotePrefix="1" applyFont="1" applyFill="1" applyAlignment="1">
      <alignment horizontal="justify" vertical="top" wrapText="1"/>
    </xf>
    <xf numFmtId="0" fontId="251" fillId="0" borderId="0" xfId="0" quotePrefix="1" applyFont="1" applyFill="1" applyAlignment="1">
      <alignment horizontal="justify" vertical="top"/>
    </xf>
    <xf numFmtId="0" fontId="251" fillId="0" borderId="0" xfId="0" applyFont="1" applyFill="1" applyAlignment="1">
      <alignment horizontal="justify" vertical="top"/>
    </xf>
    <xf numFmtId="0" fontId="251" fillId="0" borderId="0" xfId="0" applyFont="1" applyFill="1" applyAlignment="1">
      <alignment vertical="top" wrapText="1"/>
    </xf>
    <xf numFmtId="0" fontId="251" fillId="0" borderId="0" xfId="0" applyFont="1" applyFill="1" applyAlignment="1">
      <alignment horizontal="left" vertical="top" wrapText="1"/>
    </xf>
    <xf numFmtId="0" fontId="251" fillId="0" borderId="0" xfId="0" quotePrefix="1" applyFont="1" applyFill="1" applyAlignment="1">
      <alignment horizontal="left" vertical="top" wrapText="1"/>
    </xf>
    <xf numFmtId="0" fontId="251" fillId="0" borderId="0" xfId="0" applyNumberFormat="1" applyFont="1" applyFill="1" applyAlignment="1">
      <alignment horizontal="justify" vertical="top" wrapText="1"/>
    </xf>
    <xf numFmtId="180" fontId="251" fillId="0" borderId="0" xfId="0" applyNumberFormat="1" applyFont="1" applyFill="1" applyAlignment="1">
      <alignment horizontal="justify" vertical="top" wrapText="1"/>
    </xf>
    <xf numFmtId="0" fontId="251" fillId="0" borderId="0" xfId="0" applyFont="1" applyFill="1" applyBorder="1" applyAlignment="1" applyProtection="1">
      <alignment horizontal="left" vertical="top" wrapText="1"/>
    </xf>
    <xf numFmtId="0" fontId="249" fillId="0" borderId="119" xfId="0" quotePrefix="1" applyNumberFormat="1" applyFont="1" applyFill="1" applyBorder="1" applyAlignment="1">
      <alignment horizontal="center" vertical="center"/>
    </xf>
    <xf numFmtId="0" fontId="249" fillId="0" borderId="0" xfId="0" applyNumberFormat="1" applyFont="1" applyFill="1" applyAlignment="1">
      <alignment horizontal="justify" vertical="top"/>
    </xf>
    <xf numFmtId="0" fontId="249" fillId="0" borderId="0" xfId="0" applyFont="1" applyFill="1" applyAlignment="1">
      <alignment horizontal="justify" vertical="top"/>
    </xf>
    <xf numFmtId="10" fontId="249" fillId="0" borderId="104" xfId="4" applyNumberFormat="1" applyFont="1" applyFill="1" applyBorder="1" applyAlignment="1">
      <alignment horizontal="center" wrapText="1"/>
    </xf>
    <xf numFmtId="0" fontId="249" fillId="0" borderId="120" xfId="0" applyNumberFormat="1" applyFont="1" applyFill="1" applyBorder="1" applyAlignment="1">
      <alignment horizontal="center" wrapText="1"/>
    </xf>
    <xf numFmtId="0" fontId="249" fillId="0" borderId="7" xfId="0" applyNumberFormat="1" applyFont="1" applyFill="1" applyBorder="1" applyAlignment="1">
      <alignment horizontal="center" wrapText="1"/>
    </xf>
    <xf numFmtId="2" fontId="249" fillId="0" borderId="104" xfId="3" applyNumberFormat="1" applyFont="1" applyFill="1" applyBorder="1" applyAlignment="1">
      <alignment horizontal="center" wrapText="1"/>
    </xf>
    <xf numFmtId="0" fontId="249" fillId="0" borderId="104" xfId="0" applyNumberFormat="1" applyFont="1" applyFill="1" applyBorder="1" applyAlignment="1">
      <alignment horizontal="center" wrapText="1"/>
    </xf>
    <xf numFmtId="0" fontId="249" fillId="0" borderId="122" xfId="0" applyNumberFormat="1" applyFont="1" applyFill="1" applyBorder="1" applyAlignment="1">
      <alignment horizontal="center" wrapText="1"/>
    </xf>
    <xf numFmtId="0" fontId="249" fillId="0" borderId="108" xfId="0" applyNumberFormat="1" applyFont="1" applyFill="1" applyBorder="1" applyAlignment="1">
      <alignment horizontal="center" wrapText="1"/>
    </xf>
    <xf numFmtId="0" fontId="249" fillId="0" borderId="123" xfId="0" applyNumberFormat="1" applyFont="1" applyFill="1" applyBorder="1" applyAlignment="1">
      <alignment horizontal="center" wrapText="1"/>
    </xf>
    <xf numFmtId="0" fontId="249" fillId="0" borderId="10" xfId="0" applyNumberFormat="1" applyFont="1" applyFill="1" applyBorder="1" applyAlignment="1">
      <alignment horizontal="center" wrapText="1"/>
    </xf>
    <xf numFmtId="37" fontId="249" fillId="0" borderId="0" xfId="40378" quotePrefix="1" applyNumberFormat="1" applyFont="1" applyFill="1" applyAlignment="1" applyProtection="1">
      <alignment horizontal="center" vertical="center" wrapText="1"/>
    </xf>
    <xf numFmtId="0" fontId="249" fillId="0" borderId="129" xfId="30" applyFont="1" applyBorder="1" applyAlignment="1">
      <alignment horizontal="center" wrapText="1"/>
    </xf>
    <xf numFmtId="0" fontId="249" fillId="0" borderId="5" xfId="30" applyFont="1" applyBorder="1" applyAlignment="1">
      <alignment horizontal="center" wrapText="1"/>
    </xf>
    <xf numFmtId="0" fontId="249" fillId="0" borderId="52" xfId="30" applyFont="1" applyBorder="1" applyAlignment="1">
      <alignment horizontal="center" wrapText="1"/>
    </xf>
    <xf numFmtId="0" fontId="249" fillId="0" borderId="122" xfId="30" applyFont="1" applyFill="1" applyBorder="1" applyAlignment="1">
      <alignment horizontal="center"/>
    </xf>
    <xf numFmtId="0" fontId="251" fillId="0" borderId="122" xfId="0" applyFont="1" applyFill="1" applyBorder="1" applyAlignment="1">
      <alignment horizontal="center"/>
    </xf>
    <xf numFmtId="37" fontId="249" fillId="0" borderId="130" xfId="40378" quotePrefix="1" applyNumberFormat="1" applyFont="1" applyFill="1" applyBorder="1" applyAlignment="1" applyProtection="1">
      <alignment horizontal="center" vertical="center" wrapText="1"/>
    </xf>
    <xf numFmtId="0" fontId="249" fillId="0" borderId="59" xfId="3" applyNumberFormat="1" applyFont="1" applyFill="1" applyBorder="1" applyAlignment="1">
      <alignment horizontal="center" wrapText="1"/>
    </xf>
    <xf numFmtId="0" fontId="249" fillId="0" borderId="7" xfId="3" applyNumberFormat="1" applyFont="1" applyFill="1" applyBorder="1" applyAlignment="1">
      <alignment horizontal="center" wrapText="1"/>
    </xf>
    <xf numFmtId="0" fontId="249" fillId="0" borderId="64" xfId="3" applyNumberFormat="1" applyFont="1" applyFill="1" applyBorder="1" applyAlignment="1">
      <alignment horizontal="center" wrapText="1"/>
    </xf>
    <xf numFmtId="0" fontId="249" fillId="0" borderId="64" xfId="0" applyNumberFormat="1" applyFont="1" applyFill="1" applyBorder="1" applyAlignment="1">
      <alignment horizontal="center" wrapText="1"/>
    </xf>
    <xf numFmtId="167" fontId="249" fillId="0" borderId="122" xfId="40371" applyNumberFormat="1" applyFont="1" applyFill="1" applyBorder="1" applyAlignment="1">
      <alignment horizontal="center" vertical="center"/>
    </xf>
    <xf numFmtId="167" fontId="249" fillId="0" borderId="108" xfId="40371" applyNumberFormat="1" applyFont="1" applyFill="1" applyBorder="1" applyAlignment="1">
      <alignment horizontal="center" vertical="center"/>
    </xf>
    <xf numFmtId="167" fontId="249" fillId="0" borderId="123" xfId="40371" applyNumberFormat="1" applyFont="1" applyFill="1" applyBorder="1" applyAlignment="1">
      <alignment horizontal="center" vertical="center"/>
    </xf>
    <xf numFmtId="0" fontId="249" fillId="0" borderId="120" xfId="30" applyFont="1" applyFill="1" applyBorder="1" applyAlignment="1">
      <alignment horizontal="center" wrapText="1"/>
    </xf>
    <xf numFmtId="0" fontId="249" fillId="0" borderId="7" xfId="30" applyFont="1" applyFill="1" applyBorder="1" applyAlignment="1">
      <alignment horizontal="center" wrapText="1"/>
    </xf>
    <xf numFmtId="0" fontId="249" fillId="0" borderId="10" xfId="30" applyFont="1" applyFill="1" applyBorder="1" applyAlignment="1">
      <alignment horizontal="center" wrapText="1"/>
    </xf>
    <xf numFmtId="0" fontId="249" fillId="0" borderId="119" xfId="0" applyNumberFormat="1" applyFont="1" applyFill="1" applyBorder="1" applyAlignment="1">
      <alignment horizontal="center" vertical="center"/>
    </xf>
    <xf numFmtId="0" fontId="249" fillId="0" borderId="53" xfId="0" applyNumberFormat="1" applyFont="1" applyFill="1" applyBorder="1" applyAlignment="1">
      <alignment horizontal="center" vertical="center"/>
    </xf>
    <xf numFmtId="0" fontId="249" fillId="0" borderId="121" xfId="0" applyNumberFormat="1" applyFont="1" applyFill="1" applyBorder="1" applyAlignment="1">
      <alignment horizontal="center" wrapText="1"/>
    </xf>
    <xf numFmtId="0" fontId="249" fillId="0" borderId="5" xfId="0" applyNumberFormat="1" applyFont="1" applyFill="1" applyBorder="1" applyAlignment="1">
      <alignment horizontal="center" wrapText="1"/>
    </xf>
    <xf numFmtId="0" fontId="249" fillId="0" borderId="127" xfId="0" applyNumberFormat="1" applyFont="1" applyFill="1" applyBorder="1" applyAlignment="1">
      <alignment horizontal="center" wrapText="1"/>
    </xf>
    <xf numFmtId="167" fontId="249" fillId="0" borderId="122" xfId="40371" applyNumberFormat="1" applyFont="1" applyFill="1" applyBorder="1" applyAlignment="1">
      <alignment horizontal="center"/>
    </xf>
    <xf numFmtId="167" fontId="249" fillId="0" borderId="108" xfId="40371" applyNumberFormat="1" applyFont="1" applyFill="1" applyBorder="1" applyAlignment="1">
      <alignment horizontal="center"/>
    </xf>
    <xf numFmtId="167" fontId="249" fillId="0" borderId="123" xfId="40371" applyNumberFormat="1" applyFont="1" applyFill="1" applyBorder="1" applyAlignment="1">
      <alignment horizontal="center"/>
    </xf>
    <xf numFmtId="0" fontId="251" fillId="0" borderId="0" xfId="0" applyFont="1" applyFill="1" applyAlignment="1">
      <alignment horizontal="justify" vertical="top" wrapText="1"/>
    </xf>
    <xf numFmtId="0" fontId="251" fillId="0" borderId="0" xfId="0" quotePrefix="1" applyFont="1" applyFill="1" applyAlignment="1">
      <alignment horizontal="justify" vertical="top" wrapText="1"/>
    </xf>
    <xf numFmtId="0" fontId="251" fillId="0" borderId="0" xfId="40390" applyFont="1" applyFill="1" applyAlignment="1">
      <alignment horizontal="left" vertical="top" wrapText="1"/>
    </xf>
    <xf numFmtId="0" fontId="0" fillId="0" borderId="0" xfId="0" applyFill="1" applyAlignment="1">
      <alignment horizontal="left" vertical="top" wrapText="1"/>
    </xf>
    <xf numFmtId="0" fontId="251" fillId="0" borderId="0" xfId="40390" applyFont="1" applyAlignment="1">
      <alignment horizontal="left" vertical="top" wrapText="1"/>
    </xf>
    <xf numFmtId="0" fontId="251" fillId="0" borderId="0" xfId="40390" applyFont="1" applyAlignment="1">
      <alignment horizontal="left" vertical="top"/>
    </xf>
    <xf numFmtId="0" fontId="23" fillId="0" borderId="0" xfId="0" applyFont="1" applyFill="1" applyAlignment="1">
      <alignment horizontal="left" wrapText="1"/>
    </xf>
    <xf numFmtId="167" fontId="209" fillId="0" borderId="0" xfId="40371" quotePrefix="1" applyNumberFormat="1" applyFont="1" applyFill="1" applyBorder="1" applyAlignment="1">
      <alignment horizontal="center" vertical="center"/>
    </xf>
    <xf numFmtId="0" fontId="209" fillId="0" borderId="104" xfId="30" applyFont="1" applyFill="1" applyBorder="1" applyAlignment="1">
      <alignment horizontal="center" vertical="center"/>
    </xf>
    <xf numFmtId="0" fontId="208" fillId="0" borderId="104" xfId="0" applyFont="1" applyBorder="1" applyAlignment="1">
      <alignment horizontal="center"/>
    </xf>
    <xf numFmtId="167" fontId="209" fillId="0" borderId="104" xfId="40371" applyNumberFormat="1" applyFont="1" applyFill="1" applyBorder="1" applyAlignment="1">
      <alignment horizontal="center" vertical="center"/>
    </xf>
    <xf numFmtId="0" fontId="209" fillId="0" borderId="104" xfId="30" applyFont="1" applyFill="1" applyBorder="1" applyAlignment="1">
      <alignment horizontal="center" vertical="center" wrapText="1"/>
    </xf>
    <xf numFmtId="0" fontId="208" fillId="0" borderId="104" xfId="0" applyFont="1" applyBorder="1" applyAlignment="1">
      <alignment wrapText="1"/>
    </xf>
    <xf numFmtId="0" fontId="209" fillId="0" borderId="104" xfId="23807" applyNumberFormat="1" applyFont="1" applyFill="1" applyBorder="1" applyAlignment="1" applyProtection="1">
      <alignment horizontal="center" vertical="center" wrapText="1"/>
      <protection locked="0"/>
    </xf>
    <xf numFmtId="0" fontId="209" fillId="0" borderId="125" xfId="1730" applyFont="1" applyFill="1" applyBorder="1" applyAlignment="1" applyProtection="1">
      <alignment horizontal="center" vertical="top"/>
    </xf>
    <xf numFmtId="0" fontId="209" fillId="0" borderId="119" xfId="1730" applyFont="1" applyFill="1" applyBorder="1" applyAlignment="1" applyProtection="1">
      <alignment horizontal="center" vertical="top"/>
    </xf>
    <xf numFmtId="0" fontId="209" fillId="0" borderId="121" xfId="1730" applyFont="1" applyFill="1" applyBorder="1" applyAlignment="1" applyProtection="1">
      <alignment horizontal="center" vertical="top"/>
    </xf>
    <xf numFmtId="0" fontId="209" fillId="0" borderId="42" xfId="1730" applyFont="1" applyFill="1" applyBorder="1" applyAlignment="1" applyProtection="1">
      <alignment horizontal="center" vertical="top"/>
    </xf>
    <xf numFmtId="0" fontId="209" fillId="0" borderId="2" xfId="1730" applyFont="1" applyFill="1" applyBorder="1" applyAlignment="1" applyProtection="1">
      <alignment horizontal="center" vertical="top"/>
    </xf>
    <xf numFmtId="0" fontId="209" fillId="0" borderId="52" xfId="1730" applyFont="1" applyFill="1" applyBorder="1" applyAlignment="1" applyProtection="1">
      <alignment horizontal="center" vertical="top"/>
    </xf>
    <xf numFmtId="0" fontId="209" fillId="0" borderId="0" xfId="1730" quotePrefix="1" applyFont="1" applyFill="1" applyBorder="1" applyAlignment="1" applyProtection="1">
      <alignment horizontal="center" vertical="top"/>
    </xf>
    <xf numFmtId="49" fontId="209" fillId="0" borderId="0" xfId="0" applyNumberFormat="1" applyFont="1" applyFill="1" applyBorder="1" applyAlignment="1">
      <alignment horizontal="center" vertical="center"/>
    </xf>
    <xf numFmtId="167" fontId="209" fillId="0" borderId="0" xfId="3" quotePrefix="1" applyNumberFormat="1" applyFont="1" applyFill="1" applyAlignment="1"/>
    <xf numFmtId="0" fontId="25" fillId="0" borderId="0" xfId="26639" applyFont="1" applyAlignment="1">
      <alignment horizontal="left" wrapText="1"/>
    </xf>
    <xf numFmtId="49" fontId="36" fillId="0" borderId="2" xfId="0" applyNumberFormat="1" applyFont="1" applyFill="1" applyBorder="1" applyAlignment="1">
      <alignment horizontal="center" vertical="center"/>
    </xf>
    <xf numFmtId="0" fontId="0" fillId="0" borderId="0" xfId="0" applyAlignment="1">
      <alignment horizontal="left" wrapText="1"/>
    </xf>
    <xf numFmtId="0" fontId="242" fillId="0" borderId="120" xfId="3" applyNumberFormat="1" applyFont="1" applyFill="1" applyBorder="1" applyAlignment="1">
      <alignment horizontal="center" vertical="center" wrapText="1"/>
    </xf>
    <xf numFmtId="0" fontId="242" fillId="0" borderId="7" xfId="3" applyNumberFormat="1" applyFont="1" applyFill="1" applyBorder="1" applyAlignment="1">
      <alignment horizontal="center" vertical="center" wrapText="1"/>
    </xf>
    <xf numFmtId="0" fontId="242" fillId="0" borderId="10" xfId="3" applyNumberFormat="1" applyFont="1" applyFill="1" applyBorder="1" applyAlignment="1">
      <alignment horizontal="center" vertical="center" wrapText="1"/>
    </xf>
    <xf numFmtId="0" fontId="242" fillId="0" borderId="125" xfId="0" applyNumberFormat="1" applyFont="1" applyFill="1" applyBorder="1" applyAlignment="1">
      <alignment horizontal="center" vertical="center" wrapText="1"/>
    </xf>
    <xf numFmtId="0" fontId="242" fillId="0" borderId="121" xfId="0" applyNumberFormat="1" applyFont="1" applyFill="1" applyBorder="1" applyAlignment="1">
      <alignment horizontal="center" vertical="center" wrapText="1"/>
    </xf>
    <xf numFmtId="0" fontId="242" fillId="0" borderId="42" xfId="0" applyNumberFormat="1" applyFont="1" applyFill="1" applyBorder="1" applyAlignment="1">
      <alignment horizontal="center" vertical="center" wrapText="1"/>
    </xf>
    <xf numFmtId="0" fontId="242" fillId="0" borderId="127" xfId="0" applyNumberFormat="1" applyFont="1" applyFill="1" applyBorder="1" applyAlignment="1">
      <alignment horizontal="center" vertical="center" wrapText="1"/>
    </xf>
    <xf numFmtId="0" fontId="242" fillId="0" borderId="122" xfId="0" applyNumberFormat="1" applyFont="1" applyFill="1" applyBorder="1" applyAlignment="1">
      <alignment horizontal="center" vertical="center" wrapText="1"/>
    </xf>
    <xf numFmtId="0" fontId="242" fillId="0" borderId="108" xfId="0" applyNumberFormat="1" applyFont="1" applyFill="1" applyBorder="1" applyAlignment="1">
      <alignment horizontal="center" vertical="center" wrapText="1"/>
    </xf>
    <xf numFmtId="0" fontId="242" fillId="0" borderId="123" xfId="0" applyNumberFormat="1" applyFont="1" applyFill="1" applyBorder="1" applyAlignment="1">
      <alignment horizontal="center" vertical="center" wrapText="1"/>
    </xf>
    <xf numFmtId="0" fontId="242" fillId="0" borderId="120" xfId="0" applyNumberFormat="1" applyFont="1" applyFill="1" applyBorder="1" applyAlignment="1">
      <alignment horizontal="center" vertical="center" wrapText="1"/>
    </xf>
    <xf numFmtId="0" fontId="242" fillId="0" borderId="7" xfId="0" applyNumberFormat="1" applyFont="1" applyFill="1" applyBorder="1" applyAlignment="1">
      <alignment horizontal="center" vertical="center" wrapText="1"/>
    </xf>
    <xf numFmtId="0" fontId="242" fillId="0" borderId="10" xfId="0" applyNumberFormat="1" applyFont="1" applyFill="1" applyBorder="1" applyAlignment="1">
      <alignment horizontal="center" vertical="center" wrapText="1"/>
    </xf>
    <xf numFmtId="0" fontId="241" fillId="0" borderId="119" xfId="0" quotePrefix="1" applyNumberFormat="1" applyFont="1" applyFill="1" applyBorder="1" applyAlignment="1">
      <alignment horizontal="center" vertical="center"/>
    </xf>
    <xf numFmtId="0" fontId="242" fillId="0" borderId="119" xfId="0" quotePrefix="1" applyNumberFormat="1" applyFont="1" applyFill="1" applyBorder="1" applyAlignment="1">
      <alignment horizontal="center" vertical="center"/>
    </xf>
    <xf numFmtId="0" fontId="242" fillId="0" borderId="59" xfId="0" applyNumberFormat="1" applyFont="1" applyFill="1" applyBorder="1" applyAlignment="1">
      <alignment horizontal="center" vertical="center" wrapText="1"/>
    </xf>
    <xf numFmtId="0" fontId="241" fillId="0" borderId="7" xfId="0" applyNumberFormat="1" applyFont="1" applyFill="1" applyBorder="1" applyAlignment="1">
      <alignment horizontal="center" vertical="center" wrapText="1"/>
    </xf>
    <xf numFmtId="0" fontId="241" fillId="0" borderId="64" xfId="0" applyNumberFormat="1" applyFont="1" applyFill="1" applyBorder="1" applyAlignment="1">
      <alignment horizontal="center" vertical="center" wrapText="1"/>
    </xf>
    <xf numFmtId="0" fontId="24" fillId="0" borderId="0" xfId="0" applyFont="1" applyFill="1" applyAlignment="1">
      <alignment horizontal="left" wrapText="1"/>
    </xf>
    <xf numFmtId="0" fontId="241" fillId="0" borderId="0" xfId="0" quotePrefix="1" applyNumberFormat="1" applyFont="1" applyFill="1" applyBorder="1" applyAlignment="1">
      <alignment horizontal="center" vertical="center"/>
    </xf>
    <xf numFmtId="0" fontId="241" fillId="0" borderId="0" xfId="0" applyNumberFormat="1" applyFont="1" applyFill="1" applyAlignment="1">
      <alignment horizontal="center" vertical="center"/>
    </xf>
    <xf numFmtId="0" fontId="242" fillId="0" borderId="53" xfId="0" quotePrefix="1" applyNumberFormat="1" applyFont="1" applyFill="1" applyBorder="1" applyAlignment="1">
      <alignment horizontal="center" vertical="center"/>
    </xf>
    <xf numFmtId="0" fontId="242" fillId="0" borderId="53" xfId="0" applyNumberFormat="1" applyFont="1" applyFill="1" applyBorder="1" applyAlignment="1">
      <alignment horizontal="center" vertical="center"/>
    </xf>
    <xf numFmtId="0" fontId="242" fillId="0" borderId="64" xfId="0" applyNumberFormat="1" applyFont="1" applyFill="1" applyBorder="1" applyAlignment="1">
      <alignment horizontal="center" vertical="center" wrapText="1"/>
    </xf>
    <xf numFmtId="0" fontId="242" fillId="0" borderId="49" xfId="0" applyNumberFormat="1" applyFont="1" applyFill="1" applyBorder="1" applyAlignment="1">
      <alignment horizontal="center" vertical="center" wrapText="1"/>
    </xf>
    <xf numFmtId="0" fontId="242" fillId="0" borderId="58" xfId="0" applyNumberFormat="1" applyFont="1" applyFill="1" applyBorder="1" applyAlignment="1">
      <alignment horizontal="center" vertical="center" wrapText="1"/>
    </xf>
    <xf numFmtId="0" fontId="241" fillId="0" borderId="65" xfId="0" applyNumberFormat="1" applyFont="1" applyFill="1" applyBorder="1" applyAlignment="1">
      <alignment horizontal="center" vertical="center" wrapText="1"/>
    </xf>
    <xf numFmtId="0" fontId="241" fillId="0" borderId="66" xfId="0" applyNumberFormat="1" applyFont="1" applyFill="1" applyBorder="1" applyAlignment="1">
      <alignment horizontal="center" vertical="center" wrapText="1"/>
    </xf>
    <xf numFmtId="0" fontId="242" fillId="0" borderId="59" xfId="3" applyNumberFormat="1" applyFont="1" applyFill="1" applyBorder="1" applyAlignment="1">
      <alignment horizontal="center" vertical="center" wrapText="1"/>
    </xf>
    <xf numFmtId="0" fontId="242" fillId="0" borderId="64" xfId="3" applyNumberFormat="1" applyFont="1" applyFill="1" applyBorder="1" applyAlignment="1">
      <alignment horizontal="center" vertical="center" wrapText="1"/>
    </xf>
    <xf numFmtId="0" fontId="242" fillId="0" borderId="53" xfId="0" applyNumberFormat="1" applyFont="1" applyFill="1" applyBorder="1" applyAlignment="1">
      <alignment horizontal="center" vertical="center" wrapText="1"/>
    </xf>
    <xf numFmtId="0" fontId="77" fillId="0" borderId="119" xfId="0" applyFont="1" applyBorder="1" applyAlignment="1">
      <alignment horizontal="center"/>
    </xf>
    <xf numFmtId="0" fontId="242" fillId="0" borderId="51" xfId="0" applyNumberFormat="1" applyFont="1" applyFill="1" applyBorder="1" applyAlignment="1">
      <alignment horizontal="center" vertical="center" wrapText="1"/>
    </xf>
    <xf numFmtId="0" fontId="242" fillId="0" borderId="65" xfId="0" applyNumberFormat="1" applyFont="1" applyFill="1" applyBorder="1" applyAlignment="1">
      <alignment horizontal="center" vertical="center" wrapText="1"/>
    </xf>
    <xf numFmtId="0" fontId="0" fillId="0" borderId="0" xfId="0" applyFont="1" applyFill="1" applyAlignment="1">
      <alignment horizontal="justify" vertical="top"/>
    </xf>
    <xf numFmtId="0" fontId="251" fillId="0" borderId="0" xfId="40384" applyNumberFormat="1" applyFont="1" applyFill="1" applyAlignment="1">
      <alignment horizontal="justify" vertical="top"/>
    </xf>
    <xf numFmtId="37" fontId="249" fillId="0" borderId="0" xfId="40387" quotePrefix="1" applyNumberFormat="1" applyFont="1" applyFill="1" applyAlignment="1" applyProtection="1">
      <alignment horizontal="center" vertical="top" wrapText="1"/>
    </xf>
    <xf numFmtId="37" fontId="251" fillId="0" borderId="0" xfId="40387" applyNumberFormat="1" applyFont="1" applyFill="1" applyAlignment="1" applyProtection="1">
      <alignment horizontal="justify" vertical="top"/>
    </xf>
    <xf numFmtId="15" fontId="251" fillId="0" borderId="128" xfId="40373" quotePrefix="1" applyNumberFormat="1" applyFont="1" applyFill="1" applyBorder="1" applyAlignment="1">
      <alignment horizontal="center" vertical="top"/>
    </xf>
    <xf numFmtId="0" fontId="251" fillId="0" borderId="128" xfId="40373" applyFont="1" applyFill="1" applyBorder="1" applyAlignment="1">
      <alignment horizontal="center" vertical="top"/>
    </xf>
    <xf numFmtId="0" fontId="251" fillId="0" borderId="122" xfId="40372" quotePrefix="1" applyFont="1" applyFill="1" applyBorder="1" applyAlignment="1">
      <alignment horizontal="center" vertical="top"/>
    </xf>
    <xf numFmtId="0" fontId="251" fillId="0" borderId="108" xfId="40372" quotePrefix="1" applyFont="1" applyFill="1" applyBorder="1" applyAlignment="1">
      <alignment horizontal="center" vertical="top"/>
    </xf>
    <xf numFmtId="0" fontId="251" fillId="0" borderId="123" xfId="40372" quotePrefix="1" applyFont="1" applyFill="1" applyBorder="1" applyAlignment="1">
      <alignment horizontal="center" vertical="top"/>
    </xf>
    <xf numFmtId="0" fontId="251" fillId="0" borderId="120" xfId="2489" applyFont="1" applyFill="1" applyBorder="1" applyAlignment="1">
      <alignment horizontal="center" wrapText="1"/>
    </xf>
    <xf numFmtId="0" fontId="251" fillId="0" borderId="7" xfId="2489" applyFont="1" applyFill="1" applyBorder="1" applyAlignment="1">
      <alignment horizontal="center" wrapText="1"/>
    </xf>
    <xf numFmtId="0" fontId="251" fillId="0" borderId="10" xfId="2489" applyFont="1" applyFill="1" applyBorder="1" applyAlignment="1">
      <alignment horizontal="center" wrapText="1"/>
    </xf>
    <xf numFmtId="0" fontId="249" fillId="0" borderId="120" xfId="2489" quotePrefix="1" applyFont="1" applyFill="1" applyBorder="1" applyAlignment="1">
      <alignment horizontal="center" wrapText="1"/>
    </xf>
    <xf numFmtId="0" fontId="249" fillId="0" borderId="7" xfId="2489" quotePrefix="1" applyFont="1" applyFill="1" applyBorder="1" applyAlignment="1">
      <alignment horizontal="center" wrapText="1"/>
    </xf>
    <xf numFmtId="0" fontId="249" fillId="0" borderId="10" xfId="2489" quotePrefix="1" applyFont="1" applyFill="1" applyBorder="1" applyAlignment="1">
      <alignment horizontal="center" wrapText="1"/>
    </xf>
    <xf numFmtId="0" fontId="249" fillId="0" borderId="120" xfId="2489" applyFont="1" applyFill="1" applyBorder="1" applyAlignment="1">
      <alignment horizontal="center" wrapText="1"/>
    </xf>
    <xf numFmtId="0" fontId="249" fillId="0" borderId="7" xfId="2489" applyFont="1" applyFill="1" applyBorder="1" applyAlignment="1">
      <alignment horizontal="center" wrapText="1"/>
    </xf>
    <xf numFmtId="0" fontId="249" fillId="0" borderId="10" xfId="2489" applyFont="1" applyFill="1" applyBorder="1" applyAlignment="1">
      <alignment horizontal="center" wrapText="1"/>
    </xf>
    <xf numFmtId="0" fontId="249" fillId="0" borderId="130" xfId="40372" quotePrefix="1" applyFont="1" applyFill="1" applyBorder="1" applyAlignment="1">
      <alignment horizontal="center" vertical="top"/>
    </xf>
    <xf numFmtId="15" fontId="249" fillId="0" borderId="128" xfId="40373" quotePrefix="1" applyNumberFormat="1" applyFont="1" applyFill="1" applyBorder="1" applyAlignment="1">
      <alignment horizontal="center" vertical="top"/>
    </xf>
    <xf numFmtId="0" fontId="249" fillId="0" borderId="128" xfId="40373" applyFont="1" applyFill="1" applyBorder="1" applyAlignment="1">
      <alignment horizontal="center" vertical="top"/>
    </xf>
    <xf numFmtId="0" fontId="23" fillId="0" borderId="0" xfId="0" applyNumberFormat="1" applyFont="1" applyFill="1" applyAlignment="1">
      <alignment horizontal="left" vertical="top" wrapText="1"/>
    </xf>
    <xf numFmtId="0" fontId="251" fillId="0" borderId="0" xfId="0" applyFont="1" applyFill="1" applyAlignment="1">
      <alignment horizontal="left" vertical="top"/>
    </xf>
    <xf numFmtId="0" fontId="251" fillId="0" borderId="120" xfId="2489" quotePrefix="1" applyFont="1" applyFill="1" applyBorder="1" applyAlignment="1">
      <alignment horizontal="center" wrapText="1"/>
    </xf>
    <xf numFmtId="0" fontId="251" fillId="0" borderId="7" xfId="2489" quotePrefix="1" applyFont="1" applyFill="1" applyBorder="1" applyAlignment="1">
      <alignment horizontal="center" wrapText="1"/>
    </xf>
    <xf numFmtId="0" fontId="251" fillId="0" borderId="10" xfId="2489" quotePrefix="1" applyFont="1" applyFill="1" applyBorder="1" applyAlignment="1">
      <alignment horizontal="center" wrapText="1"/>
    </xf>
    <xf numFmtId="0" fontId="249" fillId="0" borderId="0" xfId="0" applyNumberFormat="1" applyFont="1" applyFill="1" applyAlignment="1">
      <alignment horizontal="left" vertical="top" wrapText="1"/>
    </xf>
    <xf numFmtId="0" fontId="251" fillId="0" borderId="0" xfId="0" applyNumberFormat="1" applyFont="1" applyFill="1" applyAlignment="1">
      <alignment horizontal="justify" vertical="top"/>
    </xf>
    <xf numFmtId="0" fontId="249" fillId="0" borderId="0" xfId="0" applyNumberFormat="1" applyFont="1" applyFill="1" applyBorder="1" applyAlignment="1">
      <alignment horizontal="center" vertical="top" wrapText="1"/>
    </xf>
    <xf numFmtId="0" fontId="78" fillId="0" borderId="0" xfId="0" applyFont="1" applyFill="1" applyAlignment="1">
      <alignment horizontal="center" vertical="top"/>
    </xf>
    <xf numFmtId="2" fontId="251" fillId="0" borderId="0" xfId="1372" applyNumberFormat="1" applyFont="1" applyFill="1" applyAlignment="1">
      <alignment horizontal="left" vertical="top" wrapText="1"/>
    </xf>
    <xf numFmtId="0" fontId="255" fillId="0" borderId="0" xfId="0" applyFont="1" applyFill="1" applyAlignment="1">
      <alignment horizontal="left" vertical="top" wrapText="1"/>
    </xf>
    <xf numFmtId="0" fontId="209" fillId="5" borderId="119" xfId="2489" applyFont="1" applyFill="1" applyBorder="1" applyAlignment="1">
      <alignment horizontal="center" vertical="center" wrapText="1"/>
    </xf>
    <xf numFmtId="0" fontId="209" fillId="5" borderId="0" xfId="2489" applyFont="1" applyFill="1" applyBorder="1" applyAlignment="1">
      <alignment horizontal="center" vertical="center" wrapText="1"/>
    </xf>
    <xf numFmtId="0" fontId="209" fillId="5" borderId="0" xfId="40372" quotePrefix="1" applyFont="1" applyFill="1" applyAlignment="1">
      <alignment horizontal="center" vertical="top"/>
    </xf>
    <xf numFmtId="0" fontId="209" fillId="5" borderId="119" xfId="2489" quotePrefix="1" applyFont="1" applyFill="1" applyBorder="1" applyAlignment="1">
      <alignment horizontal="center" vertical="center" wrapText="1"/>
    </xf>
    <xf numFmtId="0" fontId="209" fillId="5" borderId="0" xfId="2489" quotePrefix="1" applyFont="1" applyFill="1" applyBorder="1" applyAlignment="1">
      <alignment horizontal="center" vertical="center" wrapText="1"/>
    </xf>
    <xf numFmtId="15" fontId="209" fillId="5" borderId="68" xfId="40373" quotePrefix="1" applyNumberFormat="1" applyFont="1" applyFill="1" applyBorder="1" applyAlignment="1">
      <alignment horizontal="center" vertical="top"/>
    </xf>
    <xf numFmtId="0" fontId="25" fillId="5" borderId="0" xfId="39" applyFont="1" applyFill="1" applyAlignment="1">
      <alignment horizontal="left" vertical="top" wrapText="1"/>
    </xf>
    <xf numFmtId="0" fontId="209" fillId="5" borderId="0" xfId="2489" applyFont="1" applyFill="1" applyAlignment="1">
      <alignment horizontal="center" vertical="center" wrapText="1"/>
    </xf>
    <xf numFmtId="15" fontId="209" fillId="5" borderId="2" xfId="40373" quotePrefix="1" applyNumberFormat="1" applyFont="1" applyFill="1" applyBorder="1" applyAlignment="1">
      <alignment horizontal="center" vertical="top"/>
    </xf>
    <xf numFmtId="0" fontId="209" fillId="5" borderId="2" xfId="40373" applyFont="1" applyFill="1" applyBorder="1" applyAlignment="1">
      <alignment horizontal="center" vertical="top"/>
    </xf>
    <xf numFmtId="167" fontId="240" fillId="102" borderId="112" xfId="40376" applyNumberFormat="1" applyFont="1" applyFill="1" applyBorder="1" applyAlignment="1">
      <alignment horizontal="center"/>
    </xf>
    <xf numFmtId="167" fontId="240" fillId="102" borderId="15" xfId="40376" applyNumberFormat="1" applyFont="1" applyFill="1" applyBorder="1" applyAlignment="1">
      <alignment horizontal="center"/>
    </xf>
    <xf numFmtId="260" fontId="240" fillId="102" borderId="112" xfId="3" applyFont="1" applyFill="1" applyBorder="1" applyAlignment="1">
      <alignment horizontal="center"/>
    </xf>
    <xf numFmtId="260" fontId="240" fillId="102" borderId="15" xfId="3" applyFont="1" applyFill="1" applyBorder="1" applyAlignment="1">
      <alignment horizontal="center"/>
    </xf>
    <xf numFmtId="0" fontId="299" fillId="5" borderId="0" xfId="45338" applyFont="1" applyFill="1" applyAlignment="1">
      <alignment horizontal="left" wrapText="1" readingOrder="1"/>
    </xf>
    <xf numFmtId="0" fontId="300" fillId="5" borderId="0" xfId="45338" applyFont="1" applyFill="1" applyAlignment="1">
      <alignment horizontal="right" wrapText="1" readingOrder="1"/>
    </xf>
    <xf numFmtId="167" fontId="301" fillId="5" borderId="0" xfId="45339" applyNumberFormat="1" applyFont="1" applyFill="1" applyAlignment="1">
      <alignment horizontal="right" wrapText="1" readingOrder="1"/>
    </xf>
    <xf numFmtId="0" fontId="298" fillId="5" borderId="0" xfId="45338" applyFont="1" applyFill="1" applyAlignment="1">
      <alignment horizontal="left" wrapText="1" readingOrder="1"/>
    </xf>
    <xf numFmtId="0" fontId="2" fillId="5" borderId="0" xfId="45338" applyFill="1" applyAlignment="1">
      <alignment horizontal="left" wrapText="1" readingOrder="1"/>
    </xf>
    <xf numFmtId="0" fontId="303" fillId="5" borderId="0" xfId="45338" applyFont="1" applyFill="1" applyAlignment="1">
      <alignment horizontal="right" wrapText="1" readingOrder="1"/>
    </xf>
    <xf numFmtId="0" fontId="302" fillId="5" borderId="0" xfId="45338" applyFont="1" applyFill="1" applyAlignment="1">
      <alignment horizontal="left" wrapText="1" readingOrder="1"/>
    </xf>
    <xf numFmtId="4" fontId="303" fillId="5" borderId="0" xfId="45338" applyNumberFormat="1" applyFont="1" applyFill="1" applyAlignment="1">
      <alignment horizontal="right" wrapText="1" readingOrder="1"/>
    </xf>
    <xf numFmtId="4" fontId="300" fillId="5" borderId="0" xfId="45338" applyNumberFormat="1" applyFont="1" applyFill="1" applyAlignment="1">
      <alignment horizontal="right" wrapText="1" readingOrder="1"/>
    </xf>
    <xf numFmtId="0" fontId="301" fillId="5" borderId="0" xfId="45338" applyFont="1" applyFill="1" applyAlignment="1">
      <alignment horizontal="right" wrapText="1" readingOrder="1"/>
    </xf>
    <xf numFmtId="37" fontId="23" fillId="0" borderId="0" xfId="0" applyNumberFormat="1" applyFont="1" applyFill="1" applyBorder="1" applyAlignment="1" applyProtection="1">
      <alignment horizontal="justify" vertical="top"/>
    </xf>
    <xf numFmtId="0" fontId="23" fillId="0" borderId="0" xfId="0" applyFont="1" applyFill="1" applyBorder="1" applyAlignment="1">
      <alignment horizontal="justify" vertical="top"/>
    </xf>
    <xf numFmtId="37" fontId="23" fillId="0" borderId="0" xfId="0" applyNumberFormat="1" applyFont="1" applyFill="1" applyBorder="1" applyAlignment="1" applyProtection="1">
      <alignment horizontal="left" vertical="top" wrapText="1"/>
    </xf>
    <xf numFmtId="37" fontId="23" fillId="0" borderId="0" xfId="0" applyNumberFormat="1" applyFont="1" applyFill="1" applyBorder="1" applyAlignment="1" applyProtection="1">
      <alignment horizontal="justify" vertical="justify" wrapText="1"/>
    </xf>
    <xf numFmtId="0" fontId="23" fillId="0" borderId="0" xfId="3" applyNumberFormat="1" applyFont="1" applyFill="1" applyBorder="1" applyAlignment="1">
      <alignment horizontal="center" wrapText="1"/>
    </xf>
    <xf numFmtId="0" fontId="23" fillId="0" borderId="0" xfId="0" applyFont="1" applyFill="1" applyBorder="1" applyAlignment="1" applyProtection="1">
      <alignment horizontal="justify" vertical="justify" wrapText="1"/>
    </xf>
    <xf numFmtId="167" fontId="23" fillId="0" borderId="0" xfId="3" applyNumberFormat="1" applyFont="1" applyFill="1" applyAlignment="1">
      <alignment horizontal="center"/>
    </xf>
    <xf numFmtId="0" fontId="23" fillId="0" borderId="0" xfId="0" applyFont="1" applyFill="1" applyAlignment="1">
      <alignment horizontal="justify" vertical="top" wrapText="1"/>
    </xf>
    <xf numFmtId="0" fontId="22" fillId="0" borderId="0" xfId="0" applyNumberFormat="1" applyFont="1" applyFill="1" applyAlignment="1">
      <alignment horizontal="justify" vertical="justify" wrapText="1"/>
    </xf>
    <xf numFmtId="180" fontId="23" fillId="0" borderId="0" xfId="0" applyNumberFormat="1" applyFont="1" applyFill="1" applyAlignment="1">
      <alignment horizontal="justify" vertical="justify" wrapText="1"/>
    </xf>
    <xf numFmtId="0" fontId="22" fillId="0" borderId="0" xfId="0" applyFont="1" applyFill="1" applyBorder="1" applyAlignment="1">
      <alignment horizontal="center" vertical="top"/>
    </xf>
    <xf numFmtId="0" fontId="23" fillId="0" borderId="0" xfId="0" applyNumberFormat="1" applyFont="1" applyFill="1" applyAlignment="1">
      <alignment horizontal="justify" vertical="top" wrapText="1"/>
    </xf>
    <xf numFmtId="0" fontId="23" fillId="0" borderId="0" xfId="0" applyNumberFormat="1" applyFont="1" applyFill="1" applyAlignment="1">
      <alignment horizontal="justify" vertical="top"/>
    </xf>
    <xf numFmtId="0" fontId="22" fillId="0" borderId="0" xfId="0" quotePrefix="1" applyFont="1" applyFill="1" applyBorder="1" applyAlignment="1">
      <alignment horizontal="center" vertical="top"/>
    </xf>
    <xf numFmtId="0" fontId="22" fillId="0" borderId="0" xfId="0" applyFont="1" applyFill="1" applyBorder="1" applyAlignment="1">
      <alignment horizontal="center"/>
    </xf>
    <xf numFmtId="167" fontId="23" fillId="0" borderId="9" xfId="3" applyNumberFormat="1" applyFont="1" applyFill="1" applyBorder="1" applyAlignment="1">
      <alignment horizontal="center"/>
    </xf>
    <xf numFmtId="0" fontId="23" fillId="0" borderId="0" xfId="0" applyFont="1" applyFill="1" applyAlignment="1">
      <alignment horizontal="justify" vertical="justify" wrapText="1"/>
    </xf>
    <xf numFmtId="260" fontId="66" fillId="0" borderId="59" xfId="3" applyFont="1" applyFill="1" applyBorder="1" applyAlignment="1">
      <alignment horizontal="center" vertical="center" wrapText="1"/>
    </xf>
    <xf numFmtId="260" fontId="66" fillId="0" borderId="7" xfId="3" applyFont="1" applyFill="1" applyBorder="1" applyAlignment="1">
      <alignment horizontal="center" vertical="center" wrapText="1"/>
    </xf>
    <xf numFmtId="260" fontId="66" fillId="0" borderId="10" xfId="3" applyFont="1" applyFill="1" applyBorder="1" applyAlignment="1">
      <alignment horizontal="center" vertical="center" wrapText="1"/>
    </xf>
    <xf numFmtId="0" fontId="23" fillId="0" borderId="0" xfId="0" applyFont="1" applyFill="1" applyBorder="1" applyAlignment="1">
      <alignment horizontal="justify" vertical="justify" wrapText="1"/>
    </xf>
    <xf numFmtId="0" fontId="66" fillId="0" borderId="6" xfId="0" applyFont="1" applyFill="1" applyBorder="1" applyAlignment="1">
      <alignment horizontal="center" vertical="center" wrapText="1"/>
    </xf>
    <xf numFmtId="0" fontId="66" fillId="0" borderId="7" xfId="0" applyFont="1" applyFill="1" applyBorder="1" applyAlignment="1">
      <alignment horizontal="center" vertical="center" wrapText="1"/>
    </xf>
    <xf numFmtId="0" fontId="65" fillId="0" borderId="7" xfId="0" applyFont="1" applyFill="1" applyBorder="1" applyAlignment="1">
      <alignment horizontal="center" vertical="center" wrapText="1"/>
    </xf>
    <xf numFmtId="0" fontId="65" fillId="0" borderId="10" xfId="0" applyFont="1" applyFill="1" applyBorder="1" applyAlignment="1">
      <alignment horizontal="center" vertical="center" wrapText="1"/>
    </xf>
    <xf numFmtId="0" fontId="66" fillId="0" borderId="49" xfId="0" applyFont="1" applyFill="1" applyBorder="1" applyAlignment="1">
      <alignment horizontal="center" vertical="center" wrapText="1"/>
    </xf>
    <xf numFmtId="0" fontId="65" fillId="0" borderId="50" xfId="0" applyFont="1" applyFill="1" applyBorder="1" applyAlignment="1">
      <alignment horizontal="center" vertical="center" wrapText="1"/>
    </xf>
    <xf numFmtId="0" fontId="66" fillId="0" borderId="51" xfId="0" applyFont="1" applyFill="1" applyBorder="1" applyAlignment="1">
      <alignment horizontal="center" vertical="center" wrapText="1"/>
    </xf>
    <xf numFmtId="0" fontId="65" fillId="0" borderId="5" xfId="0" applyFont="1" applyFill="1" applyBorder="1" applyAlignment="1">
      <alignment horizontal="center" vertical="center" wrapText="1"/>
    </xf>
    <xf numFmtId="0" fontId="66" fillId="0" borderId="42" xfId="0" applyFont="1" applyFill="1" applyBorder="1" applyAlignment="1">
      <alignment horizontal="center" vertical="center" wrapText="1"/>
    </xf>
    <xf numFmtId="0" fontId="65" fillId="0" borderId="52" xfId="0" applyFont="1" applyFill="1" applyBorder="1" applyAlignment="1">
      <alignment horizontal="center" vertical="center" wrapText="1"/>
    </xf>
    <xf numFmtId="0" fontId="66" fillId="0" borderId="41" xfId="0" applyFont="1" applyFill="1" applyBorder="1" applyAlignment="1">
      <alignment horizontal="center" vertical="center" wrapText="1"/>
    </xf>
    <xf numFmtId="0" fontId="66" fillId="0" borderId="58" xfId="0" applyFont="1" applyFill="1" applyBorder="1" applyAlignment="1">
      <alignment horizontal="center" vertical="center" wrapText="1"/>
    </xf>
    <xf numFmtId="0" fontId="75" fillId="0" borderId="42" xfId="0" applyFont="1" applyFill="1" applyBorder="1" applyAlignment="1">
      <alignment horizontal="center" vertical="center" wrapText="1"/>
    </xf>
    <xf numFmtId="0" fontId="75" fillId="0" borderId="52" xfId="0" applyFont="1" applyFill="1" applyBorder="1" applyAlignment="1">
      <alignment horizontal="center" vertical="center" wrapText="1"/>
    </xf>
    <xf numFmtId="0" fontId="66" fillId="0" borderId="53" xfId="0" applyFont="1" applyFill="1" applyBorder="1" applyAlignment="1">
      <alignment vertical="center"/>
    </xf>
    <xf numFmtId="0" fontId="65" fillId="0" borderId="0" xfId="0" quotePrefix="1" applyFont="1" applyFill="1" applyBorder="1" applyAlignment="1">
      <alignment horizontal="center" vertical="center"/>
    </xf>
    <xf numFmtId="0" fontId="65" fillId="0" borderId="0" xfId="0" applyFont="1" applyFill="1" applyAlignment="1">
      <alignment horizontal="center" vertical="center"/>
    </xf>
    <xf numFmtId="0" fontId="56" fillId="0" borderId="1" xfId="0" applyNumberFormat="1" applyFont="1" applyFill="1" applyBorder="1" applyAlignment="1">
      <alignment horizontal="center" vertical="center" wrapText="1"/>
    </xf>
    <xf numFmtId="0" fontId="34" fillId="0" borderId="1" xfId="0" applyFont="1" applyBorder="1" applyAlignment="1">
      <alignment horizontal="center" vertical="center" wrapText="1"/>
    </xf>
    <xf numFmtId="0" fontId="23" fillId="0" borderId="0" xfId="0" applyFont="1" applyFill="1" applyAlignment="1">
      <alignment horizontal="justify" vertical="top"/>
    </xf>
    <xf numFmtId="0" fontId="56" fillId="0" borderId="0" xfId="0" applyNumberFormat="1" applyFont="1" applyFill="1" applyBorder="1" applyAlignment="1">
      <alignment horizontal="center" vertical="center" wrapText="1"/>
    </xf>
    <xf numFmtId="0" fontId="56" fillId="0" borderId="1" xfId="0" applyNumberFormat="1" applyFont="1" applyFill="1" applyBorder="1" applyAlignment="1">
      <alignment horizontal="center" vertical="center"/>
    </xf>
    <xf numFmtId="0" fontId="56" fillId="0" borderId="1" xfId="0" quotePrefix="1" applyNumberFormat="1" applyFont="1" applyFill="1" applyBorder="1" applyAlignment="1">
      <alignment horizontal="center" vertical="center"/>
    </xf>
    <xf numFmtId="0" fontId="34" fillId="0" borderId="0" xfId="0" quotePrefix="1" applyFont="1" applyFill="1" applyBorder="1" applyAlignment="1">
      <alignment horizontal="center" vertical="center"/>
    </xf>
    <xf numFmtId="0" fontId="56" fillId="0" borderId="28" xfId="0" applyNumberFormat="1" applyFont="1" applyFill="1" applyBorder="1" applyAlignment="1">
      <alignment horizontal="center" vertical="center"/>
    </xf>
    <xf numFmtId="0" fontId="56" fillId="0" borderId="4" xfId="0" applyNumberFormat="1" applyFont="1" applyFill="1" applyBorder="1" applyAlignment="1">
      <alignment horizontal="center" vertical="center"/>
    </xf>
    <xf numFmtId="0" fontId="56" fillId="0" borderId="29" xfId="0" applyNumberFormat="1" applyFont="1" applyFill="1" applyBorder="1" applyAlignment="1">
      <alignment horizontal="center" vertical="center"/>
    </xf>
    <xf numFmtId="0" fontId="62" fillId="0" borderId="0" xfId="0" applyFont="1" applyFill="1" applyBorder="1" applyAlignment="1">
      <alignment horizontal="justify" vertical="justify" wrapText="1"/>
    </xf>
    <xf numFmtId="0" fontId="63" fillId="0" borderId="49" xfId="0" applyFont="1" applyFill="1" applyBorder="1" applyAlignment="1">
      <alignment horizontal="center" vertical="center" wrapText="1"/>
    </xf>
    <xf numFmtId="0" fontId="62" fillId="0" borderId="50" xfId="0" applyFont="1" applyFill="1" applyBorder="1" applyAlignment="1">
      <alignment horizontal="center" vertical="center" wrapText="1"/>
    </xf>
    <xf numFmtId="0" fontId="63" fillId="0" borderId="51" xfId="0" applyFont="1" applyFill="1" applyBorder="1" applyAlignment="1">
      <alignment horizontal="center" vertical="center" wrapText="1"/>
    </xf>
    <xf numFmtId="0" fontId="62" fillId="0" borderId="5" xfId="0" applyFont="1" applyFill="1" applyBorder="1" applyAlignment="1">
      <alignment horizontal="center" vertical="center" wrapText="1"/>
    </xf>
    <xf numFmtId="0" fontId="63" fillId="0" borderId="42" xfId="0" applyFont="1" applyFill="1" applyBorder="1" applyAlignment="1">
      <alignment horizontal="center" vertical="center" wrapText="1"/>
    </xf>
    <xf numFmtId="0" fontId="62" fillId="0" borderId="52" xfId="0" applyFont="1" applyFill="1" applyBorder="1" applyAlignment="1">
      <alignment horizontal="center" vertical="center" wrapText="1"/>
    </xf>
    <xf numFmtId="0" fontId="63" fillId="0" borderId="60" xfId="0" applyFont="1" applyFill="1" applyBorder="1" applyAlignment="1">
      <alignment horizontal="center" vertical="center" wrapText="1"/>
    </xf>
    <xf numFmtId="0" fontId="63" fillId="0" borderId="39" xfId="0" applyFont="1" applyFill="1" applyBorder="1" applyAlignment="1">
      <alignment horizontal="center" vertical="center" wrapText="1"/>
    </xf>
    <xf numFmtId="0" fontId="63" fillId="0" borderId="61"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2" fillId="0" borderId="7" xfId="0" applyFont="1" applyFill="1" applyBorder="1" applyAlignment="1">
      <alignment horizontal="center" vertical="center" wrapText="1"/>
    </xf>
    <xf numFmtId="0" fontId="62" fillId="0" borderId="10" xfId="0" applyFont="1" applyFill="1" applyBorder="1" applyAlignment="1">
      <alignment horizontal="center" vertical="center" wrapText="1"/>
    </xf>
    <xf numFmtId="0" fontId="63" fillId="0" borderId="28"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9" xfId="0" applyFont="1" applyFill="1" applyBorder="1" applyAlignment="1">
      <alignment horizontal="center" vertical="center"/>
    </xf>
    <xf numFmtId="0" fontId="63" fillId="0" borderId="59" xfId="0" applyFont="1" applyFill="1" applyBorder="1" applyAlignment="1">
      <alignment horizontal="center" vertical="center" wrapText="1"/>
    </xf>
    <xf numFmtId="0" fontId="63" fillId="0" borderId="7" xfId="0" applyFont="1" applyFill="1" applyBorder="1" applyAlignment="1">
      <alignment horizontal="center" vertical="center" wrapText="1"/>
    </xf>
    <xf numFmtId="0" fontId="63" fillId="0" borderId="10" xfId="0" applyFont="1" applyFill="1" applyBorder="1" applyAlignment="1">
      <alignment horizontal="center" vertical="center" wrapText="1"/>
    </xf>
    <xf numFmtId="260" fontId="63" fillId="0" borderId="7" xfId="3" applyFont="1" applyFill="1" applyBorder="1" applyAlignment="1">
      <alignment horizontal="center" vertical="center" wrapText="1"/>
    </xf>
    <xf numFmtId="260" fontId="63" fillId="0" borderId="10" xfId="3" applyFont="1" applyFill="1" applyBorder="1" applyAlignment="1">
      <alignment horizontal="center" vertical="center" wrapText="1"/>
    </xf>
    <xf numFmtId="0" fontId="63" fillId="0" borderId="7" xfId="0" quotePrefix="1" applyFont="1" applyFill="1" applyBorder="1" applyAlignment="1">
      <alignment horizontal="center" vertical="center" wrapText="1"/>
    </xf>
    <xf numFmtId="0" fontId="63" fillId="0" borderId="10" xfId="0" quotePrefix="1" applyFont="1" applyFill="1" applyBorder="1" applyAlignment="1">
      <alignment horizontal="center" vertical="center" wrapText="1"/>
    </xf>
    <xf numFmtId="0" fontId="62" fillId="0" borderId="0" xfId="0" quotePrefix="1" applyFont="1" applyFill="1" applyBorder="1" applyAlignment="1">
      <alignment horizontal="center" vertical="center"/>
    </xf>
    <xf numFmtId="0" fontId="62" fillId="0" borderId="0" xfId="0" applyFont="1" applyFill="1" applyAlignment="1">
      <alignment horizontal="center" vertical="center"/>
    </xf>
    <xf numFmtId="0" fontId="57" fillId="0" borderId="61" xfId="0" applyFont="1" applyBorder="1" applyAlignment="1"/>
    <xf numFmtId="0" fontId="57" fillId="0" borderId="1" xfId="0" applyFont="1" applyBorder="1" applyAlignment="1"/>
    <xf numFmtId="14" fontId="57" fillId="0" borderId="63" xfId="0" applyNumberFormat="1" applyFont="1" applyBorder="1" applyAlignment="1">
      <alignment horizontal="left"/>
    </xf>
    <xf numFmtId="0" fontId="57" fillId="0" borderId="4" xfId="0" applyFont="1" applyBorder="1" applyAlignment="1">
      <alignment horizontal="left"/>
    </xf>
    <xf numFmtId="0" fontId="57" fillId="0" borderId="61" xfId="0" applyFont="1" applyBorder="1" applyAlignment="1">
      <alignment horizontal="left"/>
    </xf>
    <xf numFmtId="179" fontId="40" fillId="9" borderId="0" xfId="3" applyNumberFormat="1" applyFont="1" applyFill="1" applyAlignment="1">
      <alignment horizontal="center" vertical="center"/>
    </xf>
    <xf numFmtId="0" fontId="36" fillId="9" borderId="0" xfId="0" applyFont="1" applyFill="1" applyBorder="1" applyAlignment="1">
      <alignment horizontal="center" vertical="top"/>
    </xf>
    <xf numFmtId="0" fontId="36" fillId="9" borderId="2" xfId="0" applyFont="1" applyFill="1" applyBorder="1" applyAlignment="1">
      <alignment horizontal="center" vertical="top"/>
    </xf>
    <xf numFmtId="41" fontId="36" fillId="9" borderId="41" xfId="0" applyNumberFormat="1" applyFont="1" applyFill="1" applyBorder="1" applyAlignment="1">
      <alignment horizontal="center" vertical="center" wrapText="1"/>
    </xf>
    <xf numFmtId="41" fontId="36" fillId="9" borderId="51" xfId="0" applyNumberFormat="1" applyFont="1" applyFill="1" applyBorder="1" applyAlignment="1">
      <alignment horizontal="center" vertical="center" wrapText="1"/>
    </xf>
    <xf numFmtId="41" fontId="36" fillId="9" borderId="42" xfId="0" applyNumberFormat="1" applyFont="1" applyFill="1" applyBorder="1" applyAlignment="1">
      <alignment horizontal="center" vertical="center" wrapText="1"/>
    </xf>
    <xf numFmtId="177" fontId="40" fillId="9" borderId="0" xfId="0" applyNumberFormat="1" applyFont="1" applyFill="1" applyAlignment="1">
      <alignment horizontal="center" vertical="top"/>
    </xf>
    <xf numFmtId="0" fontId="36" fillId="9" borderId="0" xfId="0" quotePrefix="1" applyFont="1" applyFill="1" applyAlignment="1">
      <alignment horizontal="center" vertical="top"/>
    </xf>
    <xf numFmtId="0" fontId="29" fillId="9" borderId="0" xfId="0" applyFont="1" applyFill="1" applyAlignment="1">
      <alignment horizontal="center" vertical="top"/>
    </xf>
    <xf numFmtId="0" fontId="36" fillId="9" borderId="28" xfId="0" applyFont="1" applyFill="1" applyBorder="1" applyAlignment="1">
      <alignment horizontal="center" vertical="center"/>
    </xf>
    <xf numFmtId="0" fontId="36" fillId="9" borderId="4" xfId="0" applyFont="1" applyFill="1" applyBorder="1" applyAlignment="1">
      <alignment horizontal="center" vertical="center"/>
    </xf>
    <xf numFmtId="0" fontId="29" fillId="9" borderId="4" xfId="0" applyFont="1" applyFill="1" applyBorder="1" applyAlignment="1">
      <alignment horizontal="center" vertical="center"/>
    </xf>
    <xf numFmtId="0" fontId="38" fillId="9" borderId="29" xfId="0" applyFont="1" applyFill="1" applyBorder="1" applyAlignment="1">
      <alignment horizontal="center" vertical="center"/>
    </xf>
    <xf numFmtId="0" fontId="36" fillId="9" borderId="41" xfId="0" applyFont="1" applyFill="1" applyBorder="1" applyAlignment="1">
      <alignment horizontal="center" vertical="center"/>
    </xf>
    <xf numFmtId="0" fontId="36" fillId="9" borderId="16" xfId="0" applyFont="1" applyFill="1" applyBorder="1" applyAlignment="1">
      <alignment horizontal="center" vertical="center"/>
    </xf>
    <xf numFmtId="0" fontId="29" fillId="9" borderId="16" xfId="0" applyFont="1" applyFill="1" applyBorder="1" applyAlignment="1">
      <alignment horizontal="center" vertical="center"/>
    </xf>
    <xf numFmtId="0" fontId="38" fillId="9" borderId="16" xfId="0" applyFont="1" applyFill="1" applyBorder="1" applyAlignment="1">
      <alignment vertical="center"/>
    </xf>
    <xf numFmtId="0" fontId="36" fillId="9" borderId="42" xfId="0" applyFont="1" applyFill="1" applyBorder="1" applyAlignment="1">
      <alignment horizontal="center" vertical="center"/>
    </xf>
    <xf numFmtId="0" fontId="36" fillId="9" borderId="2" xfId="0" applyFont="1" applyFill="1" applyBorder="1" applyAlignment="1">
      <alignment horizontal="center" vertical="center"/>
    </xf>
    <xf numFmtId="0" fontId="29" fillId="9" borderId="2" xfId="0" applyFont="1" applyFill="1" applyBorder="1" applyAlignment="1">
      <alignment horizontal="center" vertical="center"/>
    </xf>
    <xf numFmtId="0" fontId="38" fillId="9" borderId="2" xfId="0" applyFont="1" applyFill="1" applyBorder="1" applyAlignment="1">
      <alignment vertical="center"/>
    </xf>
    <xf numFmtId="0" fontId="36" fillId="9" borderId="41" xfId="0" applyFont="1" applyFill="1" applyBorder="1" applyAlignment="1">
      <alignment horizontal="center" vertical="top" wrapText="1"/>
    </xf>
    <xf numFmtId="0" fontId="36" fillId="9" borderId="42" xfId="0" applyFont="1" applyFill="1" applyBorder="1" applyAlignment="1">
      <alignment horizontal="center" vertical="top" wrapText="1"/>
    </xf>
    <xf numFmtId="0" fontId="29" fillId="9" borderId="42" xfId="0" applyFont="1" applyFill="1" applyBorder="1" applyAlignment="1">
      <alignment horizontal="center" vertical="top" wrapText="1"/>
    </xf>
    <xf numFmtId="0" fontId="36" fillId="9" borderId="6" xfId="0" applyFont="1" applyFill="1" applyBorder="1" applyAlignment="1">
      <alignment horizontal="center" vertical="top" wrapText="1"/>
    </xf>
    <xf numFmtId="0" fontId="29" fillId="9" borderId="10" xfId="0" applyFont="1" applyFill="1" applyBorder="1" applyAlignment="1">
      <alignment horizontal="center" vertical="top" wrapText="1"/>
    </xf>
    <xf numFmtId="0" fontId="29" fillId="9" borderId="0" xfId="0" applyFont="1" applyFill="1" applyAlignment="1">
      <alignment horizontal="justify" vertical="top" wrapText="1"/>
    </xf>
    <xf numFmtId="0" fontId="36" fillId="9" borderId="0" xfId="0" quotePrefix="1" applyFont="1" applyFill="1" applyBorder="1" applyAlignment="1">
      <alignment horizontal="center" vertical="top"/>
    </xf>
    <xf numFmtId="0" fontId="48" fillId="9" borderId="28" xfId="0" applyFont="1" applyFill="1" applyBorder="1" applyAlignment="1">
      <alignment horizontal="center" vertical="center"/>
    </xf>
    <xf numFmtId="0" fontId="48" fillId="9" borderId="4" xfId="0" applyFont="1" applyFill="1" applyBorder="1" applyAlignment="1">
      <alignment horizontal="center" vertical="center"/>
    </xf>
    <xf numFmtId="0" fontId="48" fillId="9" borderId="41" xfId="0" applyFont="1" applyFill="1" applyBorder="1" applyAlignment="1">
      <alignment horizontal="center" vertical="center" wrapText="1"/>
    </xf>
    <xf numFmtId="0" fontId="48" fillId="9" borderId="16" xfId="0" applyFont="1" applyFill="1" applyBorder="1" applyAlignment="1">
      <alignment horizontal="center" vertical="center" wrapText="1"/>
    </xf>
    <xf numFmtId="0" fontId="48" fillId="9" borderId="58" xfId="0" applyFont="1" applyFill="1" applyBorder="1" applyAlignment="1">
      <alignment horizontal="center" vertical="center" wrapText="1"/>
    </xf>
    <xf numFmtId="0" fontId="48" fillId="9" borderId="42" xfId="0" applyFont="1" applyFill="1" applyBorder="1" applyAlignment="1">
      <alignment horizontal="center" vertical="center" wrapText="1"/>
    </xf>
    <xf numFmtId="0" fontId="48" fillId="9" borderId="2" xfId="0" applyFont="1" applyFill="1" applyBorder="1" applyAlignment="1">
      <alignment horizontal="center" vertical="center" wrapText="1"/>
    </xf>
    <xf numFmtId="0" fontId="48" fillId="9" borderId="52" xfId="0" applyFont="1" applyFill="1" applyBorder="1" applyAlignment="1">
      <alignment horizontal="center" vertical="center" wrapText="1"/>
    </xf>
    <xf numFmtId="0" fontId="48" fillId="9" borderId="29" xfId="0" applyFont="1" applyFill="1" applyBorder="1" applyAlignment="1">
      <alignment horizontal="center" vertical="center"/>
    </xf>
    <xf numFmtId="0" fontId="23" fillId="9" borderId="0" xfId="0" applyFont="1" applyFill="1" applyAlignment="1">
      <alignment horizontal="justify" vertical="justify"/>
    </xf>
    <xf numFmtId="0" fontId="48" fillId="9" borderId="41" xfId="0" applyNumberFormat="1" applyFont="1" applyFill="1" applyBorder="1" applyAlignment="1">
      <alignment horizontal="center" vertical="center"/>
    </xf>
    <xf numFmtId="0" fontId="48" fillId="9" borderId="16" xfId="0" applyNumberFormat="1" applyFont="1" applyFill="1" applyBorder="1" applyAlignment="1">
      <alignment horizontal="center" vertical="center"/>
    </xf>
    <xf numFmtId="0" fontId="48" fillId="9" borderId="42" xfId="0" applyNumberFormat="1" applyFont="1" applyFill="1" applyBorder="1" applyAlignment="1">
      <alignment horizontal="center" vertical="center"/>
    </xf>
    <xf numFmtId="0" fontId="48" fillId="9" borderId="2" xfId="0" applyNumberFormat="1" applyFont="1" applyFill="1" applyBorder="1" applyAlignment="1">
      <alignment horizontal="center" vertical="center"/>
    </xf>
    <xf numFmtId="0" fontId="23" fillId="9" borderId="0" xfId="0" applyFont="1" applyFill="1" applyAlignment="1">
      <alignment horizontal="justify" vertical="top"/>
    </xf>
    <xf numFmtId="0" fontId="23" fillId="9" borderId="0" xfId="0" applyFont="1" applyFill="1" applyBorder="1" applyAlignment="1">
      <alignment horizontal="justify" vertical="top"/>
    </xf>
    <xf numFmtId="0" fontId="23" fillId="9" borderId="0" xfId="0" applyNumberFormat="1" applyFont="1" applyFill="1" applyAlignment="1">
      <alignment horizontal="justify" vertical="top"/>
    </xf>
    <xf numFmtId="41" fontId="36" fillId="9" borderId="41" xfId="0" quotePrefix="1" applyNumberFormat="1" applyFont="1" applyFill="1" applyBorder="1" applyAlignment="1">
      <alignment horizontal="center" vertical="center" wrapText="1"/>
    </xf>
    <xf numFmtId="41" fontId="36" fillId="9" borderId="52" xfId="0" applyNumberFormat="1" applyFont="1" applyFill="1" applyBorder="1" applyAlignment="1">
      <alignment horizontal="center" vertical="center" wrapText="1"/>
    </xf>
    <xf numFmtId="41" fontId="36" fillId="9" borderId="29" xfId="0" applyNumberFormat="1" applyFont="1" applyFill="1" applyBorder="1" applyAlignment="1">
      <alignment horizontal="center" vertical="center" wrapText="1"/>
    </xf>
    <xf numFmtId="0" fontId="40" fillId="9" borderId="0" xfId="0" applyFont="1" applyFill="1" applyAlignment="1">
      <alignment horizontal="center"/>
    </xf>
    <xf numFmtId="0" fontId="36" fillId="9" borderId="1" xfId="0" applyNumberFormat="1" applyFont="1" applyFill="1" applyBorder="1" applyAlignment="1">
      <alignment horizontal="center" vertical="center"/>
    </xf>
    <xf numFmtId="0" fontId="36" fillId="9" borderId="28" xfId="0" applyNumberFormat="1" applyFont="1" applyFill="1" applyBorder="1" applyAlignment="1">
      <alignment horizontal="center" vertical="center"/>
    </xf>
    <xf numFmtId="0" fontId="36" fillId="9" borderId="41" xfId="0" applyNumberFormat="1" applyFont="1" applyFill="1" applyBorder="1" applyAlignment="1">
      <alignment horizontal="center" vertical="center"/>
    </xf>
    <xf numFmtId="0" fontId="36" fillId="9" borderId="16" xfId="0" applyNumberFormat="1" applyFont="1" applyFill="1" applyBorder="1" applyAlignment="1">
      <alignment horizontal="center" vertical="center"/>
    </xf>
    <xf numFmtId="0" fontId="36" fillId="9" borderId="58" xfId="0" applyNumberFormat="1" applyFont="1" applyFill="1" applyBorder="1" applyAlignment="1">
      <alignment horizontal="center" vertical="center"/>
    </xf>
    <xf numFmtId="0" fontId="36" fillId="9" borderId="51" xfId="0" applyNumberFormat="1" applyFont="1" applyFill="1" applyBorder="1" applyAlignment="1">
      <alignment horizontal="center" vertical="center"/>
    </xf>
    <xf numFmtId="0" fontId="36" fillId="9" borderId="0" xfId="0" applyNumberFormat="1" applyFont="1" applyFill="1" applyBorder="1" applyAlignment="1">
      <alignment horizontal="center" vertical="center"/>
    </xf>
    <xf numFmtId="0" fontId="36" fillId="9" borderId="5" xfId="0" applyNumberFormat="1" applyFont="1" applyFill="1" applyBorder="1" applyAlignment="1">
      <alignment horizontal="center" vertical="center"/>
    </xf>
    <xf numFmtId="0" fontId="36" fillId="9" borderId="42" xfId="0" applyNumberFormat="1" applyFont="1" applyFill="1" applyBorder="1" applyAlignment="1">
      <alignment horizontal="center" vertical="center"/>
    </xf>
    <xf numFmtId="0" fontId="36" fillId="9" borderId="2" xfId="0" applyNumberFormat="1" applyFont="1" applyFill="1" applyBorder="1" applyAlignment="1">
      <alignment horizontal="center" vertical="center"/>
    </xf>
    <xf numFmtId="0" fontId="36" fillId="9" borderId="52" xfId="0" applyNumberFormat="1" applyFont="1" applyFill="1" applyBorder="1" applyAlignment="1">
      <alignment horizontal="center" vertical="center"/>
    </xf>
    <xf numFmtId="9" fontId="36" fillId="9" borderId="16" xfId="4" quotePrefix="1" applyFont="1" applyFill="1" applyBorder="1" applyAlignment="1">
      <alignment horizontal="center" vertical="top"/>
    </xf>
    <xf numFmtId="0" fontId="23" fillId="9" borderId="0" xfId="0" applyFont="1" applyFill="1" applyAlignment="1">
      <alignment horizontal="justify" vertical="top" wrapText="1"/>
    </xf>
    <xf numFmtId="0" fontId="23" fillId="9" borderId="0" xfId="0" applyFont="1" applyFill="1" applyAlignment="1">
      <alignment vertical="top" wrapText="1"/>
    </xf>
    <xf numFmtId="0" fontId="48" fillId="9" borderId="1" xfId="0" applyFont="1" applyFill="1" applyBorder="1" applyAlignment="1">
      <alignment horizontal="center" vertical="center" wrapText="1"/>
    </xf>
    <xf numFmtId="0" fontId="40" fillId="9" borderId="1" xfId="0" applyFont="1" applyFill="1" applyBorder="1" applyAlignment="1">
      <alignment horizontal="center" vertical="center" wrapText="1"/>
    </xf>
    <xf numFmtId="167" fontId="48" fillId="9" borderId="0" xfId="3" quotePrefix="1" applyNumberFormat="1" applyFont="1" applyFill="1" applyAlignment="1">
      <alignment horizontal="center" vertical="center"/>
    </xf>
    <xf numFmtId="0" fontId="48" fillId="9" borderId="2" xfId="0" quotePrefix="1" applyFont="1" applyFill="1" applyBorder="1" applyAlignment="1">
      <alignment horizontal="center" vertical="top"/>
    </xf>
    <xf numFmtId="0" fontId="40" fillId="9" borderId="2" xfId="0" applyFont="1" applyFill="1" applyBorder="1" applyAlignment="1"/>
    <xf numFmtId="0" fontId="48" fillId="9" borderId="1" xfId="0" quotePrefix="1" applyFont="1" applyFill="1" applyBorder="1" applyAlignment="1">
      <alignment horizontal="center" vertical="center"/>
    </xf>
    <xf numFmtId="0" fontId="48" fillId="9" borderId="54" xfId="0" applyFont="1" applyFill="1" applyBorder="1" applyAlignment="1">
      <alignment horizontal="center" vertical="center" wrapText="1"/>
    </xf>
    <xf numFmtId="0" fontId="48" fillId="9" borderId="51" xfId="0" applyFont="1" applyFill="1" applyBorder="1" applyAlignment="1">
      <alignment horizontal="center" vertical="center" wrapText="1"/>
    </xf>
    <xf numFmtId="0" fontId="48" fillId="9" borderId="0" xfId="0" applyFont="1" applyFill="1" applyBorder="1" applyAlignment="1">
      <alignment horizontal="center" vertical="center" wrapText="1"/>
    </xf>
    <xf numFmtId="0" fontId="48" fillId="9" borderId="5" xfId="0" applyFont="1" applyFill="1" applyBorder="1" applyAlignment="1">
      <alignment horizontal="center" vertical="center" wrapText="1"/>
    </xf>
    <xf numFmtId="0" fontId="22" fillId="9" borderId="0" xfId="0" applyFont="1" applyFill="1" applyAlignment="1">
      <alignment horizontal="left"/>
    </xf>
    <xf numFmtId="0" fontId="30" fillId="9" borderId="0" xfId="0" applyFont="1" applyFill="1" applyAlignment="1">
      <alignment horizontal="justify" vertical="top" wrapText="1"/>
    </xf>
    <xf numFmtId="0" fontId="23" fillId="9" borderId="0" xfId="0" applyNumberFormat="1" applyFont="1" applyFill="1" applyAlignment="1">
      <alignment horizontal="justify" vertical="top" wrapText="1"/>
    </xf>
    <xf numFmtId="0" fontId="36" fillId="9" borderId="1" xfId="0" quotePrefix="1" applyFont="1" applyFill="1" applyBorder="1" applyAlignment="1">
      <alignment horizontal="center" vertical="top"/>
    </xf>
    <xf numFmtId="0" fontId="48" fillId="9" borderId="0" xfId="0" quotePrefix="1" applyFont="1" applyFill="1" applyAlignment="1">
      <alignment horizontal="center"/>
    </xf>
    <xf numFmtId="0" fontId="36" fillId="9" borderId="1" xfId="0" applyFont="1" applyFill="1" applyBorder="1" applyAlignment="1">
      <alignment horizontal="center" vertical="center"/>
    </xf>
    <xf numFmtId="0" fontId="36" fillId="9" borderId="1" xfId="0" applyFont="1" applyFill="1" applyBorder="1" applyAlignment="1">
      <alignment horizontal="center" vertical="center" wrapText="1"/>
    </xf>
    <xf numFmtId="0" fontId="60" fillId="9" borderId="0" xfId="0" applyFont="1" applyFill="1" applyBorder="1" applyProtection="1"/>
    <xf numFmtId="1" fontId="36" fillId="9" borderId="2" xfId="3" quotePrefix="1" applyNumberFormat="1" applyFont="1" applyFill="1" applyBorder="1" applyAlignment="1">
      <alignment horizontal="center" vertical="center"/>
    </xf>
    <xf numFmtId="1" fontId="36" fillId="9" borderId="2" xfId="3" applyNumberFormat="1" applyFont="1" applyFill="1" applyBorder="1" applyAlignment="1">
      <alignment horizontal="center" vertical="center"/>
    </xf>
    <xf numFmtId="0" fontId="48" fillId="9" borderId="0" xfId="0" quotePrefix="1" applyFont="1" applyFill="1" applyAlignment="1">
      <alignment horizontal="center" vertical="top"/>
    </xf>
    <xf numFmtId="0" fontId="40" fillId="9" borderId="0" xfId="0" applyFont="1" applyFill="1" applyAlignment="1">
      <alignment horizontal="center" vertical="top"/>
    </xf>
    <xf numFmtId="0" fontId="48" fillId="9" borderId="6" xfId="0" applyFont="1" applyFill="1" applyBorder="1" applyAlignment="1">
      <alignment horizontal="center" vertical="center" wrapText="1"/>
    </xf>
    <xf numFmtId="0" fontId="0" fillId="9" borderId="6" xfId="0" applyFill="1" applyBorder="1" applyAlignment="1">
      <alignment wrapText="1"/>
    </xf>
    <xf numFmtId="0" fontId="0" fillId="9" borderId="7" xfId="0" applyFill="1" applyBorder="1" applyAlignment="1">
      <alignment wrapText="1"/>
    </xf>
    <xf numFmtId="0" fontId="0" fillId="9" borderId="10" xfId="0" applyFill="1" applyBorder="1" applyAlignment="1">
      <alignment wrapText="1"/>
    </xf>
    <xf numFmtId="0" fontId="0" fillId="9" borderId="7" xfId="0" applyFill="1" applyBorder="1" applyAlignment="1">
      <alignment horizontal="center" vertical="center" wrapText="1"/>
    </xf>
    <xf numFmtId="0" fontId="0" fillId="9" borderId="10" xfId="0" applyFill="1" applyBorder="1" applyAlignment="1">
      <alignment horizontal="center" vertical="center" wrapText="1"/>
    </xf>
    <xf numFmtId="0" fontId="57" fillId="0" borderId="0" xfId="0" applyFont="1" applyAlignment="1">
      <alignment horizontal="left" wrapText="1"/>
    </xf>
    <xf numFmtId="0" fontId="36" fillId="0" borderId="0" xfId="0" quotePrefix="1" applyFont="1" applyFill="1" applyAlignment="1">
      <alignment horizontal="center" vertical="top"/>
    </xf>
    <xf numFmtId="0" fontId="23" fillId="5" borderId="0" xfId="0" applyFont="1" applyFill="1" applyAlignment="1">
      <alignment horizontal="justify" vertical="top" wrapText="1"/>
    </xf>
    <xf numFmtId="0" fontId="31" fillId="2" borderId="14" xfId="0" applyFont="1" applyFill="1" applyBorder="1" applyAlignment="1">
      <alignment horizontal="left" vertical="center"/>
    </xf>
    <xf numFmtId="0" fontId="31" fillId="2" borderId="3" xfId="0" applyFont="1" applyFill="1" applyBorder="1" applyAlignment="1">
      <alignment horizontal="left" vertical="center"/>
    </xf>
    <xf numFmtId="0" fontId="31" fillId="2" borderId="15" xfId="0" applyFont="1" applyFill="1" applyBorder="1" applyAlignment="1">
      <alignment horizontal="left" vertical="center"/>
    </xf>
    <xf numFmtId="0" fontId="53" fillId="4" borderId="30" xfId="0" applyFont="1" applyFill="1" applyBorder="1" applyAlignment="1">
      <alignment horizontal="center" vertical="center" wrapText="1"/>
    </xf>
    <xf numFmtId="0" fontId="53" fillId="4" borderId="43" xfId="0" applyFont="1" applyFill="1" applyBorder="1" applyAlignment="1">
      <alignment horizontal="center" vertical="center" wrapText="1"/>
    </xf>
    <xf numFmtId="0" fontId="53" fillId="4" borderId="31" xfId="0" applyFont="1" applyFill="1" applyBorder="1" applyAlignment="1">
      <alignment horizontal="center" vertical="center" wrapText="1"/>
    </xf>
    <xf numFmtId="0" fontId="53" fillId="4" borderId="32" xfId="0" applyFont="1" applyFill="1" applyBorder="1" applyAlignment="1">
      <alignment horizontal="center" vertical="center" wrapText="1"/>
    </xf>
    <xf numFmtId="0" fontId="53" fillId="4" borderId="44" xfId="0" applyFont="1" applyFill="1" applyBorder="1" applyAlignment="1">
      <alignment horizontal="center" vertical="center" wrapText="1"/>
    </xf>
    <xf numFmtId="0" fontId="53" fillId="4" borderId="45" xfId="0" applyFont="1" applyFill="1" applyBorder="1" applyAlignment="1">
      <alignment horizontal="center" vertical="center" wrapText="1"/>
    </xf>
    <xf numFmtId="0" fontId="53" fillId="4" borderId="46" xfId="0" applyFont="1" applyFill="1" applyBorder="1" applyAlignment="1">
      <alignment horizontal="center" vertical="center" wrapText="1"/>
    </xf>
    <xf numFmtId="0" fontId="53" fillId="4" borderId="47" xfId="0" applyFont="1" applyFill="1" applyBorder="1" applyAlignment="1">
      <alignment horizontal="center" vertical="center" wrapText="1"/>
    </xf>
    <xf numFmtId="0" fontId="53" fillId="4" borderId="48" xfId="0" applyFont="1" applyFill="1" applyBorder="1" applyAlignment="1">
      <alignment horizontal="center" vertical="center" wrapText="1"/>
    </xf>
    <xf numFmtId="0" fontId="61" fillId="6" borderId="14" xfId="0" applyFont="1" applyFill="1" applyBorder="1" applyAlignment="1">
      <alignment horizontal="center" vertical="top"/>
    </xf>
    <xf numFmtId="0" fontId="61" fillId="6" borderId="3" xfId="0" applyFont="1" applyFill="1" applyBorder="1" applyAlignment="1">
      <alignment horizontal="center" vertical="top"/>
    </xf>
    <xf numFmtId="0" fontId="62" fillId="0" borderId="1" xfId="0" applyFont="1" applyBorder="1" applyAlignment="1">
      <alignment horizontal="left"/>
    </xf>
    <xf numFmtId="14" fontId="62" fillId="0" borderId="1" xfId="0" applyNumberFormat="1" applyFont="1" applyBorder="1" applyAlignment="1">
      <alignment horizontal="left"/>
    </xf>
    <xf numFmtId="0" fontId="62" fillId="0" borderId="29" xfId="0" applyFont="1" applyBorder="1" applyAlignment="1">
      <alignment horizontal="left"/>
    </xf>
    <xf numFmtId="14" fontId="62" fillId="0" borderId="29" xfId="0" applyNumberFormat="1" applyFont="1" applyBorder="1" applyAlignment="1">
      <alignment horizontal="left"/>
    </xf>
    <xf numFmtId="0" fontId="63" fillId="0" borderId="0" xfId="0" quotePrefix="1" applyFont="1" applyFill="1" applyBorder="1" applyAlignment="1">
      <alignment horizontal="center"/>
    </xf>
    <xf numFmtId="0" fontId="62" fillId="0" borderId="55" xfId="0" applyFont="1" applyBorder="1" applyAlignment="1">
      <alignment horizontal="center" vertical="center" wrapText="1"/>
    </xf>
    <xf numFmtId="0" fontId="62" fillId="0" borderId="56" xfId="0" applyFont="1" applyBorder="1" applyAlignment="1">
      <alignment horizontal="center" vertical="center" wrapText="1"/>
    </xf>
    <xf numFmtId="0" fontId="62" fillId="0" borderId="57" xfId="0" applyFont="1" applyBorder="1" applyAlignment="1">
      <alignment horizontal="center" vertical="center" wrapText="1"/>
    </xf>
    <xf numFmtId="3" fontId="35" fillId="0" borderId="33" xfId="3" applyNumberFormat="1" applyFont="1" applyBorder="1" applyAlignment="1">
      <alignment horizontal="center" vertical="center" wrapText="1"/>
    </xf>
    <xf numFmtId="3" fontId="35" fillId="0" borderId="34" xfId="3" applyNumberFormat="1" applyFont="1" applyBorder="1" applyAlignment="1">
      <alignment horizontal="center" vertical="center" wrapText="1"/>
    </xf>
    <xf numFmtId="3" fontId="35" fillId="0" borderId="35" xfId="3" applyNumberFormat="1" applyFont="1" applyBorder="1" applyAlignment="1">
      <alignment horizontal="center" vertical="center" wrapText="1"/>
    </xf>
    <xf numFmtId="3" fontId="35" fillId="0" borderId="36" xfId="3" applyNumberFormat="1" applyFont="1" applyBorder="1" applyAlignment="1">
      <alignment horizontal="center" vertical="center" wrapText="1"/>
    </xf>
    <xf numFmtId="167" fontId="24" fillId="0" borderId="19" xfId="3" applyNumberFormat="1" applyFont="1" applyBorder="1" applyAlignment="1">
      <alignment horizontal="left" vertical="top"/>
    </xf>
    <xf numFmtId="167" fontId="24" fillId="0" borderId="26" xfId="3" applyNumberFormat="1" applyFont="1" applyBorder="1" applyAlignment="1">
      <alignment horizontal="left" vertical="top"/>
    </xf>
    <xf numFmtId="167" fontId="36" fillId="0" borderId="37" xfId="3" applyNumberFormat="1" applyFont="1" applyBorder="1" applyAlignment="1">
      <alignment horizontal="center" vertical="center"/>
    </xf>
    <xf numFmtId="167" fontId="36" fillId="0" borderId="38" xfId="3" applyNumberFormat="1" applyFont="1" applyBorder="1" applyAlignment="1">
      <alignment horizontal="center" vertical="center"/>
    </xf>
    <xf numFmtId="167" fontId="36" fillId="0" borderId="37" xfId="3" applyNumberFormat="1" applyFont="1" applyBorder="1" applyAlignment="1">
      <alignment horizontal="center" vertical="center" wrapText="1"/>
    </xf>
    <xf numFmtId="167" fontId="36" fillId="0" borderId="38" xfId="3" applyNumberFormat="1" applyFont="1" applyBorder="1" applyAlignment="1">
      <alignment horizontal="center" vertical="center" wrapText="1"/>
    </xf>
    <xf numFmtId="3" fontId="36" fillId="0" borderId="14" xfId="3" applyNumberFormat="1" applyFont="1" applyBorder="1" applyAlignment="1">
      <alignment horizontal="center" vertical="center" wrapText="1"/>
    </xf>
    <xf numFmtId="3" fontId="36" fillId="0" borderId="3" xfId="3" applyNumberFormat="1" applyFont="1" applyBorder="1" applyAlignment="1">
      <alignment horizontal="center" vertical="center" wrapText="1"/>
    </xf>
    <xf numFmtId="3" fontId="36" fillId="0" borderId="15" xfId="3" applyNumberFormat="1" applyFont="1" applyBorder="1" applyAlignment="1">
      <alignment horizontal="center" vertical="center" wrapText="1"/>
    </xf>
    <xf numFmtId="0" fontId="24" fillId="0" borderId="18" xfId="0" applyFont="1" applyBorder="1" applyAlignment="1">
      <alignment vertical="center" wrapText="1"/>
    </xf>
    <xf numFmtId="0" fontId="0" fillId="0" borderId="11" xfId="0" applyBorder="1" applyAlignment="1">
      <alignment vertical="center" wrapText="1"/>
    </xf>
    <xf numFmtId="0" fontId="0" fillId="0" borderId="18" xfId="0" applyBorder="1" applyAlignment="1">
      <alignment vertical="center" wrapText="1"/>
    </xf>
    <xf numFmtId="41" fontId="24" fillId="0" borderId="18" xfId="0" applyNumberFormat="1" applyFont="1" applyBorder="1" applyAlignment="1">
      <alignment horizontal="left" vertical="center" wrapText="1"/>
    </xf>
    <xf numFmtId="41" fontId="24" fillId="0" borderId="11" xfId="0" applyNumberFormat="1" applyFont="1" applyBorder="1" applyAlignment="1">
      <alignment horizontal="left" vertical="center" wrapText="1"/>
    </xf>
    <xf numFmtId="0" fontId="35" fillId="0" borderId="12" xfId="3" applyNumberFormat="1" applyFont="1" applyBorder="1" applyAlignment="1">
      <alignment horizontal="justify" vertical="top" wrapText="1"/>
    </xf>
    <xf numFmtId="0" fontId="35" fillId="0" borderId="0" xfId="3" quotePrefix="1" applyNumberFormat="1" applyFont="1" applyBorder="1" applyAlignment="1">
      <alignment horizontal="justify" vertical="top" wrapText="1"/>
    </xf>
    <xf numFmtId="0" fontId="35" fillId="0" borderId="13" xfId="3" quotePrefix="1" applyNumberFormat="1" applyFont="1" applyBorder="1" applyAlignment="1">
      <alignment horizontal="justify" vertical="top" wrapText="1"/>
    </xf>
    <xf numFmtId="0" fontId="35" fillId="0" borderId="17" xfId="3" quotePrefix="1" applyNumberFormat="1" applyFont="1" applyBorder="1" applyAlignment="1">
      <alignment horizontal="justify" vertical="top" wrapText="1"/>
    </xf>
    <xf numFmtId="0" fontId="4" fillId="0" borderId="0" xfId="68" applyFont="1" applyFill="1" applyAlignment="1">
      <alignment horizontal="justify" vertical="top"/>
    </xf>
  </cellXfs>
  <cellStyles count="45344">
    <cellStyle name=" 1" xfId="1"/>
    <cellStyle name=" 1 2" xfId="92"/>
    <cellStyle name=" 1 2 2" xfId="40523"/>
    <cellStyle name=" 1 3" xfId="42054"/>
    <cellStyle name=" 1 4" xfId="40522"/>
    <cellStyle name=" Writer Import]_x000d__x000a_Display Dialog=No_x000d__x000a__x000d__x000a_[Horizontal Arrange]_x000d__x000a_Dimensions Interlocking=Yes_x000d__x000a_Sum Hierarchy=Yes_x000d__x000a_Generate" xfId="2"/>
    <cellStyle name=" Writer Import]_x000d__x000a_Display Dialog=No_x000d__x000a__x000d__x000a_[Horizontal Arrange]_x000d__x000a_Dimensions Interlocking=Yes_x000d__x000a_Sum Hierarchy=Yes_x000d__x000a_Generate 2" xfId="5"/>
    <cellStyle name=" Writer Import]_x000d__x000a_Display Dialog=No_x000d__x000a__x000d__x000a_[Horizontal Arrange]_x000d__x000a_Dimensions Interlocking=Yes_x000d__x000a_Sum Hierarchy=Yes_x000d__x000a_Generate_5.2" xfId="6"/>
    <cellStyle name="_Account UTPLagre Fund June 30, 2008" xfId="40524"/>
    <cellStyle name="_Account UTPLagre Fund June 30, 2008_Cashflow" xfId="41401"/>
    <cellStyle name="_Account UTPLagre Fund June 30, 2008_Cashflow 2" xfId="41402"/>
    <cellStyle name="_Account UTPLagre Fund June 30, 2008_JS Cash Fund Accounts June 2010 draf iv" xfId="40525"/>
    <cellStyle name="_Accounts - MMF 2010" xfId="42055"/>
    <cellStyle name="_Accounts AIF June-08-Annual-client" xfId="40526"/>
    <cellStyle name="_Accounts AIF June-08-Annual-client_JS Cash Fund Accounts June 2010 draf iv" xfId="40527"/>
    <cellStyle name="_accounts disclosure" xfId="120"/>
    <cellStyle name="_accounts disclosure 2" xfId="3277"/>
    <cellStyle name="_accounts disclosure_31 Dec Accounts 2009-NIUT" xfId="94"/>
    <cellStyle name="_accounts disclosure_31 Dec Accounts 2009-NIUT after element" xfId="95"/>
    <cellStyle name="_accounts disclosure_31 Dec Accounts 2009-NIUT b" xfId="97"/>
    <cellStyle name="_accounts disclosure_5.2" xfId="3192"/>
    <cellStyle name="_accounts disclosure_Accounts 2009-NIUT NON LOC-after RAJ final-signed" xfId="129"/>
    <cellStyle name="_accounts disclosure_After annexure changes NB final" xfId="99"/>
    <cellStyle name="_accounts disclosure_Cash Flow " xfId="7"/>
    <cellStyle name="_accounts disclosure_Cash flow working" xfId="5336"/>
    <cellStyle name="_accounts disclosure_Distribution " xfId="8"/>
    <cellStyle name="_accounts disclosure_Final disclosure final" xfId="100"/>
    <cellStyle name="_accounts disclosure_Income Statement" xfId="3662"/>
    <cellStyle name="_accounts disclosure_liability valuation - accounts disclosures" xfId="4847"/>
    <cellStyle name="_accounts disclosure_Notes 1-3" xfId="3663"/>
    <cellStyle name="_accounts disclosure_Sheet2" xfId="3664"/>
    <cellStyle name="_accounts disclosure_Statement of Financial Position" xfId="3665"/>
    <cellStyle name="_accounts disclosure_UHF" xfId="5335"/>
    <cellStyle name="_Accounts_June-08-Annual-updated" xfId="40528"/>
    <cellStyle name="_Accounts_June-08-Annual-updated_JS Cash Fund Accounts June 2010 draf iv" xfId="40529"/>
    <cellStyle name="_August 2009 LCF Schedules of Accounts" xfId="40530"/>
    <cellStyle name="_Book1" xfId="40531"/>
    <cellStyle name="_Book1_Accounts-AAA  30.06.2010 final" xfId="40532"/>
    <cellStyle name="_Book1_JS AAA Fund Accounts 28.02.2011" xfId="40533"/>
    <cellStyle name="_Book5" xfId="2507"/>
    <cellStyle name="_Book5_accounts AAAF formatted - UFV Reviewed" xfId="3028"/>
    <cellStyle name="_Book5_Dividend income - MCPF - June 30, 2010" xfId="2508"/>
    <cellStyle name="_Book5_Dividend income - MCPF - June 30, 2010_accounts AAAF formatted - UFV Reviewed" xfId="3029"/>
    <cellStyle name="_Book5_Dividend income - MCPF - June 30, 2010_Formatted accounts_AAAF_formatted_-_UFV_Reviewed" xfId="3030"/>
    <cellStyle name="_Book5_Formatted accounts_AAAF_formatted_-_UFV_Reviewed" xfId="3031"/>
    <cellStyle name="_Brokerage" xfId="2509"/>
    <cellStyle name="_brokerage final" xfId="2510"/>
    <cellStyle name="_brokerage final_accounts AAAF formatted - UFV Reviewed" xfId="3032"/>
    <cellStyle name="_brokerage final_Formatted accounts_AAAF_formatted_-_UFV_Reviewed" xfId="3033"/>
    <cellStyle name="_brokerage working final" xfId="2511"/>
    <cellStyle name="_brokerage working final_Formatted accounts_AAAF_formatted_-_UFV_Reviewed" xfId="3034"/>
    <cellStyle name="_Brokerage_accounts AAAF formatted - UFV Reviewed" xfId="3035"/>
    <cellStyle name="_Brokerage_Formatted accounts_AAAF_formatted_-_UFV_Reviewed" xfId="3036"/>
    <cellStyle name="_brokerage-HFT" xfId="2512"/>
    <cellStyle name="_brokerage-HFT_Formatted accounts_AAAF_formatted_-_UFV_Reviewed" xfId="3037"/>
    <cellStyle name="_cap gain" xfId="101"/>
    <cellStyle name="_cap gain 2" xfId="40679"/>
    <cellStyle name="_Copy of Draft Accounts June 30 2009 -(16-7-09) Done" xfId="40534"/>
    <cellStyle name="_Copy of MBF capital loss" xfId="2513"/>
    <cellStyle name="_Copy of MBF capital loss_accounts AAAF formatted - UFV Reviewed" xfId="3038"/>
    <cellStyle name="_Copy of MBF capital loss_Dividend income - MCPF - June 30, 2010" xfId="2514"/>
    <cellStyle name="_Copy of MBF capital loss_Dividend income - MCPF - June 30, 2010_accounts AAAF formatted - UFV Reviewed" xfId="3039"/>
    <cellStyle name="_Copy of MBF capital loss_Dividend income - MCPF - June 30, 2010_Formatted accounts_AAAF_formatted_-_UFV_Reviewed" xfId="3040"/>
    <cellStyle name="_Copy of MBF capital loss_Formatted accounts_AAAF_formatted_-_UFV_Reviewed" xfId="3041"/>
    <cellStyle name="_Copy of MBF capital loss_MCPF investement 2010" xfId="2515"/>
    <cellStyle name="_Copy of MBF capital loss_MCPF investement 2010_accounts AAAF formatted - UFV Reviewed" xfId="3042"/>
    <cellStyle name="_Copy of MBF capital loss_MCPF investement 2010_Formatted accounts_AAAF_formatted_-_UFV_Reviewed" xfId="3043"/>
    <cellStyle name="_CPF - Draft Accounts after KJ review" xfId="102"/>
    <cellStyle name="_CPF - Draft Accounts after KJ review 10" xfId="3666"/>
    <cellStyle name="_CPF - Draft Accounts after KJ review 11" xfId="3667"/>
    <cellStyle name="_CPF - Draft Accounts after KJ review 12" xfId="3668"/>
    <cellStyle name="_CPF - Draft Accounts after KJ review 13" xfId="3669"/>
    <cellStyle name="_CPF - Draft Accounts after KJ review 14" xfId="3670"/>
    <cellStyle name="_CPF - Draft Accounts after KJ review 15" xfId="4960"/>
    <cellStyle name="_CPF - Draft Accounts after KJ review 16" xfId="3671"/>
    <cellStyle name="_CPF - Draft Accounts after KJ review 17" xfId="1841"/>
    <cellStyle name="_CPF - Draft Accounts after KJ review 18" xfId="3672"/>
    <cellStyle name="_CPF - Draft Accounts after KJ review 19" xfId="1785"/>
    <cellStyle name="_CPF - Draft Accounts after KJ review 2" xfId="138"/>
    <cellStyle name="_CPF - Draft Accounts after KJ review 20" xfId="4959"/>
    <cellStyle name="_CPF - Draft Accounts after KJ review 21" xfId="5392"/>
    <cellStyle name="_CPF - Draft Accounts after KJ review 22" xfId="3278"/>
    <cellStyle name="_CPF - Draft Accounts after KJ review 23" xfId="3673"/>
    <cellStyle name="_CPF - Draft Accounts after KJ review 24" xfId="3279"/>
    <cellStyle name="_CPF - Draft Accounts after KJ review 25" xfId="3675"/>
    <cellStyle name="_CPF - Draft Accounts after KJ review 26" xfId="3676"/>
    <cellStyle name="_CPF - Draft Accounts after KJ review 27" xfId="3677"/>
    <cellStyle name="_CPF - Draft Accounts after KJ review 28" xfId="4852"/>
    <cellStyle name="_CPF - Draft Accounts after KJ review 29" xfId="3678"/>
    <cellStyle name="_CPF - Draft Accounts after KJ review 3" xfId="3679"/>
    <cellStyle name="_CPF - Draft Accounts after KJ review 4" xfId="3680"/>
    <cellStyle name="_CPF - Draft Accounts after KJ review 5" xfId="3681"/>
    <cellStyle name="_CPF - Draft Accounts after KJ review 6" xfId="3682"/>
    <cellStyle name="_CPF - Draft Accounts after KJ review 7" xfId="3683"/>
    <cellStyle name="_CPF - Draft Accounts after KJ review 8" xfId="3684"/>
    <cellStyle name="_CPF - Draft Accounts after KJ review 9" xfId="3685"/>
    <cellStyle name="_dividend" xfId="103"/>
    <cellStyle name="_dividend 2" xfId="40680"/>
    <cellStyle name="_dividend working" xfId="2516"/>
    <cellStyle name="_dividend working_accounts AAAF formatted - UFV Reviewed" xfId="3044"/>
    <cellStyle name="_dividend working_Formatted accounts_AAAF_formatted_-_UFV_Reviewed" xfId="3045"/>
    <cellStyle name="_Draft Accounts received from Deloitte 25-07-2008" xfId="40535"/>
    <cellStyle name="_Draft Accounts received from Deloitte 25-07-2008_JS Cash Fund Accounts June 2010 draf iv" xfId="40536"/>
    <cellStyle name="_Expenses MIF final" xfId="2517"/>
    <cellStyle name="_Expenses MIF final_Formatted accounts_AAAF_formatted_-_UFV_Reviewed" xfId="3046"/>
    <cellStyle name="_exposure compliance sector wise and entity wise 020110" xfId="2518"/>
    <cellStyle name="_exposure compliance sector wise and entity wise 020110_accounts AAAF formatted - UFV Reviewed" xfId="3047"/>
    <cellStyle name="_exposure compliance sector wise and entity wise 020110_Dividend income - MCPF - June 30, 2010" xfId="2519"/>
    <cellStyle name="_exposure compliance sector wise and entity wise 020110_Dividend income - MCPF - June 30, 2010_accounts AAAF formatted - UFV Reviewed" xfId="3048"/>
    <cellStyle name="_exposure compliance sector wise and entity wise 020110_Dividend income - MCPF - June 30, 2010_Formatted accounts_AAAF_formatted_-_UFV_Reviewed" xfId="3049"/>
    <cellStyle name="_exposure compliance sector wise and entity wise 020110_Formatted accounts_AAAF_formatted_-_UFV_Reviewed" xfId="3050"/>
    <cellStyle name="_exposure compliance sector wise and entity wise 020110_MCPF investement 2010" xfId="2520"/>
    <cellStyle name="_exposure compliance sector wise and entity wise 020110_MCPF investement 2010_accounts AAAF formatted - UFV Reviewed" xfId="3051"/>
    <cellStyle name="_exposure compliance sector wise and entity wise 020110_MCPF investement 2010_Formatted accounts_AAAF_formatted_-_UFV_Reviewed" xfId="3052"/>
    <cellStyle name="_Extra disclosure - final" xfId="125"/>
    <cellStyle name="_Extra disclosure - final 2" xfId="40681"/>
    <cellStyle name="_Extra disclosure - final_~4456819" xfId="134"/>
    <cellStyle name="_Extra disclosure - final_~4456819 2" xfId="40682"/>
    <cellStyle name="_Extra disclosure - final_~4456819_Copy of DCF Accounts V19 after client changes" xfId="119"/>
    <cellStyle name="_Extra disclosure - final_~4456819_Copy of DCF Accounts V19 after client changes 2" xfId="40683"/>
    <cellStyle name="_Extra disclosure - final_~4456819_Copy of UHF DAF- Final" xfId="127"/>
    <cellStyle name="_Extra disclosure - final_~4456819_Element dec 2010'asf" xfId="130"/>
    <cellStyle name="_Extra disclosure - final_Accounts DCF Dec 31,2008 Auditors - Changes" xfId="121"/>
    <cellStyle name="_Extra disclosure - final_Accounts DCF Dec 31,2008 Auditors - Changes 2" xfId="40684"/>
    <cellStyle name="_Extra disclosure - final_Accounts DCF Dec 31,2008 Auditors - Changes_Copy of DCF Accounts V19 after client changes" xfId="118"/>
    <cellStyle name="_Extra disclosure - final_Accounts DCF Dec 31,2008 Auditors - Changes_Copy of DCF Accounts V19 after client changes 2" xfId="40685"/>
    <cellStyle name="_Extra disclosure - final_Accounts DCF Dec 31,2008 Auditors - Changes_Copy of UHF DAF- Final" xfId="135"/>
    <cellStyle name="_Extra disclosure - final_Accounts DCF Dec 31,2008 Auditors - Changes_Element dec 2010'asf" xfId="104"/>
    <cellStyle name="_Extra disclosure - final_Copy of DCF Accounts V19 after client changes" xfId="132"/>
    <cellStyle name="_Extra disclosure - final_Copy of DCF Accounts V19 after client changes 2" xfId="40686"/>
    <cellStyle name="_Extra disclosure - final_DCF Accounts V22" xfId="140"/>
    <cellStyle name="_Extra disclosure - final_DCF Accounts V22 (4)" xfId="40688"/>
    <cellStyle name="_Extra disclosure - final_DCF Accounts V22 2" xfId="40687"/>
    <cellStyle name="_Extra disclosure - final_SMF_Accounts_after_KB_changes" xfId="137"/>
    <cellStyle name="_FINALIFRS-LOC Accounts -(30June09)" xfId="136"/>
    <cellStyle name="_FINALIFRS-LOC Accounts -(30June09) 2" xfId="105"/>
    <cellStyle name="_FINALIFRS-LOC Accounts -(30June09) 3" xfId="124"/>
    <cellStyle name="_FINALIFRS-LOC Accounts -(30June09)_5.2" xfId="3686"/>
    <cellStyle name="_FINALIFRS-LOC Accounts -(30June09)_Accounts 2009-NIUT NON LOC-after RAJ final-signed" xfId="139"/>
    <cellStyle name="_FINALIFRS-LOC Accounts -(30June09)_Accounts 2009-NIUT NON LOC-after RAJ final-signed 2" xfId="106"/>
    <cellStyle name="_FINALIFRS-LOC Accounts -(30June09)_Accounts 2009-NIUT NON LOC-after RAJ final-signed_Accounts(31Dec2010)-SEF(FINAL)" xfId="3687"/>
    <cellStyle name="_FINALIFRS-LOC Accounts -(30June09)_Accounts 2009-NIUT NON LOC-after RAJ final-signed_Accounts(31Dec2010)-SEF(for client)" xfId="3688"/>
    <cellStyle name="_FINALIFRS-LOC Accounts -(30June09)_Accounts 2009-NIUT NON LOC-after RAJ final-signed_Accounts(31Dec2010)-SEF(formated-final" xfId="3689"/>
    <cellStyle name="_FINALIFRS-LOC Accounts -(30June09)_Accounts 2009-NIUT NON LOC-after RAJ final-signed_Cash Flow " xfId="9"/>
    <cellStyle name="_FINALIFRS-LOC Accounts -(30June09)_Accounts 2009-NIUT NON LOC-after RAJ final-signed_Cash flow working" xfId="3690"/>
    <cellStyle name="_FINALIFRS-LOC Accounts -(30June09)_Accounts 2009-NIUT NON LOC-after RAJ final-signed_Distribution " xfId="10"/>
    <cellStyle name="_FINALIFRS-LOC Accounts -(30June09)_Accounts 2009-NIUT NON LOC-after RAJ final-signed_Income Statement" xfId="3691"/>
    <cellStyle name="_FINALIFRS-LOC Accounts -(30June09)_Accounts 2009-NIUT NON LOC-after RAJ final-signed_Sheet2" xfId="3692"/>
    <cellStyle name="_FINALIFRS-LOC Accounts -(30June09)_Accounts 2009-NIUT NON LOC-after RAJ final-signed_Statement of Financial Position" xfId="3542"/>
    <cellStyle name="_FINALIFRS-LOC Accounts -(30June09)_Cash Flow " xfId="11"/>
    <cellStyle name="_FINALIFRS-LOC Accounts -(30June09)_Cash flow working" xfId="5259"/>
    <cellStyle name="_FINALIFRS-LOC Accounts -(30June09)_Distribution " xfId="12"/>
    <cellStyle name="_FINALIFRS-LOC Accounts -(30June09)_For Print" xfId="107"/>
    <cellStyle name="_FINALIFRS-LOC Accounts -(30June09)_Income Statement" xfId="3543"/>
    <cellStyle name="_FINALIFRS-LOC Accounts -(30June09)_liability valuation - accounts disclosures" xfId="3693"/>
    <cellStyle name="_FINALIFRS-LOC Accounts -(30June09)_liability valuation - accounts disclosures 2" xfId="3694"/>
    <cellStyle name="_FINALIFRS-LOC Accounts -(30June09)_Notes 1-3" xfId="3695"/>
    <cellStyle name="_FINALIFRS-LOC Accounts -(30June09)_Sheet2" xfId="108"/>
    <cellStyle name="_FINALIFRS-LOC Accounts -(30June09)_Sheet2 2" xfId="3280"/>
    <cellStyle name="_FINALIFRS-LOC Accounts -(30June09)_Sheet2_1" xfId="3281"/>
    <cellStyle name="_FINALIFRS-LOC Accounts -(30June09)_Sheet2_5.2" xfId="3282"/>
    <cellStyle name="_FINALIFRS-LOC Accounts -(30June09)_Sheet2_Cash Flow " xfId="13"/>
    <cellStyle name="_FINALIFRS-LOC Accounts -(30June09)_Sheet2_Cash flow working" xfId="3283"/>
    <cellStyle name="_FINALIFRS-LOC Accounts -(30June09)_Sheet2_Distribution " xfId="14"/>
    <cellStyle name="_FINALIFRS-LOC Accounts -(30June09)_Sheet2_Income Statement" xfId="3284"/>
    <cellStyle name="_FINALIFRS-LOC Accounts -(30June09)_Sheet2_liability valuation - accounts disclosures" xfId="3285"/>
    <cellStyle name="_FINALIFRS-LOC Accounts -(30June09)_Sheet2_Notes 1-3" xfId="3286"/>
    <cellStyle name="_FINALIFRS-LOC Accounts -(30June09)_Sheet2_Sheet2" xfId="3544"/>
    <cellStyle name="_FINALIFRS-LOC Accounts -(30June09)_Sheet2_Statement of Financial Position" xfId="3696"/>
    <cellStyle name="_FINALIFRS-LOC Accounts -(30June09)_Sheet2_UHF" xfId="3697"/>
    <cellStyle name="_FINALIFRS-LOC Accounts -(30June09)_Statement of Financial Position" xfId="3287"/>
    <cellStyle name="_FINALIFRS-LOC Accounts -(30June09)_UHF" xfId="3288"/>
    <cellStyle name="_FINALIFRS-LOC Accounts -(30June09)_Xl0000000" xfId="109"/>
    <cellStyle name="_FINALIFRS-LOC Accounts -(30June09)_Xl0000000 2" xfId="3289"/>
    <cellStyle name="_FINALIFRS-LOC Accounts -(30June09)_Xl0000000_31 Dec Accounts 2009-NIUT" xfId="110"/>
    <cellStyle name="_FINALIFRS-LOC Accounts -(30June09)_Xl0000000_31 Dec Accounts 2009-NIUT after element" xfId="128"/>
    <cellStyle name="_FINALIFRS-LOC Accounts -(30June09)_Xl0000000_31 Dec Accounts 2009-NIUT b" xfId="133"/>
    <cellStyle name="_FINALIFRS-LOC Accounts -(30June09)_Xl0000000_5.2" xfId="4999"/>
    <cellStyle name="_FINALIFRS-LOC Accounts -(30June09)_Xl0000000_Accounts 2009-NIUT NON LOC-after RAJ final-signed" xfId="91"/>
    <cellStyle name="_FINALIFRS-LOC Accounts -(30June09)_Xl0000000_After annexure changes NB final" xfId="126"/>
    <cellStyle name="_FINALIFRS-LOC Accounts -(30June09)_Xl0000000_Cash Flow " xfId="15"/>
    <cellStyle name="_FINALIFRS-LOC Accounts -(30June09)_Xl0000000_Cash flow working" xfId="3698"/>
    <cellStyle name="_FINALIFRS-LOC Accounts -(30June09)_Xl0000000_Distribution " xfId="16"/>
    <cellStyle name="_FINALIFRS-LOC Accounts -(30June09)_Xl0000000_Final disclosure final" xfId="113"/>
    <cellStyle name="_FINALIFRS-LOC Accounts -(30June09)_Xl0000000_Income Statement" xfId="3545"/>
    <cellStyle name="_FINALIFRS-LOC Accounts -(30June09)_Xl0000000_Notes 1-3" xfId="3546"/>
    <cellStyle name="_FINALIFRS-LOC Accounts -(30June09)_Xl0000000_Sheet2" xfId="3547"/>
    <cellStyle name="_FINALIFRS-LOC Accounts -(30June09)_Xl0000000_Statement of Financial Position" xfId="5452"/>
    <cellStyle name="_FINALIFRS-LOC Accounts -(30June09)_Xl0000000_UHF" xfId="3548"/>
    <cellStyle name="_ForwardMCR" xfId="42056"/>
    <cellStyle name="_F-R - 2008" xfId="8502"/>
    <cellStyle name="_Group exposure compliance final 020110" xfId="2521"/>
    <cellStyle name="_Group exposure compliance final 020110_accounts AAAF formatted - UFV Reviewed" xfId="3053"/>
    <cellStyle name="_Group exposure compliance final 020110_Dividend income - MCPF - June 30, 2010" xfId="2522"/>
    <cellStyle name="_Group exposure compliance final 020110_Dividend income - MCPF - June 30, 2010_accounts AAAF formatted - UFV Reviewed" xfId="3054"/>
    <cellStyle name="_Group exposure compliance final 020110_Dividend income - MCPF - June 30, 2010_Formatted accounts_AAAF_formatted_-_UFV_Reviewed" xfId="3055"/>
    <cellStyle name="_Group exposure compliance final 020110_Formatted accounts_AAAF_formatted_-_UFV_Reviewed" xfId="3056"/>
    <cellStyle name="_Group exposure compliance final 020110_MCPF investement 2010" xfId="2523"/>
    <cellStyle name="_Group exposure compliance final 020110_MCPF investement 2010_accounts AAAF formatted - UFV Reviewed" xfId="3057"/>
    <cellStyle name="_Group exposure compliance final 020110_MCPF investement 2010_Formatted accounts_AAAF_formatted_-_UFV_Reviewed" xfId="3058"/>
    <cellStyle name="_inv top sheet" xfId="3549"/>
    <cellStyle name="_Investments" xfId="8503"/>
    <cellStyle name="_Investments_Bank 2009" xfId="8504"/>
    <cellStyle name="_Investments_revenue accrued income and surplus" xfId="8505"/>
    <cellStyle name="_Investments_ZAKAT DEDUCTIONS" xfId="8506"/>
    <cellStyle name="_investmnet HFT 2010" xfId="2524"/>
    <cellStyle name="_investmnet HFT 2010_Formatted accounts_AAAF_formatted_-_UFV_Reviewed" xfId="3059"/>
    <cellStyle name="_JS FOF Accounts 30-06-2009 with complete disclosures" xfId="8507"/>
    <cellStyle name="_JS FOF Accounts 30-06-2009 with complete disclosures 2" xfId="40537"/>
    <cellStyle name="_JS FOF Accounts 30-06-2009 with complete disclosures_JS AAA Fund Accounts 28.02.2011" xfId="40538"/>
    <cellStyle name="_June 2009 LCF FINAL" xfId="40539"/>
    <cellStyle name="_June 2009 LCF FINAL_Cashflow" xfId="41403"/>
    <cellStyle name="_June 2009 LCF FINAL_JS Cash Fund Accounts June 2010 draf iv" xfId="40540"/>
    <cellStyle name="_June 2010 LCF FINAL" xfId="40541"/>
    <cellStyle name="_Liabilities ( Income Fund)" xfId="42057"/>
    <cellStyle name="_Liabilities ( Income Fund) 2" xfId="42058"/>
    <cellStyle name="_Liabilities ( Income Fund)_Accounts - Stock Fund 2010 (18-8-10)" xfId="42059"/>
    <cellStyle name="_Liabilities ( Income Fund)_Quarter ended September 30, 2010" xfId="42060"/>
    <cellStyle name="_Liabilities ( Income Fund)_Xl0000151" xfId="42061"/>
    <cellStyle name="_May 2010 LCF FINAL" xfId="40542"/>
    <cellStyle name="_MBF - average report" xfId="2525"/>
    <cellStyle name="_MBF - average report_accounts AAAF formatted - UFV Reviewed" xfId="3060"/>
    <cellStyle name="_MBF - average report_Dividend income - MCPF - June 30, 2010" xfId="2526"/>
    <cellStyle name="_MBF - average report_Dividend income - MCPF - June 30, 2010_accounts AAAF formatted - UFV Reviewed" xfId="3061"/>
    <cellStyle name="_MBF - average report_Dividend income - MCPF - June 30, 2010_Formatted accounts_AAAF_formatted_-_UFV_Reviewed" xfId="3062"/>
    <cellStyle name="_MBF - average report_Formatted accounts_AAAF_formatted_-_UFV_Reviewed" xfId="3063"/>
    <cellStyle name="_MBF - average report_MCPF investement 2010" xfId="2527"/>
    <cellStyle name="_MBF - average report_MCPF investement 2010_accounts AAAF formatted - UFV Reviewed" xfId="3064"/>
    <cellStyle name="_MBF - average report_MCPF investement 2010_Formatted accounts_AAAF_formatted_-_UFV_Reviewed" xfId="3065"/>
    <cellStyle name="_MCPF HFT" xfId="2528"/>
    <cellStyle name="_MCPF HFT_accounts AAAF formatted - UFV Reviewed" xfId="3066"/>
    <cellStyle name="_MCPF HFT_Formatted accounts_AAAF_formatted_-_UFV_Reviewed" xfId="3067"/>
    <cellStyle name="_MCR December 2007" xfId="42062"/>
    <cellStyle name="_MIF Investments 2010" xfId="2529"/>
    <cellStyle name="_MIF Investments 2010_Formatted accounts_AAAF_formatted_-_UFV_Reviewed" xfId="3068"/>
    <cellStyle name="_MIF TOTAL" xfId="2530"/>
    <cellStyle name="_MIF TOTAL_accounts AAAF formatted - UFV Reviewed" xfId="3069"/>
    <cellStyle name="_MIF TOTAL_Dividend income - MCPF - June 30, 2010" xfId="2531"/>
    <cellStyle name="_MIF TOTAL_Dividend income - MCPF - June 30, 2010_accounts AAAF formatted - UFV Reviewed" xfId="3070"/>
    <cellStyle name="_MIF TOTAL_Dividend income - MCPF - June 30, 2010_Formatted accounts_AAAF_formatted_-_UFV_Reviewed" xfId="3071"/>
    <cellStyle name="_MIF TOTAL_Formatted accounts_AAAF_formatted_-_UFV_Reviewed" xfId="3072"/>
    <cellStyle name="_MIF TOTAL_MCPF investement 2010" xfId="2532"/>
    <cellStyle name="_MIF TOTAL_MCPF investement 2010_accounts AAAF formatted - UFV Reviewed" xfId="3073"/>
    <cellStyle name="_MIF TOTAL_MCPF investement 2010_Formatted accounts_AAAF_formatted_-_UFV_Reviewed" xfId="3074"/>
    <cellStyle name="_moving average HFT" xfId="2533"/>
    <cellStyle name="_moving average HFT_accounts AAAF formatted - UFV Reviewed" xfId="3075"/>
    <cellStyle name="_moving average HFT_Dividend income - MCPF - June 30, 2010" xfId="2534"/>
    <cellStyle name="_moving average HFT_Dividend income - MCPF - June 30, 2010_accounts AAAF formatted - UFV Reviewed" xfId="3076"/>
    <cellStyle name="_moving average HFT_Dividend income - MCPF - June 30, 2010_Formatted accounts_AAAF_formatted_-_UFV_Reviewed" xfId="3077"/>
    <cellStyle name="_moving average HFT_Formatted accounts_AAAF_formatted_-_UFV_Reviewed" xfId="3078"/>
    <cellStyle name="_moving average HFT_MCPF investement 2010" xfId="2535"/>
    <cellStyle name="_moving average HFT_MCPF investement 2010_accounts AAAF formatted - UFV Reviewed" xfId="3079"/>
    <cellStyle name="_moving average HFT_MCPF investement 2010_Formatted accounts_AAAF_formatted_-_UFV_Reviewed" xfId="3080"/>
    <cellStyle name="_nisha unrealised gain" xfId="2536"/>
    <cellStyle name="_nisha unrealised gain_accounts AAAF formatted - UFV Reviewed" xfId="3081"/>
    <cellStyle name="_nisha unrealised gain_Capital Gain - MCPF 2010" xfId="2537"/>
    <cellStyle name="_nisha unrealised gain_Capital Gain - MCPF 2010_accounts AAAF formatted - UFV Reviewed" xfId="3082"/>
    <cellStyle name="_nisha unrealised gain_Capital Gain - MCPF 2010_Formatted accounts_AAAF_formatted_-_UFV_Reviewed" xfId="3083"/>
    <cellStyle name="_nisha unrealised gain_Formatted accounts_AAAF_formatted_-_UFV_Reviewed" xfId="3084"/>
    <cellStyle name="_non managment Gratuity" xfId="8508"/>
    <cellStyle name="_non managment Gratuity_Bank 2009" xfId="8509"/>
    <cellStyle name="_non managment Gratuity_revenue accrued income and surplus" xfId="8510"/>
    <cellStyle name="_non managment Gratuity_ZAKAT DEDUCTIONS" xfId="8511"/>
    <cellStyle name="_November 2009 LCF FINAL" xfId="40543"/>
    <cellStyle name="_PF ACCOUNT Jan to Dec 05 (17-04-2006)" xfId="8512"/>
    <cellStyle name="_PF ACCOUNT Jan to Dec 05 (17-04-2006)_Accounts 2008" xfId="8513"/>
    <cellStyle name="_PF ACCOUNT Jan to Dec 05 (17-04-2006)_Bank 2009" xfId="8514"/>
    <cellStyle name="_PF ACCOUNT Jan to Dec 05 (17-04-2006)_members account" xfId="8515"/>
    <cellStyle name="_PF ACCOUNT Jan to Dec 05 (17-04-2006)_ZAKAT DEDUCTIONS" xfId="8516"/>
    <cellStyle name="_PF ACCOUNT Jan to Dec 05 (17-04-2006)_ZAKAT DEDUCTIONS_Investments" xfId="8517"/>
    <cellStyle name="_PGF june 2008" xfId="141"/>
    <cellStyle name="_PGF june 2008 2" xfId="40689"/>
    <cellStyle name="_realised gain on sale of investment" xfId="2538"/>
    <cellStyle name="_realised gain on sale of investment_accounts AAAF formatted - UFV Reviewed" xfId="3085"/>
    <cellStyle name="_realised gain on sale of investment_Capital Gain - MCPF 2010" xfId="2539"/>
    <cellStyle name="_realised gain on sale of investment_Capital Gain - MCPF 2010_accounts AAAF formatted - UFV Reviewed" xfId="3086"/>
    <cellStyle name="_realised gain on sale of investment_Capital Gain - MCPF 2010_Formatted accounts_AAAF_formatted_-_UFV_Reviewed" xfId="3087"/>
    <cellStyle name="_realised gain on sale of investment_Formatted accounts_AAAF_formatted_-_UFV_Reviewed" xfId="3088"/>
    <cellStyle name="_Revised Notes l Accounts Final 04.03.2009" xfId="42063"/>
    <cellStyle name="_Revised Notes l Accounts Final 04.03.2009_Consolidatd Form 1A" xfId="42064"/>
    <cellStyle name="_Revised Notes l Accounts Final 04.03.2009_Consolidatd Form 1A_1. SBP QRC 30 Sep 10 (Trial 22oct) Final" xfId="42065"/>
    <cellStyle name="_Revised Notes l Accounts Final 04.03.2009_Deposits" xfId="42066"/>
    <cellStyle name="_Revised Notes l Accounts Final 04.03.2009_depost govt. parites" xfId="42067"/>
    <cellStyle name="_Revised Notes l Accounts Final 04.03.2009_FORM 12" xfId="42068"/>
    <cellStyle name="_Revised Notes l Accounts Final 04.03.2009_Form 13" xfId="42069"/>
    <cellStyle name="_Revised Notes l Accounts Final 04.03.2009_FORM 15 06-07" xfId="42070"/>
    <cellStyle name="_Revised Notes l Accounts Final 04.03.2009_FORM 16 " xfId="42071"/>
    <cellStyle name="_Revised Notes l Accounts Final 04.03.2009_FORM 18" xfId="42072"/>
    <cellStyle name="_Revised Notes l Accounts Final 04.03.2009_FORM 1A" xfId="42073"/>
    <cellStyle name="_Revised Notes l Accounts Final 04.03.2009_Form 1-A" xfId="42074"/>
    <cellStyle name="_Revised Notes l Accounts Final 04.03.2009_FORM 22" xfId="42075"/>
    <cellStyle name="_Revised Notes l Accounts Final 04.03.2009_FORM 23" xfId="42076"/>
    <cellStyle name="_Revised Notes l Accounts Final 04.03.2009_FORM 24" xfId="42077"/>
    <cellStyle name="_Revised Notes l Accounts Final 04.03.2009_FORM 3 B" xfId="42078"/>
    <cellStyle name="_Revised Notes l Accounts Final 04.03.2009_Form 3 C" xfId="42079"/>
    <cellStyle name="_Revised Notes l Accounts Final 04.03.2009_Form 3 D" xfId="42080"/>
    <cellStyle name="_Revised Notes l Accounts Final 04.03.2009_Form 35" xfId="42081"/>
    <cellStyle name="_Revised Notes l Accounts Final 04.03.2009_Govt. Advances" xfId="42082"/>
    <cellStyle name="_Revised Notes l Accounts Final 04.03.2009_Output 1 (299 AO)" xfId="42083"/>
    <cellStyle name="_Revised Notes l Accounts Final 04.03.2009_SBP QRC 31 12 09 (Jan 24)" xfId="42084"/>
    <cellStyle name="_SAP Break ups for Dec 2008" xfId="114"/>
    <cellStyle name="_SBP QUERY 22 05 2009" xfId="42085"/>
    <cellStyle name="_SBP Standalone" xfId="42086"/>
    <cellStyle name="_SBP-ORM-SA-DEC08" xfId="42087"/>
    <cellStyle name="_schedule_4" xfId="40544"/>
    <cellStyle name="_schedule_4 2" xfId="41404"/>
    <cellStyle name="_schedule_4_Cashflow" xfId="41405"/>
    <cellStyle name="_schedule_4_Cashflow 2" xfId="41406"/>
    <cellStyle name="_schedule_4_JS Cash Fund Accounts June 2010 draf iv" xfId="40545"/>
    <cellStyle name="_September 2009 LCF FINAL" xfId="40546"/>
    <cellStyle name="_Sheet1 (2)" xfId="2540"/>
    <cellStyle name="_Sheet1 (2) 2" xfId="8518"/>
    <cellStyle name="_Sheet1 (2)_format of accounts" xfId="8519"/>
    <cellStyle name="_Sheet1 (2)_format of accounts 2" xfId="8520"/>
    <cellStyle name="_Sheet1 (2)_Formatted accounts_AAAF_formatted_-_UFV_Reviewed" xfId="3089"/>
    <cellStyle name="_Sheet1 (2)_Income" xfId="3090"/>
    <cellStyle name="_Sheet1 (2)_Income_Formatted accounts_AAAF_formatted_-_UFV_Reviewed" xfId="3091"/>
    <cellStyle name="_standalone" xfId="42088"/>
    <cellStyle name="_Standalone Financial Accounts  - June 2008- July 18, 2008 Final" xfId="42089"/>
    <cellStyle name="_Technology MI September v2NB" xfId="116"/>
    <cellStyle name="_Technology MI September v2NB 2" xfId="3699"/>
    <cellStyle name="_Technology MI September v2NB_5.2" xfId="5260"/>
    <cellStyle name="_Technology MI September v2NB_Accounts (PCF)" xfId="117"/>
    <cellStyle name="_Technology MI September v2NB_Cash Flow " xfId="17"/>
    <cellStyle name="_Technology MI September v2NB_Cash flow working" xfId="3700"/>
    <cellStyle name="_Technology MI September v2NB_disclosure investment emof" xfId="142"/>
    <cellStyle name="_Technology MI September v2NB_Distribution " xfId="18"/>
    <cellStyle name="_Technology MI September v2NB_Final_Accounts_2009" xfId="143"/>
    <cellStyle name="_Technology MI September v2NB_Final_Accounts_2009_Accounts June 30, 2012 IF - 2nd Draft" xfId="144"/>
    <cellStyle name="_Technology MI September v2NB_Formatted accounts_AAAF_formatted_-_UFV_Reviewed" xfId="3092"/>
    <cellStyle name="_Technology MI September v2NB_Income Statement" xfId="3701"/>
    <cellStyle name="_Technology MI September v2NB_Income-Statement" xfId="145"/>
    <cellStyle name="_Technology MI September v2NB_Income-Statement_Accounts June 30, 2012 IF - 2nd Draft" xfId="146"/>
    <cellStyle name="_Technology MI September v2NB_Movement in UHF" xfId="147"/>
    <cellStyle name="_Technology MI September v2NB_Movement in UHF_Accounts June 30, 2012 IF - 2nd Draft" xfId="148"/>
    <cellStyle name="_Technology MI September v2NB_NIT-EMOF SEP Accounts 2009" xfId="149"/>
    <cellStyle name="_Technology MI September v2NB_NIUT LOC Sensitivity Analysis latest" xfId="150"/>
    <cellStyle name="_Technology MI September v2NB_Note 11-20" xfId="151"/>
    <cellStyle name="_Technology MI September v2NB_Note 11-20_Accounts June 30, 2012 IF - 2nd Draft" xfId="152"/>
    <cellStyle name="_Technology MI September v2NB_Notes 1-3" xfId="5001"/>
    <cellStyle name="_Technology MI September v2NB_Sales &amp; Redemption summary" xfId="153"/>
    <cellStyle name="_Technology MI September v2NB_Sheet2" xfId="3702"/>
    <cellStyle name="_Technology MI September v2NB_Statement" xfId="154"/>
    <cellStyle name="_Technology MI September v2NB_Statement of Financial Position" xfId="3703"/>
    <cellStyle name="_Technology MI September v2NB_Statement_Accounts June 30, 2012 IF - 2nd Draft" xfId="155"/>
    <cellStyle name="_Technology MI September v2NB_UHF" xfId="3704"/>
    <cellStyle name="_UBL Accounts 2007" xfId="42090"/>
    <cellStyle name="_UBL Accounts 2007_1. SBP QRC 30 Sep 10 (Trial 22oct) Final" xfId="42091"/>
    <cellStyle name="_UTP Accounts June 2010" xfId="40547"/>
    <cellStyle name="_verfication purchases and sales" xfId="2541"/>
    <cellStyle name="_verfication purchases and sales_Formatted accounts_AAAF_formatted_-_UFV_Reviewed" xfId="3093"/>
    <cellStyle name="_Worksheet in 3501 Capital Loss on Sale of Securities - Verification" xfId="40396"/>
    <cellStyle name="_Worksheet in 3501 Capital Loss on Sale of Securities - Verification 2" xfId="43433"/>
    <cellStyle name="_Worksheet in 5244 Substantive test of Purchase of securities CMA Sampling" xfId="40397"/>
    <cellStyle name="_Worksheet in 5244 Substantive test of Purchase of securities CMA Sampling 2" xfId="43434"/>
    <cellStyle name="_Worksheet in 5252 CMA Sampling &amp; Verification Worksheet for Purchases till 31st May 2006" xfId="40398"/>
    <cellStyle name="_Worksheet in 5252 CMA Sampling &amp; Verification Worksheet for Purchases till 31st May 2006 2" xfId="43435"/>
    <cellStyle name="_Worksheet in 5256 CMA Sampling &amp; Verification Worksheet for June 2007" xfId="40399"/>
    <cellStyle name="_Worksheet in 5256 CMA Sampling &amp; Verification Worksheet for June 2007 2" xfId="43436"/>
    <cellStyle name="_Worksheet in 5342 Purchase of securities" xfId="40400"/>
    <cellStyle name="_Worksheet in 5342 Purchase of securities 2" xfId="43437"/>
    <cellStyle name="£ BP" xfId="156"/>
    <cellStyle name="£ BP 2" xfId="157"/>
    <cellStyle name="£ BP 2 2" xfId="158"/>
    <cellStyle name="£ BP 2 2 2" xfId="8521"/>
    <cellStyle name="£ BP 2 3" xfId="8522"/>
    <cellStyle name="£ BP 2 4" xfId="8523"/>
    <cellStyle name="£ BP 3" xfId="159"/>
    <cellStyle name="£ BP 3 2" xfId="2923"/>
    <cellStyle name="£ BP 4" xfId="160"/>
    <cellStyle name="£ BP 4 2" xfId="8524"/>
    <cellStyle name="£ BP_CDC RECON AND MARK TO MARKET" xfId="2542"/>
    <cellStyle name="¥ JY" xfId="161"/>
    <cellStyle name="¥ JY 2" xfId="162"/>
    <cellStyle name="¥ JY 2 2" xfId="163"/>
    <cellStyle name="¥ JY 2 2 2" xfId="8525"/>
    <cellStyle name="¥ JY 2 3" xfId="8526"/>
    <cellStyle name="¥ JY 2 4" xfId="8527"/>
    <cellStyle name="¥ JY 3" xfId="164"/>
    <cellStyle name="¥ JY 3 2" xfId="2924"/>
    <cellStyle name="¥ JY 4" xfId="165"/>
    <cellStyle name="¥ JY 4 2" xfId="8528"/>
    <cellStyle name="¥ JY_CDC RECON AND MARK TO MARKET" xfId="2543"/>
    <cellStyle name="=C:\WINDOWS\SYSTEM32\COMMAND.COM" xfId="42092"/>
    <cellStyle name="=C:\WINNT\SYSTEM32\COMMAND.COM" xfId="44"/>
    <cellStyle name="=C:\WINNT\SYSTEM32\COMMAND.COM 10" xfId="2388"/>
    <cellStyle name="=C:\WINNT\SYSTEM32\COMMAND.COM 10 2" xfId="5002"/>
    <cellStyle name="=C:\WINNT\SYSTEM32\COMMAND.COM 10 3" xfId="40548"/>
    <cellStyle name="=C:\WINNT\SYSTEM32\COMMAND.COM 11" xfId="2389"/>
    <cellStyle name="=C:\WINNT\SYSTEM32\COMMAND.COM 11 2" xfId="3705"/>
    <cellStyle name="=C:\WINNT\SYSTEM32\COMMAND.COM 11 3" xfId="41770"/>
    <cellStyle name="=C:\WINNT\SYSTEM32\COMMAND.COM 12" xfId="2390"/>
    <cellStyle name="=C:\WINNT\SYSTEM32\COMMAND.COM 12 2" xfId="3706"/>
    <cellStyle name="=C:\WINNT\SYSTEM32\COMMAND.COM 12 3" xfId="41801"/>
    <cellStyle name="=C:\WINNT\SYSTEM32\COMMAND.COM 13" xfId="2391"/>
    <cellStyle name="=C:\WINNT\SYSTEM32\COMMAND.COM 13 2" xfId="3707"/>
    <cellStyle name="=C:\WINNT\SYSTEM32\COMMAND.COM 13 3" xfId="40676"/>
    <cellStyle name="=C:\WINNT\SYSTEM32\COMMAND.COM 14" xfId="2392"/>
    <cellStyle name="=C:\WINNT\SYSTEM32\COMMAND.COM 14 2" xfId="3708"/>
    <cellStyle name="=C:\WINNT\SYSTEM32\COMMAND.COM 14 3" xfId="43396"/>
    <cellStyle name="=C:\WINNT\SYSTEM32\COMMAND.COM 15" xfId="2393"/>
    <cellStyle name="=C:\WINNT\SYSTEM32\COMMAND.COM 15 2" xfId="3709"/>
    <cellStyle name="=C:\WINNT\SYSTEM32\COMMAND.COM 16" xfId="2394"/>
    <cellStyle name="=C:\WINNT\SYSTEM32\COMMAND.COM 16 2" xfId="5003"/>
    <cellStyle name="=C:\WINNT\SYSTEM32\COMMAND.COM 17" xfId="2395"/>
    <cellStyle name="=C:\WINNT\SYSTEM32\COMMAND.COM 17 2" xfId="3710"/>
    <cellStyle name="=C:\WINNT\SYSTEM32\COMMAND.COM 18" xfId="2396"/>
    <cellStyle name="=C:\WINNT\SYSTEM32\COMMAND.COM 18 2" xfId="3711"/>
    <cellStyle name="=C:\WINNT\SYSTEM32\COMMAND.COM 19" xfId="2397"/>
    <cellStyle name="=C:\WINNT\SYSTEM32\COMMAND.COM 19 2" xfId="3712"/>
    <cellStyle name="=C:\WINNT\SYSTEM32\COMMAND.COM 2" xfId="167"/>
    <cellStyle name="=C:\WINNT\SYSTEM32\COMMAND.COM 2 10" xfId="168"/>
    <cellStyle name="=C:\WINNT\SYSTEM32\COMMAND.COM 2 11" xfId="40402"/>
    <cellStyle name="=C:\WINNT\SYSTEM32\COMMAND.COM 2 2" xfId="39"/>
    <cellStyle name="=C:\WINNT\SYSTEM32\COMMAND.COM 2 2 2" xfId="76"/>
    <cellStyle name="=C:\WINNT\SYSTEM32\COMMAND.COM 2 2 2 2" xfId="40373"/>
    <cellStyle name="=C:\WINNT\SYSTEM32\COMMAND.COM 2 2 2 2 2" xfId="43515"/>
    <cellStyle name="=C:\WINNT\SYSTEM32\COMMAND.COM 2 2 2 2 3" xfId="42093"/>
    <cellStyle name="=C:\WINNT\SYSTEM32\COMMAND.COM 2 2 2 3" xfId="41728"/>
    <cellStyle name="=C:\WINNT\SYSTEM32\COMMAND.COM 2 2 25" xfId="170"/>
    <cellStyle name="=C:\WINNT\SYSTEM32\COMMAND.COM 2 2 3" xfId="42094"/>
    <cellStyle name="=C:\WINNT\SYSTEM32\COMMAND.COM 2 2 4" xfId="40549"/>
    <cellStyle name="=C:\WINNT\SYSTEM32\COMMAND.COM 2 2_Notes for June-2011" xfId="42095"/>
    <cellStyle name="=C:\WINNT\SYSTEM32\COMMAND.COM 2 27" xfId="171"/>
    <cellStyle name="=C:\WINNT\SYSTEM32\COMMAND.COM 2 3" xfId="3713"/>
    <cellStyle name="=C:\WINNT\SYSTEM32\COMMAND.COM 2 3 2" xfId="40550"/>
    <cellStyle name="=C:\WINNT\SYSTEM32\COMMAND.COM 2 4" xfId="172"/>
    <cellStyle name="=C:\WINNT\SYSTEM32\COMMAND.COM 2 4 2" xfId="41211"/>
    <cellStyle name="=C:\WINNT\SYSTEM32\COMMAND.COM 2 5" xfId="40953"/>
    <cellStyle name="=C:\WINNT\SYSTEM32\COMMAND.COM 2 6" xfId="43397"/>
    <cellStyle name="=C:\WINNT\SYSTEM32\COMMAND.COM 2 7" xfId="43438"/>
    <cellStyle name="=C:\WINNT\SYSTEM32\COMMAND.COM 2 8" xfId="43507"/>
    <cellStyle name="=C:\WINNT\SYSTEM32\COMMAND.COM 2 9" xfId="43530"/>
    <cellStyle name="=C:\WINNT\SYSTEM32\COMMAND.COM 2_Accounts - 2011 Alpha Draft-2" xfId="42096"/>
    <cellStyle name="=C:\WINNT\SYSTEM32\COMMAND.COM 20" xfId="2398"/>
    <cellStyle name="=C:\WINNT\SYSTEM32\COMMAND.COM 20 2" xfId="3714"/>
    <cellStyle name="=C:\WINNT\SYSTEM32\COMMAND.COM 20 3" xfId="4853"/>
    <cellStyle name="=C:\WINNT\SYSTEM32\COMMAND.COM 21" xfId="3715"/>
    <cellStyle name="=C:\WINNT\SYSTEM32\COMMAND.COM 21 2" xfId="8529"/>
    <cellStyle name="=C:\WINNT\SYSTEM32\COMMAND.COM 22" xfId="3716"/>
    <cellStyle name="=C:\WINNT\SYSTEM32\COMMAND.COM 22 2" xfId="8530"/>
    <cellStyle name="=C:\WINNT\SYSTEM32\COMMAND.COM 23" xfId="5256"/>
    <cellStyle name="=C:\WINNT\SYSTEM32\COMMAND.COM 23 2" xfId="8531"/>
    <cellStyle name="=C:\WINNT\SYSTEM32\COMMAND.COM 24" xfId="3717"/>
    <cellStyle name="=C:\WINNT\SYSTEM32\COMMAND.COM 24 2" xfId="8532"/>
    <cellStyle name="=C:\WINNT\SYSTEM32\COMMAND.COM 25" xfId="3718"/>
    <cellStyle name="=C:\WINNT\SYSTEM32\COMMAND.COM 25 2" xfId="8533"/>
    <cellStyle name="=C:\WINNT\SYSTEM32\COMMAND.COM 26" xfId="3719"/>
    <cellStyle name="=C:\WINNT\SYSTEM32\COMMAND.COM 26 2" xfId="8534"/>
    <cellStyle name="=C:\WINNT\SYSTEM32\COMMAND.COM 27" xfId="5313"/>
    <cellStyle name="=C:\WINNT\SYSTEM32\COMMAND.COM 27 2" xfId="8535"/>
    <cellStyle name="=C:\WINNT\SYSTEM32\COMMAND.COM 28" xfId="3720"/>
    <cellStyle name="=C:\WINNT\SYSTEM32\COMMAND.COM 29" xfId="5393"/>
    <cellStyle name="=C:\WINNT\SYSTEM32\COMMAND.COM 3" xfId="173"/>
    <cellStyle name="=C:\WINNT\SYSTEM32\COMMAND.COM 3 2" xfId="174"/>
    <cellStyle name="=C:\WINNT\SYSTEM32\COMMAND.COM 3 2 2" xfId="175"/>
    <cellStyle name="=C:\WINNT\SYSTEM32\COMMAND.COM 3 2 2 2" xfId="41407"/>
    <cellStyle name="=C:\WINNT\SYSTEM32\COMMAND.COM 3 2 3" xfId="176"/>
    <cellStyle name="=C:\WINNT\SYSTEM32\COMMAND.COM 3 2 3 2" xfId="41877"/>
    <cellStyle name="=C:\WINNT\SYSTEM32\COMMAND.COM 3 2 4" xfId="3721"/>
    <cellStyle name="=C:\WINNT\SYSTEM32\COMMAND.COM 3 2 4 2" xfId="40833"/>
    <cellStyle name="=C:\WINNT\SYSTEM32\COMMAND.COM 3 2 5" xfId="40551"/>
    <cellStyle name="=C:\WINNT\SYSTEM32\COMMAND.COM 3 3" xfId="45"/>
    <cellStyle name="=C:\WINNT\SYSTEM32\COMMAND.COM 3 3 2" xfId="3722"/>
    <cellStyle name="=C:\WINNT\SYSTEM32\COMMAND.COM 3 3 2 2" xfId="41802"/>
    <cellStyle name="=C:\WINNT\SYSTEM32\COMMAND.COM 3 3 3" xfId="43399"/>
    <cellStyle name="=C:\WINNT\SYSTEM32\COMMAND.COM 3 3 4" xfId="40552"/>
    <cellStyle name="=C:\WINNT\SYSTEM32\COMMAND.COM 3 4" xfId="177"/>
    <cellStyle name="=C:\WINNT\SYSTEM32\COMMAND.COM 3 4 2" xfId="3723"/>
    <cellStyle name="=C:\WINNT\SYSTEM32\COMMAND.COM 3 4 3" xfId="40553"/>
    <cellStyle name="=C:\WINNT\SYSTEM32\COMMAND.COM 3 5" xfId="178"/>
    <cellStyle name="=C:\WINNT\SYSTEM32\COMMAND.COM 3 5 2" xfId="40554"/>
    <cellStyle name="=C:\WINNT\SYSTEM32\COMMAND.COM 3 6" xfId="40690"/>
    <cellStyle name="=C:\WINNT\SYSTEM32\COMMAND.COM 3 7" xfId="43398"/>
    <cellStyle name="=C:\WINNT\SYSTEM32\COMMAND.COM 3_Accounts - 2011 Alpha Draft-2" xfId="42097"/>
    <cellStyle name="=C:\WINNT\SYSTEM32\COMMAND.COM 30" xfId="179"/>
    <cellStyle name="=C:\WINNT\SYSTEM32\COMMAND.COM 30 2" xfId="3724"/>
    <cellStyle name="=C:\WINNT\SYSTEM32\COMMAND.COM 31" xfId="40401"/>
    <cellStyle name="=C:\WINNT\SYSTEM32\COMMAND.COM 4" xfId="180"/>
    <cellStyle name="=C:\WINNT\SYSTEM32\COMMAND.COM 4 2" xfId="181"/>
    <cellStyle name="=C:\WINNT\SYSTEM32\COMMAND.COM 4 2 2" xfId="5262"/>
    <cellStyle name="=C:\WINNT\SYSTEM32\COMMAND.COM 4 3" xfId="2399"/>
    <cellStyle name="=C:\WINNT\SYSTEM32\COMMAND.COM 4 3 2" xfId="3725"/>
    <cellStyle name="=C:\WINNT\SYSTEM32\COMMAND.COM 4 3 3" xfId="40832"/>
    <cellStyle name="=C:\WINNT\SYSTEM32\COMMAND.COM 4 4" xfId="3726"/>
    <cellStyle name="=C:\WINNT\SYSTEM32\COMMAND.COM 5" xfId="182"/>
    <cellStyle name="=C:\WINNT\SYSTEM32\COMMAND.COM 5 2" xfId="183"/>
    <cellStyle name="=C:\WINNT\SYSTEM32\COMMAND.COM 5 2 2" xfId="41163"/>
    <cellStyle name="=C:\WINNT\SYSTEM32\COMMAND.COM 5 3" xfId="2400"/>
    <cellStyle name="=C:\WINNT\SYSTEM32\COMMAND.COM 5 4" xfId="40555"/>
    <cellStyle name="=C:\WINNT\SYSTEM32\COMMAND.COM 6" xfId="2401"/>
    <cellStyle name="=C:\WINNT\SYSTEM32\COMMAND.COM 6 2" xfId="3727"/>
    <cellStyle name="=C:\WINNT\SYSTEM32\COMMAND.COM 6 3" xfId="40556"/>
    <cellStyle name="=C:\WINNT\SYSTEM32\COMMAND.COM 7" xfId="2402"/>
    <cellStyle name="=C:\WINNT\SYSTEM32\COMMAND.COM 7 2" xfId="3728"/>
    <cellStyle name="=C:\WINNT\SYSTEM32\COMMAND.COM 7 3" xfId="40557"/>
    <cellStyle name="=C:\WINNT\SYSTEM32\COMMAND.COM 8" xfId="2403"/>
    <cellStyle name="=C:\WINNT\SYSTEM32\COMMAND.COM 8 2" xfId="3729"/>
    <cellStyle name="=C:\WINNT\SYSTEM32\COMMAND.COM 8 3" xfId="40558"/>
    <cellStyle name="=C:\WINNT\SYSTEM32\COMMAND.COM 9" xfId="2404"/>
    <cellStyle name="=C:\WINNT\SYSTEM32\COMMAND.COM 9 2" xfId="3730"/>
    <cellStyle name="=C:\WINNT\SYSTEM32\COMMAND.COM 9 3" xfId="40559"/>
    <cellStyle name="=C:\WINNT\SYSTEM32\COMMAND.COM_ Notes to Act." xfId="40560"/>
    <cellStyle name="=C:\WINNT\SYSTEM32\COMMAND.COM_IGI IIF interim 2009 Accounts (Final)" xfId="40372"/>
    <cellStyle name="=C:\WINNT35\SYSTEM32\COMMAND.COM" xfId="184"/>
    <cellStyle name="=C:\WINNT35\SYSTEM32\COMMAND.COM 2" xfId="41408"/>
    <cellStyle name="=C:\WINNT35\SYSTEM32\COMMAND.COM 3" xfId="40403"/>
    <cellStyle name="•W_laroux" xfId="42098"/>
    <cellStyle name="1" xfId="2544"/>
    <cellStyle name="1_&lt;AA-3&gt;" xfId="2545"/>
    <cellStyle name="1_AA" xfId="2546"/>
    <cellStyle name="1_AA-SA" xfId="2547"/>
    <cellStyle name="1_Investments00" xfId="2548"/>
    <cellStyle name="1_TDR" xfId="2549"/>
    <cellStyle name="1_top sheet investment" xfId="5263"/>
    <cellStyle name="10" xfId="185"/>
    <cellStyle name="10 2" xfId="41409"/>
    <cellStyle name="20% - 1. jelölőszín" xfId="40303"/>
    <cellStyle name="20% - 2. jelölőszín" xfId="40304"/>
    <cellStyle name="20% - 3. jelölőszín" xfId="40305"/>
    <cellStyle name="20% - 4. jelölőszín" xfId="40306"/>
    <cellStyle name="20% - 5. jelölőszín" xfId="40307"/>
    <cellStyle name="20% - 6. jelölőszín" xfId="40308"/>
    <cellStyle name="20% - Accent1 10" xfId="3731"/>
    <cellStyle name="20% - Accent1 10 2" xfId="3732"/>
    <cellStyle name="20% - Accent1 11" xfId="3733"/>
    <cellStyle name="20% - Accent1 11 2" xfId="3290"/>
    <cellStyle name="20% - Accent1 12" xfId="3734"/>
    <cellStyle name="20% - Accent1 12 2" xfId="3735"/>
    <cellStyle name="20% - Accent1 13" xfId="5264"/>
    <cellStyle name="20% - Accent1 13 2" xfId="3736"/>
    <cellStyle name="20% - Accent1 14" xfId="3737"/>
    <cellStyle name="20% - Accent1 14 2" xfId="5004"/>
    <cellStyle name="20% - Accent1 15" xfId="3738"/>
    <cellStyle name="20% - Accent1 15 2" xfId="5265"/>
    <cellStyle name="20% - Accent1 16" xfId="5005"/>
    <cellStyle name="20% - Accent1 16 2" xfId="3739"/>
    <cellStyle name="20% - Accent1 17" xfId="5266"/>
    <cellStyle name="20% - Accent1 17 2" xfId="3740"/>
    <cellStyle name="20% - Accent1 18" xfId="3741"/>
    <cellStyle name="20% - Accent1 18 2" xfId="8536"/>
    <cellStyle name="20% - Accent1 19" xfId="5394"/>
    <cellStyle name="20% - Accent1 2" xfId="187"/>
    <cellStyle name="20% - Accent1 2 2" xfId="188"/>
    <cellStyle name="20% - Accent1 2 2 2" xfId="41411"/>
    <cellStyle name="20% - Accent1 2 2 3" xfId="41878"/>
    <cellStyle name="20% - Accent1 2 2 4" xfId="40834"/>
    <cellStyle name="20% - Accent1 2 3" xfId="4934"/>
    <cellStyle name="20% - Accent1 2 3 2" xfId="41803"/>
    <cellStyle name="20% - Accent1 2 4" xfId="8537"/>
    <cellStyle name="20% - Accent1 2 4 2" xfId="40691"/>
    <cellStyle name="20% - Accent1 2 5" xfId="40561"/>
    <cellStyle name="20% - Accent1 2_5.2" xfId="3742"/>
    <cellStyle name="20% - Accent1 20" xfId="3743"/>
    <cellStyle name="20% - Accent1 21" xfId="1848"/>
    <cellStyle name="20% - Accent1 22" xfId="3744"/>
    <cellStyle name="20% - Accent1 23" xfId="3745"/>
    <cellStyle name="20% - Accent1 24" xfId="3191"/>
    <cellStyle name="20% - Accent1 25" xfId="3746"/>
    <cellStyle name="20% - Accent1 26" xfId="5006"/>
    <cellStyle name="20% - Accent1 27" xfId="1487"/>
    <cellStyle name="20% - Accent1 28" xfId="3747"/>
    <cellStyle name="20% - Accent1 29" xfId="3748"/>
    <cellStyle name="20% - Accent1 3" xfId="189"/>
    <cellStyle name="20% - Accent1 3 10" xfId="43752"/>
    <cellStyle name="20% - Accent1 3 11" xfId="41283"/>
    <cellStyle name="20% - Accent1 3 2" xfId="5337"/>
    <cellStyle name="20% - Accent1 3 2 2" xfId="41412"/>
    <cellStyle name="20% - Accent1 3 3" xfId="41629"/>
    <cellStyle name="20% - Accent1 3 3 2" xfId="41969"/>
    <cellStyle name="20% - Accent1 3 3 2 2" xfId="42549"/>
    <cellStyle name="20% - Accent1 3 3 2 2 2" xfId="42679"/>
    <cellStyle name="20% - Accent1 3 3 2 2 2 2" xfId="44532"/>
    <cellStyle name="20% - Accent1 3 3 2 2 3" xfId="44411"/>
    <cellStyle name="20% - Accent1 3 3 2 3" xfId="42678"/>
    <cellStyle name="20% - Accent1 3 3 2 3 2" xfId="44531"/>
    <cellStyle name="20% - Accent1 3 3 2 4" xfId="44010"/>
    <cellStyle name="20% - Accent1 3 3 3" xfId="42383"/>
    <cellStyle name="20% - Accent1 3 3 3 2" xfId="42680"/>
    <cellStyle name="20% - Accent1 3 3 3 2 2" xfId="44533"/>
    <cellStyle name="20% - Accent1 3 3 3 3" xfId="44245"/>
    <cellStyle name="20% - Accent1 3 3 4" xfId="42677"/>
    <cellStyle name="20% - Accent1 3 3 4 2" xfId="44530"/>
    <cellStyle name="20% - Accent1 3 3 5" xfId="43819"/>
    <cellStyle name="20% - Accent1 3 4" xfId="41665"/>
    <cellStyle name="20% - Accent1 3 4 2" xfId="41992"/>
    <cellStyle name="20% - Accent1 3 4 2 2" xfId="42572"/>
    <cellStyle name="20% - Accent1 3 4 2 2 2" xfId="42683"/>
    <cellStyle name="20% - Accent1 3 4 2 2 2 2" xfId="44536"/>
    <cellStyle name="20% - Accent1 3 4 2 2 3" xfId="44434"/>
    <cellStyle name="20% - Accent1 3 4 2 3" xfId="42682"/>
    <cellStyle name="20% - Accent1 3 4 2 3 2" xfId="44535"/>
    <cellStyle name="20% - Accent1 3 4 2 4" xfId="44033"/>
    <cellStyle name="20% - Accent1 3 4 3" xfId="42406"/>
    <cellStyle name="20% - Accent1 3 4 3 2" xfId="42684"/>
    <cellStyle name="20% - Accent1 3 4 3 2 2" xfId="44537"/>
    <cellStyle name="20% - Accent1 3 4 3 3" xfId="44268"/>
    <cellStyle name="20% - Accent1 3 4 4" xfId="42681"/>
    <cellStyle name="20% - Accent1 3 4 4 2" xfId="44534"/>
    <cellStyle name="20% - Accent1 3 4 5" xfId="43846"/>
    <cellStyle name="20% - Accent1 3 5" xfId="41733"/>
    <cellStyle name="20% - Accent1 3 5 2" xfId="42030"/>
    <cellStyle name="20% - Accent1 3 5 2 2" xfId="42610"/>
    <cellStyle name="20% - Accent1 3 5 2 2 2" xfId="42687"/>
    <cellStyle name="20% - Accent1 3 5 2 2 2 2" xfId="44540"/>
    <cellStyle name="20% - Accent1 3 5 2 2 3" xfId="44472"/>
    <cellStyle name="20% - Accent1 3 5 2 3" xfId="42686"/>
    <cellStyle name="20% - Accent1 3 5 2 3 2" xfId="44539"/>
    <cellStyle name="20% - Accent1 3 5 2 4" xfId="44071"/>
    <cellStyle name="20% - Accent1 3 5 3" xfId="42444"/>
    <cellStyle name="20% - Accent1 3 5 3 2" xfId="42688"/>
    <cellStyle name="20% - Accent1 3 5 3 2 2" xfId="44541"/>
    <cellStyle name="20% - Accent1 3 5 3 3" xfId="44306"/>
    <cellStyle name="20% - Accent1 3 5 4" xfId="42685"/>
    <cellStyle name="20% - Accent1 3 5 4 2" xfId="44538"/>
    <cellStyle name="20% - Accent1 3 5 5" xfId="43890"/>
    <cellStyle name="20% - Accent1 3 6" xfId="41946"/>
    <cellStyle name="20% - Accent1 3 6 2" xfId="42526"/>
    <cellStyle name="20% - Accent1 3 6 2 2" xfId="42690"/>
    <cellStyle name="20% - Accent1 3 6 2 2 2" xfId="44543"/>
    <cellStyle name="20% - Accent1 3 6 2 3" xfId="44388"/>
    <cellStyle name="20% - Accent1 3 6 3" xfId="42689"/>
    <cellStyle name="20% - Accent1 3 6 3 2" xfId="44542"/>
    <cellStyle name="20% - Accent1 3 6 4" xfId="43987"/>
    <cellStyle name="20% - Accent1 3 7" xfId="41775"/>
    <cellStyle name="20% - Accent1 3 7 2" xfId="42467"/>
    <cellStyle name="20% - Accent1 3 7 2 2" xfId="42692"/>
    <cellStyle name="20% - Accent1 3 7 2 2 2" xfId="44545"/>
    <cellStyle name="20% - Accent1 3 7 2 3" xfId="44329"/>
    <cellStyle name="20% - Accent1 3 7 3" xfId="42691"/>
    <cellStyle name="20% - Accent1 3 7 3 2" xfId="44544"/>
    <cellStyle name="20% - Accent1 3 7 4" xfId="43915"/>
    <cellStyle name="20% - Accent1 3 8" xfId="42360"/>
    <cellStyle name="20% - Accent1 3 8 2" xfId="42693"/>
    <cellStyle name="20% - Accent1 3 8 2 2" xfId="44546"/>
    <cellStyle name="20% - Accent1 3 8 3" xfId="44222"/>
    <cellStyle name="20% - Accent1 3 9" xfId="42676"/>
    <cellStyle name="20% - Accent1 3 9 2" xfId="44529"/>
    <cellStyle name="20% - Accent1 3_5.2" xfId="5431"/>
    <cellStyle name="20% - Accent1 30" xfId="3749"/>
    <cellStyle name="20% - Accent1 4" xfId="190"/>
    <cellStyle name="20% - Accent1 4 2" xfId="3750"/>
    <cellStyle name="20% - Accent1 4 2 2" xfId="42099"/>
    <cellStyle name="20% - Accent1 4 3" xfId="41410"/>
    <cellStyle name="20% - Accent1 5" xfId="191"/>
    <cellStyle name="20% - Accent1 5 2" xfId="5007"/>
    <cellStyle name="20% - Accent1 5 3" xfId="8538"/>
    <cellStyle name="20% - Accent1 6" xfId="192"/>
    <cellStyle name="20% - Accent1 6 2" xfId="193"/>
    <cellStyle name="20% - Accent1 6 2 2" xfId="3751"/>
    <cellStyle name="20% - Accent1 6 3" xfId="194"/>
    <cellStyle name="20% - Accent1 6 3 2" xfId="7881"/>
    <cellStyle name="20% - Accent1 6 4" xfId="5338"/>
    <cellStyle name="20% - Accent1 6 5" xfId="7880"/>
    <cellStyle name="20% - Accent1 7" xfId="195"/>
    <cellStyle name="20% - Accent1 7 2" xfId="196"/>
    <cellStyle name="20% - Accent1 7 2 2" xfId="5292"/>
    <cellStyle name="20% - Accent1 7 2 3" xfId="7883"/>
    <cellStyle name="20% - Accent1 7 3" xfId="3752"/>
    <cellStyle name="20% - Accent1 7 4" xfId="7882"/>
    <cellStyle name="20% - Accent1 8" xfId="197"/>
    <cellStyle name="20% - Accent1 8 2" xfId="5339"/>
    <cellStyle name="20% - Accent1 8 3" xfId="3291"/>
    <cellStyle name="20% - Accent1 9" xfId="186"/>
    <cellStyle name="20% - Accent1 9 2" xfId="3754"/>
    <cellStyle name="20% - Accent1 9 3" xfId="3753"/>
    <cellStyle name="20% - Accent2 10" xfId="5008"/>
    <cellStyle name="20% - Accent2 10 2" xfId="3755"/>
    <cellStyle name="20% - Accent2 11" xfId="5427"/>
    <cellStyle name="20% - Accent2 11 2" xfId="3756"/>
    <cellStyle name="20% - Accent2 12" xfId="3757"/>
    <cellStyle name="20% - Accent2 12 2" xfId="5441"/>
    <cellStyle name="20% - Accent2 13" xfId="3758"/>
    <cellStyle name="20% - Accent2 13 2" xfId="3759"/>
    <cellStyle name="20% - Accent2 14" xfId="5009"/>
    <cellStyle name="20% - Accent2 14 2" xfId="3760"/>
    <cellStyle name="20% - Accent2 15" xfId="3761"/>
    <cellStyle name="20% - Accent2 15 2" xfId="5250"/>
    <cellStyle name="20% - Accent2 16" xfId="3762"/>
    <cellStyle name="20% - Accent2 16 2" xfId="3763"/>
    <cellStyle name="20% - Accent2 17" xfId="5010"/>
    <cellStyle name="20% - Accent2 17 2" xfId="3764"/>
    <cellStyle name="20% - Accent2 18" xfId="3765"/>
    <cellStyle name="20% - Accent2 18 2" xfId="8539"/>
    <cellStyle name="20% - Accent2 19" xfId="3766"/>
    <cellStyle name="20% - Accent2 2" xfId="199"/>
    <cellStyle name="20% - Accent2 2 2" xfId="200"/>
    <cellStyle name="20% - Accent2 2 2 2" xfId="41414"/>
    <cellStyle name="20% - Accent2 2 2 3" xfId="41879"/>
    <cellStyle name="20% - Accent2 2 2 4" xfId="40835"/>
    <cellStyle name="20% - Accent2 2 3" xfId="3767"/>
    <cellStyle name="20% - Accent2 2 3 2" xfId="41804"/>
    <cellStyle name="20% - Accent2 2 4" xfId="8540"/>
    <cellStyle name="20% - Accent2 2 4 2" xfId="40692"/>
    <cellStyle name="20% - Accent2 2 5" xfId="40562"/>
    <cellStyle name="20% - Accent2 2_5.2" xfId="4855"/>
    <cellStyle name="20% - Accent2 20" xfId="3768"/>
    <cellStyle name="20% - Accent2 21" xfId="3769"/>
    <cellStyle name="20% - Accent2 22" xfId="5268"/>
    <cellStyle name="20% - Accent2 23" xfId="3770"/>
    <cellStyle name="20% - Accent2 24" xfId="3771"/>
    <cellStyle name="20% - Accent2 25" xfId="4856"/>
    <cellStyle name="20% - Accent2 26" xfId="3772"/>
    <cellStyle name="20% - Accent2 27" xfId="3773"/>
    <cellStyle name="20% - Accent2 28" xfId="3774"/>
    <cellStyle name="20% - Accent2 29" xfId="5269"/>
    <cellStyle name="20% - Accent2 3" xfId="201"/>
    <cellStyle name="20% - Accent2 3 10" xfId="43753"/>
    <cellStyle name="20% - Accent2 3 11" xfId="41284"/>
    <cellStyle name="20% - Accent2 3 2" xfId="5395"/>
    <cellStyle name="20% - Accent2 3 2 2" xfId="41415"/>
    <cellStyle name="20% - Accent2 3 3" xfId="41630"/>
    <cellStyle name="20% - Accent2 3 3 2" xfId="41970"/>
    <cellStyle name="20% - Accent2 3 3 2 2" xfId="42550"/>
    <cellStyle name="20% - Accent2 3 3 2 2 2" xfId="42697"/>
    <cellStyle name="20% - Accent2 3 3 2 2 2 2" xfId="44550"/>
    <cellStyle name="20% - Accent2 3 3 2 2 3" xfId="44412"/>
    <cellStyle name="20% - Accent2 3 3 2 3" xfId="42696"/>
    <cellStyle name="20% - Accent2 3 3 2 3 2" xfId="44549"/>
    <cellStyle name="20% - Accent2 3 3 2 4" xfId="44011"/>
    <cellStyle name="20% - Accent2 3 3 3" xfId="42384"/>
    <cellStyle name="20% - Accent2 3 3 3 2" xfId="42698"/>
    <cellStyle name="20% - Accent2 3 3 3 2 2" xfId="44551"/>
    <cellStyle name="20% - Accent2 3 3 3 3" xfId="44246"/>
    <cellStyle name="20% - Accent2 3 3 4" xfId="42695"/>
    <cellStyle name="20% - Accent2 3 3 4 2" xfId="44548"/>
    <cellStyle name="20% - Accent2 3 3 5" xfId="43820"/>
    <cellStyle name="20% - Accent2 3 4" xfId="41666"/>
    <cellStyle name="20% - Accent2 3 4 2" xfId="41993"/>
    <cellStyle name="20% - Accent2 3 4 2 2" xfId="42573"/>
    <cellStyle name="20% - Accent2 3 4 2 2 2" xfId="42701"/>
    <cellStyle name="20% - Accent2 3 4 2 2 2 2" xfId="44554"/>
    <cellStyle name="20% - Accent2 3 4 2 2 3" xfId="44435"/>
    <cellStyle name="20% - Accent2 3 4 2 3" xfId="42700"/>
    <cellStyle name="20% - Accent2 3 4 2 3 2" xfId="44553"/>
    <cellStyle name="20% - Accent2 3 4 2 4" xfId="44034"/>
    <cellStyle name="20% - Accent2 3 4 3" xfId="42407"/>
    <cellStyle name="20% - Accent2 3 4 3 2" xfId="42702"/>
    <cellStyle name="20% - Accent2 3 4 3 2 2" xfId="44555"/>
    <cellStyle name="20% - Accent2 3 4 3 3" xfId="44269"/>
    <cellStyle name="20% - Accent2 3 4 4" xfId="42699"/>
    <cellStyle name="20% - Accent2 3 4 4 2" xfId="44552"/>
    <cellStyle name="20% - Accent2 3 4 5" xfId="43847"/>
    <cellStyle name="20% - Accent2 3 5" xfId="41734"/>
    <cellStyle name="20% - Accent2 3 5 2" xfId="42031"/>
    <cellStyle name="20% - Accent2 3 5 2 2" xfId="42611"/>
    <cellStyle name="20% - Accent2 3 5 2 2 2" xfId="42705"/>
    <cellStyle name="20% - Accent2 3 5 2 2 2 2" xfId="44558"/>
    <cellStyle name="20% - Accent2 3 5 2 2 3" xfId="44473"/>
    <cellStyle name="20% - Accent2 3 5 2 3" xfId="42704"/>
    <cellStyle name="20% - Accent2 3 5 2 3 2" xfId="44557"/>
    <cellStyle name="20% - Accent2 3 5 2 4" xfId="44072"/>
    <cellStyle name="20% - Accent2 3 5 3" xfId="42445"/>
    <cellStyle name="20% - Accent2 3 5 3 2" xfId="42706"/>
    <cellStyle name="20% - Accent2 3 5 3 2 2" xfId="44559"/>
    <cellStyle name="20% - Accent2 3 5 3 3" xfId="44307"/>
    <cellStyle name="20% - Accent2 3 5 4" xfId="42703"/>
    <cellStyle name="20% - Accent2 3 5 4 2" xfId="44556"/>
    <cellStyle name="20% - Accent2 3 5 5" xfId="43891"/>
    <cellStyle name="20% - Accent2 3 6" xfId="41947"/>
    <cellStyle name="20% - Accent2 3 6 2" xfId="42527"/>
    <cellStyle name="20% - Accent2 3 6 2 2" xfId="42708"/>
    <cellStyle name="20% - Accent2 3 6 2 2 2" xfId="44561"/>
    <cellStyle name="20% - Accent2 3 6 2 3" xfId="44389"/>
    <cellStyle name="20% - Accent2 3 6 3" xfId="42707"/>
    <cellStyle name="20% - Accent2 3 6 3 2" xfId="44560"/>
    <cellStyle name="20% - Accent2 3 6 4" xfId="43988"/>
    <cellStyle name="20% - Accent2 3 7" xfId="41776"/>
    <cellStyle name="20% - Accent2 3 7 2" xfId="42468"/>
    <cellStyle name="20% - Accent2 3 7 2 2" xfId="42710"/>
    <cellStyle name="20% - Accent2 3 7 2 2 2" xfId="44563"/>
    <cellStyle name="20% - Accent2 3 7 2 3" xfId="44330"/>
    <cellStyle name="20% - Accent2 3 7 3" xfId="42709"/>
    <cellStyle name="20% - Accent2 3 7 3 2" xfId="44562"/>
    <cellStyle name="20% - Accent2 3 7 4" xfId="43916"/>
    <cellStyle name="20% - Accent2 3 8" xfId="42361"/>
    <cellStyle name="20% - Accent2 3 8 2" xfId="42711"/>
    <cellStyle name="20% - Accent2 3 8 2 2" xfId="44564"/>
    <cellStyle name="20% - Accent2 3 8 3" xfId="44223"/>
    <cellStyle name="20% - Accent2 3 9" xfId="42694"/>
    <cellStyle name="20% - Accent2 3 9 2" xfId="44547"/>
    <cellStyle name="20% - Accent2 3_5.2" xfId="3775"/>
    <cellStyle name="20% - Accent2 30" xfId="5267"/>
    <cellStyle name="20% - Accent2 4" xfId="202"/>
    <cellStyle name="20% - Accent2 4 2" xfId="4854"/>
    <cellStyle name="20% - Accent2 4 2 2" xfId="42100"/>
    <cellStyle name="20% - Accent2 4 3" xfId="41413"/>
    <cellStyle name="20% - Accent2 5" xfId="203"/>
    <cellStyle name="20% - Accent2 5 2" xfId="3776"/>
    <cellStyle name="20% - Accent2 5 3" xfId="8541"/>
    <cellStyle name="20% - Accent2 6" xfId="204"/>
    <cellStyle name="20% - Accent2 6 2" xfId="205"/>
    <cellStyle name="20% - Accent2 6 2 2" xfId="3194"/>
    <cellStyle name="20% - Accent2 6 3" xfId="206"/>
    <cellStyle name="20% - Accent2 6 3 2" xfId="7885"/>
    <cellStyle name="20% - Accent2 6 4" xfId="3777"/>
    <cellStyle name="20% - Accent2 6 5" xfId="7884"/>
    <cellStyle name="20% - Accent2 7" xfId="207"/>
    <cellStyle name="20% - Accent2 7 2" xfId="208"/>
    <cellStyle name="20% - Accent2 7 2 2" xfId="3778"/>
    <cellStyle name="20% - Accent2 7 2 3" xfId="7887"/>
    <cellStyle name="20% - Accent2 7 3" xfId="4857"/>
    <cellStyle name="20% - Accent2 7 4" xfId="7886"/>
    <cellStyle name="20% - Accent2 8" xfId="209"/>
    <cellStyle name="20% - Accent2 8 2" xfId="5261"/>
    <cellStyle name="20% - Accent2 8 3" xfId="3779"/>
    <cellStyle name="20% - Accent2 9" xfId="198"/>
    <cellStyle name="20% - Accent2 9 2" xfId="3781"/>
    <cellStyle name="20% - Accent2 9 3" xfId="3780"/>
    <cellStyle name="20% - Accent3 10" xfId="3782"/>
    <cellStyle name="20% - Accent3 10 2" xfId="3783"/>
    <cellStyle name="20% - Accent3 11" xfId="3784"/>
    <cellStyle name="20% - Accent3 11 2" xfId="3785"/>
    <cellStyle name="20% - Accent3 12" xfId="3786"/>
    <cellStyle name="20% - Accent3 12 2" xfId="3787"/>
    <cellStyle name="20% - Accent3 13" xfId="5436"/>
    <cellStyle name="20% - Accent3 13 2" xfId="3788"/>
    <cellStyle name="20% - Accent3 14" xfId="3789"/>
    <cellStyle name="20% - Accent3 14 2" xfId="3790"/>
    <cellStyle name="20% - Accent3 15" xfId="3791"/>
    <cellStyle name="20% - Accent3 15 2" xfId="3792"/>
    <cellStyle name="20% - Accent3 16" xfId="3793"/>
    <cellStyle name="20% - Accent3 16 2" xfId="5011"/>
    <cellStyle name="20% - Accent3 17" xfId="3794"/>
    <cellStyle name="20% - Accent3 17 2" xfId="3795"/>
    <cellStyle name="20% - Accent3 18" xfId="5257"/>
    <cellStyle name="20% - Accent3 18 2" xfId="8542"/>
    <cellStyle name="20% - Accent3 19" xfId="3796"/>
    <cellStyle name="20% - Accent3 2" xfId="211"/>
    <cellStyle name="20% - Accent3 2 2" xfId="212"/>
    <cellStyle name="20% - Accent3 2 2 2" xfId="41417"/>
    <cellStyle name="20% - Accent3 2 2 3" xfId="41880"/>
    <cellStyle name="20% - Accent3 2 2 4" xfId="40836"/>
    <cellStyle name="20% - Accent3 2 3" xfId="3797"/>
    <cellStyle name="20% - Accent3 2 3 2" xfId="41805"/>
    <cellStyle name="20% - Accent3 2 4" xfId="8543"/>
    <cellStyle name="20% - Accent3 2 4 2" xfId="40693"/>
    <cellStyle name="20% - Accent3 2 5" xfId="40563"/>
    <cellStyle name="20% - Accent3 2_5.2" xfId="3798"/>
    <cellStyle name="20% - Accent3 20" xfId="5271"/>
    <cellStyle name="20% - Accent3 21" xfId="3799"/>
    <cellStyle name="20% - Accent3 22" xfId="3800"/>
    <cellStyle name="20% - Accent3 23" xfId="3292"/>
    <cellStyle name="20% - Accent3 24" xfId="3801"/>
    <cellStyle name="20% - Accent3 25" xfId="3802"/>
    <cellStyle name="20% - Accent3 26" xfId="1473"/>
    <cellStyle name="20% - Accent3 27" xfId="5272"/>
    <cellStyle name="20% - Accent3 28" xfId="3803"/>
    <cellStyle name="20% - Accent3 29" xfId="3804"/>
    <cellStyle name="20% - Accent3 3" xfId="213"/>
    <cellStyle name="20% - Accent3 3 10" xfId="43754"/>
    <cellStyle name="20% - Accent3 3 11" xfId="41285"/>
    <cellStyle name="20% - Accent3 3 2" xfId="5273"/>
    <cellStyle name="20% - Accent3 3 2 2" xfId="41418"/>
    <cellStyle name="20% - Accent3 3 3" xfId="41631"/>
    <cellStyle name="20% - Accent3 3 3 2" xfId="41971"/>
    <cellStyle name="20% - Accent3 3 3 2 2" xfId="42551"/>
    <cellStyle name="20% - Accent3 3 3 2 2 2" xfId="42715"/>
    <cellStyle name="20% - Accent3 3 3 2 2 2 2" xfId="44568"/>
    <cellStyle name="20% - Accent3 3 3 2 2 3" xfId="44413"/>
    <cellStyle name="20% - Accent3 3 3 2 3" xfId="42714"/>
    <cellStyle name="20% - Accent3 3 3 2 3 2" xfId="44567"/>
    <cellStyle name="20% - Accent3 3 3 2 4" xfId="44012"/>
    <cellStyle name="20% - Accent3 3 3 3" xfId="42385"/>
    <cellStyle name="20% - Accent3 3 3 3 2" xfId="42716"/>
    <cellStyle name="20% - Accent3 3 3 3 2 2" xfId="44569"/>
    <cellStyle name="20% - Accent3 3 3 3 3" xfId="44247"/>
    <cellStyle name="20% - Accent3 3 3 4" xfId="42713"/>
    <cellStyle name="20% - Accent3 3 3 4 2" xfId="44566"/>
    <cellStyle name="20% - Accent3 3 3 5" xfId="43821"/>
    <cellStyle name="20% - Accent3 3 4" xfId="41667"/>
    <cellStyle name="20% - Accent3 3 4 2" xfId="41994"/>
    <cellStyle name="20% - Accent3 3 4 2 2" xfId="42574"/>
    <cellStyle name="20% - Accent3 3 4 2 2 2" xfId="42719"/>
    <cellStyle name="20% - Accent3 3 4 2 2 2 2" xfId="44572"/>
    <cellStyle name="20% - Accent3 3 4 2 2 3" xfId="44436"/>
    <cellStyle name="20% - Accent3 3 4 2 3" xfId="42718"/>
    <cellStyle name="20% - Accent3 3 4 2 3 2" xfId="44571"/>
    <cellStyle name="20% - Accent3 3 4 2 4" xfId="44035"/>
    <cellStyle name="20% - Accent3 3 4 3" xfId="42408"/>
    <cellStyle name="20% - Accent3 3 4 3 2" xfId="42720"/>
    <cellStyle name="20% - Accent3 3 4 3 2 2" xfId="44573"/>
    <cellStyle name="20% - Accent3 3 4 3 3" xfId="44270"/>
    <cellStyle name="20% - Accent3 3 4 4" xfId="42717"/>
    <cellStyle name="20% - Accent3 3 4 4 2" xfId="44570"/>
    <cellStyle name="20% - Accent3 3 4 5" xfId="43848"/>
    <cellStyle name="20% - Accent3 3 5" xfId="41735"/>
    <cellStyle name="20% - Accent3 3 5 2" xfId="42032"/>
    <cellStyle name="20% - Accent3 3 5 2 2" xfId="42612"/>
    <cellStyle name="20% - Accent3 3 5 2 2 2" xfId="42723"/>
    <cellStyle name="20% - Accent3 3 5 2 2 2 2" xfId="44576"/>
    <cellStyle name="20% - Accent3 3 5 2 2 3" xfId="44474"/>
    <cellStyle name="20% - Accent3 3 5 2 3" xfId="42722"/>
    <cellStyle name="20% - Accent3 3 5 2 3 2" xfId="44575"/>
    <cellStyle name="20% - Accent3 3 5 2 4" xfId="44073"/>
    <cellStyle name="20% - Accent3 3 5 3" xfId="42446"/>
    <cellStyle name="20% - Accent3 3 5 3 2" xfId="42724"/>
    <cellStyle name="20% - Accent3 3 5 3 2 2" xfId="44577"/>
    <cellStyle name="20% - Accent3 3 5 3 3" xfId="44308"/>
    <cellStyle name="20% - Accent3 3 5 4" xfId="42721"/>
    <cellStyle name="20% - Accent3 3 5 4 2" xfId="44574"/>
    <cellStyle name="20% - Accent3 3 5 5" xfId="43892"/>
    <cellStyle name="20% - Accent3 3 6" xfId="41948"/>
    <cellStyle name="20% - Accent3 3 6 2" xfId="42528"/>
    <cellStyle name="20% - Accent3 3 6 2 2" xfId="42726"/>
    <cellStyle name="20% - Accent3 3 6 2 2 2" xfId="44579"/>
    <cellStyle name="20% - Accent3 3 6 2 3" xfId="44390"/>
    <cellStyle name="20% - Accent3 3 6 3" xfId="42725"/>
    <cellStyle name="20% - Accent3 3 6 3 2" xfId="44578"/>
    <cellStyle name="20% - Accent3 3 6 4" xfId="43989"/>
    <cellStyle name="20% - Accent3 3 7" xfId="41777"/>
    <cellStyle name="20% - Accent3 3 7 2" xfId="42469"/>
    <cellStyle name="20% - Accent3 3 7 2 2" xfId="42728"/>
    <cellStyle name="20% - Accent3 3 7 2 2 2" xfId="44581"/>
    <cellStyle name="20% - Accent3 3 7 2 3" xfId="44331"/>
    <cellStyle name="20% - Accent3 3 7 3" xfId="42727"/>
    <cellStyle name="20% - Accent3 3 7 3 2" xfId="44580"/>
    <cellStyle name="20% - Accent3 3 7 4" xfId="43917"/>
    <cellStyle name="20% - Accent3 3 8" xfId="42362"/>
    <cellStyle name="20% - Accent3 3 8 2" xfId="42729"/>
    <cellStyle name="20% - Accent3 3 8 2 2" xfId="44582"/>
    <cellStyle name="20% - Accent3 3 8 3" xfId="44224"/>
    <cellStyle name="20% - Accent3 3 9" xfId="42712"/>
    <cellStyle name="20% - Accent3 3 9 2" xfId="44565"/>
    <cellStyle name="20% - Accent3 3_5.2" xfId="3805"/>
    <cellStyle name="20% - Accent3 30" xfId="5274"/>
    <cellStyle name="20% - Accent3 4" xfId="214"/>
    <cellStyle name="20% - Accent3 4 2" xfId="5270"/>
    <cellStyle name="20% - Accent3 4 2 2" xfId="42101"/>
    <cellStyle name="20% - Accent3 4 3" xfId="41416"/>
    <cellStyle name="20% - Accent3 5" xfId="215"/>
    <cellStyle name="20% - Accent3 5 2" xfId="4858"/>
    <cellStyle name="20% - Accent3 5 3" xfId="8544"/>
    <cellStyle name="20% - Accent3 6" xfId="216"/>
    <cellStyle name="20% - Accent3 6 2" xfId="217"/>
    <cellStyle name="20% - Accent3 6 2 2" xfId="3807"/>
    <cellStyle name="20% - Accent3 6 3" xfId="218"/>
    <cellStyle name="20% - Accent3 6 3 2" xfId="7889"/>
    <cellStyle name="20% - Accent3 6 4" xfId="3806"/>
    <cellStyle name="20% - Accent3 6 5" xfId="7888"/>
    <cellStyle name="20% - Accent3 7" xfId="219"/>
    <cellStyle name="20% - Accent3 7 2" xfId="220"/>
    <cellStyle name="20% - Accent3 7 2 2" xfId="3809"/>
    <cellStyle name="20% - Accent3 7 2 3" xfId="7891"/>
    <cellStyle name="20% - Accent3 7 3" xfId="3808"/>
    <cellStyle name="20% - Accent3 7 4" xfId="7890"/>
    <cellStyle name="20% - Accent3 8" xfId="221"/>
    <cellStyle name="20% - Accent3 8 2" xfId="3810"/>
    <cellStyle name="20% - Accent3 8 3" xfId="5012"/>
    <cellStyle name="20% - Accent3 9" xfId="210"/>
    <cellStyle name="20% - Accent3 9 2" xfId="5013"/>
    <cellStyle name="20% - Accent3 9 3" xfId="3811"/>
    <cellStyle name="20% - Accent4 10" xfId="3812"/>
    <cellStyle name="20% - Accent4 10 2" xfId="3813"/>
    <cellStyle name="20% - Accent4 11" xfId="5291"/>
    <cellStyle name="20% - Accent4 11 2" xfId="3814"/>
    <cellStyle name="20% - Accent4 12" xfId="5014"/>
    <cellStyle name="20% - Accent4 12 2" xfId="3815"/>
    <cellStyle name="20% - Accent4 13" xfId="3816"/>
    <cellStyle name="20% - Accent4 13 2" xfId="5015"/>
    <cellStyle name="20% - Accent4 14" xfId="3817"/>
    <cellStyle name="20% - Accent4 14 2" xfId="3818"/>
    <cellStyle name="20% - Accent4 15" xfId="3819"/>
    <cellStyle name="20% - Accent4 15 2" xfId="3820"/>
    <cellStyle name="20% - Accent4 16" xfId="5016"/>
    <cellStyle name="20% - Accent4 16 2" xfId="3821"/>
    <cellStyle name="20% - Accent4 17" xfId="5017"/>
    <cellStyle name="20% - Accent4 17 2" xfId="3822"/>
    <cellStyle name="20% - Accent4 18" xfId="3823"/>
    <cellStyle name="20% - Accent4 18 2" xfId="8545"/>
    <cellStyle name="20% - Accent4 19" xfId="3824"/>
    <cellStyle name="20% - Accent4 2" xfId="223"/>
    <cellStyle name="20% - Accent4 2 2" xfId="224"/>
    <cellStyle name="20% - Accent4 2 2 2" xfId="41420"/>
    <cellStyle name="20% - Accent4 2 2 3" xfId="41881"/>
    <cellStyle name="20% - Accent4 2 2 4" xfId="40837"/>
    <cellStyle name="20% - Accent4 2 3" xfId="3825"/>
    <cellStyle name="20% - Accent4 2 3 2" xfId="41806"/>
    <cellStyle name="20% - Accent4 2 4" xfId="8546"/>
    <cellStyle name="20% - Accent4 2 4 2" xfId="40694"/>
    <cellStyle name="20% - Accent4 2 5" xfId="40564"/>
    <cellStyle name="20% - Accent4 2_5.2" xfId="3826"/>
    <cellStyle name="20% - Accent4 20" xfId="3827"/>
    <cellStyle name="20% - Accent4 21" xfId="5275"/>
    <cellStyle name="20% - Accent4 22" xfId="3828"/>
    <cellStyle name="20% - Accent4 23" xfId="5276"/>
    <cellStyle name="20% - Accent4 24" xfId="5396"/>
    <cellStyle name="20% - Accent4 25" xfId="5277"/>
    <cellStyle name="20% - Accent4 26" xfId="3829"/>
    <cellStyle name="20% - Accent4 27" xfId="3830"/>
    <cellStyle name="20% - Accent4 28" xfId="3831"/>
    <cellStyle name="20% - Accent4 29" xfId="1454"/>
    <cellStyle name="20% - Accent4 3" xfId="225"/>
    <cellStyle name="20% - Accent4 3 10" xfId="43755"/>
    <cellStyle name="20% - Accent4 3 11" xfId="41286"/>
    <cellStyle name="20% - Accent4 3 2" xfId="3832"/>
    <cellStyle name="20% - Accent4 3 2 2" xfId="41421"/>
    <cellStyle name="20% - Accent4 3 3" xfId="41632"/>
    <cellStyle name="20% - Accent4 3 3 2" xfId="41972"/>
    <cellStyle name="20% - Accent4 3 3 2 2" xfId="42552"/>
    <cellStyle name="20% - Accent4 3 3 2 2 2" xfId="42733"/>
    <cellStyle name="20% - Accent4 3 3 2 2 2 2" xfId="44586"/>
    <cellStyle name="20% - Accent4 3 3 2 2 3" xfId="44414"/>
    <cellStyle name="20% - Accent4 3 3 2 3" xfId="42732"/>
    <cellStyle name="20% - Accent4 3 3 2 3 2" xfId="44585"/>
    <cellStyle name="20% - Accent4 3 3 2 4" xfId="44013"/>
    <cellStyle name="20% - Accent4 3 3 3" xfId="42386"/>
    <cellStyle name="20% - Accent4 3 3 3 2" xfId="42734"/>
    <cellStyle name="20% - Accent4 3 3 3 2 2" xfId="44587"/>
    <cellStyle name="20% - Accent4 3 3 3 3" xfId="44248"/>
    <cellStyle name="20% - Accent4 3 3 4" xfId="42731"/>
    <cellStyle name="20% - Accent4 3 3 4 2" xfId="44584"/>
    <cellStyle name="20% - Accent4 3 3 5" xfId="43822"/>
    <cellStyle name="20% - Accent4 3 4" xfId="41668"/>
    <cellStyle name="20% - Accent4 3 4 2" xfId="41995"/>
    <cellStyle name="20% - Accent4 3 4 2 2" xfId="42575"/>
    <cellStyle name="20% - Accent4 3 4 2 2 2" xfId="42737"/>
    <cellStyle name="20% - Accent4 3 4 2 2 2 2" xfId="44590"/>
    <cellStyle name="20% - Accent4 3 4 2 2 3" xfId="44437"/>
    <cellStyle name="20% - Accent4 3 4 2 3" xfId="42736"/>
    <cellStyle name="20% - Accent4 3 4 2 3 2" xfId="44589"/>
    <cellStyle name="20% - Accent4 3 4 2 4" xfId="44036"/>
    <cellStyle name="20% - Accent4 3 4 3" xfId="42409"/>
    <cellStyle name="20% - Accent4 3 4 3 2" xfId="42738"/>
    <cellStyle name="20% - Accent4 3 4 3 2 2" xfId="44591"/>
    <cellStyle name="20% - Accent4 3 4 3 3" xfId="44271"/>
    <cellStyle name="20% - Accent4 3 4 4" xfId="42735"/>
    <cellStyle name="20% - Accent4 3 4 4 2" xfId="44588"/>
    <cellStyle name="20% - Accent4 3 4 5" xfId="43849"/>
    <cellStyle name="20% - Accent4 3 5" xfId="41736"/>
    <cellStyle name="20% - Accent4 3 5 2" xfId="42033"/>
    <cellStyle name="20% - Accent4 3 5 2 2" xfId="42613"/>
    <cellStyle name="20% - Accent4 3 5 2 2 2" xfId="42741"/>
    <cellStyle name="20% - Accent4 3 5 2 2 2 2" xfId="44594"/>
    <cellStyle name="20% - Accent4 3 5 2 2 3" xfId="44475"/>
    <cellStyle name="20% - Accent4 3 5 2 3" xfId="42740"/>
    <cellStyle name="20% - Accent4 3 5 2 3 2" xfId="44593"/>
    <cellStyle name="20% - Accent4 3 5 2 4" xfId="44074"/>
    <cellStyle name="20% - Accent4 3 5 3" xfId="42447"/>
    <cellStyle name="20% - Accent4 3 5 3 2" xfId="42742"/>
    <cellStyle name="20% - Accent4 3 5 3 2 2" xfId="44595"/>
    <cellStyle name="20% - Accent4 3 5 3 3" xfId="44309"/>
    <cellStyle name="20% - Accent4 3 5 4" xfId="42739"/>
    <cellStyle name="20% - Accent4 3 5 4 2" xfId="44592"/>
    <cellStyle name="20% - Accent4 3 5 5" xfId="43893"/>
    <cellStyle name="20% - Accent4 3 6" xfId="41949"/>
    <cellStyle name="20% - Accent4 3 6 2" xfId="42529"/>
    <cellStyle name="20% - Accent4 3 6 2 2" xfId="42744"/>
    <cellStyle name="20% - Accent4 3 6 2 2 2" xfId="44597"/>
    <cellStyle name="20% - Accent4 3 6 2 3" xfId="44391"/>
    <cellStyle name="20% - Accent4 3 6 3" xfId="42743"/>
    <cellStyle name="20% - Accent4 3 6 3 2" xfId="44596"/>
    <cellStyle name="20% - Accent4 3 6 4" xfId="43990"/>
    <cellStyle name="20% - Accent4 3 7" xfId="41778"/>
    <cellStyle name="20% - Accent4 3 7 2" xfId="42470"/>
    <cellStyle name="20% - Accent4 3 7 2 2" xfId="42746"/>
    <cellStyle name="20% - Accent4 3 7 2 2 2" xfId="44599"/>
    <cellStyle name="20% - Accent4 3 7 2 3" xfId="44332"/>
    <cellStyle name="20% - Accent4 3 7 3" xfId="42745"/>
    <cellStyle name="20% - Accent4 3 7 3 2" xfId="44598"/>
    <cellStyle name="20% - Accent4 3 7 4" xfId="43918"/>
    <cellStyle name="20% - Accent4 3 8" xfId="42363"/>
    <cellStyle name="20% - Accent4 3 8 2" xfId="42747"/>
    <cellStyle name="20% - Accent4 3 8 2 2" xfId="44600"/>
    <cellStyle name="20% - Accent4 3 8 3" xfId="44225"/>
    <cellStyle name="20% - Accent4 3 9" xfId="42730"/>
    <cellStyle name="20% - Accent4 3 9 2" xfId="44583"/>
    <cellStyle name="20% - Accent4 3_5.2" xfId="3244"/>
    <cellStyle name="20% - Accent4 30" xfId="3833"/>
    <cellStyle name="20% - Accent4 4" xfId="226"/>
    <cellStyle name="20% - Accent4 4 2" xfId="5331"/>
    <cellStyle name="20% - Accent4 4 2 2" xfId="42102"/>
    <cellStyle name="20% - Accent4 4 3" xfId="41419"/>
    <cellStyle name="20% - Accent4 5" xfId="227"/>
    <cellStyle name="20% - Accent4 5 2" xfId="3834"/>
    <cellStyle name="20% - Accent4 5 3" xfId="8547"/>
    <cellStyle name="20% - Accent4 6" xfId="228"/>
    <cellStyle name="20% - Accent4 6 2" xfId="229"/>
    <cellStyle name="20% - Accent4 6 2 2" xfId="3835"/>
    <cellStyle name="20% - Accent4 6 3" xfId="230"/>
    <cellStyle name="20% - Accent4 6 3 2" xfId="7893"/>
    <cellStyle name="20% - Accent4 6 4" xfId="3193"/>
    <cellStyle name="20% - Accent4 6 5" xfId="7892"/>
    <cellStyle name="20% - Accent4 7" xfId="231"/>
    <cellStyle name="20% - Accent4 7 2" xfId="232"/>
    <cellStyle name="20% - Accent4 7 2 2" xfId="4932"/>
    <cellStyle name="20% - Accent4 7 2 3" xfId="7895"/>
    <cellStyle name="20% - Accent4 7 3" xfId="3836"/>
    <cellStyle name="20% - Accent4 7 4" xfId="7894"/>
    <cellStyle name="20% - Accent4 8" xfId="233"/>
    <cellStyle name="20% - Accent4 8 2" xfId="3838"/>
    <cellStyle name="20% - Accent4 8 3" xfId="3837"/>
    <cellStyle name="20% - Accent4 9" xfId="222"/>
    <cellStyle name="20% - Accent4 9 2" xfId="3839"/>
    <cellStyle name="20% - Accent4 9 3" xfId="4931"/>
    <cellStyle name="20% - Accent5 10" xfId="3840"/>
    <cellStyle name="20% - Accent5 10 2" xfId="3841"/>
    <cellStyle name="20% - Accent5 11" xfId="5333"/>
    <cellStyle name="20% - Accent5 11 2" xfId="3842"/>
    <cellStyle name="20% - Accent5 12" xfId="5278"/>
    <cellStyle name="20% - Accent5 12 2" xfId="5279"/>
    <cellStyle name="20% - Accent5 13" xfId="3195"/>
    <cellStyle name="20% - Accent5 13 2" xfId="5397"/>
    <cellStyle name="20% - Accent5 14" xfId="5280"/>
    <cellStyle name="20% - Accent5 14 2" xfId="3843"/>
    <cellStyle name="20% - Accent5 15" xfId="1415"/>
    <cellStyle name="20% - Accent5 15 2" xfId="3844"/>
    <cellStyle name="20% - Accent5 16" xfId="3845"/>
    <cellStyle name="20% - Accent5 16 2" xfId="3846"/>
    <cellStyle name="20% - Accent5 17" xfId="4937"/>
    <cellStyle name="20% - Accent5 17 2" xfId="4850"/>
    <cellStyle name="20% - Accent5 18" xfId="3847"/>
    <cellStyle name="20% - Accent5 18 2" xfId="8548"/>
    <cellStyle name="20% - Accent5 19" xfId="5398"/>
    <cellStyle name="20% - Accent5 2" xfId="235"/>
    <cellStyle name="20% - Accent5 2 2" xfId="236"/>
    <cellStyle name="20% - Accent5 2 2 2" xfId="40838"/>
    <cellStyle name="20% - Accent5 2 3" xfId="3848"/>
    <cellStyle name="20% - Accent5 2 3 2" xfId="41807"/>
    <cellStyle name="20% - Accent5 2 4" xfId="8549"/>
    <cellStyle name="20% - Accent5 2 4 2" xfId="40695"/>
    <cellStyle name="20% - Accent5 2 5" xfId="40565"/>
    <cellStyle name="20% - Accent5 2_5.2" xfId="3849"/>
    <cellStyle name="20% - Accent5 20" xfId="5281"/>
    <cellStyle name="20% - Accent5 21" xfId="3293"/>
    <cellStyle name="20% - Accent5 22" xfId="3550"/>
    <cellStyle name="20% - Accent5 23" xfId="3551"/>
    <cellStyle name="20% - Accent5 24" xfId="3552"/>
    <cellStyle name="20% - Accent5 25" xfId="3553"/>
    <cellStyle name="20% - Accent5 26" xfId="3554"/>
    <cellStyle name="20% - Accent5 27" xfId="3555"/>
    <cellStyle name="20% - Accent5 28" xfId="3850"/>
    <cellStyle name="20% - Accent5 29" xfId="3851"/>
    <cellStyle name="20% - Accent5 3" xfId="237"/>
    <cellStyle name="20% - Accent5 3 10" xfId="41287"/>
    <cellStyle name="20% - Accent5 3 2" xfId="3852"/>
    <cellStyle name="20% - Accent5 3 2 2" xfId="41973"/>
    <cellStyle name="20% - Accent5 3 2 2 2" xfId="42553"/>
    <cellStyle name="20% - Accent5 3 2 2 2 2" xfId="42751"/>
    <cellStyle name="20% - Accent5 3 2 2 2 2 2" xfId="44604"/>
    <cellStyle name="20% - Accent5 3 2 2 2 3" xfId="44415"/>
    <cellStyle name="20% - Accent5 3 2 2 3" xfId="42750"/>
    <cellStyle name="20% - Accent5 3 2 2 3 2" xfId="44603"/>
    <cellStyle name="20% - Accent5 3 2 2 4" xfId="44014"/>
    <cellStyle name="20% - Accent5 3 2 3" xfId="42387"/>
    <cellStyle name="20% - Accent5 3 2 3 2" xfId="42752"/>
    <cellStyle name="20% - Accent5 3 2 3 2 2" xfId="44605"/>
    <cellStyle name="20% - Accent5 3 2 3 3" xfId="44249"/>
    <cellStyle name="20% - Accent5 3 2 4" xfId="42749"/>
    <cellStyle name="20% - Accent5 3 2 4 2" xfId="44602"/>
    <cellStyle name="20% - Accent5 3 2 5" xfId="43823"/>
    <cellStyle name="20% - Accent5 3 2 6" xfId="41633"/>
    <cellStyle name="20% - Accent5 3 3" xfId="41669"/>
    <cellStyle name="20% - Accent5 3 3 2" xfId="41996"/>
    <cellStyle name="20% - Accent5 3 3 2 2" xfId="42576"/>
    <cellStyle name="20% - Accent5 3 3 2 2 2" xfId="42755"/>
    <cellStyle name="20% - Accent5 3 3 2 2 2 2" xfId="44608"/>
    <cellStyle name="20% - Accent5 3 3 2 2 3" xfId="44438"/>
    <cellStyle name="20% - Accent5 3 3 2 3" xfId="42754"/>
    <cellStyle name="20% - Accent5 3 3 2 3 2" xfId="44607"/>
    <cellStyle name="20% - Accent5 3 3 2 4" xfId="44037"/>
    <cellStyle name="20% - Accent5 3 3 3" xfId="42410"/>
    <cellStyle name="20% - Accent5 3 3 3 2" xfId="42756"/>
    <cellStyle name="20% - Accent5 3 3 3 2 2" xfId="44609"/>
    <cellStyle name="20% - Accent5 3 3 3 3" xfId="44272"/>
    <cellStyle name="20% - Accent5 3 3 4" xfId="42753"/>
    <cellStyle name="20% - Accent5 3 3 4 2" xfId="44606"/>
    <cellStyle name="20% - Accent5 3 3 5" xfId="43850"/>
    <cellStyle name="20% - Accent5 3 4" xfId="41737"/>
    <cellStyle name="20% - Accent5 3 4 2" xfId="42034"/>
    <cellStyle name="20% - Accent5 3 4 2 2" xfId="42614"/>
    <cellStyle name="20% - Accent5 3 4 2 2 2" xfId="42759"/>
    <cellStyle name="20% - Accent5 3 4 2 2 2 2" xfId="44612"/>
    <cellStyle name="20% - Accent5 3 4 2 2 3" xfId="44476"/>
    <cellStyle name="20% - Accent5 3 4 2 3" xfId="42758"/>
    <cellStyle name="20% - Accent5 3 4 2 3 2" xfId="44611"/>
    <cellStyle name="20% - Accent5 3 4 2 4" xfId="44075"/>
    <cellStyle name="20% - Accent5 3 4 3" xfId="42448"/>
    <cellStyle name="20% - Accent5 3 4 3 2" xfId="42760"/>
    <cellStyle name="20% - Accent5 3 4 3 2 2" xfId="44613"/>
    <cellStyle name="20% - Accent5 3 4 3 3" xfId="44310"/>
    <cellStyle name="20% - Accent5 3 4 4" xfId="42757"/>
    <cellStyle name="20% - Accent5 3 4 4 2" xfId="44610"/>
    <cellStyle name="20% - Accent5 3 4 5" xfId="43894"/>
    <cellStyle name="20% - Accent5 3 5" xfId="41950"/>
    <cellStyle name="20% - Accent5 3 5 2" xfId="42530"/>
    <cellStyle name="20% - Accent5 3 5 2 2" xfId="42762"/>
    <cellStyle name="20% - Accent5 3 5 2 2 2" xfId="44615"/>
    <cellStyle name="20% - Accent5 3 5 2 3" xfId="44392"/>
    <cellStyle name="20% - Accent5 3 5 3" xfId="42761"/>
    <cellStyle name="20% - Accent5 3 5 3 2" xfId="44614"/>
    <cellStyle name="20% - Accent5 3 5 4" xfId="43991"/>
    <cellStyle name="20% - Accent5 3 6" xfId="41779"/>
    <cellStyle name="20% - Accent5 3 6 2" xfId="42471"/>
    <cellStyle name="20% - Accent5 3 6 2 2" xfId="42764"/>
    <cellStyle name="20% - Accent5 3 6 2 2 2" xfId="44617"/>
    <cellStyle name="20% - Accent5 3 6 2 3" xfId="44333"/>
    <cellStyle name="20% - Accent5 3 6 3" xfId="42763"/>
    <cellStyle name="20% - Accent5 3 6 3 2" xfId="44616"/>
    <cellStyle name="20% - Accent5 3 6 4" xfId="43919"/>
    <cellStyle name="20% - Accent5 3 7" xfId="42364"/>
    <cellStyle name="20% - Accent5 3 7 2" xfId="42765"/>
    <cellStyle name="20% - Accent5 3 7 2 2" xfId="44618"/>
    <cellStyle name="20% - Accent5 3 7 3" xfId="44226"/>
    <cellStyle name="20% - Accent5 3 8" xfId="42748"/>
    <cellStyle name="20% - Accent5 3 8 2" xfId="44601"/>
    <cellStyle name="20% - Accent5 3 9" xfId="43756"/>
    <cellStyle name="20% - Accent5 3_5.2" xfId="3556"/>
    <cellStyle name="20% - Accent5 30" xfId="3557"/>
    <cellStyle name="20% - Accent5 4" xfId="238"/>
    <cellStyle name="20% - Accent5 4 2" xfId="3558"/>
    <cellStyle name="20% - Accent5 4 2 2" xfId="42104"/>
    <cellStyle name="20% - Accent5 4 3" xfId="42103"/>
    <cellStyle name="20% - Accent5 5" xfId="239"/>
    <cellStyle name="20% - Accent5 5 2" xfId="8550"/>
    <cellStyle name="20% - Accent5 6" xfId="240"/>
    <cellStyle name="20% - Accent5 6 2" xfId="241"/>
    <cellStyle name="20% - Accent5 6 2 2" xfId="3560"/>
    <cellStyle name="20% - Accent5 6 2 3" xfId="7897"/>
    <cellStyle name="20% - Accent5 6 3" xfId="242"/>
    <cellStyle name="20% - Accent5 6 3 2" xfId="7898"/>
    <cellStyle name="20% - Accent5 6 4" xfId="3559"/>
    <cellStyle name="20% - Accent5 6 5" xfId="7896"/>
    <cellStyle name="20% - Accent5 7" xfId="234"/>
    <cellStyle name="20% - Accent5 7 2" xfId="3562"/>
    <cellStyle name="20% - Accent5 7 3" xfId="3561"/>
    <cellStyle name="20% - Accent5 8" xfId="3563"/>
    <cellStyle name="20% - Accent5 8 2" xfId="5282"/>
    <cellStyle name="20% - Accent5 9" xfId="3294"/>
    <cellStyle name="20% - Accent5 9 2" xfId="3295"/>
    <cellStyle name="20% - Accent6 10" xfId="5283"/>
    <cellStyle name="20% - Accent6 10 2" xfId="3854"/>
    <cellStyle name="20% - Accent6 11" xfId="3855"/>
    <cellStyle name="20% - Accent6 11 2" xfId="5399"/>
    <cellStyle name="20% - Accent6 12" xfId="5400"/>
    <cellStyle name="20% - Accent6 12 2" xfId="5401"/>
    <cellStyle name="20% - Accent6 13" xfId="5284"/>
    <cellStyle name="20% - Accent6 13 2" xfId="3856"/>
    <cellStyle name="20% - Accent6 14" xfId="3857"/>
    <cellStyle name="20% - Accent6 14 2" xfId="3858"/>
    <cellStyle name="20% - Accent6 15" xfId="3859"/>
    <cellStyle name="20% - Accent6 15 2" xfId="3860"/>
    <cellStyle name="20% - Accent6 16" xfId="3861"/>
    <cellStyle name="20% - Accent6 16 2" xfId="3862"/>
    <cellStyle name="20% - Accent6 17" xfId="3863"/>
    <cellStyle name="20% - Accent6 17 2" xfId="3864"/>
    <cellStyle name="20% - Accent6 18" xfId="3865"/>
    <cellStyle name="20% - Accent6 18 2" xfId="8551"/>
    <cellStyle name="20% - Accent6 19" xfId="5340"/>
    <cellStyle name="20% - Accent6 2" xfId="244"/>
    <cellStyle name="20% - Accent6 2 2" xfId="245"/>
    <cellStyle name="20% - Accent6 2 2 2" xfId="41423"/>
    <cellStyle name="20% - Accent6 2 2 3" xfId="41882"/>
    <cellStyle name="20% - Accent6 2 2 4" xfId="40839"/>
    <cellStyle name="20% - Accent6 2 3" xfId="3866"/>
    <cellStyle name="20% - Accent6 2 3 2" xfId="41808"/>
    <cellStyle name="20% - Accent6 2 4" xfId="8552"/>
    <cellStyle name="20% - Accent6 2 4 2" xfId="40696"/>
    <cellStyle name="20% - Accent6 2 5" xfId="40566"/>
    <cellStyle name="20% - Accent6 2_5.2" xfId="3296"/>
    <cellStyle name="20% - Accent6 20" xfId="3867"/>
    <cellStyle name="20% - Accent6 21" xfId="3297"/>
    <cellStyle name="20% - Accent6 22" xfId="3868"/>
    <cellStyle name="20% - Accent6 23" xfId="3869"/>
    <cellStyle name="20% - Accent6 24" xfId="3298"/>
    <cellStyle name="20% - Accent6 25" xfId="3870"/>
    <cellStyle name="20% - Accent6 26" xfId="5285"/>
    <cellStyle name="20% - Accent6 27" xfId="3299"/>
    <cellStyle name="20% - Accent6 28" xfId="3871"/>
    <cellStyle name="20% - Accent6 29" xfId="3872"/>
    <cellStyle name="20% - Accent6 3" xfId="246"/>
    <cellStyle name="20% - Accent6 3 10" xfId="43757"/>
    <cellStyle name="20% - Accent6 3 11" xfId="41288"/>
    <cellStyle name="20% - Accent6 3 2" xfId="3873"/>
    <cellStyle name="20% - Accent6 3 2 2" xfId="41424"/>
    <cellStyle name="20% - Accent6 3 3" xfId="41634"/>
    <cellStyle name="20% - Accent6 3 3 2" xfId="41974"/>
    <cellStyle name="20% - Accent6 3 3 2 2" xfId="42554"/>
    <cellStyle name="20% - Accent6 3 3 2 2 2" xfId="42769"/>
    <cellStyle name="20% - Accent6 3 3 2 2 2 2" xfId="44622"/>
    <cellStyle name="20% - Accent6 3 3 2 2 3" xfId="44416"/>
    <cellStyle name="20% - Accent6 3 3 2 3" xfId="42768"/>
    <cellStyle name="20% - Accent6 3 3 2 3 2" xfId="44621"/>
    <cellStyle name="20% - Accent6 3 3 2 4" xfId="44015"/>
    <cellStyle name="20% - Accent6 3 3 3" xfId="42388"/>
    <cellStyle name="20% - Accent6 3 3 3 2" xfId="42770"/>
    <cellStyle name="20% - Accent6 3 3 3 2 2" xfId="44623"/>
    <cellStyle name="20% - Accent6 3 3 3 3" xfId="44250"/>
    <cellStyle name="20% - Accent6 3 3 4" xfId="42767"/>
    <cellStyle name="20% - Accent6 3 3 4 2" xfId="44620"/>
    <cellStyle name="20% - Accent6 3 3 5" xfId="43824"/>
    <cellStyle name="20% - Accent6 3 4" xfId="41670"/>
    <cellStyle name="20% - Accent6 3 4 2" xfId="41997"/>
    <cellStyle name="20% - Accent6 3 4 2 2" xfId="42577"/>
    <cellStyle name="20% - Accent6 3 4 2 2 2" xfId="42773"/>
    <cellStyle name="20% - Accent6 3 4 2 2 2 2" xfId="44626"/>
    <cellStyle name="20% - Accent6 3 4 2 2 3" xfId="44439"/>
    <cellStyle name="20% - Accent6 3 4 2 3" xfId="42772"/>
    <cellStyle name="20% - Accent6 3 4 2 3 2" xfId="44625"/>
    <cellStyle name="20% - Accent6 3 4 2 4" xfId="44038"/>
    <cellStyle name="20% - Accent6 3 4 3" xfId="42411"/>
    <cellStyle name="20% - Accent6 3 4 3 2" xfId="42774"/>
    <cellStyle name="20% - Accent6 3 4 3 2 2" xfId="44627"/>
    <cellStyle name="20% - Accent6 3 4 3 3" xfId="44273"/>
    <cellStyle name="20% - Accent6 3 4 4" xfId="42771"/>
    <cellStyle name="20% - Accent6 3 4 4 2" xfId="44624"/>
    <cellStyle name="20% - Accent6 3 4 5" xfId="43851"/>
    <cellStyle name="20% - Accent6 3 5" xfId="41738"/>
    <cellStyle name="20% - Accent6 3 5 2" xfId="42035"/>
    <cellStyle name="20% - Accent6 3 5 2 2" xfId="42615"/>
    <cellStyle name="20% - Accent6 3 5 2 2 2" xfId="42777"/>
    <cellStyle name="20% - Accent6 3 5 2 2 2 2" xfId="44630"/>
    <cellStyle name="20% - Accent6 3 5 2 2 3" xfId="44477"/>
    <cellStyle name="20% - Accent6 3 5 2 3" xfId="42776"/>
    <cellStyle name="20% - Accent6 3 5 2 3 2" xfId="44629"/>
    <cellStyle name="20% - Accent6 3 5 2 4" xfId="44076"/>
    <cellStyle name="20% - Accent6 3 5 3" xfId="42449"/>
    <cellStyle name="20% - Accent6 3 5 3 2" xfId="42778"/>
    <cellStyle name="20% - Accent6 3 5 3 2 2" xfId="44631"/>
    <cellStyle name="20% - Accent6 3 5 3 3" xfId="44311"/>
    <cellStyle name="20% - Accent6 3 5 4" xfId="42775"/>
    <cellStyle name="20% - Accent6 3 5 4 2" xfId="44628"/>
    <cellStyle name="20% - Accent6 3 5 5" xfId="43895"/>
    <cellStyle name="20% - Accent6 3 6" xfId="41951"/>
    <cellStyle name="20% - Accent6 3 6 2" xfId="42531"/>
    <cellStyle name="20% - Accent6 3 6 2 2" xfId="42780"/>
    <cellStyle name="20% - Accent6 3 6 2 2 2" xfId="44633"/>
    <cellStyle name="20% - Accent6 3 6 2 3" xfId="44393"/>
    <cellStyle name="20% - Accent6 3 6 3" xfId="42779"/>
    <cellStyle name="20% - Accent6 3 6 3 2" xfId="44632"/>
    <cellStyle name="20% - Accent6 3 6 4" xfId="43992"/>
    <cellStyle name="20% - Accent6 3 7" xfId="41780"/>
    <cellStyle name="20% - Accent6 3 7 2" xfId="42472"/>
    <cellStyle name="20% - Accent6 3 7 2 2" xfId="42782"/>
    <cellStyle name="20% - Accent6 3 7 2 2 2" xfId="44635"/>
    <cellStyle name="20% - Accent6 3 7 2 3" xfId="44334"/>
    <cellStyle name="20% - Accent6 3 7 3" xfId="42781"/>
    <cellStyle name="20% - Accent6 3 7 3 2" xfId="44634"/>
    <cellStyle name="20% - Accent6 3 7 4" xfId="43920"/>
    <cellStyle name="20% - Accent6 3 8" xfId="42365"/>
    <cellStyle name="20% - Accent6 3 8 2" xfId="42783"/>
    <cellStyle name="20% - Accent6 3 8 2 2" xfId="44636"/>
    <cellStyle name="20% - Accent6 3 8 3" xfId="44227"/>
    <cellStyle name="20% - Accent6 3 9" xfId="42766"/>
    <cellStyle name="20% - Accent6 3 9 2" xfId="44619"/>
    <cellStyle name="20% - Accent6 3_5.2" xfId="3874"/>
    <cellStyle name="20% - Accent6 30" xfId="3875"/>
    <cellStyle name="20% - Accent6 4" xfId="247"/>
    <cellStyle name="20% - Accent6 4 2" xfId="3876"/>
    <cellStyle name="20% - Accent6 4 2 2" xfId="42105"/>
    <cellStyle name="20% - Accent6 4 3" xfId="41422"/>
    <cellStyle name="20% - Accent6 5" xfId="248"/>
    <cellStyle name="20% - Accent6 5 2" xfId="3877"/>
    <cellStyle name="20% - Accent6 5 3" xfId="8553"/>
    <cellStyle name="20% - Accent6 6" xfId="249"/>
    <cellStyle name="20% - Accent6 6 2" xfId="250"/>
    <cellStyle name="20% - Accent6 6 2 2" xfId="3878"/>
    <cellStyle name="20% - Accent6 6 3" xfId="251"/>
    <cellStyle name="20% - Accent6 6 3 2" xfId="7900"/>
    <cellStyle name="20% - Accent6 6 4" xfId="5018"/>
    <cellStyle name="20% - Accent6 6 5" xfId="7899"/>
    <cellStyle name="20% - Accent6 7" xfId="252"/>
    <cellStyle name="20% - Accent6 7 2" xfId="253"/>
    <cellStyle name="20% - Accent6 7 2 2" xfId="3300"/>
    <cellStyle name="20% - Accent6 7 2 3" xfId="7902"/>
    <cellStyle name="20% - Accent6 7 3" xfId="3879"/>
    <cellStyle name="20% - Accent6 7 4" xfId="7901"/>
    <cellStyle name="20% - Accent6 8" xfId="254"/>
    <cellStyle name="20% - Accent6 8 2" xfId="3302"/>
    <cellStyle name="20% - Accent6 8 3" xfId="3301"/>
    <cellStyle name="20% - Accent6 9" xfId="243"/>
    <cellStyle name="20% - Accent6 9 2" xfId="3304"/>
    <cellStyle name="20% - Accent6 9 3" xfId="3303"/>
    <cellStyle name="40% - 1. jelölőszín" xfId="40309"/>
    <cellStyle name="40% - 2. jelölőszín" xfId="40310"/>
    <cellStyle name="40% - 3. jelölőszín" xfId="40311"/>
    <cellStyle name="40% - 4. jelölőszín" xfId="40312"/>
    <cellStyle name="40% - 5. jelölőszín" xfId="40313"/>
    <cellStyle name="40% - 6. jelölőszín" xfId="40314"/>
    <cellStyle name="40% - Accent1 10" xfId="3305"/>
    <cellStyle name="40% - Accent1 10 2" xfId="3306"/>
    <cellStyle name="40% - Accent1 11" xfId="3307"/>
    <cellStyle name="40% - Accent1 11 2" xfId="3880"/>
    <cellStyle name="40% - Accent1 12" xfId="3881"/>
    <cellStyle name="40% - Accent1 12 2" xfId="3882"/>
    <cellStyle name="40% - Accent1 13" xfId="3883"/>
    <cellStyle name="40% - Accent1 13 2" xfId="3884"/>
    <cellStyle name="40% - Accent1 14" xfId="3885"/>
    <cellStyle name="40% - Accent1 14 2" xfId="3308"/>
    <cellStyle name="40% - Accent1 15" xfId="3309"/>
    <cellStyle name="40% - Accent1 15 2" xfId="3310"/>
    <cellStyle name="40% - Accent1 16" xfId="3311"/>
    <cellStyle name="40% - Accent1 16 2" xfId="3312"/>
    <cellStyle name="40% - Accent1 17" xfId="3313"/>
    <cellStyle name="40% - Accent1 17 2" xfId="3314"/>
    <cellStyle name="40% - Accent1 18" xfId="3315"/>
    <cellStyle name="40% - Accent1 18 2" xfId="8554"/>
    <cellStyle name="40% - Accent1 19" xfId="3316"/>
    <cellStyle name="40% - Accent1 2" xfId="256"/>
    <cellStyle name="40% - Accent1 2 2" xfId="257"/>
    <cellStyle name="40% - Accent1 2 2 2" xfId="41426"/>
    <cellStyle name="40% - Accent1 2 2 3" xfId="41883"/>
    <cellStyle name="40% - Accent1 2 2 4" xfId="40840"/>
    <cellStyle name="40% - Accent1 2 3" xfId="3886"/>
    <cellStyle name="40% - Accent1 2 3 2" xfId="41809"/>
    <cellStyle name="40% - Accent1 2 4" xfId="8555"/>
    <cellStyle name="40% - Accent1 2 4 2" xfId="40697"/>
    <cellStyle name="40% - Accent1 2 5" xfId="40567"/>
    <cellStyle name="40% - Accent1 2_5.2" xfId="3887"/>
    <cellStyle name="40% - Accent1 20" xfId="3888"/>
    <cellStyle name="40% - Accent1 21" xfId="5286"/>
    <cellStyle name="40% - Accent1 22" xfId="5019"/>
    <cellStyle name="40% - Accent1 23" xfId="3889"/>
    <cellStyle name="40% - Accent1 24" xfId="3890"/>
    <cellStyle name="40% - Accent1 25" xfId="3317"/>
    <cellStyle name="40% - Accent1 26" xfId="3318"/>
    <cellStyle name="40% - Accent1 27" xfId="3319"/>
    <cellStyle name="40% - Accent1 28" xfId="3320"/>
    <cellStyle name="40% - Accent1 29" xfId="3321"/>
    <cellStyle name="40% - Accent1 3" xfId="258"/>
    <cellStyle name="40% - Accent1 3 10" xfId="43758"/>
    <cellStyle name="40% - Accent1 3 11" xfId="41289"/>
    <cellStyle name="40% - Accent1 3 2" xfId="3322"/>
    <cellStyle name="40% - Accent1 3 2 2" xfId="41427"/>
    <cellStyle name="40% - Accent1 3 3" xfId="41635"/>
    <cellStyle name="40% - Accent1 3 3 2" xfId="41975"/>
    <cellStyle name="40% - Accent1 3 3 2 2" xfId="42555"/>
    <cellStyle name="40% - Accent1 3 3 2 2 2" xfId="42787"/>
    <cellStyle name="40% - Accent1 3 3 2 2 2 2" xfId="44640"/>
    <cellStyle name="40% - Accent1 3 3 2 2 3" xfId="44417"/>
    <cellStyle name="40% - Accent1 3 3 2 3" xfId="42786"/>
    <cellStyle name="40% - Accent1 3 3 2 3 2" xfId="44639"/>
    <cellStyle name="40% - Accent1 3 3 2 4" xfId="44016"/>
    <cellStyle name="40% - Accent1 3 3 3" xfId="42389"/>
    <cellStyle name="40% - Accent1 3 3 3 2" xfId="42788"/>
    <cellStyle name="40% - Accent1 3 3 3 2 2" xfId="44641"/>
    <cellStyle name="40% - Accent1 3 3 3 3" xfId="44251"/>
    <cellStyle name="40% - Accent1 3 3 4" xfId="42785"/>
    <cellStyle name="40% - Accent1 3 3 4 2" xfId="44638"/>
    <cellStyle name="40% - Accent1 3 3 5" xfId="43825"/>
    <cellStyle name="40% - Accent1 3 4" xfId="41671"/>
    <cellStyle name="40% - Accent1 3 4 2" xfId="41998"/>
    <cellStyle name="40% - Accent1 3 4 2 2" xfId="42578"/>
    <cellStyle name="40% - Accent1 3 4 2 2 2" xfId="42791"/>
    <cellStyle name="40% - Accent1 3 4 2 2 2 2" xfId="44644"/>
    <cellStyle name="40% - Accent1 3 4 2 2 3" xfId="44440"/>
    <cellStyle name="40% - Accent1 3 4 2 3" xfId="42790"/>
    <cellStyle name="40% - Accent1 3 4 2 3 2" xfId="44643"/>
    <cellStyle name="40% - Accent1 3 4 2 4" xfId="44039"/>
    <cellStyle name="40% - Accent1 3 4 3" xfId="42412"/>
    <cellStyle name="40% - Accent1 3 4 3 2" xfId="42792"/>
    <cellStyle name="40% - Accent1 3 4 3 2 2" xfId="44645"/>
    <cellStyle name="40% - Accent1 3 4 3 3" xfId="44274"/>
    <cellStyle name="40% - Accent1 3 4 4" xfId="42789"/>
    <cellStyle name="40% - Accent1 3 4 4 2" xfId="44642"/>
    <cellStyle name="40% - Accent1 3 4 5" xfId="43852"/>
    <cellStyle name="40% - Accent1 3 5" xfId="41739"/>
    <cellStyle name="40% - Accent1 3 5 2" xfId="42036"/>
    <cellStyle name="40% - Accent1 3 5 2 2" xfId="42616"/>
    <cellStyle name="40% - Accent1 3 5 2 2 2" xfId="42795"/>
    <cellStyle name="40% - Accent1 3 5 2 2 2 2" xfId="44648"/>
    <cellStyle name="40% - Accent1 3 5 2 2 3" xfId="44478"/>
    <cellStyle name="40% - Accent1 3 5 2 3" xfId="42794"/>
    <cellStyle name="40% - Accent1 3 5 2 3 2" xfId="44647"/>
    <cellStyle name="40% - Accent1 3 5 2 4" xfId="44077"/>
    <cellStyle name="40% - Accent1 3 5 3" xfId="42450"/>
    <cellStyle name="40% - Accent1 3 5 3 2" xfId="42796"/>
    <cellStyle name="40% - Accent1 3 5 3 2 2" xfId="44649"/>
    <cellStyle name="40% - Accent1 3 5 3 3" xfId="44312"/>
    <cellStyle name="40% - Accent1 3 5 4" xfId="42793"/>
    <cellStyle name="40% - Accent1 3 5 4 2" xfId="44646"/>
    <cellStyle name="40% - Accent1 3 5 5" xfId="43896"/>
    <cellStyle name="40% - Accent1 3 6" xfId="41952"/>
    <cellStyle name="40% - Accent1 3 6 2" xfId="42532"/>
    <cellStyle name="40% - Accent1 3 6 2 2" xfId="42798"/>
    <cellStyle name="40% - Accent1 3 6 2 2 2" xfId="44651"/>
    <cellStyle name="40% - Accent1 3 6 2 3" xfId="44394"/>
    <cellStyle name="40% - Accent1 3 6 3" xfId="42797"/>
    <cellStyle name="40% - Accent1 3 6 3 2" xfId="44650"/>
    <cellStyle name="40% - Accent1 3 6 4" xfId="43993"/>
    <cellStyle name="40% - Accent1 3 7" xfId="41781"/>
    <cellStyle name="40% - Accent1 3 7 2" xfId="42473"/>
    <cellStyle name="40% - Accent1 3 7 2 2" xfId="42800"/>
    <cellStyle name="40% - Accent1 3 7 2 2 2" xfId="44653"/>
    <cellStyle name="40% - Accent1 3 7 2 3" xfId="44335"/>
    <cellStyle name="40% - Accent1 3 7 3" xfId="42799"/>
    <cellStyle name="40% - Accent1 3 7 3 2" xfId="44652"/>
    <cellStyle name="40% - Accent1 3 7 4" xfId="43921"/>
    <cellStyle name="40% - Accent1 3 8" xfId="42366"/>
    <cellStyle name="40% - Accent1 3 8 2" xfId="42801"/>
    <cellStyle name="40% - Accent1 3 8 2 2" xfId="44654"/>
    <cellStyle name="40% - Accent1 3 8 3" xfId="44228"/>
    <cellStyle name="40% - Accent1 3 9" xfId="42784"/>
    <cellStyle name="40% - Accent1 3 9 2" xfId="44637"/>
    <cellStyle name="40% - Accent1 3_5.2" xfId="3323"/>
    <cellStyle name="40% - Accent1 30" xfId="3324"/>
    <cellStyle name="40% - Accent1 4" xfId="259"/>
    <cellStyle name="40% - Accent1 4 2" xfId="3891"/>
    <cellStyle name="40% - Accent1 4 2 2" xfId="42106"/>
    <cellStyle name="40% - Accent1 4 3" xfId="41425"/>
    <cellStyle name="40% - Accent1 5" xfId="260"/>
    <cellStyle name="40% - Accent1 5 2" xfId="3892"/>
    <cellStyle name="40% - Accent1 5 3" xfId="8556"/>
    <cellStyle name="40% - Accent1 6" xfId="261"/>
    <cellStyle name="40% - Accent1 6 2" xfId="262"/>
    <cellStyle name="40% - Accent1 6 2 2" xfId="3893"/>
    <cellStyle name="40% - Accent1 6 3" xfId="263"/>
    <cellStyle name="40% - Accent1 6 3 2" xfId="7904"/>
    <cellStyle name="40% - Accent1 6 4" xfId="3325"/>
    <cellStyle name="40% - Accent1 6 5" xfId="7903"/>
    <cellStyle name="40% - Accent1 7" xfId="264"/>
    <cellStyle name="40% - Accent1 7 2" xfId="265"/>
    <cellStyle name="40% - Accent1 7 2 2" xfId="3326"/>
    <cellStyle name="40% - Accent1 7 2 3" xfId="7906"/>
    <cellStyle name="40% - Accent1 7 3" xfId="5287"/>
    <cellStyle name="40% - Accent1 7 4" xfId="7905"/>
    <cellStyle name="40% - Accent1 8" xfId="266"/>
    <cellStyle name="40% - Accent1 8 2" xfId="3895"/>
    <cellStyle name="40% - Accent1 8 3" xfId="3894"/>
    <cellStyle name="40% - Accent1 9" xfId="255"/>
    <cellStyle name="40% - Accent1 9 2" xfId="3896"/>
    <cellStyle name="40% - Accent1 9 3" xfId="3327"/>
    <cellStyle name="40% - Accent2 10" xfId="3897"/>
    <cellStyle name="40% - Accent2 10 2" xfId="3328"/>
    <cellStyle name="40% - Accent2 11" xfId="5020"/>
    <cellStyle name="40% - Accent2 11 2" xfId="3898"/>
    <cellStyle name="40% - Accent2 12" xfId="3899"/>
    <cellStyle name="40% - Accent2 12 2" xfId="3329"/>
    <cellStyle name="40% - Accent2 13" xfId="3900"/>
    <cellStyle name="40% - Accent2 13 2" xfId="3901"/>
    <cellStyle name="40% - Accent2 14" xfId="3902"/>
    <cellStyle name="40% - Accent2 14 2" xfId="5288"/>
    <cellStyle name="40% - Accent2 15" xfId="3903"/>
    <cellStyle name="40% - Accent2 15 2" xfId="5021"/>
    <cellStyle name="40% - Accent2 16" xfId="3904"/>
    <cellStyle name="40% - Accent2 16 2" xfId="3905"/>
    <cellStyle name="40% - Accent2 17" xfId="3906"/>
    <cellStyle name="40% - Accent2 17 2" xfId="3907"/>
    <cellStyle name="40% - Accent2 18" xfId="3908"/>
    <cellStyle name="40% - Accent2 18 2" xfId="8557"/>
    <cellStyle name="40% - Accent2 19" xfId="3909"/>
    <cellStyle name="40% - Accent2 2" xfId="268"/>
    <cellStyle name="40% - Accent2 2 2" xfId="269"/>
    <cellStyle name="40% - Accent2 2 2 2" xfId="40841"/>
    <cellStyle name="40% - Accent2 2 3" xfId="3910"/>
    <cellStyle name="40% - Accent2 2 3 2" xfId="41810"/>
    <cellStyle name="40% - Accent2 2 4" xfId="8558"/>
    <cellStyle name="40% - Accent2 2 4 2" xfId="40698"/>
    <cellStyle name="40% - Accent2 2 5" xfId="40568"/>
    <cellStyle name="40% - Accent2 2_5.2" xfId="3330"/>
    <cellStyle name="40% - Accent2 20" xfId="3331"/>
    <cellStyle name="40% - Accent2 21" xfId="3332"/>
    <cellStyle name="40% - Accent2 22" xfId="3333"/>
    <cellStyle name="40% - Accent2 23" xfId="3334"/>
    <cellStyle name="40% - Accent2 24" xfId="3335"/>
    <cellStyle name="40% - Accent2 25" xfId="3336"/>
    <cellStyle name="40% - Accent2 26" xfId="3337"/>
    <cellStyle name="40% - Accent2 27" xfId="3911"/>
    <cellStyle name="40% - Accent2 28" xfId="5022"/>
    <cellStyle name="40% - Accent2 29" xfId="5023"/>
    <cellStyle name="40% - Accent2 3" xfId="270"/>
    <cellStyle name="40% - Accent2 3 10" xfId="41290"/>
    <cellStyle name="40% - Accent2 3 2" xfId="3912"/>
    <cellStyle name="40% - Accent2 3 2 2" xfId="41976"/>
    <cellStyle name="40% - Accent2 3 2 2 2" xfId="42556"/>
    <cellStyle name="40% - Accent2 3 2 2 2 2" xfId="42805"/>
    <cellStyle name="40% - Accent2 3 2 2 2 2 2" xfId="44658"/>
    <cellStyle name="40% - Accent2 3 2 2 2 3" xfId="44418"/>
    <cellStyle name="40% - Accent2 3 2 2 3" xfId="42804"/>
    <cellStyle name="40% - Accent2 3 2 2 3 2" xfId="44657"/>
    <cellStyle name="40% - Accent2 3 2 2 4" xfId="44017"/>
    <cellStyle name="40% - Accent2 3 2 3" xfId="42390"/>
    <cellStyle name="40% - Accent2 3 2 3 2" xfId="42806"/>
    <cellStyle name="40% - Accent2 3 2 3 2 2" xfId="44659"/>
    <cellStyle name="40% - Accent2 3 2 3 3" xfId="44252"/>
    <cellStyle name="40% - Accent2 3 2 4" xfId="42803"/>
    <cellStyle name="40% - Accent2 3 2 4 2" xfId="44656"/>
    <cellStyle name="40% - Accent2 3 2 5" xfId="43826"/>
    <cellStyle name="40% - Accent2 3 2 6" xfId="41636"/>
    <cellStyle name="40% - Accent2 3 3" xfId="41672"/>
    <cellStyle name="40% - Accent2 3 3 2" xfId="41999"/>
    <cellStyle name="40% - Accent2 3 3 2 2" xfId="42579"/>
    <cellStyle name="40% - Accent2 3 3 2 2 2" xfId="42809"/>
    <cellStyle name="40% - Accent2 3 3 2 2 2 2" xfId="44662"/>
    <cellStyle name="40% - Accent2 3 3 2 2 3" xfId="44441"/>
    <cellStyle name="40% - Accent2 3 3 2 3" xfId="42808"/>
    <cellStyle name="40% - Accent2 3 3 2 3 2" xfId="44661"/>
    <cellStyle name="40% - Accent2 3 3 2 4" xfId="44040"/>
    <cellStyle name="40% - Accent2 3 3 3" xfId="42413"/>
    <cellStyle name="40% - Accent2 3 3 3 2" xfId="42810"/>
    <cellStyle name="40% - Accent2 3 3 3 2 2" xfId="44663"/>
    <cellStyle name="40% - Accent2 3 3 3 3" xfId="44275"/>
    <cellStyle name="40% - Accent2 3 3 4" xfId="42807"/>
    <cellStyle name="40% - Accent2 3 3 4 2" xfId="44660"/>
    <cellStyle name="40% - Accent2 3 3 5" xfId="43853"/>
    <cellStyle name="40% - Accent2 3 4" xfId="41740"/>
    <cellStyle name="40% - Accent2 3 4 2" xfId="42037"/>
    <cellStyle name="40% - Accent2 3 4 2 2" xfId="42617"/>
    <cellStyle name="40% - Accent2 3 4 2 2 2" xfId="42813"/>
    <cellStyle name="40% - Accent2 3 4 2 2 2 2" xfId="44666"/>
    <cellStyle name="40% - Accent2 3 4 2 2 3" xfId="44479"/>
    <cellStyle name="40% - Accent2 3 4 2 3" xfId="42812"/>
    <cellStyle name="40% - Accent2 3 4 2 3 2" xfId="44665"/>
    <cellStyle name="40% - Accent2 3 4 2 4" xfId="44078"/>
    <cellStyle name="40% - Accent2 3 4 3" xfId="42451"/>
    <cellStyle name="40% - Accent2 3 4 3 2" xfId="42814"/>
    <cellStyle name="40% - Accent2 3 4 3 2 2" xfId="44667"/>
    <cellStyle name="40% - Accent2 3 4 3 3" xfId="44313"/>
    <cellStyle name="40% - Accent2 3 4 4" xfId="42811"/>
    <cellStyle name="40% - Accent2 3 4 4 2" xfId="44664"/>
    <cellStyle name="40% - Accent2 3 4 5" xfId="43897"/>
    <cellStyle name="40% - Accent2 3 5" xfId="41953"/>
    <cellStyle name="40% - Accent2 3 5 2" xfId="42533"/>
    <cellStyle name="40% - Accent2 3 5 2 2" xfId="42816"/>
    <cellStyle name="40% - Accent2 3 5 2 2 2" xfId="44669"/>
    <cellStyle name="40% - Accent2 3 5 2 3" xfId="44395"/>
    <cellStyle name="40% - Accent2 3 5 3" xfId="42815"/>
    <cellStyle name="40% - Accent2 3 5 3 2" xfId="44668"/>
    <cellStyle name="40% - Accent2 3 5 4" xfId="43994"/>
    <cellStyle name="40% - Accent2 3 6" xfId="41782"/>
    <cellStyle name="40% - Accent2 3 6 2" xfId="42474"/>
    <cellStyle name="40% - Accent2 3 6 2 2" xfId="42818"/>
    <cellStyle name="40% - Accent2 3 6 2 2 2" xfId="44671"/>
    <cellStyle name="40% - Accent2 3 6 2 3" xfId="44336"/>
    <cellStyle name="40% - Accent2 3 6 3" xfId="42817"/>
    <cellStyle name="40% - Accent2 3 6 3 2" xfId="44670"/>
    <cellStyle name="40% - Accent2 3 6 4" xfId="43922"/>
    <cellStyle name="40% - Accent2 3 7" xfId="42367"/>
    <cellStyle name="40% - Accent2 3 7 2" xfId="42819"/>
    <cellStyle name="40% - Accent2 3 7 2 2" xfId="44672"/>
    <cellStyle name="40% - Accent2 3 7 3" xfId="44229"/>
    <cellStyle name="40% - Accent2 3 8" xfId="42802"/>
    <cellStyle name="40% - Accent2 3 8 2" xfId="44655"/>
    <cellStyle name="40% - Accent2 3 9" xfId="43759"/>
    <cellStyle name="40% - Accent2 3_5.2" xfId="3913"/>
    <cellStyle name="40% - Accent2 30" xfId="3914"/>
    <cellStyle name="40% - Accent2 4" xfId="271"/>
    <cellStyle name="40% - Accent2 4 2" xfId="3915"/>
    <cellStyle name="40% - Accent2 4 2 2" xfId="42108"/>
    <cellStyle name="40% - Accent2 4 3" xfId="42107"/>
    <cellStyle name="40% - Accent2 5" xfId="272"/>
    <cellStyle name="40% - Accent2 5 2" xfId="8559"/>
    <cellStyle name="40% - Accent2 6" xfId="273"/>
    <cellStyle name="40% - Accent2 6 2" xfId="274"/>
    <cellStyle name="40% - Accent2 6 2 2" xfId="3917"/>
    <cellStyle name="40% - Accent2 6 2 3" xfId="7908"/>
    <cellStyle name="40% - Accent2 6 3" xfId="275"/>
    <cellStyle name="40% - Accent2 6 3 2" xfId="7909"/>
    <cellStyle name="40% - Accent2 6 4" xfId="3916"/>
    <cellStyle name="40% - Accent2 6 5" xfId="7907"/>
    <cellStyle name="40% - Accent2 7" xfId="267"/>
    <cellStyle name="40% - Accent2 7 2" xfId="3339"/>
    <cellStyle name="40% - Accent2 7 3" xfId="3338"/>
    <cellStyle name="40% - Accent2 8" xfId="3340"/>
    <cellStyle name="40% - Accent2 8 2" xfId="3341"/>
    <cellStyle name="40% - Accent2 9" xfId="3342"/>
    <cellStyle name="40% - Accent2 9 2" xfId="3343"/>
    <cellStyle name="40% - Accent3 10" xfId="3344"/>
    <cellStyle name="40% - Accent3 10 2" xfId="3345"/>
    <cellStyle name="40% - Accent3 11" xfId="3346"/>
    <cellStyle name="40% - Accent3 11 2" xfId="3347"/>
    <cellStyle name="40% - Accent3 12" xfId="3918"/>
    <cellStyle name="40% - Accent3 12 2" xfId="3919"/>
    <cellStyle name="40% - Accent3 13" xfId="3920"/>
    <cellStyle name="40% - Accent3 13 2" xfId="5024"/>
    <cellStyle name="40% - Accent3 14" xfId="5025"/>
    <cellStyle name="40% - Accent3 14 2" xfId="5026"/>
    <cellStyle name="40% - Accent3 15" xfId="5027"/>
    <cellStyle name="40% - Accent3 15 2" xfId="3921"/>
    <cellStyle name="40% - Accent3 16" xfId="3922"/>
    <cellStyle name="40% - Accent3 16 2" xfId="3923"/>
    <cellStyle name="40% - Accent3 17" xfId="3924"/>
    <cellStyle name="40% - Accent3 17 2" xfId="4859"/>
    <cellStyle name="40% - Accent3 18" xfId="3348"/>
    <cellStyle name="40% - Accent3 18 2" xfId="8560"/>
    <cellStyle name="40% - Accent3 19" xfId="3349"/>
    <cellStyle name="40% - Accent3 2" xfId="277"/>
    <cellStyle name="40% - Accent3 2 2" xfId="278"/>
    <cellStyle name="40% - Accent3 2 2 2" xfId="41429"/>
    <cellStyle name="40% - Accent3 2 2 3" xfId="41884"/>
    <cellStyle name="40% - Accent3 2 2 4" xfId="40842"/>
    <cellStyle name="40% - Accent3 2 3" xfId="3350"/>
    <cellStyle name="40% - Accent3 2 3 2" xfId="41811"/>
    <cellStyle name="40% - Accent3 2 4" xfId="8561"/>
    <cellStyle name="40% - Accent3 2 4 2" xfId="40699"/>
    <cellStyle name="40% - Accent3 2 5" xfId="40569"/>
    <cellStyle name="40% - Accent3 2_5.2" xfId="3351"/>
    <cellStyle name="40% - Accent3 20" xfId="3352"/>
    <cellStyle name="40% - Accent3 21" xfId="3353"/>
    <cellStyle name="40% - Accent3 22" xfId="3354"/>
    <cellStyle name="40% - Accent3 23" xfId="3355"/>
    <cellStyle name="40% - Accent3 24" xfId="4860"/>
    <cellStyle name="40% - Accent3 25" xfId="4861"/>
    <cellStyle name="40% - Accent3 26" xfId="4862"/>
    <cellStyle name="40% - Accent3 27" xfId="4863"/>
    <cellStyle name="40% - Accent3 28" xfId="4864"/>
    <cellStyle name="40% - Accent3 29" xfId="4865"/>
    <cellStyle name="40% - Accent3 3" xfId="279"/>
    <cellStyle name="40% - Accent3 3 10" xfId="43760"/>
    <cellStyle name="40% - Accent3 3 11" xfId="41291"/>
    <cellStyle name="40% - Accent3 3 2" xfId="4866"/>
    <cellStyle name="40% - Accent3 3 2 2" xfId="41430"/>
    <cellStyle name="40% - Accent3 3 3" xfId="41637"/>
    <cellStyle name="40% - Accent3 3 3 2" xfId="41977"/>
    <cellStyle name="40% - Accent3 3 3 2 2" xfId="42557"/>
    <cellStyle name="40% - Accent3 3 3 2 2 2" xfId="42823"/>
    <cellStyle name="40% - Accent3 3 3 2 2 2 2" xfId="44676"/>
    <cellStyle name="40% - Accent3 3 3 2 2 3" xfId="44419"/>
    <cellStyle name="40% - Accent3 3 3 2 3" xfId="42822"/>
    <cellStyle name="40% - Accent3 3 3 2 3 2" xfId="44675"/>
    <cellStyle name="40% - Accent3 3 3 2 4" xfId="44018"/>
    <cellStyle name="40% - Accent3 3 3 3" xfId="42391"/>
    <cellStyle name="40% - Accent3 3 3 3 2" xfId="42824"/>
    <cellStyle name="40% - Accent3 3 3 3 2 2" xfId="44677"/>
    <cellStyle name="40% - Accent3 3 3 3 3" xfId="44253"/>
    <cellStyle name="40% - Accent3 3 3 4" xfId="42821"/>
    <cellStyle name="40% - Accent3 3 3 4 2" xfId="44674"/>
    <cellStyle name="40% - Accent3 3 3 5" xfId="43827"/>
    <cellStyle name="40% - Accent3 3 4" xfId="41673"/>
    <cellStyle name="40% - Accent3 3 4 2" xfId="42000"/>
    <cellStyle name="40% - Accent3 3 4 2 2" xfId="42580"/>
    <cellStyle name="40% - Accent3 3 4 2 2 2" xfId="42827"/>
    <cellStyle name="40% - Accent3 3 4 2 2 2 2" xfId="44680"/>
    <cellStyle name="40% - Accent3 3 4 2 2 3" xfId="44442"/>
    <cellStyle name="40% - Accent3 3 4 2 3" xfId="42826"/>
    <cellStyle name="40% - Accent3 3 4 2 3 2" xfId="44679"/>
    <cellStyle name="40% - Accent3 3 4 2 4" xfId="44041"/>
    <cellStyle name="40% - Accent3 3 4 3" xfId="42414"/>
    <cellStyle name="40% - Accent3 3 4 3 2" xfId="42828"/>
    <cellStyle name="40% - Accent3 3 4 3 2 2" xfId="44681"/>
    <cellStyle name="40% - Accent3 3 4 3 3" xfId="44276"/>
    <cellStyle name="40% - Accent3 3 4 4" xfId="42825"/>
    <cellStyle name="40% - Accent3 3 4 4 2" xfId="44678"/>
    <cellStyle name="40% - Accent3 3 4 5" xfId="43854"/>
    <cellStyle name="40% - Accent3 3 5" xfId="41741"/>
    <cellStyle name="40% - Accent3 3 5 2" xfId="42038"/>
    <cellStyle name="40% - Accent3 3 5 2 2" xfId="42618"/>
    <cellStyle name="40% - Accent3 3 5 2 2 2" xfId="42831"/>
    <cellStyle name="40% - Accent3 3 5 2 2 2 2" xfId="44684"/>
    <cellStyle name="40% - Accent3 3 5 2 2 3" xfId="44480"/>
    <cellStyle name="40% - Accent3 3 5 2 3" xfId="42830"/>
    <cellStyle name="40% - Accent3 3 5 2 3 2" xfId="44683"/>
    <cellStyle name="40% - Accent3 3 5 2 4" xfId="44079"/>
    <cellStyle name="40% - Accent3 3 5 3" xfId="42452"/>
    <cellStyle name="40% - Accent3 3 5 3 2" xfId="42832"/>
    <cellStyle name="40% - Accent3 3 5 3 2 2" xfId="44685"/>
    <cellStyle name="40% - Accent3 3 5 3 3" xfId="44314"/>
    <cellStyle name="40% - Accent3 3 5 4" xfId="42829"/>
    <cellStyle name="40% - Accent3 3 5 4 2" xfId="44682"/>
    <cellStyle name="40% - Accent3 3 5 5" xfId="43898"/>
    <cellStyle name="40% - Accent3 3 6" xfId="41954"/>
    <cellStyle name="40% - Accent3 3 6 2" xfId="42534"/>
    <cellStyle name="40% - Accent3 3 6 2 2" xfId="42834"/>
    <cellStyle name="40% - Accent3 3 6 2 2 2" xfId="44687"/>
    <cellStyle name="40% - Accent3 3 6 2 3" xfId="44396"/>
    <cellStyle name="40% - Accent3 3 6 3" xfId="42833"/>
    <cellStyle name="40% - Accent3 3 6 3 2" xfId="44686"/>
    <cellStyle name="40% - Accent3 3 6 4" xfId="43995"/>
    <cellStyle name="40% - Accent3 3 7" xfId="41783"/>
    <cellStyle name="40% - Accent3 3 7 2" xfId="42475"/>
    <cellStyle name="40% - Accent3 3 7 2 2" xfId="42836"/>
    <cellStyle name="40% - Accent3 3 7 2 2 2" xfId="44689"/>
    <cellStyle name="40% - Accent3 3 7 2 3" xfId="44337"/>
    <cellStyle name="40% - Accent3 3 7 3" xfId="42835"/>
    <cellStyle name="40% - Accent3 3 7 3 2" xfId="44688"/>
    <cellStyle name="40% - Accent3 3 7 4" xfId="43923"/>
    <cellStyle name="40% - Accent3 3 8" xfId="42368"/>
    <cellStyle name="40% - Accent3 3 8 2" xfId="42837"/>
    <cellStyle name="40% - Accent3 3 8 2 2" xfId="44690"/>
    <cellStyle name="40% - Accent3 3 8 3" xfId="44230"/>
    <cellStyle name="40% - Accent3 3 9" xfId="42820"/>
    <cellStyle name="40% - Accent3 3 9 2" xfId="44673"/>
    <cellStyle name="40% - Accent3 3_5.2" xfId="4867"/>
    <cellStyle name="40% - Accent3 30" xfId="3925"/>
    <cellStyle name="40% - Accent3 4" xfId="280"/>
    <cellStyle name="40% - Accent3 4 2" xfId="3926"/>
    <cellStyle name="40% - Accent3 4 2 2" xfId="42109"/>
    <cellStyle name="40% - Accent3 4 3" xfId="41428"/>
    <cellStyle name="40% - Accent3 5" xfId="281"/>
    <cellStyle name="40% - Accent3 5 2" xfId="3927"/>
    <cellStyle name="40% - Accent3 5 3" xfId="8562"/>
    <cellStyle name="40% - Accent3 6" xfId="282"/>
    <cellStyle name="40% - Accent3 6 2" xfId="283"/>
    <cellStyle name="40% - Accent3 6 2 2" xfId="3929"/>
    <cellStyle name="40% - Accent3 6 3" xfId="284"/>
    <cellStyle name="40% - Accent3 6 3 2" xfId="7911"/>
    <cellStyle name="40% - Accent3 6 4" xfId="3928"/>
    <cellStyle name="40% - Accent3 6 5" xfId="7910"/>
    <cellStyle name="40% - Accent3 7" xfId="285"/>
    <cellStyle name="40% - Accent3 7 2" xfId="286"/>
    <cellStyle name="40% - Accent3 7 2 2" xfId="3930"/>
    <cellStyle name="40% - Accent3 7 2 3" xfId="7913"/>
    <cellStyle name="40% - Accent3 7 3" xfId="4868"/>
    <cellStyle name="40% - Accent3 7 4" xfId="7912"/>
    <cellStyle name="40% - Accent3 8" xfId="287"/>
    <cellStyle name="40% - Accent3 8 2" xfId="3932"/>
    <cellStyle name="40% - Accent3 8 3" xfId="3931"/>
    <cellStyle name="40% - Accent3 9" xfId="276"/>
    <cellStyle name="40% - Accent3 9 2" xfId="3933"/>
    <cellStyle name="40% - Accent3 9 3" xfId="4869"/>
    <cellStyle name="40% - Accent4 10" xfId="4870"/>
    <cellStyle name="40% - Accent4 10 2" xfId="3934"/>
    <cellStyle name="40% - Accent4 11" xfId="4871"/>
    <cellStyle name="40% - Accent4 11 2" xfId="3935"/>
    <cellStyle name="40% - Accent4 12" xfId="4872"/>
    <cellStyle name="40% - Accent4 12 2" xfId="3198"/>
    <cellStyle name="40% - Accent4 13" xfId="3936"/>
    <cellStyle name="40% - Accent4 13 2" xfId="3937"/>
    <cellStyle name="40% - Accent4 14" xfId="3938"/>
    <cellStyle name="40% - Accent4 14 2" xfId="3939"/>
    <cellStyle name="40% - Accent4 15" xfId="3940"/>
    <cellStyle name="40% - Accent4 15 2" xfId="5456"/>
    <cellStyle name="40% - Accent4 16" xfId="5251"/>
    <cellStyle name="40% - Accent4 16 2" xfId="3941"/>
    <cellStyle name="40% - Accent4 17" xfId="3199"/>
    <cellStyle name="40% - Accent4 17 2" xfId="3942"/>
    <cellStyle name="40% - Accent4 18" xfId="3943"/>
    <cellStyle name="40% - Accent4 18 2" xfId="8563"/>
    <cellStyle name="40% - Accent4 19" xfId="3944"/>
    <cellStyle name="40% - Accent4 2" xfId="289"/>
    <cellStyle name="40% - Accent4 2 2" xfId="290"/>
    <cellStyle name="40% - Accent4 2 2 2" xfId="41432"/>
    <cellStyle name="40% - Accent4 2 2 3" xfId="41885"/>
    <cellStyle name="40% - Accent4 2 2 4" xfId="40843"/>
    <cellStyle name="40% - Accent4 2 3" xfId="3619"/>
    <cellStyle name="40% - Accent4 2 3 2" xfId="41812"/>
    <cellStyle name="40% - Accent4 2 4" xfId="8564"/>
    <cellStyle name="40% - Accent4 2 4 2" xfId="40700"/>
    <cellStyle name="40% - Accent4 2 5" xfId="40570"/>
    <cellStyle name="40% - Accent4 2_5.2" xfId="3945"/>
    <cellStyle name="40% - Accent4 20" xfId="3946"/>
    <cellStyle name="40% - Accent4 21" xfId="3947"/>
    <cellStyle name="40% - Accent4 22" xfId="3948"/>
    <cellStyle name="40% - Accent4 23" xfId="3949"/>
    <cellStyle name="40% - Accent4 24" xfId="3950"/>
    <cellStyle name="40% - Accent4 25" xfId="3951"/>
    <cellStyle name="40% - Accent4 26" xfId="3200"/>
    <cellStyle name="40% - Accent4 27" xfId="3952"/>
    <cellStyle name="40% - Accent4 28" xfId="3953"/>
    <cellStyle name="40% - Accent4 29" xfId="3204"/>
    <cellStyle name="40% - Accent4 3" xfId="291"/>
    <cellStyle name="40% - Accent4 3 10" xfId="43761"/>
    <cellStyle name="40% - Accent4 3 11" xfId="41292"/>
    <cellStyle name="40% - Accent4 3 2" xfId="3201"/>
    <cellStyle name="40% - Accent4 3 2 2" xfId="41433"/>
    <cellStyle name="40% - Accent4 3 3" xfId="41638"/>
    <cellStyle name="40% - Accent4 3 3 2" xfId="41978"/>
    <cellStyle name="40% - Accent4 3 3 2 2" xfId="42558"/>
    <cellStyle name="40% - Accent4 3 3 2 2 2" xfId="42841"/>
    <cellStyle name="40% - Accent4 3 3 2 2 2 2" xfId="44694"/>
    <cellStyle name="40% - Accent4 3 3 2 2 3" xfId="44420"/>
    <cellStyle name="40% - Accent4 3 3 2 3" xfId="42840"/>
    <cellStyle name="40% - Accent4 3 3 2 3 2" xfId="44693"/>
    <cellStyle name="40% - Accent4 3 3 2 4" xfId="44019"/>
    <cellStyle name="40% - Accent4 3 3 3" xfId="42392"/>
    <cellStyle name="40% - Accent4 3 3 3 2" xfId="42842"/>
    <cellStyle name="40% - Accent4 3 3 3 2 2" xfId="44695"/>
    <cellStyle name="40% - Accent4 3 3 3 3" xfId="44254"/>
    <cellStyle name="40% - Accent4 3 3 4" xfId="42839"/>
    <cellStyle name="40% - Accent4 3 3 4 2" xfId="44692"/>
    <cellStyle name="40% - Accent4 3 3 5" xfId="43828"/>
    <cellStyle name="40% - Accent4 3 4" xfId="41674"/>
    <cellStyle name="40% - Accent4 3 4 2" xfId="42001"/>
    <cellStyle name="40% - Accent4 3 4 2 2" xfId="42581"/>
    <cellStyle name="40% - Accent4 3 4 2 2 2" xfId="42845"/>
    <cellStyle name="40% - Accent4 3 4 2 2 2 2" xfId="44698"/>
    <cellStyle name="40% - Accent4 3 4 2 2 3" xfId="44443"/>
    <cellStyle name="40% - Accent4 3 4 2 3" xfId="42844"/>
    <cellStyle name="40% - Accent4 3 4 2 3 2" xfId="44697"/>
    <cellStyle name="40% - Accent4 3 4 2 4" xfId="44042"/>
    <cellStyle name="40% - Accent4 3 4 3" xfId="42415"/>
    <cellStyle name="40% - Accent4 3 4 3 2" xfId="42846"/>
    <cellStyle name="40% - Accent4 3 4 3 2 2" xfId="44699"/>
    <cellStyle name="40% - Accent4 3 4 3 3" xfId="44277"/>
    <cellStyle name="40% - Accent4 3 4 4" xfId="42843"/>
    <cellStyle name="40% - Accent4 3 4 4 2" xfId="44696"/>
    <cellStyle name="40% - Accent4 3 4 5" xfId="43855"/>
    <cellStyle name="40% - Accent4 3 5" xfId="41742"/>
    <cellStyle name="40% - Accent4 3 5 2" xfId="42039"/>
    <cellStyle name="40% - Accent4 3 5 2 2" xfId="42619"/>
    <cellStyle name="40% - Accent4 3 5 2 2 2" xfId="42849"/>
    <cellStyle name="40% - Accent4 3 5 2 2 2 2" xfId="44702"/>
    <cellStyle name="40% - Accent4 3 5 2 2 3" xfId="44481"/>
    <cellStyle name="40% - Accent4 3 5 2 3" xfId="42848"/>
    <cellStyle name="40% - Accent4 3 5 2 3 2" xfId="44701"/>
    <cellStyle name="40% - Accent4 3 5 2 4" xfId="44080"/>
    <cellStyle name="40% - Accent4 3 5 3" xfId="42453"/>
    <cellStyle name="40% - Accent4 3 5 3 2" xfId="42850"/>
    <cellStyle name="40% - Accent4 3 5 3 2 2" xfId="44703"/>
    <cellStyle name="40% - Accent4 3 5 3 3" xfId="44315"/>
    <cellStyle name="40% - Accent4 3 5 4" xfId="42847"/>
    <cellStyle name="40% - Accent4 3 5 4 2" xfId="44700"/>
    <cellStyle name="40% - Accent4 3 5 5" xfId="43899"/>
    <cellStyle name="40% - Accent4 3 6" xfId="41955"/>
    <cellStyle name="40% - Accent4 3 6 2" xfId="42535"/>
    <cellStyle name="40% - Accent4 3 6 2 2" xfId="42852"/>
    <cellStyle name="40% - Accent4 3 6 2 2 2" xfId="44705"/>
    <cellStyle name="40% - Accent4 3 6 2 3" xfId="44397"/>
    <cellStyle name="40% - Accent4 3 6 3" xfId="42851"/>
    <cellStyle name="40% - Accent4 3 6 3 2" xfId="44704"/>
    <cellStyle name="40% - Accent4 3 6 4" xfId="43996"/>
    <cellStyle name="40% - Accent4 3 7" xfId="41784"/>
    <cellStyle name="40% - Accent4 3 7 2" xfId="42476"/>
    <cellStyle name="40% - Accent4 3 7 2 2" xfId="42854"/>
    <cellStyle name="40% - Accent4 3 7 2 2 2" xfId="44707"/>
    <cellStyle name="40% - Accent4 3 7 2 3" xfId="44338"/>
    <cellStyle name="40% - Accent4 3 7 3" xfId="42853"/>
    <cellStyle name="40% - Accent4 3 7 3 2" xfId="44706"/>
    <cellStyle name="40% - Accent4 3 7 4" xfId="43924"/>
    <cellStyle name="40% - Accent4 3 8" xfId="42369"/>
    <cellStyle name="40% - Accent4 3 8 2" xfId="42855"/>
    <cellStyle name="40% - Accent4 3 8 2 2" xfId="44708"/>
    <cellStyle name="40% - Accent4 3 8 3" xfId="44231"/>
    <cellStyle name="40% - Accent4 3 9" xfId="42838"/>
    <cellStyle name="40% - Accent4 3 9 2" xfId="44691"/>
    <cellStyle name="40% - Accent4 3_5.2" xfId="3954"/>
    <cellStyle name="40% - Accent4 30" xfId="3202"/>
    <cellStyle name="40% - Accent4 4" xfId="292"/>
    <cellStyle name="40% - Accent4 4 2" xfId="3203"/>
    <cellStyle name="40% - Accent4 4 2 2" xfId="42110"/>
    <cellStyle name="40% - Accent4 4 3" xfId="41431"/>
    <cellStyle name="40% - Accent4 5" xfId="293"/>
    <cellStyle name="40% - Accent4 5 2" xfId="3955"/>
    <cellStyle name="40% - Accent4 5 3" xfId="8565"/>
    <cellStyle name="40% - Accent4 6" xfId="294"/>
    <cellStyle name="40% - Accent4 6 2" xfId="295"/>
    <cellStyle name="40% - Accent4 6 2 2" xfId="3956"/>
    <cellStyle name="40% - Accent4 6 3" xfId="296"/>
    <cellStyle name="40% - Accent4 6 3 2" xfId="7915"/>
    <cellStyle name="40% - Accent4 6 4" xfId="5252"/>
    <cellStyle name="40% - Accent4 6 5" xfId="7914"/>
    <cellStyle name="40% - Accent4 7" xfId="297"/>
    <cellStyle name="40% - Accent4 7 2" xfId="298"/>
    <cellStyle name="40% - Accent4 7 2 2" xfId="3958"/>
    <cellStyle name="40% - Accent4 7 2 3" xfId="7917"/>
    <cellStyle name="40% - Accent4 7 3" xfId="3957"/>
    <cellStyle name="40% - Accent4 7 4" xfId="7916"/>
    <cellStyle name="40% - Accent4 8" xfId="299"/>
    <cellStyle name="40% - Accent4 8 2" xfId="3960"/>
    <cellStyle name="40% - Accent4 8 3" xfId="3959"/>
    <cellStyle name="40% - Accent4 9" xfId="288"/>
    <cellStyle name="40% - Accent4 9 2" xfId="3962"/>
    <cellStyle name="40% - Accent4 9 3" xfId="3961"/>
    <cellStyle name="40% - Accent5 10" xfId="3963"/>
    <cellStyle name="40% - Accent5 10 2" xfId="3964"/>
    <cellStyle name="40% - Accent5 11" xfId="3965"/>
    <cellStyle name="40% - Accent5 11 2" xfId="3966"/>
    <cellStyle name="40% - Accent5 12" xfId="3967"/>
    <cellStyle name="40% - Accent5 12 2" xfId="3968"/>
    <cellStyle name="40% - Accent5 13" xfId="3969"/>
    <cellStyle name="40% - Accent5 13 2" xfId="3970"/>
    <cellStyle name="40% - Accent5 14" xfId="3971"/>
    <cellStyle name="40% - Accent5 14 2" xfId="3972"/>
    <cellStyle name="40% - Accent5 15" xfId="5341"/>
    <cellStyle name="40% - Accent5 15 2" xfId="3973"/>
    <cellStyle name="40% - Accent5 16" xfId="4938"/>
    <cellStyle name="40% - Accent5 16 2" xfId="3974"/>
    <cellStyle name="40% - Accent5 17" xfId="5342"/>
    <cellStyle name="40% - Accent5 17 2" xfId="3975"/>
    <cellStyle name="40% - Accent5 18" xfId="4939"/>
    <cellStyle name="40% - Accent5 18 2" xfId="8566"/>
    <cellStyle name="40% - Accent5 19" xfId="3976"/>
    <cellStyle name="40% - Accent5 2" xfId="301"/>
    <cellStyle name="40% - Accent5 2 2" xfId="302"/>
    <cellStyle name="40% - Accent5 2 2 2" xfId="41435"/>
    <cellStyle name="40% - Accent5 2 2 3" xfId="41886"/>
    <cellStyle name="40% - Accent5 2 2 4" xfId="40844"/>
    <cellStyle name="40% - Accent5 2 3" xfId="3977"/>
    <cellStyle name="40% - Accent5 2 3 2" xfId="41813"/>
    <cellStyle name="40% - Accent5 2 4" xfId="8567"/>
    <cellStyle name="40% - Accent5 2 4 2" xfId="40701"/>
    <cellStyle name="40% - Accent5 2 5" xfId="40571"/>
    <cellStyle name="40% - Accent5 2_5.2" xfId="3978"/>
    <cellStyle name="40% - Accent5 20" xfId="3979"/>
    <cellStyle name="40% - Accent5 21" xfId="3980"/>
    <cellStyle name="40% - Accent5 22" xfId="3981"/>
    <cellStyle name="40% - Accent5 23" xfId="3982"/>
    <cellStyle name="40% - Accent5 24" xfId="3983"/>
    <cellStyle name="40% - Accent5 25" xfId="3564"/>
    <cellStyle name="40% - Accent5 26" xfId="3984"/>
    <cellStyle name="40% - Accent5 27" xfId="3985"/>
    <cellStyle name="40% - Accent5 28" xfId="3986"/>
    <cellStyle name="40% - Accent5 29" xfId="5028"/>
    <cellStyle name="40% - Accent5 3" xfId="303"/>
    <cellStyle name="40% - Accent5 3 10" xfId="43762"/>
    <cellStyle name="40% - Accent5 3 11" xfId="41293"/>
    <cellStyle name="40% - Accent5 3 2" xfId="3205"/>
    <cellStyle name="40% - Accent5 3 2 2" xfId="41436"/>
    <cellStyle name="40% - Accent5 3 3" xfId="41639"/>
    <cellStyle name="40% - Accent5 3 3 2" xfId="41979"/>
    <cellStyle name="40% - Accent5 3 3 2 2" xfId="42559"/>
    <cellStyle name="40% - Accent5 3 3 2 2 2" xfId="42859"/>
    <cellStyle name="40% - Accent5 3 3 2 2 2 2" xfId="44712"/>
    <cellStyle name="40% - Accent5 3 3 2 2 3" xfId="44421"/>
    <cellStyle name="40% - Accent5 3 3 2 3" xfId="42858"/>
    <cellStyle name="40% - Accent5 3 3 2 3 2" xfId="44711"/>
    <cellStyle name="40% - Accent5 3 3 2 4" xfId="44020"/>
    <cellStyle name="40% - Accent5 3 3 3" xfId="42393"/>
    <cellStyle name="40% - Accent5 3 3 3 2" xfId="42860"/>
    <cellStyle name="40% - Accent5 3 3 3 2 2" xfId="44713"/>
    <cellStyle name="40% - Accent5 3 3 3 3" xfId="44255"/>
    <cellStyle name="40% - Accent5 3 3 4" xfId="42857"/>
    <cellStyle name="40% - Accent5 3 3 4 2" xfId="44710"/>
    <cellStyle name="40% - Accent5 3 3 5" xfId="43829"/>
    <cellStyle name="40% - Accent5 3 4" xfId="41675"/>
    <cellStyle name="40% - Accent5 3 4 2" xfId="42002"/>
    <cellStyle name="40% - Accent5 3 4 2 2" xfId="42582"/>
    <cellStyle name="40% - Accent5 3 4 2 2 2" xfId="42863"/>
    <cellStyle name="40% - Accent5 3 4 2 2 2 2" xfId="44716"/>
    <cellStyle name="40% - Accent5 3 4 2 2 3" xfId="44444"/>
    <cellStyle name="40% - Accent5 3 4 2 3" xfId="42862"/>
    <cellStyle name="40% - Accent5 3 4 2 3 2" xfId="44715"/>
    <cellStyle name="40% - Accent5 3 4 2 4" xfId="44043"/>
    <cellStyle name="40% - Accent5 3 4 3" xfId="42416"/>
    <cellStyle name="40% - Accent5 3 4 3 2" xfId="42864"/>
    <cellStyle name="40% - Accent5 3 4 3 2 2" xfId="44717"/>
    <cellStyle name="40% - Accent5 3 4 3 3" xfId="44278"/>
    <cellStyle name="40% - Accent5 3 4 4" xfId="42861"/>
    <cellStyle name="40% - Accent5 3 4 4 2" xfId="44714"/>
    <cellStyle name="40% - Accent5 3 4 5" xfId="43856"/>
    <cellStyle name="40% - Accent5 3 5" xfId="41743"/>
    <cellStyle name="40% - Accent5 3 5 2" xfId="42040"/>
    <cellStyle name="40% - Accent5 3 5 2 2" xfId="42620"/>
    <cellStyle name="40% - Accent5 3 5 2 2 2" xfId="42867"/>
    <cellStyle name="40% - Accent5 3 5 2 2 2 2" xfId="44720"/>
    <cellStyle name="40% - Accent5 3 5 2 2 3" xfId="44482"/>
    <cellStyle name="40% - Accent5 3 5 2 3" xfId="42866"/>
    <cellStyle name="40% - Accent5 3 5 2 3 2" xfId="44719"/>
    <cellStyle name="40% - Accent5 3 5 2 4" xfId="44081"/>
    <cellStyle name="40% - Accent5 3 5 3" xfId="42454"/>
    <cellStyle name="40% - Accent5 3 5 3 2" xfId="42868"/>
    <cellStyle name="40% - Accent5 3 5 3 2 2" xfId="44721"/>
    <cellStyle name="40% - Accent5 3 5 3 3" xfId="44316"/>
    <cellStyle name="40% - Accent5 3 5 4" xfId="42865"/>
    <cellStyle name="40% - Accent5 3 5 4 2" xfId="44718"/>
    <cellStyle name="40% - Accent5 3 5 5" xfId="43900"/>
    <cellStyle name="40% - Accent5 3 6" xfId="41956"/>
    <cellStyle name="40% - Accent5 3 6 2" xfId="42536"/>
    <cellStyle name="40% - Accent5 3 6 2 2" xfId="42870"/>
    <cellStyle name="40% - Accent5 3 6 2 2 2" xfId="44723"/>
    <cellStyle name="40% - Accent5 3 6 2 3" xfId="44398"/>
    <cellStyle name="40% - Accent5 3 6 3" xfId="42869"/>
    <cellStyle name="40% - Accent5 3 6 3 2" xfId="44722"/>
    <cellStyle name="40% - Accent5 3 6 4" xfId="43997"/>
    <cellStyle name="40% - Accent5 3 7" xfId="41785"/>
    <cellStyle name="40% - Accent5 3 7 2" xfId="42477"/>
    <cellStyle name="40% - Accent5 3 7 2 2" xfId="42872"/>
    <cellStyle name="40% - Accent5 3 7 2 2 2" xfId="44725"/>
    <cellStyle name="40% - Accent5 3 7 2 3" xfId="44339"/>
    <cellStyle name="40% - Accent5 3 7 3" xfId="42871"/>
    <cellStyle name="40% - Accent5 3 7 3 2" xfId="44724"/>
    <cellStyle name="40% - Accent5 3 7 4" xfId="43925"/>
    <cellStyle name="40% - Accent5 3 8" xfId="42370"/>
    <cellStyle name="40% - Accent5 3 8 2" xfId="42873"/>
    <cellStyle name="40% - Accent5 3 8 2 2" xfId="44726"/>
    <cellStyle name="40% - Accent5 3 8 3" xfId="44232"/>
    <cellStyle name="40% - Accent5 3 9" xfId="42856"/>
    <cellStyle name="40% - Accent5 3 9 2" xfId="44709"/>
    <cellStyle name="40% - Accent5 3_5.2" xfId="5029"/>
    <cellStyle name="40% - Accent5 30" xfId="5030"/>
    <cellStyle name="40% - Accent5 4" xfId="304"/>
    <cellStyle name="40% - Accent5 4 2" xfId="4839"/>
    <cellStyle name="40% - Accent5 4 2 2" xfId="42111"/>
    <cellStyle name="40% - Accent5 4 3" xfId="41434"/>
    <cellStyle name="40% - Accent5 5" xfId="305"/>
    <cellStyle name="40% - Accent5 5 2" xfId="8568"/>
    <cellStyle name="40% - Accent5 6" xfId="306"/>
    <cellStyle name="40% - Accent5 6 2" xfId="307"/>
    <cellStyle name="40% - Accent5 6 2 2" xfId="5032"/>
    <cellStyle name="40% - Accent5 6 2 3" xfId="7919"/>
    <cellStyle name="40% - Accent5 6 3" xfId="308"/>
    <cellStyle name="40% - Accent5 6 3 2" xfId="7920"/>
    <cellStyle name="40% - Accent5 6 4" xfId="5031"/>
    <cellStyle name="40% - Accent5 6 5" xfId="7918"/>
    <cellStyle name="40% - Accent5 7" xfId="300"/>
    <cellStyle name="40% - Accent5 7 2" xfId="5034"/>
    <cellStyle name="40% - Accent5 7 3" xfId="5033"/>
    <cellStyle name="40% - Accent5 8" xfId="5035"/>
    <cellStyle name="40% - Accent5 8 2" xfId="3987"/>
    <cellStyle name="40% - Accent5 9" xfId="3988"/>
    <cellStyle name="40% - Accent5 9 2" xfId="5036"/>
    <cellStyle name="40% - Accent6 10" xfId="5037"/>
    <cellStyle name="40% - Accent6 10 2" xfId="5038"/>
    <cellStyle name="40% - Accent6 11" xfId="5039"/>
    <cellStyle name="40% - Accent6 11 2" xfId="5457"/>
    <cellStyle name="40% - Accent6 12" xfId="5040"/>
    <cellStyle name="40% - Accent6 12 2" xfId="5041"/>
    <cellStyle name="40% - Accent6 13" xfId="5042"/>
    <cellStyle name="40% - Accent6 13 2" xfId="5043"/>
    <cellStyle name="40% - Accent6 14" xfId="5044"/>
    <cellStyle name="40% - Accent6 14 2" xfId="5045"/>
    <cellStyle name="40% - Accent6 15" xfId="3989"/>
    <cellStyle name="40% - Accent6 15 2" xfId="5046"/>
    <cellStyle name="40% - Accent6 16" xfId="5047"/>
    <cellStyle name="40% - Accent6 16 2" xfId="5048"/>
    <cellStyle name="40% - Accent6 17" xfId="5049"/>
    <cellStyle name="40% - Accent6 17 2" xfId="5050"/>
    <cellStyle name="40% - Accent6 18" xfId="5051"/>
    <cellStyle name="40% - Accent6 18 2" xfId="8569"/>
    <cellStyle name="40% - Accent6 19" xfId="5052"/>
    <cellStyle name="40% - Accent6 2" xfId="310"/>
    <cellStyle name="40% - Accent6 2 2" xfId="311"/>
    <cellStyle name="40% - Accent6 2 2 2" xfId="41438"/>
    <cellStyle name="40% - Accent6 2 2 3" xfId="41887"/>
    <cellStyle name="40% - Accent6 2 2 4" xfId="40845"/>
    <cellStyle name="40% - Accent6 2 3" xfId="3990"/>
    <cellStyle name="40% - Accent6 2 3 2" xfId="41814"/>
    <cellStyle name="40% - Accent6 2 4" xfId="8570"/>
    <cellStyle name="40% - Accent6 2 4 2" xfId="40702"/>
    <cellStyle name="40% - Accent6 2 5" xfId="40572"/>
    <cellStyle name="40% - Accent6 2_5.2" xfId="3991"/>
    <cellStyle name="40% - Accent6 20" xfId="4940"/>
    <cellStyle name="40% - Accent6 21" xfId="5343"/>
    <cellStyle name="40% - Accent6 22" xfId="5344"/>
    <cellStyle name="40% - Accent6 23" xfId="5345"/>
    <cellStyle name="40% - Accent6 24" xfId="3992"/>
    <cellStyle name="40% - Accent6 25" xfId="4840"/>
    <cellStyle name="40% - Accent6 26" xfId="3993"/>
    <cellStyle name="40% - Accent6 27" xfId="5053"/>
    <cellStyle name="40% - Accent6 28" xfId="3994"/>
    <cellStyle name="40% - Accent6 29" xfId="5054"/>
    <cellStyle name="40% - Accent6 3" xfId="312"/>
    <cellStyle name="40% - Accent6 3 10" xfId="43763"/>
    <cellStyle name="40% - Accent6 3 11" xfId="41294"/>
    <cellStyle name="40% - Accent6 3 2" xfId="5055"/>
    <cellStyle name="40% - Accent6 3 2 2" xfId="41439"/>
    <cellStyle name="40% - Accent6 3 3" xfId="41640"/>
    <cellStyle name="40% - Accent6 3 3 2" xfId="41980"/>
    <cellStyle name="40% - Accent6 3 3 2 2" xfId="42560"/>
    <cellStyle name="40% - Accent6 3 3 2 2 2" xfId="42877"/>
    <cellStyle name="40% - Accent6 3 3 2 2 2 2" xfId="44730"/>
    <cellStyle name="40% - Accent6 3 3 2 2 3" xfId="44422"/>
    <cellStyle name="40% - Accent6 3 3 2 3" xfId="42876"/>
    <cellStyle name="40% - Accent6 3 3 2 3 2" xfId="44729"/>
    <cellStyle name="40% - Accent6 3 3 2 4" xfId="44021"/>
    <cellStyle name="40% - Accent6 3 3 3" xfId="42394"/>
    <cellStyle name="40% - Accent6 3 3 3 2" xfId="42878"/>
    <cellStyle name="40% - Accent6 3 3 3 2 2" xfId="44731"/>
    <cellStyle name="40% - Accent6 3 3 3 3" xfId="44256"/>
    <cellStyle name="40% - Accent6 3 3 4" xfId="42875"/>
    <cellStyle name="40% - Accent6 3 3 4 2" xfId="44728"/>
    <cellStyle name="40% - Accent6 3 3 5" xfId="43830"/>
    <cellStyle name="40% - Accent6 3 4" xfId="41676"/>
    <cellStyle name="40% - Accent6 3 4 2" xfId="42003"/>
    <cellStyle name="40% - Accent6 3 4 2 2" xfId="42583"/>
    <cellStyle name="40% - Accent6 3 4 2 2 2" xfId="42881"/>
    <cellStyle name="40% - Accent6 3 4 2 2 2 2" xfId="44734"/>
    <cellStyle name="40% - Accent6 3 4 2 2 3" xfId="44445"/>
    <cellStyle name="40% - Accent6 3 4 2 3" xfId="42880"/>
    <cellStyle name="40% - Accent6 3 4 2 3 2" xfId="44733"/>
    <cellStyle name="40% - Accent6 3 4 2 4" xfId="44044"/>
    <cellStyle name="40% - Accent6 3 4 3" xfId="42417"/>
    <cellStyle name="40% - Accent6 3 4 3 2" xfId="42882"/>
    <cellStyle name="40% - Accent6 3 4 3 2 2" xfId="44735"/>
    <cellStyle name="40% - Accent6 3 4 3 3" xfId="44279"/>
    <cellStyle name="40% - Accent6 3 4 4" xfId="42879"/>
    <cellStyle name="40% - Accent6 3 4 4 2" xfId="44732"/>
    <cellStyle name="40% - Accent6 3 4 5" xfId="43857"/>
    <cellStyle name="40% - Accent6 3 5" xfId="41744"/>
    <cellStyle name="40% - Accent6 3 5 2" xfId="42041"/>
    <cellStyle name="40% - Accent6 3 5 2 2" xfId="42621"/>
    <cellStyle name="40% - Accent6 3 5 2 2 2" xfId="42885"/>
    <cellStyle name="40% - Accent6 3 5 2 2 2 2" xfId="44738"/>
    <cellStyle name="40% - Accent6 3 5 2 2 3" xfId="44483"/>
    <cellStyle name="40% - Accent6 3 5 2 3" xfId="42884"/>
    <cellStyle name="40% - Accent6 3 5 2 3 2" xfId="44737"/>
    <cellStyle name="40% - Accent6 3 5 2 4" xfId="44082"/>
    <cellStyle name="40% - Accent6 3 5 3" xfId="42455"/>
    <cellStyle name="40% - Accent6 3 5 3 2" xfId="42886"/>
    <cellStyle name="40% - Accent6 3 5 3 2 2" xfId="44739"/>
    <cellStyle name="40% - Accent6 3 5 3 3" xfId="44317"/>
    <cellStyle name="40% - Accent6 3 5 4" xfId="42883"/>
    <cellStyle name="40% - Accent6 3 5 4 2" xfId="44736"/>
    <cellStyle name="40% - Accent6 3 5 5" xfId="43901"/>
    <cellStyle name="40% - Accent6 3 6" xfId="41957"/>
    <cellStyle name="40% - Accent6 3 6 2" xfId="42537"/>
    <cellStyle name="40% - Accent6 3 6 2 2" xfId="42888"/>
    <cellStyle name="40% - Accent6 3 6 2 2 2" xfId="44741"/>
    <cellStyle name="40% - Accent6 3 6 2 3" xfId="44399"/>
    <cellStyle name="40% - Accent6 3 6 3" xfId="42887"/>
    <cellStyle name="40% - Accent6 3 6 3 2" xfId="44740"/>
    <cellStyle name="40% - Accent6 3 6 4" xfId="43998"/>
    <cellStyle name="40% - Accent6 3 7" xfId="41786"/>
    <cellStyle name="40% - Accent6 3 7 2" xfId="42478"/>
    <cellStyle name="40% - Accent6 3 7 2 2" xfId="42890"/>
    <cellStyle name="40% - Accent6 3 7 2 2 2" xfId="44743"/>
    <cellStyle name="40% - Accent6 3 7 2 3" xfId="44340"/>
    <cellStyle name="40% - Accent6 3 7 3" xfId="42889"/>
    <cellStyle name="40% - Accent6 3 7 3 2" xfId="44742"/>
    <cellStyle name="40% - Accent6 3 7 4" xfId="43926"/>
    <cellStyle name="40% - Accent6 3 8" xfId="42371"/>
    <cellStyle name="40% - Accent6 3 8 2" xfId="42891"/>
    <cellStyle name="40% - Accent6 3 8 2 2" xfId="44744"/>
    <cellStyle name="40% - Accent6 3 8 3" xfId="44233"/>
    <cellStyle name="40% - Accent6 3 9" xfId="42874"/>
    <cellStyle name="40% - Accent6 3 9 2" xfId="44727"/>
    <cellStyle name="40% - Accent6 3_5.2" xfId="5056"/>
    <cellStyle name="40% - Accent6 30" xfId="3995"/>
    <cellStyle name="40% - Accent6 4" xfId="313"/>
    <cellStyle name="40% - Accent6 4 2" xfId="3356"/>
    <cellStyle name="40% - Accent6 4 2 2" xfId="42112"/>
    <cellStyle name="40% - Accent6 4 3" xfId="41437"/>
    <cellStyle name="40% - Accent6 5" xfId="314"/>
    <cellStyle name="40% - Accent6 5 2" xfId="4841"/>
    <cellStyle name="40% - Accent6 5 3" xfId="8571"/>
    <cellStyle name="40% - Accent6 6" xfId="315"/>
    <cellStyle name="40% - Accent6 6 2" xfId="316"/>
    <cellStyle name="40% - Accent6 6 2 2" xfId="4843"/>
    <cellStyle name="40% - Accent6 6 3" xfId="317"/>
    <cellStyle name="40% - Accent6 6 3 2" xfId="7922"/>
    <cellStyle name="40% - Accent6 6 4" xfId="4842"/>
    <cellStyle name="40% - Accent6 6 5" xfId="7921"/>
    <cellStyle name="40% - Accent6 7" xfId="318"/>
    <cellStyle name="40% - Accent6 7 2" xfId="319"/>
    <cellStyle name="40% - Accent6 7 2 2" xfId="5057"/>
    <cellStyle name="40% - Accent6 7 2 3" xfId="7924"/>
    <cellStyle name="40% - Accent6 7 3" xfId="4844"/>
    <cellStyle name="40% - Accent6 7 4" xfId="7923"/>
    <cellStyle name="40% - Accent6 8" xfId="320"/>
    <cellStyle name="40% - Accent6 8 2" xfId="4845"/>
    <cellStyle name="40% - Accent6 8 3" xfId="5058"/>
    <cellStyle name="40% - Accent6 9" xfId="309"/>
    <cellStyle name="40% - Accent6 9 2" xfId="5060"/>
    <cellStyle name="40% - Accent6 9 3" xfId="5059"/>
    <cellStyle name="60% - 1. jelölőszín" xfId="40315"/>
    <cellStyle name="60% - 2. jelölőszín" xfId="40316"/>
    <cellStyle name="60% - 3. jelölőszín" xfId="40317"/>
    <cellStyle name="60% - 4. jelölőszín" xfId="40318"/>
    <cellStyle name="60% - 5. jelölőszín" xfId="40319"/>
    <cellStyle name="60% - 6. jelölőszín" xfId="40320"/>
    <cellStyle name="60% - Accent1 10" xfId="5061"/>
    <cellStyle name="60% - Accent1 11" xfId="5062"/>
    <cellStyle name="60% - Accent1 12" xfId="5063"/>
    <cellStyle name="60% - Accent1 13" xfId="5064"/>
    <cellStyle name="60% - Accent1 14" xfId="5065"/>
    <cellStyle name="60% - Accent1 15" xfId="5066"/>
    <cellStyle name="60% - Accent1 16" xfId="3996"/>
    <cellStyle name="60% - Accent1 17" xfId="3997"/>
    <cellStyle name="60% - Accent1 18" xfId="7789"/>
    <cellStyle name="60% - Accent1 18 2" xfId="8572"/>
    <cellStyle name="60% - Accent1 2" xfId="322"/>
    <cellStyle name="60% - Accent1 2 2" xfId="323"/>
    <cellStyle name="60% - Accent1 2 2 2" xfId="5067"/>
    <cellStyle name="60% - Accent1 2 2 2 2" xfId="41441"/>
    <cellStyle name="60% - Accent1 2 2 3" xfId="41888"/>
    <cellStyle name="60% - Accent1 2 2 4" xfId="40846"/>
    <cellStyle name="60% - Accent1 2 3" xfId="5068"/>
    <cellStyle name="60% - Accent1 2 3 2" xfId="41815"/>
    <cellStyle name="60% - Accent1 2 4" xfId="5069"/>
    <cellStyle name="60% - Accent1 2 4 2" xfId="40703"/>
    <cellStyle name="60% - Accent1 2 5" xfId="40573"/>
    <cellStyle name="60% - Accent1 3" xfId="324"/>
    <cellStyle name="60% - Accent1 3 2" xfId="41295"/>
    <cellStyle name="60% - Accent1 4" xfId="325"/>
    <cellStyle name="60% - Accent1 4 2" xfId="41440"/>
    <cellStyle name="60% - Accent1 5" xfId="326"/>
    <cellStyle name="60% - Accent1 5 2" xfId="8573"/>
    <cellStyle name="60% - Accent1 6" xfId="327"/>
    <cellStyle name="60% - Accent1 6 2" xfId="328"/>
    <cellStyle name="60% - Accent1 6 3" xfId="329"/>
    <cellStyle name="60% - Accent1 6 4" xfId="1853"/>
    <cellStyle name="60% - Accent1 7" xfId="330"/>
    <cellStyle name="60% - Accent1 7 2" xfId="5070"/>
    <cellStyle name="60% - Accent1 8" xfId="321"/>
    <cellStyle name="60% - Accent1 8 2" xfId="5071"/>
    <cellStyle name="60% - Accent1 9" xfId="1831"/>
    <cellStyle name="60% - Accent2 10" xfId="5072"/>
    <cellStyle name="60% - Accent2 11" xfId="5073"/>
    <cellStyle name="60% - Accent2 12" xfId="5330"/>
    <cellStyle name="60% - Accent2 13" xfId="5074"/>
    <cellStyle name="60% - Accent2 14" xfId="5329"/>
    <cellStyle name="60% - Accent2 15" xfId="3998"/>
    <cellStyle name="60% - Accent2 16" xfId="5075"/>
    <cellStyle name="60% - Accent2 17" xfId="5076"/>
    <cellStyle name="60% - Accent2 18" xfId="8574"/>
    <cellStyle name="60% - Accent2 2" xfId="332"/>
    <cellStyle name="60% - Accent2 2 2" xfId="333"/>
    <cellStyle name="60% - Accent2 2 2 2" xfId="5077"/>
    <cellStyle name="60% - Accent2 2 2 2 2" xfId="41443"/>
    <cellStyle name="60% - Accent2 2 2 3" xfId="41889"/>
    <cellStyle name="60% - Accent2 2 2 4" xfId="40847"/>
    <cellStyle name="60% - Accent2 2 3" xfId="5078"/>
    <cellStyle name="60% - Accent2 2 3 2" xfId="41816"/>
    <cellStyle name="60% - Accent2 2 4" xfId="40704"/>
    <cellStyle name="60% - Accent2 2 5" xfId="40574"/>
    <cellStyle name="60% - Accent2 3" xfId="334"/>
    <cellStyle name="60% - Accent2 3 2" xfId="41296"/>
    <cellStyle name="60% - Accent2 4" xfId="335"/>
    <cellStyle name="60% - Accent2 4 2" xfId="41442"/>
    <cellStyle name="60% - Accent2 5" xfId="336"/>
    <cellStyle name="60% - Accent2 5 2" xfId="8575"/>
    <cellStyle name="60% - Accent2 6" xfId="337"/>
    <cellStyle name="60% - Accent2 6 2" xfId="5387"/>
    <cellStyle name="60% - Accent2 7" xfId="331"/>
    <cellStyle name="60% - Accent2 7 2" xfId="3565"/>
    <cellStyle name="60% - Accent2 8" xfId="3566"/>
    <cellStyle name="60% - Accent2 9" xfId="5079"/>
    <cellStyle name="60% - Accent3 10" xfId="3567"/>
    <cellStyle name="60% - Accent3 11" xfId="5080"/>
    <cellStyle name="60% - Accent3 12" xfId="3568"/>
    <cellStyle name="60% - Accent3 13" xfId="3999"/>
    <cellStyle name="60% - Accent3 14" xfId="4000"/>
    <cellStyle name="60% - Accent3 15" xfId="4001"/>
    <cellStyle name="60% - Accent3 16" xfId="4002"/>
    <cellStyle name="60% - Accent3 17" xfId="4003"/>
    <cellStyle name="60% - Accent3 18" xfId="7790"/>
    <cellStyle name="60% - Accent3 18 2" xfId="8576"/>
    <cellStyle name="60% - Accent3 2" xfId="339"/>
    <cellStyle name="60% - Accent3 2 2" xfId="340"/>
    <cellStyle name="60% - Accent3 2 2 2" xfId="4004"/>
    <cellStyle name="60% - Accent3 2 2 2 2" xfId="41445"/>
    <cellStyle name="60% - Accent3 2 2 3" xfId="41890"/>
    <cellStyle name="60% - Accent3 2 2 4" xfId="40848"/>
    <cellStyle name="60% - Accent3 2 3" xfId="5081"/>
    <cellStyle name="60% - Accent3 2 3 2" xfId="41817"/>
    <cellStyle name="60% - Accent3 2 4" xfId="3575"/>
    <cellStyle name="60% - Accent3 2 4 2" xfId="40705"/>
    <cellStyle name="60% - Accent3 2 5" xfId="40575"/>
    <cellStyle name="60% - Accent3 3" xfId="341"/>
    <cellStyle name="60% - Accent3 3 2" xfId="41297"/>
    <cellStyle name="60% - Accent3 4" xfId="342"/>
    <cellStyle name="60% - Accent3 4 2" xfId="41444"/>
    <cellStyle name="60% - Accent3 5" xfId="343"/>
    <cellStyle name="60% - Accent3 5 2" xfId="8577"/>
    <cellStyle name="60% - Accent3 6" xfId="344"/>
    <cellStyle name="60% - Accent3 6 2" xfId="345"/>
    <cellStyle name="60% - Accent3 6 3" xfId="346"/>
    <cellStyle name="60% - Accent3 6 4" xfId="3210"/>
    <cellStyle name="60% - Accent3 7" xfId="347"/>
    <cellStyle name="60% - Accent3 7 2" xfId="3206"/>
    <cellStyle name="60% - Accent3 8" xfId="338"/>
    <cellStyle name="60% - Accent3 8 2" xfId="3207"/>
    <cellStyle name="60% - Accent3 9" xfId="3208"/>
    <cellStyle name="60% - Accent4 10" xfId="3209"/>
    <cellStyle name="60% - Accent4 11" xfId="5082"/>
    <cellStyle name="60% - Accent4 12" xfId="5083"/>
    <cellStyle name="60% - Accent4 13" xfId="4005"/>
    <cellStyle name="60% - Accent4 14" xfId="3569"/>
    <cellStyle name="60% - Accent4 15" xfId="3570"/>
    <cellStyle name="60% - Accent4 16" xfId="3571"/>
    <cellStyle name="60% - Accent4 17" xfId="3572"/>
    <cellStyle name="60% - Accent4 18" xfId="7791"/>
    <cellStyle name="60% - Accent4 18 2" xfId="8578"/>
    <cellStyle name="60% - Accent4 2" xfId="349"/>
    <cellStyle name="60% - Accent4 2 2" xfId="350"/>
    <cellStyle name="60% - Accent4 2 2 2" xfId="3573"/>
    <cellStyle name="60% - Accent4 2 2 2 2" xfId="41447"/>
    <cellStyle name="60% - Accent4 2 2 3" xfId="41891"/>
    <cellStyle name="60% - Accent4 2 2 4" xfId="40849"/>
    <cellStyle name="60% - Accent4 2 3" xfId="5388"/>
    <cellStyle name="60% - Accent4 2 3 2" xfId="41818"/>
    <cellStyle name="60% - Accent4 2 4" xfId="3574"/>
    <cellStyle name="60% - Accent4 2 4 2" xfId="40706"/>
    <cellStyle name="60% - Accent4 2 5" xfId="40576"/>
    <cellStyle name="60% - Accent4 3" xfId="351"/>
    <cellStyle name="60% - Accent4 3 2" xfId="41298"/>
    <cellStyle name="60% - Accent4 4" xfId="352"/>
    <cellStyle name="60% - Accent4 4 2" xfId="41446"/>
    <cellStyle name="60% - Accent4 5" xfId="353"/>
    <cellStyle name="60% - Accent4 5 2" xfId="8579"/>
    <cellStyle name="60% - Accent4 6" xfId="354"/>
    <cellStyle name="60% - Accent4 6 2" xfId="355"/>
    <cellStyle name="60% - Accent4 6 3" xfId="356"/>
    <cellStyle name="60% - Accent4 6 4" xfId="5327"/>
    <cellStyle name="60% - Accent4 7" xfId="357"/>
    <cellStyle name="60% - Accent4 7 2" xfId="5084"/>
    <cellStyle name="60% - Accent4 8" xfId="348"/>
    <cellStyle name="60% - Accent4 8 2" xfId="5085"/>
    <cellStyle name="60% - Accent4 9" xfId="5086"/>
    <cellStyle name="60% - Accent5 10" xfId="5087"/>
    <cellStyle name="60% - Accent5 11" xfId="3357"/>
    <cellStyle name="60% - Accent5 12" xfId="5088"/>
    <cellStyle name="60% - Accent5 13" xfId="5089"/>
    <cellStyle name="60% - Accent5 14" xfId="5090"/>
    <cellStyle name="60% - Accent5 15" xfId="3216"/>
    <cellStyle name="60% - Accent5 16" xfId="5091"/>
    <cellStyle name="60% - Accent5 17" xfId="5092"/>
    <cellStyle name="60% - Accent5 18" xfId="8580"/>
    <cellStyle name="60% - Accent5 2" xfId="359"/>
    <cellStyle name="60% - Accent5 2 2" xfId="360"/>
    <cellStyle name="60% - Accent5 2 2 2" xfId="4006"/>
    <cellStyle name="60% - Accent5 2 2 2 2" xfId="41449"/>
    <cellStyle name="60% - Accent5 2 2 3" xfId="41892"/>
    <cellStyle name="60% - Accent5 2 2 4" xfId="40850"/>
    <cellStyle name="60% - Accent5 2 3" xfId="5093"/>
    <cellStyle name="60% - Accent5 2 3 2" xfId="41819"/>
    <cellStyle name="60% - Accent5 2 4" xfId="40707"/>
    <cellStyle name="60% - Accent5 2 5" xfId="40577"/>
    <cellStyle name="60% - Accent5 3" xfId="361"/>
    <cellStyle name="60% - Accent5 3 2" xfId="41299"/>
    <cellStyle name="60% - Accent5 4" xfId="362"/>
    <cellStyle name="60% - Accent5 4 2" xfId="41448"/>
    <cellStyle name="60% - Accent5 5" xfId="363"/>
    <cellStyle name="60% - Accent5 5 2" xfId="8581"/>
    <cellStyle name="60% - Accent5 6" xfId="364"/>
    <cellStyle name="60% - Accent5 6 2" xfId="5094"/>
    <cellStyle name="60% - Accent5 7" xfId="358"/>
    <cellStyle name="60% - Accent5 7 2" xfId="5095"/>
    <cellStyle name="60% - Accent5 8" xfId="5332"/>
    <cellStyle name="60% - Accent5 9" xfId="5096"/>
    <cellStyle name="60% - Accent6 10" xfId="5097"/>
    <cellStyle name="60% - Accent6 11" xfId="5098"/>
    <cellStyle name="60% - Accent6 12" xfId="3196"/>
    <cellStyle name="60% - Accent6 13" xfId="5099"/>
    <cellStyle name="60% - Accent6 14" xfId="4007"/>
    <cellStyle name="60% - Accent6 15" xfId="5100"/>
    <cellStyle name="60% - Accent6 16" xfId="5101"/>
    <cellStyle name="60% - Accent6 17" xfId="5102"/>
    <cellStyle name="60% - Accent6 18" xfId="7792"/>
    <cellStyle name="60% - Accent6 18 2" xfId="8582"/>
    <cellStyle name="60% - Accent6 2" xfId="366"/>
    <cellStyle name="60% - Accent6 2 2" xfId="367"/>
    <cellStyle name="60% - Accent6 2 2 2" xfId="5103"/>
    <cellStyle name="60% - Accent6 2 2 2 2" xfId="41451"/>
    <cellStyle name="60% - Accent6 2 2 3" xfId="41893"/>
    <cellStyle name="60% - Accent6 2 2 4" xfId="40851"/>
    <cellStyle name="60% - Accent6 2 3" xfId="5104"/>
    <cellStyle name="60% - Accent6 2 3 2" xfId="41820"/>
    <cellStyle name="60% - Accent6 2 4" xfId="5105"/>
    <cellStyle name="60% - Accent6 2 4 2" xfId="40708"/>
    <cellStyle name="60% - Accent6 2 5" xfId="40578"/>
    <cellStyle name="60% - Accent6 3" xfId="368"/>
    <cellStyle name="60% - Accent6 3 2" xfId="41300"/>
    <cellStyle name="60% - Accent6 4" xfId="369"/>
    <cellStyle name="60% - Accent6 4 2" xfId="41450"/>
    <cellStyle name="60% - Accent6 5" xfId="370"/>
    <cellStyle name="60% - Accent6 5 2" xfId="8583"/>
    <cellStyle name="60% - Accent6 6" xfId="371"/>
    <cellStyle name="60% - Accent6 6 2" xfId="372"/>
    <cellStyle name="60% - Accent6 6 3" xfId="373"/>
    <cellStyle name="60% - Accent6 6 4" xfId="4008"/>
    <cellStyle name="60% - Accent6 7" xfId="374"/>
    <cellStyle name="60% - Accent6 7 2" xfId="4009"/>
    <cellStyle name="60% - Accent6 8" xfId="365"/>
    <cellStyle name="60% - Accent6 8 2" xfId="4010"/>
    <cellStyle name="60% - Accent6 9" xfId="5106"/>
    <cellStyle name="9999/99/99" xfId="375"/>
    <cellStyle name="9999/99/99 2" xfId="5107"/>
    <cellStyle name="9999/99/99 2 2" xfId="5108"/>
    <cellStyle name="9999/99/99 2 2 2" xfId="5109"/>
    <cellStyle name="9999/99/99 2 2 2 2" xfId="4011"/>
    <cellStyle name="9999/99/99 2 2 2 2 2" xfId="4012"/>
    <cellStyle name="9999/99/99 2 2 2 2 3" xfId="8587"/>
    <cellStyle name="9999/99/99 2 2 2 3" xfId="4013"/>
    <cellStyle name="9999/99/99 2 2 2 3 2" xfId="4014"/>
    <cellStyle name="9999/99/99 2 2 2 4" xfId="4015"/>
    <cellStyle name="9999/99/99 2 2 2 4 2" xfId="4016"/>
    <cellStyle name="9999/99/99 2 2 2 5" xfId="4017"/>
    <cellStyle name="9999/99/99 2 2 2 6" xfId="8586"/>
    <cellStyle name="9999/99/99 2 2 3" xfId="4018"/>
    <cellStyle name="9999/99/99 2 2 3 2" xfId="8589"/>
    <cellStyle name="9999/99/99 2 2 3 3" xfId="8588"/>
    <cellStyle name="9999/99/99 2 2 4" xfId="4019"/>
    <cellStyle name="9999/99/99 2 2 4 2" xfId="8591"/>
    <cellStyle name="9999/99/99 2 2 4 3" xfId="8590"/>
    <cellStyle name="9999/99/99 2 2 5" xfId="8592"/>
    <cellStyle name="9999/99/99 2 2 5 2" xfId="8593"/>
    <cellStyle name="9999/99/99 2 2 6" xfId="8594"/>
    <cellStyle name="9999/99/99 2 2 7" xfId="8595"/>
    <cellStyle name="9999/99/99 2 2 8" xfId="8596"/>
    <cellStyle name="9999/99/99 2 2 9" xfId="8585"/>
    <cellStyle name="9999/99/99 2 3" xfId="4020"/>
    <cellStyle name="9999/99/99 2 3 2" xfId="8598"/>
    <cellStyle name="9999/99/99 2 3 2 2" xfId="8599"/>
    <cellStyle name="9999/99/99 2 3 3" xfId="8600"/>
    <cellStyle name="9999/99/99 2 3 3 2" xfId="8601"/>
    <cellStyle name="9999/99/99 2 3 4" xfId="8602"/>
    <cellStyle name="9999/99/99 2 3 4 2" xfId="8603"/>
    <cellStyle name="9999/99/99 2 3 5" xfId="8604"/>
    <cellStyle name="9999/99/99 2 3 6" xfId="8597"/>
    <cellStyle name="9999/99/99 2 4" xfId="4021"/>
    <cellStyle name="9999/99/99 2 4 2" xfId="8605"/>
    <cellStyle name="9999/99/99 2 5" xfId="8606"/>
    <cellStyle name="9999/99/99 2 6" xfId="8584"/>
    <cellStyle name="9999/99/99 3" xfId="3212"/>
    <cellStyle name="9999/99/99 3 2" xfId="8608"/>
    <cellStyle name="9999/99/99 3 2 2" xfId="8609"/>
    <cellStyle name="9999/99/99 3 2 3" xfId="8610"/>
    <cellStyle name="9999/99/99 3 3" xfId="8611"/>
    <cellStyle name="9999/99/99 3 3 2" xfId="8612"/>
    <cellStyle name="9999/99/99 3 3 3" xfId="8613"/>
    <cellStyle name="9999/99/99 3 4" xfId="8614"/>
    <cellStyle name="9999/99/99 3 4 2" xfId="8615"/>
    <cellStyle name="9999/99/99 3 4 3" xfId="8616"/>
    <cellStyle name="9999/99/99 3 5" xfId="8617"/>
    <cellStyle name="9999/99/99 3 5 2" xfId="8618"/>
    <cellStyle name="9999/99/99 3 6" xfId="8619"/>
    <cellStyle name="9999/99/99 3 7" xfId="8620"/>
    <cellStyle name="9999/99/99 3 8" xfId="8621"/>
    <cellStyle name="9999/99/99 3 9" xfId="8607"/>
    <cellStyle name="9999/99/99 4" xfId="3211"/>
    <cellStyle name="9999/99/99 4 2" xfId="8623"/>
    <cellStyle name="9999/99/99 4 2 2" xfId="8624"/>
    <cellStyle name="9999/99/99 4 3" xfId="8625"/>
    <cellStyle name="9999/99/99 4 3 2" xfId="8626"/>
    <cellStyle name="9999/99/99 4 4" xfId="8627"/>
    <cellStyle name="9999/99/99 4 4 2" xfId="8628"/>
    <cellStyle name="9999/99/99 4 5" xfId="8629"/>
    <cellStyle name="9999/99/99 4 5 2" xfId="8630"/>
    <cellStyle name="9999/99/99 4 6" xfId="8631"/>
    <cellStyle name="9999/99/99 4 7" xfId="8632"/>
    <cellStyle name="9999/99/99 4 8" xfId="8633"/>
    <cellStyle name="9999/99/99 4 9" xfId="8622"/>
    <cellStyle name="9999/99/99 5" xfId="7925"/>
    <cellStyle name="9999/99/99 5 2" xfId="8634"/>
    <cellStyle name="9999/99/99 5 2 2" xfId="8635"/>
    <cellStyle name="9999/99/99 5 3" xfId="8636"/>
    <cellStyle name="9999/99/99 5 3 2" xfId="8637"/>
    <cellStyle name="9999/99/99 5 4" xfId="8638"/>
    <cellStyle name="9999/99/99 5 4 2" xfId="8639"/>
    <cellStyle name="9999/99/99 5 5" xfId="8640"/>
    <cellStyle name="9999/99/99 5 6" xfId="8641"/>
    <cellStyle name="9999/99/99 6" xfId="8642"/>
    <cellStyle name="9999/99/99 7" xfId="8643"/>
    <cellStyle name="Accent1 10" xfId="4022"/>
    <cellStyle name="Accent1 11" xfId="5448"/>
    <cellStyle name="Accent1 12" xfId="4023"/>
    <cellStyle name="Accent1 13" xfId="4024"/>
    <cellStyle name="Accent1 14" xfId="5110"/>
    <cellStyle name="Accent1 15" xfId="4025"/>
    <cellStyle name="Accent1 16" xfId="4846"/>
    <cellStyle name="Accent1 17" xfId="4026"/>
    <cellStyle name="Accent1 18" xfId="7793"/>
    <cellStyle name="Accent1 18 2" xfId="8644"/>
    <cellStyle name="Accent1 2" xfId="377"/>
    <cellStyle name="Accent1 2 2" xfId="378"/>
    <cellStyle name="Accent1 2 2 2" xfId="4028"/>
    <cellStyle name="Accent1 2 2 2 2" xfId="41453"/>
    <cellStyle name="Accent1 2 2 3" xfId="41894"/>
    <cellStyle name="Accent1 2 2 4" xfId="40852"/>
    <cellStyle name="Accent1 2 3" xfId="4029"/>
    <cellStyle name="Accent1 2 3 2" xfId="41821"/>
    <cellStyle name="Accent1 2 4" xfId="4030"/>
    <cellStyle name="Accent1 2 4 2" xfId="40709"/>
    <cellStyle name="Accent1 2 5" xfId="40579"/>
    <cellStyle name="Accent1 3" xfId="379"/>
    <cellStyle name="Accent1 3 2" xfId="41301"/>
    <cellStyle name="Accent1 4" xfId="380"/>
    <cellStyle name="Accent1 4 2" xfId="41452"/>
    <cellStyle name="Accent1 5" xfId="381"/>
    <cellStyle name="Accent1 5 2" xfId="8645"/>
    <cellStyle name="Accent1 6" xfId="382"/>
    <cellStyle name="Accent1 6 2" xfId="383"/>
    <cellStyle name="Accent1 6 3" xfId="384"/>
    <cellStyle name="Accent1 6 4" xfId="4031"/>
    <cellStyle name="Accent1 7" xfId="385"/>
    <cellStyle name="Accent1 7 2" xfId="4032"/>
    <cellStyle name="Accent1 8" xfId="376"/>
    <cellStyle name="Accent1 8 2" xfId="5385"/>
    <cellStyle name="Accent1 9" xfId="4033"/>
    <cellStyle name="Accent2 10" xfId="4034"/>
    <cellStyle name="Accent2 11" xfId="4035"/>
    <cellStyle name="Accent2 12" xfId="4036"/>
    <cellStyle name="Accent2 13" xfId="4037"/>
    <cellStyle name="Accent2 14" xfId="4038"/>
    <cellStyle name="Accent2 15" xfId="4039"/>
    <cellStyle name="Accent2 16" xfId="4040"/>
    <cellStyle name="Accent2 17" xfId="3358"/>
    <cellStyle name="Accent2 18" xfId="8646"/>
    <cellStyle name="Accent2 2" xfId="387"/>
    <cellStyle name="Accent2 2 2" xfId="388"/>
    <cellStyle name="Accent2 2 2 2" xfId="5111"/>
    <cellStyle name="Accent2 2 2 2 2" xfId="41455"/>
    <cellStyle name="Accent2 2 2 3" xfId="41895"/>
    <cellStyle name="Accent2 2 2 4" xfId="40853"/>
    <cellStyle name="Accent2 2 3" xfId="4041"/>
    <cellStyle name="Accent2 2 3 2" xfId="41822"/>
    <cellStyle name="Accent2 2 4" xfId="40710"/>
    <cellStyle name="Accent2 2 5" xfId="40580"/>
    <cellStyle name="Accent2 3" xfId="389"/>
    <cellStyle name="Accent2 3 2" xfId="41302"/>
    <cellStyle name="Accent2 4" xfId="390"/>
    <cellStyle name="Accent2 4 2" xfId="41454"/>
    <cellStyle name="Accent2 5" xfId="391"/>
    <cellStyle name="Accent2 5 2" xfId="8647"/>
    <cellStyle name="Accent2 6" xfId="392"/>
    <cellStyle name="Accent2 6 2" xfId="4042"/>
    <cellStyle name="Accent2 7" xfId="386"/>
    <cellStyle name="Accent2 7 2" xfId="3359"/>
    <cellStyle name="Accent2 8" xfId="4043"/>
    <cellStyle name="Accent2 9" xfId="4941"/>
    <cellStyle name="Accent3 10" xfId="5112"/>
    <cellStyle name="Accent3 11" xfId="4044"/>
    <cellStyle name="Accent3 12" xfId="4045"/>
    <cellStyle name="Accent3 13" xfId="5113"/>
    <cellStyle name="Accent3 14" xfId="4046"/>
    <cellStyle name="Accent3 15" xfId="3213"/>
    <cellStyle name="Accent3 16" xfId="5454"/>
    <cellStyle name="Accent3 17" xfId="4047"/>
    <cellStyle name="Accent3 18" xfId="8648"/>
    <cellStyle name="Accent3 2" xfId="394"/>
    <cellStyle name="Accent3 2 2" xfId="395"/>
    <cellStyle name="Accent3 2 2 2" xfId="5114"/>
    <cellStyle name="Accent3 2 2 2 2" xfId="41457"/>
    <cellStyle name="Accent3 2 2 3" xfId="41896"/>
    <cellStyle name="Accent3 2 2 4" xfId="40854"/>
    <cellStyle name="Accent3 2 3" xfId="4048"/>
    <cellStyle name="Accent3 2 3 2" xfId="41823"/>
    <cellStyle name="Accent3 2 4" xfId="40711"/>
    <cellStyle name="Accent3 2 5" xfId="40581"/>
    <cellStyle name="Accent3 3" xfId="396"/>
    <cellStyle name="Accent3 3 2" xfId="41303"/>
    <cellStyle name="Accent3 4" xfId="397"/>
    <cellStyle name="Accent3 4 2" xfId="41456"/>
    <cellStyle name="Accent3 5" xfId="398"/>
    <cellStyle name="Accent3 5 2" xfId="8649"/>
    <cellStyle name="Accent3 6" xfId="399"/>
    <cellStyle name="Accent3 6 2" xfId="4049"/>
    <cellStyle name="Accent3 7" xfId="393"/>
    <cellStyle name="Accent3 7 2" xfId="4050"/>
    <cellStyle name="Accent3 8" xfId="5115"/>
    <cellStyle name="Accent3 9" xfId="4051"/>
    <cellStyle name="Accent4 10" xfId="4052"/>
    <cellStyle name="Accent4 11" xfId="5116"/>
    <cellStyle name="Accent4 12" xfId="4053"/>
    <cellStyle name="Accent4 13" xfId="4054"/>
    <cellStyle name="Accent4 14" xfId="5117"/>
    <cellStyle name="Accent4 15" xfId="4055"/>
    <cellStyle name="Accent4 16" xfId="5118"/>
    <cellStyle name="Accent4 17" xfId="4056"/>
    <cellStyle name="Accent4 18" xfId="7794"/>
    <cellStyle name="Accent4 18 2" xfId="8650"/>
    <cellStyle name="Accent4 2" xfId="401"/>
    <cellStyle name="Accent4 2 2" xfId="402"/>
    <cellStyle name="Accent4 2 2 2" xfId="4057"/>
    <cellStyle name="Accent4 2 2 2 2" xfId="41459"/>
    <cellStyle name="Accent4 2 2 3" xfId="41897"/>
    <cellStyle name="Accent4 2 2 4" xfId="40855"/>
    <cellStyle name="Accent4 2 3" xfId="4058"/>
    <cellStyle name="Accent4 2 3 2" xfId="41824"/>
    <cellStyle name="Accent4 2 4" xfId="4059"/>
    <cellStyle name="Accent4 2 4 2" xfId="40712"/>
    <cellStyle name="Accent4 2 5" xfId="40582"/>
    <cellStyle name="Accent4 3" xfId="403"/>
    <cellStyle name="Accent4 3 2" xfId="41304"/>
    <cellStyle name="Accent4 4" xfId="404"/>
    <cellStyle name="Accent4 4 2" xfId="41458"/>
    <cellStyle name="Accent4 5" xfId="405"/>
    <cellStyle name="Accent4 5 2" xfId="8651"/>
    <cellStyle name="Accent4 6" xfId="406"/>
    <cellStyle name="Accent4 6 2" xfId="407"/>
    <cellStyle name="Accent4 6 3" xfId="408"/>
    <cellStyle name="Accent4 6 4" xfId="4060"/>
    <cellStyle name="Accent4 7" xfId="409"/>
    <cellStyle name="Accent4 7 2" xfId="4061"/>
    <cellStyle name="Accent4 8" xfId="400"/>
    <cellStyle name="Accent4 8 2" xfId="4062"/>
    <cellStyle name="Accent4 9" xfId="5119"/>
    <cellStyle name="Accent5 10" xfId="4063"/>
    <cellStyle name="Accent5 11" xfId="5120"/>
    <cellStyle name="Accent5 12" xfId="4064"/>
    <cellStyle name="Accent5 13" xfId="5121"/>
    <cellStyle name="Accent5 14" xfId="4065"/>
    <cellStyle name="Accent5 15" xfId="5122"/>
    <cellStyle name="Accent5 16" xfId="4066"/>
    <cellStyle name="Accent5 17" xfId="5123"/>
    <cellStyle name="Accent5 18" xfId="8652"/>
    <cellStyle name="Accent5 2" xfId="411"/>
    <cellStyle name="Accent5 2 2" xfId="412"/>
    <cellStyle name="Accent5 2 2 2" xfId="5124"/>
    <cellStyle name="Accent5 2 2 3" xfId="40856"/>
    <cellStyle name="Accent5 2 3" xfId="4067"/>
    <cellStyle name="Accent5 2 3 2" xfId="41825"/>
    <cellStyle name="Accent5 2 4" xfId="40713"/>
    <cellStyle name="Accent5 2 5" xfId="40583"/>
    <cellStyle name="Accent5 3" xfId="413"/>
    <cellStyle name="Accent5 3 2" xfId="41305"/>
    <cellStyle name="Accent5 4" xfId="414"/>
    <cellStyle name="Accent5 4 2" xfId="42113"/>
    <cellStyle name="Accent5 5" xfId="415"/>
    <cellStyle name="Accent5 5 2" xfId="8653"/>
    <cellStyle name="Accent5 6" xfId="416"/>
    <cellStyle name="Accent5 6 2" xfId="5125"/>
    <cellStyle name="Accent5 7" xfId="410"/>
    <cellStyle name="Accent5 7 2" xfId="4068"/>
    <cellStyle name="Accent5 8" xfId="4069"/>
    <cellStyle name="Accent5 9" xfId="4070"/>
    <cellStyle name="Accent6 10" xfId="4071"/>
    <cellStyle name="Accent6 11" xfId="4072"/>
    <cellStyle name="Accent6 12" xfId="4073"/>
    <cellStyle name="Accent6 13" xfId="5126"/>
    <cellStyle name="Accent6 14" xfId="5127"/>
    <cellStyle name="Accent6 15" xfId="5128"/>
    <cellStyle name="Accent6 16" xfId="5129"/>
    <cellStyle name="Accent6 17" xfId="5130"/>
    <cellStyle name="Accent6 18" xfId="8654"/>
    <cellStyle name="Accent6 2" xfId="418"/>
    <cellStyle name="Accent6 2 2" xfId="419"/>
    <cellStyle name="Accent6 2 2 2" xfId="5131"/>
    <cellStyle name="Accent6 2 2 2 2" xfId="41461"/>
    <cellStyle name="Accent6 2 2 3" xfId="41898"/>
    <cellStyle name="Accent6 2 2 4" xfId="40857"/>
    <cellStyle name="Accent6 2 3" xfId="5132"/>
    <cellStyle name="Accent6 2 3 2" xfId="41826"/>
    <cellStyle name="Accent6 2 4" xfId="40714"/>
    <cellStyle name="Accent6 2 5" xfId="40584"/>
    <cellStyle name="Accent6 3" xfId="420"/>
    <cellStyle name="Accent6 3 2" xfId="41306"/>
    <cellStyle name="Accent6 4" xfId="421"/>
    <cellStyle name="Accent6 4 2" xfId="41460"/>
    <cellStyle name="Accent6 5" xfId="422"/>
    <cellStyle name="Accent6 5 2" xfId="8655"/>
    <cellStyle name="Accent6 6" xfId="423"/>
    <cellStyle name="Accent6 6 2" xfId="4074"/>
    <cellStyle name="Accent6 7" xfId="417"/>
    <cellStyle name="Accent6 7 2" xfId="4075"/>
    <cellStyle name="Accent6 8" xfId="3576"/>
    <cellStyle name="Accent6 9" xfId="4076"/>
    <cellStyle name="AFE" xfId="42114"/>
    <cellStyle name="ÄÞ¸¶ [0]_´ëÇü" xfId="4077"/>
    <cellStyle name="ÄÞ¸¶_´ëÇü" xfId="4078"/>
    <cellStyle name="Auto_OpenAuto_CloseExtractD" xfId="424"/>
    <cellStyle name="Bad 10" xfId="5253"/>
    <cellStyle name="Bad 11" xfId="5442"/>
    <cellStyle name="Bad 12" xfId="5324"/>
    <cellStyle name="Bad 13" xfId="5439"/>
    <cellStyle name="Bad 14" xfId="5438"/>
    <cellStyle name="Bad 15" xfId="5430"/>
    <cellStyle name="Bad 16" xfId="5314"/>
    <cellStyle name="Bad 17" xfId="5289"/>
    <cellStyle name="Bad 18" xfId="8656"/>
    <cellStyle name="Bad 2" xfId="426"/>
    <cellStyle name="Bad 2 2" xfId="427"/>
    <cellStyle name="Bad 2 2 2" xfId="4079"/>
    <cellStyle name="Bad 2 2 2 2" xfId="41463"/>
    <cellStyle name="Bad 2 2 3" xfId="41899"/>
    <cellStyle name="Bad 2 2 4" xfId="40858"/>
    <cellStyle name="Bad 2 3" xfId="4080"/>
    <cellStyle name="Bad 2 3 2" xfId="41827"/>
    <cellStyle name="Bad 2 4" xfId="40715"/>
    <cellStyle name="Bad 2 5" xfId="40585"/>
    <cellStyle name="Bad 3" xfId="428"/>
    <cellStyle name="Bad 3 2" xfId="41307"/>
    <cellStyle name="Bad 4" xfId="429"/>
    <cellStyle name="Bad 4 2" xfId="41462"/>
    <cellStyle name="Bad 5" xfId="430"/>
    <cellStyle name="Bad 5 2" xfId="8657"/>
    <cellStyle name="Bad 6" xfId="431"/>
    <cellStyle name="Bad 6 2" xfId="4081"/>
    <cellStyle name="Bad 7" xfId="425"/>
    <cellStyle name="Bad 7 2" xfId="4082"/>
    <cellStyle name="Bad 8" xfId="4083"/>
    <cellStyle name="Bad 9" xfId="4084"/>
    <cellStyle name="Bevitel" xfId="40321"/>
    <cellStyle name="Body" xfId="432"/>
    <cellStyle name="Body 2" xfId="433"/>
    <cellStyle name="Body 2 2" xfId="8658"/>
    <cellStyle name="Body 3" xfId="8659"/>
    <cellStyle name="Body 4" xfId="42115"/>
    <cellStyle name="Bold/Border" xfId="434"/>
    <cellStyle name="Bold/Border 2" xfId="435"/>
    <cellStyle name="Bold/Border 2 2" xfId="436"/>
    <cellStyle name="Bold/Border 2 2 2" xfId="8661"/>
    <cellStyle name="Bold/Border 2 3" xfId="2926"/>
    <cellStyle name="Bold/Border 2 4" xfId="7927"/>
    <cellStyle name="Bold/Border 2 5" xfId="8660"/>
    <cellStyle name="Bold/Border 2 6" xfId="43439"/>
    <cellStyle name="Bold/Border 3" xfId="437"/>
    <cellStyle name="Bold/Border 3 2" xfId="4085"/>
    <cellStyle name="Bold/Border 3 2 2" xfId="8664"/>
    <cellStyle name="Bold/Border 3 2 2 2" xfId="8665"/>
    <cellStyle name="Bold/Border 3 2 2 3" xfId="8666"/>
    <cellStyle name="Bold/Border 3 2 3" xfId="8667"/>
    <cellStyle name="Bold/Border 3 2 4" xfId="8668"/>
    <cellStyle name="Bold/Border 3 2 5" xfId="8663"/>
    <cellStyle name="Bold/Border 3 3" xfId="8669"/>
    <cellStyle name="Bold/Border 3 4" xfId="8662"/>
    <cellStyle name="Bold/Border 4" xfId="438"/>
    <cellStyle name="Bold/Border 4 2" xfId="8671"/>
    <cellStyle name="Bold/Border 4 2 2" xfId="8672"/>
    <cellStyle name="Bold/Border 4 3" xfId="8673"/>
    <cellStyle name="Bold/Border 4 4" xfId="8674"/>
    <cellStyle name="Bold/Border 4 5" xfId="8670"/>
    <cellStyle name="Bold/Border 5" xfId="439"/>
    <cellStyle name="Bold/Border 5 2" xfId="7928"/>
    <cellStyle name="Bold/Border 6" xfId="440"/>
    <cellStyle name="Bold/Border 7" xfId="7926"/>
    <cellStyle name="Bold/Border 8" xfId="40404"/>
    <cellStyle name="border" xfId="2550"/>
    <cellStyle name="border 10" xfId="8675"/>
    <cellStyle name="border 10 2" xfId="8676"/>
    <cellStyle name="border 10 3" xfId="8677"/>
    <cellStyle name="border 11" xfId="8678"/>
    <cellStyle name="border 11 10" xfId="8679"/>
    <cellStyle name="border 11 10 2" xfId="8680"/>
    <cellStyle name="border 11 10 3" xfId="8681"/>
    <cellStyle name="border 11 11" xfId="8682"/>
    <cellStyle name="border 11 11 2" xfId="8683"/>
    <cellStyle name="border 11 11 3" xfId="8684"/>
    <cellStyle name="border 11 12" xfId="8685"/>
    <cellStyle name="border 11 12 2" xfId="8686"/>
    <cellStyle name="border 11 12 3" xfId="8687"/>
    <cellStyle name="border 11 13" xfId="8688"/>
    <cellStyle name="border 11 14" xfId="8689"/>
    <cellStyle name="border 11 2" xfId="8690"/>
    <cellStyle name="border 11 2 2" xfId="8691"/>
    <cellStyle name="border 11 2 3" xfId="8692"/>
    <cellStyle name="border 11 3" xfId="8693"/>
    <cellStyle name="border 11 3 2" xfId="8694"/>
    <cellStyle name="border 11 3 3" xfId="8695"/>
    <cellStyle name="border 11 4" xfId="8696"/>
    <cellStyle name="border 11 4 2" xfId="8697"/>
    <cellStyle name="border 11 4 3" xfId="8698"/>
    <cellStyle name="border 11 5" xfId="8699"/>
    <cellStyle name="border 11 5 2" xfId="8700"/>
    <cellStyle name="border 11 5 3" xfId="8701"/>
    <cellStyle name="border 11 6" xfId="8702"/>
    <cellStyle name="border 11 6 2" xfId="8703"/>
    <cellStyle name="border 11 6 3" xfId="8704"/>
    <cellStyle name="border 11 7" xfId="8705"/>
    <cellStyle name="border 11 7 2" xfId="8706"/>
    <cellStyle name="border 11 7 3" xfId="8707"/>
    <cellStyle name="border 11 8" xfId="8708"/>
    <cellStyle name="border 11 8 2" xfId="8709"/>
    <cellStyle name="border 11 8 3" xfId="8710"/>
    <cellStyle name="border 11 9" xfId="8711"/>
    <cellStyle name="border 11 9 2" xfId="8712"/>
    <cellStyle name="border 11 9 3" xfId="8713"/>
    <cellStyle name="border 12" xfId="8714"/>
    <cellStyle name="border 12 10" xfId="8715"/>
    <cellStyle name="border 12 10 2" xfId="8716"/>
    <cellStyle name="border 12 10 3" xfId="8717"/>
    <cellStyle name="border 12 11" xfId="8718"/>
    <cellStyle name="border 12 11 2" xfId="8719"/>
    <cellStyle name="border 12 11 3" xfId="8720"/>
    <cellStyle name="border 12 12" xfId="8721"/>
    <cellStyle name="border 12 12 2" xfId="8722"/>
    <cellStyle name="border 12 12 3" xfId="8723"/>
    <cellStyle name="border 12 13" xfId="8724"/>
    <cellStyle name="border 12 14" xfId="8725"/>
    <cellStyle name="border 12 2" xfId="8726"/>
    <cellStyle name="border 12 2 2" xfId="8727"/>
    <cellStyle name="border 12 2 3" xfId="8728"/>
    <cellStyle name="border 12 3" xfId="8729"/>
    <cellStyle name="border 12 3 2" xfId="8730"/>
    <cellStyle name="border 12 3 3" xfId="8731"/>
    <cellStyle name="border 12 4" xfId="8732"/>
    <cellStyle name="border 12 4 2" xfId="8733"/>
    <cellStyle name="border 12 4 3" xfId="8734"/>
    <cellStyle name="border 12 5" xfId="8735"/>
    <cellStyle name="border 12 5 2" xfId="8736"/>
    <cellStyle name="border 12 5 3" xfId="8737"/>
    <cellStyle name="border 12 6" xfId="8738"/>
    <cellStyle name="border 12 6 2" xfId="8739"/>
    <cellStyle name="border 12 6 3" xfId="8740"/>
    <cellStyle name="border 12 7" xfId="8741"/>
    <cellStyle name="border 12 7 2" xfId="8742"/>
    <cellStyle name="border 12 7 3" xfId="8743"/>
    <cellStyle name="border 12 8" xfId="8744"/>
    <cellStyle name="border 12 8 2" xfId="8745"/>
    <cellStyle name="border 12 8 3" xfId="8746"/>
    <cellStyle name="border 12 9" xfId="8747"/>
    <cellStyle name="border 12 9 2" xfId="8748"/>
    <cellStyle name="border 12 9 3" xfId="8749"/>
    <cellStyle name="border 2" xfId="8295"/>
    <cellStyle name="border 2 2" xfId="8750"/>
    <cellStyle name="border 2 2 2" xfId="8751"/>
    <cellStyle name="border 2 2 2 2" xfId="8752"/>
    <cellStyle name="border 2 2 2 3" xfId="8753"/>
    <cellStyle name="border 2 2 3" xfId="8754"/>
    <cellStyle name="border 2 2 3 2" xfId="8755"/>
    <cellStyle name="border 2 2 3 3" xfId="8756"/>
    <cellStyle name="border 2 2 4" xfId="8757"/>
    <cellStyle name="border 2 2 4 2" xfId="8758"/>
    <cellStyle name="border 2 2 4 3" xfId="8759"/>
    <cellStyle name="border 2 2 5" xfId="8760"/>
    <cellStyle name="border 2 2 5 2" xfId="8761"/>
    <cellStyle name="border 2 2 5 3" xfId="8762"/>
    <cellStyle name="border 2 2 6" xfId="8763"/>
    <cellStyle name="border 2 2 7" xfId="8764"/>
    <cellStyle name="border 2 3" xfId="8765"/>
    <cellStyle name="border 2 3 2" xfId="8766"/>
    <cellStyle name="border 2 3 2 2" xfId="8767"/>
    <cellStyle name="border 2 3 2 3" xfId="8768"/>
    <cellStyle name="border 2 3 3" xfId="8769"/>
    <cellStyle name="border 2 3 4" xfId="8770"/>
    <cellStyle name="border 2 4" xfId="8771"/>
    <cellStyle name="border 2 4 2" xfId="8772"/>
    <cellStyle name="border 2 4 3" xfId="8773"/>
    <cellStyle name="border 2 5" xfId="8774"/>
    <cellStyle name="border 2 5 2" xfId="8775"/>
    <cellStyle name="border 2 5 3" xfId="8776"/>
    <cellStyle name="border 2 6" xfId="8777"/>
    <cellStyle name="border 2 6 10" xfId="8778"/>
    <cellStyle name="border 2 6 10 2" xfId="8779"/>
    <cellStyle name="border 2 6 10 3" xfId="8780"/>
    <cellStyle name="border 2 6 11" xfId="8781"/>
    <cellStyle name="border 2 6 11 2" xfId="8782"/>
    <cellStyle name="border 2 6 11 3" xfId="8783"/>
    <cellStyle name="border 2 6 12" xfId="8784"/>
    <cellStyle name="border 2 6 12 2" xfId="8785"/>
    <cellStyle name="border 2 6 12 3" xfId="8786"/>
    <cellStyle name="border 2 6 13" xfId="8787"/>
    <cellStyle name="border 2 6 14" xfId="8788"/>
    <cellStyle name="border 2 6 2" xfId="8789"/>
    <cellStyle name="border 2 6 2 2" xfId="8790"/>
    <cellStyle name="border 2 6 2 3" xfId="8791"/>
    <cellStyle name="border 2 6 3" xfId="8792"/>
    <cellStyle name="border 2 6 3 2" xfId="8793"/>
    <cellStyle name="border 2 6 3 3" xfId="8794"/>
    <cellStyle name="border 2 6 4" xfId="8795"/>
    <cellStyle name="border 2 6 4 2" xfId="8796"/>
    <cellStyle name="border 2 6 4 3" xfId="8797"/>
    <cellStyle name="border 2 6 5" xfId="8798"/>
    <cellStyle name="border 2 6 5 2" xfId="8799"/>
    <cellStyle name="border 2 6 5 3" xfId="8800"/>
    <cellStyle name="border 2 6 6" xfId="8801"/>
    <cellStyle name="border 2 6 6 2" xfId="8802"/>
    <cellStyle name="border 2 6 6 3" xfId="8803"/>
    <cellStyle name="border 2 6 7" xfId="8804"/>
    <cellStyle name="border 2 6 7 2" xfId="8805"/>
    <cellStyle name="border 2 6 7 3" xfId="8806"/>
    <cellStyle name="border 2 6 8" xfId="8807"/>
    <cellStyle name="border 2 6 8 2" xfId="8808"/>
    <cellStyle name="border 2 6 8 3" xfId="8809"/>
    <cellStyle name="border 2 6 9" xfId="8810"/>
    <cellStyle name="border 2 6 9 2" xfId="8811"/>
    <cellStyle name="border 2 6 9 3" xfId="8812"/>
    <cellStyle name="border 2 7" xfId="8813"/>
    <cellStyle name="border 2 7 10" xfId="8814"/>
    <cellStyle name="border 2 7 10 2" xfId="8815"/>
    <cellStyle name="border 2 7 10 3" xfId="8816"/>
    <cellStyle name="border 2 7 11" xfId="8817"/>
    <cellStyle name="border 2 7 11 2" xfId="8818"/>
    <cellStyle name="border 2 7 11 3" xfId="8819"/>
    <cellStyle name="border 2 7 12" xfId="8820"/>
    <cellStyle name="border 2 7 12 2" xfId="8821"/>
    <cellStyle name="border 2 7 12 3" xfId="8822"/>
    <cellStyle name="border 2 7 13" xfId="8823"/>
    <cellStyle name="border 2 7 14" xfId="8824"/>
    <cellStyle name="border 2 7 2" xfId="8825"/>
    <cellStyle name="border 2 7 2 2" xfId="8826"/>
    <cellStyle name="border 2 7 2 3" xfId="8827"/>
    <cellStyle name="border 2 7 3" xfId="8828"/>
    <cellStyle name="border 2 7 3 2" xfId="8829"/>
    <cellStyle name="border 2 7 3 3" xfId="8830"/>
    <cellStyle name="border 2 7 4" xfId="8831"/>
    <cellStyle name="border 2 7 4 2" xfId="8832"/>
    <cellStyle name="border 2 7 4 3" xfId="8833"/>
    <cellStyle name="border 2 7 5" xfId="8834"/>
    <cellStyle name="border 2 7 5 2" xfId="8835"/>
    <cellStyle name="border 2 7 5 3" xfId="8836"/>
    <cellStyle name="border 2 7 6" xfId="8837"/>
    <cellStyle name="border 2 7 6 2" xfId="8838"/>
    <cellStyle name="border 2 7 6 3" xfId="8839"/>
    <cellStyle name="border 2 7 7" xfId="8840"/>
    <cellStyle name="border 2 7 7 2" xfId="8841"/>
    <cellStyle name="border 2 7 7 3" xfId="8842"/>
    <cellStyle name="border 2 7 8" xfId="8843"/>
    <cellStyle name="border 2 7 8 2" xfId="8844"/>
    <cellStyle name="border 2 7 8 3" xfId="8845"/>
    <cellStyle name="border 2 7 9" xfId="8846"/>
    <cellStyle name="border 2 7 9 2" xfId="8847"/>
    <cellStyle name="border 2 7 9 3" xfId="8848"/>
    <cellStyle name="border 2 8" xfId="8849"/>
    <cellStyle name="border 2 8 2" xfId="8850"/>
    <cellStyle name="border 2 8 3" xfId="8851"/>
    <cellStyle name="border 3" xfId="8852"/>
    <cellStyle name="border 3 10" xfId="8853"/>
    <cellStyle name="border 3 10 2" xfId="8854"/>
    <cellStyle name="border 3 10 3" xfId="8855"/>
    <cellStyle name="border 3 11" xfId="8856"/>
    <cellStyle name="border 3 12" xfId="8857"/>
    <cellStyle name="border 3 13" xfId="8858"/>
    <cellStyle name="border 3 2" xfId="8859"/>
    <cellStyle name="border 3 2 2" xfId="8860"/>
    <cellStyle name="border 3 2 2 2" xfId="8861"/>
    <cellStyle name="border 3 2 2 3" xfId="8862"/>
    <cellStyle name="border 3 2 3" xfId="8863"/>
    <cellStyle name="border 3 2 4" xfId="8864"/>
    <cellStyle name="border 3 3" xfId="8865"/>
    <cellStyle name="border 3 3 2" xfId="8866"/>
    <cellStyle name="border 3 3 2 2" xfId="8867"/>
    <cellStyle name="border 3 3 2 3" xfId="8868"/>
    <cellStyle name="border 3 3 3" xfId="8869"/>
    <cellStyle name="border 3 3 4" xfId="8870"/>
    <cellStyle name="border 3 4" xfId="8871"/>
    <cellStyle name="border 3 4 2" xfId="8872"/>
    <cellStyle name="border 3 4 2 2" xfId="8873"/>
    <cellStyle name="border 3 4 2 3" xfId="8874"/>
    <cellStyle name="border 3 4 3" xfId="8875"/>
    <cellStyle name="border 3 4 4" xfId="8876"/>
    <cellStyle name="border 3 5" xfId="8877"/>
    <cellStyle name="border 3 5 10" xfId="8878"/>
    <cellStyle name="border 3 5 10 2" xfId="8879"/>
    <cellStyle name="border 3 5 10 3" xfId="8880"/>
    <cellStyle name="border 3 5 11" xfId="8881"/>
    <cellStyle name="border 3 5 11 2" xfId="8882"/>
    <cellStyle name="border 3 5 11 3" xfId="8883"/>
    <cellStyle name="border 3 5 12" xfId="8884"/>
    <cellStyle name="border 3 5 12 2" xfId="8885"/>
    <cellStyle name="border 3 5 12 3" xfId="8886"/>
    <cellStyle name="border 3 5 13" xfId="8887"/>
    <cellStyle name="border 3 5 14" xfId="8888"/>
    <cellStyle name="border 3 5 2" xfId="8889"/>
    <cellStyle name="border 3 5 2 2" xfId="8890"/>
    <cellStyle name="border 3 5 2 3" xfId="8891"/>
    <cellStyle name="border 3 5 3" xfId="8892"/>
    <cellStyle name="border 3 5 3 2" xfId="8893"/>
    <cellStyle name="border 3 5 3 3" xfId="8894"/>
    <cellStyle name="border 3 5 4" xfId="8895"/>
    <cellStyle name="border 3 5 4 2" xfId="8896"/>
    <cellStyle name="border 3 5 4 3" xfId="8897"/>
    <cellStyle name="border 3 5 5" xfId="8898"/>
    <cellStyle name="border 3 5 5 2" xfId="8899"/>
    <cellStyle name="border 3 5 5 3" xfId="8900"/>
    <cellStyle name="border 3 5 6" xfId="8901"/>
    <cellStyle name="border 3 5 6 2" xfId="8902"/>
    <cellStyle name="border 3 5 6 3" xfId="8903"/>
    <cellStyle name="border 3 5 7" xfId="8904"/>
    <cellStyle name="border 3 5 7 2" xfId="8905"/>
    <cellStyle name="border 3 5 7 3" xfId="8906"/>
    <cellStyle name="border 3 5 8" xfId="8907"/>
    <cellStyle name="border 3 5 8 2" xfId="8908"/>
    <cellStyle name="border 3 5 8 3" xfId="8909"/>
    <cellStyle name="border 3 5 9" xfId="8910"/>
    <cellStyle name="border 3 5 9 2" xfId="8911"/>
    <cellStyle name="border 3 5 9 3" xfId="8912"/>
    <cellStyle name="border 3 6" xfId="8913"/>
    <cellStyle name="border 3 6 10" xfId="8914"/>
    <cellStyle name="border 3 6 10 2" xfId="8915"/>
    <cellStyle name="border 3 6 10 3" xfId="8916"/>
    <cellStyle name="border 3 6 11" xfId="8917"/>
    <cellStyle name="border 3 6 11 2" xfId="8918"/>
    <cellStyle name="border 3 6 11 3" xfId="8919"/>
    <cellStyle name="border 3 6 12" xfId="8920"/>
    <cellStyle name="border 3 6 12 2" xfId="8921"/>
    <cellStyle name="border 3 6 12 3" xfId="8922"/>
    <cellStyle name="border 3 6 13" xfId="8923"/>
    <cellStyle name="border 3 6 14" xfId="8924"/>
    <cellStyle name="border 3 6 2" xfId="8925"/>
    <cellStyle name="border 3 6 2 2" xfId="8926"/>
    <cellStyle name="border 3 6 2 3" xfId="8927"/>
    <cellStyle name="border 3 6 3" xfId="8928"/>
    <cellStyle name="border 3 6 3 2" xfId="8929"/>
    <cellStyle name="border 3 6 3 3" xfId="8930"/>
    <cellStyle name="border 3 6 4" xfId="8931"/>
    <cellStyle name="border 3 6 4 2" xfId="8932"/>
    <cellStyle name="border 3 6 4 3" xfId="8933"/>
    <cellStyle name="border 3 6 5" xfId="8934"/>
    <cellStyle name="border 3 6 5 2" xfId="8935"/>
    <cellStyle name="border 3 6 5 3" xfId="8936"/>
    <cellStyle name="border 3 6 6" xfId="8937"/>
    <cellStyle name="border 3 6 6 2" xfId="8938"/>
    <cellStyle name="border 3 6 6 3" xfId="8939"/>
    <cellStyle name="border 3 6 7" xfId="8940"/>
    <cellStyle name="border 3 6 7 2" xfId="8941"/>
    <cellStyle name="border 3 6 7 3" xfId="8942"/>
    <cellStyle name="border 3 6 8" xfId="8943"/>
    <cellStyle name="border 3 6 8 2" xfId="8944"/>
    <cellStyle name="border 3 6 8 3" xfId="8945"/>
    <cellStyle name="border 3 6 9" xfId="8946"/>
    <cellStyle name="border 3 6 9 2" xfId="8947"/>
    <cellStyle name="border 3 6 9 3" xfId="8948"/>
    <cellStyle name="border 3 7" xfId="8949"/>
    <cellStyle name="border 3 7 10" xfId="8950"/>
    <cellStyle name="border 3 7 10 2" xfId="8951"/>
    <cellStyle name="border 3 7 10 3" xfId="8952"/>
    <cellStyle name="border 3 7 11" xfId="8953"/>
    <cellStyle name="border 3 7 11 2" xfId="8954"/>
    <cellStyle name="border 3 7 11 3" xfId="8955"/>
    <cellStyle name="border 3 7 12" xfId="8956"/>
    <cellStyle name="border 3 7 12 2" xfId="8957"/>
    <cellStyle name="border 3 7 12 3" xfId="8958"/>
    <cellStyle name="border 3 7 13" xfId="8959"/>
    <cellStyle name="border 3 7 14" xfId="8960"/>
    <cellStyle name="border 3 7 2" xfId="8961"/>
    <cellStyle name="border 3 7 2 2" xfId="8962"/>
    <cellStyle name="border 3 7 2 3" xfId="8963"/>
    <cellStyle name="border 3 7 3" xfId="8964"/>
    <cellStyle name="border 3 7 3 2" xfId="8965"/>
    <cellStyle name="border 3 7 3 3" xfId="8966"/>
    <cellStyle name="border 3 7 4" xfId="8967"/>
    <cellStyle name="border 3 7 4 2" xfId="8968"/>
    <cellStyle name="border 3 7 4 3" xfId="8969"/>
    <cellStyle name="border 3 7 5" xfId="8970"/>
    <cellStyle name="border 3 7 5 2" xfId="8971"/>
    <cellStyle name="border 3 7 5 3" xfId="8972"/>
    <cellStyle name="border 3 7 6" xfId="8973"/>
    <cellStyle name="border 3 7 6 2" xfId="8974"/>
    <cellStyle name="border 3 7 6 3" xfId="8975"/>
    <cellStyle name="border 3 7 7" xfId="8976"/>
    <cellStyle name="border 3 7 7 2" xfId="8977"/>
    <cellStyle name="border 3 7 7 3" xfId="8978"/>
    <cellStyle name="border 3 7 8" xfId="8979"/>
    <cellStyle name="border 3 7 8 2" xfId="8980"/>
    <cellStyle name="border 3 7 8 3" xfId="8981"/>
    <cellStyle name="border 3 7 9" xfId="8982"/>
    <cellStyle name="border 3 7 9 2" xfId="8983"/>
    <cellStyle name="border 3 7 9 3" xfId="8984"/>
    <cellStyle name="border 3 8" xfId="8985"/>
    <cellStyle name="border 3 8 2" xfId="8986"/>
    <cellStyle name="border 3 8 3" xfId="8987"/>
    <cellStyle name="border 3 9" xfId="8988"/>
    <cellStyle name="border 3 9 2" xfId="8989"/>
    <cellStyle name="border 3 9 3" xfId="8990"/>
    <cellStyle name="border 4" xfId="8991"/>
    <cellStyle name="border 4 2" xfId="8992"/>
    <cellStyle name="border 4 2 2" xfId="8993"/>
    <cellStyle name="border 4 2 3" xfId="8994"/>
    <cellStyle name="border 4 3" xfId="8995"/>
    <cellStyle name="border 4 3 2" xfId="8996"/>
    <cellStyle name="border 4 3 3" xfId="8997"/>
    <cellStyle name="border 4 4" xfId="8998"/>
    <cellStyle name="border 4 4 2" xfId="8999"/>
    <cellStyle name="border 4 4 3" xfId="9000"/>
    <cellStyle name="border 4 5" xfId="9001"/>
    <cellStyle name="border 4 5 2" xfId="9002"/>
    <cellStyle name="border 4 5 3" xfId="9003"/>
    <cellStyle name="border 4 6" xfId="9004"/>
    <cellStyle name="border 4 7" xfId="9005"/>
    <cellStyle name="border 5" xfId="9006"/>
    <cellStyle name="border 5 2" xfId="9007"/>
    <cellStyle name="border 5 2 2" xfId="9008"/>
    <cellStyle name="border 5 2 3" xfId="9009"/>
    <cellStyle name="border 5 3" xfId="9010"/>
    <cellStyle name="border 5 3 2" xfId="9011"/>
    <cellStyle name="border 5 3 3" xfId="9012"/>
    <cellStyle name="border 5 4" xfId="9013"/>
    <cellStyle name="border 5 4 2" xfId="9014"/>
    <cellStyle name="border 5 4 3" xfId="9015"/>
    <cellStyle name="border 5 5" xfId="9016"/>
    <cellStyle name="border 5 6" xfId="9017"/>
    <cellStyle name="border 6" xfId="9018"/>
    <cellStyle name="border 6 2" xfId="9019"/>
    <cellStyle name="border 6 2 2" xfId="9020"/>
    <cellStyle name="border 6 2 3" xfId="9021"/>
    <cellStyle name="border 6 3" xfId="9022"/>
    <cellStyle name="border 6 3 2" xfId="9023"/>
    <cellStyle name="border 6 3 3" xfId="9024"/>
    <cellStyle name="border 6 4" xfId="9025"/>
    <cellStyle name="border 6 4 2" xfId="9026"/>
    <cellStyle name="border 6 4 3" xfId="9027"/>
    <cellStyle name="border 6 5" xfId="9028"/>
    <cellStyle name="border 6 5 2" xfId="9029"/>
    <cellStyle name="border 6 5 3" xfId="9030"/>
    <cellStyle name="border 6 6" xfId="9031"/>
    <cellStyle name="border 6 7" xfId="9032"/>
    <cellStyle name="border 7" xfId="9033"/>
    <cellStyle name="border 7 2" xfId="9034"/>
    <cellStyle name="border 7 2 2" xfId="9035"/>
    <cellStyle name="border 7 2 3" xfId="9036"/>
    <cellStyle name="border 7 3" xfId="9037"/>
    <cellStyle name="border 7 4" xfId="9038"/>
    <cellStyle name="border 8" xfId="9039"/>
    <cellStyle name="border 8 2" xfId="9040"/>
    <cellStyle name="border 8 3" xfId="9041"/>
    <cellStyle name="border 9" xfId="9042"/>
    <cellStyle name="border 9 2" xfId="9043"/>
    <cellStyle name="border 9 3" xfId="9044"/>
    <cellStyle name="Brand Align Left Text" xfId="441"/>
    <cellStyle name="Brand Default" xfId="442"/>
    <cellStyle name="Brand Percent" xfId="443"/>
    <cellStyle name="Brand Source" xfId="444"/>
    <cellStyle name="Brand Subtitle with Underline" xfId="445"/>
    <cellStyle name="Brand Subtitle without Underline" xfId="446"/>
    <cellStyle name="Brand Title" xfId="447"/>
    <cellStyle name="Bullet" xfId="448"/>
    <cellStyle name="Bullet 2" xfId="449"/>
    <cellStyle name="Bullet 2 2" xfId="450"/>
    <cellStyle name="Bullet 2 2 2" xfId="9045"/>
    <cellStyle name="Bullet 2 3" xfId="9046"/>
    <cellStyle name="Bullet 2 4" xfId="9047"/>
    <cellStyle name="Bullet 3" xfId="451"/>
    <cellStyle name="Bullet 3 2" xfId="2928"/>
    <cellStyle name="Bullet 4" xfId="452"/>
    <cellStyle name="Bullet 4 2" xfId="9048"/>
    <cellStyle name="Bullet_CDC RECON AND MARK TO MARKET" xfId="2551"/>
    <cellStyle name="Ç¥ÁØ_´ëÇü" xfId="5290"/>
    <cellStyle name="Calc Currency (0)" xfId="453"/>
    <cellStyle name="Calc Currency (0) 2" xfId="454"/>
    <cellStyle name="Calc Currency (0) 2 2" xfId="455"/>
    <cellStyle name="Calc Currency (0) 2 2 2" xfId="5133"/>
    <cellStyle name="Calc Currency (0) 2 2 3" xfId="9049"/>
    <cellStyle name="Calc Currency (0) 2 3" xfId="456"/>
    <cellStyle name="Calc Currency (0) 2 3 2" xfId="4086"/>
    <cellStyle name="Calc Currency (0) 2 3 3" xfId="9050"/>
    <cellStyle name="Calc Currency (0) 2 4" xfId="457"/>
    <cellStyle name="Calc Currency (0) 2 4 2" xfId="9051"/>
    <cellStyle name="Calc Currency (0) 2 5" xfId="458"/>
    <cellStyle name="Calc Currency (0) 2 5 2" xfId="9052"/>
    <cellStyle name="Calc Currency (0) 3" xfId="459"/>
    <cellStyle name="Calc Currency (0) 3 2" xfId="460"/>
    <cellStyle name="Calc Currency (0) 3 3" xfId="9053"/>
    <cellStyle name="Calc Currency (0) 4" xfId="461"/>
    <cellStyle name="Calc Currency (0) 4 2" xfId="462"/>
    <cellStyle name="Calc Currency (0) 4 3" xfId="4087"/>
    <cellStyle name="Calc Currency (0) 4 4" xfId="9054"/>
    <cellStyle name="Calc Currency (0) 5" xfId="463"/>
    <cellStyle name="Calc Currency (0) 5 2" xfId="4088"/>
    <cellStyle name="Calc Currency (0) 6" xfId="464"/>
    <cellStyle name="Calc Currency (0) 7" xfId="7795"/>
    <cellStyle name="Calc Currency (0)_5.2" xfId="4089"/>
    <cellStyle name="Calc Currency (2)" xfId="2552"/>
    <cellStyle name="Calc Currency (2) 2" xfId="42116"/>
    <cellStyle name="Calc Percent (0)" xfId="465"/>
    <cellStyle name="Calc Percent (0) 2" xfId="466"/>
    <cellStyle name="Calc Percent (0) 3" xfId="467"/>
    <cellStyle name="Calc Percent (1)" xfId="468"/>
    <cellStyle name="Calc Percent (1) 2" xfId="469"/>
    <cellStyle name="Calc Percent (1) 2 2" xfId="470"/>
    <cellStyle name="Calc Percent (1) 2 2 2" xfId="9055"/>
    <cellStyle name="Calc Percent (1) 3" xfId="471"/>
    <cellStyle name="Calc Percent (1) 4" xfId="472"/>
    <cellStyle name="Calc Percent (2)" xfId="2553"/>
    <cellStyle name="Calc Percent (2) 2" xfId="42117"/>
    <cellStyle name="Calc Units (0)" xfId="2554"/>
    <cellStyle name="Calc Units (0) 2" xfId="42118"/>
    <cellStyle name="Calc Units (1)" xfId="2555"/>
    <cellStyle name="Calc Units (1) 2" xfId="42119"/>
    <cellStyle name="Calc Units (2)" xfId="2556"/>
    <cellStyle name="Calc Units (2) 2" xfId="42120"/>
    <cellStyle name="Calculation 10" xfId="2557"/>
    <cellStyle name="Calculation 10 10" xfId="4090"/>
    <cellStyle name="Calculation 10 10 2" xfId="9056"/>
    <cellStyle name="Calculation 10 11" xfId="8296"/>
    <cellStyle name="Calculation 10 2" xfId="5134"/>
    <cellStyle name="Calculation 10 2 2" xfId="5135"/>
    <cellStyle name="Calculation 10 2 2 10" xfId="9059"/>
    <cellStyle name="Calculation 10 2 2 11" xfId="9058"/>
    <cellStyle name="Calculation 10 2 2 2" xfId="9060"/>
    <cellStyle name="Calculation 10 2 2 2 2" xfId="9061"/>
    <cellStyle name="Calculation 10 2 2 2 2 2" xfId="9062"/>
    <cellStyle name="Calculation 10 2 2 2 3" xfId="9063"/>
    <cellStyle name="Calculation 10 2 2 2 4" xfId="9064"/>
    <cellStyle name="Calculation 10 2 2 3" xfId="9065"/>
    <cellStyle name="Calculation 10 2 2 3 2" xfId="9066"/>
    <cellStyle name="Calculation 10 2 2 3 2 2" xfId="9067"/>
    <cellStyle name="Calculation 10 2 2 3 3" xfId="9068"/>
    <cellStyle name="Calculation 10 2 2 4" xfId="9069"/>
    <cellStyle name="Calculation 10 2 2 4 2" xfId="9070"/>
    <cellStyle name="Calculation 10 2 2 4 2 2" xfId="9071"/>
    <cellStyle name="Calculation 10 2 2 4 3" xfId="9072"/>
    <cellStyle name="Calculation 10 2 2 5" xfId="9073"/>
    <cellStyle name="Calculation 10 2 2 5 2" xfId="9074"/>
    <cellStyle name="Calculation 10 2 2 6" xfId="9075"/>
    <cellStyle name="Calculation 10 2 2 6 2" xfId="9076"/>
    <cellStyle name="Calculation 10 2 2 7" xfId="9077"/>
    <cellStyle name="Calculation 10 2 2 7 2" xfId="9078"/>
    <cellStyle name="Calculation 10 2 2 8" xfId="9079"/>
    <cellStyle name="Calculation 10 2 2 8 2" xfId="9080"/>
    <cellStyle name="Calculation 10 2 2 9" xfId="9081"/>
    <cellStyle name="Calculation 10 2 3" xfId="5136"/>
    <cellStyle name="Calculation 10 2 3 2" xfId="9083"/>
    <cellStyle name="Calculation 10 2 3 2 2" xfId="9084"/>
    <cellStyle name="Calculation 10 2 3 2 2 2" xfId="9085"/>
    <cellStyle name="Calculation 10 2 3 2 3" xfId="9086"/>
    <cellStyle name="Calculation 10 2 3 2 4" xfId="9087"/>
    <cellStyle name="Calculation 10 2 3 3" xfId="9088"/>
    <cellStyle name="Calculation 10 2 3 3 2" xfId="9089"/>
    <cellStyle name="Calculation 10 2 3 3 2 2" xfId="9090"/>
    <cellStyle name="Calculation 10 2 3 3 3" xfId="9091"/>
    <cellStyle name="Calculation 10 2 3 4" xfId="9092"/>
    <cellStyle name="Calculation 10 2 3 4 2" xfId="9093"/>
    <cellStyle name="Calculation 10 2 3 5" xfId="9094"/>
    <cellStyle name="Calculation 10 2 3 5 2" xfId="9095"/>
    <cellStyle name="Calculation 10 2 3 6" xfId="9096"/>
    <cellStyle name="Calculation 10 2 3 7" xfId="9097"/>
    <cellStyle name="Calculation 10 2 3 8" xfId="9082"/>
    <cellStyle name="Calculation 10 2 4" xfId="5137"/>
    <cellStyle name="Calculation 10 2 4 2" xfId="4091"/>
    <cellStyle name="Calculation 10 2 4 2 2" xfId="9099"/>
    <cellStyle name="Calculation 10 2 4 3" xfId="9100"/>
    <cellStyle name="Calculation 10 2 4 4" xfId="9098"/>
    <cellStyle name="Calculation 10 2 5" xfId="4092"/>
    <cellStyle name="Calculation 10 2 5 2" xfId="4093"/>
    <cellStyle name="Calculation 10 2 5 2 2" xfId="9102"/>
    <cellStyle name="Calculation 10 2 5 3" xfId="9101"/>
    <cellStyle name="Calculation 10 2 6" xfId="4094"/>
    <cellStyle name="Calculation 10 2 6 2" xfId="9104"/>
    <cellStyle name="Calculation 10 2 6 3" xfId="9103"/>
    <cellStyle name="Calculation 10 2 7" xfId="3360"/>
    <cellStyle name="Calculation 10 2 7 2" xfId="9105"/>
    <cellStyle name="Calculation 10 2 8" xfId="9106"/>
    <cellStyle name="Calculation 10 2 9" xfId="9057"/>
    <cellStyle name="Calculation 10 3" xfId="4095"/>
    <cellStyle name="Calculation 10 3 2" xfId="4096"/>
    <cellStyle name="Calculation 10 3 2 10" xfId="9109"/>
    <cellStyle name="Calculation 10 3 2 11" xfId="9108"/>
    <cellStyle name="Calculation 10 3 2 2" xfId="9110"/>
    <cellStyle name="Calculation 10 3 2 2 2" xfId="9111"/>
    <cellStyle name="Calculation 10 3 2 2 2 2" xfId="9112"/>
    <cellStyle name="Calculation 10 3 2 2 3" xfId="9113"/>
    <cellStyle name="Calculation 10 3 2 3" xfId="9114"/>
    <cellStyle name="Calculation 10 3 2 3 2" xfId="9115"/>
    <cellStyle name="Calculation 10 3 2 3 2 2" xfId="9116"/>
    <cellStyle name="Calculation 10 3 2 3 3" xfId="9117"/>
    <cellStyle name="Calculation 10 3 2 4" xfId="9118"/>
    <cellStyle name="Calculation 10 3 2 4 2" xfId="9119"/>
    <cellStyle name="Calculation 10 3 2 4 2 2" xfId="9120"/>
    <cellStyle name="Calculation 10 3 2 4 3" xfId="9121"/>
    <cellStyle name="Calculation 10 3 2 5" xfId="9122"/>
    <cellStyle name="Calculation 10 3 2 5 2" xfId="9123"/>
    <cellStyle name="Calculation 10 3 2 6" xfId="9124"/>
    <cellStyle name="Calculation 10 3 2 6 2" xfId="9125"/>
    <cellStyle name="Calculation 10 3 2 7" xfId="9126"/>
    <cellStyle name="Calculation 10 3 2 7 2" xfId="9127"/>
    <cellStyle name="Calculation 10 3 2 8" xfId="9128"/>
    <cellStyle name="Calculation 10 3 2 8 2" xfId="9129"/>
    <cellStyle name="Calculation 10 3 2 9" xfId="9130"/>
    <cellStyle name="Calculation 10 3 3" xfId="9131"/>
    <cellStyle name="Calculation 10 3 3 2" xfId="9132"/>
    <cellStyle name="Calculation 10 3 3 2 2" xfId="9133"/>
    <cellStyle name="Calculation 10 3 3 2 2 2" xfId="9134"/>
    <cellStyle name="Calculation 10 3 3 2 3" xfId="9135"/>
    <cellStyle name="Calculation 10 3 3 3" xfId="9136"/>
    <cellStyle name="Calculation 10 3 3 3 2" xfId="9137"/>
    <cellStyle name="Calculation 10 3 3 3 2 2" xfId="9138"/>
    <cellStyle name="Calculation 10 3 3 3 3" xfId="9139"/>
    <cellStyle name="Calculation 10 3 3 4" xfId="9140"/>
    <cellStyle name="Calculation 10 3 3 4 2" xfId="9141"/>
    <cellStyle name="Calculation 10 3 3 5" xfId="9142"/>
    <cellStyle name="Calculation 10 3 3 5 2" xfId="9143"/>
    <cellStyle name="Calculation 10 3 3 6" xfId="9144"/>
    <cellStyle name="Calculation 10 3 3 7" xfId="9145"/>
    <cellStyle name="Calculation 10 3 4" xfId="9146"/>
    <cellStyle name="Calculation 10 3 4 2" xfId="9147"/>
    <cellStyle name="Calculation 10 3 5" xfId="9148"/>
    <cellStyle name="Calculation 10 3 5 2" xfId="9149"/>
    <cellStyle name="Calculation 10 3 6" xfId="9150"/>
    <cellStyle name="Calculation 10 3 6 2" xfId="9151"/>
    <cellStyle name="Calculation 10 3 7" xfId="9152"/>
    <cellStyle name="Calculation 10 3 8" xfId="9153"/>
    <cellStyle name="Calculation 10 3 9" xfId="9107"/>
    <cellStyle name="Calculation 10 4" xfId="4097"/>
    <cellStyle name="Calculation 10 4 10" xfId="9155"/>
    <cellStyle name="Calculation 10 4 11" xfId="9154"/>
    <cellStyle name="Calculation 10 4 2" xfId="9156"/>
    <cellStyle name="Calculation 10 4 2 2" xfId="9157"/>
    <cellStyle name="Calculation 10 4 2 2 2" xfId="9158"/>
    <cellStyle name="Calculation 10 4 2 3" xfId="9159"/>
    <cellStyle name="Calculation 10 4 2 4" xfId="9160"/>
    <cellStyle name="Calculation 10 4 3" xfId="9161"/>
    <cellStyle name="Calculation 10 4 3 2" xfId="9162"/>
    <cellStyle name="Calculation 10 4 3 2 2" xfId="9163"/>
    <cellStyle name="Calculation 10 4 3 3" xfId="9164"/>
    <cellStyle name="Calculation 10 4 4" xfId="9165"/>
    <cellStyle name="Calculation 10 4 4 2" xfId="9166"/>
    <cellStyle name="Calculation 10 4 4 2 2" xfId="9167"/>
    <cellStyle name="Calculation 10 4 4 3" xfId="9168"/>
    <cellStyle name="Calculation 10 4 5" xfId="9169"/>
    <cellStyle name="Calculation 10 4 5 2" xfId="9170"/>
    <cellStyle name="Calculation 10 4 6" xfId="9171"/>
    <cellStyle name="Calculation 10 4 6 2" xfId="9172"/>
    <cellStyle name="Calculation 10 4 7" xfId="9173"/>
    <cellStyle name="Calculation 10 4 7 2" xfId="9174"/>
    <cellStyle name="Calculation 10 4 8" xfId="9175"/>
    <cellStyle name="Calculation 10 4 8 2" xfId="9176"/>
    <cellStyle name="Calculation 10 4 9" xfId="9177"/>
    <cellStyle name="Calculation 10 5" xfId="4098"/>
    <cellStyle name="Calculation 10 5 10" xfId="9179"/>
    <cellStyle name="Calculation 10 5 11" xfId="9178"/>
    <cellStyle name="Calculation 10 5 2" xfId="9180"/>
    <cellStyle name="Calculation 10 5 2 2" xfId="9181"/>
    <cellStyle name="Calculation 10 5 2 2 2" xfId="9182"/>
    <cellStyle name="Calculation 10 5 2 3" xfId="9183"/>
    <cellStyle name="Calculation 10 5 2 4" xfId="9184"/>
    <cellStyle name="Calculation 10 5 3" xfId="9185"/>
    <cellStyle name="Calculation 10 5 3 2" xfId="9186"/>
    <cellStyle name="Calculation 10 5 3 2 2" xfId="9187"/>
    <cellStyle name="Calculation 10 5 3 3" xfId="9188"/>
    <cellStyle name="Calculation 10 5 4" xfId="9189"/>
    <cellStyle name="Calculation 10 5 4 2" xfId="9190"/>
    <cellStyle name="Calculation 10 5 4 2 2" xfId="9191"/>
    <cellStyle name="Calculation 10 5 4 3" xfId="9192"/>
    <cellStyle name="Calculation 10 5 5" xfId="9193"/>
    <cellStyle name="Calculation 10 5 5 2" xfId="9194"/>
    <cellStyle name="Calculation 10 5 6" xfId="9195"/>
    <cellStyle name="Calculation 10 5 6 2" xfId="9196"/>
    <cellStyle name="Calculation 10 5 7" xfId="9197"/>
    <cellStyle name="Calculation 10 5 7 2" xfId="9198"/>
    <cellStyle name="Calculation 10 5 8" xfId="9199"/>
    <cellStyle name="Calculation 10 5 8 2" xfId="9200"/>
    <cellStyle name="Calculation 10 5 9" xfId="9201"/>
    <cellStyle name="Calculation 10 6" xfId="4099"/>
    <cellStyle name="Calculation 10 6 2" xfId="4100"/>
    <cellStyle name="Calculation 10 6 2 2" xfId="9204"/>
    <cellStyle name="Calculation 10 6 2 2 2" xfId="9205"/>
    <cellStyle name="Calculation 10 6 2 3" xfId="9206"/>
    <cellStyle name="Calculation 10 6 2 4" xfId="9203"/>
    <cellStyle name="Calculation 10 6 3" xfId="9207"/>
    <cellStyle name="Calculation 10 6 3 2" xfId="9208"/>
    <cellStyle name="Calculation 10 6 3 2 2" xfId="9209"/>
    <cellStyle name="Calculation 10 6 3 3" xfId="9210"/>
    <cellStyle name="Calculation 10 6 4" xfId="9211"/>
    <cellStyle name="Calculation 10 6 4 2" xfId="9212"/>
    <cellStyle name="Calculation 10 6 5" xfId="9213"/>
    <cellStyle name="Calculation 10 6 5 2" xfId="9214"/>
    <cellStyle name="Calculation 10 6 6" xfId="9215"/>
    <cellStyle name="Calculation 10 6 7" xfId="9216"/>
    <cellStyle name="Calculation 10 6 8" xfId="9202"/>
    <cellStyle name="Calculation 10 7" xfId="4101"/>
    <cellStyle name="Calculation 10 7 2" xfId="4102"/>
    <cellStyle name="Calculation 10 7 2 2" xfId="9218"/>
    <cellStyle name="Calculation 10 7 3" xfId="9217"/>
    <cellStyle name="Calculation 10 8" xfId="5138"/>
    <cellStyle name="Calculation 10 8 2" xfId="9220"/>
    <cellStyle name="Calculation 10 8 3" xfId="9219"/>
    <cellStyle name="Calculation 10 9" xfId="5139"/>
    <cellStyle name="Calculation 10 9 2" xfId="9222"/>
    <cellStyle name="Calculation 10 9 3" xfId="9221"/>
    <cellStyle name="Calculation 11" xfId="2558"/>
    <cellStyle name="Calculation 11 10" xfId="4103"/>
    <cellStyle name="Calculation 11 10 2" xfId="9223"/>
    <cellStyle name="Calculation 11 11" xfId="8297"/>
    <cellStyle name="Calculation 11 2" xfId="4104"/>
    <cellStyle name="Calculation 11 2 2" xfId="5140"/>
    <cellStyle name="Calculation 11 2 2 10" xfId="9226"/>
    <cellStyle name="Calculation 11 2 2 11" xfId="9225"/>
    <cellStyle name="Calculation 11 2 2 2" xfId="9227"/>
    <cellStyle name="Calculation 11 2 2 2 2" xfId="9228"/>
    <cellStyle name="Calculation 11 2 2 2 2 2" xfId="9229"/>
    <cellStyle name="Calculation 11 2 2 2 3" xfId="9230"/>
    <cellStyle name="Calculation 11 2 2 2 4" xfId="9231"/>
    <cellStyle name="Calculation 11 2 2 3" xfId="9232"/>
    <cellStyle name="Calculation 11 2 2 3 2" xfId="9233"/>
    <cellStyle name="Calculation 11 2 2 3 2 2" xfId="9234"/>
    <cellStyle name="Calculation 11 2 2 3 3" xfId="9235"/>
    <cellStyle name="Calculation 11 2 2 4" xfId="9236"/>
    <cellStyle name="Calculation 11 2 2 4 2" xfId="9237"/>
    <cellStyle name="Calculation 11 2 2 4 2 2" xfId="9238"/>
    <cellStyle name="Calculation 11 2 2 4 3" xfId="9239"/>
    <cellStyle name="Calculation 11 2 2 5" xfId="9240"/>
    <cellStyle name="Calculation 11 2 2 5 2" xfId="9241"/>
    <cellStyle name="Calculation 11 2 2 6" xfId="9242"/>
    <cellStyle name="Calculation 11 2 2 6 2" xfId="9243"/>
    <cellStyle name="Calculation 11 2 2 7" xfId="9244"/>
    <cellStyle name="Calculation 11 2 2 7 2" xfId="9245"/>
    <cellStyle name="Calculation 11 2 2 8" xfId="9246"/>
    <cellStyle name="Calculation 11 2 2 8 2" xfId="9247"/>
    <cellStyle name="Calculation 11 2 2 9" xfId="9248"/>
    <cellStyle name="Calculation 11 2 3" xfId="5141"/>
    <cellStyle name="Calculation 11 2 3 2" xfId="9250"/>
    <cellStyle name="Calculation 11 2 3 2 2" xfId="9251"/>
    <cellStyle name="Calculation 11 2 3 2 2 2" xfId="9252"/>
    <cellStyle name="Calculation 11 2 3 2 3" xfId="9253"/>
    <cellStyle name="Calculation 11 2 3 2 4" xfId="9254"/>
    <cellStyle name="Calculation 11 2 3 3" xfId="9255"/>
    <cellStyle name="Calculation 11 2 3 3 2" xfId="9256"/>
    <cellStyle name="Calculation 11 2 3 3 2 2" xfId="9257"/>
    <cellStyle name="Calculation 11 2 3 3 3" xfId="9258"/>
    <cellStyle name="Calculation 11 2 3 4" xfId="9259"/>
    <cellStyle name="Calculation 11 2 3 4 2" xfId="9260"/>
    <cellStyle name="Calculation 11 2 3 5" xfId="9261"/>
    <cellStyle name="Calculation 11 2 3 5 2" xfId="9262"/>
    <cellStyle name="Calculation 11 2 3 6" xfId="9263"/>
    <cellStyle name="Calculation 11 2 3 7" xfId="9264"/>
    <cellStyle name="Calculation 11 2 3 8" xfId="9249"/>
    <cellStyle name="Calculation 11 2 4" xfId="4105"/>
    <cellStyle name="Calculation 11 2 4 2" xfId="4106"/>
    <cellStyle name="Calculation 11 2 4 2 2" xfId="9266"/>
    <cellStyle name="Calculation 11 2 4 3" xfId="9267"/>
    <cellStyle name="Calculation 11 2 4 4" xfId="9265"/>
    <cellStyle name="Calculation 11 2 5" xfId="4107"/>
    <cellStyle name="Calculation 11 2 5 2" xfId="4108"/>
    <cellStyle name="Calculation 11 2 5 2 2" xfId="9269"/>
    <cellStyle name="Calculation 11 2 5 3" xfId="9268"/>
    <cellStyle name="Calculation 11 2 6" xfId="5142"/>
    <cellStyle name="Calculation 11 2 6 2" xfId="9271"/>
    <cellStyle name="Calculation 11 2 6 3" xfId="9270"/>
    <cellStyle name="Calculation 11 2 7" xfId="5143"/>
    <cellStyle name="Calculation 11 2 7 2" xfId="9272"/>
    <cellStyle name="Calculation 11 2 8" xfId="9273"/>
    <cellStyle name="Calculation 11 2 9" xfId="9224"/>
    <cellStyle name="Calculation 11 3" xfId="4109"/>
    <cellStyle name="Calculation 11 3 2" xfId="4110"/>
    <cellStyle name="Calculation 11 3 2 10" xfId="9276"/>
    <cellStyle name="Calculation 11 3 2 11" xfId="9275"/>
    <cellStyle name="Calculation 11 3 2 2" xfId="9277"/>
    <cellStyle name="Calculation 11 3 2 2 2" xfId="9278"/>
    <cellStyle name="Calculation 11 3 2 2 2 2" xfId="9279"/>
    <cellStyle name="Calculation 11 3 2 2 3" xfId="9280"/>
    <cellStyle name="Calculation 11 3 2 3" xfId="9281"/>
    <cellStyle name="Calculation 11 3 2 3 2" xfId="9282"/>
    <cellStyle name="Calculation 11 3 2 3 2 2" xfId="9283"/>
    <cellStyle name="Calculation 11 3 2 3 3" xfId="9284"/>
    <cellStyle name="Calculation 11 3 2 4" xfId="9285"/>
    <cellStyle name="Calculation 11 3 2 4 2" xfId="9286"/>
    <cellStyle name="Calculation 11 3 2 4 2 2" xfId="9287"/>
    <cellStyle name="Calculation 11 3 2 4 3" xfId="9288"/>
    <cellStyle name="Calculation 11 3 2 5" xfId="9289"/>
    <cellStyle name="Calculation 11 3 2 5 2" xfId="9290"/>
    <cellStyle name="Calculation 11 3 2 6" xfId="9291"/>
    <cellStyle name="Calculation 11 3 2 6 2" xfId="9292"/>
    <cellStyle name="Calculation 11 3 2 7" xfId="9293"/>
    <cellStyle name="Calculation 11 3 2 7 2" xfId="9294"/>
    <cellStyle name="Calculation 11 3 2 8" xfId="9295"/>
    <cellStyle name="Calculation 11 3 2 8 2" xfId="9296"/>
    <cellStyle name="Calculation 11 3 2 9" xfId="9297"/>
    <cellStyle name="Calculation 11 3 3" xfId="9298"/>
    <cellStyle name="Calculation 11 3 3 2" xfId="9299"/>
    <cellStyle name="Calculation 11 3 3 2 2" xfId="9300"/>
    <cellStyle name="Calculation 11 3 3 2 2 2" xfId="9301"/>
    <cellStyle name="Calculation 11 3 3 2 3" xfId="9302"/>
    <cellStyle name="Calculation 11 3 3 3" xfId="9303"/>
    <cellStyle name="Calculation 11 3 3 3 2" xfId="9304"/>
    <cellStyle name="Calculation 11 3 3 3 2 2" xfId="9305"/>
    <cellStyle name="Calculation 11 3 3 3 3" xfId="9306"/>
    <cellStyle name="Calculation 11 3 3 4" xfId="9307"/>
    <cellStyle name="Calculation 11 3 3 4 2" xfId="9308"/>
    <cellStyle name="Calculation 11 3 3 5" xfId="9309"/>
    <cellStyle name="Calculation 11 3 3 5 2" xfId="9310"/>
    <cellStyle name="Calculation 11 3 3 6" xfId="9311"/>
    <cellStyle name="Calculation 11 3 3 7" xfId="9312"/>
    <cellStyle name="Calculation 11 3 4" xfId="9313"/>
    <cellStyle name="Calculation 11 3 4 2" xfId="9314"/>
    <cellStyle name="Calculation 11 3 5" xfId="9315"/>
    <cellStyle name="Calculation 11 3 5 2" xfId="9316"/>
    <cellStyle name="Calculation 11 3 6" xfId="9317"/>
    <cellStyle name="Calculation 11 3 6 2" xfId="9318"/>
    <cellStyle name="Calculation 11 3 7" xfId="9319"/>
    <cellStyle name="Calculation 11 3 8" xfId="9320"/>
    <cellStyle name="Calculation 11 3 9" xfId="9274"/>
    <cellStyle name="Calculation 11 4" xfId="5402"/>
    <cellStyle name="Calculation 11 4 10" xfId="9322"/>
    <cellStyle name="Calculation 11 4 11" xfId="9321"/>
    <cellStyle name="Calculation 11 4 2" xfId="9323"/>
    <cellStyle name="Calculation 11 4 2 2" xfId="9324"/>
    <cellStyle name="Calculation 11 4 2 2 2" xfId="9325"/>
    <cellStyle name="Calculation 11 4 2 3" xfId="9326"/>
    <cellStyle name="Calculation 11 4 2 4" xfId="9327"/>
    <cellStyle name="Calculation 11 4 3" xfId="9328"/>
    <cellStyle name="Calculation 11 4 3 2" xfId="9329"/>
    <cellStyle name="Calculation 11 4 3 2 2" xfId="9330"/>
    <cellStyle name="Calculation 11 4 3 3" xfId="9331"/>
    <cellStyle name="Calculation 11 4 4" xfId="9332"/>
    <cellStyle name="Calculation 11 4 4 2" xfId="9333"/>
    <cellStyle name="Calculation 11 4 4 2 2" xfId="9334"/>
    <cellStyle name="Calculation 11 4 4 3" xfId="9335"/>
    <cellStyle name="Calculation 11 4 5" xfId="9336"/>
    <cellStyle name="Calculation 11 4 5 2" xfId="9337"/>
    <cellStyle name="Calculation 11 4 6" xfId="9338"/>
    <cellStyle name="Calculation 11 4 6 2" xfId="9339"/>
    <cellStyle name="Calculation 11 4 7" xfId="9340"/>
    <cellStyle name="Calculation 11 4 7 2" xfId="9341"/>
    <cellStyle name="Calculation 11 4 8" xfId="9342"/>
    <cellStyle name="Calculation 11 4 8 2" xfId="9343"/>
    <cellStyle name="Calculation 11 4 9" xfId="9344"/>
    <cellStyle name="Calculation 11 5" xfId="4111"/>
    <cellStyle name="Calculation 11 5 10" xfId="9346"/>
    <cellStyle name="Calculation 11 5 11" xfId="9345"/>
    <cellStyle name="Calculation 11 5 2" xfId="9347"/>
    <cellStyle name="Calculation 11 5 2 2" xfId="9348"/>
    <cellStyle name="Calculation 11 5 2 2 2" xfId="9349"/>
    <cellStyle name="Calculation 11 5 2 3" xfId="9350"/>
    <cellStyle name="Calculation 11 5 2 4" xfId="9351"/>
    <cellStyle name="Calculation 11 5 3" xfId="9352"/>
    <cellStyle name="Calculation 11 5 3 2" xfId="9353"/>
    <cellStyle name="Calculation 11 5 3 2 2" xfId="9354"/>
    <cellStyle name="Calculation 11 5 3 3" xfId="9355"/>
    <cellStyle name="Calculation 11 5 4" xfId="9356"/>
    <cellStyle name="Calculation 11 5 4 2" xfId="9357"/>
    <cellStyle name="Calculation 11 5 4 2 2" xfId="9358"/>
    <cellStyle name="Calculation 11 5 4 3" xfId="9359"/>
    <cellStyle name="Calculation 11 5 5" xfId="9360"/>
    <cellStyle name="Calculation 11 5 5 2" xfId="9361"/>
    <cellStyle name="Calculation 11 5 6" xfId="9362"/>
    <cellStyle name="Calculation 11 5 6 2" xfId="9363"/>
    <cellStyle name="Calculation 11 5 7" xfId="9364"/>
    <cellStyle name="Calculation 11 5 7 2" xfId="9365"/>
    <cellStyle name="Calculation 11 5 8" xfId="9366"/>
    <cellStyle name="Calculation 11 5 8 2" xfId="9367"/>
    <cellStyle name="Calculation 11 5 9" xfId="9368"/>
    <cellStyle name="Calculation 11 6" xfId="4112"/>
    <cellStyle name="Calculation 11 6 2" xfId="1852"/>
    <cellStyle name="Calculation 11 6 2 2" xfId="9371"/>
    <cellStyle name="Calculation 11 6 2 2 2" xfId="9372"/>
    <cellStyle name="Calculation 11 6 2 3" xfId="9373"/>
    <cellStyle name="Calculation 11 6 2 4" xfId="9370"/>
    <cellStyle name="Calculation 11 6 3" xfId="9374"/>
    <cellStyle name="Calculation 11 6 3 2" xfId="9375"/>
    <cellStyle name="Calculation 11 6 3 2 2" xfId="9376"/>
    <cellStyle name="Calculation 11 6 3 3" xfId="9377"/>
    <cellStyle name="Calculation 11 6 4" xfId="9378"/>
    <cellStyle name="Calculation 11 6 4 2" xfId="9379"/>
    <cellStyle name="Calculation 11 6 5" xfId="9380"/>
    <cellStyle name="Calculation 11 6 5 2" xfId="9381"/>
    <cellStyle name="Calculation 11 6 6" xfId="9382"/>
    <cellStyle name="Calculation 11 6 7" xfId="9383"/>
    <cellStyle name="Calculation 11 6 8" xfId="9369"/>
    <cellStyle name="Calculation 11 7" xfId="4113"/>
    <cellStyle name="Calculation 11 7 2" xfId="4114"/>
    <cellStyle name="Calculation 11 7 2 2" xfId="9385"/>
    <cellStyle name="Calculation 11 7 3" xfId="9384"/>
    <cellStyle name="Calculation 11 8" xfId="4115"/>
    <cellStyle name="Calculation 11 8 2" xfId="9387"/>
    <cellStyle name="Calculation 11 8 3" xfId="9386"/>
    <cellStyle name="Calculation 11 9" xfId="3361"/>
    <cellStyle name="Calculation 11 9 2" xfId="9389"/>
    <cellStyle name="Calculation 11 9 3" xfId="9388"/>
    <cellStyle name="Calculation 12" xfId="2559"/>
    <cellStyle name="Calculation 12 10" xfId="4116"/>
    <cellStyle name="Calculation 12 10 2" xfId="9390"/>
    <cellStyle name="Calculation 12 11" xfId="8298"/>
    <cellStyle name="Calculation 12 2" xfId="4117"/>
    <cellStyle name="Calculation 12 2 2" xfId="4118"/>
    <cellStyle name="Calculation 12 2 2 10" xfId="9393"/>
    <cellStyle name="Calculation 12 2 2 11" xfId="9392"/>
    <cellStyle name="Calculation 12 2 2 2" xfId="9394"/>
    <cellStyle name="Calculation 12 2 2 2 2" xfId="9395"/>
    <cellStyle name="Calculation 12 2 2 2 2 2" xfId="9396"/>
    <cellStyle name="Calculation 12 2 2 2 3" xfId="9397"/>
    <cellStyle name="Calculation 12 2 2 2 4" xfId="9398"/>
    <cellStyle name="Calculation 12 2 2 3" xfId="9399"/>
    <cellStyle name="Calculation 12 2 2 3 2" xfId="9400"/>
    <cellStyle name="Calculation 12 2 2 3 2 2" xfId="9401"/>
    <cellStyle name="Calculation 12 2 2 3 3" xfId="9402"/>
    <cellStyle name="Calculation 12 2 2 4" xfId="9403"/>
    <cellStyle name="Calculation 12 2 2 4 2" xfId="9404"/>
    <cellStyle name="Calculation 12 2 2 4 2 2" xfId="9405"/>
    <cellStyle name="Calculation 12 2 2 4 3" xfId="9406"/>
    <cellStyle name="Calculation 12 2 2 5" xfId="9407"/>
    <cellStyle name="Calculation 12 2 2 5 2" xfId="9408"/>
    <cellStyle name="Calculation 12 2 2 6" xfId="9409"/>
    <cellStyle name="Calculation 12 2 2 6 2" xfId="9410"/>
    <cellStyle name="Calculation 12 2 2 7" xfId="9411"/>
    <cellStyle name="Calculation 12 2 2 7 2" xfId="9412"/>
    <cellStyle name="Calculation 12 2 2 8" xfId="9413"/>
    <cellStyle name="Calculation 12 2 2 8 2" xfId="9414"/>
    <cellStyle name="Calculation 12 2 2 9" xfId="9415"/>
    <cellStyle name="Calculation 12 2 3" xfId="4119"/>
    <cellStyle name="Calculation 12 2 3 2" xfId="9417"/>
    <cellStyle name="Calculation 12 2 3 2 2" xfId="9418"/>
    <cellStyle name="Calculation 12 2 3 2 2 2" xfId="9419"/>
    <cellStyle name="Calculation 12 2 3 2 3" xfId="9420"/>
    <cellStyle name="Calculation 12 2 3 2 4" xfId="9421"/>
    <cellStyle name="Calculation 12 2 3 3" xfId="9422"/>
    <cellStyle name="Calculation 12 2 3 3 2" xfId="9423"/>
    <cellStyle name="Calculation 12 2 3 3 2 2" xfId="9424"/>
    <cellStyle name="Calculation 12 2 3 3 3" xfId="9425"/>
    <cellStyle name="Calculation 12 2 3 4" xfId="9426"/>
    <cellStyle name="Calculation 12 2 3 4 2" xfId="9427"/>
    <cellStyle name="Calculation 12 2 3 5" xfId="9428"/>
    <cellStyle name="Calculation 12 2 3 5 2" xfId="9429"/>
    <cellStyle name="Calculation 12 2 3 6" xfId="9430"/>
    <cellStyle name="Calculation 12 2 3 7" xfId="9431"/>
    <cellStyle name="Calculation 12 2 3 8" xfId="9416"/>
    <cellStyle name="Calculation 12 2 4" xfId="4120"/>
    <cellStyle name="Calculation 12 2 4 2" xfId="4121"/>
    <cellStyle name="Calculation 12 2 4 2 2" xfId="9433"/>
    <cellStyle name="Calculation 12 2 4 3" xfId="9434"/>
    <cellStyle name="Calculation 12 2 4 4" xfId="9432"/>
    <cellStyle name="Calculation 12 2 5" xfId="4122"/>
    <cellStyle name="Calculation 12 2 5 2" xfId="4123"/>
    <cellStyle name="Calculation 12 2 5 2 2" xfId="9436"/>
    <cellStyle name="Calculation 12 2 5 3" xfId="9435"/>
    <cellStyle name="Calculation 12 2 6" xfId="4124"/>
    <cellStyle name="Calculation 12 2 6 2" xfId="9438"/>
    <cellStyle name="Calculation 12 2 6 3" xfId="9437"/>
    <cellStyle name="Calculation 12 2 7" xfId="4125"/>
    <cellStyle name="Calculation 12 2 7 2" xfId="9439"/>
    <cellStyle name="Calculation 12 2 8" xfId="9440"/>
    <cellStyle name="Calculation 12 2 9" xfId="9391"/>
    <cellStyle name="Calculation 12 3" xfId="5144"/>
    <cellStyle name="Calculation 12 3 2" xfId="4126"/>
    <cellStyle name="Calculation 12 3 2 10" xfId="9443"/>
    <cellStyle name="Calculation 12 3 2 11" xfId="9442"/>
    <cellStyle name="Calculation 12 3 2 2" xfId="9444"/>
    <cellStyle name="Calculation 12 3 2 2 2" xfId="9445"/>
    <cellStyle name="Calculation 12 3 2 2 2 2" xfId="9446"/>
    <cellStyle name="Calculation 12 3 2 2 3" xfId="9447"/>
    <cellStyle name="Calculation 12 3 2 3" xfId="9448"/>
    <cellStyle name="Calculation 12 3 2 3 2" xfId="9449"/>
    <cellStyle name="Calculation 12 3 2 3 2 2" xfId="9450"/>
    <cellStyle name="Calculation 12 3 2 3 3" xfId="9451"/>
    <cellStyle name="Calculation 12 3 2 4" xfId="9452"/>
    <cellStyle name="Calculation 12 3 2 4 2" xfId="9453"/>
    <cellStyle name="Calculation 12 3 2 4 2 2" xfId="9454"/>
    <cellStyle name="Calculation 12 3 2 4 3" xfId="9455"/>
    <cellStyle name="Calculation 12 3 2 5" xfId="9456"/>
    <cellStyle name="Calculation 12 3 2 5 2" xfId="9457"/>
    <cellStyle name="Calculation 12 3 2 6" xfId="9458"/>
    <cellStyle name="Calculation 12 3 2 6 2" xfId="9459"/>
    <cellStyle name="Calculation 12 3 2 7" xfId="9460"/>
    <cellStyle name="Calculation 12 3 2 7 2" xfId="9461"/>
    <cellStyle name="Calculation 12 3 2 8" xfId="9462"/>
    <cellStyle name="Calculation 12 3 2 8 2" xfId="9463"/>
    <cellStyle name="Calculation 12 3 2 9" xfId="9464"/>
    <cellStyle name="Calculation 12 3 3" xfId="9465"/>
    <cellStyle name="Calculation 12 3 3 2" xfId="9466"/>
    <cellStyle name="Calculation 12 3 3 2 2" xfId="9467"/>
    <cellStyle name="Calculation 12 3 3 2 2 2" xfId="9468"/>
    <cellStyle name="Calculation 12 3 3 2 3" xfId="9469"/>
    <cellStyle name="Calculation 12 3 3 3" xfId="9470"/>
    <cellStyle name="Calculation 12 3 3 3 2" xfId="9471"/>
    <cellStyle name="Calculation 12 3 3 3 2 2" xfId="9472"/>
    <cellStyle name="Calculation 12 3 3 3 3" xfId="9473"/>
    <cellStyle name="Calculation 12 3 3 4" xfId="9474"/>
    <cellStyle name="Calculation 12 3 3 4 2" xfId="9475"/>
    <cellStyle name="Calculation 12 3 3 5" xfId="9476"/>
    <cellStyle name="Calculation 12 3 3 5 2" xfId="9477"/>
    <cellStyle name="Calculation 12 3 3 6" xfId="9478"/>
    <cellStyle name="Calculation 12 3 3 7" xfId="9479"/>
    <cellStyle name="Calculation 12 3 4" xfId="9480"/>
    <cellStyle name="Calculation 12 3 4 2" xfId="9481"/>
    <cellStyle name="Calculation 12 3 5" xfId="9482"/>
    <cellStyle name="Calculation 12 3 5 2" xfId="9483"/>
    <cellStyle name="Calculation 12 3 6" xfId="9484"/>
    <cellStyle name="Calculation 12 3 6 2" xfId="9485"/>
    <cellStyle name="Calculation 12 3 7" xfId="9486"/>
    <cellStyle name="Calculation 12 3 8" xfId="9487"/>
    <cellStyle name="Calculation 12 3 9" xfId="9441"/>
    <cellStyle name="Calculation 12 4" xfId="4873"/>
    <cellStyle name="Calculation 12 4 10" xfId="9489"/>
    <cellStyle name="Calculation 12 4 11" xfId="9488"/>
    <cellStyle name="Calculation 12 4 2" xfId="9490"/>
    <cellStyle name="Calculation 12 4 2 2" xfId="9491"/>
    <cellStyle name="Calculation 12 4 2 2 2" xfId="9492"/>
    <cellStyle name="Calculation 12 4 2 3" xfId="9493"/>
    <cellStyle name="Calculation 12 4 2 4" xfId="9494"/>
    <cellStyle name="Calculation 12 4 3" xfId="9495"/>
    <cellStyle name="Calculation 12 4 3 2" xfId="9496"/>
    <cellStyle name="Calculation 12 4 3 2 2" xfId="9497"/>
    <cellStyle name="Calculation 12 4 3 3" xfId="9498"/>
    <cellStyle name="Calculation 12 4 4" xfId="9499"/>
    <cellStyle name="Calculation 12 4 4 2" xfId="9500"/>
    <cellStyle name="Calculation 12 4 4 2 2" xfId="9501"/>
    <cellStyle name="Calculation 12 4 4 3" xfId="9502"/>
    <cellStyle name="Calculation 12 4 5" xfId="9503"/>
    <cellStyle name="Calculation 12 4 5 2" xfId="9504"/>
    <cellStyle name="Calculation 12 4 6" xfId="9505"/>
    <cellStyle name="Calculation 12 4 6 2" xfId="9506"/>
    <cellStyle name="Calculation 12 4 7" xfId="9507"/>
    <cellStyle name="Calculation 12 4 7 2" xfId="9508"/>
    <cellStyle name="Calculation 12 4 8" xfId="9509"/>
    <cellStyle name="Calculation 12 4 8 2" xfId="9510"/>
    <cellStyle name="Calculation 12 4 9" xfId="9511"/>
    <cellStyle name="Calculation 12 5" xfId="4874"/>
    <cellStyle name="Calculation 12 5 10" xfId="9513"/>
    <cellStyle name="Calculation 12 5 11" xfId="9512"/>
    <cellStyle name="Calculation 12 5 2" xfId="9514"/>
    <cellStyle name="Calculation 12 5 2 2" xfId="9515"/>
    <cellStyle name="Calculation 12 5 2 2 2" xfId="9516"/>
    <cellStyle name="Calculation 12 5 2 3" xfId="9517"/>
    <cellStyle name="Calculation 12 5 2 4" xfId="9518"/>
    <cellStyle name="Calculation 12 5 3" xfId="9519"/>
    <cellStyle name="Calculation 12 5 3 2" xfId="9520"/>
    <cellStyle name="Calculation 12 5 3 2 2" xfId="9521"/>
    <cellStyle name="Calculation 12 5 3 3" xfId="9522"/>
    <cellStyle name="Calculation 12 5 4" xfId="9523"/>
    <cellStyle name="Calculation 12 5 4 2" xfId="9524"/>
    <cellStyle name="Calculation 12 5 4 2 2" xfId="9525"/>
    <cellStyle name="Calculation 12 5 4 3" xfId="9526"/>
    <cellStyle name="Calculation 12 5 5" xfId="9527"/>
    <cellStyle name="Calculation 12 5 5 2" xfId="9528"/>
    <cellStyle name="Calculation 12 5 6" xfId="9529"/>
    <cellStyle name="Calculation 12 5 6 2" xfId="9530"/>
    <cellStyle name="Calculation 12 5 7" xfId="9531"/>
    <cellStyle name="Calculation 12 5 7 2" xfId="9532"/>
    <cellStyle name="Calculation 12 5 8" xfId="9533"/>
    <cellStyle name="Calculation 12 5 8 2" xfId="9534"/>
    <cellStyle name="Calculation 12 5 9" xfId="9535"/>
    <cellStyle name="Calculation 12 6" xfId="4875"/>
    <cellStyle name="Calculation 12 6 2" xfId="3362"/>
    <cellStyle name="Calculation 12 6 2 2" xfId="9538"/>
    <cellStyle name="Calculation 12 6 2 2 2" xfId="9539"/>
    <cellStyle name="Calculation 12 6 2 3" xfId="9540"/>
    <cellStyle name="Calculation 12 6 2 4" xfId="9537"/>
    <cellStyle name="Calculation 12 6 3" xfId="9541"/>
    <cellStyle name="Calculation 12 6 3 2" xfId="9542"/>
    <cellStyle name="Calculation 12 6 3 2 2" xfId="9543"/>
    <cellStyle name="Calculation 12 6 3 3" xfId="9544"/>
    <cellStyle name="Calculation 12 6 4" xfId="9545"/>
    <cellStyle name="Calculation 12 6 4 2" xfId="9546"/>
    <cellStyle name="Calculation 12 6 5" xfId="9547"/>
    <cellStyle name="Calculation 12 6 5 2" xfId="9548"/>
    <cellStyle name="Calculation 12 6 6" xfId="9549"/>
    <cellStyle name="Calculation 12 6 7" xfId="9550"/>
    <cellStyle name="Calculation 12 6 8" xfId="9536"/>
    <cellStyle name="Calculation 12 7" xfId="4876"/>
    <cellStyle name="Calculation 12 7 2" xfId="4877"/>
    <cellStyle name="Calculation 12 7 2 2" xfId="9552"/>
    <cellStyle name="Calculation 12 7 3" xfId="9551"/>
    <cellStyle name="Calculation 12 8" xfId="4878"/>
    <cellStyle name="Calculation 12 8 2" xfId="9554"/>
    <cellStyle name="Calculation 12 8 3" xfId="9553"/>
    <cellStyle name="Calculation 12 9" xfId="4879"/>
    <cellStyle name="Calculation 12 9 2" xfId="9556"/>
    <cellStyle name="Calculation 12 9 3" xfId="9555"/>
    <cellStyle name="Calculation 13" xfId="2560"/>
    <cellStyle name="Calculation 13 10" xfId="4880"/>
    <cellStyle name="Calculation 13 10 2" xfId="9557"/>
    <cellStyle name="Calculation 13 11" xfId="8299"/>
    <cellStyle name="Calculation 13 2" xfId="4881"/>
    <cellStyle name="Calculation 13 2 2" xfId="4882"/>
    <cellStyle name="Calculation 13 2 2 10" xfId="9560"/>
    <cellStyle name="Calculation 13 2 2 11" xfId="9559"/>
    <cellStyle name="Calculation 13 2 2 2" xfId="9561"/>
    <cellStyle name="Calculation 13 2 2 2 2" xfId="9562"/>
    <cellStyle name="Calculation 13 2 2 2 2 2" xfId="9563"/>
    <cellStyle name="Calculation 13 2 2 2 3" xfId="9564"/>
    <cellStyle name="Calculation 13 2 2 2 4" xfId="9565"/>
    <cellStyle name="Calculation 13 2 2 3" xfId="9566"/>
    <cellStyle name="Calculation 13 2 2 3 2" xfId="9567"/>
    <cellStyle name="Calculation 13 2 2 3 2 2" xfId="9568"/>
    <cellStyle name="Calculation 13 2 2 3 3" xfId="9569"/>
    <cellStyle name="Calculation 13 2 2 4" xfId="9570"/>
    <cellStyle name="Calculation 13 2 2 4 2" xfId="9571"/>
    <cellStyle name="Calculation 13 2 2 4 2 2" xfId="9572"/>
    <cellStyle name="Calculation 13 2 2 4 3" xfId="9573"/>
    <cellStyle name="Calculation 13 2 2 5" xfId="9574"/>
    <cellStyle name="Calculation 13 2 2 5 2" xfId="9575"/>
    <cellStyle name="Calculation 13 2 2 6" xfId="9576"/>
    <cellStyle name="Calculation 13 2 2 6 2" xfId="9577"/>
    <cellStyle name="Calculation 13 2 2 7" xfId="9578"/>
    <cellStyle name="Calculation 13 2 2 7 2" xfId="9579"/>
    <cellStyle name="Calculation 13 2 2 8" xfId="9580"/>
    <cellStyle name="Calculation 13 2 2 8 2" xfId="9581"/>
    <cellStyle name="Calculation 13 2 2 9" xfId="9582"/>
    <cellStyle name="Calculation 13 2 3" xfId="4127"/>
    <cellStyle name="Calculation 13 2 3 2" xfId="9584"/>
    <cellStyle name="Calculation 13 2 3 2 2" xfId="9585"/>
    <cellStyle name="Calculation 13 2 3 2 2 2" xfId="9586"/>
    <cellStyle name="Calculation 13 2 3 2 3" xfId="9587"/>
    <cellStyle name="Calculation 13 2 3 2 4" xfId="9588"/>
    <cellStyle name="Calculation 13 2 3 3" xfId="9589"/>
    <cellStyle name="Calculation 13 2 3 3 2" xfId="9590"/>
    <cellStyle name="Calculation 13 2 3 3 2 2" xfId="9591"/>
    <cellStyle name="Calculation 13 2 3 3 3" xfId="9592"/>
    <cellStyle name="Calculation 13 2 3 4" xfId="9593"/>
    <cellStyle name="Calculation 13 2 3 4 2" xfId="9594"/>
    <cellStyle name="Calculation 13 2 3 5" xfId="9595"/>
    <cellStyle name="Calculation 13 2 3 5 2" xfId="9596"/>
    <cellStyle name="Calculation 13 2 3 6" xfId="9597"/>
    <cellStyle name="Calculation 13 2 3 7" xfId="9598"/>
    <cellStyle name="Calculation 13 2 3 8" xfId="9583"/>
    <cellStyle name="Calculation 13 2 4" xfId="4128"/>
    <cellStyle name="Calculation 13 2 4 2" xfId="4129"/>
    <cellStyle name="Calculation 13 2 4 2 2" xfId="9600"/>
    <cellStyle name="Calculation 13 2 4 3" xfId="9601"/>
    <cellStyle name="Calculation 13 2 4 4" xfId="9599"/>
    <cellStyle name="Calculation 13 2 5" xfId="5346"/>
    <cellStyle name="Calculation 13 2 5 2" xfId="4130"/>
    <cellStyle name="Calculation 13 2 5 2 2" xfId="9603"/>
    <cellStyle name="Calculation 13 2 5 3" xfId="9602"/>
    <cellStyle name="Calculation 13 2 6" xfId="4131"/>
    <cellStyle name="Calculation 13 2 6 2" xfId="9605"/>
    <cellStyle name="Calculation 13 2 6 3" xfId="9604"/>
    <cellStyle name="Calculation 13 2 7" xfId="4132"/>
    <cellStyle name="Calculation 13 2 7 2" xfId="9606"/>
    <cellStyle name="Calculation 13 2 8" xfId="9607"/>
    <cellStyle name="Calculation 13 2 9" xfId="9558"/>
    <cellStyle name="Calculation 13 3" xfId="4133"/>
    <cellStyle name="Calculation 13 3 2" xfId="4883"/>
    <cellStyle name="Calculation 13 3 2 10" xfId="9610"/>
    <cellStyle name="Calculation 13 3 2 11" xfId="9609"/>
    <cellStyle name="Calculation 13 3 2 2" xfId="9611"/>
    <cellStyle name="Calculation 13 3 2 2 2" xfId="9612"/>
    <cellStyle name="Calculation 13 3 2 2 2 2" xfId="9613"/>
    <cellStyle name="Calculation 13 3 2 2 3" xfId="9614"/>
    <cellStyle name="Calculation 13 3 2 3" xfId="9615"/>
    <cellStyle name="Calculation 13 3 2 3 2" xfId="9616"/>
    <cellStyle name="Calculation 13 3 2 3 2 2" xfId="9617"/>
    <cellStyle name="Calculation 13 3 2 3 3" xfId="9618"/>
    <cellStyle name="Calculation 13 3 2 4" xfId="9619"/>
    <cellStyle name="Calculation 13 3 2 4 2" xfId="9620"/>
    <cellStyle name="Calculation 13 3 2 4 2 2" xfId="9621"/>
    <cellStyle name="Calculation 13 3 2 4 3" xfId="9622"/>
    <cellStyle name="Calculation 13 3 2 5" xfId="9623"/>
    <cellStyle name="Calculation 13 3 2 5 2" xfId="9624"/>
    <cellStyle name="Calculation 13 3 2 6" xfId="9625"/>
    <cellStyle name="Calculation 13 3 2 6 2" xfId="9626"/>
    <cellStyle name="Calculation 13 3 2 7" xfId="9627"/>
    <cellStyle name="Calculation 13 3 2 7 2" xfId="9628"/>
    <cellStyle name="Calculation 13 3 2 8" xfId="9629"/>
    <cellStyle name="Calculation 13 3 2 8 2" xfId="9630"/>
    <cellStyle name="Calculation 13 3 2 9" xfId="9631"/>
    <cellStyle name="Calculation 13 3 3" xfId="9632"/>
    <cellStyle name="Calculation 13 3 3 2" xfId="9633"/>
    <cellStyle name="Calculation 13 3 3 2 2" xfId="9634"/>
    <cellStyle name="Calculation 13 3 3 2 2 2" xfId="9635"/>
    <cellStyle name="Calculation 13 3 3 2 3" xfId="9636"/>
    <cellStyle name="Calculation 13 3 3 3" xfId="9637"/>
    <cellStyle name="Calculation 13 3 3 3 2" xfId="9638"/>
    <cellStyle name="Calculation 13 3 3 3 2 2" xfId="9639"/>
    <cellStyle name="Calculation 13 3 3 3 3" xfId="9640"/>
    <cellStyle name="Calculation 13 3 3 4" xfId="9641"/>
    <cellStyle name="Calculation 13 3 3 4 2" xfId="9642"/>
    <cellStyle name="Calculation 13 3 3 5" xfId="9643"/>
    <cellStyle name="Calculation 13 3 3 5 2" xfId="9644"/>
    <cellStyle name="Calculation 13 3 3 6" xfId="9645"/>
    <cellStyle name="Calculation 13 3 3 7" xfId="9646"/>
    <cellStyle name="Calculation 13 3 4" xfId="9647"/>
    <cellStyle name="Calculation 13 3 4 2" xfId="9648"/>
    <cellStyle name="Calculation 13 3 5" xfId="9649"/>
    <cellStyle name="Calculation 13 3 5 2" xfId="9650"/>
    <cellStyle name="Calculation 13 3 6" xfId="9651"/>
    <cellStyle name="Calculation 13 3 6 2" xfId="9652"/>
    <cellStyle name="Calculation 13 3 7" xfId="9653"/>
    <cellStyle name="Calculation 13 3 8" xfId="9654"/>
    <cellStyle name="Calculation 13 3 9" xfId="9608"/>
    <cellStyle name="Calculation 13 4" xfId="4134"/>
    <cellStyle name="Calculation 13 4 10" xfId="9656"/>
    <cellStyle name="Calculation 13 4 11" xfId="9655"/>
    <cellStyle name="Calculation 13 4 2" xfId="9657"/>
    <cellStyle name="Calculation 13 4 2 2" xfId="9658"/>
    <cellStyle name="Calculation 13 4 2 2 2" xfId="9659"/>
    <cellStyle name="Calculation 13 4 2 3" xfId="9660"/>
    <cellStyle name="Calculation 13 4 2 4" xfId="9661"/>
    <cellStyle name="Calculation 13 4 3" xfId="9662"/>
    <cellStyle name="Calculation 13 4 3 2" xfId="9663"/>
    <cellStyle name="Calculation 13 4 3 2 2" xfId="9664"/>
    <cellStyle name="Calculation 13 4 3 3" xfId="9665"/>
    <cellStyle name="Calculation 13 4 4" xfId="9666"/>
    <cellStyle name="Calculation 13 4 4 2" xfId="9667"/>
    <cellStyle name="Calculation 13 4 4 2 2" xfId="9668"/>
    <cellStyle name="Calculation 13 4 4 3" xfId="9669"/>
    <cellStyle name="Calculation 13 4 5" xfId="9670"/>
    <cellStyle name="Calculation 13 4 5 2" xfId="9671"/>
    <cellStyle name="Calculation 13 4 6" xfId="9672"/>
    <cellStyle name="Calculation 13 4 6 2" xfId="9673"/>
    <cellStyle name="Calculation 13 4 7" xfId="9674"/>
    <cellStyle name="Calculation 13 4 7 2" xfId="9675"/>
    <cellStyle name="Calculation 13 4 8" xfId="9676"/>
    <cellStyle name="Calculation 13 4 8 2" xfId="9677"/>
    <cellStyle name="Calculation 13 4 9" xfId="9678"/>
    <cellStyle name="Calculation 13 5" xfId="3363"/>
    <cellStyle name="Calculation 13 5 10" xfId="9680"/>
    <cellStyle name="Calculation 13 5 11" xfId="9679"/>
    <cellStyle name="Calculation 13 5 2" xfId="9681"/>
    <cellStyle name="Calculation 13 5 2 2" xfId="9682"/>
    <cellStyle name="Calculation 13 5 2 2 2" xfId="9683"/>
    <cellStyle name="Calculation 13 5 2 3" xfId="9684"/>
    <cellStyle name="Calculation 13 5 2 4" xfId="9685"/>
    <cellStyle name="Calculation 13 5 3" xfId="9686"/>
    <cellStyle name="Calculation 13 5 3 2" xfId="9687"/>
    <cellStyle name="Calculation 13 5 3 2 2" xfId="9688"/>
    <cellStyle name="Calculation 13 5 3 3" xfId="9689"/>
    <cellStyle name="Calculation 13 5 4" xfId="9690"/>
    <cellStyle name="Calculation 13 5 4 2" xfId="9691"/>
    <cellStyle name="Calculation 13 5 4 2 2" xfId="9692"/>
    <cellStyle name="Calculation 13 5 4 3" xfId="9693"/>
    <cellStyle name="Calculation 13 5 5" xfId="9694"/>
    <cellStyle name="Calculation 13 5 5 2" xfId="9695"/>
    <cellStyle name="Calculation 13 5 6" xfId="9696"/>
    <cellStyle name="Calculation 13 5 6 2" xfId="9697"/>
    <cellStyle name="Calculation 13 5 7" xfId="9698"/>
    <cellStyle name="Calculation 13 5 7 2" xfId="9699"/>
    <cellStyle name="Calculation 13 5 8" xfId="9700"/>
    <cellStyle name="Calculation 13 5 8 2" xfId="9701"/>
    <cellStyle name="Calculation 13 5 9" xfId="9702"/>
    <cellStyle name="Calculation 13 6" xfId="4135"/>
    <cellStyle name="Calculation 13 6 2" xfId="4884"/>
    <cellStyle name="Calculation 13 6 2 2" xfId="9705"/>
    <cellStyle name="Calculation 13 6 2 2 2" xfId="9706"/>
    <cellStyle name="Calculation 13 6 2 3" xfId="9707"/>
    <cellStyle name="Calculation 13 6 2 4" xfId="9704"/>
    <cellStyle name="Calculation 13 6 3" xfId="9708"/>
    <cellStyle name="Calculation 13 6 3 2" xfId="9709"/>
    <cellStyle name="Calculation 13 6 3 2 2" xfId="9710"/>
    <cellStyle name="Calculation 13 6 3 3" xfId="9711"/>
    <cellStyle name="Calculation 13 6 4" xfId="9712"/>
    <cellStyle name="Calculation 13 6 4 2" xfId="9713"/>
    <cellStyle name="Calculation 13 6 5" xfId="9714"/>
    <cellStyle name="Calculation 13 6 5 2" xfId="9715"/>
    <cellStyle name="Calculation 13 6 6" xfId="9716"/>
    <cellStyle name="Calculation 13 6 7" xfId="9717"/>
    <cellStyle name="Calculation 13 6 8" xfId="9703"/>
    <cellStyle name="Calculation 13 7" xfId="4885"/>
    <cellStyle name="Calculation 13 7 2" xfId="4886"/>
    <cellStyle name="Calculation 13 7 2 2" xfId="9719"/>
    <cellStyle name="Calculation 13 7 3" xfId="9718"/>
    <cellStyle name="Calculation 13 8" xfId="4887"/>
    <cellStyle name="Calculation 13 8 2" xfId="9721"/>
    <cellStyle name="Calculation 13 8 3" xfId="9720"/>
    <cellStyle name="Calculation 13 9" xfId="5145"/>
    <cellStyle name="Calculation 13 9 2" xfId="9723"/>
    <cellStyle name="Calculation 13 9 3" xfId="9722"/>
    <cellStyle name="Calculation 14" xfId="2561"/>
    <cellStyle name="Calculation 14 10" xfId="4136"/>
    <cellStyle name="Calculation 14 10 2" xfId="9724"/>
    <cellStyle name="Calculation 14 11" xfId="8300"/>
    <cellStyle name="Calculation 14 2" xfId="4137"/>
    <cellStyle name="Calculation 14 2 2" xfId="4138"/>
    <cellStyle name="Calculation 14 2 2 10" xfId="9727"/>
    <cellStyle name="Calculation 14 2 2 11" xfId="9726"/>
    <cellStyle name="Calculation 14 2 2 2" xfId="9728"/>
    <cellStyle name="Calculation 14 2 2 2 2" xfId="9729"/>
    <cellStyle name="Calculation 14 2 2 2 2 2" xfId="9730"/>
    <cellStyle name="Calculation 14 2 2 2 3" xfId="9731"/>
    <cellStyle name="Calculation 14 2 2 2 4" xfId="9732"/>
    <cellStyle name="Calculation 14 2 2 3" xfId="9733"/>
    <cellStyle name="Calculation 14 2 2 3 2" xfId="9734"/>
    <cellStyle name="Calculation 14 2 2 3 2 2" xfId="9735"/>
    <cellStyle name="Calculation 14 2 2 3 3" xfId="9736"/>
    <cellStyle name="Calculation 14 2 2 4" xfId="9737"/>
    <cellStyle name="Calculation 14 2 2 4 2" xfId="9738"/>
    <cellStyle name="Calculation 14 2 2 4 2 2" xfId="9739"/>
    <cellStyle name="Calculation 14 2 2 4 3" xfId="9740"/>
    <cellStyle name="Calculation 14 2 2 5" xfId="9741"/>
    <cellStyle name="Calculation 14 2 2 5 2" xfId="9742"/>
    <cellStyle name="Calculation 14 2 2 6" xfId="9743"/>
    <cellStyle name="Calculation 14 2 2 6 2" xfId="9744"/>
    <cellStyle name="Calculation 14 2 2 7" xfId="9745"/>
    <cellStyle name="Calculation 14 2 2 7 2" xfId="9746"/>
    <cellStyle name="Calculation 14 2 2 8" xfId="9747"/>
    <cellStyle name="Calculation 14 2 2 8 2" xfId="9748"/>
    <cellStyle name="Calculation 14 2 2 9" xfId="9749"/>
    <cellStyle name="Calculation 14 2 3" xfId="4139"/>
    <cellStyle name="Calculation 14 2 3 2" xfId="9751"/>
    <cellStyle name="Calculation 14 2 3 2 2" xfId="9752"/>
    <cellStyle name="Calculation 14 2 3 2 2 2" xfId="9753"/>
    <cellStyle name="Calculation 14 2 3 2 3" xfId="9754"/>
    <cellStyle name="Calculation 14 2 3 2 4" xfId="9755"/>
    <cellStyle name="Calculation 14 2 3 3" xfId="9756"/>
    <cellStyle name="Calculation 14 2 3 3 2" xfId="9757"/>
    <cellStyle name="Calculation 14 2 3 3 2 2" xfId="9758"/>
    <cellStyle name="Calculation 14 2 3 3 3" xfId="9759"/>
    <cellStyle name="Calculation 14 2 3 4" xfId="9760"/>
    <cellStyle name="Calculation 14 2 3 4 2" xfId="9761"/>
    <cellStyle name="Calculation 14 2 3 5" xfId="9762"/>
    <cellStyle name="Calculation 14 2 3 5 2" xfId="9763"/>
    <cellStyle name="Calculation 14 2 3 6" xfId="9764"/>
    <cellStyle name="Calculation 14 2 3 7" xfId="9765"/>
    <cellStyle name="Calculation 14 2 3 8" xfId="9750"/>
    <cellStyle name="Calculation 14 2 4" xfId="4140"/>
    <cellStyle name="Calculation 14 2 4 2" xfId="5403"/>
    <cellStyle name="Calculation 14 2 4 2 2" xfId="9767"/>
    <cellStyle name="Calculation 14 2 4 3" xfId="9768"/>
    <cellStyle name="Calculation 14 2 4 4" xfId="9766"/>
    <cellStyle name="Calculation 14 2 5" xfId="4141"/>
    <cellStyle name="Calculation 14 2 5 2" xfId="4142"/>
    <cellStyle name="Calculation 14 2 5 2 2" xfId="9770"/>
    <cellStyle name="Calculation 14 2 5 3" xfId="9769"/>
    <cellStyle name="Calculation 14 2 6" xfId="4143"/>
    <cellStyle name="Calculation 14 2 6 2" xfId="9772"/>
    <cellStyle name="Calculation 14 2 6 3" xfId="9771"/>
    <cellStyle name="Calculation 14 2 7" xfId="5347"/>
    <cellStyle name="Calculation 14 2 7 2" xfId="9773"/>
    <cellStyle name="Calculation 14 2 8" xfId="9774"/>
    <cellStyle name="Calculation 14 2 9" xfId="9725"/>
    <cellStyle name="Calculation 14 3" xfId="4144"/>
    <cellStyle name="Calculation 14 3 2" xfId="4145"/>
    <cellStyle name="Calculation 14 3 2 10" xfId="9777"/>
    <cellStyle name="Calculation 14 3 2 11" xfId="9776"/>
    <cellStyle name="Calculation 14 3 2 2" xfId="9778"/>
    <cellStyle name="Calculation 14 3 2 2 2" xfId="9779"/>
    <cellStyle name="Calculation 14 3 2 2 2 2" xfId="9780"/>
    <cellStyle name="Calculation 14 3 2 2 3" xfId="9781"/>
    <cellStyle name="Calculation 14 3 2 3" xfId="9782"/>
    <cellStyle name="Calculation 14 3 2 3 2" xfId="9783"/>
    <cellStyle name="Calculation 14 3 2 3 2 2" xfId="9784"/>
    <cellStyle name="Calculation 14 3 2 3 3" xfId="9785"/>
    <cellStyle name="Calculation 14 3 2 4" xfId="9786"/>
    <cellStyle name="Calculation 14 3 2 4 2" xfId="9787"/>
    <cellStyle name="Calculation 14 3 2 4 2 2" xfId="9788"/>
    <cellStyle name="Calculation 14 3 2 4 3" xfId="9789"/>
    <cellStyle name="Calculation 14 3 2 5" xfId="9790"/>
    <cellStyle name="Calculation 14 3 2 5 2" xfId="9791"/>
    <cellStyle name="Calculation 14 3 2 6" xfId="9792"/>
    <cellStyle name="Calculation 14 3 2 6 2" xfId="9793"/>
    <cellStyle name="Calculation 14 3 2 7" xfId="9794"/>
    <cellStyle name="Calculation 14 3 2 7 2" xfId="9795"/>
    <cellStyle name="Calculation 14 3 2 8" xfId="9796"/>
    <cellStyle name="Calculation 14 3 2 8 2" xfId="9797"/>
    <cellStyle name="Calculation 14 3 2 9" xfId="9798"/>
    <cellStyle name="Calculation 14 3 3" xfId="9799"/>
    <cellStyle name="Calculation 14 3 3 2" xfId="9800"/>
    <cellStyle name="Calculation 14 3 3 2 2" xfId="9801"/>
    <cellStyle name="Calculation 14 3 3 2 2 2" xfId="9802"/>
    <cellStyle name="Calculation 14 3 3 2 3" xfId="9803"/>
    <cellStyle name="Calculation 14 3 3 3" xfId="9804"/>
    <cellStyle name="Calculation 14 3 3 3 2" xfId="9805"/>
    <cellStyle name="Calculation 14 3 3 3 2 2" xfId="9806"/>
    <cellStyle name="Calculation 14 3 3 3 3" xfId="9807"/>
    <cellStyle name="Calculation 14 3 3 4" xfId="9808"/>
    <cellStyle name="Calculation 14 3 3 4 2" xfId="9809"/>
    <cellStyle name="Calculation 14 3 3 5" xfId="9810"/>
    <cellStyle name="Calculation 14 3 3 5 2" xfId="9811"/>
    <cellStyle name="Calculation 14 3 3 6" xfId="9812"/>
    <cellStyle name="Calculation 14 3 3 7" xfId="9813"/>
    <cellStyle name="Calculation 14 3 4" xfId="9814"/>
    <cellStyle name="Calculation 14 3 4 2" xfId="9815"/>
    <cellStyle name="Calculation 14 3 5" xfId="9816"/>
    <cellStyle name="Calculation 14 3 5 2" xfId="9817"/>
    <cellStyle name="Calculation 14 3 6" xfId="9818"/>
    <cellStyle name="Calculation 14 3 6 2" xfId="9819"/>
    <cellStyle name="Calculation 14 3 7" xfId="9820"/>
    <cellStyle name="Calculation 14 3 8" xfId="9821"/>
    <cellStyle name="Calculation 14 3 9" xfId="9775"/>
    <cellStyle name="Calculation 14 4" xfId="4146"/>
    <cellStyle name="Calculation 14 4 10" xfId="9823"/>
    <cellStyle name="Calculation 14 4 11" xfId="9822"/>
    <cellStyle name="Calculation 14 4 2" xfId="9824"/>
    <cellStyle name="Calculation 14 4 2 2" xfId="9825"/>
    <cellStyle name="Calculation 14 4 2 2 2" xfId="9826"/>
    <cellStyle name="Calculation 14 4 2 3" xfId="9827"/>
    <cellStyle name="Calculation 14 4 2 4" xfId="9828"/>
    <cellStyle name="Calculation 14 4 3" xfId="9829"/>
    <cellStyle name="Calculation 14 4 3 2" xfId="9830"/>
    <cellStyle name="Calculation 14 4 3 2 2" xfId="9831"/>
    <cellStyle name="Calculation 14 4 3 3" xfId="9832"/>
    <cellStyle name="Calculation 14 4 4" xfId="9833"/>
    <cellStyle name="Calculation 14 4 4 2" xfId="9834"/>
    <cellStyle name="Calculation 14 4 4 2 2" xfId="9835"/>
    <cellStyle name="Calculation 14 4 4 3" xfId="9836"/>
    <cellStyle name="Calculation 14 4 5" xfId="9837"/>
    <cellStyle name="Calculation 14 4 5 2" xfId="9838"/>
    <cellStyle name="Calculation 14 4 6" xfId="9839"/>
    <cellStyle name="Calculation 14 4 6 2" xfId="9840"/>
    <cellStyle name="Calculation 14 4 7" xfId="9841"/>
    <cellStyle name="Calculation 14 4 7 2" xfId="9842"/>
    <cellStyle name="Calculation 14 4 8" xfId="9843"/>
    <cellStyle name="Calculation 14 4 8 2" xfId="9844"/>
    <cellStyle name="Calculation 14 4 9" xfId="9845"/>
    <cellStyle name="Calculation 14 5" xfId="4147"/>
    <cellStyle name="Calculation 14 5 10" xfId="9847"/>
    <cellStyle name="Calculation 14 5 11" xfId="9846"/>
    <cellStyle name="Calculation 14 5 2" xfId="9848"/>
    <cellStyle name="Calculation 14 5 2 2" xfId="9849"/>
    <cellStyle name="Calculation 14 5 2 2 2" xfId="9850"/>
    <cellStyle name="Calculation 14 5 2 3" xfId="9851"/>
    <cellStyle name="Calculation 14 5 2 4" xfId="9852"/>
    <cellStyle name="Calculation 14 5 3" xfId="9853"/>
    <cellStyle name="Calculation 14 5 3 2" xfId="9854"/>
    <cellStyle name="Calculation 14 5 3 2 2" xfId="9855"/>
    <cellStyle name="Calculation 14 5 3 3" xfId="9856"/>
    <cellStyle name="Calculation 14 5 4" xfId="9857"/>
    <cellStyle name="Calculation 14 5 4 2" xfId="9858"/>
    <cellStyle name="Calculation 14 5 4 2 2" xfId="9859"/>
    <cellStyle name="Calculation 14 5 4 3" xfId="9860"/>
    <cellStyle name="Calculation 14 5 5" xfId="9861"/>
    <cellStyle name="Calculation 14 5 5 2" xfId="9862"/>
    <cellStyle name="Calculation 14 5 6" xfId="9863"/>
    <cellStyle name="Calculation 14 5 6 2" xfId="9864"/>
    <cellStyle name="Calculation 14 5 7" xfId="9865"/>
    <cellStyle name="Calculation 14 5 7 2" xfId="9866"/>
    <cellStyle name="Calculation 14 5 8" xfId="9867"/>
    <cellStyle name="Calculation 14 5 8 2" xfId="9868"/>
    <cellStyle name="Calculation 14 5 9" xfId="9869"/>
    <cellStyle name="Calculation 14 6" xfId="3364"/>
    <cellStyle name="Calculation 14 6 2" xfId="4148"/>
    <cellStyle name="Calculation 14 6 2 2" xfId="9872"/>
    <cellStyle name="Calculation 14 6 2 2 2" xfId="9873"/>
    <cellStyle name="Calculation 14 6 2 3" xfId="9874"/>
    <cellStyle name="Calculation 14 6 2 4" xfId="9871"/>
    <cellStyle name="Calculation 14 6 3" xfId="9875"/>
    <cellStyle name="Calculation 14 6 3 2" xfId="9876"/>
    <cellStyle name="Calculation 14 6 3 2 2" xfId="9877"/>
    <cellStyle name="Calculation 14 6 3 3" xfId="9878"/>
    <cellStyle name="Calculation 14 6 4" xfId="9879"/>
    <cellStyle name="Calculation 14 6 4 2" xfId="9880"/>
    <cellStyle name="Calculation 14 6 5" xfId="9881"/>
    <cellStyle name="Calculation 14 6 5 2" xfId="9882"/>
    <cellStyle name="Calculation 14 6 6" xfId="9883"/>
    <cellStyle name="Calculation 14 6 7" xfId="9884"/>
    <cellStyle name="Calculation 14 6 8" xfId="9870"/>
    <cellStyle name="Calculation 14 7" xfId="4149"/>
    <cellStyle name="Calculation 14 7 2" xfId="5404"/>
    <cellStyle name="Calculation 14 7 2 2" xfId="9886"/>
    <cellStyle name="Calculation 14 7 3" xfId="9885"/>
    <cellStyle name="Calculation 14 8" xfId="4150"/>
    <cellStyle name="Calculation 14 8 2" xfId="9888"/>
    <cellStyle name="Calculation 14 8 3" xfId="9887"/>
    <cellStyle name="Calculation 14 9" xfId="5455"/>
    <cellStyle name="Calculation 14 9 2" xfId="9890"/>
    <cellStyle name="Calculation 14 9 3" xfId="9889"/>
    <cellStyle name="Calculation 15" xfId="2562"/>
    <cellStyle name="Calculation 15 10" xfId="1382"/>
    <cellStyle name="Calculation 15 10 2" xfId="9891"/>
    <cellStyle name="Calculation 15 11" xfId="8301"/>
    <cellStyle name="Calculation 15 2" xfId="5294"/>
    <cellStyle name="Calculation 15 2 2" xfId="4151"/>
    <cellStyle name="Calculation 15 2 2 10" xfId="9894"/>
    <cellStyle name="Calculation 15 2 2 11" xfId="9893"/>
    <cellStyle name="Calculation 15 2 2 2" xfId="9895"/>
    <cellStyle name="Calculation 15 2 2 2 2" xfId="9896"/>
    <cellStyle name="Calculation 15 2 2 2 2 2" xfId="9897"/>
    <cellStyle name="Calculation 15 2 2 2 3" xfId="9898"/>
    <cellStyle name="Calculation 15 2 2 2 4" xfId="9899"/>
    <cellStyle name="Calculation 15 2 2 3" xfId="9900"/>
    <cellStyle name="Calculation 15 2 2 3 2" xfId="9901"/>
    <cellStyle name="Calculation 15 2 2 3 2 2" xfId="9902"/>
    <cellStyle name="Calculation 15 2 2 3 3" xfId="9903"/>
    <cellStyle name="Calculation 15 2 2 4" xfId="9904"/>
    <cellStyle name="Calculation 15 2 2 4 2" xfId="9905"/>
    <cellStyle name="Calculation 15 2 2 4 2 2" xfId="9906"/>
    <cellStyle name="Calculation 15 2 2 4 3" xfId="9907"/>
    <cellStyle name="Calculation 15 2 2 5" xfId="9908"/>
    <cellStyle name="Calculation 15 2 2 5 2" xfId="9909"/>
    <cellStyle name="Calculation 15 2 2 6" xfId="9910"/>
    <cellStyle name="Calculation 15 2 2 6 2" xfId="9911"/>
    <cellStyle name="Calculation 15 2 2 7" xfId="9912"/>
    <cellStyle name="Calculation 15 2 2 7 2" xfId="9913"/>
    <cellStyle name="Calculation 15 2 2 8" xfId="9914"/>
    <cellStyle name="Calculation 15 2 2 8 2" xfId="9915"/>
    <cellStyle name="Calculation 15 2 2 9" xfId="9916"/>
    <cellStyle name="Calculation 15 2 3" xfId="4152"/>
    <cellStyle name="Calculation 15 2 3 2" xfId="9918"/>
    <cellStyle name="Calculation 15 2 3 2 2" xfId="9919"/>
    <cellStyle name="Calculation 15 2 3 2 2 2" xfId="9920"/>
    <cellStyle name="Calculation 15 2 3 2 3" xfId="9921"/>
    <cellStyle name="Calculation 15 2 3 2 4" xfId="9922"/>
    <cellStyle name="Calculation 15 2 3 3" xfId="9923"/>
    <cellStyle name="Calculation 15 2 3 3 2" xfId="9924"/>
    <cellStyle name="Calculation 15 2 3 3 2 2" xfId="9925"/>
    <cellStyle name="Calculation 15 2 3 3 3" xfId="9926"/>
    <cellStyle name="Calculation 15 2 3 4" xfId="9927"/>
    <cellStyle name="Calculation 15 2 3 4 2" xfId="9928"/>
    <cellStyle name="Calculation 15 2 3 5" xfId="9929"/>
    <cellStyle name="Calculation 15 2 3 5 2" xfId="9930"/>
    <cellStyle name="Calculation 15 2 3 6" xfId="9931"/>
    <cellStyle name="Calculation 15 2 3 7" xfId="9932"/>
    <cellStyle name="Calculation 15 2 3 8" xfId="9917"/>
    <cellStyle name="Calculation 15 2 4" xfId="4153"/>
    <cellStyle name="Calculation 15 2 4 2" xfId="4154"/>
    <cellStyle name="Calculation 15 2 4 2 2" xfId="9934"/>
    <cellStyle name="Calculation 15 2 4 3" xfId="9935"/>
    <cellStyle name="Calculation 15 2 4 4" xfId="9933"/>
    <cellStyle name="Calculation 15 2 5" xfId="4155"/>
    <cellStyle name="Calculation 15 2 5 2" xfId="5146"/>
    <cellStyle name="Calculation 15 2 5 2 2" xfId="9937"/>
    <cellStyle name="Calculation 15 2 5 3" xfId="9936"/>
    <cellStyle name="Calculation 15 2 6" xfId="4156"/>
    <cellStyle name="Calculation 15 2 6 2" xfId="9939"/>
    <cellStyle name="Calculation 15 2 6 3" xfId="9938"/>
    <cellStyle name="Calculation 15 2 7" xfId="4157"/>
    <cellStyle name="Calculation 15 2 7 2" xfId="9940"/>
    <cellStyle name="Calculation 15 2 8" xfId="9941"/>
    <cellStyle name="Calculation 15 2 9" xfId="9892"/>
    <cellStyle name="Calculation 15 3" xfId="4158"/>
    <cellStyle name="Calculation 15 3 2" xfId="4159"/>
    <cellStyle name="Calculation 15 3 2 10" xfId="9944"/>
    <cellStyle name="Calculation 15 3 2 11" xfId="9943"/>
    <cellStyle name="Calculation 15 3 2 2" xfId="9945"/>
    <cellStyle name="Calculation 15 3 2 2 2" xfId="9946"/>
    <cellStyle name="Calculation 15 3 2 2 2 2" xfId="9947"/>
    <cellStyle name="Calculation 15 3 2 2 3" xfId="9948"/>
    <cellStyle name="Calculation 15 3 2 3" xfId="9949"/>
    <cellStyle name="Calculation 15 3 2 3 2" xfId="9950"/>
    <cellStyle name="Calculation 15 3 2 3 2 2" xfId="9951"/>
    <cellStyle name="Calculation 15 3 2 3 3" xfId="9952"/>
    <cellStyle name="Calculation 15 3 2 4" xfId="9953"/>
    <cellStyle name="Calculation 15 3 2 4 2" xfId="9954"/>
    <cellStyle name="Calculation 15 3 2 4 2 2" xfId="9955"/>
    <cellStyle name="Calculation 15 3 2 4 3" xfId="9956"/>
    <cellStyle name="Calculation 15 3 2 5" xfId="9957"/>
    <cellStyle name="Calculation 15 3 2 5 2" xfId="9958"/>
    <cellStyle name="Calculation 15 3 2 6" xfId="9959"/>
    <cellStyle name="Calculation 15 3 2 6 2" xfId="9960"/>
    <cellStyle name="Calculation 15 3 2 7" xfId="9961"/>
    <cellStyle name="Calculation 15 3 2 7 2" xfId="9962"/>
    <cellStyle name="Calculation 15 3 2 8" xfId="9963"/>
    <cellStyle name="Calculation 15 3 2 8 2" xfId="9964"/>
    <cellStyle name="Calculation 15 3 2 9" xfId="9965"/>
    <cellStyle name="Calculation 15 3 3" xfId="9966"/>
    <cellStyle name="Calculation 15 3 3 2" xfId="9967"/>
    <cellStyle name="Calculation 15 3 3 2 2" xfId="9968"/>
    <cellStyle name="Calculation 15 3 3 2 2 2" xfId="9969"/>
    <cellStyle name="Calculation 15 3 3 2 3" xfId="9970"/>
    <cellStyle name="Calculation 15 3 3 3" xfId="9971"/>
    <cellStyle name="Calculation 15 3 3 3 2" xfId="9972"/>
    <cellStyle name="Calculation 15 3 3 3 2 2" xfId="9973"/>
    <cellStyle name="Calculation 15 3 3 3 3" xfId="9974"/>
    <cellStyle name="Calculation 15 3 3 4" xfId="9975"/>
    <cellStyle name="Calculation 15 3 3 4 2" xfId="9976"/>
    <cellStyle name="Calculation 15 3 3 5" xfId="9977"/>
    <cellStyle name="Calculation 15 3 3 5 2" xfId="9978"/>
    <cellStyle name="Calculation 15 3 3 6" xfId="9979"/>
    <cellStyle name="Calculation 15 3 3 7" xfId="9980"/>
    <cellStyle name="Calculation 15 3 4" xfId="9981"/>
    <cellStyle name="Calculation 15 3 4 2" xfId="9982"/>
    <cellStyle name="Calculation 15 3 5" xfId="9983"/>
    <cellStyle name="Calculation 15 3 5 2" xfId="9984"/>
    <cellStyle name="Calculation 15 3 6" xfId="9985"/>
    <cellStyle name="Calculation 15 3 6 2" xfId="9986"/>
    <cellStyle name="Calculation 15 3 7" xfId="9987"/>
    <cellStyle name="Calculation 15 3 8" xfId="9988"/>
    <cellStyle name="Calculation 15 3 9" xfId="9942"/>
    <cellStyle name="Calculation 15 4" xfId="4160"/>
    <cellStyle name="Calculation 15 4 10" xfId="9990"/>
    <cellStyle name="Calculation 15 4 11" xfId="9989"/>
    <cellStyle name="Calculation 15 4 2" xfId="9991"/>
    <cellStyle name="Calculation 15 4 2 2" xfId="9992"/>
    <cellStyle name="Calculation 15 4 2 2 2" xfId="9993"/>
    <cellStyle name="Calculation 15 4 2 3" xfId="9994"/>
    <cellStyle name="Calculation 15 4 2 4" xfId="9995"/>
    <cellStyle name="Calculation 15 4 3" xfId="9996"/>
    <cellStyle name="Calculation 15 4 3 2" xfId="9997"/>
    <cellStyle name="Calculation 15 4 3 2 2" xfId="9998"/>
    <cellStyle name="Calculation 15 4 3 3" xfId="9999"/>
    <cellStyle name="Calculation 15 4 4" xfId="10000"/>
    <cellStyle name="Calculation 15 4 4 2" xfId="10001"/>
    <cellStyle name="Calculation 15 4 4 2 2" xfId="10002"/>
    <cellStyle name="Calculation 15 4 4 3" xfId="10003"/>
    <cellStyle name="Calculation 15 4 5" xfId="10004"/>
    <cellStyle name="Calculation 15 4 5 2" xfId="10005"/>
    <cellStyle name="Calculation 15 4 6" xfId="10006"/>
    <cellStyle name="Calculation 15 4 6 2" xfId="10007"/>
    <cellStyle name="Calculation 15 4 7" xfId="10008"/>
    <cellStyle name="Calculation 15 4 7 2" xfId="10009"/>
    <cellStyle name="Calculation 15 4 8" xfId="10010"/>
    <cellStyle name="Calculation 15 4 8 2" xfId="10011"/>
    <cellStyle name="Calculation 15 4 9" xfId="10012"/>
    <cellStyle name="Calculation 15 5" xfId="1054"/>
    <cellStyle name="Calculation 15 5 10" xfId="10014"/>
    <cellStyle name="Calculation 15 5 11" xfId="10013"/>
    <cellStyle name="Calculation 15 5 2" xfId="10015"/>
    <cellStyle name="Calculation 15 5 2 2" xfId="10016"/>
    <cellStyle name="Calculation 15 5 2 2 2" xfId="10017"/>
    <cellStyle name="Calculation 15 5 2 3" xfId="10018"/>
    <cellStyle name="Calculation 15 5 2 4" xfId="10019"/>
    <cellStyle name="Calculation 15 5 3" xfId="10020"/>
    <cellStyle name="Calculation 15 5 3 2" xfId="10021"/>
    <cellStyle name="Calculation 15 5 3 2 2" xfId="10022"/>
    <cellStyle name="Calculation 15 5 3 3" xfId="10023"/>
    <cellStyle name="Calculation 15 5 4" xfId="10024"/>
    <cellStyle name="Calculation 15 5 4 2" xfId="10025"/>
    <cellStyle name="Calculation 15 5 4 2 2" xfId="10026"/>
    <cellStyle name="Calculation 15 5 4 3" xfId="10027"/>
    <cellStyle name="Calculation 15 5 5" xfId="10028"/>
    <cellStyle name="Calculation 15 5 5 2" xfId="10029"/>
    <cellStyle name="Calculation 15 5 6" xfId="10030"/>
    <cellStyle name="Calculation 15 5 6 2" xfId="10031"/>
    <cellStyle name="Calculation 15 5 7" xfId="10032"/>
    <cellStyle name="Calculation 15 5 7 2" xfId="10033"/>
    <cellStyle name="Calculation 15 5 8" xfId="10034"/>
    <cellStyle name="Calculation 15 5 8 2" xfId="10035"/>
    <cellStyle name="Calculation 15 5 9" xfId="10036"/>
    <cellStyle name="Calculation 15 6" xfId="4161"/>
    <cellStyle name="Calculation 15 6 2" xfId="5405"/>
    <cellStyle name="Calculation 15 6 2 2" xfId="10039"/>
    <cellStyle name="Calculation 15 6 2 2 2" xfId="10040"/>
    <cellStyle name="Calculation 15 6 2 3" xfId="10041"/>
    <cellStyle name="Calculation 15 6 2 4" xfId="10038"/>
    <cellStyle name="Calculation 15 6 3" xfId="10042"/>
    <cellStyle name="Calculation 15 6 3 2" xfId="10043"/>
    <cellStyle name="Calculation 15 6 3 2 2" xfId="10044"/>
    <cellStyle name="Calculation 15 6 3 3" xfId="10045"/>
    <cellStyle name="Calculation 15 6 4" xfId="10046"/>
    <cellStyle name="Calculation 15 6 4 2" xfId="10047"/>
    <cellStyle name="Calculation 15 6 5" xfId="10048"/>
    <cellStyle name="Calculation 15 6 5 2" xfId="10049"/>
    <cellStyle name="Calculation 15 6 6" xfId="10050"/>
    <cellStyle name="Calculation 15 6 7" xfId="10051"/>
    <cellStyle name="Calculation 15 6 8" xfId="10037"/>
    <cellStyle name="Calculation 15 7" xfId="4162"/>
    <cellStyle name="Calculation 15 7 2" xfId="4163"/>
    <cellStyle name="Calculation 15 7 2 2" xfId="10053"/>
    <cellStyle name="Calculation 15 7 3" xfId="10052"/>
    <cellStyle name="Calculation 15 8" xfId="4164"/>
    <cellStyle name="Calculation 15 8 2" xfId="10055"/>
    <cellStyle name="Calculation 15 8 3" xfId="10054"/>
    <cellStyle name="Calculation 15 9" xfId="4165"/>
    <cellStyle name="Calculation 15 9 2" xfId="10057"/>
    <cellStyle name="Calculation 15 9 3" xfId="10056"/>
    <cellStyle name="Calculation 16" xfId="2563"/>
    <cellStyle name="Calculation 16 10" xfId="3365"/>
    <cellStyle name="Calculation 16 10 2" xfId="10058"/>
    <cellStyle name="Calculation 16 11" xfId="8302"/>
    <cellStyle name="Calculation 16 2" xfId="4166"/>
    <cellStyle name="Calculation 16 2 2" xfId="4167"/>
    <cellStyle name="Calculation 16 2 2 10" xfId="10061"/>
    <cellStyle name="Calculation 16 2 2 11" xfId="10060"/>
    <cellStyle name="Calculation 16 2 2 2" xfId="10062"/>
    <cellStyle name="Calculation 16 2 2 2 2" xfId="10063"/>
    <cellStyle name="Calculation 16 2 2 2 2 2" xfId="10064"/>
    <cellStyle name="Calculation 16 2 2 2 3" xfId="10065"/>
    <cellStyle name="Calculation 16 2 2 2 4" xfId="10066"/>
    <cellStyle name="Calculation 16 2 2 3" xfId="10067"/>
    <cellStyle name="Calculation 16 2 2 3 2" xfId="10068"/>
    <cellStyle name="Calculation 16 2 2 3 2 2" xfId="10069"/>
    <cellStyle name="Calculation 16 2 2 3 3" xfId="10070"/>
    <cellStyle name="Calculation 16 2 2 4" xfId="10071"/>
    <cellStyle name="Calculation 16 2 2 4 2" xfId="10072"/>
    <cellStyle name="Calculation 16 2 2 4 2 2" xfId="10073"/>
    <cellStyle name="Calculation 16 2 2 4 3" xfId="10074"/>
    <cellStyle name="Calculation 16 2 2 5" xfId="10075"/>
    <cellStyle name="Calculation 16 2 2 5 2" xfId="10076"/>
    <cellStyle name="Calculation 16 2 2 6" xfId="10077"/>
    <cellStyle name="Calculation 16 2 2 6 2" xfId="10078"/>
    <cellStyle name="Calculation 16 2 2 7" xfId="10079"/>
    <cellStyle name="Calculation 16 2 2 7 2" xfId="10080"/>
    <cellStyle name="Calculation 16 2 2 8" xfId="10081"/>
    <cellStyle name="Calculation 16 2 2 8 2" xfId="10082"/>
    <cellStyle name="Calculation 16 2 2 9" xfId="10083"/>
    <cellStyle name="Calculation 16 2 3" xfId="4168"/>
    <cellStyle name="Calculation 16 2 3 2" xfId="10085"/>
    <cellStyle name="Calculation 16 2 3 2 2" xfId="10086"/>
    <cellStyle name="Calculation 16 2 3 2 2 2" xfId="10087"/>
    <cellStyle name="Calculation 16 2 3 2 3" xfId="10088"/>
    <cellStyle name="Calculation 16 2 3 2 4" xfId="10089"/>
    <cellStyle name="Calculation 16 2 3 3" xfId="10090"/>
    <cellStyle name="Calculation 16 2 3 3 2" xfId="10091"/>
    <cellStyle name="Calculation 16 2 3 3 2 2" xfId="10092"/>
    <cellStyle name="Calculation 16 2 3 3 3" xfId="10093"/>
    <cellStyle name="Calculation 16 2 3 4" xfId="10094"/>
    <cellStyle name="Calculation 16 2 3 4 2" xfId="10095"/>
    <cellStyle name="Calculation 16 2 3 5" xfId="10096"/>
    <cellStyle name="Calculation 16 2 3 5 2" xfId="10097"/>
    <cellStyle name="Calculation 16 2 3 6" xfId="10098"/>
    <cellStyle name="Calculation 16 2 3 7" xfId="10099"/>
    <cellStyle name="Calculation 16 2 3 8" xfId="10084"/>
    <cellStyle name="Calculation 16 2 4" xfId="4169"/>
    <cellStyle name="Calculation 16 2 4 2" xfId="4170"/>
    <cellStyle name="Calculation 16 2 4 2 2" xfId="10101"/>
    <cellStyle name="Calculation 16 2 4 3" xfId="10102"/>
    <cellStyle name="Calculation 16 2 4 4" xfId="10100"/>
    <cellStyle name="Calculation 16 2 5" xfId="3214"/>
    <cellStyle name="Calculation 16 2 5 2" xfId="4171"/>
    <cellStyle name="Calculation 16 2 5 2 2" xfId="10104"/>
    <cellStyle name="Calculation 16 2 5 3" xfId="10103"/>
    <cellStyle name="Calculation 16 2 6" xfId="973"/>
    <cellStyle name="Calculation 16 2 6 2" xfId="10106"/>
    <cellStyle name="Calculation 16 2 6 3" xfId="10105"/>
    <cellStyle name="Calculation 16 2 7" xfId="4172"/>
    <cellStyle name="Calculation 16 2 7 2" xfId="10107"/>
    <cellStyle name="Calculation 16 2 8" xfId="10108"/>
    <cellStyle name="Calculation 16 2 9" xfId="10059"/>
    <cellStyle name="Calculation 16 3" xfId="4173"/>
    <cellStyle name="Calculation 16 3 2" xfId="5406"/>
    <cellStyle name="Calculation 16 3 2 10" xfId="10111"/>
    <cellStyle name="Calculation 16 3 2 11" xfId="10110"/>
    <cellStyle name="Calculation 16 3 2 2" xfId="10112"/>
    <cellStyle name="Calculation 16 3 2 2 2" xfId="10113"/>
    <cellStyle name="Calculation 16 3 2 2 2 2" xfId="10114"/>
    <cellStyle name="Calculation 16 3 2 2 3" xfId="10115"/>
    <cellStyle name="Calculation 16 3 2 3" xfId="10116"/>
    <cellStyle name="Calculation 16 3 2 3 2" xfId="10117"/>
    <cellStyle name="Calculation 16 3 2 3 2 2" xfId="10118"/>
    <cellStyle name="Calculation 16 3 2 3 3" xfId="10119"/>
    <cellStyle name="Calculation 16 3 2 4" xfId="10120"/>
    <cellStyle name="Calculation 16 3 2 4 2" xfId="10121"/>
    <cellStyle name="Calculation 16 3 2 4 2 2" xfId="10122"/>
    <cellStyle name="Calculation 16 3 2 4 3" xfId="10123"/>
    <cellStyle name="Calculation 16 3 2 5" xfId="10124"/>
    <cellStyle name="Calculation 16 3 2 5 2" xfId="10125"/>
    <cellStyle name="Calculation 16 3 2 6" xfId="10126"/>
    <cellStyle name="Calculation 16 3 2 6 2" xfId="10127"/>
    <cellStyle name="Calculation 16 3 2 7" xfId="10128"/>
    <cellStyle name="Calculation 16 3 2 7 2" xfId="10129"/>
    <cellStyle name="Calculation 16 3 2 8" xfId="10130"/>
    <cellStyle name="Calculation 16 3 2 8 2" xfId="10131"/>
    <cellStyle name="Calculation 16 3 2 9" xfId="10132"/>
    <cellStyle name="Calculation 16 3 3" xfId="10133"/>
    <cellStyle name="Calculation 16 3 3 2" xfId="10134"/>
    <cellStyle name="Calculation 16 3 3 2 2" xfId="10135"/>
    <cellStyle name="Calculation 16 3 3 2 2 2" xfId="10136"/>
    <cellStyle name="Calculation 16 3 3 2 3" xfId="10137"/>
    <cellStyle name="Calculation 16 3 3 3" xfId="10138"/>
    <cellStyle name="Calculation 16 3 3 3 2" xfId="10139"/>
    <cellStyle name="Calculation 16 3 3 3 2 2" xfId="10140"/>
    <cellStyle name="Calculation 16 3 3 3 3" xfId="10141"/>
    <cellStyle name="Calculation 16 3 3 4" xfId="10142"/>
    <cellStyle name="Calculation 16 3 3 4 2" xfId="10143"/>
    <cellStyle name="Calculation 16 3 3 5" xfId="10144"/>
    <cellStyle name="Calculation 16 3 3 5 2" xfId="10145"/>
    <cellStyle name="Calculation 16 3 3 6" xfId="10146"/>
    <cellStyle name="Calculation 16 3 3 7" xfId="10147"/>
    <cellStyle name="Calculation 16 3 4" xfId="10148"/>
    <cellStyle name="Calculation 16 3 4 2" xfId="10149"/>
    <cellStyle name="Calculation 16 3 5" xfId="10150"/>
    <cellStyle name="Calculation 16 3 5 2" xfId="10151"/>
    <cellStyle name="Calculation 16 3 6" xfId="10152"/>
    <cellStyle name="Calculation 16 3 6 2" xfId="10153"/>
    <cellStyle name="Calculation 16 3 7" xfId="10154"/>
    <cellStyle name="Calculation 16 3 8" xfId="10155"/>
    <cellStyle name="Calculation 16 3 9" xfId="10109"/>
    <cellStyle name="Calculation 16 4" xfId="5450"/>
    <cellStyle name="Calculation 16 4 10" xfId="10157"/>
    <cellStyle name="Calculation 16 4 11" xfId="10156"/>
    <cellStyle name="Calculation 16 4 2" xfId="10158"/>
    <cellStyle name="Calculation 16 4 2 2" xfId="10159"/>
    <cellStyle name="Calculation 16 4 2 2 2" xfId="10160"/>
    <cellStyle name="Calculation 16 4 2 3" xfId="10161"/>
    <cellStyle name="Calculation 16 4 2 4" xfId="10162"/>
    <cellStyle name="Calculation 16 4 3" xfId="10163"/>
    <cellStyle name="Calculation 16 4 3 2" xfId="10164"/>
    <cellStyle name="Calculation 16 4 3 2 2" xfId="10165"/>
    <cellStyle name="Calculation 16 4 3 3" xfId="10166"/>
    <cellStyle name="Calculation 16 4 4" xfId="10167"/>
    <cellStyle name="Calculation 16 4 4 2" xfId="10168"/>
    <cellStyle name="Calculation 16 4 4 2 2" xfId="10169"/>
    <cellStyle name="Calculation 16 4 4 3" xfId="10170"/>
    <cellStyle name="Calculation 16 4 5" xfId="10171"/>
    <cellStyle name="Calculation 16 4 5 2" xfId="10172"/>
    <cellStyle name="Calculation 16 4 6" xfId="10173"/>
    <cellStyle name="Calculation 16 4 6 2" xfId="10174"/>
    <cellStyle name="Calculation 16 4 7" xfId="10175"/>
    <cellStyle name="Calculation 16 4 7 2" xfId="10176"/>
    <cellStyle name="Calculation 16 4 8" xfId="10177"/>
    <cellStyle name="Calculation 16 4 8 2" xfId="10178"/>
    <cellStyle name="Calculation 16 4 9" xfId="10179"/>
    <cellStyle name="Calculation 16 5" xfId="4174"/>
    <cellStyle name="Calculation 16 5 10" xfId="10181"/>
    <cellStyle name="Calculation 16 5 11" xfId="10180"/>
    <cellStyle name="Calculation 16 5 2" xfId="10182"/>
    <cellStyle name="Calculation 16 5 2 2" xfId="10183"/>
    <cellStyle name="Calculation 16 5 2 2 2" xfId="10184"/>
    <cellStyle name="Calculation 16 5 2 3" xfId="10185"/>
    <cellStyle name="Calculation 16 5 2 4" xfId="10186"/>
    <cellStyle name="Calculation 16 5 3" xfId="10187"/>
    <cellStyle name="Calculation 16 5 3 2" xfId="10188"/>
    <cellStyle name="Calculation 16 5 3 2 2" xfId="10189"/>
    <cellStyle name="Calculation 16 5 3 3" xfId="10190"/>
    <cellStyle name="Calculation 16 5 4" xfId="10191"/>
    <cellStyle name="Calculation 16 5 4 2" xfId="10192"/>
    <cellStyle name="Calculation 16 5 4 2 2" xfId="10193"/>
    <cellStyle name="Calculation 16 5 4 3" xfId="10194"/>
    <cellStyle name="Calculation 16 5 5" xfId="10195"/>
    <cellStyle name="Calculation 16 5 5 2" xfId="10196"/>
    <cellStyle name="Calculation 16 5 6" xfId="10197"/>
    <cellStyle name="Calculation 16 5 6 2" xfId="10198"/>
    <cellStyle name="Calculation 16 5 7" xfId="10199"/>
    <cellStyle name="Calculation 16 5 7 2" xfId="10200"/>
    <cellStyle name="Calculation 16 5 8" xfId="10201"/>
    <cellStyle name="Calculation 16 5 8 2" xfId="10202"/>
    <cellStyle name="Calculation 16 5 9" xfId="10203"/>
    <cellStyle name="Calculation 16 6" xfId="4175"/>
    <cellStyle name="Calculation 16 6 2" xfId="4176"/>
    <cellStyle name="Calculation 16 6 2 2" xfId="10206"/>
    <cellStyle name="Calculation 16 6 2 2 2" xfId="10207"/>
    <cellStyle name="Calculation 16 6 2 3" xfId="10208"/>
    <cellStyle name="Calculation 16 6 2 4" xfId="10205"/>
    <cellStyle name="Calculation 16 6 3" xfId="10209"/>
    <cellStyle name="Calculation 16 6 3 2" xfId="10210"/>
    <cellStyle name="Calculation 16 6 3 2 2" xfId="10211"/>
    <cellStyle name="Calculation 16 6 3 3" xfId="10212"/>
    <cellStyle name="Calculation 16 6 4" xfId="10213"/>
    <cellStyle name="Calculation 16 6 4 2" xfId="10214"/>
    <cellStyle name="Calculation 16 6 5" xfId="10215"/>
    <cellStyle name="Calculation 16 6 5 2" xfId="10216"/>
    <cellStyle name="Calculation 16 6 6" xfId="10217"/>
    <cellStyle name="Calculation 16 6 7" xfId="10218"/>
    <cellStyle name="Calculation 16 6 8" xfId="10204"/>
    <cellStyle name="Calculation 16 7" xfId="4177"/>
    <cellStyle name="Calculation 16 7 2" xfId="5147"/>
    <cellStyle name="Calculation 16 7 2 2" xfId="10220"/>
    <cellStyle name="Calculation 16 7 3" xfId="10219"/>
    <cellStyle name="Calculation 16 8" xfId="897"/>
    <cellStyle name="Calculation 16 8 2" xfId="10222"/>
    <cellStyle name="Calculation 16 8 3" xfId="10221"/>
    <cellStyle name="Calculation 16 9" xfId="4178"/>
    <cellStyle name="Calculation 16 9 2" xfId="10224"/>
    <cellStyle name="Calculation 16 9 3" xfId="10223"/>
    <cellStyle name="Calculation 17" xfId="2564"/>
    <cellStyle name="Calculation 17 10" xfId="4179"/>
    <cellStyle name="Calculation 17 10 2" xfId="10225"/>
    <cellStyle name="Calculation 17 11" xfId="8303"/>
    <cellStyle name="Calculation 17 2" xfId="4180"/>
    <cellStyle name="Calculation 17 2 2" xfId="4181"/>
    <cellStyle name="Calculation 17 2 2 10" xfId="10228"/>
    <cellStyle name="Calculation 17 2 2 11" xfId="10227"/>
    <cellStyle name="Calculation 17 2 2 2" xfId="10229"/>
    <cellStyle name="Calculation 17 2 2 2 2" xfId="10230"/>
    <cellStyle name="Calculation 17 2 2 2 2 2" xfId="10231"/>
    <cellStyle name="Calculation 17 2 2 2 3" xfId="10232"/>
    <cellStyle name="Calculation 17 2 2 2 4" xfId="10233"/>
    <cellStyle name="Calculation 17 2 2 3" xfId="10234"/>
    <cellStyle name="Calculation 17 2 2 3 2" xfId="10235"/>
    <cellStyle name="Calculation 17 2 2 3 2 2" xfId="10236"/>
    <cellStyle name="Calculation 17 2 2 3 3" xfId="10237"/>
    <cellStyle name="Calculation 17 2 2 4" xfId="10238"/>
    <cellStyle name="Calculation 17 2 2 4 2" xfId="10239"/>
    <cellStyle name="Calculation 17 2 2 4 2 2" xfId="10240"/>
    <cellStyle name="Calculation 17 2 2 4 3" xfId="10241"/>
    <cellStyle name="Calculation 17 2 2 5" xfId="10242"/>
    <cellStyle name="Calculation 17 2 2 5 2" xfId="10243"/>
    <cellStyle name="Calculation 17 2 2 6" xfId="10244"/>
    <cellStyle name="Calculation 17 2 2 6 2" xfId="10245"/>
    <cellStyle name="Calculation 17 2 2 7" xfId="10246"/>
    <cellStyle name="Calculation 17 2 2 7 2" xfId="10247"/>
    <cellStyle name="Calculation 17 2 2 8" xfId="10248"/>
    <cellStyle name="Calculation 17 2 2 8 2" xfId="10249"/>
    <cellStyle name="Calculation 17 2 2 9" xfId="10250"/>
    <cellStyle name="Calculation 17 2 3" xfId="5407"/>
    <cellStyle name="Calculation 17 2 3 2" xfId="10252"/>
    <cellStyle name="Calculation 17 2 3 2 2" xfId="10253"/>
    <cellStyle name="Calculation 17 2 3 2 2 2" xfId="10254"/>
    <cellStyle name="Calculation 17 2 3 2 3" xfId="10255"/>
    <cellStyle name="Calculation 17 2 3 2 4" xfId="10256"/>
    <cellStyle name="Calculation 17 2 3 3" xfId="10257"/>
    <cellStyle name="Calculation 17 2 3 3 2" xfId="10258"/>
    <cellStyle name="Calculation 17 2 3 3 2 2" xfId="10259"/>
    <cellStyle name="Calculation 17 2 3 3 3" xfId="10260"/>
    <cellStyle name="Calculation 17 2 3 4" xfId="10261"/>
    <cellStyle name="Calculation 17 2 3 4 2" xfId="10262"/>
    <cellStyle name="Calculation 17 2 3 5" xfId="10263"/>
    <cellStyle name="Calculation 17 2 3 5 2" xfId="10264"/>
    <cellStyle name="Calculation 17 2 3 6" xfId="10265"/>
    <cellStyle name="Calculation 17 2 3 7" xfId="10266"/>
    <cellStyle name="Calculation 17 2 3 8" xfId="10251"/>
    <cellStyle name="Calculation 17 2 4" xfId="3366"/>
    <cellStyle name="Calculation 17 2 4 2" xfId="5389"/>
    <cellStyle name="Calculation 17 2 4 2 2" xfId="10268"/>
    <cellStyle name="Calculation 17 2 4 3" xfId="10269"/>
    <cellStyle name="Calculation 17 2 4 4" xfId="10267"/>
    <cellStyle name="Calculation 17 2 5" xfId="3577"/>
    <cellStyle name="Calculation 17 2 5 2" xfId="3578"/>
    <cellStyle name="Calculation 17 2 5 2 2" xfId="10271"/>
    <cellStyle name="Calculation 17 2 5 3" xfId="10270"/>
    <cellStyle name="Calculation 17 2 6" xfId="3579"/>
    <cellStyle name="Calculation 17 2 6 2" xfId="10273"/>
    <cellStyle name="Calculation 17 2 6 3" xfId="10272"/>
    <cellStyle name="Calculation 17 2 7" xfId="4182"/>
    <cellStyle name="Calculation 17 2 7 2" xfId="10274"/>
    <cellStyle name="Calculation 17 2 8" xfId="10275"/>
    <cellStyle name="Calculation 17 2 9" xfId="10226"/>
    <cellStyle name="Calculation 17 3" xfId="4183"/>
    <cellStyle name="Calculation 17 3 2" xfId="5390"/>
    <cellStyle name="Calculation 17 3 2 10" xfId="10278"/>
    <cellStyle name="Calculation 17 3 2 11" xfId="10277"/>
    <cellStyle name="Calculation 17 3 2 2" xfId="10279"/>
    <cellStyle name="Calculation 17 3 2 2 2" xfId="10280"/>
    <cellStyle name="Calculation 17 3 2 2 2 2" xfId="10281"/>
    <cellStyle name="Calculation 17 3 2 2 3" xfId="10282"/>
    <cellStyle name="Calculation 17 3 2 3" xfId="10283"/>
    <cellStyle name="Calculation 17 3 2 3 2" xfId="10284"/>
    <cellStyle name="Calculation 17 3 2 3 2 2" xfId="10285"/>
    <cellStyle name="Calculation 17 3 2 3 3" xfId="10286"/>
    <cellStyle name="Calculation 17 3 2 4" xfId="10287"/>
    <cellStyle name="Calculation 17 3 2 4 2" xfId="10288"/>
    <cellStyle name="Calculation 17 3 2 4 2 2" xfId="10289"/>
    <cellStyle name="Calculation 17 3 2 4 3" xfId="10290"/>
    <cellStyle name="Calculation 17 3 2 5" xfId="10291"/>
    <cellStyle name="Calculation 17 3 2 5 2" xfId="10292"/>
    <cellStyle name="Calculation 17 3 2 6" xfId="10293"/>
    <cellStyle name="Calculation 17 3 2 6 2" xfId="10294"/>
    <cellStyle name="Calculation 17 3 2 7" xfId="10295"/>
    <cellStyle name="Calculation 17 3 2 7 2" xfId="10296"/>
    <cellStyle name="Calculation 17 3 2 8" xfId="10297"/>
    <cellStyle name="Calculation 17 3 2 8 2" xfId="10298"/>
    <cellStyle name="Calculation 17 3 2 9" xfId="10299"/>
    <cellStyle name="Calculation 17 3 3" xfId="10300"/>
    <cellStyle name="Calculation 17 3 3 2" xfId="10301"/>
    <cellStyle name="Calculation 17 3 3 2 2" xfId="10302"/>
    <cellStyle name="Calculation 17 3 3 2 2 2" xfId="10303"/>
    <cellStyle name="Calculation 17 3 3 2 3" xfId="10304"/>
    <cellStyle name="Calculation 17 3 3 3" xfId="10305"/>
    <cellStyle name="Calculation 17 3 3 3 2" xfId="10306"/>
    <cellStyle name="Calculation 17 3 3 3 2 2" xfId="10307"/>
    <cellStyle name="Calculation 17 3 3 3 3" xfId="10308"/>
    <cellStyle name="Calculation 17 3 3 4" xfId="10309"/>
    <cellStyle name="Calculation 17 3 3 4 2" xfId="10310"/>
    <cellStyle name="Calculation 17 3 3 5" xfId="10311"/>
    <cellStyle name="Calculation 17 3 3 5 2" xfId="10312"/>
    <cellStyle name="Calculation 17 3 3 6" xfId="10313"/>
    <cellStyle name="Calculation 17 3 3 7" xfId="10314"/>
    <cellStyle name="Calculation 17 3 4" xfId="10315"/>
    <cellStyle name="Calculation 17 3 4 2" xfId="10316"/>
    <cellStyle name="Calculation 17 3 5" xfId="10317"/>
    <cellStyle name="Calculation 17 3 5 2" xfId="10318"/>
    <cellStyle name="Calculation 17 3 6" xfId="10319"/>
    <cellStyle name="Calculation 17 3 6 2" xfId="10320"/>
    <cellStyle name="Calculation 17 3 7" xfId="10321"/>
    <cellStyle name="Calculation 17 3 8" xfId="10322"/>
    <cellStyle name="Calculation 17 3 9" xfId="10276"/>
    <cellStyle name="Calculation 17 4" xfId="4184"/>
    <cellStyle name="Calculation 17 4 10" xfId="10324"/>
    <cellStyle name="Calculation 17 4 11" xfId="10323"/>
    <cellStyle name="Calculation 17 4 2" xfId="10325"/>
    <cellStyle name="Calculation 17 4 2 2" xfId="10326"/>
    <cellStyle name="Calculation 17 4 2 2 2" xfId="10327"/>
    <cellStyle name="Calculation 17 4 2 3" xfId="10328"/>
    <cellStyle name="Calculation 17 4 2 4" xfId="10329"/>
    <cellStyle name="Calculation 17 4 3" xfId="10330"/>
    <cellStyle name="Calculation 17 4 3 2" xfId="10331"/>
    <cellStyle name="Calculation 17 4 3 2 2" xfId="10332"/>
    <cellStyle name="Calculation 17 4 3 3" xfId="10333"/>
    <cellStyle name="Calculation 17 4 4" xfId="10334"/>
    <cellStyle name="Calculation 17 4 4 2" xfId="10335"/>
    <cellStyle name="Calculation 17 4 4 2 2" xfId="10336"/>
    <cellStyle name="Calculation 17 4 4 3" xfId="10337"/>
    <cellStyle name="Calculation 17 4 5" xfId="10338"/>
    <cellStyle name="Calculation 17 4 5 2" xfId="10339"/>
    <cellStyle name="Calculation 17 4 6" xfId="10340"/>
    <cellStyle name="Calculation 17 4 6 2" xfId="10341"/>
    <cellStyle name="Calculation 17 4 7" xfId="10342"/>
    <cellStyle name="Calculation 17 4 7 2" xfId="10343"/>
    <cellStyle name="Calculation 17 4 8" xfId="10344"/>
    <cellStyle name="Calculation 17 4 8 2" xfId="10345"/>
    <cellStyle name="Calculation 17 4 9" xfId="10346"/>
    <cellStyle name="Calculation 17 5" xfId="4185"/>
    <cellStyle name="Calculation 17 5 10" xfId="10348"/>
    <cellStyle name="Calculation 17 5 11" xfId="10347"/>
    <cellStyle name="Calculation 17 5 2" xfId="10349"/>
    <cellStyle name="Calculation 17 5 2 2" xfId="10350"/>
    <cellStyle name="Calculation 17 5 2 2 2" xfId="10351"/>
    <cellStyle name="Calculation 17 5 2 3" xfId="10352"/>
    <cellStyle name="Calculation 17 5 2 4" xfId="10353"/>
    <cellStyle name="Calculation 17 5 3" xfId="10354"/>
    <cellStyle name="Calculation 17 5 3 2" xfId="10355"/>
    <cellStyle name="Calculation 17 5 3 2 2" xfId="10356"/>
    <cellStyle name="Calculation 17 5 3 3" xfId="10357"/>
    <cellStyle name="Calculation 17 5 4" xfId="10358"/>
    <cellStyle name="Calculation 17 5 4 2" xfId="10359"/>
    <cellStyle name="Calculation 17 5 4 2 2" xfId="10360"/>
    <cellStyle name="Calculation 17 5 4 3" xfId="10361"/>
    <cellStyle name="Calculation 17 5 5" xfId="10362"/>
    <cellStyle name="Calculation 17 5 5 2" xfId="10363"/>
    <cellStyle name="Calculation 17 5 6" xfId="10364"/>
    <cellStyle name="Calculation 17 5 6 2" xfId="10365"/>
    <cellStyle name="Calculation 17 5 7" xfId="10366"/>
    <cellStyle name="Calculation 17 5 7 2" xfId="10367"/>
    <cellStyle name="Calculation 17 5 8" xfId="10368"/>
    <cellStyle name="Calculation 17 5 8 2" xfId="10369"/>
    <cellStyle name="Calculation 17 5 9" xfId="10370"/>
    <cellStyle name="Calculation 17 6" xfId="4186"/>
    <cellStyle name="Calculation 17 6 2" xfId="4187"/>
    <cellStyle name="Calculation 17 6 2 2" xfId="10373"/>
    <cellStyle name="Calculation 17 6 2 2 2" xfId="10374"/>
    <cellStyle name="Calculation 17 6 2 3" xfId="10375"/>
    <cellStyle name="Calculation 17 6 2 4" xfId="10372"/>
    <cellStyle name="Calculation 17 6 3" xfId="10376"/>
    <cellStyle name="Calculation 17 6 3 2" xfId="10377"/>
    <cellStyle name="Calculation 17 6 3 2 2" xfId="10378"/>
    <cellStyle name="Calculation 17 6 3 3" xfId="10379"/>
    <cellStyle name="Calculation 17 6 4" xfId="10380"/>
    <cellStyle name="Calculation 17 6 4 2" xfId="10381"/>
    <cellStyle name="Calculation 17 6 5" xfId="10382"/>
    <cellStyle name="Calculation 17 6 5 2" xfId="10383"/>
    <cellStyle name="Calculation 17 6 6" xfId="10384"/>
    <cellStyle name="Calculation 17 6 7" xfId="10385"/>
    <cellStyle name="Calculation 17 6 8" xfId="10371"/>
    <cellStyle name="Calculation 17 7" xfId="4188"/>
    <cellStyle name="Calculation 17 7 2" xfId="4189"/>
    <cellStyle name="Calculation 17 7 2 2" xfId="10387"/>
    <cellStyle name="Calculation 17 7 3" xfId="10386"/>
    <cellStyle name="Calculation 17 8" xfId="4190"/>
    <cellStyle name="Calculation 17 8 2" xfId="10389"/>
    <cellStyle name="Calculation 17 8 3" xfId="10388"/>
    <cellStyle name="Calculation 17 9" xfId="3580"/>
    <cellStyle name="Calculation 17 9 2" xfId="10391"/>
    <cellStyle name="Calculation 17 9 3" xfId="10390"/>
    <cellStyle name="Calculation 18" xfId="2565"/>
    <cellStyle name="Calculation 18 10" xfId="10392"/>
    <cellStyle name="Calculation 18 11" xfId="10393"/>
    <cellStyle name="Calculation 18 2" xfId="3581"/>
    <cellStyle name="Calculation 18 2 2" xfId="10395"/>
    <cellStyle name="Calculation 18 2 2 10" xfId="10396"/>
    <cellStyle name="Calculation 18 2 2 2" xfId="10397"/>
    <cellStyle name="Calculation 18 2 2 2 2" xfId="10398"/>
    <cellStyle name="Calculation 18 2 2 2 2 2" xfId="10399"/>
    <cellStyle name="Calculation 18 2 2 2 3" xfId="10400"/>
    <cellStyle name="Calculation 18 2 2 2 4" xfId="10401"/>
    <cellStyle name="Calculation 18 2 2 3" xfId="10402"/>
    <cellStyle name="Calculation 18 2 2 3 2" xfId="10403"/>
    <cellStyle name="Calculation 18 2 2 3 2 2" xfId="10404"/>
    <cellStyle name="Calculation 18 2 2 3 3" xfId="10405"/>
    <cellStyle name="Calculation 18 2 2 4" xfId="10406"/>
    <cellStyle name="Calculation 18 2 2 4 2" xfId="10407"/>
    <cellStyle name="Calculation 18 2 2 4 2 2" xfId="10408"/>
    <cellStyle name="Calculation 18 2 2 4 3" xfId="10409"/>
    <cellStyle name="Calculation 18 2 2 5" xfId="10410"/>
    <cellStyle name="Calculation 18 2 2 5 2" xfId="10411"/>
    <cellStyle name="Calculation 18 2 2 6" xfId="10412"/>
    <cellStyle name="Calculation 18 2 2 6 2" xfId="10413"/>
    <cellStyle name="Calculation 18 2 2 7" xfId="10414"/>
    <cellStyle name="Calculation 18 2 2 7 2" xfId="10415"/>
    <cellStyle name="Calculation 18 2 2 8" xfId="10416"/>
    <cellStyle name="Calculation 18 2 2 8 2" xfId="10417"/>
    <cellStyle name="Calculation 18 2 2 9" xfId="10418"/>
    <cellStyle name="Calculation 18 2 3" xfId="10419"/>
    <cellStyle name="Calculation 18 2 3 2" xfId="10420"/>
    <cellStyle name="Calculation 18 2 3 2 2" xfId="10421"/>
    <cellStyle name="Calculation 18 2 3 2 2 2" xfId="10422"/>
    <cellStyle name="Calculation 18 2 3 2 3" xfId="10423"/>
    <cellStyle name="Calculation 18 2 3 2 4" xfId="10424"/>
    <cellStyle name="Calculation 18 2 3 3" xfId="10425"/>
    <cellStyle name="Calculation 18 2 3 3 2" xfId="10426"/>
    <cellStyle name="Calculation 18 2 3 3 2 2" xfId="10427"/>
    <cellStyle name="Calculation 18 2 3 3 3" xfId="10428"/>
    <cellStyle name="Calculation 18 2 3 4" xfId="10429"/>
    <cellStyle name="Calculation 18 2 3 4 2" xfId="10430"/>
    <cellStyle name="Calculation 18 2 3 5" xfId="10431"/>
    <cellStyle name="Calculation 18 2 3 5 2" xfId="10432"/>
    <cellStyle name="Calculation 18 2 3 6" xfId="10433"/>
    <cellStyle name="Calculation 18 2 3 7" xfId="10434"/>
    <cellStyle name="Calculation 18 2 4" xfId="10435"/>
    <cellStyle name="Calculation 18 2 4 2" xfId="10436"/>
    <cellStyle name="Calculation 18 2 4 3" xfId="10437"/>
    <cellStyle name="Calculation 18 2 5" xfId="10438"/>
    <cellStyle name="Calculation 18 2 5 2" xfId="10439"/>
    <cellStyle name="Calculation 18 2 6" xfId="10440"/>
    <cellStyle name="Calculation 18 2 6 2" xfId="10441"/>
    <cellStyle name="Calculation 18 2 7" xfId="10442"/>
    <cellStyle name="Calculation 18 2 8" xfId="10443"/>
    <cellStyle name="Calculation 18 2 9" xfId="10394"/>
    <cellStyle name="Calculation 18 3" xfId="3582"/>
    <cellStyle name="Calculation 18 3 2" xfId="10445"/>
    <cellStyle name="Calculation 18 3 2 10" xfId="10446"/>
    <cellStyle name="Calculation 18 3 2 2" xfId="10447"/>
    <cellStyle name="Calculation 18 3 2 2 2" xfId="10448"/>
    <cellStyle name="Calculation 18 3 2 2 2 2" xfId="10449"/>
    <cellStyle name="Calculation 18 3 2 2 3" xfId="10450"/>
    <cellStyle name="Calculation 18 3 2 3" xfId="10451"/>
    <cellStyle name="Calculation 18 3 2 3 2" xfId="10452"/>
    <cellStyle name="Calculation 18 3 2 3 2 2" xfId="10453"/>
    <cellStyle name="Calculation 18 3 2 3 3" xfId="10454"/>
    <cellStyle name="Calculation 18 3 2 4" xfId="10455"/>
    <cellStyle name="Calculation 18 3 2 4 2" xfId="10456"/>
    <cellStyle name="Calculation 18 3 2 4 2 2" xfId="10457"/>
    <cellStyle name="Calculation 18 3 2 4 3" xfId="10458"/>
    <cellStyle name="Calculation 18 3 2 5" xfId="10459"/>
    <cellStyle name="Calculation 18 3 2 5 2" xfId="10460"/>
    <cellStyle name="Calculation 18 3 2 6" xfId="10461"/>
    <cellStyle name="Calculation 18 3 2 6 2" xfId="10462"/>
    <cellStyle name="Calculation 18 3 2 7" xfId="10463"/>
    <cellStyle name="Calculation 18 3 2 7 2" xfId="10464"/>
    <cellStyle name="Calculation 18 3 2 8" xfId="10465"/>
    <cellStyle name="Calculation 18 3 2 8 2" xfId="10466"/>
    <cellStyle name="Calculation 18 3 2 9" xfId="10467"/>
    <cellStyle name="Calculation 18 3 3" xfId="10468"/>
    <cellStyle name="Calculation 18 3 3 2" xfId="10469"/>
    <cellStyle name="Calculation 18 3 3 2 2" xfId="10470"/>
    <cellStyle name="Calculation 18 3 3 2 2 2" xfId="10471"/>
    <cellStyle name="Calculation 18 3 3 2 3" xfId="10472"/>
    <cellStyle name="Calculation 18 3 3 3" xfId="10473"/>
    <cellStyle name="Calculation 18 3 3 3 2" xfId="10474"/>
    <cellStyle name="Calculation 18 3 3 3 2 2" xfId="10475"/>
    <cellStyle name="Calculation 18 3 3 3 3" xfId="10476"/>
    <cellStyle name="Calculation 18 3 3 4" xfId="10477"/>
    <cellStyle name="Calculation 18 3 3 4 2" xfId="10478"/>
    <cellStyle name="Calculation 18 3 3 5" xfId="10479"/>
    <cellStyle name="Calculation 18 3 3 5 2" xfId="10480"/>
    <cellStyle name="Calculation 18 3 3 6" xfId="10481"/>
    <cellStyle name="Calculation 18 3 3 7" xfId="10482"/>
    <cellStyle name="Calculation 18 3 4" xfId="10483"/>
    <cellStyle name="Calculation 18 3 4 2" xfId="10484"/>
    <cellStyle name="Calculation 18 3 5" xfId="10485"/>
    <cellStyle name="Calculation 18 3 5 2" xfId="10486"/>
    <cellStyle name="Calculation 18 3 6" xfId="10487"/>
    <cellStyle name="Calculation 18 3 6 2" xfId="10488"/>
    <cellStyle name="Calculation 18 3 7" xfId="10489"/>
    <cellStyle name="Calculation 18 3 8" xfId="10490"/>
    <cellStyle name="Calculation 18 3 9" xfId="10444"/>
    <cellStyle name="Calculation 18 4" xfId="3583"/>
    <cellStyle name="Calculation 18 4 10" xfId="10492"/>
    <cellStyle name="Calculation 18 4 11" xfId="10491"/>
    <cellStyle name="Calculation 18 4 2" xfId="3584"/>
    <cellStyle name="Calculation 18 4 2 2" xfId="10494"/>
    <cellStyle name="Calculation 18 4 2 2 2" xfId="10495"/>
    <cellStyle name="Calculation 18 4 2 3" xfId="10496"/>
    <cellStyle name="Calculation 18 4 2 4" xfId="10497"/>
    <cellStyle name="Calculation 18 4 2 5" xfId="10493"/>
    <cellStyle name="Calculation 18 4 3" xfId="10498"/>
    <cellStyle name="Calculation 18 4 3 2" xfId="10499"/>
    <cellStyle name="Calculation 18 4 3 2 2" xfId="10500"/>
    <cellStyle name="Calculation 18 4 3 3" xfId="10501"/>
    <cellStyle name="Calculation 18 4 4" xfId="10502"/>
    <cellStyle name="Calculation 18 4 4 2" xfId="10503"/>
    <cellStyle name="Calculation 18 4 4 2 2" xfId="10504"/>
    <cellStyle name="Calculation 18 4 4 3" xfId="10505"/>
    <cellStyle name="Calculation 18 4 5" xfId="10506"/>
    <cellStyle name="Calculation 18 4 5 2" xfId="10507"/>
    <cellStyle name="Calculation 18 4 6" xfId="10508"/>
    <cellStyle name="Calculation 18 4 6 2" xfId="10509"/>
    <cellStyle name="Calculation 18 4 7" xfId="10510"/>
    <cellStyle name="Calculation 18 4 7 2" xfId="10511"/>
    <cellStyle name="Calculation 18 4 8" xfId="10512"/>
    <cellStyle name="Calculation 18 4 8 2" xfId="10513"/>
    <cellStyle name="Calculation 18 4 9" xfId="10514"/>
    <cellStyle name="Calculation 18 5" xfId="3585"/>
    <cellStyle name="Calculation 18 5 10" xfId="10516"/>
    <cellStyle name="Calculation 18 5 11" xfId="10515"/>
    <cellStyle name="Calculation 18 5 2" xfId="3586"/>
    <cellStyle name="Calculation 18 5 2 2" xfId="10518"/>
    <cellStyle name="Calculation 18 5 2 2 2" xfId="10519"/>
    <cellStyle name="Calculation 18 5 2 3" xfId="10520"/>
    <cellStyle name="Calculation 18 5 2 4" xfId="10521"/>
    <cellStyle name="Calculation 18 5 2 5" xfId="10517"/>
    <cellStyle name="Calculation 18 5 3" xfId="10522"/>
    <cellStyle name="Calculation 18 5 3 2" xfId="10523"/>
    <cellStyle name="Calculation 18 5 3 2 2" xfId="10524"/>
    <cellStyle name="Calculation 18 5 3 3" xfId="10525"/>
    <cellStyle name="Calculation 18 5 4" xfId="10526"/>
    <cellStyle name="Calculation 18 5 4 2" xfId="10527"/>
    <cellStyle name="Calculation 18 5 4 2 2" xfId="10528"/>
    <cellStyle name="Calculation 18 5 4 3" xfId="10529"/>
    <cellStyle name="Calculation 18 5 5" xfId="10530"/>
    <cellStyle name="Calculation 18 5 5 2" xfId="10531"/>
    <cellStyle name="Calculation 18 5 6" xfId="10532"/>
    <cellStyle name="Calculation 18 5 6 2" xfId="10533"/>
    <cellStyle name="Calculation 18 5 7" xfId="10534"/>
    <cellStyle name="Calculation 18 5 7 2" xfId="10535"/>
    <cellStyle name="Calculation 18 5 8" xfId="10536"/>
    <cellStyle name="Calculation 18 5 8 2" xfId="10537"/>
    <cellStyle name="Calculation 18 5 9" xfId="10538"/>
    <cellStyle name="Calculation 18 6" xfId="4851"/>
    <cellStyle name="Calculation 18 6 2" xfId="10540"/>
    <cellStyle name="Calculation 18 6 2 2" xfId="10541"/>
    <cellStyle name="Calculation 18 6 2 2 2" xfId="10542"/>
    <cellStyle name="Calculation 18 6 2 3" xfId="10543"/>
    <cellStyle name="Calculation 18 6 3" xfId="10544"/>
    <cellStyle name="Calculation 18 6 3 2" xfId="10545"/>
    <cellStyle name="Calculation 18 6 3 2 2" xfId="10546"/>
    <cellStyle name="Calculation 18 6 3 3" xfId="10547"/>
    <cellStyle name="Calculation 18 6 4" xfId="10548"/>
    <cellStyle name="Calculation 18 6 4 2" xfId="10549"/>
    <cellStyle name="Calculation 18 6 5" xfId="10550"/>
    <cellStyle name="Calculation 18 6 5 2" xfId="10551"/>
    <cellStyle name="Calculation 18 6 6" xfId="10552"/>
    <cellStyle name="Calculation 18 6 7" xfId="10553"/>
    <cellStyle name="Calculation 18 6 8" xfId="10539"/>
    <cellStyle name="Calculation 18 7" xfId="3587"/>
    <cellStyle name="Calculation 18 7 2" xfId="10555"/>
    <cellStyle name="Calculation 18 7 3" xfId="10554"/>
    <cellStyle name="Calculation 18 8" xfId="8304"/>
    <cellStyle name="Calculation 18 8 2" xfId="10556"/>
    <cellStyle name="Calculation 18 9" xfId="10557"/>
    <cellStyle name="Calculation 18 9 2" xfId="10558"/>
    <cellStyle name="Calculation 19" xfId="2566"/>
    <cellStyle name="Calculation 19 10" xfId="10559"/>
    <cellStyle name="Calculation 19 11" xfId="10560"/>
    <cellStyle name="Calculation 19 2" xfId="3367"/>
    <cellStyle name="Calculation 19 2 2" xfId="10562"/>
    <cellStyle name="Calculation 19 2 2 10" xfId="10563"/>
    <cellStyle name="Calculation 19 2 2 2" xfId="10564"/>
    <cellStyle name="Calculation 19 2 2 2 2" xfId="10565"/>
    <cellStyle name="Calculation 19 2 2 2 2 2" xfId="10566"/>
    <cellStyle name="Calculation 19 2 2 2 3" xfId="10567"/>
    <cellStyle name="Calculation 19 2 2 2 4" xfId="10568"/>
    <cellStyle name="Calculation 19 2 2 3" xfId="10569"/>
    <cellStyle name="Calculation 19 2 2 3 2" xfId="10570"/>
    <cellStyle name="Calculation 19 2 2 3 2 2" xfId="10571"/>
    <cellStyle name="Calculation 19 2 2 3 3" xfId="10572"/>
    <cellStyle name="Calculation 19 2 2 4" xfId="10573"/>
    <cellStyle name="Calculation 19 2 2 4 2" xfId="10574"/>
    <cellStyle name="Calculation 19 2 2 4 2 2" xfId="10575"/>
    <cellStyle name="Calculation 19 2 2 4 3" xfId="10576"/>
    <cellStyle name="Calculation 19 2 2 5" xfId="10577"/>
    <cellStyle name="Calculation 19 2 2 5 2" xfId="10578"/>
    <cellStyle name="Calculation 19 2 2 6" xfId="10579"/>
    <cellStyle name="Calculation 19 2 2 6 2" xfId="10580"/>
    <cellStyle name="Calculation 19 2 2 7" xfId="10581"/>
    <cellStyle name="Calculation 19 2 2 7 2" xfId="10582"/>
    <cellStyle name="Calculation 19 2 2 8" xfId="10583"/>
    <cellStyle name="Calculation 19 2 2 8 2" xfId="10584"/>
    <cellStyle name="Calculation 19 2 2 9" xfId="10585"/>
    <cellStyle name="Calculation 19 2 3" xfId="10586"/>
    <cellStyle name="Calculation 19 2 3 2" xfId="10587"/>
    <cellStyle name="Calculation 19 2 3 2 2" xfId="10588"/>
    <cellStyle name="Calculation 19 2 3 2 2 2" xfId="10589"/>
    <cellStyle name="Calculation 19 2 3 2 3" xfId="10590"/>
    <cellStyle name="Calculation 19 2 3 2 4" xfId="10591"/>
    <cellStyle name="Calculation 19 2 3 3" xfId="10592"/>
    <cellStyle name="Calculation 19 2 3 3 2" xfId="10593"/>
    <cellStyle name="Calculation 19 2 3 3 2 2" xfId="10594"/>
    <cellStyle name="Calculation 19 2 3 3 3" xfId="10595"/>
    <cellStyle name="Calculation 19 2 3 4" xfId="10596"/>
    <cellStyle name="Calculation 19 2 3 4 2" xfId="10597"/>
    <cellStyle name="Calculation 19 2 3 5" xfId="10598"/>
    <cellStyle name="Calculation 19 2 3 5 2" xfId="10599"/>
    <cellStyle name="Calculation 19 2 3 6" xfId="10600"/>
    <cellStyle name="Calculation 19 2 3 7" xfId="10601"/>
    <cellStyle name="Calculation 19 2 4" xfId="10602"/>
    <cellStyle name="Calculation 19 2 4 2" xfId="10603"/>
    <cellStyle name="Calculation 19 2 4 3" xfId="10604"/>
    <cellStyle name="Calculation 19 2 5" xfId="10605"/>
    <cellStyle name="Calculation 19 2 5 2" xfId="10606"/>
    <cellStyle name="Calculation 19 2 6" xfId="10607"/>
    <cellStyle name="Calculation 19 2 6 2" xfId="10608"/>
    <cellStyle name="Calculation 19 2 7" xfId="10609"/>
    <cellStyle name="Calculation 19 2 8" xfId="10610"/>
    <cellStyle name="Calculation 19 2 9" xfId="10561"/>
    <cellStyle name="Calculation 19 3" xfId="4191"/>
    <cellStyle name="Calculation 19 3 2" xfId="10612"/>
    <cellStyle name="Calculation 19 3 2 10" xfId="10613"/>
    <cellStyle name="Calculation 19 3 2 2" xfId="10614"/>
    <cellStyle name="Calculation 19 3 2 2 2" xfId="10615"/>
    <cellStyle name="Calculation 19 3 2 2 2 2" xfId="10616"/>
    <cellStyle name="Calculation 19 3 2 2 3" xfId="10617"/>
    <cellStyle name="Calculation 19 3 2 3" xfId="10618"/>
    <cellStyle name="Calculation 19 3 2 3 2" xfId="10619"/>
    <cellStyle name="Calculation 19 3 2 3 2 2" xfId="10620"/>
    <cellStyle name="Calculation 19 3 2 3 3" xfId="10621"/>
    <cellStyle name="Calculation 19 3 2 4" xfId="10622"/>
    <cellStyle name="Calculation 19 3 2 4 2" xfId="10623"/>
    <cellStyle name="Calculation 19 3 2 4 2 2" xfId="10624"/>
    <cellStyle name="Calculation 19 3 2 4 3" xfId="10625"/>
    <cellStyle name="Calculation 19 3 2 5" xfId="10626"/>
    <cellStyle name="Calculation 19 3 2 5 2" xfId="10627"/>
    <cellStyle name="Calculation 19 3 2 6" xfId="10628"/>
    <cellStyle name="Calculation 19 3 2 6 2" xfId="10629"/>
    <cellStyle name="Calculation 19 3 2 7" xfId="10630"/>
    <cellStyle name="Calculation 19 3 2 7 2" xfId="10631"/>
    <cellStyle name="Calculation 19 3 2 8" xfId="10632"/>
    <cellStyle name="Calculation 19 3 2 8 2" xfId="10633"/>
    <cellStyle name="Calculation 19 3 2 9" xfId="10634"/>
    <cellStyle name="Calculation 19 3 3" xfId="10635"/>
    <cellStyle name="Calculation 19 3 3 2" xfId="10636"/>
    <cellStyle name="Calculation 19 3 3 2 2" xfId="10637"/>
    <cellStyle name="Calculation 19 3 3 2 2 2" xfId="10638"/>
    <cellStyle name="Calculation 19 3 3 2 3" xfId="10639"/>
    <cellStyle name="Calculation 19 3 3 3" xfId="10640"/>
    <cellStyle name="Calculation 19 3 3 3 2" xfId="10641"/>
    <cellStyle name="Calculation 19 3 3 3 2 2" xfId="10642"/>
    <cellStyle name="Calculation 19 3 3 3 3" xfId="10643"/>
    <cellStyle name="Calculation 19 3 3 4" xfId="10644"/>
    <cellStyle name="Calculation 19 3 3 4 2" xfId="10645"/>
    <cellStyle name="Calculation 19 3 3 5" xfId="10646"/>
    <cellStyle name="Calculation 19 3 3 5 2" xfId="10647"/>
    <cellStyle name="Calculation 19 3 3 6" xfId="10648"/>
    <cellStyle name="Calculation 19 3 3 7" xfId="10649"/>
    <cellStyle name="Calculation 19 3 4" xfId="10650"/>
    <cellStyle name="Calculation 19 3 4 2" xfId="10651"/>
    <cellStyle name="Calculation 19 3 5" xfId="10652"/>
    <cellStyle name="Calculation 19 3 5 2" xfId="10653"/>
    <cellStyle name="Calculation 19 3 6" xfId="10654"/>
    <cellStyle name="Calculation 19 3 6 2" xfId="10655"/>
    <cellStyle name="Calculation 19 3 7" xfId="10656"/>
    <cellStyle name="Calculation 19 3 8" xfId="10657"/>
    <cellStyle name="Calculation 19 3 9" xfId="10611"/>
    <cellStyle name="Calculation 19 4" xfId="4192"/>
    <cellStyle name="Calculation 19 4 10" xfId="10659"/>
    <cellStyle name="Calculation 19 4 11" xfId="10658"/>
    <cellStyle name="Calculation 19 4 2" xfId="4193"/>
    <cellStyle name="Calculation 19 4 2 2" xfId="10661"/>
    <cellStyle name="Calculation 19 4 2 2 2" xfId="10662"/>
    <cellStyle name="Calculation 19 4 2 3" xfId="10663"/>
    <cellStyle name="Calculation 19 4 2 4" xfId="10664"/>
    <cellStyle name="Calculation 19 4 2 5" xfId="10660"/>
    <cellStyle name="Calculation 19 4 3" xfId="10665"/>
    <cellStyle name="Calculation 19 4 3 2" xfId="10666"/>
    <cellStyle name="Calculation 19 4 3 2 2" xfId="10667"/>
    <cellStyle name="Calculation 19 4 3 3" xfId="10668"/>
    <cellStyle name="Calculation 19 4 4" xfId="10669"/>
    <cellStyle name="Calculation 19 4 4 2" xfId="10670"/>
    <cellStyle name="Calculation 19 4 4 2 2" xfId="10671"/>
    <cellStyle name="Calculation 19 4 4 3" xfId="10672"/>
    <cellStyle name="Calculation 19 4 5" xfId="10673"/>
    <cellStyle name="Calculation 19 4 5 2" xfId="10674"/>
    <cellStyle name="Calculation 19 4 6" xfId="10675"/>
    <cellStyle name="Calculation 19 4 6 2" xfId="10676"/>
    <cellStyle name="Calculation 19 4 7" xfId="10677"/>
    <cellStyle name="Calculation 19 4 7 2" xfId="10678"/>
    <cellStyle name="Calculation 19 4 8" xfId="10679"/>
    <cellStyle name="Calculation 19 4 8 2" xfId="10680"/>
    <cellStyle name="Calculation 19 4 9" xfId="10681"/>
    <cellStyle name="Calculation 19 5" xfId="4194"/>
    <cellStyle name="Calculation 19 5 10" xfId="10683"/>
    <cellStyle name="Calculation 19 5 11" xfId="10682"/>
    <cellStyle name="Calculation 19 5 2" xfId="4195"/>
    <cellStyle name="Calculation 19 5 2 2" xfId="10685"/>
    <cellStyle name="Calculation 19 5 2 2 2" xfId="10686"/>
    <cellStyle name="Calculation 19 5 2 3" xfId="10687"/>
    <cellStyle name="Calculation 19 5 2 4" xfId="10688"/>
    <cellStyle name="Calculation 19 5 2 5" xfId="10684"/>
    <cellStyle name="Calculation 19 5 3" xfId="10689"/>
    <cellStyle name="Calculation 19 5 3 2" xfId="10690"/>
    <cellStyle name="Calculation 19 5 3 2 2" xfId="10691"/>
    <cellStyle name="Calculation 19 5 3 3" xfId="10692"/>
    <cellStyle name="Calculation 19 5 4" xfId="10693"/>
    <cellStyle name="Calculation 19 5 4 2" xfId="10694"/>
    <cellStyle name="Calculation 19 5 4 2 2" xfId="10695"/>
    <cellStyle name="Calculation 19 5 4 3" xfId="10696"/>
    <cellStyle name="Calculation 19 5 5" xfId="10697"/>
    <cellStyle name="Calculation 19 5 5 2" xfId="10698"/>
    <cellStyle name="Calculation 19 5 6" xfId="10699"/>
    <cellStyle name="Calculation 19 5 6 2" xfId="10700"/>
    <cellStyle name="Calculation 19 5 7" xfId="10701"/>
    <cellStyle name="Calculation 19 5 7 2" xfId="10702"/>
    <cellStyle name="Calculation 19 5 8" xfId="10703"/>
    <cellStyle name="Calculation 19 5 8 2" xfId="10704"/>
    <cellStyle name="Calculation 19 5 9" xfId="10705"/>
    <cellStyle name="Calculation 19 6" xfId="5148"/>
    <cellStyle name="Calculation 19 6 2" xfId="10707"/>
    <cellStyle name="Calculation 19 6 2 2" xfId="10708"/>
    <cellStyle name="Calculation 19 6 2 2 2" xfId="10709"/>
    <cellStyle name="Calculation 19 6 2 3" xfId="10710"/>
    <cellStyle name="Calculation 19 6 3" xfId="10711"/>
    <cellStyle name="Calculation 19 6 3 2" xfId="10712"/>
    <cellStyle name="Calculation 19 6 3 2 2" xfId="10713"/>
    <cellStyle name="Calculation 19 6 3 3" xfId="10714"/>
    <cellStyle name="Calculation 19 6 4" xfId="10715"/>
    <cellStyle name="Calculation 19 6 4 2" xfId="10716"/>
    <cellStyle name="Calculation 19 6 5" xfId="10717"/>
    <cellStyle name="Calculation 19 6 5 2" xfId="10718"/>
    <cellStyle name="Calculation 19 6 6" xfId="10719"/>
    <cellStyle name="Calculation 19 6 7" xfId="10720"/>
    <cellStyle name="Calculation 19 6 8" xfId="10706"/>
    <cellStyle name="Calculation 19 7" xfId="4196"/>
    <cellStyle name="Calculation 19 7 2" xfId="10722"/>
    <cellStyle name="Calculation 19 7 3" xfId="10721"/>
    <cellStyle name="Calculation 19 8" xfId="8305"/>
    <cellStyle name="Calculation 19 8 2" xfId="10723"/>
    <cellStyle name="Calculation 19 9" xfId="10724"/>
    <cellStyle name="Calculation 19 9 2" xfId="10725"/>
    <cellStyle name="Calculation 2" xfId="474"/>
    <cellStyle name="Calculation 2 10" xfId="10726"/>
    <cellStyle name="Calculation 2 11" xfId="10727"/>
    <cellStyle name="Calculation 2 12" xfId="40586"/>
    <cellStyle name="Calculation 2 2" xfId="475"/>
    <cellStyle name="Calculation 2 2 10" xfId="40859"/>
    <cellStyle name="Calculation 2 2 2" xfId="476"/>
    <cellStyle name="Calculation 2 2 2 10" xfId="10729"/>
    <cellStyle name="Calculation 2 2 2 11" xfId="41465"/>
    <cellStyle name="Calculation 2 2 2 2" xfId="7932"/>
    <cellStyle name="Calculation 2 2 2 2 2" xfId="10730"/>
    <cellStyle name="Calculation 2 2 2 2 2 2" xfId="10731"/>
    <cellStyle name="Calculation 2 2 2 2 2 3" xfId="10732"/>
    <cellStyle name="Calculation 2 2 2 2 3" xfId="10733"/>
    <cellStyle name="Calculation 2 2 2 2 4" xfId="10734"/>
    <cellStyle name="Calculation 2 2 2 2 5" xfId="43790"/>
    <cellStyle name="Calculation 2 2 2 3" xfId="10735"/>
    <cellStyle name="Calculation 2 2 2 3 2" xfId="10736"/>
    <cellStyle name="Calculation 2 2 2 3 2 2" xfId="10737"/>
    <cellStyle name="Calculation 2 2 2 3 3" xfId="10738"/>
    <cellStyle name="Calculation 2 2 2 3 4" xfId="10739"/>
    <cellStyle name="Calculation 2 2 2 3 5" xfId="43676"/>
    <cellStyle name="Calculation 2 2 2 4" xfId="10740"/>
    <cellStyle name="Calculation 2 2 2 4 2" xfId="10741"/>
    <cellStyle name="Calculation 2 2 2 4 2 2" xfId="10742"/>
    <cellStyle name="Calculation 2 2 2 4 3" xfId="10743"/>
    <cellStyle name="Calculation 2 2 2 4 4" xfId="45325"/>
    <cellStyle name="Calculation 2 2 2 5" xfId="10744"/>
    <cellStyle name="Calculation 2 2 2 5 2" xfId="10745"/>
    <cellStyle name="Calculation 2 2 2 6" xfId="10746"/>
    <cellStyle name="Calculation 2 2 2 6 2" xfId="10747"/>
    <cellStyle name="Calculation 2 2 2 7" xfId="10748"/>
    <cellStyle name="Calculation 2 2 2 7 2" xfId="10749"/>
    <cellStyle name="Calculation 2 2 2 8" xfId="10750"/>
    <cellStyle name="Calculation 2 2 2 8 2" xfId="10751"/>
    <cellStyle name="Calculation 2 2 2 9" xfId="10752"/>
    <cellStyle name="Calculation 2 2 3" xfId="4197"/>
    <cellStyle name="Calculation 2 2 3 10" xfId="10754"/>
    <cellStyle name="Calculation 2 2 3 11" xfId="10753"/>
    <cellStyle name="Calculation 2 2 3 12" xfId="41900"/>
    <cellStyle name="Calculation 2 2 3 2" xfId="10755"/>
    <cellStyle name="Calculation 2 2 3 2 2" xfId="10756"/>
    <cellStyle name="Calculation 2 2 3 2 2 2" xfId="10757"/>
    <cellStyle name="Calculation 2 2 3 2 3" xfId="10758"/>
    <cellStyle name="Calculation 2 2 3 2 4" xfId="10759"/>
    <cellStyle name="Calculation 2 2 3 2 5" xfId="43951"/>
    <cellStyle name="Calculation 2 2 3 3" xfId="10760"/>
    <cellStyle name="Calculation 2 2 3 3 2" xfId="10761"/>
    <cellStyle name="Calculation 2 2 3 3 2 2" xfId="10762"/>
    <cellStyle name="Calculation 2 2 3 3 3" xfId="10763"/>
    <cellStyle name="Calculation 2 2 3 3 4" xfId="43586"/>
    <cellStyle name="Calculation 2 2 3 4" xfId="10764"/>
    <cellStyle name="Calculation 2 2 3 4 2" xfId="10765"/>
    <cellStyle name="Calculation 2 2 3 4 2 2" xfId="10766"/>
    <cellStyle name="Calculation 2 2 3 4 3" xfId="10767"/>
    <cellStyle name="Calculation 2 2 3 4 4" xfId="43722"/>
    <cellStyle name="Calculation 2 2 3 5" xfId="10768"/>
    <cellStyle name="Calculation 2 2 3 5 2" xfId="10769"/>
    <cellStyle name="Calculation 2 2 3 6" xfId="10770"/>
    <cellStyle name="Calculation 2 2 3 6 2" xfId="10771"/>
    <cellStyle name="Calculation 2 2 3 7" xfId="10772"/>
    <cellStyle name="Calculation 2 2 3 7 2" xfId="10773"/>
    <cellStyle name="Calculation 2 2 3 8" xfId="10774"/>
    <cellStyle name="Calculation 2 2 3 8 2" xfId="10775"/>
    <cellStyle name="Calculation 2 2 3 9" xfId="10776"/>
    <cellStyle name="Calculation 2 2 4" xfId="4198"/>
    <cellStyle name="Calculation 2 2 4 2" xfId="5408"/>
    <cellStyle name="Calculation 2 2 4 2 2" xfId="10778"/>
    <cellStyle name="Calculation 2 2 4 3" xfId="10779"/>
    <cellStyle name="Calculation 2 2 4 4" xfId="10780"/>
    <cellStyle name="Calculation 2 2 4 5" xfId="10777"/>
    <cellStyle name="Calculation 2 2 4 6" xfId="43669"/>
    <cellStyle name="Calculation 2 2 5" xfId="4199"/>
    <cellStyle name="Calculation 2 2 5 2" xfId="4200"/>
    <cellStyle name="Calculation 2 2 5 3" xfId="10781"/>
    <cellStyle name="Calculation 2 2 5 4" xfId="43767"/>
    <cellStyle name="Calculation 2 2 6" xfId="883"/>
    <cellStyle name="Calculation 2 2 6 2" xfId="45283"/>
    <cellStyle name="Calculation 2 2 7" xfId="4201"/>
    <cellStyle name="Calculation 2 2 8" xfId="7931"/>
    <cellStyle name="Calculation 2 2 9" xfId="10728"/>
    <cellStyle name="Calculation 2 3" xfId="477"/>
    <cellStyle name="Calculation 2 3 2" xfId="478"/>
    <cellStyle name="Calculation 2 3 2 10" xfId="10782"/>
    <cellStyle name="Calculation 2 3 2 11" xfId="43943"/>
    <cellStyle name="Calculation 2 3 2 2" xfId="7934"/>
    <cellStyle name="Calculation 2 3 2 2 2" xfId="10783"/>
    <cellStyle name="Calculation 2 3 2 2 2 2" xfId="10784"/>
    <cellStyle name="Calculation 2 3 2 2 3" xfId="10785"/>
    <cellStyle name="Calculation 2 3 2 2 4" xfId="10786"/>
    <cellStyle name="Calculation 2 3 2 3" xfId="10787"/>
    <cellStyle name="Calculation 2 3 2 3 2" xfId="10788"/>
    <cellStyle name="Calculation 2 3 2 3 2 2" xfId="10789"/>
    <cellStyle name="Calculation 2 3 2 3 3" xfId="10790"/>
    <cellStyle name="Calculation 2 3 2 4" xfId="10791"/>
    <cellStyle name="Calculation 2 3 2 4 2" xfId="10792"/>
    <cellStyle name="Calculation 2 3 2 4 2 2" xfId="10793"/>
    <cellStyle name="Calculation 2 3 2 4 3" xfId="10794"/>
    <cellStyle name="Calculation 2 3 2 5" xfId="10795"/>
    <cellStyle name="Calculation 2 3 2 5 2" xfId="10796"/>
    <cellStyle name="Calculation 2 3 2 6" xfId="10797"/>
    <cellStyle name="Calculation 2 3 2 6 2" xfId="10798"/>
    <cellStyle name="Calculation 2 3 2 7" xfId="10799"/>
    <cellStyle name="Calculation 2 3 2 7 2" xfId="10800"/>
    <cellStyle name="Calculation 2 3 2 8" xfId="10801"/>
    <cellStyle name="Calculation 2 3 2 8 2" xfId="10802"/>
    <cellStyle name="Calculation 2 3 2 9" xfId="10803"/>
    <cellStyle name="Calculation 2 3 3" xfId="7933"/>
    <cellStyle name="Calculation 2 3 3 2" xfId="10804"/>
    <cellStyle name="Calculation 2 3 3 2 2" xfId="10805"/>
    <cellStyle name="Calculation 2 3 3 2 2 2" xfId="10806"/>
    <cellStyle name="Calculation 2 3 3 2 3" xfId="10807"/>
    <cellStyle name="Calculation 2 3 3 2 4" xfId="10808"/>
    <cellStyle name="Calculation 2 3 3 3" xfId="10809"/>
    <cellStyle name="Calculation 2 3 3 3 2" xfId="10810"/>
    <cellStyle name="Calculation 2 3 3 3 2 2" xfId="10811"/>
    <cellStyle name="Calculation 2 3 3 3 3" xfId="10812"/>
    <cellStyle name="Calculation 2 3 3 4" xfId="10813"/>
    <cellStyle name="Calculation 2 3 3 4 2" xfId="10814"/>
    <cellStyle name="Calculation 2 3 3 5" xfId="10815"/>
    <cellStyle name="Calculation 2 3 3 5 2" xfId="10816"/>
    <cellStyle name="Calculation 2 3 3 6" xfId="10817"/>
    <cellStyle name="Calculation 2 3 3 7" xfId="10818"/>
    <cellStyle name="Calculation 2 3 3 8" xfId="43785"/>
    <cellStyle name="Calculation 2 3 4" xfId="10819"/>
    <cellStyle name="Calculation 2 3 4 2" xfId="10820"/>
    <cellStyle name="Calculation 2 3 4 3" xfId="10821"/>
    <cellStyle name="Calculation 2 3 4 4" xfId="43634"/>
    <cellStyle name="Calculation 2 3 5" xfId="10822"/>
    <cellStyle name="Calculation 2 3 5 2" xfId="10823"/>
    <cellStyle name="Calculation 2 3 6" xfId="10824"/>
    <cellStyle name="Calculation 2 3 6 2" xfId="10825"/>
    <cellStyle name="Calculation 2 3 7" xfId="10826"/>
    <cellStyle name="Calculation 2 3 8" xfId="10827"/>
    <cellStyle name="Calculation 2 3 9" xfId="41828"/>
    <cellStyle name="Calculation 2 4" xfId="479"/>
    <cellStyle name="Calculation 2 4 10" xfId="10828"/>
    <cellStyle name="Calculation 2 4 11" xfId="40716"/>
    <cellStyle name="Calculation 2 4 2" xfId="480"/>
    <cellStyle name="Calculation 2 4 2 2" xfId="7936"/>
    <cellStyle name="Calculation 2 4 2 2 2" xfId="10829"/>
    <cellStyle name="Calculation 2 4 2 3" xfId="10830"/>
    <cellStyle name="Calculation 2 4 2 4" xfId="10831"/>
    <cellStyle name="Calculation 2 4 2 5" xfId="43649"/>
    <cellStyle name="Calculation 2 4 3" xfId="7935"/>
    <cellStyle name="Calculation 2 4 3 2" xfId="10832"/>
    <cellStyle name="Calculation 2 4 3 2 2" xfId="10833"/>
    <cellStyle name="Calculation 2 4 3 3" xfId="10834"/>
    <cellStyle name="Calculation 2 4 3 4" xfId="45274"/>
    <cellStyle name="Calculation 2 4 4" xfId="10835"/>
    <cellStyle name="Calculation 2 4 4 2" xfId="10836"/>
    <cellStyle name="Calculation 2 4 4 2 2" xfId="10837"/>
    <cellStyle name="Calculation 2 4 4 3" xfId="10838"/>
    <cellStyle name="Calculation 2 4 4 4" xfId="43650"/>
    <cellStyle name="Calculation 2 4 5" xfId="10839"/>
    <cellStyle name="Calculation 2 4 5 2" xfId="10840"/>
    <cellStyle name="Calculation 2 4 6" xfId="10841"/>
    <cellStyle name="Calculation 2 4 6 2" xfId="10842"/>
    <cellStyle name="Calculation 2 4 7" xfId="10843"/>
    <cellStyle name="Calculation 2 4 7 2" xfId="10844"/>
    <cellStyle name="Calculation 2 4 8" xfId="10845"/>
    <cellStyle name="Calculation 2 4 8 2" xfId="10846"/>
    <cellStyle name="Calculation 2 4 9" xfId="10847"/>
    <cellStyle name="Calculation 2 5" xfId="481"/>
    <cellStyle name="Calculation 2 5 10" xfId="10848"/>
    <cellStyle name="Calculation 2 5 11" xfId="43587"/>
    <cellStyle name="Calculation 2 5 2" xfId="4202"/>
    <cellStyle name="Calculation 2 5 2 2" xfId="10850"/>
    <cellStyle name="Calculation 2 5 2 2 2" xfId="10851"/>
    <cellStyle name="Calculation 2 5 2 3" xfId="10852"/>
    <cellStyle name="Calculation 2 5 2 4" xfId="10853"/>
    <cellStyle name="Calculation 2 5 2 5" xfId="10849"/>
    <cellStyle name="Calculation 2 5 3" xfId="7937"/>
    <cellStyle name="Calculation 2 5 3 2" xfId="10854"/>
    <cellStyle name="Calculation 2 5 3 2 2" xfId="10855"/>
    <cellStyle name="Calculation 2 5 3 3" xfId="10856"/>
    <cellStyle name="Calculation 2 5 4" xfId="10857"/>
    <cellStyle name="Calculation 2 5 4 2" xfId="10858"/>
    <cellStyle name="Calculation 2 5 4 2 2" xfId="10859"/>
    <cellStyle name="Calculation 2 5 4 3" xfId="10860"/>
    <cellStyle name="Calculation 2 5 5" xfId="10861"/>
    <cellStyle name="Calculation 2 5 5 2" xfId="10862"/>
    <cellStyle name="Calculation 2 5 6" xfId="10863"/>
    <cellStyle name="Calculation 2 5 6 2" xfId="10864"/>
    <cellStyle name="Calculation 2 5 7" xfId="10865"/>
    <cellStyle name="Calculation 2 5 7 2" xfId="10866"/>
    <cellStyle name="Calculation 2 5 8" xfId="10867"/>
    <cellStyle name="Calculation 2 5 8 2" xfId="10868"/>
    <cellStyle name="Calculation 2 5 9" xfId="10869"/>
    <cellStyle name="Calculation 2 6" xfId="4203"/>
    <cellStyle name="Calculation 2 6 2" xfId="4204"/>
    <cellStyle name="Calculation 2 6 2 2" xfId="10872"/>
    <cellStyle name="Calculation 2 6 2 2 2" xfId="10873"/>
    <cellStyle name="Calculation 2 6 2 3" xfId="10874"/>
    <cellStyle name="Calculation 2 6 2 4" xfId="10871"/>
    <cellStyle name="Calculation 2 6 3" xfId="10875"/>
    <cellStyle name="Calculation 2 6 3 2" xfId="10876"/>
    <cellStyle name="Calculation 2 6 3 2 2" xfId="10877"/>
    <cellStyle name="Calculation 2 6 3 3" xfId="10878"/>
    <cellStyle name="Calculation 2 6 4" xfId="10879"/>
    <cellStyle name="Calculation 2 6 4 2" xfId="10880"/>
    <cellStyle name="Calculation 2 6 5" xfId="10881"/>
    <cellStyle name="Calculation 2 6 5 2" xfId="10882"/>
    <cellStyle name="Calculation 2 6 6" xfId="10883"/>
    <cellStyle name="Calculation 2 6 7" xfId="10884"/>
    <cellStyle name="Calculation 2 6 8" xfId="10870"/>
    <cellStyle name="Calculation 2 6 9" xfId="43715"/>
    <cellStyle name="Calculation 2 7" xfId="4205"/>
    <cellStyle name="Calculation 2 7 2" xfId="10886"/>
    <cellStyle name="Calculation 2 7 3" xfId="10885"/>
    <cellStyle name="Calculation 2 7 4" xfId="43940"/>
    <cellStyle name="Calculation 2 8" xfId="3368"/>
    <cellStyle name="Calculation 2 8 2" xfId="10888"/>
    <cellStyle name="Calculation 2 8 3" xfId="10887"/>
    <cellStyle name="Calculation 2 9" xfId="7930"/>
    <cellStyle name="Calculation 2 9 2" xfId="10889"/>
    <cellStyle name="Calculation 20" xfId="2567"/>
    <cellStyle name="Calculation 20 10" xfId="10890"/>
    <cellStyle name="Calculation 20 11" xfId="10891"/>
    <cellStyle name="Calculation 20 2" xfId="4206"/>
    <cellStyle name="Calculation 20 2 2" xfId="10893"/>
    <cellStyle name="Calculation 20 2 2 10" xfId="10894"/>
    <cellStyle name="Calculation 20 2 2 2" xfId="10895"/>
    <cellStyle name="Calculation 20 2 2 2 2" xfId="10896"/>
    <cellStyle name="Calculation 20 2 2 2 2 2" xfId="10897"/>
    <cellStyle name="Calculation 20 2 2 2 3" xfId="10898"/>
    <cellStyle name="Calculation 20 2 2 2 4" xfId="10899"/>
    <cellStyle name="Calculation 20 2 2 3" xfId="10900"/>
    <cellStyle name="Calculation 20 2 2 3 2" xfId="10901"/>
    <cellStyle name="Calculation 20 2 2 3 2 2" xfId="10902"/>
    <cellStyle name="Calculation 20 2 2 3 3" xfId="10903"/>
    <cellStyle name="Calculation 20 2 2 4" xfId="10904"/>
    <cellStyle name="Calculation 20 2 2 4 2" xfId="10905"/>
    <cellStyle name="Calculation 20 2 2 4 2 2" xfId="10906"/>
    <cellStyle name="Calculation 20 2 2 4 3" xfId="10907"/>
    <cellStyle name="Calculation 20 2 2 5" xfId="10908"/>
    <cellStyle name="Calculation 20 2 2 5 2" xfId="10909"/>
    <cellStyle name="Calculation 20 2 2 6" xfId="10910"/>
    <cellStyle name="Calculation 20 2 2 6 2" xfId="10911"/>
    <cellStyle name="Calculation 20 2 2 7" xfId="10912"/>
    <cellStyle name="Calculation 20 2 2 7 2" xfId="10913"/>
    <cellStyle name="Calculation 20 2 2 8" xfId="10914"/>
    <cellStyle name="Calculation 20 2 2 8 2" xfId="10915"/>
    <cellStyle name="Calculation 20 2 2 9" xfId="10916"/>
    <cellStyle name="Calculation 20 2 3" xfId="10917"/>
    <cellStyle name="Calculation 20 2 3 2" xfId="10918"/>
    <cellStyle name="Calculation 20 2 3 2 2" xfId="10919"/>
    <cellStyle name="Calculation 20 2 3 2 2 2" xfId="10920"/>
    <cellStyle name="Calculation 20 2 3 2 3" xfId="10921"/>
    <cellStyle name="Calculation 20 2 3 2 4" xfId="10922"/>
    <cellStyle name="Calculation 20 2 3 3" xfId="10923"/>
    <cellStyle name="Calculation 20 2 3 3 2" xfId="10924"/>
    <cellStyle name="Calculation 20 2 3 3 2 2" xfId="10925"/>
    <cellStyle name="Calculation 20 2 3 3 3" xfId="10926"/>
    <cellStyle name="Calculation 20 2 3 4" xfId="10927"/>
    <cellStyle name="Calculation 20 2 3 4 2" xfId="10928"/>
    <cellStyle name="Calculation 20 2 3 5" xfId="10929"/>
    <cellStyle name="Calculation 20 2 3 5 2" xfId="10930"/>
    <cellStyle name="Calculation 20 2 3 6" xfId="10931"/>
    <cellStyle name="Calculation 20 2 3 7" xfId="10932"/>
    <cellStyle name="Calculation 20 2 4" xfId="10933"/>
    <cellStyle name="Calculation 20 2 4 2" xfId="10934"/>
    <cellStyle name="Calculation 20 2 4 3" xfId="10935"/>
    <cellStyle name="Calculation 20 2 5" xfId="10936"/>
    <cellStyle name="Calculation 20 2 5 2" xfId="10937"/>
    <cellStyle name="Calculation 20 2 6" xfId="10938"/>
    <cellStyle name="Calculation 20 2 6 2" xfId="10939"/>
    <cellStyle name="Calculation 20 2 7" xfId="10940"/>
    <cellStyle name="Calculation 20 2 8" xfId="10941"/>
    <cellStyle name="Calculation 20 2 9" xfId="10892"/>
    <cellStyle name="Calculation 20 3" xfId="4207"/>
    <cellStyle name="Calculation 20 3 2" xfId="10943"/>
    <cellStyle name="Calculation 20 3 2 10" xfId="10944"/>
    <cellStyle name="Calculation 20 3 2 2" xfId="10945"/>
    <cellStyle name="Calculation 20 3 2 2 2" xfId="10946"/>
    <cellStyle name="Calculation 20 3 2 2 2 2" xfId="10947"/>
    <cellStyle name="Calculation 20 3 2 2 3" xfId="10948"/>
    <cellStyle name="Calculation 20 3 2 3" xfId="10949"/>
    <cellStyle name="Calculation 20 3 2 3 2" xfId="10950"/>
    <cellStyle name="Calculation 20 3 2 3 2 2" xfId="10951"/>
    <cellStyle name="Calculation 20 3 2 3 3" xfId="10952"/>
    <cellStyle name="Calculation 20 3 2 4" xfId="10953"/>
    <cellStyle name="Calculation 20 3 2 4 2" xfId="10954"/>
    <cellStyle name="Calculation 20 3 2 4 2 2" xfId="10955"/>
    <cellStyle name="Calculation 20 3 2 4 3" xfId="10956"/>
    <cellStyle name="Calculation 20 3 2 5" xfId="10957"/>
    <cellStyle name="Calculation 20 3 2 5 2" xfId="10958"/>
    <cellStyle name="Calculation 20 3 2 6" xfId="10959"/>
    <cellStyle name="Calculation 20 3 2 6 2" xfId="10960"/>
    <cellStyle name="Calculation 20 3 2 7" xfId="10961"/>
    <cellStyle name="Calculation 20 3 2 7 2" xfId="10962"/>
    <cellStyle name="Calculation 20 3 2 8" xfId="10963"/>
    <cellStyle name="Calculation 20 3 2 8 2" xfId="10964"/>
    <cellStyle name="Calculation 20 3 2 9" xfId="10965"/>
    <cellStyle name="Calculation 20 3 3" xfId="10966"/>
    <cellStyle name="Calculation 20 3 3 2" xfId="10967"/>
    <cellStyle name="Calculation 20 3 3 2 2" xfId="10968"/>
    <cellStyle name="Calculation 20 3 3 2 2 2" xfId="10969"/>
    <cellStyle name="Calculation 20 3 3 2 3" xfId="10970"/>
    <cellStyle name="Calculation 20 3 3 3" xfId="10971"/>
    <cellStyle name="Calculation 20 3 3 3 2" xfId="10972"/>
    <cellStyle name="Calculation 20 3 3 3 2 2" xfId="10973"/>
    <cellStyle name="Calculation 20 3 3 3 3" xfId="10974"/>
    <cellStyle name="Calculation 20 3 3 4" xfId="10975"/>
    <cellStyle name="Calculation 20 3 3 4 2" xfId="10976"/>
    <cellStyle name="Calculation 20 3 3 5" xfId="10977"/>
    <cellStyle name="Calculation 20 3 3 5 2" xfId="10978"/>
    <cellStyle name="Calculation 20 3 3 6" xfId="10979"/>
    <cellStyle name="Calculation 20 3 3 7" xfId="10980"/>
    <cellStyle name="Calculation 20 3 4" xfId="10981"/>
    <cellStyle name="Calculation 20 3 4 2" xfId="10982"/>
    <cellStyle name="Calculation 20 3 5" xfId="10983"/>
    <cellStyle name="Calculation 20 3 5 2" xfId="10984"/>
    <cellStyle name="Calculation 20 3 6" xfId="10985"/>
    <cellStyle name="Calculation 20 3 6 2" xfId="10986"/>
    <cellStyle name="Calculation 20 3 7" xfId="10987"/>
    <cellStyle name="Calculation 20 3 8" xfId="10988"/>
    <cellStyle name="Calculation 20 3 9" xfId="10942"/>
    <cellStyle name="Calculation 20 4" xfId="3369"/>
    <cellStyle name="Calculation 20 4 10" xfId="10990"/>
    <cellStyle name="Calculation 20 4 11" xfId="10989"/>
    <cellStyle name="Calculation 20 4 2" xfId="3370"/>
    <cellStyle name="Calculation 20 4 2 2" xfId="10992"/>
    <cellStyle name="Calculation 20 4 2 2 2" xfId="10993"/>
    <cellStyle name="Calculation 20 4 2 3" xfId="10994"/>
    <cellStyle name="Calculation 20 4 2 4" xfId="10995"/>
    <cellStyle name="Calculation 20 4 2 5" xfId="10991"/>
    <cellStyle name="Calculation 20 4 3" xfId="10996"/>
    <cellStyle name="Calculation 20 4 3 2" xfId="10997"/>
    <cellStyle name="Calculation 20 4 3 2 2" xfId="10998"/>
    <cellStyle name="Calculation 20 4 3 3" xfId="10999"/>
    <cellStyle name="Calculation 20 4 4" xfId="11000"/>
    <cellStyle name="Calculation 20 4 4 2" xfId="11001"/>
    <cellStyle name="Calculation 20 4 4 2 2" xfId="11002"/>
    <cellStyle name="Calculation 20 4 4 3" xfId="11003"/>
    <cellStyle name="Calculation 20 4 5" xfId="11004"/>
    <cellStyle name="Calculation 20 4 5 2" xfId="11005"/>
    <cellStyle name="Calculation 20 4 6" xfId="11006"/>
    <cellStyle name="Calculation 20 4 6 2" xfId="11007"/>
    <cellStyle name="Calculation 20 4 7" xfId="11008"/>
    <cellStyle name="Calculation 20 4 7 2" xfId="11009"/>
    <cellStyle name="Calculation 20 4 8" xfId="11010"/>
    <cellStyle name="Calculation 20 4 8 2" xfId="11011"/>
    <cellStyle name="Calculation 20 4 9" xfId="11012"/>
    <cellStyle name="Calculation 20 5" xfId="5149"/>
    <cellStyle name="Calculation 20 5 10" xfId="11014"/>
    <cellStyle name="Calculation 20 5 11" xfId="11013"/>
    <cellStyle name="Calculation 20 5 2" xfId="4208"/>
    <cellStyle name="Calculation 20 5 2 2" xfId="11016"/>
    <cellStyle name="Calculation 20 5 2 2 2" xfId="11017"/>
    <cellStyle name="Calculation 20 5 2 3" xfId="11018"/>
    <cellStyle name="Calculation 20 5 2 4" xfId="11019"/>
    <cellStyle name="Calculation 20 5 2 5" xfId="11015"/>
    <cellStyle name="Calculation 20 5 3" xfId="11020"/>
    <cellStyle name="Calculation 20 5 3 2" xfId="11021"/>
    <cellStyle name="Calculation 20 5 3 2 2" xfId="11022"/>
    <cellStyle name="Calculation 20 5 3 3" xfId="11023"/>
    <cellStyle name="Calculation 20 5 4" xfId="11024"/>
    <cellStyle name="Calculation 20 5 4 2" xfId="11025"/>
    <cellStyle name="Calculation 20 5 4 2 2" xfId="11026"/>
    <cellStyle name="Calculation 20 5 4 3" xfId="11027"/>
    <cellStyle name="Calculation 20 5 5" xfId="11028"/>
    <cellStyle name="Calculation 20 5 5 2" xfId="11029"/>
    <cellStyle name="Calculation 20 5 6" xfId="11030"/>
    <cellStyle name="Calculation 20 5 6 2" xfId="11031"/>
    <cellStyle name="Calculation 20 5 7" xfId="11032"/>
    <cellStyle name="Calculation 20 5 7 2" xfId="11033"/>
    <cellStyle name="Calculation 20 5 8" xfId="11034"/>
    <cellStyle name="Calculation 20 5 8 2" xfId="11035"/>
    <cellStyle name="Calculation 20 5 9" xfId="11036"/>
    <cellStyle name="Calculation 20 6" xfId="4209"/>
    <cellStyle name="Calculation 20 6 2" xfId="11038"/>
    <cellStyle name="Calculation 20 6 2 2" xfId="11039"/>
    <cellStyle name="Calculation 20 6 2 2 2" xfId="11040"/>
    <cellStyle name="Calculation 20 6 2 3" xfId="11041"/>
    <cellStyle name="Calculation 20 6 3" xfId="11042"/>
    <cellStyle name="Calculation 20 6 3 2" xfId="11043"/>
    <cellStyle name="Calculation 20 6 3 2 2" xfId="11044"/>
    <cellStyle name="Calculation 20 6 3 3" xfId="11045"/>
    <cellStyle name="Calculation 20 6 4" xfId="11046"/>
    <cellStyle name="Calculation 20 6 4 2" xfId="11047"/>
    <cellStyle name="Calculation 20 6 5" xfId="11048"/>
    <cellStyle name="Calculation 20 6 5 2" xfId="11049"/>
    <cellStyle name="Calculation 20 6 6" xfId="11050"/>
    <cellStyle name="Calculation 20 6 7" xfId="11051"/>
    <cellStyle name="Calculation 20 6 8" xfId="11037"/>
    <cellStyle name="Calculation 20 7" xfId="4210"/>
    <cellStyle name="Calculation 20 7 2" xfId="11053"/>
    <cellStyle name="Calculation 20 7 3" xfId="11052"/>
    <cellStyle name="Calculation 20 8" xfId="8306"/>
    <cellStyle name="Calculation 20 8 2" xfId="11054"/>
    <cellStyle name="Calculation 20 9" xfId="11055"/>
    <cellStyle name="Calculation 20 9 2" xfId="11056"/>
    <cellStyle name="Calculation 21" xfId="2568"/>
    <cellStyle name="Calculation 21 10" xfId="11057"/>
    <cellStyle name="Calculation 21 11" xfId="11058"/>
    <cellStyle name="Calculation 21 2" xfId="4211"/>
    <cellStyle name="Calculation 21 2 2" xfId="11060"/>
    <cellStyle name="Calculation 21 2 2 10" xfId="11061"/>
    <cellStyle name="Calculation 21 2 2 2" xfId="11062"/>
    <cellStyle name="Calculation 21 2 2 2 2" xfId="11063"/>
    <cellStyle name="Calculation 21 2 2 2 2 2" xfId="11064"/>
    <cellStyle name="Calculation 21 2 2 2 3" xfId="11065"/>
    <cellStyle name="Calculation 21 2 2 2 4" xfId="11066"/>
    <cellStyle name="Calculation 21 2 2 3" xfId="11067"/>
    <cellStyle name="Calculation 21 2 2 3 2" xfId="11068"/>
    <cellStyle name="Calculation 21 2 2 3 2 2" xfId="11069"/>
    <cellStyle name="Calculation 21 2 2 3 3" xfId="11070"/>
    <cellStyle name="Calculation 21 2 2 4" xfId="11071"/>
    <cellStyle name="Calculation 21 2 2 4 2" xfId="11072"/>
    <cellStyle name="Calculation 21 2 2 4 2 2" xfId="11073"/>
    <cellStyle name="Calculation 21 2 2 4 3" xfId="11074"/>
    <cellStyle name="Calculation 21 2 2 5" xfId="11075"/>
    <cellStyle name="Calculation 21 2 2 5 2" xfId="11076"/>
    <cellStyle name="Calculation 21 2 2 6" xfId="11077"/>
    <cellStyle name="Calculation 21 2 2 6 2" xfId="11078"/>
    <cellStyle name="Calculation 21 2 2 7" xfId="11079"/>
    <cellStyle name="Calculation 21 2 2 7 2" xfId="11080"/>
    <cellStyle name="Calculation 21 2 2 8" xfId="11081"/>
    <cellStyle name="Calculation 21 2 2 8 2" xfId="11082"/>
    <cellStyle name="Calculation 21 2 2 9" xfId="11083"/>
    <cellStyle name="Calculation 21 2 3" xfId="11084"/>
    <cellStyle name="Calculation 21 2 3 2" xfId="11085"/>
    <cellStyle name="Calculation 21 2 3 2 2" xfId="11086"/>
    <cellStyle name="Calculation 21 2 3 2 2 2" xfId="11087"/>
    <cellStyle name="Calculation 21 2 3 2 3" xfId="11088"/>
    <cellStyle name="Calculation 21 2 3 2 4" xfId="11089"/>
    <cellStyle name="Calculation 21 2 3 3" xfId="11090"/>
    <cellStyle name="Calculation 21 2 3 3 2" xfId="11091"/>
    <cellStyle name="Calculation 21 2 3 3 2 2" xfId="11092"/>
    <cellStyle name="Calculation 21 2 3 3 3" xfId="11093"/>
    <cellStyle name="Calculation 21 2 3 4" xfId="11094"/>
    <cellStyle name="Calculation 21 2 3 4 2" xfId="11095"/>
    <cellStyle name="Calculation 21 2 3 5" xfId="11096"/>
    <cellStyle name="Calculation 21 2 3 5 2" xfId="11097"/>
    <cellStyle name="Calculation 21 2 3 6" xfId="11098"/>
    <cellStyle name="Calculation 21 2 3 7" xfId="11099"/>
    <cellStyle name="Calculation 21 2 4" xfId="11100"/>
    <cellStyle name="Calculation 21 2 4 2" xfId="11101"/>
    <cellStyle name="Calculation 21 2 4 3" xfId="11102"/>
    <cellStyle name="Calculation 21 2 5" xfId="11103"/>
    <cellStyle name="Calculation 21 2 5 2" xfId="11104"/>
    <cellStyle name="Calculation 21 2 6" xfId="11105"/>
    <cellStyle name="Calculation 21 2 6 2" xfId="11106"/>
    <cellStyle name="Calculation 21 2 7" xfId="11107"/>
    <cellStyle name="Calculation 21 2 8" xfId="11108"/>
    <cellStyle name="Calculation 21 2 9" xfId="11059"/>
    <cellStyle name="Calculation 21 3" xfId="4212"/>
    <cellStyle name="Calculation 21 3 2" xfId="11110"/>
    <cellStyle name="Calculation 21 3 2 10" xfId="11111"/>
    <cellStyle name="Calculation 21 3 2 2" xfId="11112"/>
    <cellStyle name="Calculation 21 3 2 2 2" xfId="11113"/>
    <cellStyle name="Calculation 21 3 2 2 2 2" xfId="11114"/>
    <cellStyle name="Calculation 21 3 2 2 3" xfId="11115"/>
    <cellStyle name="Calculation 21 3 2 3" xfId="11116"/>
    <cellStyle name="Calculation 21 3 2 3 2" xfId="11117"/>
    <cellStyle name="Calculation 21 3 2 3 2 2" xfId="11118"/>
    <cellStyle name="Calculation 21 3 2 3 3" xfId="11119"/>
    <cellStyle name="Calculation 21 3 2 4" xfId="11120"/>
    <cellStyle name="Calculation 21 3 2 4 2" xfId="11121"/>
    <cellStyle name="Calculation 21 3 2 4 2 2" xfId="11122"/>
    <cellStyle name="Calculation 21 3 2 4 3" xfId="11123"/>
    <cellStyle name="Calculation 21 3 2 5" xfId="11124"/>
    <cellStyle name="Calculation 21 3 2 5 2" xfId="11125"/>
    <cellStyle name="Calculation 21 3 2 6" xfId="11126"/>
    <cellStyle name="Calculation 21 3 2 6 2" xfId="11127"/>
    <cellStyle name="Calculation 21 3 2 7" xfId="11128"/>
    <cellStyle name="Calculation 21 3 2 7 2" xfId="11129"/>
    <cellStyle name="Calculation 21 3 2 8" xfId="11130"/>
    <cellStyle name="Calculation 21 3 2 8 2" xfId="11131"/>
    <cellStyle name="Calculation 21 3 2 9" xfId="11132"/>
    <cellStyle name="Calculation 21 3 3" xfId="11133"/>
    <cellStyle name="Calculation 21 3 3 2" xfId="11134"/>
    <cellStyle name="Calculation 21 3 3 2 2" xfId="11135"/>
    <cellStyle name="Calculation 21 3 3 2 2 2" xfId="11136"/>
    <cellStyle name="Calculation 21 3 3 2 3" xfId="11137"/>
    <cellStyle name="Calculation 21 3 3 3" xfId="11138"/>
    <cellStyle name="Calculation 21 3 3 3 2" xfId="11139"/>
    <cellStyle name="Calculation 21 3 3 3 2 2" xfId="11140"/>
    <cellStyle name="Calculation 21 3 3 3 3" xfId="11141"/>
    <cellStyle name="Calculation 21 3 3 4" xfId="11142"/>
    <cellStyle name="Calculation 21 3 3 4 2" xfId="11143"/>
    <cellStyle name="Calculation 21 3 3 5" xfId="11144"/>
    <cellStyle name="Calculation 21 3 3 5 2" xfId="11145"/>
    <cellStyle name="Calculation 21 3 3 6" xfId="11146"/>
    <cellStyle name="Calculation 21 3 3 7" xfId="11147"/>
    <cellStyle name="Calculation 21 3 4" xfId="11148"/>
    <cellStyle name="Calculation 21 3 4 2" xfId="11149"/>
    <cellStyle name="Calculation 21 3 5" xfId="11150"/>
    <cellStyle name="Calculation 21 3 5 2" xfId="11151"/>
    <cellStyle name="Calculation 21 3 6" xfId="11152"/>
    <cellStyle name="Calculation 21 3 6 2" xfId="11153"/>
    <cellStyle name="Calculation 21 3 7" xfId="11154"/>
    <cellStyle name="Calculation 21 3 8" xfId="11155"/>
    <cellStyle name="Calculation 21 3 9" xfId="11109"/>
    <cellStyle name="Calculation 21 4" xfId="4213"/>
    <cellStyle name="Calculation 21 4 10" xfId="11157"/>
    <cellStyle name="Calculation 21 4 11" xfId="11156"/>
    <cellStyle name="Calculation 21 4 2" xfId="4214"/>
    <cellStyle name="Calculation 21 4 2 2" xfId="11159"/>
    <cellStyle name="Calculation 21 4 2 2 2" xfId="11160"/>
    <cellStyle name="Calculation 21 4 2 3" xfId="11161"/>
    <cellStyle name="Calculation 21 4 2 4" xfId="11162"/>
    <cellStyle name="Calculation 21 4 2 5" xfId="11158"/>
    <cellStyle name="Calculation 21 4 3" xfId="11163"/>
    <cellStyle name="Calculation 21 4 3 2" xfId="11164"/>
    <cellStyle name="Calculation 21 4 3 2 2" xfId="11165"/>
    <cellStyle name="Calculation 21 4 3 3" xfId="11166"/>
    <cellStyle name="Calculation 21 4 4" xfId="11167"/>
    <cellStyle name="Calculation 21 4 4 2" xfId="11168"/>
    <cellStyle name="Calculation 21 4 4 2 2" xfId="11169"/>
    <cellStyle name="Calculation 21 4 4 3" xfId="11170"/>
    <cellStyle name="Calculation 21 4 5" xfId="11171"/>
    <cellStyle name="Calculation 21 4 5 2" xfId="11172"/>
    <cellStyle name="Calculation 21 4 6" xfId="11173"/>
    <cellStyle name="Calculation 21 4 6 2" xfId="11174"/>
    <cellStyle name="Calculation 21 4 7" xfId="11175"/>
    <cellStyle name="Calculation 21 4 7 2" xfId="11176"/>
    <cellStyle name="Calculation 21 4 8" xfId="11177"/>
    <cellStyle name="Calculation 21 4 8 2" xfId="11178"/>
    <cellStyle name="Calculation 21 4 9" xfId="11179"/>
    <cellStyle name="Calculation 21 5" xfId="4215"/>
    <cellStyle name="Calculation 21 5 10" xfId="11181"/>
    <cellStyle name="Calculation 21 5 11" xfId="11180"/>
    <cellStyle name="Calculation 21 5 2" xfId="4216"/>
    <cellStyle name="Calculation 21 5 2 2" xfId="11183"/>
    <cellStyle name="Calculation 21 5 2 2 2" xfId="11184"/>
    <cellStyle name="Calculation 21 5 2 3" xfId="11185"/>
    <cellStyle name="Calculation 21 5 2 4" xfId="11186"/>
    <cellStyle name="Calculation 21 5 2 5" xfId="11182"/>
    <cellStyle name="Calculation 21 5 3" xfId="11187"/>
    <cellStyle name="Calculation 21 5 3 2" xfId="11188"/>
    <cellStyle name="Calculation 21 5 3 2 2" xfId="11189"/>
    <cellStyle name="Calculation 21 5 3 3" xfId="11190"/>
    <cellStyle name="Calculation 21 5 4" xfId="11191"/>
    <cellStyle name="Calculation 21 5 4 2" xfId="11192"/>
    <cellStyle name="Calculation 21 5 4 2 2" xfId="11193"/>
    <cellStyle name="Calculation 21 5 4 3" xfId="11194"/>
    <cellStyle name="Calculation 21 5 5" xfId="11195"/>
    <cellStyle name="Calculation 21 5 5 2" xfId="11196"/>
    <cellStyle name="Calculation 21 5 6" xfId="11197"/>
    <cellStyle name="Calculation 21 5 6 2" xfId="11198"/>
    <cellStyle name="Calculation 21 5 7" xfId="11199"/>
    <cellStyle name="Calculation 21 5 7 2" xfId="11200"/>
    <cellStyle name="Calculation 21 5 8" xfId="11201"/>
    <cellStyle name="Calculation 21 5 8 2" xfId="11202"/>
    <cellStyle name="Calculation 21 5 9" xfId="11203"/>
    <cellStyle name="Calculation 21 6" xfId="4217"/>
    <cellStyle name="Calculation 21 6 2" xfId="11205"/>
    <cellStyle name="Calculation 21 6 2 2" xfId="11206"/>
    <cellStyle name="Calculation 21 6 2 2 2" xfId="11207"/>
    <cellStyle name="Calculation 21 6 2 3" xfId="11208"/>
    <cellStyle name="Calculation 21 6 3" xfId="11209"/>
    <cellStyle name="Calculation 21 6 3 2" xfId="11210"/>
    <cellStyle name="Calculation 21 6 3 2 2" xfId="11211"/>
    <cellStyle name="Calculation 21 6 3 3" xfId="11212"/>
    <cellStyle name="Calculation 21 6 4" xfId="11213"/>
    <cellStyle name="Calculation 21 6 4 2" xfId="11214"/>
    <cellStyle name="Calculation 21 6 5" xfId="11215"/>
    <cellStyle name="Calculation 21 6 5 2" xfId="11216"/>
    <cellStyle name="Calculation 21 6 6" xfId="11217"/>
    <cellStyle name="Calculation 21 6 7" xfId="11218"/>
    <cellStyle name="Calculation 21 6 8" xfId="11204"/>
    <cellStyle name="Calculation 21 7" xfId="3371"/>
    <cellStyle name="Calculation 21 7 2" xfId="11220"/>
    <cellStyle name="Calculation 21 7 3" xfId="11219"/>
    <cellStyle name="Calculation 21 8" xfId="8307"/>
    <cellStyle name="Calculation 21 8 2" xfId="11221"/>
    <cellStyle name="Calculation 21 9" xfId="11222"/>
    <cellStyle name="Calculation 21 9 2" xfId="11223"/>
    <cellStyle name="Calculation 22" xfId="2569"/>
    <cellStyle name="Calculation 22 10" xfId="11224"/>
    <cellStyle name="Calculation 22 11" xfId="11225"/>
    <cellStyle name="Calculation 22 2" xfId="3372"/>
    <cellStyle name="Calculation 22 2 2" xfId="11227"/>
    <cellStyle name="Calculation 22 2 2 10" xfId="11228"/>
    <cellStyle name="Calculation 22 2 2 2" xfId="11229"/>
    <cellStyle name="Calculation 22 2 2 2 2" xfId="11230"/>
    <cellStyle name="Calculation 22 2 2 2 2 2" xfId="11231"/>
    <cellStyle name="Calculation 22 2 2 2 3" xfId="11232"/>
    <cellStyle name="Calculation 22 2 2 2 4" xfId="11233"/>
    <cellStyle name="Calculation 22 2 2 3" xfId="11234"/>
    <cellStyle name="Calculation 22 2 2 3 2" xfId="11235"/>
    <cellStyle name="Calculation 22 2 2 3 2 2" xfId="11236"/>
    <cellStyle name="Calculation 22 2 2 3 3" xfId="11237"/>
    <cellStyle name="Calculation 22 2 2 4" xfId="11238"/>
    <cellStyle name="Calculation 22 2 2 4 2" xfId="11239"/>
    <cellStyle name="Calculation 22 2 2 4 2 2" xfId="11240"/>
    <cellStyle name="Calculation 22 2 2 4 3" xfId="11241"/>
    <cellStyle name="Calculation 22 2 2 5" xfId="11242"/>
    <cellStyle name="Calculation 22 2 2 5 2" xfId="11243"/>
    <cellStyle name="Calculation 22 2 2 6" xfId="11244"/>
    <cellStyle name="Calculation 22 2 2 6 2" xfId="11245"/>
    <cellStyle name="Calculation 22 2 2 7" xfId="11246"/>
    <cellStyle name="Calculation 22 2 2 7 2" xfId="11247"/>
    <cellStyle name="Calculation 22 2 2 8" xfId="11248"/>
    <cellStyle name="Calculation 22 2 2 8 2" xfId="11249"/>
    <cellStyle name="Calculation 22 2 2 9" xfId="11250"/>
    <cellStyle name="Calculation 22 2 3" xfId="11251"/>
    <cellStyle name="Calculation 22 2 3 2" xfId="11252"/>
    <cellStyle name="Calculation 22 2 3 2 2" xfId="11253"/>
    <cellStyle name="Calculation 22 2 3 2 2 2" xfId="11254"/>
    <cellStyle name="Calculation 22 2 3 2 3" xfId="11255"/>
    <cellStyle name="Calculation 22 2 3 2 4" xfId="11256"/>
    <cellStyle name="Calculation 22 2 3 3" xfId="11257"/>
    <cellStyle name="Calculation 22 2 3 3 2" xfId="11258"/>
    <cellStyle name="Calculation 22 2 3 3 2 2" xfId="11259"/>
    <cellStyle name="Calculation 22 2 3 3 3" xfId="11260"/>
    <cellStyle name="Calculation 22 2 3 4" xfId="11261"/>
    <cellStyle name="Calculation 22 2 3 4 2" xfId="11262"/>
    <cellStyle name="Calculation 22 2 3 5" xfId="11263"/>
    <cellStyle name="Calculation 22 2 3 5 2" xfId="11264"/>
    <cellStyle name="Calculation 22 2 3 6" xfId="11265"/>
    <cellStyle name="Calculation 22 2 3 7" xfId="11266"/>
    <cellStyle name="Calculation 22 2 4" xfId="11267"/>
    <cellStyle name="Calculation 22 2 4 2" xfId="11268"/>
    <cellStyle name="Calculation 22 2 4 3" xfId="11269"/>
    <cellStyle name="Calculation 22 2 5" xfId="11270"/>
    <cellStyle name="Calculation 22 2 5 2" xfId="11271"/>
    <cellStyle name="Calculation 22 2 6" xfId="11272"/>
    <cellStyle name="Calculation 22 2 6 2" xfId="11273"/>
    <cellStyle name="Calculation 22 2 7" xfId="11274"/>
    <cellStyle name="Calculation 22 2 8" xfId="11275"/>
    <cellStyle name="Calculation 22 2 9" xfId="11226"/>
    <cellStyle name="Calculation 22 3" xfId="3373"/>
    <cellStyle name="Calculation 22 3 2" xfId="11277"/>
    <cellStyle name="Calculation 22 3 2 10" xfId="11278"/>
    <cellStyle name="Calculation 22 3 2 2" xfId="11279"/>
    <cellStyle name="Calculation 22 3 2 2 2" xfId="11280"/>
    <cellStyle name="Calculation 22 3 2 2 2 2" xfId="11281"/>
    <cellStyle name="Calculation 22 3 2 2 3" xfId="11282"/>
    <cellStyle name="Calculation 22 3 2 3" xfId="11283"/>
    <cellStyle name="Calculation 22 3 2 3 2" xfId="11284"/>
    <cellStyle name="Calculation 22 3 2 3 2 2" xfId="11285"/>
    <cellStyle name="Calculation 22 3 2 3 3" xfId="11286"/>
    <cellStyle name="Calculation 22 3 2 4" xfId="11287"/>
    <cellStyle name="Calculation 22 3 2 4 2" xfId="11288"/>
    <cellStyle name="Calculation 22 3 2 4 2 2" xfId="11289"/>
    <cellStyle name="Calculation 22 3 2 4 3" xfId="11290"/>
    <cellStyle name="Calculation 22 3 2 5" xfId="11291"/>
    <cellStyle name="Calculation 22 3 2 5 2" xfId="11292"/>
    <cellStyle name="Calculation 22 3 2 6" xfId="11293"/>
    <cellStyle name="Calculation 22 3 2 6 2" xfId="11294"/>
    <cellStyle name="Calculation 22 3 2 7" xfId="11295"/>
    <cellStyle name="Calculation 22 3 2 7 2" xfId="11296"/>
    <cellStyle name="Calculation 22 3 2 8" xfId="11297"/>
    <cellStyle name="Calculation 22 3 2 8 2" xfId="11298"/>
    <cellStyle name="Calculation 22 3 2 9" xfId="11299"/>
    <cellStyle name="Calculation 22 3 3" xfId="11300"/>
    <cellStyle name="Calculation 22 3 3 2" xfId="11301"/>
    <cellStyle name="Calculation 22 3 3 2 2" xfId="11302"/>
    <cellStyle name="Calculation 22 3 3 2 2 2" xfId="11303"/>
    <cellStyle name="Calculation 22 3 3 2 3" xfId="11304"/>
    <cellStyle name="Calculation 22 3 3 3" xfId="11305"/>
    <cellStyle name="Calculation 22 3 3 3 2" xfId="11306"/>
    <cellStyle name="Calculation 22 3 3 3 2 2" xfId="11307"/>
    <cellStyle name="Calculation 22 3 3 3 3" xfId="11308"/>
    <cellStyle name="Calculation 22 3 3 4" xfId="11309"/>
    <cellStyle name="Calculation 22 3 3 4 2" xfId="11310"/>
    <cellStyle name="Calculation 22 3 3 5" xfId="11311"/>
    <cellStyle name="Calculation 22 3 3 5 2" xfId="11312"/>
    <cellStyle name="Calculation 22 3 3 6" xfId="11313"/>
    <cellStyle name="Calculation 22 3 3 7" xfId="11314"/>
    <cellStyle name="Calculation 22 3 4" xfId="11315"/>
    <cellStyle name="Calculation 22 3 4 2" xfId="11316"/>
    <cellStyle name="Calculation 22 3 5" xfId="11317"/>
    <cellStyle name="Calculation 22 3 5 2" xfId="11318"/>
    <cellStyle name="Calculation 22 3 6" xfId="11319"/>
    <cellStyle name="Calculation 22 3 6 2" xfId="11320"/>
    <cellStyle name="Calculation 22 3 7" xfId="11321"/>
    <cellStyle name="Calculation 22 3 8" xfId="11322"/>
    <cellStyle name="Calculation 22 3 9" xfId="11276"/>
    <cellStyle name="Calculation 22 4" xfId="4218"/>
    <cellStyle name="Calculation 22 4 10" xfId="11324"/>
    <cellStyle name="Calculation 22 4 11" xfId="11323"/>
    <cellStyle name="Calculation 22 4 2" xfId="4219"/>
    <cellStyle name="Calculation 22 4 2 2" xfId="11326"/>
    <cellStyle name="Calculation 22 4 2 2 2" xfId="11327"/>
    <cellStyle name="Calculation 22 4 2 3" xfId="11328"/>
    <cellStyle name="Calculation 22 4 2 4" xfId="11329"/>
    <cellStyle name="Calculation 22 4 2 5" xfId="11325"/>
    <cellStyle name="Calculation 22 4 3" xfId="11330"/>
    <cellStyle name="Calculation 22 4 3 2" xfId="11331"/>
    <cellStyle name="Calculation 22 4 3 2 2" xfId="11332"/>
    <cellStyle name="Calculation 22 4 3 3" xfId="11333"/>
    <cellStyle name="Calculation 22 4 4" xfId="11334"/>
    <cellStyle name="Calculation 22 4 4 2" xfId="11335"/>
    <cellStyle name="Calculation 22 4 4 2 2" xfId="11336"/>
    <cellStyle name="Calculation 22 4 4 3" xfId="11337"/>
    <cellStyle name="Calculation 22 4 5" xfId="11338"/>
    <cellStyle name="Calculation 22 4 5 2" xfId="11339"/>
    <cellStyle name="Calculation 22 4 6" xfId="11340"/>
    <cellStyle name="Calculation 22 4 6 2" xfId="11341"/>
    <cellStyle name="Calculation 22 4 7" xfId="11342"/>
    <cellStyle name="Calculation 22 4 7 2" xfId="11343"/>
    <cellStyle name="Calculation 22 4 8" xfId="11344"/>
    <cellStyle name="Calculation 22 4 8 2" xfId="11345"/>
    <cellStyle name="Calculation 22 4 9" xfId="11346"/>
    <cellStyle name="Calculation 22 5" xfId="4220"/>
    <cellStyle name="Calculation 22 5 10" xfId="11348"/>
    <cellStyle name="Calculation 22 5 11" xfId="11347"/>
    <cellStyle name="Calculation 22 5 2" xfId="4221"/>
    <cellStyle name="Calculation 22 5 2 2" xfId="11350"/>
    <cellStyle name="Calculation 22 5 2 2 2" xfId="11351"/>
    <cellStyle name="Calculation 22 5 2 3" xfId="11352"/>
    <cellStyle name="Calculation 22 5 2 4" xfId="11353"/>
    <cellStyle name="Calculation 22 5 2 5" xfId="11349"/>
    <cellStyle name="Calculation 22 5 3" xfId="11354"/>
    <cellStyle name="Calculation 22 5 3 2" xfId="11355"/>
    <cellStyle name="Calculation 22 5 3 2 2" xfId="11356"/>
    <cellStyle name="Calculation 22 5 3 3" xfId="11357"/>
    <cellStyle name="Calculation 22 5 4" xfId="11358"/>
    <cellStyle name="Calculation 22 5 4 2" xfId="11359"/>
    <cellStyle name="Calculation 22 5 4 2 2" xfId="11360"/>
    <cellStyle name="Calculation 22 5 4 3" xfId="11361"/>
    <cellStyle name="Calculation 22 5 5" xfId="11362"/>
    <cellStyle name="Calculation 22 5 5 2" xfId="11363"/>
    <cellStyle name="Calculation 22 5 6" xfId="11364"/>
    <cellStyle name="Calculation 22 5 6 2" xfId="11365"/>
    <cellStyle name="Calculation 22 5 7" xfId="11366"/>
    <cellStyle name="Calculation 22 5 7 2" xfId="11367"/>
    <cellStyle name="Calculation 22 5 8" xfId="11368"/>
    <cellStyle name="Calculation 22 5 8 2" xfId="11369"/>
    <cellStyle name="Calculation 22 5 9" xfId="11370"/>
    <cellStyle name="Calculation 22 6" xfId="5150"/>
    <cellStyle name="Calculation 22 6 2" xfId="11372"/>
    <cellStyle name="Calculation 22 6 2 2" xfId="11373"/>
    <cellStyle name="Calculation 22 6 2 2 2" xfId="11374"/>
    <cellStyle name="Calculation 22 6 2 3" xfId="11375"/>
    <cellStyle name="Calculation 22 6 3" xfId="11376"/>
    <cellStyle name="Calculation 22 6 3 2" xfId="11377"/>
    <cellStyle name="Calculation 22 6 3 2 2" xfId="11378"/>
    <cellStyle name="Calculation 22 6 3 3" xfId="11379"/>
    <cellStyle name="Calculation 22 6 4" xfId="11380"/>
    <cellStyle name="Calculation 22 6 4 2" xfId="11381"/>
    <cellStyle name="Calculation 22 6 5" xfId="11382"/>
    <cellStyle name="Calculation 22 6 5 2" xfId="11383"/>
    <cellStyle name="Calculation 22 6 6" xfId="11384"/>
    <cellStyle name="Calculation 22 6 7" xfId="11385"/>
    <cellStyle name="Calculation 22 6 8" xfId="11371"/>
    <cellStyle name="Calculation 22 7" xfId="3374"/>
    <cellStyle name="Calculation 22 7 2" xfId="11387"/>
    <cellStyle name="Calculation 22 7 3" xfId="11386"/>
    <cellStyle name="Calculation 22 8" xfId="8308"/>
    <cellStyle name="Calculation 22 8 2" xfId="11388"/>
    <cellStyle name="Calculation 22 9" xfId="11389"/>
    <cellStyle name="Calculation 22 9 2" xfId="11390"/>
    <cellStyle name="Calculation 23" xfId="2570"/>
    <cellStyle name="Calculation 23 10" xfId="11391"/>
    <cellStyle name="Calculation 23 11" xfId="11392"/>
    <cellStyle name="Calculation 23 2" xfId="3375"/>
    <cellStyle name="Calculation 23 2 2" xfId="11394"/>
    <cellStyle name="Calculation 23 2 2 10" xfId="11395"/>
    <cellStyle name="Calculation 23 2 2 2" xfId="11396"/>
    <cellStyle name="Calculation 23 2 2 2 2" xfId="11397"/>
    <cellStyle name="Calculation 23 2 2 2 2 2" xfId="11398"/>
    <cellStyle name="Calculation 23 2 2 2 3" xfId="11399"/>
    <cellStyle name="Calculation 23 2 2 2 4" xfId="11400"/>
    <cellStyle name="Calculation 23 2 2 3" xfId="11401"/>
    <cellStyle name="Calculation 23 2 2 3 2" xfId="11402"/>
    <cellStyle name="Calculation 23 2 2 3 2 2" xfId="11403"/>
    <cellStyle name="Calculation 23 2 2 3 3" xfId="11404"/>
    <cellStyle name="Calculation 23 2 2 4" xfId="11405"/>
    <cellStyle name="Calculation 23 2 2 4 2" xfId="11406"/>
    <cellStyle name="Calculation 23 2 2 4 2 2" xfId="11407"/>
    <cellStyle name="Calculation 23 2 2 4 3" xfId="11408"/>
    <cellStyle name="Calculation 23 2 2 5" xfId="11409"/>
    <cellStyle name="Calculation 23 2 2 5 2" xfId="11410"/>
    <cellStyle name="Calculation 23 2 2 6" xfId="11411"/>
    <cellStyle name="Calculation 23 2 2 6 2" xfId="11412"/>
    <cellStyle name="Calculation 23 2 2 7" xfId="11413"/>
    <cellStyle name="Calculation 23 2 2 7 2" xfId="11414"/>
    <cellStyle name="Calculation 23 2 2 8" xfId="11415"/>
    <cellStyle name="Calculation 23 2 2 8 2" xfId="11416"/>
    <cellStyle name="Calculation 23 2 2 9" xfId="11417"/>
    <cellStyle name="Calculation 23 2 3" xfId="11418"/>
    <cellStyle name="Calculation 23 2 3 2" xfId="11419"/>
    <cellStyle name="Calculation 23 2 3 2 2" xfId="11420"/>
    <cellStyle name="Calculation 23 2 3 2 2 2" xfId="11421"/>
    <cellStyle name="Calculation 23 2 3 2 3" xfId="11422"/>
    <cellStyle name="Calculation 23 2 3 2 4" xfId="11423"/>
    <cellStyle name="Calculation 23 2 3 3" xfId="11424"/>
    <cellStyle name="Calculation 23 2 3 3 2" xfId="11425"/>
    <cellStyle name="Calculation 23 2 3 3 2 2" xfId="11426"/>
    <cellStyle name="Calculation 23 2 3 3 3" xfId="11427"/>
    <cellStyle name="Calculation 23 2 3 4" xfId="11428"/>
    <cellStyle name="Calculation 23 2 3 4 2" xfId="11429"/>
    <cellStyle name="Calculation 23 2 3 5" xfId="11430"/>
    <cellStyle name="Calculation 23 2 3 5 2" xfId="11431"/>
    <cellStyle name="Calculation 23 2 3 6" xfId="11432"/>
    <cellStyle name="Calculation 23 2 3 7" xfId="11433"/>
    <cellStyle name="Calculation 23 2 4" xfId="11434"/>
    <cellStyle name="Calculation 23 2 4 2" xfId="11435"/>
    <cellStyle name="Calculation 23 2 4 3" xfId="11436"/>
    <cellStyle name="Calculation 23 2 5" xfId="11437"/>
    <cellStyle name="Calculation 23 2 5 2" xfId="11438"/>
    <cellStyle name="Calculation 23 2 6" xfId="11439"/>
    <cellStyle name="Calculation 23 2 6 2" xfId="11440"/>
    <cellStyle name="Calculation 23 2 7" xfId="11441"/>
    <cellStyle name="Calculation 23 2 8" xfId="11442"/>
    <cellStyle name="Calculation 23 2 9" xfId="11393"/>
    <cellStyle name="Calculation 23 3" xfId="4222"/>
    <cellStyle name="Calculation 23 3 2" xfId="11444"/>
    <cellStyle name="Calculation 23 3 2 10" xfId="11445"/>
    <cellStyle name="Calculation 23 3 2 2" xfId="11446"/>
    <cellStyle name="Calculation 23 3 2 2 2" xfId="11447"/>
    <cellStyle name="Calculation 23 3 2 2 2 2" xfId="11448"/>
    <cellStyle name="Calculation 23 3 2 2 3" xfId="11449"/>
    <cellStyle name="Calculation 23 3 2 3" xfId="11450"/>
    <cellStyle name="Calculation 23 3 2 3 2" xfId="11451"/>
    <cellStyle name="Calculation 23 3 2 3 2 2" xfId="11452"/>
    <cellStyle name="Calculation 23 3 2 3 3" xfId="11453"/>
    <cellStyle name="Calculation 23 3 2 4" xfId="11454"/>
    <cellStyle name="Calculation 23 3 2 4 2" xfId="11455"/>
    <cellStyle name="Calculation 23 3 2 4 2 2" xfId="11456"/>
    <cellStyle name="Calculation 23 3 2 4 3" xfId="11457"/>
    <cellStyle name="Calculation 23 3 2 5" xfId="11458"/>
    <cellStyle name="Calculation 23 3 2 5 2" xfId="11459"/>
    <cellStyle name="Calculation 23 3 2 6" xfId="11460"/>
    <cellStyle name="Calculation 23 3 2 6 2" xfId="11461"/>
    <cellStyle name="Calculation 23 3 2 7" xfId="11462"/>
    <cellStyle name="Calculation 23 3 2 7 2" xfId="11463"/>
    <cellStyle name="Calculation 23 3 2 8" xfId="11464"/>
    <cellStyle name="Calculation 23 3 2 8 2" xfId="11465"/>
    <cellStyle name="Calculation 23 3 2 9" xfId="11466"/>
    <cellStyle name="Calculation 23 3 3" xfId="11467"/>
    <cellStyle name="Calculation 23 3 3 2" xfId="11468"/>
    <cellStyle name="Calculation 23 3 3 2 2" xfId="11469"/>
    <cellStyle name="Calculation 23 3 3 2 2 2" xfId="11470"/>
    <cellStyle name="Calculation 23 3 3 2 3" xfId="11471"/>
    <cellStyle name="Calculation 23 3 3 3" xfId="11472"/>
    <cellStyle name="Calculation 23 3 3 3 2" xfId="11473"/>
    <cellStyle name="Calculation 23 3 3 3 2 2" xfId="11474"/>
    <cellStyle name="Calculation 23 3 3 3 3" xfId="11475"/>
    <cellStyle name="Calculation 23 3 3 4" xfId="11476"/>
    <cellStyle name="Calculation 23 3 3 4 2" xfId="11477"/>
    <cellStyle name="Calculation 23 3 3 5" xfId="11478"/>
    <cellStyle name="Calculation 23 3 3 5 2" xfId="11479"/>
    <cellStyle name="Calculation 23 3 3 6" xfId="11480"/>
    <cellStyle name="Calculation 23 3 3 7" xfId="11481"/>
    <cellStyle name="Calculation 23 3 4" xfId="11482"/>
    <cellStyle name="Calculation 23 3 4 2" xfId="11483"/>
    <cellStyle name="Calculation 23 3 5" xfId="11484"/>
    <cellStyle name="Calculation 23 3 5 2" xfId="11485"/>
    <cellStyle name="Calculation 23 3 6" xfId="11486"/>
    <cellStyle name="Calculation 23 3 6 2" xfId="11487"/>
    <cellStyle name="Calculation 23 3 7" xfId="11488"/>
    <cellStyle name="Calculation 23 3 8" xfId="11489"/>
    <cellStyle name="Calculation 23 3 9" xfId="11443"/>
    <cellStyle name="Calculation 23 4" xfId="4223"/>
    <cellStyle name="Calculation 23 4 10" xfId="11491"/>
    <cellStyle name="Calculation 23 4 11" xfId="11490"/>
    <cellStyle name="Calculation 23 4 2" xfId="4224"/>
    <cellStyle name="Calculation 23 4 2 2" xfId="11493"/>
    <cellStyle name="Calculation 23 4 2 2 2" xfId="11494"/>
    <cellStyle name="Calculation 23 4 2 3" xfId="11495"/>
    <cellStyle name="Calculation 23 4 2 4" xfId="11496"/>
    <cellStyle name="Calculation 23 4 2 5" xfId="11492"/>
    <cellStyle name="Calculation 23 4 3" xfId="11497"/>
    <cellStyle name="Calculation 23 4 3 2" xfId="11498"/>
    <cellStyle name="Calculation 23 4 3 2 2" xfId="11499"/>
    <cellStyle name="Calculation 23 4 3 3" xfId="11500"/>
    <cellStyle name="Calculation 23 4 4" xfId="11501"/>
    <cellStyle name="Calculation 23 4 4 2" xfId="11502"/>
    <cellStyle name="Calculation 23 4 4 2 2" xfId="11503"/>
    <cellStyle name="Calculation 23 4 4 3" xfId="11504"/>
    <cellStyle name="Calculation 23 4 5" xfId="11505"/>
    <cellStyle name="Calculation 23 4 5 2" xfId="11506"/>
    <cellStyle name="Calculation 23 4 6" xfId="11507"/>
    <cellStyle name="Calculation 23 4 6 2" xfId="11508"/>
    <cellStyle name="Calculation 23 4 7" xfId="11509"/>
    <cellStyle name="Calculation 23 4 7 2" xfId="11510"/>
    <cellStyle name="Calculation 23 4 8" xfId="11511"/>
    <cellStyle name="Calculation 23 4 8 2" xfId="11512"/>
    <cellStyle name="Calculation 23 4 9" xfId="11513"/>
    <cellStyle name="Calculation 23 5" xfId="5447"/>
    <cellStyle name="Calculation 23 5 10" xfId="11515"/>
    <cellStyle name="Calculation 23 5 11" xfId="11514"/>
    <cellStyle name="Calculation 23 5 2" xfId="4225"/>
    <cellStyle name="Calculation 23 5 2 2" xfId="11517"/>
    <cellStyle name="Calculation 23 5 2 2 2" xfId="11518"/>
    <cellStyle name="Calculation 23 5 2 3" xfId="11519"/>
    <cellStyle name="Calculation 23 5 2 4" xfId="11520"/>
    <cellStyle name="Calculation 23 5 2 5" xfId="11516"/>
    <cellStyle name="Calculation 23 5 3" xfId="11521"/>
    <cellStyle name="Calculation 23 5 3 2" xfId="11522"/>
    <cellStyle name="Calculation 23 5 3 2 2" xfId="11523"/>
    <cellStyle name="Calculation 23 5 3 3" xfId="11524"/>
    <cellStyle name="Calculation 23 5 4" xfId="11525"/>
    <cellStyle name="Calculation 23 5 4 2" xfId="11526"/>
    <cellStyle name="Calculation 23 5 4 2 2" xfId="11527"/>
    <cellStyle name="Calculation 23 5 4 3" xfId="11528"/>
    <cellStyle name="Calculation 23 5 5" xfId="11529"/>
    <cellStyle name="Calculation 23 5 5 2" xfId="11530"/>
    <cellStyle name="Calculation 23 5 6" xfId="11531"/>
    <cellStyle name="Calculation 23 5 6 2" xfId="11532"/>
    <cellStyle name="Calculation 23 5 7" xfId="11533"/>
    <cellStyle name="Calculation 23 5 7 2" xfId="11534"/>
    <cellStyle name="Calculation 23 5 8" xfId="11535"/>
    <cellStyle name="Calculation 23 5 8 2" xfId="11536"/>
    <cellStyle name="Calculation 23 5 9" xfId="11537"/>
    <cellStyle name="Calculation 23 6" xfId="4226"/>
    <cellStyle name="Calculation 23 6 2" xfId="11539"/>
    <cellStyle name="Calculation 23 6 2 2" xfId="11540"/>
    <cellStyle name="Calculation 23 6 2 2 2" xfId="11541"/>
    <cellStyle name="Calculation 23 6 2 3" xfId="11542"/>
    <cellStyle name="Calculation 23 6 3" xfId="11543"/>
    <cellStyle name="Calculation 23 6 3 2" xfId="11544"/>
    <cellStyle name="Calculation 23 6 3 2 2" xfId="11545"/>
    <cellStyle name="Calculation 23 6 3 3" xfId="11546"/>
    <cellStyle name="Calculation 23 6 4" xfId="11547"/>
    <cellStyle name="Calculation 23 6 4 2" xfId="11548"/>
    <cellStyle name="Calculation 23 6 5" xfId="11549"/>
    <cellStyle name="Calculation 23 6 5 2" xfId="11550"/>
    <cellStyle name="Calculation 23 6 6" xfId="11551"/>
    <cellStyle name="Calculation 23 6 7" xfId="11552"/>
    <cellStyle name="Calculation 23 6 8" xfId="11538"/>
    <cellStyle name="Calculation 23 7" xfId="3376"/>
    <cellStyle name="Calculation 23 7 2" xfId="11554"/>
    <cellStyle name="Calculation 23 7 3" xfId="11553"/>
    <cellStyle name="Calculation 23 8" xfId="8309"/>
    <cellStyle name="Calculation 23 8 2" xfId="11555"/>
    <cellStyle name="Calculation 23 9" xfId="11556"/>
    <cellStyle name="Calculation 23 9 2" xfId="11557"/>
    <cellStyle name="Calculation 24" xfId="2571"/>
    <cellStyle name="Calculation 24 10" xfId="11558"/>
    <cellStyle name="Calculation 24 11" xfId="11559"/>
    <cellStyle name="Calculation 24 2" xfId="4227"/>
    <cellStyle name="Calculation 24 2 2" xfId="11561"/>
    <cellStyle name="Calculation 24 2 2 10" xfId="11562"/>
    <cellStyle name="Calculation 24 2 2 2" xfId="11563"/>
    <cellStyle name="Calculation 24 2 2 2 2" xfId="11564"/>
    <cellStyle name="Calculation 24 2 2 2 2 2" xfId="11565"/>
    <cellStyle name="Calculation 24 2 2 2 3" xfId="11566"/>
    <cellStyle name="Calculation 24 2 2 2 4" xfId="11567"/>
    <cellStyle name="Calculation 24 2 2 3" xfId="11568"/>
    <cellStyle name="Calculation 24 2 2 3 2" xfId="11569"/>
    <cellStyle name="Calculation 24 2 2 3 2 2" xfId="11570"/>
    <cellStyle name="Calculation 24 2 2 3 3" xfId="11571"/>
    <cellStyle name="Calculation 24 2 2 4" xfId="11572"/>
    <cellStyle name="Calculation 24 2 2 4 2" xfId="11573"/>
    <cellStyle name="Calculation 24 2 2 4 2 2" xfId="11574"/>
    <cellStyle name="Calculation 24 2 2 4 3" xfId="11575"/>
    <cellStyle name="Calculation 24 2 2 5" xfId="11576"/>
    <cellStyle name="Calculation 24 2 2 5 2" xfId="11577"/>
    <cellStyle name="Calculation 24 2 2 6" xfId="11578"/>
    <cellStyle name="Calculation 24 2 2 6 2" xfId="11579"/>
    <cellStyle name="Calculation 24 2 2 7" xfId="11580"/>
    <cellStyle name="Calculation 24 2 2 7 2" xfId="11581"/>
    <cellStyle name="Calculation 24 2 2 8" xfId="11582"/>
    <cellStyle name="Calculation 24 2 2 8 2" xfId="11583"/>
    <cellStyle name="Calculation 24 2 2 9" xfId="11584"/>
    <cellStyle name="Calculation 24 2 3" xfId="11585"/>
    <cellStyle name="Calculation 24 2 3 2" xfId="11586"/>
    <cellStyle name="Calculation 24 2 3 2 2" xfId="11587"/>
    <cellStyle name="Calculation 24 2 3 2 2 2" xfId="11588"/>
    <cellStyle name="Calculation 24 2 3 2 3" xfId="11589"/>
    <cellStyle name="Calculation 24 2 3 2 4" xfId="11590"/>
    <cellStyle name="Calculation 24 2 3 3" xfId="11591"/>
    <cellStyle name="Calculation 24 2 3 3 2" xfId="11592"/>
    <cellStyle name="Calculation 24 2 3 3 2 2" xfId="11593"/>
    <cellStyle name="Calculation 24 2 3 3 3" xfId="11594"/>
    <cellStyle name="Calculation 24 2 3 4" xfId="11595"/>
    <cellStyle name="Calculation 24 2 3 4 2" xfId="11596"/>
    <cellStyle name="Calculation 24 2 3 5" xfId="11597"/>
    <cellStyle name="Calculation 24 2 3 5 2" xfId="11598"/>
    <cellStyle name="Calculation 24 2 3 6" xfId="11599"/>
    <cellStyle name="Calculation 24 2 3 7" xfId="11600"/>
    <cellStyle name="Calculation 24 2 4" xfId="11601"/>
    <cellStyle name="Calculation 24 2 4 2" xfId="11602"/>
    <cellStyle name="Calculation 24 2 4 3" xfId="11603"/>
    <cellStyle name="Calculation 24 2 5" xfId="11604"/>
    <cellStyle name="Calculation 24 2 5 2" xfId="11605"/>
    <cellStyle name="Calculation 24 2 6" xfId="11606"/>
    <cellStyle name="Calculation 24 2 6 2" xfId="11607"/>
    <cellStyle name="Calculation 24 2 7" xfId="11608"/>
    <cellStyle name="Calculation 24 2 8" xfId="11609"/>
    <cellStyle name="Calculation 24 2 9" xfId="11560"/>
    <cellStyle name="Calculation 24 3" xfId="3219"/>
    <cellStyle name="Calculation 24 3 2" xfId="11611"/>
    <cellStyle name="Calculation 24 3 2 10" xfId="11612"/>
    <cellStyle name="Calculation 24 3 2 2" xfId="11613"/>
    <cellStyle name="Calculation 24 3 2 2 2" xfId="11614"/>
    <cellStyle name="Calculation 24 3 2 2 2 2" xfId="11615"/>
    <cellStyle name="Calculation 24 3 2 2 3" xfId="11616"/>
    <cellStyle name="Calculation 24 3 2 3" xfId="11617"/>
    <cellStyle name="Calculation 24 3 2 3 2" xfId="11618"/>
    <cellStyle name="Calculation 24 3 2 3 2 2" xfId="11619"/>
    <cellStyle name="Calculation 24 3 2 3 3" xfId="11620"/>
    <cellStyle name="Calculation 24 3 2 4" xfId="11621"/>
    <cellStyle name="Calculation 24 3 2 4 2" xfId="11622"/>
    <cellStyle name="Calculation 24 3 2 4 2 2" xfId="11623"/>
    <cellStyle name="Calculation 24 3 2 4 3" xfId="11624"/>
    <cellStyle name="Calculation 24 3 2 5" xfId="11625"/>
    <cellStyle name="Calculation 24 3 2 5 2" xfId="11626"/>
    <cellStyle name="Calculation 24 3 2 6" xfId="11627"/>
    <cellStyle name="Calculation 24 3 2 6 2" xfId="11628"/>
    <cellStyle name="Calculation 24 3 2 7" xfId="11629"/>
    <cellStyle name="Calculation 24 3 2 7 2" xfId="11630"/>
    <cellStyle name="Calculation 24 3 2 8" xfId="11631"/>
    <cellStyle name="Calculation 24 3 2 8 2" xfId="11632"/>
    <cellStyle name="Calculation 24 3 2 9" xfId="11633"/>
    <cellStyle name="Calculation 24 3 3" xfId="11634"/>
    <cellStyle name="Calculation 24 3 3 2" xfId="11635"/>
    <cellStyle name="Calculation 24 3 3 2 2" xfId="11636"/>
    <cellStyle name="Calculation 24 3 3 2 2 2" xfId="11637"/>
    <cellStyle name="Calculation 24 3 3 2 3" xfId="11638"/>
    <cellStyle name="Calculation 24 3 3 3" xfId="11639"/>
    <cellStyle name="Calculation 24 3 3 3 2" xfId="11640"/>
    <cellStyle name="Calculation 24 3 3 3 2 2" xfId="11641"/>
    <cellStyle name="Calculation 24 3 3 3 3" xfId="11642"/>
    <cellStyle name="Calculation 24 3 3 4" xfId="11643"/>
    <cellStyle name="Calculation 24 3 3 4 2" xfId="11644"/>
    <cellStyle name="Calculation 24 3 3 5" xfId="11645"/>
    <cellStyle name="Calculation 24 3 3 5 2" xfId="11646"/>
    <cellStyle name="Calculation 24 3 3 6" xfId="11647"/>
    <cellStyle name="Calculation 24 3 3 7" xfId="11648"/>
    <cellStyle name="Calculation 24 3 4" xfId="11649"/>
    <cellStyle name="Calculation 24 3 4 2" xfId="11650"/>
    <cellStyle name="Calculation 24 3 5" xfId="11651"/>
    <cellStyle name="Calculation 24 3 5 2" xfId="11652"/>
    <cellStyle name="Calculation 24 3 6" xfId="11653"/>
    <cellStyle name="Calculation 24 3 6 2" xfId="11654"/>
    <cellStyle name="Calculation 24 3 7" xfId="11655"/>
    <cellStyle name="Calculation 24 3 8" xfId="11656"/>
    <cellStyle name="Calculation 24 3 9" xfId="11610"/>
    <cellStyle name="Calculation 24 4" xfId="4228"/>
    <cellStyle name="Calculation 24 4 10" xfId="11658"/>
    <cellStyle name="Calculation 24 4 11" xfId="11657"/>
    <cellStyle name="Calculation 24 4 2" xfId="4229"/>
    <cellStyle name="Calculation 24 4 2 2" xfId="11660"/>
    <cellStyle name="Calculation 24 4 2 2 2" xfId="11661"/>
    <cellStyle name="Calculation 24 4 2 3" xfId="11662"/>
    <cellStyle name="Calculation 24 4 2 4" xfId="11663"/>
    <cellStyle name="Calculation 24 4 2 5" xfId="11659"/>
    <cellStyle name="Calculation 24 4 3" xfId="11664"/>
    <cellStyle name="Calculation 24 4 3 2" xfId="11665"/>
    <cellStyle name="Calculation 24 4 3 2 2" xfId="11666"/>
    <cellStyle name="Calculation 24 4 3 3" xfId="11667"/>
    <cellStyle name="Calculation 24 4 4" xfId="11668"/>
    <cellStyle name="Calculation 24 4 4 2" xfId="11669"/>
    <cellStyle name="Calculation 24 4 4 2 2" xfId="11670"/>
    <cellStyle name="Calculation 24 4 4 3" xfId="11671"/>
    <cellStyle name="Calculation 24 4 5" xfId="11672"/>
    <cellStyle name="Calculation 24 4 5 2" xfId="11673"/>
    <cellStyle name="Calculation 24 4 6" xfId="11674"/>
    <cellStyle name="Calculation 24 4 6 2" xfId="11675"/>
    <cellStyle name="Calculation 24 4 7" xfId="11676"/>
    <cellStyle name="Calculation 24 4 7 2" xfId="11677"/>
    <cellStyle name="Calculation 24 4 8" xfId="11678"/>
    <cellStyle name="Calculation 24 4 8 2" xfId="11679"/>
    <cellStyle name="Calculation 24 4 9" xfId="11680"/>
    <cellStyle name="Calculation 24 5" xfId="3377"/>
    <cellStyle name="Calculation 24 5 10" xfId="11682"/>
    <cellStyle name="Calculation 24 5 11" xfId="11681"/>
    <cellStyle name="Calculation 24 5 2" xfId="4230"/>
    <cellStyle name="Calculation 24 5 2 2" xfId="11684"/>
    <cellStyle name="Calculation 24 5 2 2 2" xfId="11685"/>
    <cellStyle name="Calculation 24 5 2 3" xfId="11686"/>
    <cellStyle name="Calculation 24 5 2 4" xfId="11687"/>
    <cellStyle name="Calculation 24 5 2 5" xfId="11683"/>
    <cellStyle name="Calculation 24 5 3" xfId="11688"/>
    <cellStyle name="Calculation 24 5 3 2" xfId="11689"/>
    <cellStyle name="Calculation 24 5 3 2 2" xfId="11690"/>
    <cellStyle name="Calculation 24 5 3 3" xfId="11691"/>
    <cellStyle name="Calculation 24 5 4" xfId="11692"/>
    <cellStyle name="Calculation 24 5 4 2" xfId="11693"/>
    <cellStyle name="Calculation 24 5 4 2 2" xfId="11694"/>
    <cellStyle name="Calculation 24 5 4 3" xfId="11695"/>
    <cellStyle name="Calculation 24 5 5" xfId="11696"/>
    <cellStyle name="Calculation 24 5 5 2" xfId="11697"/>
    <cellStyle name="Calculation 24 5 6" xfId="11698"/>
    <cellStyle name="Calculation 24 5 6 2" xfId="11699"/>
    <cellStyle name="Calculation 24 5 7" xfId="11700"/>
    <cellStyle name="Calculation 24 5 7 2" xfId="11701"/>
    <cellStyle name="Calculation 24 5 8" xfId="11702"/>
    <cellStyle name="Calculation 24 5 8 2" xfId="11703"/>
    <cellStyle name="Calculation 24 5 9" xfId="11704"/>
    <cellStyle name="Calculation 24 6" xfId="3220"/>
    <cellStyle name="Calculation 24 6 2" xfId="11706"/>
    <cellStyle name="Calculation 24 6 2 2" xfId="11707"/>
    <cellStyle name="Calculation 24 6 2 2 2" xfId="11708"/>
    <cellStyle name="Calculation 24 6 2 3" xfId="11709"/>
    <cellStyle name="Calculation 24 6 3" xfId="11710"/>
    <cellStyle name="Calculation 24 6 3 2" xfId="11711"/>
    <cellStyle name="Calculation 24 6 3 2 2" xfId="11712"/>
    <cellStyle name="Calculation 24 6 3 3" xfId="11713"/>
    <cellStyle name="Calculation 24 6 4" xfId="11714"/>
    <cellStyle name="Calculation 24 6 4 2" xfId="11715"/>
    <cellStyle name="Calculation 24 6 5" xfId="11716"/>
    <cellStyle name="Calculation 24 6 5 2" xfId="11717"/>
    <cellStyle name="Calculation 24 6 6" xfId="11718"/>
    <cellStyle name="Calculation 24 6 7" xfId="11719"/>
    <cellStyle name="Calculation 24 6 8" xfId="11705"/>
    <cellStyle name="Calculation 24 7" xfId="4231"/>
    <cellStyle name="Calculation 24 7 2" xfId="11721"/>
    <cellStyle name="Calculation 24 7 3" xfId="11720"/>
    <cellStyle name="Calculation 24 8" xfId="8310"/>
    <cellStyle name="Calculation 24 8 2" xfId="11722"/>
    <cellStyle name="Calculation 24 9" xfId="11723"/>
    <cellStyle name="Calculation 24 9 2" xfId="11724"/>
    <cellStyle name="Calculation 25" xfId="2572"/>
    <cellStyle name="Calculation 25 10" xfId="11725"/>
    <cellStyle name="Calculation 25 11" xfId="11726"/>
    <cellStyle name="Calculation 25 2" xfId="4232"/>
    <cellStyle name="Calculation 25 2 2" xfId="11728"/>
    <cellStyle name="Calculation 25 2 2 10" xfId="11729"/>
    <cellStyle name="Calculation 25 2 2 2" xfId="11730"/>
    <cellStyle name="Calculation 25 2 2 2 2" xfId="11731"/>
    <cellStyle name="Calculation 25 2 2 2 2 2" xfId="11732"/>
    <cellStyle name="Calculation 25 2 2 2 3" xfId="11733"/>
    <cellStyle name="Calculation 25 2 2 2 4" xfId="11734"/>
    <cellStyle name="Calculation 25 2 2 3" xfId="11735"/>
    <cellStyle name="Calculation 25 2 2 3 2" xfId="11736"/>
    <cellStyle name="Calculation 25 2 2 3 2 2" xfId="11737"/>
    <cellStyle name="Calculation 25 2 2 3 3" xfId="11738"/>
    <cellStyle name="Calculation 25 2 2 4" xfId="11739"/>
    <cellStyle name="Calculation 25 2 2 4 2" xfId="11740"/>
    <cellStyle name="Calculation 25 2 2 4 2 2" xfId="11741"/>
    <cellStyle name="Calculation 25 2 2 4 3" xfId="11742"/>
    <cellStyle name="Calculation 25 2 2 5" xfId="11743"/>
    <cellStyle name="Calculation 25 2 2 5 2" xfId="11744"/>
    <cellStyle name="Calculation 25 2 2 6" xfId="11745"/>
    <cellStyle name="Calculation 25 2 2 6 2" xfId="11746"/>
    <cellStyle name="Calculation 25 2 2 7" xfId="11747"/>
    <cellStyle name="Calculation 25 2 2 7 2" xfId="11748"/>
    <cellStyle name="Calculation 25 2 2 8" xfId="11749"/>
    <cellStyle name="Calculation 25 2 2 8 2" xfId="11750"/>
    <cellStyle name="Calculation 25 2 2 9" xfId="11751"/>
    <cellStyle name="Calculation 25 2 3" xfId="11752"/>
    <cellStyle name="Calculation 25 2 3 2" xfId="11753"/>
    <cellStyle name="Calculation 25 2 3 2 2" xfId="11754"/>
    <cellStyle name="Calculation 25 2 3 2 2 2" xfId="11755"/>
    <cellStyle name="Calculation 25 2 3 2 3" xfId="11756"/>
    <cellStyle name="Calculation 25 2 3 2 4" xfId="11757"/>
    <cellStyle name="Calculation 25 2 3 3" xfId="11758"/>
    <cellStyle name="Calculation 25 2 3 3 2" xfId="11759"/>
    <cellStyle name="Calculation 25 2 3 3 2 2" xfId="11760"/>
    <cellStyle name="Calculation 25 2 3 3 3" xfId="11761"/>
    <cellStyle name="Calculation 25 2 3 4" xfId="11762"/>
    <cellStyle name="Calculation 25 2 3 4 2" xfId="11763"/>
    <cellStyle name="Calculation 25 2 3 5" xfId="11764"/>
    <cellStyle name="Calculation 25 2 3 5 2" xfId="11765"/>
    <cellStyle name="Calculation 25 2 3 6" xfId="11766"/>
    <cellStyle name="Calculation 25 2 3 7" xfId="11767"/>
    <cellStyle name="Calculation 25 2 4" xfId="11768"/>
    <cellStyle name="Calculation 25 2 4 2" xfId="11769"/>
    <cellStyle name="Calculation 25 2 4 3" xfId="11770"/>
    <cellStyle name="Calculation 25 2 5" xfId="11771"/>
    <cellStyle name="Calculation 25 2 5 2" xfId="11772"/>
    <cellStyle name="Calculation 25 2 6" xfId="11773"/>
    <cellStyle name="Calculation 25 2 6 2" xfId="11774"/>
    <cellStyle name="Calculation 25 2 7" xfId="11775"/>
    <cellStyle name="Calculation 25 2 8" xfId="11776"/>
    <cellStyle name="Calculation 25 2 9" xfId="11727"/>
    <cellStyle name="Calculation 25 3" xfId="4233"/>
    <cellStyle name="Calculation 25 3 2" xfId="11778"/>
    <cellStyle name="Calculation 25 3 2 10" xfId="11779"/>
    <cellStyle name="Calculation 25 3 2 2" xfId="11780"/>
    <cellStyle name="Calculation 25 3 2 2 2" xfId="11781"/>
    <cellStyle name="Calculation 25 3 2 2 2 2" xfId="11782"/>
    <cellStyle name="Calculation 25 3 2 2 3" xfId="11783"/>
    <cellStyle name="Calculation 25 3 2 3" xfId="11784"/>
    <cellStyle name="Calculation 25 3 2 3 2" xfId="11785"/>
    <cellStyle name="Calculation 25 3 2 3 2 2" xfId="11786"/>
    <cellStyle name="Calculation 25 3 2 3 3" xfId="11787"/>
    <cellStyle name="Calculation 25 3 2 4" xfId="11788"/>
    <cellStyle name="Calculation 25 3 2 4 2" xfId="11789"/>
    <cellStyle name="Calculation 25 3 2 4 2 2" xfId="11790"/>
    <cellStyle name="Calculation 25 3 2 4 3" xfId="11791"/>
    <cellStyle name="Calculation 25 3 2 5" xfId="11792"/>
    <cellStyle name="Calculation 25 3 2 5 2" xfId="11793"/>
    <cellStyle name="Calculation 25 3 2 6" xfId="11794"/>
    <cellStyle name="Calculation 25 3 2 6 2" xfId="11795"/>
    <cellStyle name="Calculation 25 3 2 7" xfId="11796"/>
    <cellStyle name="Calculation 25 3 2 7 2" xfId="11797"/>
    <cellStyle name="Calculation 25 3 2 8" xfId="11798"/>
    <cellStyle name="Calculation 25 3 2 8 2" xfId="11799"/>
    <cellStyle name="Calculation 25 3 2 9" xfId="11800"/>
    <cellStyle name="Calculation 25 3 3" xfId="11801"/>
    <cellStyle name="Calculation 25 3 3 2" xfId="11802"/>
    <cellStyle name="Calculation 25 3 3 2 2" xfId="11803"/>
    <cellStyle name="Calculation 25 3 3 2 2 2" xfId="11804"/>
    <cellStyle name="Calculation 25 3 3 2 3" xfId="11805"/>
    <cellStyle name="Calculation 25 3 3 3" xfId="11806"/>
    <cellStyle name="Calculation 25 3 3 3 2" xfId="11807"/>
    <cellStyle name="Calculation 25 3 3 3 2 2" xfId="11808"/>
    <cellStyle name="Calculation 25 3 3 3 3" xfId="11809"/>
    <cellStyle name="Calculation 25 3 3 4" xfId="11810"/>
    <cellStyle name="Calculation 25 3 3 4 2" xfId="11811"/>
    <cellStyle name="Calculation 25 3 3 5" xfId="11812"/>
    <cellStyle name="Calculation 25 3 3 5 2" xfId="11813"/>
    <cellStyle name="Calculation 25 3 3 6" xfId="11814"/>
    <cellStyle name="Calculation 25 3 3 7" xfId="11815"/>
    <cellStyle name="Calculation 25 3 4" xfId="11816"/>
    <cellStyle name="Calculation 25 3 4 2" xfId="11817"/>
    <cellStyle name="Calculation 25 3 5" xfId="11818"/>
    <cellStyle name="Calculation 25 3 5 2" xfId="11819"/>
    <cellStyle name="Calculation 25 3 6" xfId="11820"/>
    <cellStyle name="Calculation 25 3 6 2" xfId="11821"/>
    <cellStyle name="Calculation 25 3 7" xfId="11822"/>
    <cellStyle name="Calculation 25 3 8" xfId="11823"/>
    <cellStyle name="Calculation 25 3 9" xfId="11777"/>
    <cellStyle name="Calculation 25 4" xfId="4234"/>
    <cellStyle name="Calculation 25 4 10" xfId="11825"/>
    <cellStyle name="Calculation 25 4 11" xfId="11824"/>
    <cellStyle name="Calculation 25 4 2" xfId="3378"/>
    <cellStyle name="Calculation 25 4 2 2" xfId="11827"/>
    <cellStyle name="Calculation 25 4 2 2 2" xfId="11828"/>
    <cellStyle name="Calculation 25 4 2 3" xfId="11829"/>
    <cellStyle name="Calculation 25 4 2 4" xfId="11830"/>
    <cellStyle name="Calculation 25 4 2 5" xfId="11826"/>
    <cellStyle name="Calculation 25 4 3" xfId="11831"/>
    <cellStyle name="Calculation 25 4 3 2" xfId="11832"/>
    <cellStyle name="Calculation 25 4 3 2 2" xfId="11833"/>
    <cellStyle name="Calculation 25 4 3 3" xfId="11834"/>
    <cellStyle name="Calculation 25 4 4" xfId="11835"/>
    <cellStyle name="Calculation 25 4 4 2" xfId="11836"/>
    <cellStyle name="Calculation 25 4 4 2 2" xfId="11837"/>
    <cellStyle name="Calculation 25 4 4 3" xfId="11838"/>
    <cellStyle name="Calculation 25 4 5" xfId="11839"/>
    <cellStyle name="Calculation 25 4 5 2" xfId="11840"/>
    <cellStyle name="Calculation 25 4 6" xfId="11841"/>
    <cellStyle name="Calculation 25 4 6 2" xfId="11842"/>
    <cellStyle name="Calculation 25 4 7" xfId="11843"/>
    <cellStyle name="Calculation 25 4 7 2" xfId="11844"/>
    <cellStyle name="Calculation 25 4 8" xfId="11845"/>
    <cellStyle name="Calculation 25 4 8 2" xfId="11846"/>
    <cellStyle name="Calculation 25 4 9" xfId="11847"/>
    <cellStyle name="Calculation 25 5" xfId="4235"/>
    <cellStyle name="Calculation 25 5 10" xfId="11849"/>
    <cellStyle name="Calculation 25 5 11" xfId="11848"/>
    <cellStyle name="Calculation 25 5 2" xfId="4236"/>
    <cellStyle name="Calculation 25 5 2 2" xfId="11851"/>
    <cellStyle name="Calculation 25 5 2 2 2" xfId="11852"/>
    <cellStyle name="Calculation 25 5 2 3" xfId="11853"/>
    <cellStyle name="Calculation 25 5 2 4" xfId="11854"/>
    <cellStyle name="Calculation 25 5 2 5" xfId="11850"/>
    <cellStyle name="Calculation 25 5 3" xfId="11855"/>
    <cellStyle name="Calculation 25 5 3 2" xfId="11856"/>
    <cellStyle name="Calculation 25 5 3 2 2" xfId="11857"/>
    <cellStyle name="Calculation 25 5 3 3" xfId="11858"/>
    <cellStyle name="Calculation 25 5 4" xfId="11859"/>
    <cellStyle name="Calculation 25 5 4 2" xfId="11860"/>
    <cellStyle name="Calculation 25 5 4 2 2" xfId="11861"/>
    <cellStyle name="Calculation 25 5 4 3" xfId="11862"/>
    <cellStyle name="Calculation 25 5 5" xfId="11863"/>
    <cellStyle name="Calculation 25 5 5 2" xfId="11864"/>
    <cellStyle name="Calculation 25 5 6" xfId="11865"/>
    <cellStyle name="Calculation 25 5 6 2" xfId="11866"/>
    <cellStyle name="Calculation 25 5 7" xfId="11867"/>
    <cellStyle name="Calculation 25 5 7 2" xfId="11868"/>
    <cellStyle name="Calculation 25 5 8" xfId="11869"/>
    <cellStyle name="Calculation 25 5 8 2" xfId="11870"/>
    <cellStyle name="Calculation 25 5 9" xfId="11871"/>
    <cellStyle name="Calculation 25 6" xfId="4237"/>
    <cellStyle name="Calculation 25 6 2" xfId="11873"/>
    <cellStyle name="Calculation 25 6 2 2" xfId="11874"/>
    <cellStyle name="Calculation 25 6 2 2 2" xfId="11875"/>
    <cellStyle name="Calculation 25 6 2 3" xfId="11876"/>
    <cellStyle name="Calculation 25 6 3" xfId="11877"/>
    <cellStyle name="Calculation 25 6 3 2" xfId="11878"/>
    <cellStyle name="Calculation 25 6 3 2 2" xfId="11879"/>
    <cellStyle name="Calculation 25 6 3 3" xfId="11880"/>
    <cellStyle name="Calculation 25 6 4" xfId="11881"/>
    <cellStyle name="Calculation 25 6 4 2" xfId="11882"/>
    <cellStyle name="Calculation 25 6 5" xfId="11883"/>
    <cellStyle name="Calculation 25 6 5 2" xfId="11884"/>
    <cellStyle name="Calculation 25 6 6" xfId="11885"/>
    <cellStyle name="Calculation 25 6 7" xfId="11886"/>
    <cellStyle name="Calculation 25 6 8" xfId="11872"/>
    <cellStyle name="Calculation 25 7" xfId="4238"/>
    <cellStyle name="Calculation 25 7 2" xfId="11888"/>
    <cellStyle name="Calculation 25 7 3" xfId="11887"/>
    <cellStyle name="Calculation 25 8" xfId="8311"/>
    <cellStyle name="Calculation 25 8 2" xfId="11889"/>
    <cellStyle name="Calculation 25 9" xfId="11890"/>
    <cellStyle name="Calculation 25 9 2" xfId="11891"/>
    <cellStyle name="Calculation 26" xfId="2573"/>
    <cellStyle name="Calculation 26 10" xfId="11892"/>
    <cellStyle name="Calculation 26 11" xfId="11893"/>
    <cellStyle name="Calculation 26 2" xfId="3379"/>
    <cellStyle name="Calculation 26 2 2" xfId="11895"/>
    <cellStyle name="Calculation 26 2 2 10" xfId="11896"/>
    <cellStyle name="Calculation 26 2 2 2" xfId="11897"/>
    <cellStyle name="Calculation 26 2 2 2 2" xfId="11898"/>
    <cellStyle name="Calculation 26 2 2 2 2 2" xfId="11899"/>
    <cellStyle name="Calculation 26 2 2 2 3" xfId="11900"/>
    <cellStyle name="Calculation 26 2 2 2 4" xfId="11901"/>
    <cellStyle name="Calculation 26 2 2 3" xfId="11902"/>
    <cellStyle name="Calculation 26 2 2 3 2" xfId="11903"/>
    <cellStyle name="Calculation 26 2 2 3 2 2" xfId="11904"/>
    <cellStyle name="Calculation 26 2 2 3 3" xfId="11905"/>
    <cellStyle name="Calculation 26 2 2 4" xfId="11906"/>
    <cellStyle name="Calculation 26 2 2 4 2" xfId="11907"/>
    <cellStyle name="Calculation 26 2 2 4 2 2" xfId="11908"/>
    <cellStyle name="Calculation 26 2 2 4 3" xfId="11909"/>
    <cellStyle name="Calculation 26 2 2 5" xfId="11910"/>
    <cellStyle name="Calculation 26 2 2 5 2" xfId="11911"/>
    <cellStyle name="Calculation 26 2 2 6" xfId="11912"/>
    <cellStyle name="Calculation 26 2 2 6 2" xfId="11913"/>
    <cellStyle name="Calculation 26 2 2 7" xfId="11914"/>
    <cellStyle name="Calculation 26 2 2 7 2" xfId="11915"/>
    <cellStyle name="Calculation 26 2 2 8" xfId="11916"/>
    <cellStyle name="Calculation 26 2 2 8 2" xfId="11917"/>
    <cellStyle name="Calculation 26 2 2 9" xfId="11918"/>
    <cellStyle name="Calculation 26 2 3" xfId="11919"/>
    <cellStyle name="Calculation 26 2 3 2" xfId="11920"/>
    <cellStyle name="Calculation 26 2 3 2 2" xfId="11921"/>
    <cellStyle name="Calculation 26 2 3 2 2 2" xfId="11922"/>
    <cellStyle name="Calculation 26 2 3 2 3" xfId="11923"/>
    <cellStyle name="Calculation 26 2 3 2 4" xfId="11924"/>
    <cellStyle name="Calculation 26 2 3 3" xfId="11925"/>
    <cellStyle name="Calculation 26 2 3 3 2" xfId="11926"/>
    <cellStyle name="Calculation 26 2 3 3 2 2" xfId="11927"/>
    <cellStyle name="Calculation 26 2 3 3 3" xfId="11928"/>
    <cellStyle name="Calculation 26 2 3 4" xfId="11929"/>
    <cellStyle name="Calculation 26 2 3 4 2" xfId="11930"/>
    <cellStyle name="Calculation 26 2 3 5" xfId="11931"/>
    <cellStyle name="Calculation 26 2 3 5 2" xfId="11932"/>
    <cellStyle name="Calculation 26 2 3 6" xfId="11933"/>
    <cellStyle name="Calculation 26 2 3 7" xfId="11934"/>
    <cellStyle name="Calculation 26 2 4" xfId="11935"/>
    <cellStyle name="Calculation 26 2 4 2" xfId="11936"/>
    <cellStyle name="Calculation 26 2 4 3" xfId="11937"/>
    <cellStyle name="Calculation 26 2 5" xfId="11938"/>
    <cellStyle name="Calculation 26 2 5 2" xfId="11939"/>
    <cellStyle name="Calculation 26 2 6" xfId="11940"/>
    <cellStyle name="Calculation 26 2 6 2" xfId="11941"/>
    <cellStyle name="Calculation 26 2 7" xfId="11942"/>
    <cellStyle name="Calculation 26 2 8" xfId="11943"/>
    <cellStyle name="Calculation 26 2 9" xfId="11894"/>
    <cellStyle name="Calculation 26 3" xfId="4239"/>
    <cellStyle name="Calculation 26 3 2" xfId="11945"/>
    <cellStyle name="Calculation 26 3 2 10" xfId="11946"/>
    <cellStyle name="Calculation 26 3 2 2" xfId="11947"/>
    <cellStyle name="Calculation 26 3 2 2 2" xfId="11948"/>
    <cellStyle name="Calculation 26 3 2 2 2 2" xfId="11949"/>
    <cellStyle name="Calculation 26 3 2 2 3" xfId="11950"/>
    <cellStyle name="Calculation 26 3 2 3" xfId="11951"/>
    <cellStyle name="Calculation 26 3 2 3 2" xfId="11952"/>
    <cellStyle name="Calculation 26 3 2 3 2 2" xfId="11953"/>
    <cellStyle name="Calculation 26 3 2 3 3" xfId="11954"/>
    <cellStyle name="Calculation 26 3 2 4" xfId="11955"/>
    <cellStyle name="Calculation 26 3 2 4 2" xfId="11956"/>
    <cellStyle name="Calculation 26 3 2 4 2 2" xfId="11957"/>
    <cellStyle name="Calculation 26 3 2 4 3" xfId="11958"/>
    <cellStyle name="Calculation 26 3 2 5" xfId="11959"/>
    <cellStyle name="Calculation 26 3 2 5 2" xfId="11960"/>
    <cellStyle name="Calculation 26 3 2 6" xfId="11961"/>
    <cellStyle name="Calculation 26 3 2 6 2" xfId="11962"/>
    <cellStyle name="Calculation 26 3 2 7" xfId="11963"/>
    <cellStyle name="Calculation 26 3 2 7 2" xfId="11964"/>
    <cellStyle name="Calculation 26 3 2 8" xfId="11965"/>
    <cellStyle name="Calculation 26 3 2 8 2" xfId="11966"/>
    <cellStyle name="Calculation 26 3 2 9" xfId="11967"/>
    <cellStyle name="Calculation 26 3 3" xfId="11968"/>
    <cellStyle name="Calculation 26 3 3 2" xfId="11969"/>
    <cellStyle name="Calculation 26 3 3 2 2" xfId="11970"/>
    <cellStyle name="Calculation 26 3 3 2 2 2" xfId="11971"/>
    <cellStyle name="Calculation 26 3 3 2 3" xfId="11972"/>
    <cellStyle name="Calculation 26 3 3 3" xfId="11973"/>
    <cellStyle name="Calculation 26 3 3 3 2" xfId="11974"/>
    <cellStyle name="Calculation 26 3 3 3 2 2" xfId="11975"/>
    <cellStyle name="Calculation 26 3 3 3 3" xfId="11976"/>
    <cellStyle name="Calculation 26 3 3 4" xfId="11977"/>
    <cellStyle name="Calculation 26 3 3 4 2" xfId="11978"/>
    <cellStyle name="Calculation 26 3 3 5" xfId="11979"/>
    <cellStyle name="Calculation 26 3 3 5 2" xfId="11980"/>
    <cellStyle name="Calculation 26 3 3 6" xfId="11981"/>
    <cellStyle name="Calculation 26 3 3 7" xfId="11982"/>
    <cellStyle name="Calculation 26 3 4" xfId="11983"/>
    <cellStyle name="Calculation 26 3 4 2" xfId="11984"/>
    <cellStyle name="Calculation 26 3 5" xfId="11985"/>
    <cellStyle name="Calculation 26 3 5 2" xfId="11986"/>
    <cellStyle name="Calculation 26 3 6" xfId="11987"/>
    <cellStyle name="Calculation 26 3 6 2" xfId="11988"/>
    <cellStyle name="Calculation 26 3 7" xfId="11989"/>
    <cellStyle name="Calculation 26 3 8" xfId="11990"/>
    <cellStyle name="Calculation 26 3 9" xfId="11944"/>
    <cellStyle name="Calculation 26 4" xfId="4240"/>
    <cellStyle name="Calculation 26 4 10" xfId="11992"/>
    <cellStyle name="Calculation 26 4 11" xfId="11991"/>
    <cellStyle name="Calculation 26 4 2" xfId="4241"/>
    <cellStyle name="Calculation 26 4 2 2" xfId="11994"/>
    <cellStyle name="Calculation 26 4 2 2 2" xfId="11995"/>
    <cellStyle name="Calculation 26 4 2 3" xfId="11996"/>
    <cellStyle name="Calculation 26 4 2 4" xfId="11997"/>
    <cellStyle name="Calculation 26 4 2 5" xfId="11993"/>
    <cellStyle name="Calculation 26 4 3" xfId="11998"/>
    <cellStyle name="Calculation 26 4 3 2" xfId="11999"/>
    <cellStyle name="Calculation 26 4 3 2 2" xfId="12000"/>
    <cellStyle name="Calculation 26 4 3 3" xfId="12001"/>
    <cellStyle name="Calculation 26 4 4" xfId="12002"/>
    <cellStyle name="Calculation 26 4 4 2" xfId="12003"/>
    <cellStyle name="Calculation 26 4 4 2 2" xfId="12004"/>
    <cellStyle name="Calculation 26 4 4 3" xfId="12005"/>
    <cellStyle name="Calculation 26 4 5" xfId="12006"/>
    <cellStyle name="Calculation 26 4 5 2" xfId="12007"/>
    <cellStyle name="Calculation 26 4 6" xfId="12008"/>
    <cellStyle name="Calculation 26 4 6 2" xfId="12009"/>
    <cellStyle name="Calculation 26 4 7" xfId="12010"/>
    <cellStyle name="Calculation 26 4 7 2" xfId="12011"/>
    <cellStyle name="Calculation 26 4 8" xfId="12012"/>
    <cellStyle name="Calculation 26 4 8 2" xfId="12013"/>
    <cellStyle name="Calculation 26 4 9" xfId="12014"/>
    <cellStyle name="Calculation 26 5" xfId="4242"/>
    <cellStyle name="Calculation 26 5 10" xfId="12016"/>
    <cellStyle name="Calculation 26 5 11" xfId="12015"/>
    <cellStyle name="Calculation 26 5 2" xfId="4243"/>
    <cellStyle name="Calculation 26 5 2 2" xfId="12018"/>
    <cellStyle name="Calculation 26 5 2 2 2" xfId="12019"/>
    <cellStyle name="Calculation 26 5 2 3" xfId="12020"/>
    <cellStyle name="Calculation 26 5 2 4" xfId="12021"/>
    <cellStyle name="Calculation 26 5 2 5" xfId="12017"/>
    <cellStyle name="Calculation 26 5 3" xfId="12022"/>
    <cellStyle name="Calculation 26 5 3 2" xfId="12023"/>
    <cellStyle name="Calculation 26 5 3 2 2" xfId="12024"/>
    <cellStyle name="Calculation 26 5 3 3" xfId="12025"/>
    <cellStyle name="Calculation 26 5 4" xfId="12026"/>
    <cellStyle name="Calculation 26 5 4 2" xfId="12027"/>
    <cellStyle name="Calculation 26 5 4 2 2" xfId="12028"/>
    <cellStyle name="Calculation 26 5 4 3" xfId="12029"/>
    <cellStyle name="Calculation 26 5 5" xfId="12030"/>
    <cellStyle name="Calculation 26 5 5 2" xfId="12031"/>
    <cellStyle name="Calculation 26 5 6" xfId="12032"/>
    <cellStyle name="Calculation 26 5 6 2" xfId="12033"/>
    <cellStyle name="Calculation 26 5 7" xfId="12034"/>
    <cellStyle name="Calculation 26 5 7 2" xfId="12035"/>
    <cellStyle name="Calculation 26 5 8" xfId="12036"/>
    <cellStyle name="Calculation 26 5 8 2" xfId="12037"/>
    <cellStyle name="Calculation 26 5 9" xfId="12038"/>
    <cellStyle name="Calculation 26 6" xfId="4244"/>
    <cellStyle name="Calculation 26 6 2" xfId="12040"/>
    <cellStyle name="Calculation 26 6 2 2" xfId="12041"/>
    <cellStyle name="Calculation 26 6 2 2 2" xfId="12042"/>
    <cellStyle name="Calculation 26 6 2 3" xfId="12043"/>
    <cellStyle name="Calculation 26 6 3" xfId="12044"/>
    <cellStyle name="Calculation 26 6 3 2" xfId="12045"/>
    <cellStyle name="Calculation 26 6 3 2 2" xfId="12046"/>
    <cellStyle name="Calculation 26 6 3 3" xfId="12047"/>
    <cellStyle name="Calculation 26 6 4" xfId="12048"/>
    <cellStyle name="Calculation 26 6 4 2" xfId="12049"/>
    <cellStyle name="Calculation 26 6 5" xfId="12050"/>
    <cellStyle name="Calculation 26 6 5 2" xfId="12051"/>
    <cellStyle name="Calculation 26 6 6" xfId="12052"/>
    <cellStyle name="Calculation 26 6 7" xfId="12053"/>
    <cellStyle name="Calculation 26 6 8" xfId="12039"/>
    <cellStyle name="Calculation 26 7" xfId="4245"/>
    <cellStyle name="Calculation 26 7 2" xfId="12055"/>
    <cellStyle name="Calculation 26 7 3" xfId="12054"/>
    <cellStyle name="Calculation 26 8" xfId="8312"/>
    <cellStyle name="Calculation 26 8 2" xfId="12056"/>
    <cellStyle name="Calculation 26 9" xfId="12057"/>
    <cellStyle name="Calculation 26 9 2" xfId="12058"/>
    <cellStyle name="Calculation 27" xfId="2574"/>
    <cellStyle name="Calculation 27 10" xfId="12059"/>
    <cellStyle name="Calculation 27 11" xfId="12060"/>
    <cellStyle name="Calculation 27 2" xfId="5151"/>
    <cellStyle name="Calculation 27 2 2" xfId="12062"/>
    <cellStyle name="Calculation 27 2 2 10" xfId="12063"/>
    <cellStyle name="Calculation 27 2 2 2" xfId="12064"/>
    <cellStyle name="Calculation 27 2 2 2 2" xfId="12065"/>
    <cellStyle name="Calculation 27 2 2 2 2 2" xfId="12066"/>
    <cellStyle name="Calculation 27 2 2 2 3" xfId="12067"/>
    <cellStyle name="Calculation 27 2 2 2 4" xfId="12068"/>
    <cellStyle name="Calculation 27 2 2 3" xfId="12069"/>
    <cellStyle name="Calculation 27 2 2 3 2" xfId="12070"/>
    <cellStyle name="Calculation 27 2 2 3 2 2" xfId="12071"/>
    <cellStyle name="Calculation 27 2 2 3 3" xfId="12072"/>
    <cellStyle name="Calculation 27 2 2 4" xfId="12073"/>
    <cellStyle name="Calculation 27 2 2 4 2" xfId="12074"/>
    <cellStyle name="Calculation 27 2 2 4 2 2" xfId="12075"/>
    <cellStyle name="Calculation 27 2 2 4 3" xfId="12076"/>
    <cellStyle name="Calculation 27 2 2 5" xfId="12077"/>
    <cellStyle name="Calculation 27 2 2 5 2" xfId="12078"/>
    <cellStyle name="Calculation 27 2 2 6" xfId="12079"/>
    <cellStyle name="Calculation 27 2 2 6 2" xfId="12080"/>
    <cellStyle name="Calculation 27 2 2 7" xfId="12081"/>
    <cellStyle name="Calculation 27 2 2 7 2" xfId="12082"/>
    <cellStyle name="Calculation 27 2 2 8" xfId="12083"/>
    <cellStyle name="Calculation 27 2 2 8 2" xfId="12084"/>
    <cellStyle name="Calculation 27 2 2 9" xfId="12085"/>
    <cellStyle name="Calculation 27 2 3" xfId="12086"/>
    <cellStyle name="Calculation 27 2 3 2" xfId="12087"/>
    <cellStyle name="Calculation 27 2 3 2 2" xfId="12088"/>
    <cellStyle name="Calculation 27 2 3 2 2 2" xfId="12089"/>
    <cellStyle name="Calculation 27 2 3 2 3" xfId="12090"/>
    <cellStyle name="Calculation 27 2 3 2 4" xfId="12091"/>
    <cellStyle name="Calculation 27 2 3 3" xfId="12092"/>
    <cellStyle name="Calculation 27 2 3 3 2" xfId="12093"/>
    <cellStyle name="Calculation 27 2 3 3 2 2" xfId="12094"/>
    <cellStyle name="Calculation 27 2 3 3 3" xfId="12095"/>
    <cellStyle name="Calculation 27 2 3 4" xfId="12096"/>
    <cellStyle name="Calculation 27 2 3 4 2" xfId="12097"/>
    <cellStyle name="Calculation 27 2 3 5" xfId="12098"/>
    <cellStyle name="Calculation 27 2 3 5 2" xfId="12099"/>
    <cellStyle name="Calculation 27 2 3 6" xfId="12100"/>
    <cellStyle name="Calculation 27 2 3 7" xfId="12101"/>
    <cellStyle name="Calculation 27 2 4" xfId="12102"/>
    <cellStyle name="Calculation 27 2 4 2" xfId="12103"/>
    <cellStyle name="Calculation 27 2 4 3" xfId="12104"/>
    <cellStyle name="Calculation 27 2 5" xfId="12105"/>
    <cellStyle name="Calculation 27 2 5 2" xfId="12106"/>
    <cellStyle name="Calculation 27 2 6" xfId="12107"/>
    <cellStyle name="Calculation 27 2 6 2" xfId="12108"/>
    <cellStyle name="Calculation 27 2 7" xfId="12109"/>
    <cellStyle name="Calculation 27 2 8" xfId="12110"/>
    <cellStyle name="Calculation 27 2 9" xfId="12061"/>
    <cellStyle name="Calculation 27 3" xfId="4246"/>
    <cellStyle name="Calculation 27 3 2" xfId="12112"/>
    <cellStyle name="Calculation 27 3 2 10" xfId="12113"/>
    <cellStyle name="Calculation 27 3 2 2" xfId="12114"/>
    <cellStyle name="Calculation 27 3 2 2 2" xfId="12115"/>
    <cellStyle name="Calculation 27 3 2 2 2 2" xfId="12116"/>
    <cellStyle name="Calculation 27 3 2 2 3" xfId="12117"/>
    <cellStyle name="Calculation 27 3 2 3" xfId="12118"/>
    <cellStyle name="Calculation 27 3 2 3 2" xfId="12119"/>
    <cellStyle name="Calculation 27 3 2 3 2 2" xfId="12120"/>
    <cellStyle name="Calculation 27 3 2 3 3" xfId="12121"/>
    <cellStyle name="Calculation 27 3 2 4" xfId="12122"/>
    <cellStyle name="Calculation 27 3 2 4 2" xfId="12123"/>
    <cellStyle name="Calculation 27 3 2 4 2 2" xfId="12124"/>
    <cellStyle name="Calculation 27 3 2 4 3" xfId="12125"/>
    <cellStyle name="Calculation 27 3 2 5" xfId="12126"/>
    <cellStyle name="Calculation 27 3 2 5 2" xfId="12127"/>
    <cellStyle name="Calculation 27 3 2 6" xfId="12128"/>
    <cellStyle name="Calculation 27 3 2 6 2" xfId="12129"/>
    <cellStyle name="Calculation 27 3 2 7" xfId="12130"/>
    <cellStyle name="Calculation 27 3 2 7 2" xfId="12131"/>
    <cellStyle name="Calculation 27 3 2 8" xfId="12132"/>
    <cellStyle name="Calculation 27 3 2 8 2" xfId="12133"/>
    <cellStyle name="Calculation 27 3 2 9" xfId="12134"/>
    <cellStyle name="Calculation 27 3 3" xfId="12135"/>
    <cellStyle name="Calculation 27 3 3 2" xfId="12136"/>
    <cellStyle name="Calculation 27 3 3 2 2" xfId="12137"/>
    <cellStyle name="Calculation 27 3 3 2 2 2" xfId="12138"/>
    <cellStyle name="Calculation 27 3 3 2 3" xfId="12139"/>
    <cellStyle name="Calculation 27 3 3 3" xfId="12140"/>
    <cellStyle name="Calculation 27 3 3 3 2" xfId="12141"/>
    <cellStyle name="Calculation 27 3 3 3 2 2" xfId="12142"/>
    <cellStyle name="Calculation 27 3 3 3 3" xfId="12143"/>
    <cellStyle name="Calculation 27 3 3 4" xfId="12144"/>
    <cellStyle name="Calculation 27 3 3 4 2" xfId="12145"/>
    <cellStyle name="Calculation 27 3 3 5" xfId="12146"/>
    <cellStyle name="Calculation 27 3 3 5 2" xfId="12147"/>
    <cellStyle name="Calculation 27 3 3 6" xfId="12148"/>
    <cellStyle name="Calculation 27 3 3 7" xfId="12149"/>
    <cellStyle name="Calculation 27 3 4" xfId="12150"/>
    <cellStyle name="Calculation 27 3 4 2" xfId="12151"/>
    <cellStyle name="Calculation 27 3 5" xfId="12152"/>
    <cellStyle name="Calculation 27 3 5 2" xfId="12153"/>
    <cellStyle name="Calculation 27 3 6" xfId="12154"/>
    <cellStyle name="Calculation 27 3 6 2" xfId="12155"/>
    <cellStyle name="Calculation 27 3 7" xfId="12156"/>
    <cellStyle name="Calculation 27 3 8" xfId="12157"/>
    <cellStyle name="Calculation 27 3 9" xfId="12111"/>
    <cellStyle name="Calculation 27 4" xfId="4247"/>
    <cellStyle name="Calculation 27 4 10" xfId="12159"/>
    <cellStyle name="Calculation 27 4 11" xfId="12158"/>
    <cellStyle name="Calculation 27 4 2" xfId="3222"/>
    <cellStyle name="Calculation 27 4 2 2" xfId="12161"/>
    <cellStyle name="Calculation 27 4 2 2 2" xfId="12162"/>
    <cellStyle name="Calculation 27 4 2 3" xfId="12163"/>
    <cellStyle name="Calculation 27 4 2 4" xfId="12164"/>
    <cellStyle name="Calculation 27 4 2 5" xfId="12160"/>
    <cellStyle name="Calculation 27 4 3" xfId="12165"/>
    <cellStyle name="Calculation 27 4 3 2" xfId="12166"/>
    <cellStyle name="Calculation 27 4 3 2 2" xfId="12167"/>
    <cellStyle name="Calculation 27 4 3 3" xfId="12168"/>
    <cellStyle name="Calculation 27 4 4" xfId="12169"/>
    <cellStyle name="Calculation 27 4 4 2" xfId="12170"/>
    <cellStyle name="Calculation 27 4 4 2 2" xfId="12171"/>
    <cellStyle name="Calculation 27 4 4 3" xfId="12172"/>
    <cellStyle name="Calculation 27 4 5" xfId="12173"/>
    <cellStyle name="Calculation 27 4 5 2" xfId="12174"/>
    <cellStyle name="Calculation 27 4 6" xfId="12175"/>
    <cellStyle name="Calculation 27 4 6 2" xfId="12176"/>
    <cellStyle name="Calculation 27 4 7" xfId="12177"/>
    <cellStyle name="Calculation 27 4 7 2" xfId="12178"/>
    <cellStyle name="Calculation 27 4 8" xfId="12179"/>
    <cellStyle name="Calculation 27 4 8 2" xfId="12180"/>
    <cellStyle name="Calculation 27 4 9" xfId="12181"/>
    <cellStyle name="Calculation 27 5" xfId="5386"/>
    <cellStyle name="Calculation 27 5 10" xfId="12183"/>
    <cellStyle name="Calculation 27 5 11" xfId="12182"/>
    <cellStyle name="Calculation 27 5 2" xfId="4935"/>
    <cellStyle name="Calculation 27 5 2 2" xfId="12185"/>
    <cellStyle name="Calculation 27 5 2 2 2" xfId="12186"/>
    <cellStyle name="Calculation 27 5 2 3" xfId="12187"/>
    <cellStyle name="Calculation 27 5 2 4" xfId="12188"/>
    <cellStyle name="Calculation 27 5 2 5" xfId="12184"/>
    <cellStyle name="Calculation 27 5 3" xfId="12189"/>
    <cellStyle name="Calculation 27 5 3 2" xfId="12190"/>
    <cellStyle name="Calculation 27 5 3 2 2" xfId="12191"/>
    <cellStyle name="Calculation 27 5 3 3" xfId="12192"/>
    <cellStyle name="Calculation 27 5 4" xfId="12193"/>
    <cellStyle name="Calculation 27 5 4 2" xfId="12194"/>
    <cellStyle name="Calculation 27 5 4 2 2" xfId="12195"/>
    <cellStyle name="Calculation 27 5 4 3" xfId="12196"/>
    <cellStyle name="Calculation 27 5 5" xfId="12197"/>
    <cellStyle name="Calculation 27 5 5 2" xfId="12198"/>
    <cellStyle name="Calculation 27 5 6" xfId="12199"/>
    <cellStyle name="Calculation 27 5 6 2" xfId="12200"/>
    <cellStyle name="Calculation 27 5 7" xfId="12201"/>
    <cellStyle name="Calculation 27 5 7 2" xfId="12202"/>
    <cellStyle name="Calculation 27 5 8" xfId="12203"/>
    <cellStyle name="Calculation 27 5 8 2" xfId="12204"/>
    <cellStyle name="Calculation 27 5 9" xfId="12205"/>
    <cellStyle name="Calculation 27 6" xfId="5328"/>
    <cellStyle name="Calculation 27 6 2" xfId="12207"/>
    <cellStyle name="Calculation 27 6 2 2" xfId="12208"/>
    <cellStyle name="Calculation 27 6 2 2 2" xfId="12209"/>
    <cellStyle name="Calculation 27 6 2 3" xfId="12210"/>
    <cellStyle name="Calculation 27 6 3" xfId="12211"/>
    <cellStyle name="Calculation 27 6 3 2" xfId="12212"/>
    <cellStyle name="Calculation 27 6 3 2 2" xfId="12213"/>
    <cellStyle name="Calculation 27 6 3 3" xfId="12214"/>
    <cellStyle name="Calculation 27 6 4" xfId="12215"/>
    <cellStyle name="Calculation 27 6 4 2" xfId="12216"/>
    <cellStyle name="Calculation 27 6 5" xfId="12217"/>
    <cellStyle name="Calculation 27 6 5 2" xfId="12218"/>
    <cellStyle name="Calculation 27 6 6" xfId="12219"/>
    <cellStyle name="Calculation 27 6 7" xfId="12220"/>
    <cellStyle name="Calculation 27 6 8" xfId="12206"/>
    <cellStyle name="Calculation 27 7" xfId="5326"/>
    <cellStyle name="Calculation 27 7 2" xfId="12222"/>
    <cellStyle name="Calculation 27 7 3" xfId="12221"/>
    <cellStyle name="Calculation 27 8" xfId="8313"/>
    <cellStyle name="Calculation 27 8 2" xfId="12223"/>
    <cellStyle name="Calculation 27 9" xfId="12224"/>
    <cellStyle name="Calculation 27 9 2" xfId="12225"/>
    <cellStyle name="Calculation 28" xfId="2575"/>
    <cellStyle name="Calculation 28 10" xfId="12226"/>
    <cellStyle name="Calculation 28 11" xfId="12227"/>
    <cellStyle name="Calculation 28 2" xfId="1633"/>
    <cellStyle name="Calculation 28 2 2" xfId="12229"/>
    <cellStyle name="Calculation 28 2 2 10" xfId="12230"/>
    <cellStyle name="Calculation 28 2 2 2" xfId="12231"/>
    <cellStyle name="Calculation 28 2 2 2 2" xfId="12232"/>
    <cellStyle name="Calculation 28 2 2 2 2 2" xfId="12233"/>
    <cellStyle name="Calculation 28 2 2 2 3" xfId="12234"/>
    <cellStyle name="Calculation 28 2 2 2 4" xfId="12235"/>
    <cellStyle name="Calculation 28 2 2 3" xfId="12236"/>
    <cellStyle name="Calculation 28 2 2 3 2" xfId="12237"/>
    <cellStyle name="Calculation 28 2 2 3 2 2" xfId="12238"/>
    <cellStyle name="Calculation 28 2 2 3 3" xfId="12239"/>
    <cellStyle name="Calculation 28 2 2 4" xfId="12240"/>
    <cellStyle name="Calculation 28 2 2 4 2" xfId="12241"/>
    <cellStyle name="Calculation 28 2 2 4 2 2" xfId="12242"/>
    <cellStyle name="Calculation 28 2 2 4 3" xfId="12243"/>
    <cellStyle name="Calculation 28 2 2 5" xfId="12244"/>
    <cellStyle name="Calculation 28 2 2 5 2" xfId="12245"/>
    <cellStyle name="Calculation 28 2 2 6" xfId="12246"/>
    <cellStyle name="Calculation 28 2 2 6 2" xfId="12247"/>
    <cellStyle name="Calculation 28 2 2 7" xfId="12248"/>
    <cellStyle name="Calculation 28 2 2 7 2" xfId="12249"/>
    <cellStyle name="Calculation 28 2 2 8" xfId="12250"/>
    <cellStyle name="Calculation 28 2 2 8 2" xfId="12251"/>
    <cellStyle name="Calculation 28 2 2 9" xfId="12252"/>
    <cellStyle name="Calculation 28 2 3" xfId="12253"/>
    <cellStyle name="Calculation 28 2 3 2" xfId="12254"/>
    <cellStyle name="Calculation 28 2 3 2 2" xfId="12255"/>
    <cellStyle name="Calculation 28 2 3 2 2 2" xfId="12256"/>
    <cellStyle name="Calculation 28 2 3 2 3" xfId="12257"/>
    <cellStyle name="Calculation 28 2 3 2 4" xfId="12258"/>
    <cellStyle name="Calculation 28 2 3 3" xfId="12259"/>
    <cellStyle name="Calculation 28 2 3 3 2" xfId="12260"/>
    <cellStyle name="Calculation 28 2 3 3 2 2" xfId="12261"/>
    <cellStyle name="Calculation 28 2 3 3 3" xfId="12262"/>
    <cellStyle name="Calculation 28 2 3 4" xfId="12263"/>
    <cellStyle name="Calculation 28 2 3 4 2" xfId="12264"/>
    <cellStyle name="Calculation 28 2 3 5" xfId="12265"/>
    <cellStyle name="Calculation 28 2 3 5 2" xfId="12266"/>
    <cellStyle name="Calculation 28 2 3 6" xfId="12267"/>
    <cellStyle name="Calculation 28 2 3 7" xfId="12268"/>
    <cellStyle name="Calculation 28 2 4" xfId="12269"/>
    <cellStyle name="Calculation 28 2 4 2" xfId="12270"/>
    <cellStyle name="Calculation 28 2 4 3" xfId="12271"/>
    <cellStyle name="Calculation 28 2 5" xfId="12272"/>
    <cellStyle name="Calculation 28 2 5 2" xfId="12273"/>
    <cellStyle name="Calculation 28 2 6" xfId="12274"/>
    <cellStyle name="Calculation 28 2 6 2" xfId="12275"/>
    <cellStyle name="Calculation 28 2 7" xfId="12276"/>
    <cellStyle name="Calculation 28 2 8" xfId="12277"/>
    <cellStyle name="Calculation 28 2 9" xfId="12228"/>
    <cellStyle name="Calculation 28 3" xfId="3252"/>
    <cellStyle name="Calculation 28 3 2" xfId="12279"/>
    <cellStyle name="Calculation 28 3 2 10" xfId="12280"/>
    <cellStyle name="Calculation 28 3 2 2" xfId="12281"/>
    <cellStyle name="Calculation 28 3 2 2 2" xfId="12282"/>
    <cellStyle name="Calculation 28 3 2 2 2 2" xfId="12283"/>
    <cellStyle name="Calculation 28 3 2 2 3" xfId="12284"/>
    <cellStyle name="Calculation 28 3 2 3" xfId="12285"/>
    <cellStyle name="Calculation 28 3 2 3 2" xfId="12286"/>
    <cellStyle name="Calculation 28 3 2 3 2 2" xfId="12287"/>
    <cellStyle name="Calculation 28 3 2 3 3" xfId="12288"/>
    <cellStyle name="Calculation 28 3 2 4" xfId="12289"/>
    <cellStyle name="Calculation 28 3 2 4 2" xfId="12290"/>
    <cellStyle name="Calculation 28 3 2 4 2 2" xfId="12291"/>
    <cellStyle name="Calculation 28 3 2 4 3" xfId="12292"/>
    <cellStyle name="Calculation 28 3 2 5" xfId="12293"/>
    <cellStyle name="Calculation 28 3 2 5 2" xfId="12294"/>
    <cellStyle name="Calculation 28 3 2 6" xfId="12295"/>
    <cellStyle name="Calculation 28 3 2 6 2" xfId="12296"/>
    <cellStyle name="Calculation 28 3 2 7" xfId="12297"/>
    <cellStyle name="Calculation 28 3 2 7 2" xfId="12298"/>
    <cellStyle name="Calculation 28 3 2 8" xfId="12299"/>
    <cellStyle name="Calculation 28 3 2 8 2" xfId="12300"/>
    <cellStyle name="Calculation 28 3 2 9" xfId="12301"/>
    <cellStyle name="Calculation 28 3 3" xfId="12302"/>
    <cellStyle name="Calculation 28 3 3 2" xfId="12303"/>
    <cellStyle name="Calculation 28 3 3 2 2" xfId="12304"/>
    <cellStyle name="Calculation 28 3 3 2 2 2" xfId="12305"/>
    <cellStyle name="Calculation 28 3 3 2 3" xfId="12306"/>
    <cellStyle name="Calculation 28 3 3 3" xfId="12307"/>
    <cellStyle name="Calculation 28 3 3 3 2" xfId="12308"/>
    <cellStyle name="Calculation 28 3 3 3 2 2" xfId="12309"/>
    <cellStyle name="Calculation 28 3 3 3 3" xfId="12310"/>
    <cellStyle name="Calculation 28 3 3 4" xfId="12311"/>
    <cellStyle name="Calculation 28 3 3 4 2" xfId="12312"/>
    <cellStyle name="Calculation 28 3 3 5" xfId="12313"/>
    <cellStyle name="Calculation 28 3 3 5 2" xfId="12314"/>
    <cellStyle name="Calculation 28 3 3 6" xfId="12315"/>
    <cellStyle name="Calculation 28 3 3 7" xfId="12316"/>
    <cellStyle name="Calculation 28 3 4" xfId="12317"/>
    <cellStyle name="Calculation 28 3 4 2" xfId="12318"/>
    <cellStyle name="Calculation 28 3 5" xfId="12319"/>
    <cellStyle name="Calculation 28 3 5 2" xfId="12320"/>
    <cellStyle name="Calculation 28 3 6" xfId="12321"/>
    <cellStyle name="Calculation 28 3 6 2" xfId="12322"/>
    <cellStyle name="Calculation 28 3 7" xfId="12323"/>
    <cellStyle name="Calculation 28 3 8" xfId="12324"/>
    <cellStyle name="Calculation 28 3 9" xfId="12278"/>
    <cellStyle name="Calculation 28 4" xfId="3255"/>
    <cellStyle name="Calculation 28 4 10" xfId="12326"/>
    <cellStyle name="Calculation 28 4 11" xfId="12325"/>
    <cellStyle name="Calculation 28 4 2" xfId="4248"/>
    <cellStyle name="Calculation 28 4 2 2" xfId="12328"/>
    <cellStyle name="Calculation 28 4 2 2 2" xfId="12329"/>
    <cellStyle name="Calculation 28 4 2 3" xfId="12330"/>
    <cellStyle name="Calculation 28 4 2 4" xfId="12331"/>
    <cellStyle name="Calculation 28 4 2 5" xfId="12327"/>
    <cellStyle name="Calculation 28 4 3" xfId="12332"/>
    <cellStyle name="Calculation 28 4 3 2" xfId="12333"/>
    <cellStyle name="Calculation 28 4 3 2 2" xfId="12334"/>
    <cellStyle name="Calculation 28 4 3 3" xfId="12335"/>
    <cellStyle name="Calculation 28 4 4" xfId="12336"/>
    <cellStyle name="Calculation 28 4 4 2" xfId="12337"/>
    <cellStyle name="Calculation 28 4 4 2 2" xfId="12338"/>
    <cellStyle name="Calculation 28 4 4 3" xfId="12339"/>
    <cellStyle name="Calculation 28 4 5" xfId="12340"/>
    <cellStyle name="Calculation 28 4 5 2" xfId="12341"/>
    <cellStyle name="Calculation 28 4 6" xfId="12342"/>
    <cellStyle name="Calculation 28 4 6 2" xfId="12343"/>
    <cellStyle name="Calculation 28 4 7" xfId="12344"/>
    <cellStyle name="Calculation 28 4 7 2" xfId="12345"/>
    <cellStyle name="Calculation 28 4 8" xfId="12346"/>
    <cellStyle name="Calculation 28 4 8 2" xfId="12347"/>
    <cellStyle name="Calculation 28 4 9" xfId="12348"/>
    <cellStyle name="Calculation 28 5" xfId="4249"/>
    <cellStyle name="Calculation 28 5 10" xfId="12350"/>
    <cellStyle name="Calculation 28 5 11" xfId="12349"/>
    <cellStyle name="Calculation 28 5 2" xfId="4250"/>
    <cellStyle name="Calculation 28 5 2 2" xfId="12352"/>
    <cellStyle name="Calculation 28 5 2 2 2" xfId="12353"/>
    <cellStyle name="Calculation 28 5 2 3" xfId="12354"/>
    <cellStyle name="Calculation 28 5 2 4" xfId="12355"/>
    <cellStyle name="Calculation 28 5 2 5" xfId="12351"/>
    <cellStyle name="Calculation 28 5 3" xfId="12356"/>
    <cellStyle name="Calculation 28 5 3 2" xfId="12357"/>
    <cellStyle name="Calculation 28 5 3 2 2" xfId="12358"/>
    <cellStyle name="Calculation 28 5 3 3" xfId="12359"/>
    <cellStyle name="Calculation 28 5 4" xfId="12360"/>
    <cellStyle name="Calculation 28 5 4 2" xfId="12361"/>
    <cellStyle name="Calculation 28 5 4 2 2" xfId="12362"/>
    <cellStyle name="Calculation 28 5 4 3" xfId="12363"/>
    <cellStyle name="Calculation 28 5 5" xfId="12364"/>
    <cellStyle name="Calculation 28 5 5 2" xfId="12365"/>
    <cellStyle name="Calculation 28 5 6" xfId="12366"/>
    <cellStyle name="Calculation 28 5 6 2" xfId="12367"/>
    <cellStyle name="Calculation 28 5 7" xfId="12368"/>
    <cellStyle name="Calculation 28 5 7 2" xfId="12369"/>
    <cellStyle name="Calculation 28 5 8" xfId="12370"/>
    <cellStyle name="Calculation 28 5 8 2" xfId="12371"/>
    <cellStyle name="Calculation 28 5 9" xfId="12372"/>
    <cellStyle name="Calculation 28 6" xfId="4251"/>
    <cellStyle name="Calculation 28 6 2" xfId="12374"/>
    <cellStyle name="Calculation 28 6 2 2" xfId="12375"/>
    <cellStyle name="Calculation 28 6 2 2 2" xfId="12376"/>
    <cellStyle name="Calculation 28 6 2 3" xfId="12377"/>
    <cellStyle name="Calculation 28 6 3" xfId="12378"/>
    <cellStyle name="Calculation 28 6 3 2" xfId="12379"/>
    <cellStyle name="Calculation 28 6 3 2 2" xfId="12380"/>
    <cellStyle name="Calculation 28 6 3 3" xfId="12381"/>
    <cellStyle name="Calculation 28 6 4" xfId="12382"/>
    <cellStyle name="Calculation 28 6 4 2" xfId="12383"/>
    <cellStyle name="Calculation 28 6 5" xfId="12384"/>
    <cellStyle name="Calculation 28 6 5 2" xfId="12385"/>
    <cellStyle name="Calculation 28 6 6" xfId="12386"/>
    <cellStyle name="Calculation 28 6 7" xfId="12387"/>
    <cellStyle name="Calculation 28 6 8" xfId="12373"/>
    <cellStyle name="Calculation 28 7" xfId="4252"/>
    <cellStyle name="Calculation 28 7 2" xfId="12389"/>
    <cellStyle name="Calculation 28 7 3" xfId="12388"/>
    <cellStyle name="Calculation 28 8" xfId="8314"/>
    <cellStyle name="Calculation 28 8 2" xfId="12390"/>
    <cellStyle name="Calculation 28 9" xfId="12391"/>
    <cellStyle name="Calculation 28 9 2" xfId="12392"/>
    <cellStyle name="Calculation 29" xfId="2576"/>
    <cellStyle name="Calculation 29 10" xfId="12393"/>
    <cellStyle name="Calculation 29 11" xfId="12394"/>
    <cellStyle name="Calculation 29 2" xfId="3250"/>
    <cellStyle name="Calculation 29 2 2" xfId="12396"/>
    <cellStyle name="Calculation 29 2 2 10" xfId="12397"/>
    <cellStyle name="Calculation 29 2 2 2" xfId="12398"/>
    <cellStyle name="Calculation 29 2 2 2 2" xfId="12399"/>
    <cellStyle name="Calculation 29 2 2 2 2 2" xfId="12400"/>
    <cellStyle name="Calculation 29 2 2 2 3" xfId="12401"/>
    <cellStyle name="Calculation 29 2 2 2 4" xfId="12402"/>
    <cellStyle name="Calculation 29 2 2 3" xfId="12403"/>
    <cellStyle name="Calculation 29 2 2 3 2" xfId="12404"/>
    <cellStyle name="Calculation 29 2 2 3 2 2" xfId="12405"/>
    <cellStyle name="Calculation 29 2 2 3 3" xfId="12406"/>
    <cellStyle name="Calculation 29 2 2 4" xfId="12407"/>
    <cellStyle name="Calculation 29 2 2 4 2" xfId="12408"/>
    <cellStyle name="Calculation 29 2 2 4 2 2" xfId="12409"/>
    <cellStyle name="Calculation 29 2 2 4 3" xfId="12410"/>
    <cellStyle name="Calculation 29 2 2 5" xfId="12411"/>
    <cellStyle name="Calculation 29 2 2 5 2" xfId="12412"/>
    <cellStyle name="Calculation 29 2 2 6" xfId="12413"/>
    <cellStyle name="Calculation 29 2 2 6 2" xfId="12414"/>
    <cellStyle name="Calculation 29 2 2 7" xfId="12415"/>
    <cellStyle name="Calculation 29 2 2 7 2" xfId="12416"/>
    <cellStyle name="Calculation 29 2 2 8" xfId="12417"/>
    <cellStyle name="Calculation 29 2 2 8 2" xfId="12418"/>
    <cellStyle name="Calculation 29 2 2 9" xfId="12419"/>
    <cellStyle name="Calculation 29 2 3" xfId="12420"/>
    <cellStyle name="Calculation 29 2 3 2" xfId="12421"/>
    <cellStyle name="Calculation 29 2 3 2 2" xfId="12422"/>
    <cellStyle name="Calculation 29 2 3 2 2 2" xfId="12423"/>
    <cellStyle name="Calculation 29 2 3 2 3" xfId="12424"/>
    <cellStyle name="Calculation 29 2 3 2 4" xfId="12425"/>
    <cellStyle name="Calculation 29 2 3 3" xfId="12426"/>
    <cellStyle name="Calculation 29 2 3 3 2" xfId="12427"/>
    <cellStyle name="Calculation 29 2 3 3 2 2" xfId="12428"/>
    <cellStyle name="Calculation 29 2 3 3 3" xfId="12429"/>
    <cellStyle name="Calculation 29 2 3 4" xfId="12430"/>
    <cellStyle name="Calculation 29 2 3 4 2" xfId="12431"/>
    <cellStyle name="Calculation 29 2 3 5" xfId="12432"/>
    <cellStyle name="Calculation 29 2 3 5 2" xfId="12433"/>
    <cellStyle name="Calculation 29 2 3 6" xfId="12434"/>
    <cellStyle name="Calculation 29 2 3 7" xfId="12435"/>
    <cellStyle name="Calculation 29 2 4" xfId="12436"/>
    <cellStyle name="Calculation 29 2 4 2" xfId="12437"/>
    <cellStyle name="Calculation 29 2 4 3" xfId="12438"/>
    <cellStyle name="Calculation 29 2 5" xfId="12439"/>
    <cellStyle name="Calculation 29 2 5 2" xfId="12440"/>
    <cellStyle name="Calculation 29 2 6" xfId="12441"/>
    <cellStyle name="Calculation 29 2 6 2" xfId="12442"/>
    <cellStyle name="Calculation 29 2 7" xfId="12443"/>
    <cellStyle name="Calculation 29 2 8" xfId="12444"/>
    <cellStyle name="Calculation 29 2 9" xfId="12395"/>
    <cellStyle name="Calculation 29 3" xfId="3221"/>
    <cellStyle name="Calculation 29 3 2" xfId="12446"/>
    <cellStyle name="Calculation 29 3 2 10" xfId="12447"/>
    <cellStyle name="Calculation 29 3 2 2" xfId="12448"/>
    <cellStyle name="Calculation 29 3 2 2 2" xfId="12449"/>
    <cellStyle name="Calculation 29 3 2 2 2 2" xfId="12450"/>
    <cellStyle name="Calculation 29 3 2 2 3" xfId="12451"/>
    <cellStyle name="Calculation 29 3 2 3" xfId="12452"/>
    <cellStyle name="Calculation 29 3 2 3 2" xfId="12453"/>
    <cellStyle name="Calculation 29 3 2 3 2 2" xfId="12454"/>
    <cellStyle name="Calculation 29 3 2 3 3" xfId="12455"/>
    <cellStyle name="Calculation 29 3 2 4" xfId="12456"/>
    <cellStyle name="Calculation 29 3 2 4 2" xfId="12457"/>
    <cellStyle name="Calculation 29 3 2 4 2 2" xfId="12458"/>
    <cellStyle name="Calculation 29 3 2 4 3" xfId="12459"/>
    <cellStyle name="Calculation 29 3 2 5" xfId="12460"/>
    <cellStyle name="Calculation 29 3 2 5 2" xfId="12461"/>
    <cellStyle name="Calculation 29 3 2 6" xfId="12462"/>
    <cellStyle name="Calculation 29 3 2 6 2" xfId="12463"/>
    <cellStyle name="Calculation 29 3 2 7" xfId="12464"/>
    <cellStyle name="Calculation 29 3 2 7 2" xfId="12465"/>
    <cellStyle name="Calculation 29 3 2 8" xfId="12466"/>
    <cellStyle name="Calculation 29 3 2 8 2" xfId="12467"/>
    <cellStyle name="Calculation 29 3 2 9" xfId="12468"/>
    <cellStyle name="Calculation 29 3 3" xfId="12469"/>
    <cellStyle name="Calculation 29 3 3 2" xfId="12470"/>
    <cellStyle name="Calculation 29 3 3 2 2" xfId="12471"/>
    <cellStyle name="Calculation 29 3 3 2 2 2" xfId="12472"/>
    <cellStyle name="Calculation 29 3 3 2 3" xfId="12473"/>
    <cellStyle name="Calculation 29 3 3 3" xfId="12474"/>
    <cellStyle name="Calculation 29 3 3 3 2" xfId="12475"/>
    <cellStyle name="Calculation 29 3 3 3 2 2" xfId="12476"/>
    <cellStyle name="Calculation 29 3 3 3 3" xfId="12477"/>
    <cellStyle name="Calculation 29 3 3 4" xfId="12478"/>
    <cellStyle name="Calculation 29 3 3 4 2" xfId="12479"/>
    <cellStyle name="Calculation 29 3 3 5" xfId="12480"/>
    <cellStyle name="Calculation 29 3 3 5 2" xfId="12481"/>
    <cellStyle name="Calculation 29 3 3 6" xfId="12482"/>
    <cellStyle name="Calculation 29 3 3 7" xfId="12483"/>
    <cellStyle name="Calculation 29 3 4" xfId="12484"/>
    <cellStyle name="Calculation 29 3 4 2" xfId="12485"/>
    <cellStyle name="Calculation 29 3 5" xfId="12486"/>
    <cellStyle name="Calculation 29 3 5 2" xfId="12487"/>
    <cellStyle name="Calculation 29 3 6" xfId="12488"/>
    <cellStyle name="Calculation 29 3 6 2" xfId="12489"/>
    <cellStyle name="Calculation 29 3 7" xfId="12490"/>
    <cellStyle name="Calculation 29 3 8" xfId="12491"/>
    <cellStyle name="Calculation 29 3 9" xfId="12445"/>
    <cellStyle name="Calculation 29 4" xfId="3380"/>
    <cellStyle name="Calculation 29 4 10" xfId="12493"/>
    <cellStyle name="Calculation 29 4 11" xfId="12492"/>
    <cellStyle name="Calculation 29 4 2" xfId="3381"/>
    <cellStyle name="Calculation 29 4 2 2" xfId="12495"/>
    <cellStyle name="Calculation 29 4 2 2 2" xfId="12496"/>
    <cellStyle name="Calculation 29 4 2 3" xfId="12497"/>
    <cellStyle name="Calculation 29 4 2 4" xfId="12498"/>
    <cellStyle name="Calculation 29 4 2 5" xfId="12494"/>
    <cellStyle name="Calculation 29 4 3" xfId="12499"/>
    <cellStyle name="Calculation 29 4 3 2" xfId="12500"/>
    <cellStyle name="Calculation 29 4 3 2 2" xfId="12501"/>
    <cellStyle name="Calculation 29 4 3 3" xfId="12502"/>
    <cellStyle name="Calculation 29 4 4" xfId="12503"/>
    <cellStyle name="Calculation 29 4 4 2" xfId="12504"/>
    <cellStyle name="Calculation 29 4 4 2 2" xfId="12505"/>
    <cellStyle name="Calculation 29 4 4 3" xfId="12506"/>
    <cellStyle name="Calculation 29 4 5" xfId="12507"/>
    <cellStyle name="Calculation 29 4 5 2" xfId="12508"/>
    <cellStyle name="Calculation 29 4 6" xfId="12509"/>
    <cellStyle name="Calculation 29 4 6 2" xfId="12510"/>
    <cellStyle name="Calculation 29 4 7" xfId="12511"/>
    <cellStyle name="Calculation 29 4 7 2" xfId="12512"/>
    <cellStyle name="Calculation 29 4 8" xfId="12513"/>
    <cellStyle name="Calculation 29 4 8 2" xfId="12514"/>
    <cellStyle name="Calculation 29 4 9" xfId="12515"/>
    <cellStyle name="Calculation 29 5" xfId="3382"/>
    <cellStyle name="Calculation 29 5 10" xfId="12517"/>
    <cellStyle name="Calculation 29 5 11" xfId="12516"/>
    <cellStyle name="Calculation 29 5 2" xfId="3383"/>
    <cellStyle name="Calculation 29 5 2 2" xfId="12519"/>
    <cellStyle name="Calculation 29 5 2 2 2" xfId="12520"/>
    <cellStyle name="Calculation 29 5 2 3" xfId="12521"/>
    <cellStyle name="Calculation 29 5 2 4" xfId="12522"/>
    <cellStyle name="Calculation 29 5 2 5" xfId="12518"/>
    <cellStyle name="Calculation 29 5 3" xfId="12523"/>
    <cellStyle name="Calculation 29 5 3 2" xfId="12524"/>
    <cellStyle name="Calculation 29 5 3 2 2" xfId="12525"/>
    <cellStyle name="Calculation 29 5 3 3" xfId="12526"/>
    <cellStyle name="Calculation 29 5 4" xfId="12527"/>
    <cellStyle name="Calculation 29 5 4 2" xfId="12528"/>
    <cellStyle name="Calculation 29 5 4 2 2" xfId="12529"/>
    <cellStyle name="Calculation 29 5 4 3" xfId="12530"/>
    <cellStyle name="Calculation 29 5 5" xfId="12531"/>
    <cellStyle name="Calculation 29 5 5 2" xfId="12532"/>
    <cellStyle name="Calculation 29 5 6" xfId="12533"/>
    <cellStyle name="Calculation 29 5 6 2" xfId="12534"/>
    <cellStyle name="Calculation 29 5 7" xfId="12535"/>
    <cellStyle name="Calculation 29 5 7 2" xfId="12536"/>
    <cellStyle name="Calculation 29 5 8" xfId="12537"/>
    <cellStyle name="Calculation 29 5 8 2" xfId="12538"/>
    <cellStyle name="Calculation 29 5 9" xfId="12539"/>
    <cellStyle name="Calculation 29 6" xfId="3384"/>
    <cellStyle name="Calculation 29 6 2" xfId="12541"/>
    <cellStyle name="Calculation 29 6 2 2" xfId="12542"/>
    <cellStyle name="Calculation 29 6 2 2 2" xfId="12543"/>
    <cellStyle name="Calculation 29 6 2 3" xfId="12544"/>
    <cellStyle name="Calculation 29 6 3" xfId="12545"/>
    <cellStyle name="Calculation 29 6 3 2" xfId="12546"/>
    <cellStyle name="Calculation 29 6 3 2 2" xfId="12547"/>
    <cellStyle name="Calculation 29 6 3 3" xfId="12548"/>
    <cellStyle name="Calculation 29 6 4" xfId="12549"/>
    <cellStyle name="Calculation 29 6 4 2" xfId="12550"/>
    <cellStyle name="Calculation 29 6 5" xfId="12551"/>
    <cellStyle name="Calculation 29 6 5 2" xfId="12552"/>
    <cellStyle name="Calculation 29 6 6" xfId="12553"/>
    <cellStyle name="Calculation 29 6 7" xfId="12554"/>
    <cellStyle name="Calculation 29 6 8" xfId="12540"/>
    <cellStyle name="Calculation 29 7" xfId="3385"/>
    <cellStyle name="Calculation 29 7 2" xfId="12556"/>
    <cellStyle name="Calculation 29 7 3" xfId="12555"/>
    <cellStyle name="Calculation 29 8" xfId="8315"/>
    <cellStyle name="Calculation 29 8 2" xfId="12557"/>
    <cellStyle name="Calculation 29 9" xfId="12558"/>
    <cellStyle name="Calculation 29 9 2" xfId="12559"/>
    <cellStyle name="Calculation 3" xfId="482"/>
    <cellStyle name="Calculation 3 10" xfId="12560"/>
    <cellStyle name="Calculation 3 11" xfId="12561"/>
    <cellStyle name="Calculation 3 12" xfId="41308"/>
    <cellStyle name="Calculation 3 2" xfId="483"/>
    <cellStyle name="Calculation 3 2 2" xfId="484"/>
    <cellStyle name="Calculation 3 2 2 10" xfId="12562"/>
    <cellStyle name="Calculation 3 2 2 2" xfId="7940"/>
    <cellStyle name="Calculation 3 2 2 2 2" xfId="12563"/>
    <cellStyle name="Calculation 3 2 2 2 2 2" xfId="12564"/>
    <cellStyle name="Calculation 3 2 2 2 3" xfId="12565"/>
    <cellStyle name="Calculation 3 2 2 2 4" xfId="12566"/>
    <cellStyle name="Calculation 3 2 2 3" xfId="12567"/>
    <cellStyle name="Calculation 3 2 2 3 2" xfId="12568"/>
    <cellStyle name="Calculation 3 2 2 3 2 2" xfId="12569"/>
    <cellStyle name="Calculation 3 2 2 3 3" xfId="12570"/>
    <cellStyle name="Calculation 3 2 2 4" xfId="12571"/>
    <cellStyle name="Calculation 3 2 2 4 2" xfId="12572"/>
    <cellStyle name="Calculation 3 2 2 4 2 2" xfId="12573"/>
    <cellStyle name="Calculation 3 2 2 4 3" xfId="12574"/>
    <cellStyle name="Calculation 3 2 2 5" xfId="12575"/>
    <cellStyle name="Calculation 3 2 2 5 2" xfId="12576"/>
    <cellStyle name="Calculation 3 2 2 6" xfId="12577"/>
    <cellStyle name="Calculation 3 2 2 6 2" xfId="12578"/>
    <cellStyle name="Calculation 3 2 2 7" xfId="12579"/>
    <cellStyle name="Calculation 3 2 2 7 2" xfId="12580"/>
    <cellStyle name="Calculation 3 2 2 8" xfId="12581"/>
    <cellStyle name="Calculation 3 2 2 8 2" xfId="12582"/>
    <cellStyle name="Calculation 3 2 2 9" xfId="12583"/>
    <cellStyle name="Calculation 3 2 3" xfId="4253"/>
    <cellStyle name="Calculation 3 2 3 2" xfId="12585"/>
    <cellStyle name="Calculation 3 2 3 2 2" xfId="12586"/>
    <cellStyle name="Calculation 3 2 3 2 2 2" xfId="12587"/>
    <cellStyle name="Calculation 3 2 3 2 3" xfId="12588"/>
    <cellStyle name="Calculation 3 2 3 2 4" xfId="12589"/>
    <cellStyle name="Calculation 3 2 3 3" xfId="12590"/>
    <cellStyle name="Calculation 3 2 3 3 2" xfId="12591"/>
    <cellStyle name="Calculation 3 2 3 3 2 2" xfId="12592"/>
    <cellStyle name="Calculation 3 2 3 3 3" xfId="12593"/>
    <cellStyle name="Calculation 3 2 3 4" xfId="12594"/>
    <cellStyle name="Calculation 3 2 3 4 2" xfId="12595"/>
    <cellStyle name="Calculation 3 2 3 5" xfId="12596"/>
    <cellStyle name="Calculation 3 2 3 5 2" xfId="12597"/>
    <cellStyle name="Calculation 3 2 3 6" xfId="12598"/>
    <cellStyle name="Calculation 3 2 3 7" xfId="12599"/>
    <cellStyle name="Calculation 3 2 3 8" xfId="12584"/>
    <cellStyle name="Calculation 3 2 4" xfId="4254"/>
    <cellStyle name="Calculation 3 2 4 2" xfId="4255"/>
    <cellStyle name="Calculation 3 2 4 2 2" xfId="12601"/>
    <cellStyle name="Calculation 3 2 4 3" xfId="12602"/>
    <cellStyle name="Calculation 3 2 4 4" xfId="12600"/>
    <cellStyle name="Calculation 3 2 5" xfId="4256"/>
    <cellStyle name="Calculation 3 2 5 2" xfId="4257"/>
    <cellStyle name="Calculation 3 2 5 2 2" xfId="12604"/>
    <cellStyle name="Calculation 3 2 5 3" xfId="12603"/>
    <cellStyle name="Calculation 3 2 6" xfId="3386"/>
    <cellStyle name="Calculation 3 2 6 2" xfId="12606"/>
    <cellStyle name="Calculation 3 2 6 3" xfId="12605"/>
    <cellStyle name="Calculation 3 2 7" xfId="3387"/>
    <cellStyle name="Calculation 3 2 7 2" xfId="12607"/>
    <cellStyle name="Calculation 3 2 8" xfId="7939"/>
    <cellStyle name="Calculation 3 3" xfId="485"/>
    <cellStyle name="Calculation 3 3 2" xfId="486"/>
    <cellStyle name="Calculation 3 3 2 10" xfId="12608"/>
    <cellStyle name="Calculation 3 3 2 2" xfId="7942"/>
    <cellStyle name="Calculation 3 3 2 2 2" xfId="12609"/>
    <cellStyle name="Calculation 3 3 2 2 2 2" xfId="12610"/>
    <cellStyle name="Calculation 3 3 2 2 3" xfId="12611"/>
    <cellStyle name="Calculation 3 3 2 3" xfId="12612"/>
    <cellStyle name="Calculation 3 3 2 3 2" xfId="12613"/>
    <cellStyle name="Calculation 3 3 2 3 2 2" xfId="12614"/>
    <cellStyle name="Calculation 3 3 2 3 3" xfId="12615"/>
    <cellStyle name="Calculation 3 3 2 4" xfId="12616"/>
    <cellStyle name="Calculation 3 3 2 4 2" xfId="12617"/>
    <cellStyle name="Calculation 3 3 2 4 2 2" xfId="12618"/>
    <cellStyle name="Calculation 3 3 2 4 3" xfId="12619"/>
    <cellStyle name="Calculation 3 3 2 5" xfId="12620"/>
    <cellStyle name="Calculation 3 3 2 5 2" xfId="12621"/>
    <cellStyle name="Calculation 3 3 2 6" xfId="12622"/>
    <cellStyle name="Calculation 3 3 2 6 2" xfId="12623"/>
    <cellStyle name="Calculation 3 3 2 7" xfId="12624"/>
    <cellStyle name="Calculation 3 3 2 7 2" xfId="12625"/>
    <cellStyle name="Calculation 3 3 2 8" xfId="12626"/>
    <cellStyle name="Calculation 3 3 2 8 2" xfId="12627"/>
    <cellStyle name="Calculation 3 3 2 9" xfId="12628"/>
    <cellStyle name="Calculation 3 3 3" xfId="7941"/>
    <cellStyle name="Calculation 3 3 3 2" xfId="12629"/>
    <cellStyle name="Calculation 3 3 3 2 2" xfId="12630"/>
    <cellStyle name="Calculation 3 3 3 2 2 2" xfId="12631"/>
    <cellStyle name="Calculation 3 3 3 2 3" xfId="12632"/>
    <cellStyle name="Calculation 3 3 3 3" xfId="12633"/>
    <cellStyle name="Calculation 3 3 3 3 2" xfId="12634"/>
    <cellStyle name="Calculation 3 3 3 3 2 2" xfId="12635"/>
    <cellStyle name="Calculation 3 3 3 3 3" xfId="12636"/>
    <cellStyle name="Calculation 3 3 3 4" xfId="12637"/>
    <cellStyle name="Calculation 3 3 3 4 2" xfId="12638"/>
    <cellStyle name="Calculation 3 3 3 5" xfId="12639"/>
    <cellStyle name="Calculation 3 3 3 5 2" xfId="12640"/>
    <cellStyle name="Calculation 3 3 3 6" xfId="12641"/>
    <cellStyle name="Calculation 3 3 3 7" xfId="12642"/>
    <cellStyle name="Calculation 3 3 4" xfId="12643"/>
    <cellStyle name="Calculation 3 3 4 2" xfId="12644"/>
    <cellStyle name="Calculation 3 3 5" xfId="12645"/>
    <cellStyle name="Calculation 3 3 5 2" xfId="12646"/>
    <cellStyle name="Calculation 3 3 6" xfId="12647"/>
    <cellStyle name="Calculation 3 3 6 2" xfId="12648"/>
    <cellStyle name="Calculation 3 3 7" xfId="12649"/>
    <cellStyle name="Calculation 3 3 8" xfId="12650"/>
    <cellStyle name="Calculation 3 4" xfId="487"/>
    <cellStyle name="Calculation 3 4 10" xfId="12651"/>
    <cellStyle name="Calculation 3 4 2" xfId="7943"/>
    <cellStyle name="Calculation 3 4 2 2" xfId="12652"/>
    <cellStyle name="Calculation 3 4 2 2 2" xfId="12653"/>
    <cellStyle name="Calculation 3 4 2 3" xfId="12654"/>
    <cellStyle name="Calculation 3 4 2 4" xfId="12655"/>
    <cellStyle name="Calculation 3 4 3" xfId="12656"/>
    <cellStyle name="Calculation 3 4 3 2" xfId="12657"/>
    <cellStyle name="Calculation 3 4 3 2 2" xfId="12658"/>
    <cellStyle name="Calculation 3 4 3 3" xfId="12659"/>
    <cellStyle name="Calculation 3 4 4" xfId="12660"/>
    <cellStyle name="Calculation 3 4 4 2" xfId="12661"/>
    <cellStyle name="Calculation 3 4 4 2 2" xfId="12662"/>
    <cellStyle name="Calculation 3 4 4 3" xfId="12663"/>
    <cellStyle name="Calculation 3 4 5" xfId="12664"/>
    <cellStyle name="Calculation 3 4 5 2" xfId="12665"/>
    <cellStyle name="Calculation 3 4 6" xfId="12666"/>
    <cellStyle name="Calculation 3 4 6 2" xfId="12667"/>
    <cellStyle name="Calculation 3 4 7" xfId="12668"/>
    <cellStyle name="Calculation 3 4 7 2" xfId="12669"/>
    <cellStyle name="Calculation 3 4 8" xfId="12670"/>
    <cellStyle name="Calculation 3 4 8 2" xfId="12671"/>
    <cellStyle name="Calculation 3 4 9" xfId="12672"/>
    <cellStyle name="Calculation 3 5" xfId="4258"/>
    <cellStyle name="Calculation 3 5 10" xfId="12674"/>
    <cellStyle name="Calculation 3 5 11" xfId="12673"/>
    <cellStyle name="Calculation 3 5 2" xfId="3388"/>
    <cellStyle name="Calculation 3 5 2 2" xfId="12676"/>
    <cellStyle name="Calculation 3 5 2 2 2" xfId="12677"/>
    <cellStyle name="Calculation 3 5 2 3" xfId="12678"/>
    <cellStyle name="Calculation 3 5 2 4" xfId="12679"/>
    <cellStyle name="Calculation 3 5 2 5" xfId="12675"/>
    <cellStyle name="Calculation 3 5 3" xfId="12680"/>
    <cellStyle name="Calculation 3 5 3 2" xfId="12681"/>
    <cellStyle name="Calculation 3 5 3 2 2" xfId="12682"/>
    <cellStyle name="Calculation 3 5 3 3" xfId="12683"/>
    <cellStyle name="Calculation 3 5 4" xfId="12684"/>
    <cellStyle name="Calculation 3 5 4 2" xfId="12685"/>
    <cellStyle name="Calculation 3 5 4 2 2" xfId="12686"/>
    <cellStyle name="Calculation 3 5 4 3" xfId="12687"/>
    <cellStyle name="Calculation 3 5 5" xfId="12688"/>
    <cellStyle name="Calculation 3 5 5 2" xfId="12689"/>
    <cellStyle name="Calculation 3 5 6" xfId="12690"/>
    <cellStyle name="Calculation 3 5 6 2" xfId="12691"/>
    <cellStyle name="Calculation 3 5 7" xfId="12692"/>
    <cellStyle name="Calculation 3 5 7 2" xfId="12693"/>
    <cellStyle name="Calculation 3 5 8" xfId="12694"/>
    <cellStyle name="Calculation 3 5 8 2" xfId="12695"/>
    <cellStyle name="Calculation 3 5 9" xfId="12696"/>
    <cellStyle name="Calculation 3 6" xfId="4259"/>
    <cellStyle name="Calculation 3 6 2" xfId="3389"/>
    <cellStyle name="Calculation 3 6 2 2" xfId="12699"/>
    <cellStyle name="Calculation 3 6 2 2 2" xfId="12700"/>
    <cellStyle name="Calculation 3 6 2 3" xfId="12701"/>
    <cellStyle name="Calculation 3 6 2 4" xfId="12698"/>
    <cellStyle name="Calculation 3 6 3" xfId="12702"/>
    <cellStyle name="Calculation 3 6 3 2" xfId="12703"/>
    <cellStyle name="Calculation 3 6 3 2 2" xfId="12704"/>
    <cellStyle name="Calculation 3 6 3 3" xfId="12705"/>
    <cellStyle name="Calculation 3 6 4" xfId="12706"/>
    <cellStyle name="Calculation 3 6 4 2" xfId="12707"/>
    <cellStyle name="Calculation 3 6 5" xfId="12708"/>
    <cellStyle name="Calculation 3 6 5 2" xfId="12709"/>
    <cellStyle name="Calculation 3 6 6" xfId="12710"/>
    <cellStyle name="Calculation 3 6 7" xfId="12711"/>
    <cellStyle name="Calculation 3 6 8" xfId="12697"/>
    <cellStyle name="Calculation 3 7" xfId="4260"/>
    <cellStyle name="Calculation 3 7 2" xfId="12713"/>
    <cellStyle name="Calculation 3 7 3" xfId="12712"/>
    <cellStyle name="Calculation 3 8" xfId="3390"/>
    <cellStyle name="Calculation 3 8 2" xfId="12715"/>
    <cellStyle name="Calculation 3 8 3" xfId="12714"/>
    <cellStyle name="Calculation 3 9" xfId="7938"/>
    <cellStyle name="Calculation 3 9 2" xfId="12716"/>
    <cellStyle name="Calculation 30" xfId="2577"/>
    <cellStyle name="Calculation 30 10" xfId="12717"/>
    <cellStyle name="Calculation 30 11" xfId="12718"/>
    <cellStyle name="Calculation 30 2" xfId="3391"/>
    <cellStyle name="Calculation 30 2 2" xfId="12720"/>
    <cellStyle name="Calculation 30 2 2 10" xfId="12721"/>
    <cellStyle name="Calculation 30 2 2 2" xfId="12722"/>
    <cellStyle name="Calculation 30 2 2 2 2" xfId="12723"/>
    <cellStyle name="Calculation 30 2 2 2 2 2" xfId="12724"/>
    <cellStyle name="Calculation 30 2 2 2 3" xfId="12725"/>
    <cellStyle name="Calculation 30 2 2 2 4" xfId="12726"/>
    <cellStyle name="Calculation 30 2 2 3" xfId="12727"/>
    <cellStyle name="Calculation 30 2 2 3 2" xfId="12728"/>
    <cellStyle name="Calculation 30 2 2 3 2 2" xfId="12729"/>
    <cellStyle name="Calculation 30 2 2 3 3" xfId="12730"/>
    <cellStyle name="Calculation 30 2 2 4" xfId="12731"/>
    <cellStyle name="Calculation 30 2 2 4 2" xfId="12732"/>
    <cellStyle name="Calculation 30 2 2 4 2 2" xfId="12733"/>
    <cellStyle name="Calculation 30 2 2 4 3" xfId="12734"/>
    <cellStyle name="Calculation 30 2 2 5" xfId="12735"/>
    <cellStyle name="Calculation 30 2 2 5 2" xfId="12736"/>
    <cellStyle name="Calculation 30 2 2 6" xfId="12737"/>
    <cellStyle name="Calculation 30 2 2 6 2" xfId="12738"/>
    <cellStyle name="Calculation 30 2 2 7" xfId="12739"/>
    <cellStyle name="Calculation 30 2 2 7 2" xfId="12740"/>
    <cellStyle name="Calculation 30 2 2 8" xfId="12741"/>
    <cellStyle name="Calculation 30 2 2 8 2" xfId="12742"/>
    <cellStyle name="Calculation 30 2 2 9" xfId="12743"/>
    <cellStyle name="Calculation 30 2 3" xfId="12744"/>
    <cellStyle name="Calculation 30 2 3 2" xfId="12745"/>
    <cellStyle name="Calculation 30 2 3 2 2" xfId="12746"/>
    <cellStyle name="Calculation 30 2 3 2 2 2" xfId="12747"/>
    <cellStyle name="Calculation 30 2 3 2 3" xfId="12748"/>
    <cellStyle name="Calculation 30 2 3 2 4" xfId="12749"/>
    <cellStyle name="Calculation 30 2 3 3" xfId="12750"/>
    <cellStyle name="Calculation 30 2 3 3 2" xfId="12751"/>
    <cellStyle name="Calculation 30 2 3 3 2 2" xfId="12752"/>
    <cellStyle name="Calculation 30 2 3 3 3" xfId="12753"/>
    <cellStyle name="Calculation 30 2 3 4" xfId="12754"/>
    <cellStyle name="Calculation 30 2 3 4 2" xfId="12755"/>
    <cellStyle name="Calculation 30 2 3 5" xfId="12756"/>
    <cellStyle name="Calculation 30 2 3 5 2" xfId="12757"/>
    <cellStyle name="Calculation 30 2 3 6" xfId="12758"/>
    <cellStyle name="Calculation 30 2 3 7" xfId="12759"/>
    <cellStyle name="Calculation 30 2 4" xfId="12760"/>
    <cellStyle name="Calculation 30 2 4 2" xfId="12761"/>
    <cellStyle name="Calculation 30 2 4 3" xfId="12762"/>
    <cellStyle name="Calculation 30 2 5" xfId="12763"/>
    <cellStyle name="Calculation 30 2 5 2" xfId="12764"/>
    <cellStyle name="Calculation 30 2 6" xfId="12765"/>
    <cellStyle name="Calculation 30 2 6 2" xfId="12766"/>
    <cellStyle name="Calculation 30 2 7" xfId="12767"/>
    <cellStyle name="Calculation 30 2 8" xfId="12768"/>
    <cellStyle name="Calculation 30 2 9" xfId="12719"/>
    <cellStyle name="Calculation 30 3" xfId="4261"/>
    <cellStyle name="Calculation 30 3 2" xfId="12770"/>
    <cellStyle name="Calculation 30 3 2 10" xfId="12771"/>
    <cellStyle name="Calculation 30 3 2 2" xfId="12772"/>
    <cellStyle name="Calculation 30 3 2 2 2" xfId="12773"/>
    <cellStyle name="Calculation 30 3 2 2 2 2" xfId="12774"/>
    <cellStyle name="Calculation 30 3 2 2 3" xfId="12775"/>
    <cellStyle name="Calculation 30 3 2 3" xfId="12776"/>
    <cellStyle name="Calculation 30 3 2 3 2" xfId="12777"/>
    <cellStyle name="Calculation 30 3 2 3 2 2" xfId="12778"/>
    <cellStyle name="Calculation 30 3 2 3 3" xfId="12779"/>
    <cellStyle name="Calculation 30 3 2 4" xfId="12780"/>
    <cellStyle name="Calculation 30 3 2 4 2" xfId="12781"/>
    <cellStyle name="Calculation 30 3 2 4 2 2" xfId="12782"/>
    <cellStyle name="Calculation 30 3 2 4 3" xfId="12783"/>
    <cellStyle name="Calculation 30 3 2 5" xfId="12784"/>
    <cellStyle name="Calculation 30 3 2 5 2" xfId="12785"/>
    <cellStyle name="Calculation 30 3 2 6" xfId="12786"/>
    <cellStyle name="Calculation 30 3 2 6 2" xfId="12787"/>
    <cellStyle name="Calculation 30 3 2 7" xfId="12788"/>
    <cellStyle name="Calculation 30 3 2 7 2" xfId="12789"/>
    <cellStyle name="Calculation 30 3 2 8" xfId="12790"/>
    <cellStyle name="Calculation 30 3 2 8 2" xfId="12791"/>
    <cellStyle name="Calculation 30 3 2 9" xfId="12792"/>
    <cellStyle name="Calculation 30 3 3" xfId="12793"/>
    <cellStyle name="Calculation 30 3 3 2" xfId="12794"/>
    <cellStyle name="Calculation 30 3 3 2 2" xfId="12795"/>
    <cellStyle name="Calculation 30 3 3 2 2 2" xfId="12796"/>
    <cellStyle name="Calculation 30 3 3 2 3" xfId="12797"/>
    <cellStyle name="Calculation 30 3 3 3" xfId="12798"/>
    <cellStyle name="Calculation 30 3 3 3 2" xfId="12799"/>
    <cellStyle name="Calculation 30 3 3 3 2 2" xfId="12800"/>
    <cellStyle name="Calculation 30 3 3 3 3" xfId="12801"/>
    <cellStyle name="Calculation 30 3 3 4" xfId="12802"/>
    <cellStyle name="Calculation 30 3 3 4 2" xfId="12803"/>
    <cellStyle name="Calculation 30 3 3 5" xfId="12804"/>
    <cellStyle name="Calculation 30 3 3 5 2" xfId="12805"/>
    <cellStyle name="Calculation 30 3 3 6" xfId="12806"/>
    <cellStyle name="Calculation 30 3 3 7" xfId="12807"/>
    <cellStyle name="Calculation 30 3 4" xfId="12808"/>
    <cellStyle name="Calculation 30 3 4 2" xfId="12809"/>
    <cellStyle name="Calculation 30 3 5" xfId="12810"/>
    <cellStyle name="Calculation 30 3 5 2" xfId="12811"/>
    <cellStyle name="Calculation 30 3 6" xfId="12812"/>
    <cellStyle name="Calculation 30 3 6 2" xfId="12813"/>
    <cellStyle name="Calculation 30 3 7" xfId="12814"/>
    <cellStyle name="Calculation 30 3 8" xfId="12815"/>
    <cellStyle name="Calculation 30 3 9" xfId="12769"/>
    <cellStyle name="Calculation 30 4" xfId="3392"/>
    <cellStyle name="Calculation 30 4 10" xfId="12817"/>
    <cellStyle name="Calculation 30 4 11" xfId="12816"/>
    <cellStyle name="Calculation 30 4 2" xfId="4262"/>
    <cellStyle name="Calculation 30 4 2 2" xfId="12819"/>
    <cellStyle name="Calculation 30 4 2 2 2" xfId="12820"/>
    <cellStyle name="Calculation 30 4 2 3" xfId="12821"/>
    <cellStyle name="Calculation 30 4 2 4" xfId="12822"/>
    <cellStyle name="Calculation 30 4 2 5" xfId="12818"/>
    <cellStyle name="Calculation 30 4 3" xfId="12823"/>
    <cellStyle name="Calculation 30 4 3 2" xfId="12824"/>
    <cellStyle name="Calculation 30 4 3 2 2" xfId="12825"/>
    <cellStyle name="Calculation 30 4 3 3" xfId="12826"/>
    <cellStyle name="Calculation 30 4 4" xfId="12827"/>
    <cellStyle name="Calculation 30 4 4 2" xfId="12828"/>
    <cellStyle name="Calculation 30 4 4 2 2" xfId="12829"/>
    <cellStyle name="Calculation 30 4 4 3" xfId="12830"/>
    <cellStyle name="Calculation 30 4 5" xfId="12831"/>
    <cellStyle name="Calculation 30 4 5 2" xfId="12832"/>
    <cellStyle name="Calculation 30 4 6" xfId="12833"/>
    <cellStyle name="Calculation 30 4 6 2" xfId="12834"/>
    <cellStyle name="Calculation 30 4 7" xfId="12835"/>
    <cellStyle name="Calculation 30 4 7 2" xfId="12836"/>
    <cellStyle name="Calculation 30 4 8" xfId="12837"/>
    <cellStyle name="Calculation 30 4 8 2" xfId="12838"/>
    <cellStyle name="Calculation 30 4 9" xfId="12839"/>
    <cellStyle name="Calculation 30 5" xfId="3393"/>
    <cellStyle name="Calculation 30 5 10" xfId="12841"/>
    <cellStyle name="Calculation 30 5 11" xfId="12840"/>
    <cellStyle name="Calculation 30 5 2" xfId="4263"/>
    <cellStyle name="Calculation 30 5 2 2" xfId="12843"/>
    <cellStyle name="Calculation 30 5 2 2 2" xfId="12844"/>
    <cellStyle name="Calculation 30 5 2 3" xfId="12845"/>
    <cellStyle name="Calculation 30 5 2 4" xfId="12846"/>
    <cellStyle name="Calculation 30 5 2 5" xfId="12842"/>
    <cellStyle name="Calculation 30 5 3" xfId="12847"/>
    <cellStyle name="Calculation 30 5 3 2" xfId="12848"/>
    <cellStyle name="Calculation 30 5 3 2 2" xfId="12849"/>
    <cellStyle name="Calculation 30 5 3 3" xfId="12850"/>
    <cellStyle name="Calculation 30 5 4" xfId="12851"/>
    <cellStyle name="Calculation 30 5 4 2" xfId="12852"/>
    <cellStyle name="Calculation 30 5 4 2 2" xfId="12853"/>
    <cellStyle name="Calculation 30 5 4 3" xfId="12854"/>
    <cellStyle name="Calculation 30 5 5" xfId="12855"/>
    <cellStyle name="Calculation 30 5 5 2" xfId="12856"/>
    <cellStyle name="Calculation 30 5 6" xfId="12857"/>
    <cellStyle name="Calculation 30 5 6 2" xfId="12858"/>
    <cellStyle name="Calculation 30 5 7" xfId="12859"/>
    <cellStyle name="Calculation 30 5 7 2" xfId="12860"/>
    <cellStyle name="Calculation 30 5 8" xfId="12861"/>
    <cellStyle name="Calculation 30 5 8 2" xfId="12862"/>
    <cellStyle name="Calculation 30 5 9" xfId="12863"/>
    <cellStyle name="Calculation 30 6" xfId="4264"/>
    <cellStyle name="Calculation 30 6 2" xfId="12865"/>
    <cellStyle name="Calculation 30 6 2 2" xfId="12866"/>
    <cellStyle name="Calculation 30 6 2 2 2" xfId="12867"/>
    <cellStyle name="Calculation 30 6 2 3" xfId="12868"/>
    <cellStyle name="Calculation 30 6 3" xfId="12869"/>
    <cellStyle name="Calculation 30 6 3 2" xfId="12870"/>
    <cellStyle name="Calculation 30 6 3 2 2" xfId="12871"/>
    <cellStyle name="Calculation 30 6 3 3" xfId="12872"/>
    <cellStyle name="Calculation 30 6 4" xfId="12873"/>
    <cellStyle name="Calculation 30 6 4 2" xfId="12874"/>
    <cellStyle name="Calculation 30 6 5" xfId="12875"/>
    <cellStyle name="Calculation 30 6 5 2" xfId="12876"/>
    <cellStyle name="Calculation 30 6 6" xfId="12877"/>
    <cellStyle name="Calculation 30 6 7" xfId="12878"/>
    <cellStyle name="Calculation 30 6 8" xfId="12864"/>
    <cellStyle name="Calculation 30 7" xfId="4265"/>
    <cellStyle name="Calculation 30 7 2" xfId="12880"/>
    <cellStyle name="Calculation 30 7 3" xfId="12879"/>
    <cellStyle name="Calculation 30 8" xfId="8316"/>
    <cellStyle name="Calculation 30 8 2" xfId="12881"/>
    <cellStyle name="Calculation 30 9" xfId="12882"/>
    <cellStyle name="Calculation 30 9 2" xfId="12883"/>
    <cellStyle name="Calculation 31" xfId="2578"/>
    <cellStyle name="Calculation 31 10" xfId="12884"/>
    <cellStyle name="Calculation 31 11" xfId="12885"/>
    <cellStyle name="Calculation 31 2" xfId="4266"/>
    <cellStyle name="Calculation 31 2 2" xfId="12887"/>
    <cellStyle name="Calculation 31 2 2 10" xfId="12888"/>
    <cellStyle name="Calculation 31 2 2 2" xfId="12889"/>
    <cellStyle name="Calculation 31 2 2 2 2" xfId="12890"/>
    <cellStyle name="Calculation 31 2 2 2 2 2" xfId="12891"/>
    <cellStyle name="Calculation 31 2 2 2 3" xfId="12892"/>
    <cellStyle name="Calculation 31 2 2 2 4" xfId="12893"/>
    <cellStyle name="Calculation 31 2 2 3" xfId="12894"/>
    <cellStyle name="Calculation 31 2 2 3 2" xfId="12895"/>
    <cellStyle name="Calculation 31 2 2 3 2 2" xfId="12896"/>
    <cellStyle name="Calculation 31 2 2 3 3" xfId="12897"/>
    <cellStyle name="Calculation 31 2 2 4" xfId="12898"/>
    <cellStyle name="Calculation 31 2 2 4 2" xfId="12899"/>
    <cellStyle name="Calculation 31 2 2 4 2 2" xfId="12900"/>
    <cellStyle name="Calculation 31 2 2 4 3" xfId="12901"/>
    <cellStyle name="Calculation 31 2 2 5" xfId="12902"/>
    <cellStyle name="Calculation 31 2 2 5 2" xfId="12903"/>
    <cellStyle name="Calculation 31 2 2 6" xfId="12904"/>
    <cellStyle name="Calculation 31 2 2 6 2" xfId="12905"/>
    <cellStyle name="Calculation 31 2 2 7" xfId="12906"/>
    <cellStyle name="Calculation 31 2 2 7 2" xfId="12907"/>
    <cellStyle name="Calculation 31 2 2 8" xfId="12908"/>
    <cellStyle name="Calculation 31 2 2 8 2" xfId="12909"/>
    <cellStyle name="Calculation 31 2 2 9" xfId="12910"/>
    <cellStyle name="Calculation 31 2 3" xfId="12911"/>
    <cellStyle name="Calculation 31 2 3 2" xfId="12912"/>
    <cellStyle name="Calculation 31 2 3 2 2" xfId="12913"/>
    <cellStyle name="Calculation 31 2 3 2 2 2" xfId="12914"/>
    <cellStyle name="Calculation 31 2 3 2 3" xfId="12915"/>
    <cellStyle name="Calculation 31 2 3 2 4" xfId="12916"/>
    <cellStyle name="Calculation 31 2 3 3" xfId="12917"/>
    <cellStyle name="Calculation 31 2 3 3 2" xfId="12918"/>
    <cellStyle name="Calculation 31 2 3 3 2 2" xfId="12919"/>
    <cellStyle name="Calculation 31 2 3 3 3" xfId="12920"/>
    <cellStyle name="Calculation 31 2 3 4" xfId="12921"/>
    <cellStyle name="Calculation 31 2 3 4 2" xfId="12922"/>
    <cellStyle name="Calculation 31 2 3 5" xfId="12923"/>
    <cellStyle name="Calculation 31 2 3 5 2" xfId="12924"/>
    <cellStyle name="Calculation 31 2 3 6" xfId="12925"/>
    <cellStyle name="Calculation 31 2 3 7" xfId="12926"/>
    <cellStyle name="Calculation 31 2 4" xfId="12927"/>
    <cellStyle name="Calculation 31 2 4 2" xfId="12928"/>
    <cellStyle name="Calculation 31 2 4 3" xfId="12929"/>
    <cellStyle name="Calculation 31 2 5" xfId="12930"/>
    <cellStyle name="Calculation 31 2 5 2" xfId="12931"/>
    <cellStyle name="Calculation 31 2 6" xfId="12932"/>
    <cellStyle name="Calculation 31 2 6 2" xfId="12933"/>
    <cellStyle name="Calculation 31 2 7" xfId="12934"/>
    <cellStyle name="Calculation 31 2 8" xfId="12935"/>
    <cellStyle name="Calculation 31 2 9" xfId="12886"/>
    <cellStyle name="Calculation 31 3" xfId="4267"/>
    <cellStyle name="Calculation 31 3 2" xfId="12937"/>
    <cellStyle name="Calculation 31 3 2 10" xfId="12938"/>
    <cellStyle name="Calculation 31 3 2 2" xfId="12939"/>
    <cellStyle name="Calculation 31 3 2 2 2" xfId="12940"/>
    <cellStyle name="Calculation 31 3 2 2 2 2" xfId="12941"/>
    <cellStyle name="Calculation 31 3 2 2 3" xfId="12942"/>
    <cellStyle name="Calculation 31 3 2 3" xfId="12943"/>
    <cellStyle name="Calculation 31 3 2 3 2" xfId="12944"/>
    <cellStyle name="Calculation 31 3 2 3 2 2" xfId="12945"/>
    <cellStyle name="Calculation 31 3 2 3 3" xfId="12946"/>
    <cellStyle name="Calculation 31 3 2 4" xfId="12947"/>
    <cellStyle name="Calculation 31 3 2 4 2" xfId="12948"/>
    <cellStyle name="Calculation 31 3 2 4 2 2" xfId="12949"/>
    <cellStyle name="Calculation 31 3 2 4 3" xfId="12950"/>
    <cellStyle name="Calculation 31 3 2 5" xfId="12951"/>
    <cellStyle name="Calculation 31 3 2 5 2" xfId="12952"/>
    <cellStyle name="Calculation 31 3 2 6" xfId="12953"/>
    <cellStyle name="Calculation 31 3 2 6 2" xfId="12954"/>
    <cellStyle name="Calculation 31 3 2 7" xfId="12955"/>
    <cellStyle name="Calculation 31 3 2 7 2" xfId="12956"/>
    <cellStyle name="Calculation 31 3 2 8" xfId="12957"/>
    <cellStyle name="Calculation 31 3 2 8 2" xfId="12958"/>
    <cellStyle name="Calculation 31 3 2 9" xfId="12959"/>
    <cellStyle name="Calculation 31 3 3" xfId="12960"/>
    <cellStyle name="Calculation 31 3 3 2" xfId="12961"/>
    <cellStyle name="Calculation 31 3 3 2 2" xfId="12962"/>
    <cellStyle name="Calculation 31 3 3 2 2 2" xfId="12963"/>
    <cellStyle name="Calculation 31 3 3 2 3" xfId="12964"/>
    <cellStyle name="Calculation 31 3 3 3" xfId="12965"/>
    <cellStyle name="Calculation 31 3 3 3 2" xfId="12966"/>
    <cellStyle name="Calculation 31 3 3 3 2 2" xfId="12967"/>
    <cellStyle name="Calculation 31 3 3 3 3" xfId="12968"/>
    <cellStyle name="Calculation 31 3 3 4" xfId="12969"/>
    <cellStyle name="Calculation 31 3 3 4 2" xfId="12970"/>
    <cellStyle name="Calculation 31 3 3 5" xfId="12971"/>
    <cellStyle name="Calculation 31 3 3 5 2" xfId="12972"/>
    <cellStyle name="Calculation 31 3 3 6" xfId="12973"/>
    <cellStyle name="Calculation 31 3 3 7" xfId="12974"/>
    <cellStyle name="Calculation 31 3 4" xfId="12975"/>
    <cellStyle name="Calculation 31 3 4 2" xfId="12976"/>
    <cellStyle name="Calculation 31 3 5" xfId="12977"/>
    <cellStyle name="Calculation 31 3 5 2" xfId="12978"/>
    <cellStyle name="Calculation 31 3 6" xfId="12979"/>
    <cellStyle name="Calculation 31 3 6 2" xfId="12980"/>
    <cellStyle name="Calculation 31 3 7" xfId="12981"/>
    <cellStyle name="Calculation 31 3 8" xfId="12982"/>
    <cellStyle name="Calculation 31 3 9" xfId="12936"/>
    <cellStyle name="Calculation 31 4" xfId="4268"/>
    <cellStyle name="Calculation 31 4 10" xfId="12984"/>
    <cellStyle name="Calculation 31 4 11" xfId="12983"/>
    <cellStyle name="Calculation 31 4 2" xfId="4269"/>
    <cellStyle name="Calculation 31 4 2 2" xfId="12986"/>
    <cellStyle name="Calculation 31 4 2 2 2" xfId="12987"/>
    <cellStyle name="Calculation 31 4 2 3" xfId="12988"/>
    <cellStyle name="Calculation 31 4 2 4" xfId="12989"/>
    <cellStyle name="Calculation 31 4 2 5" xfId="12985"/>
    <cellStyle name="Calculation 31 4 3" xfId="12990"/>
    <cellStyle name="Calculation 31 4 3 2" xfId="12991"/>
    <cellStyle name="Calculation 31 4 3 2 2" xfId="12992"/>
    <cellStyle name="Calculation 31 4 3 3" xfId="12993"/>
    <cellStyle name="Calculation 31 4 4" xfId="12994"/>
    <cellStyle name="Calculation 31 4 4 2" xfId="12995"/>
    <cellStyle name="Calculation 31 4 4 2 2" xfId="12996"/>
    <cellStyle name="Calculation 31 4 4 3" xfId="12997"/>
    <cellStyle name="Calculation 31 4 5" xfId="12998"/>
    <cellStyle name="Calculation 31 4 5 2" xfId="12999"/>
    <cellStyle name="Calculation 31 4 6" xfId="13000"/>
    <cellStyle name="Calculation 31 4 6 2" xfId="13001"/>
    <cellStyle name="Calculation 31 4 7" xfId="13002"/>
    <cellStyle name="Calculation 31 4 7 2" xfId="13003"/>
    <cellStyle name="Calculation 31 4 8" xfId="13004"/>
    <cellStyle name="Calculation 31 4 8 2" xfId="13005"/>
    <cellStyle name="Calculation 31 4 9" xfId="13006"/>
    <cellStyle name="Calculation 31 5" xfId="4270"/>
    <cellStyle name="Calculation 31 5 10" xfId="13008"/>
    <cellStyle name="Calculation 31 5 11" xfId="13007"/>
    <cellStyle name="Calculation 31 5 2" xfId="3394"/>
    <cellStyle name="Calculation 31 5 2 2" xfId="13010"/>
    <cellStyle name="Calculation 31 5 2 2 2" xfId="13011"/>
    <cellStyle name="Calculation 31 5 2 3" xfId="13012"/>
    <cellStyle name="Calculation 31 5 2 4" xfId="13013"/>
    <cellStyle name="Calculation 31 5 2 5" xfId="13009"/>
    <cellStyle name="Calculation 31 5 3" xfId="13014"/>
    <cellStyle name="Calculation 31 5 3 2" xfId="13015"/>
    <cellStyle name="Calculation 31 5 3 2 2" xfId="13016"/>
    <cellStyle name="Calculation 31 5 3 3" xfId="13017"/>
    <cellStyle name="Calculation 31 5 4" xfId="13018"/>
    <cellStyle name="Calculation 31 5 4 2" xfId="13019"/>
    <cellStyle name="Calculation 31 5 4 2 2" xfId="13020"/>
    <cellStyle name="Calculation 31 5 4 3" xfId="13021"/>
    <cellStyle name="Calculation 31 5 5" xfId="13022"/>
    <cellStyle name="Calculation 31 5 5 2" xfId="13023"/>
    <cellStyle name="Calculation 31 5 6" xfId="13024"/>
    <cellStyle name="Calculation 31 5 6 2" xfId="13025"/>
    <cellStyle name="Calculation 31 5 7" xfId="13026"/>
    <cellStyle name="Calculation 31 5 7 2" xfId="13027"/>
    <cellStyle name="Calculation 31 5 8" xfId="13028"/>
    <cellStyle name="Calculation 31 5 8 2" xfId="13029"/>
    <cellStyle name="Calculation 31 5 9" xfId="13030"/>
    <cellStyle name="Calculation 31 6" xfId="4271"/>
    <cellStyle name="Calculation 31 6 2" xfId="13032"/>
    <cellStyle name="Calculation 31 6 2 2" xfId="13033"/>
    <cellStyle name="Calculation 31 6 2 2 2" xfId="13034"/>
    <cellStyle name="Calculation 31 6 2 3" xfId="13035"/>
    <cellStyle name="Calculation 31 6 3" xfId="13036"/>
    <cellStyle name="Calculation 31 6 3 2" xfId="13037"/>
    <cellStyle name="Calculation 31 6 3 2 2" xfId="13038"/>
    <cellStyle name="Calculation 31 6 3 3" xfId="13039"/>
    <cellStyle name="Calculation 31 6 4" xfId="13040"/>
    <cellStyle name="Calculation 31 6 4 2" xfId="13041"/>
    <cellStyle name="Calculation 31 6 5" xfId="13042"/>
    <cellStyle name="Calculation 31 6 5 2" xfId="13043"/>
    <cellStyle name="Calculation 31 6 6" xfId="13044"/>
    <cellStyle name="Calculation 31 6 7" xfId="13045"/>
    <cellStyle name="Calculation 31 6 8" xfId="13031"/>
    <cellStyle name="Calculation 31 7" xfId="3395"/>
    <cellStyle name="Calculation 31 7 2" xfId="13047"/>
    <cellStyle name="Calculation 31 7 3" xfId="13046"/>
    <cellStyle name="Calculation 31 8" xfId="8317"/>
    <cellStyle name="Calculation 31 8 2" xfId="13048"/>
    <cellStyle name="Calculation 31 9" xfId="13049"/>
    <cellStyle name="Calculation 31 9 2" xfId="13050"/>
    <cellStyle name="Calculation 32" xfId="2579"/>
    <cellStyle name="Calculation 32 10" xfId="13051"/>
    <cellStyle name="Calculation 32 11" xfId="13052"/>
    <cellStyle name="Calculation 32 2" xfId="3396"/>
    <cellStyle name="Calculation 32 2 2" xfId="13054"/>
    <cellStyle name="Calculation 32 2 2 10" xfId="13055"/>
    <cellStyle name="Calculation 32 2 2 2" xfId="13056"/>
    <cellStyle name="Calculation 32 2 2 2 2" xfId="13057"/>
    <cellStyle name="Calculation 32 2 2 2 2 2" xfId="13058"/>
    <cellStyle name="Calculation 32 2 2 2 3" xfId="13059"/>
    <cellStyle name="Calculation 32 2 2 2 4" xfId="13060"/>
    <cellStyle name="Calculation 32 2 2 3" xfId="13061"/>
    <cellStyle name="Calculation 32 2 2 3 2" xfId="13062"/>
    <cellStyle name="Calculation 32 2 2 3 2 2" xfId="13063"/>
    <cellStyle name="Calculation 32 2 2 3 3" xfId="13064"/>
    <cellStyle name="Calculation 32 2 2 4" xfId="13065"/>
    <cellStyle name="Calculation 32 2 2 4 2" xfId="13066"/>
    <cellStyle name="Calculation 32 2 2 4 2 2" xfId="13067"/>
    <cellStyle name="Calculation 32 2 2 4 3" xfId="13068"/>
    <cellStyle name="Calculation 32 2 2 5" xfId="13069"/>
    <cellStyle name="Calculation 32 2 2 5 2" xfId="13070"/>
    <cellStyle name="Calculation 32 2 2 6" xfId="13071"/>
    <cellStyle name="Calculation 32 2 2 6 2" xfId="13072"/>
    <cellStyle name="Calculation 32 2 2 7" xfId="13073"/>
    <cellStyle name="Calculation 32 2 2 7 2" xfId="13074"/>
    <cellStyle name="Calculation 32 2 2 8" xfId="13075"/>
    <cellStyle name="Calculation 32 2 2 8 2" xfId="13076"/>
    <cellStyle name="Calculation 32 2 2 9" xfId="13077"/>
    <cellStyle name="Calculation 32 2 3" xfId="13078"/>
    <cellStyle name="Calculation 32 2 3 2" xfId="13079"/>
    <cellStyle name="Calculation 32 2 3 2 2" xfId="13080"/>
    <cellStyle name="Calculation 32 2 3 2 2 2" xfId="13081"/>
    <cellStyle name="Calculation 32 2 3 2 3" xfId="13082"/>
    <cellStyle name="Calculation 32 2 3 2 4" xfId="13083"/>
    <cellStyle name="Calculation 32 2 3 3" xfId="13084"/>
    <cellStyle name="Calculation 32 2 3 3 2" xfId="13085"/>
    <cellStyle name="Calculation 32 2 3 3 2 2" xfId="13086"/>
    <cellStyle name="Calculation 32 2 3 3 3" xfId="13087"/>
    <cellStyle name="Calculation 32 2 3 4" xfId="13088"/>
    <cellStyle name="Calculation 32 2 3 4 2" xfId="13089"/>
    <cellStyle name="Calculation 32 2 3 5" xfId="13090"/>
    <cellStyle name="Calculation 32 2 3 5 2" xfId="13091"/>
    <cellStyle name="Calculation 32 2 3 6" xfId="13092"/>
    <cellStyle name="Calculation 32 2 3 7" xfId="13093"/>
    <cellStyle name="Calculation 32 2 4" xfId="13094"/>
    <cellStyle name="Calculation 32 2 4 2" xfId="13095"/>
    <cellStyle name="Calculation 32 2 4 3" xfId="13096"/>
    <cellStyle name="Calculation 32 2 5" xfId="13097"/>
    <cellStyle name="Calculation 32 2 5 2" xfId="13098"/>
    <cellStyle name="Calculation 32 2 6" xfId="13099"/>
    <cellStyle name="Calculation 32 2 6 2" xfId="13100"/>
    <cellStyle name="Calculation 32 2 7" xfId="13101"/>
    <cellStyle name="Calculation 32 2 8" xfId="13102"/>
    <cellStyle name="Calculation 32 2 9" xfId="13053"/>
    <cellStyle name="Calculation 32 3" xfId="4272"/>
    <cellStyle name="Calculation 32 3 2" xfId="13104"/>
    <cellStyle name="Calculation 32 3 2 10" xfId="13105"/>
    <cellStyle name="Calculation 32 3 2 2" xfId="13106"/>
    <cellStyle name="Calculation 32 3 2 2 2" xfId="13107"/>
    <cellStyle name="Calculation 32 3 2 2 2 2" xfId="13108"/>
    <cellStyle name="Calculation 32 3 2 2 3" xfId="13109"/>
    <cellStyle name="Calculation 32 3 2 3" xfId="13110"/>
    <cellStyle name="Calculation 32 3 2 3 2" xfId="13111"/>
    <cellStyle name="Calculation 32 3 2 3 2 2" xfId="13112"/>
    <cellStyle name="Calculation 32 3 2 3 3" xfId="13113"/>
    <cellStyle name="Calculation 32 3 2 4" xfId="13114"/>
    <cellStyle name="Calculation 32 3 2 4 2" xfId="13115"/>
    <cellStyle name="Calculation 32 3 2 4 2 2" xfId="13116"/>
    <cellStyle name="Calculation 32 3 2 4 3" xfId="13117"/>
    <cellStyle name="Calculation 32 3 2 5" xfId="13118"/>
    <cellStyle name="Calculation 32 3 2 5 2" xfId="13119"/>
    <cellStyle name="Calculation 32 3 2 6" xfId="13120"/>
    <cellStyle name="Calculation 32 3 2 6 2" xfId="13121"/>
    <cellStyle name="Calculation 32 3 2 7" xfId="13122"/>
    <cellStyle name="Calculation 32 3 2 7 2" xfId="13123"/>
    <cellStyle name="Calculation 32 3 2 8" xfId="13124"/>
    <cellStyle name="Calculation 32 3 2 8 2" xfId="13125"/>
    <cellStyle name="Calculation 32 3 2 9" xfId="13126"/>
    <cellStyle name="Calculation 32 3 3" xfId="13127"/>
    <cellStyle name="Calculation 32 3 3 2" xfId="13128"/>
    <cellStyle name="Calculation 32 3 3 2 2" xfId="13129"/>
    <cellStyle name="Calculation 32 3 3 2 2 2" xfId="13130"/>
    <cellStyle name="Calculation 32 3 3 2 3" xfId="13131"/>
    <cellStyle name="Calculation 32 3 3 3" xfId="13132"/>
    <cellStyle name="Calculation 32 3 3 3 2" xfId="13133"/>
    <cellStyle name="Calculation 32 3 3 3 2 2" xfId="13134"/>
    <cellStyle name="Calculation 32 3 3 3 3" xfId="13135"/>
    <cellStyle name="Calculation 32 3 3 4" xfId="13136"/>
    <cellStyle name="Calculation 32 3 3 4 2" xfId="13137"/>
    <cellStyle name="Calculation 32 3 3 5" xfId="13138"/>
    <cellStyle name="Calculation 32 3 3 5 2" xfId="13139"/>
    <cellStyle name="Calculation 32 3 3 6" xfId="13140"/>
    <cellStyle name="Calculation 32 3 3 7" xfId="13141"/>
    <cellStyle name="Calculation 32 3 4" xfId="13142"/>
    <cellStyle name="Calculation 32 3 4 2" xfId="13143"/>
    <cellStyle name="Calculation 32 3 5" xfId="13144"/>
    <cellStyle name="Calculation 32 3 5 2" xfId="13145"/>
    <cellStyle name="Calculation 32 3 6" xfId="13146"/>
    <cellStyle name="Calculation 32 3 6 2" xfId="13147"/>
    <cellStyle name="Calculation 32 3 7" xfId="13148"/>
    <cellStyle name="Calculation 32 3 8" xfId="13149"/>
    <cellStyle name="Calculation 32 3 9" xfId="13103"/>
    <cellStyle name="Calculation 32 4" xfId="4273"/>
    <cellStyle name="Calculation 32 4 10" xfId="13151"/>
    <cellStyle name="Calculation 32 4 11" xfId="13150"/>
    <cellStyle name="Calculation 32 4 2" xfId="3397"/>
    <cellStyle name="Calculation 32 4 2 2" xfId="13153"/>
    <cellStyle name="Calculation 32 4 2 2 2" xfId="13154"/>
    <cellStyle name="Calculation 32 4 2 3" xfId="13155"/>
    <cellStyle name="Calculation 32 4 2 4" xfId="13156"/>
    <cellStyle name="Calculation 32 4 2 5" xfId="13152"/>
    <cellStyle name="Calculation 32 4 3" xfId="13157"/>
    <cellStyle name="Calculation 32 4 3 2" xfId="13158"/>
    <cellStyle name="Calculation 32 4 3 2 2" xfId="13159"/>
    <cellStyle name="Calculation 32 4 3 3" xfId="13160"/>
    <cellStyle name="Calculation 32 4 4" xfId="13161"/>
    <cellStyle name="Calculation 32 4 4 2" xfId="13162"/>
    <cellStyle name="Calculation 32 4 4 2 2" xfId="13163"/>
    <cellStyle name="Calculation 32 4 4 3" xfId="13164"/>
    <cellStyle name="Calculation 32 4 5" xfId="13165"/>
    <cellStyle name="Calculation 32 4 5 2" xfId="13166"/>
    <cellStyle name="Calculation 32 4 6" xfId="13167"/>
    <cellStyle name="Calculation 32 4 6 2" xfId="13168"/>
    <cellStyle name="Calculation 32 4 7" xfId="13169"/>
    <cellStyle name="Calculation 32 4 7 2" xfId="13170"/>
    <cellStyle name="Calculation 32 4 8" xfId="13171"/>
    <cellStyle name="Calculation 32 4 8 2" xfId="13172"/>
    <cellStyle name="Calculation 32 4 9" xfId="13173"/>
    <cellStyle name="Calculation 32 5" xfId="4274"/>
    <cellStyle name="Calculation 32 5 10" xfId="13175"/>
    <cellStyle name="Calculation 32 5 11" xfId="13174"/>
    <cellStyle name="Calculation 32 5 2" xfId="4275"/>
    <cellStyle name="Calculation 32 5 2 2" xfId="13177"/>
    <cellStyle name="Calculation 32 5 2 2 2" xfId="13178"/>
    <cellStyle name="Calculation 32 5 2 3" xfId="13179"/>
    <cellStyle name="Calculation 32 5 2 4" xfId="13180"/>
    <cellStyle name="Calculation 32 5 2 5" xfId="13176"/>
    <cellStyle name="Calculation 32 5 3" xfId="13181"/>
    <cellStyle name="Calculation 32 5 3 2" xfId="13182"/>
    <cellStyle name="Calculation 32 5 3 2 2" xfId="13183"/>
    <cellStyle name="Calculation 32 5 3 3" xfId="13184"/>
    <cellStyle name="Calculation 32 5 4" xfId="13185"/>
    <cellStyle name="Calculation 32 5 4 2" xfId="13186"/>
    <cellStyle name="Calculation 32 5 4 2 2" xfId="13187"/>
    <cellStyle name="Calculation 32 5 4 3" xfId="13188"/>
    <cellStyle name="Calculation 32 5 5" xfId="13189"/>
    <cellStyle name="Calculation 32 5 5 2" xfId="13190"/>
    <cellStyle name="Calculation 32 5 6" xfId="13191"/>
    <cellStyle name="Calculation 32 5 6 2" xfId="13192"/>
    <cellStyle name="Calculation 32 5 7" xfId="13193"/>
    <cellStyle name="Calculation 32 5 7 2" xfId="13194"/>
    <cellStyle name="Calculation 32 5 8" xfId="13195"/>
    <cellStyle name="Calculation 32 5 8 2" xfId="13196"/>
    <cellStyle name="Calculation 32 5 9" xfId="13197"/>
    <cellStyle name="Calculation 32 6" xfId="3398"/>
    <cellStyle name="Calculation 32 6 2" xfId="13199"/>
    <cellStyle name="Calculation 32 6 2 2" xfId="13200"/>
    <cellStyle name="Calculation 32 6 2 2 2" xfId="13201"/>
    <cellStyle name="Calculation 32 6 2 3" xfId="13202"/>
    <cellStyle name="Calculation 32 6 3" xfId="13203"/>
    <cellStyle name="Calculation 32 6 3 2" xfId="13204"/>
    <cellStyle name="Calculation 32 6 3 2 2" xfId="13205"/>
    <cellStyle name="Calculation 32 6 3 3" xfId="13206"/>
    <cellStyle name="Calculation 32 6 4" xfId="13207"/>
    <cellStyle name="Calculation 32 6 4 2" xfId="13208"/>
    <cellStyle name="Calculation 32 6 5" xfId="13209"/>
    <cellStyle name="Calculation 32 6 5 2" xfId="13210"/>
    <cellStyle name="Calculation 32 6 6" xfId="13211"/>
    <cellStyle name="Calculation 32 6 7" xfId="13212"/>
    <cellStyle name="Calculation 32 6 8" xfId="13198"/>
    <cellStyle name="Calculation 32 7" xfId="4276"/>
    <cellStyle name="Calculation 32 7 2" xfId="13214"/>
    <cellStyle name="Calculation 32 7 3" xfId="13213"/>
    <cellStyle name="Calculation 32 8" xfId="8318"/>
    <cellStyle name="Calculation 32 8 2" xfId="13215"/>
    <cellStyle name="Calculation 32 9" xfId="13216"/>
    <cellStyle name="Calculation 32 9 2" xfId="13217"/>
    <cellStyle name="Calculation 33" xfId="2580"/>
    <cellStyle name="Calculation 33 10" xfId="13218"/>
    <cellStyle name="Calculation 33 11" xfId="13219"/>
    <cellStyle name="Calculation 33 2" xfId="3399"/>
    <cellStyle name="Calculation 33 2 2" xfId="13221"/>
    <cellStyle name="Calculation 33 2 2 10" xfId="13222"/>
    <cellStyle name="Calculation 33 2 2 2" xfId="13223"/>
    <cellStyle name="Calculation 33 2 2 2 2" xfId="13224"/>
    <cellStyle name="Calculation 33 2 2 2 2 2" xfId="13225"/>
    <cellStyle name="Calculation 33 2 2 2 3" xfId="13226"/>
    <cellStyle name="Calculation 33 2 2 2 4" xfId="13227"/>
    <cellStyle name="Calculation 33 2 2 3" xfId="13228"/>
    <cellStyle name="Calculation 33 2 2 3 2" xfId="13229"/>
    <cellStyle name="Calculation 33 2 2 3 2 2" xfId="13230"/>
    <cellStyle name="Calculation 33 2 2 3 3" xfId="13231"/>
    <cellStyle name="Calculation 33 2 2 4" xfId="13232"/>
    <cellStyle name="Calculation 33 2 2 4 2" xfId="13233"/>
    <cellStyle name="Calculation 33 2 2 4 2 2" xfId="13234"/>
    <cellStyle name="Calculation 33 2 2 4 3" xfId="13235"/>
    <cellStyle name="Calculation 33 2 2 5" xfId="13236"/>
    <cellStyle name="Calculation 33 2 2 5 2" xfId="13237"/>
    <cellStyle name="Calculation 33 2 2 6" xfId="13238"/>
    <cellStyle name="Calculation 33 2 2 6 2" xfId="13239"/>
    <cellStyle name="Calculation 33 2 2 7" xfId="13240"/>
    <cellStyle name="Calculation 33 2 2 7 2" xfId="13241"/>
    <cellStyle name="Calculation 33 2 2 8" xfId="13242"/>
    <cellStyle name="Calculation 33 2 2 8 2" xfId="13243"/>
    <cellStyle name="Calculation 33 2 2 9" xfId="13244"/>
    <cellStyle name="Calculation 33 2 3" xfId="13245"/>
    <cellStyle name="Calculation 33 2 3 2" xfId="13246"/>
    <cellStyle name="Calculation 33 2 3 2 2" xfId="13247"/>
    <cellStyle name="Calculation 33 2 3 2 2 2" xfId="13248"/>
    <cellStyle name="Calculation 33 2 3 2 3" xfId="13249"/>
    <cellStyle name="Calculation 33 2 3 2 4" xfId="13250"/>
    <cellStyle name="Calculation 33 2 3 3" xfId="13251"/>
    <cellStyle name="Calculation 33 2 3 3 2" xfId="13252"/>
    <cellStyle name="Calculation 33 2 3 3 2 2" xfId="13253"/>
    <cellStyle name="Calculation 33 2 3 3 3" xfId="13254"/>
    <cellStyle name="Calculation 33 2 3 4" xfId="13255"/>
    <cellStyle name="Calculation 33 2 3 4 2" xfId="13256"/>
    <cellStyle name="Calculation 33 2 3 5" xfId="13257"/>
    <cellStyle name="Calculation 33 2 3 5 2" xfId="13258"/>
    <cellStyle name="Calculation 33 2 3 6" xfId="13259"/>
    <cellStyle name="Calculation 33 2 3 7" xfId="13260"/>
    <cellStyle name="Calculation 33 2 4" xfId="13261"/>
    <cellStyle name="Calculation 33 2 4 2" xfId="13262"/>
    <cellStyle name="Calculation 33 2 4 3" xfId="13263"/>
    <cellStyle name="Calculation 33 2 5" xfId="13264"/>
    <cellStyle name="Calculation 33 2 5 2" xfId="13265"/>
    <cellStyle name="Calculation 33 2 6" xfId="13266"/>
    <cellStyle name="Calculation 33 2 6 2" xfId="13267"/>
    <cellStyle name="Calculation 33 2 7" xfId="13268"/>
    <cellStyle name="Calculation 33 2 8" xfId="13269"/>
    <cellStyle name="Calculation 33 2 9" xfId="13220"/>
    <cellStyle name="Calculation 33 3" xfId="4277"/>
    <cellStyle name="Calculation 33 3 2" xfId="13271"/>
    <cellStyle name="Calculation 33 3 2 10" xfId="13272"/>
    <cellStyle name="Calculation 33 3 2 2" xfId="13273"/>
    <cellStyle name="Calculation 33 3 2 2 2" xfId="13274"/>
    <cellStyle name="Calculation 33 3 2 2 2 2" xfId="13275"/>
    <cellStyle name="Calculation 33 3 2 2 3" xfId="13276"/>
    <cellStyle name="Calculation 33 3 2 3" xfId="13277"/>
    <cellStyle name="Calculation 33 3 2 3 2" xfId="13278"/>
    <cellStyle name="Calculation 33 3 2 3 2 2" xfId="13279"/>
    <cellStyle name="Calculation 33 3 2 3 3" xfId="13280"/>
    <cellStyle name="Calculation 33 3 2 4" xfId="13281"/>
    <cellStyle name="Calculation 33 3 2 4 2" xfId="13282"/>
    <cellStyle name="Calculation 33 3 2 4 2 2" xfId="13283"/>
    <cellStyle name="Calculation 33 3 2 4 3" xfId="13284"/>
    <cellStyle name="Calculation 33 3 2 5" xfId="13285"/>
    <cellStyle name="Calculation 33 3 2 5 2" xfId="13286"/>
    <cellStyle name="Calculation 33 3 2 6" xfId="13287"/>
    <cellStyle name="Calculation 33 3 2 6 2" xfId="13288"/>
    <cellStyle name="Calculation 33 3 2 7" xfId="13289"/>
    <cellStyle name="Calculation 33 3 2 7 2" xfId="13290"/>
    <cellStyle name="Calculation 33 3 2 8" xfId="13291"/>
    <cellStyle name="Calculation 33 3 2 8 2" xfId="13292"/>
    <cellStyle name="Calculation 33 3 2 9" xfId="13293"/>
    <cellStyle name="Calculation 33 3 3" xfId="13294"/>
    <cellStyle name="Calculation 33 3 3 2" xfId="13295"/>
    <cellStyle name="Calculation 33 3 3 2 2" xfId="13296"/>
    <cellStyle name="Calculation 33 3 3 2 2 2" xfId="13297"/>
    <cellStyle name="Calculation 33 3 3 2 3" xfId="13298"/>
    <cellStyle name="Calculation 33 3 3 3" xfId="13299"/>
    <cellStyle name="Calculation 33 3 3 3 2" xfId="13300"/>
    <cellStyle name="Calculation 33 3 3 3 2 2" xfId="13301"/>
    <cellStyle name="Calculation 33 3 3 3 3" xfId="13302"/>
    <cellStyle name="Calculation 33 3 3 4" xfId="13303"/>
    <cellStyle name="Calculation 33 3 3 4 2" xfId="13304"/>
    <cellStyle name="Calculation 33 3 3 5" xfId="13305"/>
    <cellStyle name="Calculation 33 3 3 5 2" xfId="13306"/>
    <cellStyle name="Calculation 33 3 3 6" xfId="13307"/>
    <cellStyle name="Calculation 33 3 3 7" xfId="13308"/>
    <cellStyle name="Calculation 33 3 4" xfId="13309"/>
    <cellStyle name="Calculation 33 3 4 2" xfId="13310"/>
    <cellStyle name="Calculation 33 3 5" xfId="13311"/>
    <cellStyle name="Calculation 33 3 5 2" xfId="13312"/>
    <cellStyle name="Calculation 33 3 6" xfId="13313"/>
    <cellStyle name="Calculation 33 3 6 2" xfId="13314"/>
    <cellStyle name="Calculation 33 3 7" xfId="13315"/>
    <cellStyle name="Calculation 33 3 8" xfId="13316"/>
    <cellStyle name="Calculation 33 3 9" xfId="13270"/>
    <cellStyle name="Calculation 33 4" xfId="4278"/>
    <cellStyle name="Calculation 33 4 10" xfId="13318"/>
    <cellStyle name="Calculation 33 4 11" xfId="13317"/>
    <cellStyle name="Calculation 33 4 2" xfId="3400"/>
    <cellStyle name="Calculation 33 4 2 2" xfId="13320"/>
    <cellStyle name="Calculation 33 4 2 2 2" xfId="13321"/>
    <cellStyle name="Calculation 33 4 2 3" xfId="13322"/>
    <cellStyle name="Calculation 33 4 2 4" xfId="13323"/>
    <cellStyle name="Calculation 33 4 2 5" xfId="13319"/>
    <cellStyle name="Calculation 33 4 3" xfId="13324"/>
    <cellStyle name="Calculation 33 4 3 2" xfId="13325"/>
    <cellStyle name="Calculation 33 4 3 2 2" xfId="13326"/>
    <cellStyle name="Calculation 33 4 3 3" xfId="13327"/>
    <cellStyle name="Calculation 33 4 4" xfId="13328"/>
    <cellStyle name="Calculation 33 4 4 2" xfId="13329"/>
    <cellStyle name="Calculation 33 4 4 2 2" xfId="13330"/>
    <cellStyle name="Calculation 33 4 4 3" xfId="13331"/>
    <cellStyle name="Calculation 33 4 5" xfId="13332"/>
    <cellStyle name="Calculation 33 4 5 2" xfId="13333"/>
    <cellStyle name="Calculation 33 4 6" xfId="13334"/>
    <cellStyle name="Calculation 33 4 6 2" xfId="13335"/>
    <cellStyle name="Calculation 33 4 7" xfId="13336"/>
    <cellStyle name="Calculation 33 4 7 2" xfId="13337"/>
    <cellStyle name="Calculation 33 4 8" xfId="13338"/>
    <cellStyle name="Calculation 33 4 8 2" xfId="13339"/>
    <cellStyle name="Calculation 33 4 9" xfId="13340"/>
    <cellStyle name="Calculation 33 5" xfId="4279"/>
    <cellStyle name="Calculation 33 5 10" xfId="13342"/>
    <cellStyle name="Calculation 33 5 11" xfId="13341"/>
    <cellStyle name="Calculation 33 5 2" xfId="4280"/>
    <cellStyle name="Calculation 33 5 2 2" xfId="13344"/>
    <cellStyle name="Calculation 33 5 2 2 2" xfId="13345"/>
    <cellStyle name="Calculation 33 5 2 3" xfId="13346"/>
    <cellStyle name="Calculation 33 5 2 4" xfId="13347"/>
    <cellStyle name="Calculation 33 5 2 5" xfId="13343"/>
    <cellStyle name="Calculation 33 5 3" xfId="13348"/>
    <cellStyle name="Calculation 33 5 3 2" xfId="13349"/>
    <cellStyle name="Calculation 33 5 3 2 2" xfId="13350"/>
    <cellStyle name="Calculation 33 5 3 3" xfId="13351"/>
    <cellStyle name="Calculation 33 5 4" xfId="13352"/>
    <cellStyle name="Calculation 33 5 4 2" xfId="13353"/>
    <cellStyle name="Calculation 33 5 4 2 2" xfId="13354"/>
    <cellStyle name="Calculation 33 5 4 3" xfId="13355"/>
    <cellStyle name="Calculation 33 5 5" xfId="13356"/>
    <cellStyle name="Calculation 33 5 5 2" xfId="13357"/>
    <cellStyle name="Calculation 33 5 6" xfId="13358"/>
    <cellStyle name="Calculation 33 5 6 2" xfId="13359"/>
    <cellStyle name="Calculation 33 5 7" xfId="13360"/>
    <cellStyle name="Calculation 33 5 7 2" xfId="13361"/>
    <cellStyle name="Calculation 33 5 8" xfId="13362"/>
    <cellStyle name="Calculation 33 5 8 2" xfId="13363"/>
    <cellStyle name="Calculation 33 5 9" xfId="13364"/>
    <cellStyle name="Calculation 33 6" xfId="3401"/>
    <cellStyle name="Calculation 33 6 2" xfId="13366"/>
    <cellStyle name="Calculation 33 6 2 2" xfId="13367"/>
    <cellStyle name="Calculation 33 6 2 2 2" xfId="13368"/>
    <cellStyle name="Calculation 33 6 2 3" xfId="13369"/>
    <cellStyle name="Calculation 33 6 3" xfId="13370"/>
    <cellStyle name="Calculation 33 6 3 2" xfId="13371"/>
    <cellStyle name="Calculation 33 6 3 2 2" xfId="13372"/>
    <cellStyle name="Calculation 33 6 3 3" xfId="13373"/>
    <cellStyle name="Calculation 33 6 4" xfId="13374"/>
    <cellStyle name="Calculation 33 6 4 2" xfId="13375"/>
    <cellStyle name="Calculation 33 6 5" xfId="13376"/>
    <cellStyle name="Calculation 33 6 5 2" xfId="13377"/>
    <cellStyle name="Calculation 33 6 6" xfId="13378"/>
    <cellStyle name="Calculation 33 6 7" xfId="13379"/>
    <cellStyle name="Calculation 33 6 8" xfId="13365"/>
    <cellStyle name="Calculation 33 7" xfId="4281"/>
    <cellStyle name="Calculation 33 7 2" xfId="13381"/>
    <cellStyle name="Calculation 33 7 3" xfId="13380"/>
    <cellStyle name="Calculation 33 8" xfId="8319"/>
    <cellStyle name="Calculation 33 8 2" xfId="13382"/>
    <cellStyle name="Calculation 33 9" xfId="13383"/>
    <cellStyle name="Calculation 33 9 2" xfId="13384"/>
    <cellStyle name="Calculation 34" xfId="2581"/>
    <cellStyle name="Calculation 34 10" xfId="13385"/>
    <cellStyle name="Calculation 34 11" xfId="13386"/>
    <cellStyle name="Calculation 34 2" xfId="3402"/>
    <cellStyle name="Calculation 34 2 2" xfId="13388"/>
    <cellStyle name="Calculation 34 2 2 10" xfId="13389"/>
    <cellStyle name="Calculation 34 2 2 2" xfId="13390"/>
    <cellStyle name="Calculation 34 2 2 2 2" xfId="13391"/>
    <cellStyle name="Calculation 34 2 2 2 2 2" xfId="13392"/>
    <cellStyle name="Calculation 34 2 2 2 3" xfId="13393"/>
    <cellStyle name="Calculation 34 2 2 2 4" xfId="13394"/>
    <cellStyle name="Calculation 34 2 2 3" xfId="13395"/>
    <cellStyle name="Calculation 34 2 2 3 2" xfId="13396"/>
    <cellStyle name="Calculation 34 2 2 3 2 2" xfId="13397"/>
    <cellStyle name="Calculation 34 2 2 3 3" xfId="13398"/>
    <cellStyle name="Calculation 34 2 2 4" xfId="13399"/>
    <cellStyle name="Calculation 34 2 2 4 2" xfId="13400"/>
    <cellStyle name="Calculation 34 2 2 4 2 2" xfId="13401"/>
    <cellStyle name="Calculation 34 2 2 4 3" xfId="13402"/>
    <cellStyle name="Calculation 34 2 2 5" xfId="13403"/>
    <cellStyle name="Calculation 34 2 2 5 2" xfId="13404"/>
    <cellStyle name="Calculation 34 2 2 6" xfId="13405"/>
    <cellStyle name="Calculation 34 2 2 6 2" xfId="13406"/>
    <cellStyle name="Calculation 34 2 2 7" xfId="13407"/>
    <cellStyle name="Calculation 34 2 2 7 2" xfId="13408"/>
    <cellStyle name="Calculation 34 2 2 8" xfId="13409"/>
    <cellStyle name="Calculation 34 2 2 8 2" xfId="13410"/>
    <cellStyle name="Calculation 34 2 2 9" xfId="13411"/>
    <cellStyle name="Calculation 34 2 3" xfId="13412"/>
    <cellStyle name="Calculation 34 2 3 2" xfId="13413"/>
    <cellStyle name="Calculation 34 2 3 2 2" xfId="13414"/>
    <cellStyle name="Calculation 34 2 3 2 2 2" xfId="13415"/>
    <cellStyle name="Calculation 34 2 3 2 3" xfId="13416"/>
    <cellStyle name="Calculation 34 2 3 2 4" xfId="13417"/>
    <cellStyle name="Calculation 34 2 3 3" xfId="13418"/>
    <cellStyle name="Calculation 34 2 3 3 2" xfId="13419"/>
    <cellStyle name="Calculation 34 2 3 3 2 2" xfId="13420"/>
    <cellStyle name="Calculation 34 2 3 3 3" xfId="13421"/>
    <cellStyle name="Calculation 34 2 3 4" xfId="13422"/>
    <cellStyle name="Calculation 34 2 3 4 2" xfId="13423"/>
    <cellStyle name="Calculation 34 2 3 5" xfId="13424"/>
    <cellStyle name="Calculation 34 2 3 5 2" xfId="13425"/>
    <cellStyle name="Calculation 34 2 3 6" xfId="13426"/>
    <cellStyle name="Calculation 34 2 3 7" xfId="13427"/>
    <cellStyle name="Calculation 34 2 4" xfId="13428"/>
    <cellStyle name="Calculation 34 2 4 2" xfId="13429"/>
    <cellStyle name="Calculation 34 2 4 3" xfId="13430"/>
    <cellStyle name="Calculation 34 2 5" xfId="13431"/>
    <cellStyle name="Calculation 34 2 5 2" xfId="13432"/>
    <cellStyle name="Calculation 34 2 6" xfId="13433"/>
    <cellStyle name="Calculation 34 2 6 2" xfId="13434"/>
    <cellStyle name="Calculation 34 2 7" xfId="13435"/>
    <cellStyle name="Calculation 34 2 8" xfId="13436"/>
    <cellStyle name="Calculation 34 2 9" xfId="13387"/>
    <cellStyle name="Calculation 34 3" xfId="4282"/>
    <cellStyle name="Calculation 34 3 2" xfId="13438"/>
    <cellStyle name="Calculation 34 3 2 10" xfId="13439"/>
    <cellStyle name="Calculation 34 3 2 2" xfId="13440"/>
    <cellStyle name="Calculation 34 3 2 2 2" xfId="13441"/>
    <cellStyle name="Calculation 34 3 2 2 2 2" xfId="13442"/>
    <cellStyle name="Calculation 34 3 2 2 3" xfId="13443"/>
    <cellStyle name="Calculation 34 3 2 3" xfId="13444"/>
    <cellStyle name="Calculation 34 3 2 3 2" xfId="13445"/>
    <cellStyle name="Calculation 34 3 2 3 2 2" xfId="13446"/>
    <cellStyle name="Calculation 34 3 2 3 3" xfId="13447"/>
    <cellStyle name="Calculation 34 3 2 4" xfId="13448"/>
    <cellStyle name="Calculation 34 3 2 4 2" xfId="13449"/>
    <cellStyle name="Calculation 34 3 2 4 2 2" xfId="13450"/>
    <cellStyle name="Calculation 34 3 2 4 3" xfId="13451"/>
    <cellStyle name="Calculation 34 3 2 5" xfId="13452"/>
    <cellStyle name="Calculation 34 3 2 5 2" xfId="13453"/>
    <cellStyle name="Calculation 34 3 2 6" xfId="13454"/>
    <cellStyle name="Calculation 34 3 2 6 2" xfId="13455"/>
    <cellStyle name="Calculation 34 3 2 7" xfId="13456"/>
    <cellStyle name="Calculation 34 3 2 7 2" xfId="13457"/>
    <cellStyle name="Calculation 34 3 2 8" xfId="13458"/>
    <cellStyle name="Calculation 34 3 2 8 2" xfId="13459"/>
    <cellStyle name="Calculation 34 3 2 9" xfId="13460"/>
    <cellStyle name="Calculation 34 3 3" xfId="13461"/>
    <cellStyle name="Calculation 34 3 3 2" xfId="13462"/>
    <cellStyle name="Calculation 34 3 3 2 2" xfId="13463"/>
    <cellStyle name="Calculation 34 3 3 2 2 2" xfId="13464"/>
    <cellStyle name="Calculation 34 3 3 2 3" xfId="13465"/>
    <cellStyle name="Calculation 34 3 3 3" xfId="13466"/>
    <cellStyle name="Calculation 34 3 3 3 2" xfId="13467"/>
    <cellStyle name="Calculation 34 3 3 3 2 2" xfId="13468"/>
    <cellStyle name="Calculation 34 3 3 3 3" xfId="13469"/>
    <cellStyle name="Calculation 34 3 3 4" xfId="13470"/>
    <cellStyle name="Calculation 34 3 3 4 2" xfId="13471"/>
    <cellStyle name="Calculation 34 3 3 5" xfId="13472"/>
    <cellStyle name="Calculation 34 3 3 5 2" xfId="13473"/>
    <cellStyle name="Calculation 34 3 3 6" xfId="13474"/>
    <cellStyle name="Calculation 34 3 3 7" xfId="13475"/>
    <cellStyle name="Calculation 34 3 4" xfId="13476"/>
    <cellStyle name="Calculation 34 3 4 2" xfId="13477"/>
    <cellStyle name="Calculation 34 3 5" xfId="13478"/>
    <cellStyle name="Calculation 34 3 5 2" xfId="13479"/>
    <cellStyle name="Calculation 34 3 6" xfId="13480"/>
    <cellStyle name="Calculation 34 3 6 2" xfId="13481"/>
    <cellStyle name="Calculation 34 3 7" xfId="13482"/>
    <cellStyle name="Calculation 34 3 8" xfId="13483"/>
    <cellStyle name="Calculation 34 3 9" xfId="13437"/>
    <cellStyle name="Calculation 34 4" xfId="4283"/>
    <cellStyle name="Calculation 34 4 10" xfId="13485"/>
    <cellStyle name="Calculation 34 4 11" xfId="13484"/>
    <cellStyle name="Calculation 34 4 2" xfId="4284"/>
    <cellStyle name="Calculation 34 4 2 2" xfId="13487"/>
    <cellStyle name="Calculation 34 4 2 2 2" xfId="13488"/>
    <cellStyle name="Calculation 34 4 2 3" xfId="13489"/>
    <cellStyle name="Calculation 34 4 2 4" xfId="13490"/>
    <cellStyle name="Calculation 34 4 2 5" xfId="13486"/>
    <cellStyle name="Calculation 34 4 3" xfId="13491"/>
    <cellStyle name="Calculation 34 4 3 2" xfId="13492"/>
    <cellStyle name="Calculation 34 4 3 2 2" xfId="13493"/>
    <cellStyle name="Calculation 34 4 3 3" xfId="13494"/>
    <cellStyle name="Calculation 34 4 4" xfId="13495"/>
    <cellStyle name="Calculation 34 4 4 2" xfId="13496"/>
    <cellStyle name="Calculation 34 4 4 2 2" xfId="13497"/>
    <cellStyle name="Calculation 34 4 4 3" xfId="13498"/>
    <cellStyle name="Calculation 34 4 5" xfId="13499"/>
    <cellStyle name="Calculation 34 4 5 2" xfId="13500"/>
    <cellStyle name="Calculation 34 4 6" xfId="13501"/>
    <cellStyle name="Calculation 34 4 6 2" xfId="13502"/>
    <cellStyle name="Calculation 34 4 7" xfId="13503"/>
    <cellStyle name="Calculation 34 4 7 2" xfId="13504"/>
    <cellStyle name="Calculation 34 4 8" xfId="13505"/>
    <cellStyle name="Calculation 34 4 8 2" xfId="13506"/>
    <cellStyle name="Calculation 34 4 9" xfId="13507"/>
    <cellStyle name="Calculation 34 5" xfId="4285"/>
    <cellStyle name="Calculation 34 5 10" xfId="13509"/>
    <cellStyle name="Calculation 34 5 11" xfId="13508"/>
    <cellStyle name="Calculation 34 5 2" xfId="4286"/>
    <cellStyle name="Calculation 34 5 2 2" xfId="13511"/>
    <cellStyle name="Calculation 34 5 2 2 2" xfId="13512"/>
    <cellStyle name="Calculation 34 5 2 3" xfId="13513"/>
    <cellStyle name="Calculation 34 5 2 4" xfId="13514"/>
    <cellStyle name="Calculation 34 5 2 5" xfId="13510"/>
    <cellStyle name="Calculation 34 5 3" xfId="13515"/>
    <cellStyle name="Calculation 34 5 3 2" xfId="13516"/>
    <cellStyle name="Calculation 34 5 3 2 2" xfId="13517"/>
    <cellStyle name="Calculation 34 5 3 3" xfId="13518"/>
    <cellStyle name="Calculation 34 5 4" xfId="13519"/>
    <cellStyle name="Calculation 34 5 4 2" xfId="13520"/>
    <cellStyle name="Calculation 34 5 4 2 2" xfId="13521"/>
    <cellStyle name="Calculation 34 5 4 3" xfId="13522"/>
    <cellStyle name="Calculation 34 5 5" xfId="13523"/>
    <cellStyle name="Calculation 34 5 5 2" xfId="13524"/>
    <cellStyle name="Calculation 34 5 6" xfId="13525"/>
    <cellStyle name="Calculation 34 5 6 2" xfId="13526"/>
    <cellStyle name="Calculation 34 5 7" xfId="13527"/>
    <cellStyle name="Calculation 34 5 7 2" xfId="13528"/>
    <cellStyle name="Calculation 34 5 8" xfId="13529"/>
    <cellStyle name="Calculation 34 5 8 2" xfId="13530"/>
    <cellStyle name="Calculation 34 5 9" xfId="13531"/>
    <cellStyle name="Calculation 34 6" xfId="3403"/>
    <cellStyle name="Calculation 34 6 2" xfId="13533"/>
    <cellStyle name="Calculation 34 6 2 2" xfId="13534"/>
    <cellStyle name="Calculation 34 6 2 2 2" xfId="13535"/>
    <cellStyle name="Calculation 34 6 2 3" xfId="13536"/>
    <cellStyle name="Calculation 34 6 3" xfId="13537"/>
    <cellStyle name="Calculation 34 6 3 2" xfId="13538"/>
    <cellStyle name="Calculation 34 6 3 2 2" xfId="13539"/>
    <cellStyle name="Calculation 34 6 3 3" xfId="13540"/>
    <cellStyle name="Calculation 34 6 4" xfId="13541"/>
    <cellStyle name="Calculation 34 6 4 2" xfId="13542"/>
    <cellStyle name="Calculation 34 6 5" xfId="13543"/>
    <cellStyle name="Calculation 34 6 5 2" xfId="13544"/>
    <cellStyle name="Calculation 34 6 6" xfId="13545"/>
    <cellStyle name="Calculation 34 6 7" xfId="13546"/>
    <cellStyle name="Calculation 34 6 8" xfId="13532"/>
    <cellStyle name="Calculation 34 7" xfId="4287"/>
    <cellStyle name="Calculation 34 7 2" xfId="13548"/>
    <cellStyle name="Calculation 34 7 3" xfId="13547"/>
    <cellStyle name="Calculation 34 8" xfId="8320"/>
    <cellStyle name="Calculation 34 8 2" xfId="13549"/>
    <cellStyle name="Calculation 34 9" xfId="13550"/>
    <cellStyle name="Calculation 34 9 2" xfId="13551"/>
    <cellStyle name="Calculation 35" xfId="2582"/>
    <cellStyle name="Calculation 35 10" xfId="13552"/>
    <cellStyle name="Calculation 35 11" xfId="13553"/>
    <cellStyle name="Calculation 35 2" xfId="4288"/>
    <cellStyle name="Calculation 35 2 2" xfId="13555"/>
    <cellStyle name="Calculation 35 2 2 10" xfId="13556"/>
    <cellStyle name="Calculation 35 2 2 2" xfId="13557"/>
    <cellStyle name="Calculation 35 2 2 2 2" xfId="13558"/>
    <cellStyle name="Calculation 35 2 2 2 2 2" xfId="13559"/>
    <cellStyle name="Calculation 35 2 2 2 3" xfId="13560"/>
    <cellStyle name="Calculation 35 2 2 2 4" xfId="13561"/>
    <cellStyle name="Calculation 35 2 2 3" xfId="13562"/>
    <cellStyle name="Calculation 35 2 2 3 2" xfId="13563"/>
    <cellStyle name="Calculation 35 2 2 3 2 2" xfId="13564"/>
    <cellStyle name="Calculation 35 2 2 3 3" xfId="13565"/>
    <cellStyle name="Calculation 35 2 2 4" xfId="13566"/>
    <cellStyle name="Calculation 35 2 2 4 2" xfId="13567"/>
    <cellStyle name="Calculation 35 2 2 4 2 2" xfId="13568"/>
    <cellStyle name="Calculation 35 2 2 4 3" xfId="13569"/>
    <cellStyle name="Calculation 35 2 2 5" xfId="13570"/>
    <cellStyle name="Calculation 35 2 2 5 2" xfId="13571"/>
    <cellStyle name="Calculation 35 2 2 6" xfId="13572"/>
    <cellStyle name="Calculation 35 2 2 6 2" xfId="13573"/>
    <cellStyle name="Calculation 35 2 2 7" xfId="13574"/>
    <cellStyle name="Calculation 35 2 2 7 2" xfId="13575"/>
    <cellStyle name="Calculation 35 2 2 8" xfId="13576"/>
    <cellStyle name="Calculation 35 2 2 8 2" xfId="13577"/>
    <cellStyle name="Calculation 35 2 2 9" xfId="13578"/>
    <cellStyle name="Calculation 35 2 3" xfId="13579"/>
    <cellStyle name="Calculation 35 2 3 2" xfId="13580"/>
    <cellStyle name="Calculation 35 2 3 2 2" xfId="13581"/>
    <cellStyle name="Calculation 35 2 3 2 2 2" xfId="13582"/>
    <cellStyle name="Calculation 35 2 3 2 3" xfId="13583"/>
    <cellStyle name="Calculation 35 2 3 2 4" xfId="13584"/>
    <cellStyle name="Calculation 35 2 3 3" xfId="13585"/>
    <cellStyle name="Calculation 35 2 3 3 2" xfId="13586"/>
    <cellStyle name="Calculation 35 2 3 3 2 2" xfId="13587"/>
    <cellStyle name="Calculation 35 2 3 3 3" xfId="13588"/>
    <cellStyle name="Calculation 35 2 3 4" xfId="13589"/>
    <cellStyle name="Calculation 35 2 3 4 2" xfId="13590"/>
    <cellStyle name="Calculation 35 2 3 5" xfId="13591"/>
    <cellStyle name="Calculation 35 2 3 5 2" xfId="13592"/>
    <cellStyle name="Calculation 35 2 3 6" xfId="13593"/>
    <cellStyle name="Calculation 35 2 3 7" xfId="13594"/>
    <cellStyle name="Calculation 35 2 4" xfId="13595"/>
    <cellStyle name="Calculation 35 2 4 2" xfId="13596"/>
    <cellStyle name="Calculation 35 2 4 3" xfId="13597"/>
    <cellStyle name="Calculation 35 2 5" xfId="13598"/>
    <cellStyle name="Calculation 35 2 5 2" xfId="13599"/>
    <cellStyle name="Calculation 35 2 6" xfId="13600"/>
    <cellStyle name="Calculation 35 2 6 2" xfId="13601"/>
    <cellStyle name="Calculation 35 2 7" xfId="13602"/>
    <cellStyle name="Calculation 35 2 8" xfId="13603"/>
    <cellStyle name="Calculation 35 2 9" xfId="13554"/>
    <cellStyle name="Calculation 35 3" xfId="4289"/>
    <cellStyle name="Calculation 35 3 2" xfId="13605"/>
    <cellStyle name="Calculation 35 3 2 10" xfId="13606"/>
    <cellStyle name="Calculation 35 3 2 2" xfId="13607"/>
    <cellStyle name="Calculation 35 3 2 2 2" xfId="13608"/>
    <cellStyle name="Calculation 35 3 2 2 2 2" xfId="13609"/>
    <cellStyle name="Calculation 35 3 2 2 3" xfId="13610"/>
    <cellStyle name="Calculation 35 3 2 3" xfId="13611"/>
    <cellStyle name="Calculation 35 3 2 3 2" xfId="13612"/>
    <cellStyle name="Calculation 35 3 2 3 2 2" xfId="13613"/>
    <cellStyle name="Calculation 35 3 2 3 3" xfId="13614"/>
    <cellStyle name="Calculation 35 3 2 4" xfId="13615"/>
    <cellStyle name="Calculation 35 3 2 4 2" xfId="13616"/>
    <cellStyle name="Calculation 35 3 2 4 2 2" xfId="13617"/>
    <cellStyle name="Calculation 35 3 2 4 3" xfId="13618"/>
    <cellStyle name="Calculation 35 3 2 5" xfId="13619"/>
    <cellStyle name="Calculation 35 3 2 5 2" xfId="13620"/>
    <cellStyle name="Calculation 35 3 2 6" xfId="13621"/>
    <cellStyle name="Calculation 35 3 2 6 2" xfId="13622"/>
    <cellStyle name="Calculation 35 3 2 7" xfId="13623"/>
    <cellStyle name="Calculation 35 3 2 7 2" xfId="13624"/>
    <cellStyle name="Calculation 35 3 2 8" xfId="13625"/>
    <cellStyle name="Calculation 35 3 2 8 2" xfId="13626"/>
    <cellStyle name="Calculation 35 3 2 9" xfId="13627"/>
    <cellStyle name="Calculation 35 3 3" xfId="13628"/>
    <cellStyle name="Calculation 35 3 3 2" xfId="13629"/>
    <cellStyle name="Calculation 35 3 3 2 2" xfId="13630"/>
    <cellStyle name="Calculation 35 3 3 2 2 2" xfId="13631"/>
    <cellStyle name="Calculation 35 3 3 2 3" xfId="13632"/>
    <cellStyle name="Calculation 35 3 3 3" xfId="13633"/>
    <cellStyle name="Calculation 35 3 3 3 2" xfId="13634"/>
    <cellStyle name="Calculation 35 3 3 3 2 2" xfId="13635"/>
    <cellStyle name="Calculation 35 3 3 3 3" xfId="13636"/>
    <cellStyle name="Calculation 35 3 3 4" xfId="13637"/>
    <cellStyle name="Calculation 35 3 3 4 2" xfId="13638"/>
    <cellStyle name="Calculation 35 3 3 5" xfId="13639"/>
    <cellStyle name="Calculation 35 3 3 5 2" xfId="13640"/>
    <cellStyle name="Calculation 35 3 3 6" xfId="13641"/>
    <cellStyle name="Calculation 35 3 3 7" xfId="13642"/>
    <cellStyle name="Calculation 35 3 4" xfId="13643"/>
    <cellStyle name="Calculation 35 3 4 2" xfId="13644"/>
    <cellStyle name="Calculation 35 3 5" xfId="13645"/>
    <cellStyle name="Calculation 35 3 5 2" xfId="13646"/>
    <cellStyle name="Calculation 35 3 6" xfId="13647"/>
    <cellStyle name="Calculation 35 3 6 2" xfId="13648"/>
    <cellStyle name="Calculation 35 3 7" xfId="13649"/>
    <cellStyle name="Calculation 35 3 8" xfId="13650"/>
    <cellStyle name="Calculation 35 3 9" xfId="13604"/>
    <cellStyle name="Calculation 35 4" xfId="4290"/>
    <cellStyle name="Calculation 35 4 10" xfId="13652"/>
    <cellStyle name="Calculation 35 4 11" xfId="13651"/>
    <cellStyle name="Calculation 35 4 2" xfId="4291"/>
    <cellStyle name="Calculation 35 4 2 2" xfId="13654"/>
    <cellStyle name="Calculation 35 4 2 2 2" xfId="13655"/>
    <cellStyle name="Calculation 35 4 2 3" xfId="13656"/>
    <cellStyle name="Calculation 35 4 2 4" xfId="13657"/>
    <cellStyle name="Calculation 35 4 2 5" xfId="13653"/>
    <cellStyle name="Calculation 35 4 3" xfId="13658"/>
    <cellStyle name="Calculation 35 4 3 2" xfId="13659"/>
    <cellStyle name="Calculation 35 4 3 2 2" xfId="13660"/>
    <cellStyle name="Calculation 35 4 3 3" xfId="13661"/>
    <cellStyle name="Calculation 35 4 4" xfId="13662"/>
    <cellStyle name="Calculation 35 4 4 2" xfId="13663"/>
    <cellStyle name="Calculation 35 4 4 2 2" xfId="13664"/>
    <cellStyle name="Calculation 35 4 4 3" xfId="13665"/>
    <cellStyle name="Calculation 35 4 5" xfId="13666"/>
    <cellStyle name="Calculation 35 4 5 2" xfId="13667"/>
    <cellStyle name="Calculation 35 4 6" xfId="13668"/>
    <cellStyle name="Calculation 35 4 6 2" xfId="13669"/>
    <cellStyle name="Calculation 35 4 7" xfId="13670"/>
    <cellStyle name="Calculation 35 4 7 2" xfId="13671"/>
    <cellStyle name="Calculation 35 4 8" xfId="13672"/>
    <cellStyle name="Calculation 35 4 8 2" xfId="13673"/>
    <cellStyle name="Calculation 35 4 9" xfId="13674"/>
    <cellStyle name="Calculation 35 5" xfId="4292"/>
    <cellStyle name="Calculation 35 5 10" xfId="13676"/>
    <cellStyle name="Calculation 35 5 11" xfId="13675"/>
    <cellStyle name="Calculation 35 5 2" xfId="4293"/>
    <cellStyle name="Calculation 35 5 2 2" xfId="13678"/>
    <cellStyle name="Calculation 35 5 2 2 2" xfId="13679"/>
    <cellStyle name="Calculation 35 5 2 3" xfId="13680"/>
    <cellStyle name="Calculation 35 5 2 4" xfId="13681"/>
    <cellStyle name="Calculation 35 5 2 5" xfId="13677"/>
    <cellStyle name="Calculation 35 5 3" xfId="13682"/>
    <cellStyle name="Calculation 35 5 3 2" xfId="13683"/>
    <cellStyle name="Calculation 35 5 3 2 2" xfId="13684"/>
    <cellStyle name="Calculation 35 5 3 3" xfId="13685"/>
    <cellStyle name="Calculation 35 5 4" xfId="13686"/>
    <cellStyle name="Calculation 35 5 4 2" xfId="13687"/>
    <cellStyle name="Calculation 35 5 4 2 2" xfId="13688"/>
    <cellStyle name="Calculation 35 5 4 3" xfId="13689"/>
    <cellStyle name="Calculation 35 5 5" xfId="13690"/>
    <cellStyle name="Calculation 35 5 5 2" xfId="13691"/>
    <cellStyle name="Calculation 35 5 6" xfId="13692"/>
    <cellStyle name="Calculation 35 5 6 2" xfId="13693"/>
    <cellStyle name="Calculation 35 5 7" xfId="13694"/>
    <cellStyle name="Calculation 35 5 7 2" xfId="13695"/>
    <cellStyle name="Calculation 35 5 8" xfId="13696"/>
    <cellStyle name="Calculation 35 5 8 2" xfId="13697"/>
    <cellStyle name="Calculation 35 5 9" xfId="13698"/>
    <cellStyle name="Calculation 35 6" xfId="4294"/>
    <cellStyle name="Calculation 35 6 2" xfId="13700"/>
    <cellStyle name="Calculation 35 6 2 2" xfId="13701"/>
    <cellStyle name="Calculation 35 6 2 2 2" xfId="13702"/>
    <cellStyle name="Calculation 35 6 2 3" xfId="13703"/>
    <cellStyle name="Calculation 35 6 3" xfId="13704"/>
    <cellStyle name="Calculation 35 6 3 2" xfId="13705"/>
    <cellStyle name="Calculation 35 6 3 2 2" xfId="13706"/>
    <cellStyle name="Calculation 35 6 3 3" xfId="13707"/>
    <cellStyle name="Calculation 35 6 4" xfId="13708"/>
    <cellStyle name="Calculation 35 6 4 2" xfId="13709"/>
    <cellStyle name="Calculation 35 6 5" xfId="13710"/>
    <cellStyle name="Calculation 35 6 5 2" xfId="13711"/>
    <cellStyle name="Calculation 35 6 6" xfId="13712"/>
    <cellStyle name="Calculation 35 6 7" xfId="13713"/>
    <cellStyle name="Calculation 35 6 8" xfId="13699"/>
    <cellStyle name="Calculation 35 7" xfId="4295"/>
    <cellStyle name="Calculation 35 7 2" xfId="13715"/>
    <cellStyle name="Calculation 35 7 3" xfId="13714"/>
    <cellStyle name="Calculation 35 8" xfId="8321"/>
    <cellStyle name="Calculation 35 8 2" xfId="13716"/>
    <cellStyle name="Calculation 35 9" xfId="13717"/>
    <cellStyle name="Calculation 35 9 2" xfId="13718"/>
    <cellStyle name="Calculation 36" xfId="2583"/>
    <cellStyle name="Calculation 36 10" xfId="13719"/>
    <cellStyle name="Calculation 36 11" xfId="13720"/>
    <cellStyle name="Calculation 36 2" xfId="4296"/>
    <cellStyle name="Calculation 36 2 2" xfId="13722"/>
    <cellStyle name="Calculation 36 2 2 10" xfId="13723"/>
    <cellStyle name="Calculation 36 2 2 2" xfId="13724"/>
    <cellStyle name="Calculation 36 2 2 2 2" xfId="13725"/>
    <cellStyle name="Calculation 36 2 2 2 2 2" xfId="13726"/>
    <cellStyle name="Calculation 36 2 2 2 3" xfId="13727"/>
    <cellStyle name="Calculation 36 2 2 2 4" xfId="13728"/>
    <cellStyle name="Calculation 36 2 2 3" xfId="13729"/>
    <cellStyle name="Calculation 36 2 2 3 2" xfId="13730"/>
    <cellStyle name="Calculation 36 2 2 3 2 2" xfId="13731"/>
    <cellStyle name="Calculation 36 2 2 3 3" xfId="13732"/>
    <cellStyle name="Calculation 36 2 2 4" xfId="13733"/>
    <cellStyle name="Calculation 36 2 2 4 2" xfId="13734"/>
    <cellStyle name="Calculation 36 2 2 4 2 2" xfId="13735"/>
    <cellStyle name="Calculation 36 2 2 4 3" xfId="13736"/>
    <cellStyle name="Calculation 36 2 2 5" xfId="13737"/>
    <cellStyle name="Calculation 36 2 2 5 2" xfId="13738"/>
    <cellStyle name="Calculation 36 2 2 6" xfId="13739"/>
    <cellStyle name="Calculation 36 2 2 6 2" xfId="13740"/>
    <cellStyle name="Calculation 36 2 2 7" xfId="13741"/>
    <cellStyle name="Calculation 36 2 2 7 2" xfId="13742"/>
    <cellStyle name="Calculation 36 2 2 8" xfId="13743"/>
    <cellStyle name="Calculation 36 2 2 8 2" xfId="13744"/>
    <cellStyle name="Calculation 36 2 2 9" xfId="13745"/>
    <cellStyle name="Calculation 36 2 3" xfId="13746"/>
    <cellStyle name="Calculation 36 2 3 2" xfId="13747"/>
    <cellStyle name="Calculation 36 2 3 2 2" xfId="13748"/>
    <cellStyle name="Calculation 36 2 3 2 2 2" xfId="13749"/>
    <cellStyle name="Calculation 36 2 3 2 3" xfId="13750"/>
    <cellStyle name="Calculation 36 2 3 2 4" xfId="13751"/>
    <cellStyle name="Calculation 36 2 3 3" xfId="13752"/>
    <cellStyle name="Calculation 36 2 3 3 2" xfId="13753"/>
    <cellStyle name="Calculation 36 2 3 3 2 2" xfId="13754"/>
    <cellStyle name="Calculation 36 2 3 3 3" xfId="13755"/>
    <cellStyle name="Calculation 36 2 3 4" xfId="13756"/>
    <cellStyle name="Calculation 36 2 3 4 2" xfId="13757"/>
    <cellStyle name="Calculation 36 2 3 5" xfId="13758"/>
    <cellStyle name="Calculation 36 2 3 5 2" xfId="13759"/>
    <cellStyle name="Calculation 36 2 3 6" xfId="13760"/>
    <cellStyle name="Calculation 36 2 3 7" xfId="13761"/>
    <cellStyle name="Calculation 36 2 4" xfId="13762"/>
    <cellStyle name="Calculation 36 2 4 2" xfId="13763"/>
    <cellStyle name="Calculation 36 2 4 3" xfId="13764"/>
    <cellStyle name="Calculation 36 2 5" xfId="13765"/>
    <cellStyle name="Calculation 36 2 5 2" xfId="13766"/>
    <cellStyle name="Calculation 36 2 6" xfId="13767"/>
    <cellStyle name="Calculation 36 2 6 2" xfId="13768"/>
    <cellStyle name="Calculation 36 2 7" xfId="13769"/>
    <cellStyle name="Calculation 36 2 8" xfId="13770"/>
    <cellStyle name="Calculation 36 2 9" xfId="13721"/>
    <cellStyle name="Calculation 36 3" xfId="4297"/>
    <cellStyle name="Calculation 36 3 2" xfId="13772"/>
    <cellStyle name="Calculation 36 3 2 10" xfId="13773"/>
    <cellStyle name="Calculation 36 3 2 2" xfId="13774"/>
    <cellStyle name="Calculation 36 3 2 2 2" xfId="13775"/>
    <cellStyle name="Calculation 36 3 2 2 2 2" xfId="13776"/>
    <cellStyle name="Calculation 36 3 2 2 3" xfId="13777"/>
    <cellStyle name="Calculation 36 3 2 3" xfId="13778"/>
    <cellStyle name="Calculation 36 3 2 3 2" xfId="13779"/>
    <cellStyle name="Calculation 36 3 2 3 2 2" xfId="13780"/>
    <cellStyle name="Calculation 36 3 2 3 3" xfId="13781"/>
    <cellStyle name="Calculation 36 3 2 4" xfId="13782"/>
    <cellStyle name="Calculation 36 3 2 4 2" xfId="13783"/>
    <cellStyle name="Calculation 36 3 2 4 2 2" xfId="13784"/>
    <cellStyle name="Calculation 36 3 2 4 3" xfId="13785"/>
    <cellStyle name="Calculation 36 3 2 5" xfId="13786"/>
    <cellStyle name="Calculation 36 3 2 5 2" xfId="13787"/>
    <cellStyle name="Calculation 36 3 2 6" xfId="13788"/>
    <cellStyle name="Calculation 36 3 2 6 2" xfId="13789"/>
    <cellStyle name="Calculation 36 3 2 7" xfId="13790"/>
    <cellStyle name="Calculation 36 3 2 7 2" xfId="13791"/>
    <cellStyle name="Calculation 36 3 2 8" xfId="13792"/>
    <cellStyle name="Calculation 36 3 2 8 2" xfId="13793"/>
    <cellStyle name="Calculation 36 3 2 9" xfId="13794"/>
    <cellStyle name="Calculation 36 3 3" xfId="13795"/>
    <cellStyle name="Calculation 36 3 3 2" xfId="13796"/>
    <cellStyle name="Calculation 36 3 3 2 2" xfId="13797"/>
    <cellStyle name="Calculation 36 3 3 2 2 2" xfId="13798"/>
    <cellStyle name="Calculation 36 3 3 2 3" xfId="13799"/>
    <cellStyle name="Calculation 36 3 3 3" xfId="13800"/>
    <cellStyle name="Calculation 36 3 3 3 2" xfId="13801"/>
    <cellStyle name="Calculation 36 3 3 3 2 2" xfId="13802"/>
    <cellStyle name="Calculation 36 3 3 3 3" xfId="13803"/>
    <cellStyle name="Calculation 36 3 3 4" xfId="13804"/>
    <cellStyle name="Calculation 36 3 3 4 2" xfId="13805"/>
    <cellStyle name="Calculation 36 3 3 5" xfId="13806"/>
    <cellStyle name="Calculation 36 3 3 5 2" xfId="13807"/>
    <cellStyle name="Calculation 36 3 3 6" xfId="13808"/>
    <cellStyle name="Calculation 36 3 3 7" xfId="13809"/>
    <cellStyle name="Calculation 36 3 4" xfId="13810"/>
    <cellStyle name="Calculation 36 3 4 2" xfId="13811"/>
    <cellStyle name="Calculation 36 3 5" xfId="13812"/>
    <cellStyle name="Calculation 36 3 5 2" xfId="13813"/>
    <cellStyle name="Calculation 36 3 6" xfId="13814"/>
    <cellStyle name="Calculation 36 3 6 2" xfId="13815"/>
    <cellStyle name="Calculation 36 3 7" xfId="13816"/>
    <cellStyle name="Calculation 36 3 8" xfId="13817"/>
    <cellStyle name="Calculation 36 3 9" xfId="13771"/>
    <cellStyle name="Calculation 36 4" xfId="4298"/>
    <cellStyle name="Calculation 36 4 10" xfId="13819"/>
    <cellStyle name="Calculation 36 4 11" xfId="13818"/>
    <cellStyle name="Calculation 36 4 2" xfId="4299"/>
    <cellStyle name="Calculation 36 4 2 2" xfId="13821"/>
    <cellStyle name="Calculation 36 4 2 2 2" xfId="13822"/>
    <cellStyle name="Calculation 36 4 2 3" xfId="13823"/>
    <cellStyle name="Calculation 36 4 2 4" xfId="13824"/>
    <cellStyle name="Calculation 36 4 2 5" xfId="13820"/>
    <cellStyle name="Calculation 36 4 3" xfId="13825"/>
    <cellStyle name="Calculation 36 4 3 2" xfId="13826"/>
    <cellStyle name="Calculation 36 4 3 2 2" xfId="13827"/>
    <cellStyle name="Calculation 36 4 3 3" xfId="13828"/>
    <cellStyle name="Calculation 36 4 4" xfId="13829"/>
    <cellStyle name="Calculation 36 4 4 2" xfId="13830"/>
    <cellStyle name="Calculation 36 4 4 2 2" xfId="13831"/>
    <cellStyle name="Calculation 36 4 4 3" xfId="13832"/>
    <cellStyle name="Calculation 36 4 5" xfId="13833"/>
    <cellStyle name="Calculation 36 4 5 2" xfId="13834"/>
    <cellStyle name="Calculation 36 4 6" xfId="13835"/>
    <cellStyle name="Calculation 36 4 6 2" xfId="13836"/>
    <cellStyle name="Calculation 36 4 7" xfId="13837"/>
    <cellStyle name="Calculation 36 4 7 2" xfId="13838"/>
    <cellStyle name="Calculation 36 4 8" xfId="13839"/>
    <cellStyle name="Calculation 36 4 8 2" xfId="13840"/>
    <cellStyle name="Calculation 36 4 9" xfId="13841"/>
    <cellStyle name="Calculation 36 5" xfId="4300"/>
    <cellStyle name="Calculation 36 5 10" xfId="13843"/>
    <cellStyle name="Calculation 36 5 11" xfId="13842"/>
    <cellStyle name="Calculation 36 5 2" xfId="4301"/>
    <cellStyle name="Calculation 36 5 2 2" xfId="13845"/>
    <cellStyle name="Calculation 36 5 2 2 2" xfId="13846"/>
    <cellStyle name="Calculation 36 5 2 3" xfId="13847"/>
    <cellStyle name="Calculation 36 5 2 4" xfId="13848"/>
    <cellStyle name="Calculation 36 5 2 5" xfId="13844"/>
    <cellStyle name="Calculation 36 5 3" xfId="13849"/>
    <cellStyle name="Calculation 36 5 3 2" xfId="13850"/>
    <cellStyle name="Calculation 36 5 3 2 2" xfId="13851"/>
    <cellStyle name="Calculation 36 5 3 3" xfId="13852"/>
    <cellStyle name="Calculation 36 5 4" xfId="13853"/>
    <cellStyle name="Calculation 36 5 4 2" xfId="13854"/>
    <cellStyle name="Calculation 36 5 4 2 2" xfId="13855"/>
    <cellStyle name="Calculation 36 5 4 3" xfId="13856"/>
    <cellStyle name="Calculation 36 5 5" xfId="13857"/>
    <cellStyle name="Calculation 36 5 5 2" xfId="13858"/>
    <cellStyle name="Calculation 36 5 6" xfId="13859"/>
    <cellStyle name="Calculation 36 5 6 2" xfId="13860"/>
    <cellStyle name="Calculation 36 5 7" xfId="13861"/>
    <cellStyle name="Calculation 36 5 7 2" xfId="13862"/>
    <cellStyle name="Calculation 36 5 8" xfId="13863"/>
    <cellStyle name="Calculation 36 5 8 2" xfId="13864"/>
    <cellStyle name="Calculation 36 5 9" xfId="13865"/>
    <cellStyle name="Calculation 36 6" xfId="4888"/>
    <cellStyle name="Calculation 36 6 2" xfId="13867"/>
    <cellStyle name="Calculation 36 6 2 2" xfId="13868"/>
    <cellStyle name="Calculation 36 6 2 2 2" xfId="13869"/>
    <cellStyle name="Calculation 36 6 2 3" xfId="13870"/>
    <cellStyle name="Calculation 36 6 3" xfId="13871"/>
    <cellStyle name="Calculation 36 6 3 2" xfId="13872"/>
    <cellStyle name="Calculation 36 6 3 2 2" xfId="13873"/>
    <cellStyle name="Calculation 36 6 3 3" xfId="13874"/>
    <cellStyle name="Calculation 36 6 4" xfId="13875"/>
    <cellStyle name="Calculation 36 6 4 2" xfId="13876"/>
    <cellStyle name="Calculation 36 6 5" xfId="13877"/>
    <cellStyle name="Calculation 36 6 5 2" xfId="13878"/>
    <cellStyle name="Calculation 36 6 6" xfId="13879"/>
    <cellStyle name="Calculation 36 6 7" xfId="13880"/>
    <cellStyle name="Calculation 36 6 8" xfId="13866"/>
    <cellStyle name="Calculation 36 7" xfId="4303"/>
    <cellStyle name="Calculation 36 7 2" xfId="13882"/>
    <cellStyle name="Calculation 36 7 3" xfId="13881"/>
    <cellStyle name="Calculation 36 8" xfId="8322"/>
    <cellStyle name="Calculation 36 8 2" xfId="13883"/>
    <cellStyle name="Calculation 36 9" xfId="13884"/>
    <cellStyle name="Calculation 36 9 2" xfId="13885"/>
    <cellStyle name="Calculation 37" xfId="2584"/>
    <cellStyle name="Calculation 37 10" xfId="13886"/>
    <cellStyle name="Calculation 37 11" xfId="13887"/>
    <cellStyle name="Calculation 37 2" xfId="4304"/>
    <cellStyle name="Calculation 37 2 2" xfId="13889"/>
    <cellStyle name="Calculation 37 2 2 10" xfId="13890"/>
    <cellStyle name="Calculation 37 2 2 2" xfId="13891"/>
    <cellStyle name="Calculation 37 2 2 2 2" xfId="13892"/>
    <cellStyle name="Calculation 37 2 2 2 2 2" xfId="13893"/>
    <cellStyle name="Calculation 37 2 2 2 3" xfId="13894"/>
    <cellStyle name="Calculation 37 2 2 2 4" xfId="13895"/>
    <cellStyle name="Calculation 37 2 2 3" xfId="13896"/>
    <cellStyle name="Calculation 37 2 2 3 2" xfId="13897"/>
    <cellStyle name="Calculation 37 2 2 3 2 2" xfId="13898"/>
    <cellStyle name="Calculation 37 2 2 3 3" xfId="13899"/>
    <cellStyle name="Calculation 37 2 2 4" xfId="13900"/>
    <cellStyle name="Calculation 37 2 2 4 2" xfId="13901"/>
    <cellStyle name="Calculation 37 2 2 4 2 2" xfId="13902"/>
    <cellStyle name="Calculation 37 2 2 4 3" xfId="13903"/>
    <cellStyle name="Calculation 37 2 2 5" xfId="13904"/>
    <cellStyle name="Calculation 37 2 2 5 2" xfId="13905"/>
    <cellStyle name="Calculation 37 2 2 6" xfId="13906"/>
    <cellStyle name="Calculation 37 2 2 6 2" xfId="13907"/>
    <cellStyle name="Calculation 37 2 2 7" xfId="13908"/>
    <cellStyle name="Calculation 37 2 2 7 2" xfId="13909"/>
    <cellStyle name="Calculation 37 2 2 8" xfId="13910"/>
    <cellStyle name="Calculation 37 2 2 8 2" xfId="13911"/>
    <cellStyle name="Calculation 37 2 2 9" xfId="13912"/>
    <cellStyle name="Calculation 37 2 3" xfId="13913"/>
    <cellStyle name="Calculation 37 2 3 2" xfId="13914"/>
    <cellStyle name="Calculation 37 2 3 2 2" xfId="13915"/>
    <cellStyle name="Calculation 37 2 3 2 2 2" xfId="13916"/>
    <cellStyle name="Calculation 37 2 3 2 3" xfId="13917"/>
    <cellStyle name="Calculation 37 2 3 2 4" xfId="13918"/>
    <cellStyle name="Calculation 37 2 3 3" xfId="13919"/>
    <cellStyle name="Calculation 37 2 3 3 2" xfId="13920"/>
    <cellStyle name="Calculation 37 2 3 3 2 2" xfId="13921"/>
    <cellStyle name="Calculation 37 2 3 3 3" xfId="13922"/>
    <cellStyle name="Calculation 37 2 3 4" xfId="13923"/>
    <cellStyle name="Calculation 37 2 3 4 2" xfId="13924"/>
    <cellStyle name="Calculation 37 2 3 5" xfId="13925"/>
    <cellStyle name="Calculation 37 2 3 5 2" xfId="13926"/>
    <cellStyle name="Calculation 37 2 3 6" xfId="13927"/>
    <cellStyle name="Calculation 37 2 3 7" xfId="13928"/>
    <cellStyle name="Calculation 37 2 4" xfId="13929"/>
    <cellStyle name="Calculation 37 2 4 2" xfId="13930"/>
    <cellStyle name="Calculation 37 2 4 3" xfId="13931"/>
    <cellStyle name="Calculation 37 2 5" xfId="13932"/>
    <cellStyle name="Calculation 37 2 5 2" xfId="13933"/>
    <cellStyle name="Calculation 37 2 6" xfId="13934"/>
    <cellStyle name="Calculation 37 2 6 2" xfId="13935"/>
    <cellStyle name="Calculation 37 2 7" xfId="13936"/>
    <cellStyle name="Calculation 37 2 8" xfId="13937"/>
    <cellStyle name="Calculation 37 2 9" xfId="13888"/>
    <cellStyle name="Calculation 37 3" xfId="4305"/>
    <cellStyle name="Calculation 37 3 2" xfId="13939"/>
    <cellStyle name="Calculation 37 3 2 10" xfId="13940"/>
    <cellStyle name="Calculation 37 3 2 2" xfId="13941"/>
    <cellStyle name="Calculation 37 3 2 2 2" xfId="13942"/>
    <cellStyle name="Calculation 37 3 2 2 2 2" xfId="13943"/>
    <cellStyle name="Calculation 37 3 2 2 3" xfId="13944"/>
    <cellStyle name="Calculation 37 3 2 3" xfId="13945"/>
    <cellStyle name="Calculation 37 3 2 3 2" xfId="13946"/>
    <cellStyle name="Calculation 37 3 2 3 2 2" xfId="13947"/>
    <cellStyle name="Calculation 37 3 2 3 3" xfId="13948"/>
    <cellStyle name="Calculation 37 3 2 4" xfId="13949"/>
    <cellStyle name="Calculation 37 3 2 4 2" xfId="13950"/>
    <cellStyle name="Calculation 37 3 2 4 2 2" xfId="13951"/>
    <cellStyle name="Calculation 37 3 2 4 3" xfId="13952"/>
    <cellStyle name="Calculation 37 3 2 5" xfId="13953"/>
    <cellStyle name="Calculation 37 3 2 5 2" xfId="13954"/>
    <cellStyle name="Calculation 37 3 2 6" xfId="13955"/>
    <cellStyle name="Calculation 37 3 2 6 2" xfId="13956"/>
    <cellStyle name="Calculation 37 3 2 7" xfId="13957"/>
    <cellStyle name="Calculation 37 3 2 7 2" xfId="13958"/>
    <cellStyle name="Calculation 37 3 2 8" xfId="13959"/>
    <cellStyle name="Calculation 37 3 2 8 2" xfId="13960"/>
    <cellStyle name="Calculation 37 3 2 9" xfId="13961"/>
    <cellStyle name="Calculation 37 3 3" xfId="13962"/>
    <cellStyle name="Calculation 37 3 3 2" xfId="13963"/>
    <cellStyle name="Calculation 37 3 3 2 2" xfId="13964"/>
    <cellStyle name="Calculation 37 3 3 2 2 2" xfId="13965"/>
    <cellStyle name="Calculation 37 3 3 2 3" xfId="13966"/>
    <cellStyle name="Calculation 37 3 3 3" xfId="13967"/>
    <cellStyle name="Calculation 37 3 3 3 2" xfId="13968"/>
    <cellStyle name="Calculation 37 3 3 3 2 2" xfId="13969"/>
    <cellStyle name="Calculation 37 3 3 3 3" xfId="13970"/>
    <cellStyle name="Calculation 37 3 3 4" xfId="13971"/>
    <cellStyle name="Calculation 37 3 3 4 2" xfId="13972"/>
    <cellStyle name="Calculation 37 3 3 5" xfId="13973"/>
    <cellStyle name="Calculation 37 3 3 5 2" xfId="13974"/>
    <cellStyle name="Calculation 37 3 3 6" xfId="13975"/>
    <cellStyle name="Calculation 37 3 3 7" xfId="13976"/>
    <cellStyle name="Calculation 37 3 4" xfId="13977"/>
    <cellStyle name="Calculation 37 3 4 2" xfId="13978"/>
    <cellStyle name="Calculation 37 3 5" xfId="13979"/>
    <cellStyle name="Calculation 37 3 5 2" xfId="13980"/>
    <cellStyle name="Calculation 37 3 6" xfId="13981"/>
    <cellStyle name="Calculation 37 3 6 2" xfId="13982"/>
    <cellStyle name="Calculation 37 3 7" xfId="13983"/>
    <cellStyle name="Calculation 37 3 8" xfId="13984"/>
    <cellStyle name="Calculation 37 3 9" xfId="13938"/>
    <cellStyle name="Calculation 37 4" xfId="1854"/>
    <cellStyle name="Calculation 37 4 10" xfId="13986"/>
    <cellStyle name="Calculation 37 4 11" xfId="13985"/>
    <cellStyle name="Calculation 37 4 2" xfId="4306"/>
    <cellStyle name="Calculation 37 4 2 2" xfId="13988"/>
    <cellStyle name="Calculation 37 4 2 2 2" xfId="13989"/>
    <cellStyle name="Calculation 37 4 2 3" xfId="13990"/>
    <cellStyle name="Calculation 37 4 2 4" xfId="13991"/>
    <cellStyle name="Calculation 37 4 2 5" xfId="13987"/>
    <cellStyle name="Calculation 37 4 3" xfId="13992"/>
    <cellStyle name="Calculation 37 4 3 2" xfId="13993"/>
    <cellStyle name="Calculation 37 4 3 2 2" xfId="13994"/>
    <cellStyle name="Calculation 37 4 3 3" xfId="13995"/>
    <cellStyle name="Calculation 37 4 4" xfId="13996"/>
    <cellStyle name="Calculation 37 4 4 2" xfId="13997"/>
    <cellStyle name="Calculation 37 4 4 2 2" xfId="13998"/>
    <cellStyle name="Calculation 37 4 4 3" xfId="13999"/>
    <cellStyle name="Calculation 37 4 5" xfId="14000"/>
    <cellStyle name="Calculation 37 4 5 2" xfId="14001"/>
    <cellStyle name="Calculation 37 4 6" xfId="14002"/>
    <cellStyle name="Calculation 37 4 6 2" xfId="14003"/>
    <cellStyle name="Calculation 37 4 7" xfId="14004"/>
    <cellStyle name="Calculation 37 4 7 2" xfId="14005"/>
    <cellStyle name="Calculation 37 4 8" xfId="14006"/>
    <cellStyle name="Calculation 37 4 8 2" xfId="14007"/>
    <cellStyle name="Calculation 37 4 9" xfId="14008"/>
    <cellStyle name="Calculation 37 5" xfId="4307"/>
    <cellStyle name="Calculation 37 5 10" xfId="14010"/>
    <cellStyle name="Calculation 37 5 11" xfId="14009"/>
    <cellStyle name="Calculation 37 5 2" xfId="4308"/>
    <cellStyle name="Calculation 37 5 2 2" xfId="14012"/>
    <cellStyle name="Calculation 37 5 2 2 2" xfId="14013"/>
    <cellStyle name="Calculation 37 5 2 3" xfId="14014"/>
    <cellStyle name="Calculation 37 5 2 4" xfId="14015"/>
    <cellStyle name="Calculation 37 5 2 5" xfId="14011"/>
    <cellStyle name="Calculation 37 5 3" xfId="14016"/>
    <cellStyle name="Calculation 37 5 3 2" xfId="14017"/>
    <cellStyle name="Calculation 37 5 3 2 2" xfId="14018"/>
    <cellStyle name="Calculation 37 5 3 3" xfId="14019"/>
    <cellStyle name="Calculation 37 5 4" xfId="14020"/>
    <cellStyle name="Calculation 37 5 4 2" xfId="14021"/>
    <cellStyle name="Calculation 37 5 4 2 2" xfId="14022"/>
    <cellStyle name="Calculation 37 5 4 3" xfId="14023"/>
    <cellStyle name="Calculation 37 5 5" xfId="14024"/>
    <cellStyle name="Calculation 37 5 5 2" xfId="14025"/>
    <cellStyle name="Calculation 37 5 6" xfId="14026"/>
    <cellStyle name="Calculation 37 5 6 2" xfId="14027"/>
    <cellStyle name="Calculation 37 5 7" xfId="14028"/>
    <cellStyle name="Calculation 37 5 7 2" xfId="14029"/>
    <cellStyle name="Calculation 37 5 8" xfId="14030"/>
    <cellStyle name="Calculation 37 5 8 2" xfId="14031"/>
    <cellStyle name="Calculation 37 5 9" xfId="14032"/>
    <cellStyle name="Calculation 37 6" xfId="4309"/>
    <cellStyle name="Calculation 37 6 2" xfId="14034"/>
    <cellStyle name="Calculation 37 6 2 2" xfId="14035"/>
    <cellStyle name="Calculation 37 6 2 2 2" xfId="14036"/>
    <cellStyle name="Calculation 37 6 2 3" xfId="14037"/>
    <cellStyle name="Calculation 37 6 3" xfId="14038"/>
    <cellStyle name="Calculation 37 6 3 2" xfId="14039"/>
    <cellStyle name="Calculation 37 6 3 2 2" xfId="14040"/>
    <cellStyle name="Calculation 37 6 3 3" xfId="14041"/>
    <cellStyle name="Calculation 37 6 4" xfId="14042"/>
    <cellStyle name="Calculation 37 6 4 2" xfId="14043"/>
    <cellStyle name="Calculation 37 6 5" xfId="14044"/>
    <cellStyle name="Calculation 37 6 5 2" xfId="14045"/>
    <cellStyle name="Calculation 37 6 6" xfId="14046"/>
    <cellStyle name="Calculation 37 6 7" xfId="14047"/>
    <cellStyle name="Calculation 37 6 8" xfId="14033"/>
    <cellStyle name="Calculation 37 7" xfId="4310"/>
    <cellStyle name="Calculation 37 7 2" xfId="14049"/>
    <cellStyle name="Calculation 37 7 3" xfId="14048"/>
    <cellStyle name="Calculation 37 8" xfId="8323"/>
    <cellStyle name="Calculation 37 8 2" xfId="14050"/>
    <cellStyle name="Calculation 37 9" xfId="14051"/>
    <cellStyle name="Calculation 37 9 2" xfId="14052"/>
    <cellStyle name="Calculation 38" xfId="473"/>
    <cellStyle name="Calculation 38 10" xfId="14054"/>
    <cellStyle name="Calculation 38 11" xfId="14055"/>
    <cellStyle name="Calculation 38 12" xfId="14053"/>
    <cellStyle name="Calculation 38 2" xfId="4311"/>
    <cellStyle name="Calculation 38 2 2" xfId="14056"/>
    <cellStyle name="Calculation 38 2 2 10" xfId="14057"/>
    <cellStyle name="Calculation 38 2 2 2" xfId="14058"/>
    <cellStyle name="Calculation 38 2 2 2 2" xfId="14059"/>
    <cellStyle name="Calculation 38 2 2 2 2 2" xfId="14060"/>
    <cellStyle name="Calculation 38 2 2 2 3" xfId="14061"/>
    <cellStyle name="Calculation 38 2 2 3" xfId="14062"/>
    <cellStyle name="Calculation 38 2 2 3 2" xfId="14063"/>
    <cellStyle name="Calculation 38 2 2 3 2 2" xfId="14064"/>
    <cellStyle name="Calculation 38 2 2 3 3" xfId="14065"/>
    <cellStyle name="Calculation 38 2 2 4" xfId="14066"/>
    <cellStyle name="Calculation 38 2 2 4 2" xfId="14067"/>
    <cellStyle name="Calculation 38 2 2 4 2 2" xfId="14068"/>
    <cellStyle name="Calculation 38 2 2 4 3" xfId="14069"/>
    <cellStyle name="Calculation 38 2 2 5" xfId="14070"/>
    <cellStyle name="Calculation 38 2 2 5 2" xfId="14071"/>
    <cellStyle name="Calculation 38 2 2 6" xfId="14072"/>
    <cellStyle name="Calculation 38 2 2 6 2" xfId="14073"/>
    <cellStyle name="Calculation 38 2 2 7" xfId="14074"/>
    <cellStyle name="Calculation 38 2 2 7 2" xfId="14075"/>
    <cellStyle name="Calculation 38 2 2 8" xfId="14076"/>
    <cellStyle name="Calculation 38 2 2 8 2" xfId="14077"/>
    <cellStyle name="Calculation 38 2 2 9" xfId="14078"/>
    <cellStyle name="Calculation 38 3" xfId="4312"/>
    <cellStyle name="Calculation 38 3 10" xfId="14080"/>
    <cellStyle name="Calculation 38 3 11" xfId="14079"/>
    <cellStyle name="Calculation 38 3 2" xfId="4313"/>
    <cellStyle name="Calculation 38 3 2 2" xfId="14082"/>
    <cellStyle name="Calculation 38 3 2 2 2" xfId="14083"/>
    <cellStyle name="Calculation 38 3 2 3" xfId="14084"/>
    <cellStyle name="Calculation 38 3 2 4" xfId="14081"/>
    <cellStyle name="Calculation 38 3 3" xfId="14085"/>
    <cellStyle name="Calculation 38 3 3 2" xfId="14086"/>
    <cellStyle name="Calculation 38 3 3 2 2" xfId="14087"/>
    <cellStyle name="Calculation 38 3 3 3" xfId="14088"/>
    <cellStyle name="Calculation 38 3 4" xfId="14089"/>
    <cellStyle name="Calculation 38 3 4 2" xfId="14090"/>
    <cellStyle name="Calculation 38 3 4 2 2" xfId="14091"/>
    <cellStyle name="Calculation 38 3 4 3" xfId="14092"/>
    <cellStyle name="Calculation 38 3 5" xfId="14093"/>
    <cellStyle name="Calculation 38 3 5 2" xfId="14094"/>
    <cellStyle name="Calculation 38 3 6" xfId="14095"/>
    <cellStyle name="Calculation 38 3 6 2" xfId="14096"/>
    <cellStyle name="Calculation 38 3 7" xfId="14097"/>
    <cellStyle name="Calculation 38 3 7 2" xfId="14098"/>
    <cellStyle name="Calculation 38 3 8" xfId="14099"/>
    <cellStyle name="Calculation 38 3 8 2" xfId="14100"/>
    <cellStyle name="Calculation 38 3 9" xfId="14101"/>
    <cellStyle name="Calculation 38 4" xfId="4314"/>
    <cellStyle name="Calculation 38 4 10" xfId="14103"/>
    <cellStyle name="Calculation 38 4 11" xfId="14102"/>
    <cellStyle name="Calculation 38 4 2" xfId="14104"/>
    <cellStyle name="Calculation 38 4 2 2" xfId="14105"/>
    <cellStyle name="Calculation 38 4 2 2 2" xfId="14106"/>
    <cellStyle name="Calculation 38 4 2 3" xfId="14107"/>
    <cellStyle name="Calculation 38 4 3" xfId="14108"/>
    <cellStyle name="Calculation 38 4 3 2" xfId="14109"/>
    <cellStyle name="Calculation 38 4 3 2 2" xfId="14110"/>
    <cellStyle name="Calculation 38 4 3 3" xfId="14111"/>
    <cellStyle name="Calculation 38 4 4" xfId="14112"/>
    <cellStyle name="Calculation 38 4 4 2" xfId="14113"/>
    <cellStyle name="Calculation 38 4 4 2 2" xfId="14114"/>
    <cellStyle name="Calculation 38 4 4 3" xfId="14115"/>
    <cellStyle name="Calculation 38 4 5" xfId="14116"/>
    <cellStyle name="Calculation 38 4 5 2" xfId="14117"/>
    <cellStyle name="Calculation 38 4 6" xfId="14118"/>
    <cellStyle name="Calculation 38 4 6 2" xfId="14119"/>
    <cellStyle name="Calculation 38 4 7" xfId="14120"/>
    <cellStyle name="Calculation 38 4 7 2" xfId="14121"/>
    <cellStyle name="Calculation 38 4 8" xfId="14122"/>
    <cellStyle name="Calculation 38 4 8 2" xfId="14123"/>
    <cellStyle name="Calculation 38 4 9" xfId="14124"/>
    <cellStyle name="Calculation 38 5" xfId="4315"/>
    <cellStyle name="Calculation 38 5 10" xfId="14125"/>
    <cellStyle name="Calculation 38 5 2" xfId="14126"/>
    <cellStyle name="Calculation 38 5 2 2" xfId="14127"/>
    <cellStyle name="Calculation 38 5 2 2 2" xfId="14128"/>
    <cellStyle name="Calculation 38 5 2 3" xfId="14129"/>
    <cellStyle name="Calculation 38 5 3" xfId="14130"/>
    <cellStyle name="Calculation 38 5 3 2" xfId="14131"/>
    <cellStyle name="Calculation 38 5 3 2 2" xfId="14132"/>
    <cellStyle name="Calculation 38 5 3 3" xfId="14133"/>
    <cellStyle name="Calculation 38 5 4" xfId="14134"/>
    <cellStyle name="Calculation 38 5 4 2" xfId="14135"/>
    <cellStyle name="Calculation 38 5 4 2 2" xfId="14136"/>
    <cellStyle name="Calculation 38 5 4 3" xfId="14137"/>
    <cellStyle name="Calculation 38 5 5" xfId="14138"/>
    <cellStyle name="Calculation 38 5 5 2" xfId="14139"/>
    <cellStyle name="Calculation 38 5 6" xfId="14140"/>
    <cellStyle name="Calculation 38 5 6 2" xfId="14141"/>
    <cellStyle name="Calculation 38 5 7" xfId="14142"/>
    <cellStyle name="Calculation 38 5 7 2" xfId="14143"/>
    <cellStyle name="Calculation 38 5 8" xfId="14144"/>
    <cellStyle name="Calculation 38 5 8 2" xfId="14145"/>
    <cellStyle name="Calculation 38 5 9" xfId="14146"/>
    <cellStyle name="Calculation 38 6" xfId="4316"/>
    <cellStyle name="Calculation 38 6 2" xfId="3404"/>
    <cellStyle name="Calculation 38 6 2 2" xfId="14149"/>
    <cellStyle name="Calculation 38 6 2 2 2" xfId="14150"/>
    <cellStyle name="Calculation 38 6 2 3" xfId="14151"/>
    <cellStyle name="Calculation 38 6 2 4" xfId="14148"/>
    <cellStyle name="Calculation 38 6 3" xfId="14152"/>
    <cellStyle name="Calculation 38 6 3 2" xfId="14153"/>
    <cellStyle name="Calculation 38 6 3 2 2" xfId="14154"/>
    <cellStyle name="Calculation 38 6 3 3" xfId="14155"/>
    <cellStyle name="Calculation 38 6 4" xfId="14156"/>
    <cellStyle name="Calculation 38 6 4 2" xfId="14157"/>
    <cellStyle name="Calculation 38 6 5" xfId="14158"/>
    <cellStyle name="Calculation 38 6 5 2" xfId="14159"/>
    <cellStyle name="Calculation 38 6 6" xfId="14160"/>
    <cellStyle name="Calculation 38 6 7" xfId="14161"/>
    <cellStyle name="Calculation 38 6 8" xfId="14147"/>
    <cellStyle name="Calculation 38 7" xfId="3405"/>
    <cellStyle name="Calculation 38 7 2" xfId="3406"/>
    <cellStyle name="Calculation 38 7 2 2" xfId="14163"/>
    <cellStyle name="Calculation 38 7 3" xfId="14162"/>
    <cellStyle name="Calculation 38 8" xfId="14164"/>
    <cellStyle name="Calculation 38 8 2" xfId="14165"/>
    <cellStyle name="Calculation 38 9" xfId="14166"/>
    <cellStyle name="Calculation 38 9 2" xfId="14167"/>
    <cellStyle name="Calculation 39" xfId="7796"/>
    <cellStyle name="Calculation 39 2" xfId="14169"/>
    <cellStyle name="Calculation 39 3" xfId="14170"/>
    <cellStyle name="Calculation 39 4" xfId="14168"/>
    <cellStyle name="Calculation 4" xfId="488"/>
    <cellStyle name="Calculation 4 10" xfId="14171"/>
    <cellStyle name="Calculation 4 11" xfId="14172"/>
    <cellStyle name="Calculation 4 12" xfId="41464"/>
    <cellStyle name="Calculation 4 2" xfId="489"/>
    <cellStyle name="Calculation 4 2 2" xfId="490"/>
    <cellStyle name="Calculation 4 2 2 10" xfId="14173"/>
    <cellStyle name="Calculation 4 2 2 2" xfId="7946"/>
    <cellStyle name="Calculation 4 2 2 2 2" xfId="14174"/>
    <cellStyle name="Calculation 4 2 2 2 2 2" xfId="14175"/>
    <cellStyle name="Calculation 4 2 2 2 3" xfId="14176"/>
    <cellStyle name="Calculation 4 2 2 2 4" xfId="14177"/>
    <cellStyle name="Calculation 4 2 2 3" xfId="14178"/>
    <cellStyle name="Calculation 4 2 2 3 2" xfId="14179"/>
    <cellStyle name="Calculation 4 2 2 3 2 2" xfId="14180"/>
    <cellStyle name="Calculation 4 2 2 3 3" xfId="14181"/>
    <cellStyle name="Calculation 4 2 2 4" xfId="14182"/>
    <cellStyle name="Calculation 4 2 2 4 2" xfId="14183"/>
    <cellStyle name="Calculation 4 2 2 4 2 2" xfId="14184"/>
    <cellStyle name="Calculation 4 2 2 4 3" xfId="14185"/>
    <cellStyle name="Calculation 4 2 2 5" xfId="14186"/>
    <cellStyle name="Calculation 4 2 2 5 2" xfId="14187"/>
    <cellStyle name="Calculation 4 2 2 6" xfId="14188"/>
    <cellStyle name="Calculation 4 2 2 6 2" xfId="14189"/>
    <cellStyle name="Calculation 4 2 2 7" xfId="14190"/>
    <cellStyle name="Calculation 4 2 2 7 2" xfId="14191"/>
    <cellStyle name="Calculation 4 2 2 8" xfId="14192"/>
    <cellStyle name="Calculation 4 2 2 8 2" xfId="14193"/>
    <cellStyle name="Calculation 4 2 2 9" xfId="14194"/>
    <cellStyle name="Calculation 4 2 3" xfId="4317"/>
    <cellStyle name="Calculation 4 2 3 2" xfId="14196"/>
    <cellStyle name="Calculation 4 2 3 2 2" xfId="14197"/>
    <cellStyle name="Calculation 4 2 3 2 2 2" xfId="14198"/>
    <cellStyle name="Calculation 4 2 3 2 3" xfId="14199"/>
    <cellStyle name="Calculation 4 2 3 2 4" xfId="14200"/>
    <cellStyle name="Calculation 4 2 3 3" xfId="14201"/>
    <cellStyle name="Calculation 4 2 3 3 2" xfId="14202"/>
    <cellStyle name="Calculation 4 2 3 3 2 2" xfId="14203"/>
    <cellStyle name="Calculation 4 2 3 3 3" xfId="14204"/>
    <cellStyle name="Calculation 4 2 3 4" xfId="14205"/>
    <cellStyle name="Calculation 4 2 3 4 2" xfId="14206"/>
    <cellStyle name="Calculation 4 2 3 5" xfId="14207"/>
    <cellStyle name="Calculation 4 2 3 5 2" xfId="14208"/>
    <cellStyle name="Calculation 4 2 3 6" xfId="14209"/>
    <cellStyle name="Calculation 4 2 3 7" xfId="14210"/>
    <cellStyle name="Calculation 4 2 3 8" xfId="14195"/>
    <cellStyle name="Calculation 4 2 4" xfId="4318"/>
    <cellStyle name="Calculation 4 2 4 2" xfId="4319"/>
    <cellStyle name="Calculation 4 2 4 2 2" xfId="14212"/>
    <cellStyle name="Calculation 4 2 4 3" xfId="14213"/>
    <cellStyle name="Calculation 4 2 4 4" xfId="14211"/>
    <cellStyle name="Calculation 4 2 5" xfId="4320"/>
    <cellStyle name="Calculation 4 2 5 2" xfId="3407"/>
    <cellStyle name="Calculation 4 2 5 2 2" xfId="14215"/>
    <cellStyle name="Calculation 4 2 5 3" xfId="14214"/>
    <cellStyle name="Calculation 4 2 6" xfId="3408"/>
    <cellStyle name="Calculation 4 2 6 2" xfId="14217"/>
    <cellStyle name="Calculation 4 2 6 3" xfId="14216"/>
    <cellStyle name="Calculation 4 2 7" xfId="3409"/>
    <cellStyle name="Calculation 4 2 7 2" xfId="14218"/>
    <cellStyle name="Calculation 4 2 8" xfId="7945"/>
    <cellStyle name="Calculation 4 2 9" xfId="43789"/>
    <cellStyle name="Calculation 4 3" xfId="491"/>
    <cellStyle name="Calculation 4 3 2" xfId="492"/>
    <cellStyle name="Calculation 4 3 2 10" xfId="14219"/>
    <cellStyle name="Calculation 4 3 2 2" xfId="7948"/>
    <cellStyle name="Calculation 4 3 2 2 2" xfId="14220"/>
    <cellStyle name="Calculation 4 3 2 2 2 2" xfId="14221"/>
    <cellStyle name="Calculation 4 3 2 2 3" xfId="14222"/>
    <cellStyle name="Calculation 4 3 2 3" xfId="14223"/>
    <cellStyle name="Calculation 4 3 2 3 2" xfId="14224"/>
    <cellStyle name="Calculation 4 3 2 3 2 2" xfId="14225"/>
    <cellStyle name="Calculation 4 3 2 3 3" xfId="14226"/>
    <cellStyle name="Calculation 4 3 2 4" xfId="14227"/>
    <cellStyle name="Calculation 4 3 2 4 2" xfId="14228"/>
    <cellStyle name="Calculation 4 3 2 4 2 2" xfId="14229"/>
    <cellStyle name="Calculation 4 3 2 4 3" xfId="14230"/>
    <cellStyle name="Calculation 4 3 2 5" xfId="14231"/>
    <cellStyle name="Calculation 4 3 2 5 2" xfId="14232"/>
    <cellStyle name="Calculation 4 3 2 6" xfId="14233"/>
    <cellStyle name="Calculation 4 3 2 6 2" xfId="14234"/>
    <cellStyle name="Calculation 4 3 2 7" xfId="14235"/>
    <cellStyle name="Calculation 4 3 2 7 2" xfId="14236"/>
    <cellStyle name="Calculation 4 3 2 8" xfId="14237"/>
    <cellStyle name="Calculation 4 3 2 8 2" xfId="14238"/>
    <cellStyle name="Calculation 4 3 2 9" xfId="14239"/>
    <cellStyle name="Calculation 4 3 3" xfId="7947"/>
    <cellStyle name="Calculation 4 3 3 2" xfId="14240"/>
    <cellStyle name="Calculation 4 3 3 2 2" xfId="14241"/>
    <cellStyle name="Calculation 4 3 3 2 2 2" xfId="14242"/>
    <cellStyle name="Calculation 4 3 3 2 3" xfId="14243"/>
    <cellStyle name="Calculation 4 3 3 3" xfId="14244"/>
    <cellStyle name="Calculation 4 3 3 3 2" xfId="14245"/>
    <cellStyle name="Calculation 4 3 3 3 2 2" xfId="14246"/>
    <cellStyle name="Calculation 4 3 3 3 3" xfId="14247"/>
    <cellStyle name="Calculation 4 3 3 4" xfId="14248"/>
    <cellStyle name="Calculation 4 3 3 4 2" xfId="14249"/>
    <cellStyle name="Calculation 4 3 3 5" xfId="14250"/>
    <cellStyle name="Calculation 4 3 3 5 2" xfId="14251"/>
    <cellStyle name="Calculation 4 3 3 6" xfId="14252"/>
    <cellStyle name="Calculation 4 3 3 7" xfId="14253"/>
    <cellStyle name="Calculation 4 3 4" xfId="14254"/>
    <cellStyle name="Calculation 4 3 4 2" xfId="14255"/>
    <cellStyle name="Calculation 4 3 5" xfId="14256"/>
    <cellStyle name="Calculation 4 3 5 2" xfId="14257"/>
    <cellStyle name="Calculation 4 3 6" xfId="14258"/>
    <cellStyle name="Calculation 4 3 6 2" xfId="14259"/>
    <cellStyle name="Calculation 4 3 7" xfId="14260"/>
    <cellStyle name="Calculation 4 3 8" xfId="14261"/>
    <cellStyle name="Calculation 4 3 9" xfId="43588"/>
    <cellStyle name="Calculation 4 4" xfId="493"/>
    <cellStyle name="Calculation 4 4 10" xfId="14262"/>
    <cellStyle name="Calculation 4 4 11" xfId="45324"/>
    <cellStyle name="Calculation 4 4 2" xfId="7949"/>
    <cellStyle name="Calculation 4 4 2 2" xfId="14263"/>
    <cellStyle name="Calculation 4 4 2 2 2" xfId="14264"/>
    <cellStyle name="Calculation 4 4 2 3" xfId="14265"/>
    <cellStyle name="Calculation 4 4 2 4" xfId="14266"/>
    <cellStyle name="Calculation 4 4 3" xfId="14267"/>
    <cellStyle name="Calculation 4 4 3 2" xfId="14268"/>
    <cellStyle name="Calculation 4 4 3 2 2" xfId="14269"/>
    <cellStyle name="Calculation 4 4 3 3" xfId="14270"/>
    <cellStyle name="Calculation 4 4 4" xfId="14271"/>
    <cellStyle name="Calculation 4 4 4 2" xfId="14272"/>
    <cellStyle name="Calculation 4 4 4 2 2" xfId="14273"/>
    <cellStyle name="Calculation 4 4 4 3" xfId="14274"/>
    <cellStyle name="Calculation 4 4 5" xfId="14275"/>
    <cellStyle name="Calculation 4 4 5 2" xfId="14276"/>
    <cellStyle name="Calculation 4 4 6" xfId="14277"/>
    <cellStyle name="Calculation 4 4 6 2" xfId="14278"/>
    <cellStyle name="Calculation 4 4 7" xfId="14279"/>
    <cellStyle name="Calculation 4 4 7 2" xfId="14280"/>
    <cellStyle name="Calculation 4 4 8" xfId="14281"/>
    <cellStyle name="Calculation 4 4 8 2" xfId="14282"/>
    <cellStyle name="Calculation 4 4 9" xfId="14283"/>
    <cellStyle name="Calculation 4 5" xfId="3410"/>
    <cellStyle name="Calculation 4 5 10" xfId="14285"/>
    <cellStyle name="Calculation 4 5 11" xfId="14284"/>
    <cellStyle name="Calculation 4 5 2" xfId="3411"/>
    <cellStyle name="Calculation 4 5 2 2" xfId="14287"/>
    <cellStyle name="Calculation 4 5 2 2 2" xfId="14288"/>
    <cellStyle name="Calculation 4 5 2 3" xfId="14289"/>
    <cellStyle name="Calculation 4 5 2 4" xfId="14290"/>
    <cellStyle name="Calculation 4 5 2 5" xfId="14286"/>
    <cellStyle name="Calculation 4 5 3" xfId="14291"/>
    <cellStyle name="Calculation 4 5 3 2" xfId="14292"/>
    <cellStyle name="Calculation 4 5 3 2 2" xfId="14293"/>
    <cellStyle name="Calculation 4 5 3 3" xfId="14294"/>
    <cellStyle name="Calculation 4 5 4" xfId="14295"/>
    <cellStyle name="Calculation 4 5 4 2" xfId="14296"/>
    <cellStyle name="Calculation 4 5 4 2 2" xfId="14297"/>
    <cellStyle name="Calculation 4 5 4 3" xfId="14298"/>
    <cellStyle name="Calculation 4 5 5" xfId="14299"/>
    <cellStyle name="Calculation 4 5 5 2" xfId="14300"/>
    <cellStyle name="Calculation 4 5 6" xfId="14301"/>
    <cellStyle name="Calculation 4 5 6 2" xfId="14302"/>
    <cellStyle name="Calculation 4 5 7" xfId="14303"/>
    <cellStyle name="Calculation 4 5 7 2" xfId="14304"/>
    <cellStyle name="Calculation 4 5 8" xfId="14305"/>
    <cellStyle name="Calculation 4 5 8 2" xfId="14306"/>
    <cellStyle name="Calculation 4 5 9" xfId="14307"/>
    <cellStyle name="Calculation 4 6" xfId="3412"/>
    <cellStyle name="Calculation 4 6 2" xfId="4321"/>
    <cellStyle name="Calculation 4 6 2 2" xfId="14310"/>
    <cellStyle name="Calculation 4 6 2 2 2" xfId="14311"/>
    <cellStyle name="Calculation 4 6 2 3" xfId="14312"/>
    <cellStyle name="Calculation 4 6 2 4" xfId="14309"/>
    <cellStyle name="Calculation 4 6 3" xfId="14313"/>
    <cellStyle name="Calculation 4 6 3 2" xfId="14314"/>
    <cellStyle name="Calculation 4 6 3 2 2" xfId="14315"/>
    <cellStyle name="Calculation 4 6 3 3" xfId="14316"/>
    <cellStyle name="Calculation 4 6 4" xfId="14317"/>
    <cellStyle name="Calculation 4 6 4 2" xfId="14318"/>
    <cellStyle name="Calculation 4 6 5" xfId="14319"/>
    <cellStyle name="Calculation 4 6 5 2" xfId="14320"/>
    <cellStyle name="Calculation 4 6 6" xfId="14321"/>
    <cellStyle name="Calculation 4 6 7" xfId="14322"/>
    <cellStyle name="Calculation 4 6 8" xfId="14308"/>
    <cellStyle name="Calculation 4 7" xfId="3413"/>
    <cellStyle name="Calculation 4 7 2" xfId="14324"/>
    <cellStyle name="Calculation 4 7 3" xfId="14323"/>
    <cellStyle name="Calculation 4 8" xfId="5254"/>
    <cellStyle name="Calculation 4 8 2" xfId="14326"/>
    <cellStyle name="Calculation 4 8 3" xfId="14325"/>
    <cellStyle name="Calculation 4 9" xfId="7944"/>
    <cellStyle name="Calculation 4 9 2" xfId="14327"/>
    <cellStyle name="Calculation 40" xfId="7929"/>
    <cellStyle name="Calculation 5" xfId="494"/>
    <cellStyle name="Calculation 5 10" xfId="14328"/>
    <cellStyle name="Calculation 5 11" xfId="14329"/>
    <cellStyle name="Calculation 5 2" xfId="495"/>
    <cellStyle name="Calculation 5 2 2" xfId="3414"/>
    <cellStyle name="Calculation 5 2 2 10" xfId="14331"/>
    <cellStyle name="Calculation 5 2 2 11" xfId="14330"/>
    <cellStyle name="Calculation 5 2 2 2" xfId="14332"/>
    <cellStyle name="Calculation 5 2 2 2 2" xfId="14333"/>
    <cellStyle name="Calculation 5 2 2 2 2 2" xfId="14334"/>
    <cellStyle name="Calculation 5 2 2 2 3" xfId="14335"/>
    <cellStyle name="Calculation 5 2 2 2 4" xfId="14336"/>
    <cellStyle name="Calculation 5 2 2 3" xfId="14337"/>
    <cellStyle name="Calculation 5 2 2 3 2" xfId="14338"/>
    <cellStyle name="Calculation 5 2 2 3 2 2" xfId="14339"/>
    <cellStyle name="Calculation 5 2 2 3 3" xfId="14340"/>
    <cellStyle name="Calculation 5 2 2 4" xfId="14341"/>
    <cellStyle name="Calculation 5 2 2 4 2" xfId="14342"/>
    <cellStyle name="Calculation 5 2 2 4 2 2" xfId="14343"/>
    <cellStyle name="Calculation 5 2 2 4 3" xfId="14344"/>
    <cellStyle name="Calculation 5 2 2 5" xfId="14345"/>
    <cellStyle name="Calculation 5 2 2 5 2" xfId="14346"/>
    <cellStyle name="Calculation 5 2 2 6" xfId="14347"/>
    <cellStyle name="Calculation 5 2 2 6 2" xfId="14348"/>
    <cellStyle name="Calculation 5 2 2 7" xfId="14349"/>
    <cellStyle name="Calculation 5 2 2 7 2" xfId="14350"/>
    <cellStyle name="Calculation 5 2 2 8" xfId="14351"/>
    <cellStyle name="Calculation 5 2 2 8 2" xfId="14352"/>
    <cellStyle name="Calculation 5 2 2 9" xfId="14353"/>
    <cellStyle name="Calculation 5 2 3" xfId="3415"/>
    <cellStyle name="Calculation 5 2 3 2" xfId="14355"/>
    <cellStyle name="Calculation 5 2 3 2 2" xfId="14356"/>
    <cellStyle name="Calculation 5 2 3 2 2 2" xfId="14357"/>
    <cellStyle name="Calculation 5 2 3 2 3" xfId="14358"/>
    <cellStyle name="Calculation 5 2 3 2 4" xfId="14359"/>
    <cellStyle name="Calculation 5 2 3 3" xfId="14360"/>
    <cellStyle name="Calculation 5 2 3 3 2" xfId="14361"/>
    <cellStyle name="Calculation 5 2 3 3 2 2" xfId="14362"/>
    <cellStyle name="Calculation 5 2 3 3 3" xfId="14363"/>
    <cellStyle name="Calculation 5 2 3 4" xfId="14364"/>
    <cellStyle name="Calculation 5 2 3 4 2" xfId="14365"/>
    <cellStyle name="Calculation 5 2 3 5" xfId="14366"/>
    <cellStyle name="Calculation 5 2 3 5 2" xfId="14367"/>
    <cellStyle name="Calculation 5 2 3 6" xfId="14368"/>
    <cellStyle name="Calculation 5 2 3 7" xfId="14369"/>
    <cellStyle name="Calculation 5 2 3 8" xfId="14354"/>
    <cellStyle name="Calculation 5 2 4" xfId="4961"/>
    <cellStyle name="Calculation 5 2 4 2" xfId="3416"/>
    <cellStyle name="Calculation 5 2 4 2 2" xfId="14371"/>
    <cellStyle name="Calculation 5 2 4 3" xfId="14372"/>
    <cellStyle name="Calculation 5 2 4 4" xfId="14370"/>
    <cellStyle name="Calculation 5 2 5" xfId="3417"/>
    <cellStyle name="Calculation 5 2 5 2" xfId="3418"/>
    <cellStyle name="Calculation 5 2 5 2 2" xfId="14374"/>
    <cellStyle name="Calculation 5 2 5 3" xfId="14373"/>
    <cellStyle name="Calculation 5 2 6" xfId="4322"/>
    <cellStyle name="Calculation 5 2 6 2" xfId="14376"/>
    <cellStyle name="Calculation 5 2 6 3" xfId="14375"/>
    <cellStyle name="Calculation 5 2 7" xfId="4323"/>
    <cellStyle name="Calculation 5 2 7 2" xfId="14377"/>
    <cellStyle name="Calculation 5 2 8" xfId="7951"/>
    <cellStyle name="Calculation 5 3" xfId="3419"/>
    <cellStyle name="Calculation 5 3 2" xfId="14379"/>
    <cellStyle name="Calculation 5 3 2 10" xfId="14380"/>
    <cellStyle name="Calculation 5 3 2 2" xfId="14381"/>
    <cellStyle name="Calculation 5 3 2 2 2" xfId="14382"/>
    <cellStyle name="Calculation 5 3 2 2 2 2" xfId="14383"/>
    <cellStyle name="Calculation 5 3 2 2 3" xfId="14384"/>
    <cellStyle name="Calculation 5 3 2 3" xfId="14385"/>
    <cellStyle name="Calculation 5 3 2 3 2" xfId="14386"/>
    <cellStyle name="Calculation 5 3 2 3 2 2" xfId="14387"/>
    <cellStyle name="Calculation 5 3 2 3 3" xfId="14388"/>
    <cellStyle name="Calculation 5 3 2 4" xfId="14389"/>
    <cellStyle name="Calculation 5 3 2 4 2" xfId="14390"/>
    <cellStyle name="Calculation 5 3 2 4 2 2" xfId="14391"/>
    <cellStyle name="Calculation 5 3 2 4 3" xfId="14392"/>
    <cellStyle name="Calculation 5 3 2 5" xfId="14393"/>
    <cellStyle name="Calculation 5 3 2 5 2" xfId="14394"/>
    <cellStyle name="Calculation 5 3 2 6" xfId="14395"/>
    <cellStyle name="Calculation 5 3 2 6 2" xfId="14396"/>
    <cellStyle name="Calculation 5 3 2 7" xfId="14397"/>
    <cellStyle name="Calculation 5 3 2 7 2" xfId="14398"/>
    <cellStyle name="Calculation 5 3 2 8" xfId="14399"/>
    <cellStyle name="Calculation 5 3 2 8 2" xfId="14400"/>
    <cellStyle name="Calculation 5 3 2 9" xfId="14401"/>
    <cellStyle name="Calculation 5 3 3" xfId="14402"/>
    <cellStyle name="Calculation 5 3 3 2" xfId="14403"/>
    <cellStyle name="Calculation 5 3 3 2 2" xfId="14404"/>
    <cellStyle name="Calculation 5 3 3 2 2 2" xfId="14405"/>
    <cellStyle name="Calculation 5 3 3 2 3" xfId="14406"/>
    <cellStyle name="Calculation 5 3 3 3" xfId="14407"/>
    <cellStyle name="Calculation 5 3 3 3 2" xfId="14408"/>
    <cellStyle name="Calculation 5 3 3 3 2 2" xfId="14409"/>
    <cellStyle name="Calculation 5 3 3 3 3" xfId="14410"/>
    <cellStyle name="Calculation 5 3 3 4" xfId="14411"/>
    <cellStyle name="Calculation 5 3 3 4 2" xfId="14412"/>
    <cellStyle name="Calculation 5 3 3 5" xfId="14413"/>
    <cellStyle name="Calculation 5 3 3 5 2" xfId="14414"/>
    <cellStyle name="Calculation 5 3 3 6" xfId="14415"/>
    <cellStyle name="Calculation 5 3 3 7" xfId="14416"/>
    <cellStyle name="Calculation 5 3 4" xfId="14417"/>
    <cellStyle name="Calculation 5 3 4 2" xfId="14418"/>
    <cellStyle name="Calculation 5 3 5" xfId="14419"/>
    <cellStyle name="Calculation 5 3 5 2" xfId="14420"/>
    <cellStyle name="Calculation 5 3 6" xfId="14421"/>
    <cellStyle name="Calculation 5 3 6 2" xfId="14422"/>
    <cellStyle name="Calculation 5 3 7" xfId="14423"/>
    <cellStyle name="Calculation 5 3 8" xfId="14424"/>
    <cellStyle name="Calculation 5 3 9" xfId="14378"/>
    <cellStyle name="Calculation 5 4" xfId="3420"/>
    <cellStyle name="Calculation 5 4 10" xfId="14426"/>
    <cellStyle name="Calculation 5 4 11" xfId="14425"/>
    <cellStyle name="Calculation 5 4 2" xfId="14427"/>
    <cellStyle name="Calculation 5 4 2 2" xfId="14428"/>
    <cellStyle name="Calculation 5 4 2 2 2" xfId="14429"/>
    <cellStyle name="Calculation 5 4 2 3" xfId="14430"/>
    <cellStyle name="Calculation 5 4 2 4" xfId="14431"/>
    <cellStyle name="Calculation 5 4 3" xfId="14432"/>
    <cellStyle name="Calculation 5 4 3 2" xfId="14433"/>
    <cellStyle name="Calculation 5 4 3 2 2" xfId="14434"/>
    <cellStyle name="Calculation 5 4 3 3" xfId="14435"/>
    <cellStyle name="Calculation 5 4 4" xfId="14436"/>
    <cellStyle name="Calculation 5 4 4 2" xfId="14437"/>
    <cellStyle name="Calculation 5 4 4 2 2" xfId="14438"/>
    <cellStyle name="Calculation 5 4 4 3" xfId="14439"/>
    <cellStyle name="Calculation 5 4 5" xfId="14440"/>
    <cellStyle name="Calculation 5 4 5 2" xfId="14441"/>
    <cellStyle name="Calculation 5 4 6" xfId="14442"/>
    <cellStyle name="Calculation 5 4 6 2" xfId="14443"/>
    <cellStyle name="Calculation 5 4 7" xfId="14444"/>
    <cellStyle name="Calculation 5 4 7 2" xfId="14445"/>
    <cellStyle name="Calculation 5 4 8" xfId="14446"/>
    <cellStyle name="Calculation 5 4 8 2" xfId="14447"/>
    <cellStyle name="Calculation 5 4 9" xfId="14448"/>
    <cellStyle name="Calculation 5 5" xfId="3421"/>
    <cellStyle name="Calculation 5 5 10" xfId="14450"/>
    <cellStyle name="Calculation 5 5 11" xfId="14449"/>
    <cellStyle name="Calculation 5 5 2" xfId="3422"/>
    <cellStyle name="Calculation 5 5 2 2" xfId="14452"/>
    <cellStyle name="Calculation 5 5 2 2 2" xfId="14453"/>
    <cellStyle name="Calculation 5 5 2 3" xfId="14454"/>
    <cellStyle name="Calculation 5 5 2 4" xfId="14455"/>
    <cellStyle name="Calculation 5 5 2 5" xfId="14451"/>
    <cellStyle name="Calculation 5 5 3" xfId="14456"/>
    <cellStyle name="Calculation 5 5 3 2" xfId="14457"/>
    <cellStyle name="Calculation 5 5 3 2 2" xfId="14458"/>
    <cellStyle name="Calculation 5 5 3 3" xfId="14459"/>
    <cellStyle name="Calculation 5 5 4" xfId="14460"/>
    <cellStyle name="Calculation 5 5 4 2" xfId="14461"/>
    <cellStyle name="Calculation 5 5 4 2 2" xfId="14462"/>
    <cellStyle name="Calculation 5 5 4 3" xfId="14463"/>
    <cellStyle name="Calculation 5 5 5" xfId="14464"/>
    <cellStyle name="Calculation 5 5 5 2" xfId="14465"/>
    <cellStyle name="Calculation 5 5 6" xfId="14466"/>
    <cellStyle name="Calculation 5 5 6 2" xfId="14467"/>
    <cellStyle name="Calculation 5 5 7" xfId="14468"/>
    <cellStyle name="Calculation 5 5 7 2" xfId="14469"/>
    <cellStyle name="Calculation 5 5 8" xfId="14470"/>
    <cellStyle name="Calculation 5 5 8 2" xfId="14471"/>
    <cellStyle name="Calculation 5 5 9" xfId="14472"/>
    <cellStyle name="Calculation 5 6" xfId="3423"/>
    <cellStyle name="Calculation 5 6 2" xfId="3424"/>
    <cellStyle name="Calculation 5 6 2 2" xfId="14475"/>
    <cellStyle name="Calculation 5 6 2 2 2" xfId="14476"/>
    <cellStyle name="Calculation 5 6 2 3" xfId="14477"/>
    <cellStyle name="Calculation 5 6 2 4" xfId="14474"/>
    <cellStyle name="Calculation 5 6 3" xfId="14478"/>
    <cellStyle name="Calculation 5 6 3 2" xfId="14479"/>
    <cellStyle name="Calculation 5 6 3 2 2" xfId="14480"/>
    <cellStyle name="Calculation 5 6 3 3" xfId="14481"/>
    <cellStyle name="Calculation 5 6 4" xfId="14482"/>
    <cellStyle name="Calculation 5 6 4 2" xfId="14483"/>
    <cellStyle name="Calculation 5 6 5" xfId="14484"/>
    <cellStyle name="Calculation 5 6 5 2" xfId="14485"/>
    <cellStyle name="Calculation 5 6 6" xfId="14486"/>
    <cellStyle name="Calculation 5 6 7" xfId="14487"/>
    <cellStyle name="Calculation 5 6 8" xfId="14473"/>
    <cellStyle name="Calculation 5 7" xfId="3425"/>
    <cellStyle name="Calculation 5 7 2" xfId="14489"/>
    <cellStyle name="Calculation 5 7 3" xfId="14488"/>
    <cellStyle name="Calculation 5 8" xfId="3426"/>
    <cellStyle name="Calculation 5 8 2" xfId="14491"/>
    <cellStyle name="Calculation 5 8 3" xfId="14490"/>
    <cellStyle name="Calculation 5 9" xfId="7950"/>
    <cellStyle name="Calculation 5 9 2" xfId="14492"/>
    <cellStyle name="Calculation 6" xfId="496"/>
    <cellStyle name="Calculation 6 10" xfId="5255"/>
    <cellStyle name="Calculation 6 10 2" xfId="14493"/>
    <cellStyle name="Calculation 6 11" xfId="14494"/>
    <cellStyle name="Calculation 6 2" xfId="497"/>
    <cellStyle name="Calculation 6 2 10" xfId="14495"/>
    <cellStyle name="Calculation 6 2 2" xfId="498"/>
    <cellStyle name="Calculation 6 2 2 10" xfId="14497"/>
    <cellStyle name="Calculation 6 2 2 11" xfId="14496"/>
    <cellStyle name="Calculation 6 2 2 2" xfId="4324"/>
    <cellStyle name="Calculation 6 2 2 2 2" xfId="14499"/>
    <cellStyle name="Calculation 6 2 2 2 2 2" xfId="14500"/>
    <cellStyle name="Calculation 6 2 2 2 3" xfId="14501"/>
    <cellStyle name="Calculation 6 2 2 2 4" xfId="14502"/>
    <cellStyle name="Calculation 6 2 2 2 5" xfId="14498"/>
    <cellStyle name="Calculation 6 2 2 3" xfId="7953"/>
    <cellStyle name="Calculation 6 2 2 3 2" xfId="14504"/>
    <cellStyle name="Calculation 6 2 2 3 2 2" xfId="14505"/>
    <cellStyle name="Calculation 6 2 2 3 3" xfId="14506"/>
    <cellStyle name="Calculation 6 2 2 3 4" xfId="14503"/>
    <cellStyle name="Calculation 6 2 2 4" xfId="14507"/>
    <cellStyle name="Calculation 6 2 2 4 2" xfId="14508"/>
    <cellStyle name="Calculation 6 2 2 4 2 2" xfId="14509"/>
    <cellStyle name="Calculation 6 2 2 4 3" xfId="14510"/>
    <cellStyle name="Calculation 6 2 2 5" xfId="14511"/>
    <cellStyle name="Calculation 6 2 2 5 2" xfId="14512"/>
    <cellStyle name="Calculation 6 2 2 6" xfId="14513"/>
    <cellStyle name="Calculation 6 2 2 6 2" xfId="14514"/>
    <cellStyle name="Calculation 6 2 2 7" xfId="14515"/>
    <cellStyle name="Calculation 6 2 2 7 2" xfId="14516"/>
    <cellStyle name="Calculation 6 2 2 8" xfId="14517"/>
    <cellStyle name="Calculation 6 2 2 8 2" xfId="14518"/>
    <cellStyle name="Calculation 6 2 2 9" xfId="14519"/>
    <cellStyle name="Calculation 6 2 3" xfId="4962"/>
    <cellStyle name="Calculation 6 2 3 2" xfId="14521"/>
    <cellStyle name="Calculation 6 2 3 2 2" xfId="14522"/>
    <cellStyle name="Calculation 6 2 3 2 2 2" xfId="14523"/>
    <cellStyle name="Calculation 6 2 3 2 3" xfId="14524"/>
    <cellStyle name="Calculation 6 2 3 2 4" xfId="14525"/>
    <cellStyle name="Calculation 6 2 3 3" xfId="14526"/>
    <cellStyle name="Calculation 6 2 3 3 2" xfId="14527"/>
    <cellStyle name="Calculation 6 2 3 3 2 2" xfId="14528"/>
    <cellStyle name="Calculation 6 2 3 3 3" xfId="14529"/>
    <cellStyle name="Calculation 6 2 3 4" xfId="14530"/>
    <cellStyle name="Calculation 6 2 3 4 2" xfId="14531"/>
    <cellStyle name="Calculation 6 2 3 5" xfId="14532"/>
    <cellStyle name="Calculation 6 2 3 5 2" xfId="14533"/>
    <cellStyle name="Calculation 6 2 3 6" xfId="14534"/>
    <cellStyle name="Calculation 6 2 3 7" xfId="14535"/>
    <cellStyle name="Calculation 6 2 3 8" xfId="14520"/>
    <cellStyle name="Calculation 6 2 4" xfId="3428"/>
    <cellStyle name="Calculation 6 2 4 2" xfId="3429"/>
    <cellStyle name="Calculation 6 2 4 2 2" xfId="14537"/>
    <cellStyle name="Calculation 6 2 4 3" xfId="14538"/>
    <cellStyle name="Calculation 6 2 4 4" xfId="14536"/>
    <cellStyle name="Calculation 6 2 5" xfId="4325"/>
    <cellStyle name="Calculation 6 2 5 2" xfId="3430"/>
    <cellStyle name="Calculation 6 2 5 2 2" xfId="14540"/>
    <cellStyle name="Calculation 6 2 5 3" xfId="14539"/>
    <cellStyle name="Calculation 6 2 6" xfId="4326"/>
    <cellStyle name="Calculation 6 2 6 2" xfId="14542"/>
    <cellStyle name="Calculation 6 2 6 3" xfId="14541"/>
    <cellStyle name="Calculation 6 2 7" xfId="4327"/>
    <cellStyle name="Calculation 6 2 7 2" xfId="14543"/>
    <cellStyle name="Calculation 6 2 8" xfId="3427"/>
    <cellStyle name="Calculation 6 2 8 2" xfId="14544"/>
    <cellStyle name="Calculation 6 2 9" xfId="7952"/>
    <cellStyle name="Calculation 6 3" xfId="499"/>
    <cellStyle name="Calculation 6 3 2" xfId="4329"/>
    <cellStyle name="Calculation 6 3 2 10" xfId="14547"/>
    <cellStyle name="Calculation 6 3 2 11" xfId="14546"/>
    <cellStyle name="Calculation 6 3 2 2" xfId="14548"/>
    <cellStyle name="Calculation 6 3 2 2 2" xfId="14549"/>
    <cellStyle name="Calculation 6 3 2 2 2 2" xfId="14550"/>
    <cellStyle name="Calculation 6 3 2 2 3" xfId="14551"/>
    <cellStyle name="Calculation 6 3 2 3" xfId="14552"/>
    <cellStyle name="Calculation 6 3 2 3 2" xfId="14553"/>
    <cellStyle name="Calculation 6 3 2 3 2 2" xfId="14554"/>
    <cellStyle name="Calculation 6 3 2 3 3" xfId="14555"/>
    <cellStyle name="Calculation 6 3 2 4" xfId="14556"/>
    <cellStyle name="Calculation 6 3 2 4 2" xfId="14557"/>
    <cellStyle name="Calculation 6 3 2 4 2 2" xfId="14558"/>
    <cellStyle name="Calculation 6 3 2 4 3" xfId="14559"/>
    <cellStyle name="Calculation 6 3 2 5" xfId="14560"/>
    <cellStyle name="Calculation 6 3 2 5 2" xfId="14561"/>
    <cellStyle name="Calculation 6 3 2 6" xfId="14562"/>
    <cellStyle name="Calculation 6 3 2 6 2" xfId="14563"/>
    <cellStyle name="Calculation 6 3 2 7" xfId="14564"/>
    <cellStyle name="Calculation 6 3 2 7 2" xfId="14565"/>
    <cellStyle name="Calculation 6 3 2 8" xfId="14566"/>
    <cellStyle name="Calculation 6 3 2 8 2" xfId="14567"/>
    <cellStyle name="Calculation 6 3 2 9" xfId="14568"/>
    <cellStyle name="Calculation 6 3 3" xfId="4328"/>
    <cellStyle name="Calculation 6 3 3 2" xfId="14570"/>
    <cellStyle name="Calculation 6 3 3 2 2" xfId="14571"/>
    <cellStyle name="Calculation 6 3 3 2 2 2" xfId="14572"/>
    <cellStyle name="Calculation 6 3 3 2 3" xfId="14573"/>
    <cellStyle name="Calculation 6 3 3 3" xfId="14574"/>
    <cellStyle name="Calculation 6 3 3 3 2" xfId="14575"/>
    <cellStyle name="Calculation 6 3 3 3 2 2" xfId="14576"/>
    <cellStyle name="Calculation 6 3 3 3 3" xfId="14577"/>
    <cellStyle name="Calculation 6 3 3 4" xfId="14578"/>
    <cellStyle name="Calculation 6 3 3 4 2" xfId="14579"/>
    <cellStyle name="Calculation 6 3 3 5" xfId="14580"/>
    <cellStyle name="Calculation 6 3 3 5 2" xfId="14581"/>
    <cellStyle name="Calculation 6 3 3 6" xfId="14582"/>
    <cellStyle name="Calculation 6 3 3 7" xfId="14583"/>
    <cellStyle name="Calculation 6 3 3 8" xfId="14569"/>
    <cellStyle name="Calculation 6 3 4" xfId="7954"/>
    <cellStyle name="Calculation 6 3 4 2" xfId="14585"/>
    <cellStyle name="Calculation 6 3 4 3" xfId="14584"/>
    <cellStyle name="Calculation 6 3 5" xfId="14586"/>
    <cellStyle name="Calculation 6 3 5 2" xfId="14587"/>
    <cellStyle name="Calculation 6 3 6" xfId="14588"/>
    <cellStyle name="Calculation 6 3 6 2" xfId="14589"/>
    <cellStyle name="Calculation 6 3 7" xfId="14590"/>
    <cellStyle name="Calculation 6 3 8" xfId="14591"/>
    <cellStyle name="Calculation 6 3 9" xfId="14545"/>
    <cellStyle name="Calculation 6 4" xfId="500"/>
    <cellStyle name="Calculation 6 4 10" xfId="14593"/>
    <cellStyle name="Calculation 6 4 11" xfId="14592"/>
    <cellStyle name="Calculation 6 4 2" xfId="4330"/>
    <cellStyle name="Calculation 6 4 2 2" xfId="14595"/>
    <cellStyle name="Calculation 6 4 2 2 2" xfId="14596"/>
    <cellStyle name="Calculation 6 4 2 3" xfId="14597"/>
    <cellStyle name="Calculation 6 4 2 4" xfId="14598"/>
    <cellStyle name="Calculation 6 4 2 5" xfId="14594"/>
    <cellStyle name="Calculation 6 4 3" xfId="14599"/>
    <cellStyle name="Calculation 6 4 3 2" xfId="14600"/>
    <cellStyle name="Calculation 6 4 3 2 2" xfId="14601"/>
    <cellStyle name="Calculation 6 4 3 3" xfId="14602"/>
    <cellStyle name="Calculation 6 4 4" xfId="14603"/>
    <cellStyle name="Calculation 6 4 4 2" xfId="14604"/>
    <cellStyle name="Calculation 6 4 4 2 2" xfId="14605"/>
    <cellStyle name="Calculation 6 4 4 3" xfId="14606"/>
    <cellStyle name="Calculation 6 4 5" xfId="14607"/>
    <cellStyle name="Calculation 6 4 5 2" xfId="14608"/>
    <cellStyle name="Calculation 6 4 6" xfId="14609"/>
    <cellStyle name="Calculation 6 4 6 2" xfId="14610"/>
    <cellStyle name="Calculation 6 4 7" xfId="14611"/>
    <cellStyle name="Calculation 6 4 7 2" xfId="14612"/>
    <cellStyle name="Calculation 6 4 8" xfId="14613"/>
    <cellStyle name="Calculation 6 4 8 2" xfId="14614"/>
    <cellStyle name="Calculation 6 4 9" xfId="14615"/>
    <cellStyle name="Calculation 6 5" xfId="2585"/>
    <cellStyle name="Calculation 6 5 10" xfId="14616"/>
    <cellStyle name="Calculation 6 5 2" xfId="3431"/>
    <cellStyle name="Calculation 6 5 2 2" xfId="14618"/>
    <cellStyle name="Calculation 6 5 2 2 2" xfId="14619"/>
    <cellStyle name="Calculation 6 5 2 3" xfId="14620"/>
    <cellStyle name="Calculation 6 5 2 4" xfId="14621"/>
    <cellStyle name="Calculation 6 5 2 5" xfId="14617"/>
    <cellStyle name="Calculation 6 5 3" xfId="8324"/>
    <cellStyle name="Calculation 6 5 3 2" xfId="14622"/>
    <cellStyle name="Calculation 6 5 3 2 2" xfId="14623"/>
    <cellStyle name="Calculation 6 5 3 3" xfId="14624"/>
    <cellStyle name="Calculation 6 5 4" xfId="14625"/>
    <cellStyle name="Calculation 6 5 4 2" xfId="14626"/>
    <cellStyle name="Calculation 6 5 4 2 2" xfId="14627"/>
    <cellStyle name="Calculation 6 5 4 3" xfId="14628"/>
    <cellStyle name="Calculation 6 5 5" xfId="14629"/>
    <cellStyle name="Calculation 6 5 5 2" xfId="14630"/>
    <cellStyle name="Calculation 6 5 6" xfId="14631"/>
    <cellStyle name="Calculation 6 5 6 2" xfId="14632"/>
    <cellStyle name="Calculation 6 5 7" xfId="14633"/>
    <cellStyle name="Calculation 6 5 7 2" xfId="14634"/>
    <cellStyle name="Calculation 6 5 8" xfId="14635"/>
    <cellStyle name="Calculation 6 5 8 2" xfId="14636"/>
    <cellStyle name="Calculation 6 5 9" xfId="14637"/>
    <cellStyle name="Calculation 6 6" xfId="3432"/>
    <cellStyle name="Calculation 6 6 2" xfId="3433"/>
    <cellStyle name="Calculation 6 6 2 2" xfId="14640"/>
    <cellStyle name="Calculation 6 6 2 2 2" xfId="14641"/>
    <cellStyle name="Calculation 6 6 2 3" xfId="14642"/>
    <cellStyle name="Calculation 6 6 2 4" xfId="14639"/>
    <cellStyle name="Calculation 6 6 3" xfId="14643"/>
    <cellStyle name="Calculation 6 6 3 2" xfId="14644"/>
    <cellStyle name="Calculation 6 6 3 2 2" xfId="14645"/>
    <cellStyle name="Calculation 6 6 3 3" xfId="14646"/>
    <cellStyle name="Calculation 6 6 4" xfId="14647"/>
    <cellStyle name="Calculation 6 6 4 2" xfId="14648"/>
    <cellStyle name="Calculation 6 6 5" xfId="14649"/>
    <cellStyle name="Calculation 6 6 5 2" xfId="14650"/>
    <cellStyle name="Calculation 6 6 6" xfId="14651"/>
    <cellStyle name="Calculation 6 6 7" xfId="14652"/>
    <cellStyle name="Calculation 6 6 8" xfId="14638"/>
    <cellStyle name="Calculation 6 7" xfId="3434"/>
    <cellStyle name="Calculation 6 7 2" xfId="3435"/>
    <cellStyle name="Calculation 6 7 2 2" xfId="14654"/>
    <cellStyle name="Calculation 6 7 3" xfId="14653"/>
    <cellStyle name="Calculation 6 8" xfId="3436"/>
    <cellStyle name="Calculation 6 8 2" xfId="14656"/>
    <cellStyle name="Calculation 6 8 3" xfId="14655"/>
    <cellStyle name="Calculation 6 9" xfId="3437"/>
    <cellStyle name="Calculation 6 9 2" xfId="14658"/>
    <cellStyle name="Calculation 6 9 3" xfId="14657"/>
    <cellStyle name="Calculation 7" xfId="501"/>
    <cellStyle name="Calculation 7 10" xfId="3438"/>
    <cellStyle name="Calculation 7 10 2" xfId="14659"/>
    <cellStyle name="Calculation 7 11" xfId="7955"/>
    <cellStyle name="Calculation 7 11 2" xfId="14660"/>
    <cellStyle name="Calculation 7 2" xfId="502"/>
    <cellStyle name="Calculation 7 2 10" xfId="14661"/>
    <cellStyle name="Calculation 7 2 2" xfId="3439"/>
    <cellStyle name="Calculation 7 2 2 10" xfId="14663"/>
    <cellStyle name="Calculation 7 2 2 11" xfId="14662"/>
    <cellStyle name="Calculation 7 2 2 2" xfId="14664"/>
    <cellStyle name="Calculation 7 2 2 2 2" xfId="14665"/>
    <cellStyle name="Calculation 7 2 2 2 2 2" xfId="14666"/>
    <cellStyle name="Calculation 7 2 2 2 3" xfId="14667"/>
    <cellStyle name="Calculation 7 2 2 2 4" xfId="14668"/>
    <cellStyle name="Calculation 7 2 2 3" xfId="14669"/>
    <cellStyle name="Calculation 7 2 2 3 2" xfId="14670"/>
    <cellStyle name="Calculation 7 2 2 3 2 2" xfId="14671"/>
    <cellStyle name="Calculation 7 2 2 3 3" xfId="14672"/>
    <cellStyle name="Calculation 7 2 2 4" xfId="14673"/>
    <cellStyle name="Calculation 7 2 2 4 2" xfId="14674"/>
    <cellStyle name="Calculation 7 2 2 4 2 2" xfId="14675"/>
    <cellStyle name="Calculation 7 2 2 4 3" xfId="14676"/>
    <cellStyle name="Calculation 7 2 2 5" xfId="14677"/>
    <cellStyle name="Calculation 7 2 2 5 2" xfId="14678"/>
    <cellStyle name="Calculation 7 2 2 6" xfId="14679"/>
    <cellStyle name="Calculation 7 2 2 6 2" xfId="14680"/>
    <cellStyle name="Calculation 7 2 2 7" xfId="14681"/>
    <cellStyle name="Calculation 7 2 2 7 2" xfId="14682"/>
    <cellStyle name="Calculation 7 2 2 8" xfId="14683"/>
    <cellStyle name="Calculation 7 2 2 8 2" xfId="14684"/>
    <cellStyle name="Calculation 7 2 2 9" xfId="14685"/>
    <cellStyle name="Calculation 7 2 3" xfId="4963"/>
    <cellStyle name="Calculation 7 2 3 2" xfId="14687"/>
    <cellStyle name="Calculation 7 2 3 2 2" xfId="14688"/>
    <cellStyle name="Calculation 7 2 3 2 2 2" xfId="14689"/>
    <cellStyle name="Calculation 7 2 3 2 3" xfId="14690"/>
    <cellStyle name="Calculation 7 2 3 2 4" xfId="14691"/>
    <cellStyle name="Calculation 7 2 3 3" xfId="14692"/>
    <cellStyle name="Calculation 7 2 3 3 2" xfId="14693"/>
    <cellStyle name="Calculation 7 2 3 3 2 2" xfId="14694"/>
    <cellStyle name="Calculation 7 2 3 3 3" xfId="14695"/>
    <cellStyle name="Calculation 7 2 3 4" xfId="14696"/>
    <cellStyle name="Calculation 7 2 3 4 2" xfId="14697"/>
    <cellStyle name="Calculation 7 2 3 5" xfId="14698"/>
    <cellStyle name="Calculation 7 2 3 5 2" xfId="14699"/>
    <cellStyle name="Calculation 7 2 3 6" xfId="14700"/>
    <cellStyle name="Calculation 7 2 3 7" xfId="14701"/>
    <cellStyle name="Calculation 7 2 3 8" xfId="14686"/>
    <cellStyle name="Calculation 7 2 4" xfId="3440"/>
    <cellStyle name="Calculation 7 2 4 2" xfId="3441"/>
    <cellStyle name="Calculation 7 2 4 2 2" xfId="14703"/>
    <cellStyle name="Calculation 7 2 4 3" xfId="14704"/>
    <cellStyle name="Calculation 7 2 4 4" xfId="14702"/>
    <cellStyle name="Calculation 7 2 5" xfId="3442"/>
    <cellStyle name="Calculation 7 2 5 2" xfId="3443"/>
    <cellStyle name="Calculation 7 2 5 2 2" xfId="14706"/>
    <cellStyle name="Calculation 7 2 5 3" xfId="14705"/>
    <cellStyle name="Calculation 7 2 6" xfId="3444"/>
    <cellStyle name="Calculation 7 2 6 2" xfId="14708"/>
    <cellStyle name="Calculation 7 2 6 3" xfId="14707"/>
    <cellStyle name="Calculation 7 2 7" xfId="3445"/>
    <cellStyle name="Calculation 7 2 7 2" xfId="14709"/>
    <cellStyle name="Calculation 7 2 8" xfId="4331"/>
    <cellStyle name="Calculation 7 2 8 2" xfId="14710"/>
    <cellStyle name="Calculation 7 2 9" xfId="7956"/>
    <cellStyle name="Calculation 7 3" xfId="2586"/>
    <cellStyle name="Calculation 7 3 2" xfId="3447"/>
    <cellStyle name="Calculation 7 3 2 10" xfId="14712"/>
    <cellStyle name="Calculation 7 3 2 11" xfId="14711"/>
    <cellStyle name="Calculation 7 3 2 2" xfId="14713"/>
    <cellStyle name="Calculation 7 3 2 2 2" xfId="14714"/>
    <cellStyle name="Calculation 7 3 2 2 2 2" xfId="14715"/>
    <cellStyle name="Calculation 7 3 2 2 3" xfId="14716"/>
    <cellStyle name="Calculation 7 3 2 3" xfId="14717"/>
    <cellStyle name="Calculation 7 3 2 3 2" xfId="14718"/>
    <cellStyle name="Calculation 7 3 2 3 2 2" xfId="14719"/>
    <cellStyle name="Calculation 7 3 2 3 3" xfId="14720"/>
    <cellStyle name="Calculation 7 3 2 4" xfId="14721"/>
    <cellStyle name="Calculation 7 3 2 4 2" xfId="14722"/>
    <cellStyle name="Calculation 7 3 2 4 2 2" xfId="14723"/>
    <cellStyle name="Calculation 7 3 2 4 3" xfId="14724"/>
    <cellStyle name="Calculation 7 3 2 5" xfId="14725"/>
    <cellStyle name="Calculation 7 3 2 5 2" xfId="14726"/>
    <cellStyle name="Calculation 7 3 2 6" xfId="14727"/>
    <cellStyle name="Calculation 7 3 2 6 2" xfId="14728"/>
    <cellStyle name="Calculation 7 3 2 7" xfId="14729"/>
    <cellStyle name="Calculation 7 3 2 7 2" xfId="14730"/>
    <cellStyle name="Calculation 7 3 2 8" xfId="14731"/>
    <cellStyle name="Calculation 7 3 2 8 2" xfId="14732"/>
    <cellStyle name="Calculation 7 3 2 9" xfId="14733"/>
    <cellStyle name="Calculation 7 3 3" xfId="3446"/>
    <cellStyle name="Calculation 7 3 3 2" xfId="14735"/>
    <cellStyle name="Calculation 7 3 3 2 2" xfId="14736"/>
    <cellStyle name="Calculation 7 3 3 2 2 2" xfId="14737"/>
    <cellStyle name="Calculation 7 3 3 2 3" xfId="14738"/>
    <cellStyle name="Calculation 7 3 3 3" xfId="14739"/>
    <cellStyle name="Calculation 7 3 3 3 2" xfId="14740"/>
    <cellStyle name="Calculation 7 3 3 3 2 2" xfId="14741"/>
    <cellStyle name="Calculation 7 3 3 3 3" xfId="14742"/>
    <cellStyle name="Calculation 7 3 3 4" xfId="14743"/>
    <cellStyle name="Calculation 7 3 3 4 2" xfId="14744"/>
    <cellStyle name="Calculation 7 3 3 5" xfId="14745"/>
    <cellStyle name="Calculation 7 3 3 5 2" xfId="14746"/>
    <cellStyle name="Calculation 7 3 3 6" xfId="14747"/>
    <cellStyle name="Calculation 7 3 3 7" xfId="14748"/>
    <cellStyle name="Calculation 7 3 3 8" xfId="14734"/>
    <cellStyle name="Calculation 7 3 4" xfId="8325"/>
    <cellStyle name="Calculation 7 3 4 2" xfId="14749"/>
    <cellStyle name="Calculation 7 3 5" xfId="14750"/>
    <cellStyle name="Calculation 7 3 5 2" xfId="14751"/>
    <cellStyle name="Calculation 7 3 6" xfId="14752"/>
    <cellStyle name="Calculation 7 3 6 2" xfId="14753"/>
    <cellStyle name="Calculation 7 3 7" xfId="14754"/>
    <cellStyle name="Calculation 7 3 8" xfId="14755"/>
    <cellStyle name="Calculation 7 4" xfId="4332"/>
    <cellStyle name="Calculation 7 4 10" xfId="14757"/>
    <cellStyle name="Calculation 7 4 11" xfId="14756"/>
    <cellStyle name="Calculation 7 4 2" xfId="14758"/>
    <cellStyle name="Calculation 7 4 2 2" xfId="14759"/>
    <cellStyle name="Calculation 7 4 2 2 2" xfId="14760"/>
    <cellStyle name="Calculation 7 4 2 3" xfId="14761"/>
    <cellStyle name="Calculation 7 4 2 4" xfId="14762"/>
    <cellStyle name="Calculation 7 4 3" xfId="14763"/>
    <cellStyle name="Calculation 7 4 3 2" xfId="14764"/>
    <cellStyle name="Calculation 7 4 3 2 2" xfId="14765"/>
    <cellStyle name="Calculation 7 4 3 3" xfId="14766"/>
    <cellStyle name="Calculation 7 4 4" xfId="14767"/>
    <cellStyle name="Calculation 7 4 4 2" xfId="14768"/>
    <cellStyle name="Calculation 7 4 4 2 2" xfId="14769"/>
    <cellStyle name="Calculation 7 4 4 3" xfId="14770"/>
    <cellStyle name="Calculation 7 4 5" xfId="14771"/>
    <cellStyle name="Calculation 7 4 5 2" xfId="14772"/>
    <cellStyle name="Calculation 7 4 6" xfId="14773"/>
    <cellStyle name="Calculation 7 4 6 2" xfId="14774"/>
    <cellStyle name="Calculation 7 4 7" xfId="14775"/>
    <cellStyle name="Calculation 7 4 7 2" xfId="14776"/>
    <cellStyle name="Calculation 7 4 8" xfId="14777"/>
    <cellStyle name="Calculation 7 4 8 2" xfId="14778"/>
    <cellStyle name="Calculation 7 4 9" xfId="14779"/>
    <cellStyle name="Calculation 7 5" xfId="4333"/>
    <cellStyle name="Calculation 7 5 10" xfId="14781"/>
    <cellStyle name="Calculation 7 5 11" xfId="14780"/>
    <cellStyle name="Calculation 7 5 2" xfId="14782"/>
    <cellStyle name="Calculation 7 5 2 2" xfId="14783"/>
    <cellStyle name="Calculation 7 5 2 2 2" xfId="14784"/>
    <cellStyle name="Calculation 7 5 2 3" xfId="14785"/>
    <cellStyle name="Calculation 7 5 2 4" xfId="14786"/>
    <cellStyle name="Calculation 7 5 3" xfId="14787"/>
    <cellStyle name="Calculation 7 5 3 2" xfId="14788"/>
    <cellStyle name="Calculation 7 5 3 2 2" xfId="14789"/>
    <cellStyle name="Calculation 7 5 3 3" xfId="14790"/>
    <cellStyle name="Calculation 7 5 4" xfId="14791"/>
    <cellStyle name="Calculation 7 5 4 2" xfId="14792"/>
    <cellStyle name="Calculation 7 5 4 2 2" xfId="14793"/>
    <cellStyle name="Calculation 7 5 4 3" xfId="14794"/>
    <cellStyle name="Calculation 7 5 5" xfId="14795"/>
    <cellStyle name="Calculation 7 5 5 2" xfId="14796"/>
    <cellStyle name="Calculation 7 5 6" xfId="14797"/>
    <cellStyle name="Calculation 7 5 6 2" xfId="14798"/>
    <cellStyle name="Calculation 7 5 7" xfId="14799"/>
    <cellStyle name="Calculation 7 5 7 2" xfId="14800"/>
    <cellStyle name="Calculation 7 5 8" xfId="14801"/>
    <cellStyle name="Calculation 7 5 8 2" xfId="14802"/>
    <cellStyle name="Calculation 7 5 9" xfId="14803"/>
    <cellStyle name="Calculation 7 6" xfId="4964"/>
    <cellStyle name="Calculation 7 6 2" xfId="4965"/>
    <cellStyle name="Calculation 7 6 2 2" xfId="14806"/>
    <cellStyle name="Calculation 7 6 2 2 2" xfId="14807"/>
    <cellStyle name="Calculation 7 6 2 3" xfId="14808"/>
    <cellStyle name="Calculation 7 6 2 4" xfId="14805"/>
    <cellStyle name="Calculation 7 6 3" xfId="14809"/>
    <cellStyle name="Calculation 7 6 3 2" xfId="14810"/>
    <cellStyle name="Calculation 7 6 3 2 2" xfId="14811"/>
    <cellStyle name="Calculation 7 6 3 3" xfId="14812"/>
    <cellStyle name="Calculation 7 6 4" xfId="14813"/>
    <cellStyle name="Calculation 7 6 4 2" xfId="14814"/>
    <cellStyle name="Calculation 7 6 5" xfId="14815"/>
    <cellStyle name="Calculation 7 6 5 2" xfId="14816"/>
    <cellStyle name="Calculation 7 6 6" xfId="14817"/>
    <cellStyle name="Calculation 7 6 7" xfId="14818"/>
    <cellStyle name="Calculation 7 6 8" xfId="14804"/>
    <cellStyle name="Calculation 7 7" xfId="4966"/>
    <cellStyle name="Calculation 7 7 2" xfId="4967"/>
    <cellStyle name="Calculation 7 7 2 2" xfId="14820"/>
    <cellStyle name="Calculation 7 7 3" xfId="14819"/>
    <cellStyle name="Calculation 7 8" xfId="3448"/>
    <cellStyle name="Calculation 7 8 2" xfId="14822"/>
    <cellStyle name="Calculation 7 8 3" xfId="14821"/>
    <cellStyle name="Calculation 7 9" xfId="4968"/>
    <cellStyle name="Calculation 7 9 2" xfId="14824"/>
    <cellStyle name="Calculation 7 9 3" xfId="14823"/>
    <cellStyle name="Calculation 8" xfId="503"/>
    <cellStyle name="Calculation 8 10" xfId="4969"/>
    <cellStyle name="Calculation 8 10 2" xfId="14825"/>
    <cellStyle name="Calculation 8 11" xfId="7957"/>
    <cellStyle name="Calculation 8 11 2" xfId="14826"/>
    <cellStyle name="Calculation 8 2" xfId="504"/>
    <cellStyle name="Calculation 8 2 10" xfId="14827"/>
    <cellStyle name="Calculation 8 2 2" xfId="4971"/>
    <cellStyle name="Calculation 8 2 2 10" xfId="14829"/>
    <cellStyle name="Calculation 8 2 2 11" xfId="14828"/>
    <cellStyle name="Calculation 8 2 2 2" xfId="14830"/>
    <cellStyle name="Calculation 8 2 2 2 2" xfId="14831"/>
    <cellStyle name="Calculation 8 2 2 2 2 2" xfId="14832"/>
    <cellStyle name="Calculation 8 2 2 2 3" xfId="14833"/>
    <cellStyle name="Calculation 8 2 2 2 4" xfId="14834"/>
    <cellStyle name="Calculation 8 2 2 3" xfId="14835"/>
    <cellStyle name="Calculation 8 2 2 3 2" xfId="14836"/>
    <cellStyle name="Calculation 8 2 2 3 2 2" xfId="14837"/>
    <cellStyle name="Calculation 8 2 2 3 3" xfId="14838"/>
    <cellStyle name="Calculation 8 2 2 4" xfId="14839"/>
    <cellStyle name="Calculation 8 2 2 4 2" xfId="14840"/>
    <cellStyle name="Calculation 8 2 2 4 2 2" xfId="14841"/>
    <cellStyle name="Calculation 8 2 2 4 3" xfId="14842"/>
    <cellStyle name="Calculation 8 2 2 5" xfId="14843"/>
    <cellStyle name="Calculation 8 2 2 5 2" xfId="14844"/>
    <cellStyle name="Calculation 8 2 2 6" xfId="14845"/>
    <cellStyle name="Calculation 8 2 2 6 2" xfId="14846"/>
    <cellStyle name="Calculation 8 2 2 7" xfId="14847"/>
    <cellStyle name="Calculation 8 2 2 7 2" xfId="14848"/>
    <cellStyle name="Calculation 8 2 2 8" xfId="14849"/>
    <cellStyle name="Calculation 8 2 2 8 2" xfId="14850"/>
    <cellStyle name="Calculation 8 2 2 9" xfId="14851"/>
    <cellStyle name="Calculation 8 2 3" xfId="4972"/>
    <cellStyle name="Calculation 8 2 3 2" xfId="14853"/>
    <cellStyle name="Calculation 8 2 3 2 2" xfId="14854"/>
    <cellStyle name="Calculation 8 2 3 2 2 2" xfId="14855"/>
    <cellStyle name="Calculation 8 2 3 2 3" xfId="14856"/>
    <cellStyle name="Calculation 8 2 3 2 4" xfId="14857"/>
    <cellStyle name="Calculation 8 2 3 3" xfId="14858"/>
    <cellStyle name="Calculation 8 2 3 3 2" xfId="14859"/>
    <cellStyle name="Calculation 8 2 3 3 2 2" xfId="14860"/>
    <cellStyle name="Calculation 8 2 3 3 3" xfId="14861"/>
    <cellStyle name="Calculation 8 2 3 4" xfId="14862"/>
    <cellStyle name="Calculation 8 2 3 4 2" xfId="14863"/>
    <cellStyle name="Calculation 8 2 3 5" xfId="14864"/>
    <cellStyle name="Calculation 8 2 3 5 2" xfId="14865"/>
    <cellStyle name="Calculation 8 2 3 6" xfId="14866"/>
    <cellStyle name="Calculation 8 2 3 7" xfId="14867"/>
    <cellStyle name="Calculation 8 2 3 8" xfId="14852"/>
    <cellStyle name="Calculation 8 2 4" xfId="4334"/>
    <cellStyle name="Calculation 8 2 4 2" xfId="4973"/>
    <cellStyle name="Calculation 8 2 4 2 2" xfId="14869"/>
    <cellStyle name="Calculation 8 2 4 3" xfId="14870"/>
    <cellStyle name="Calculation 8 2 4 4" xfId="14868"/>
    <cellStyle name="Calculation 8 2 5" xfId="4974"/>
    <cellStyle name="Calculation 8 2 5 2" xfId="4975"/>
    <cellStyle name="Calculation 8 2 5 2 2" xfId="14872"/>
    <cellStyle name="Calculation 8 2 5 3" xfId="14871"/>
    <cellStyle name="Calculation 8 2 6" xfId="4335"/>
    <cellStyle name="Calculation 8 2 6 2" xfId="14874"/>
    <cellStyle name="Calculation 8 2 6 3" xfId="14873"/>
    <cellStyle name="Calculation 8 2 7" xfId="4976"/>
    <cellStyle name="Calculation 8 2 7 2" xfId="14875"/>
    <cellStyle name="Calculation 8 2 8" xfId="4970"/>
    <cellStyle name="Calculation 8 2 8 2" xfId="14876"/>
    <cellStyle name="Calculation 8 2 9" xfId="7958"/>
    <cellStyle name="Calculation 8 3" xfId="2587"/>
    <cellStyle name="Calculation 8 3 2" xfId="4337"/>
    <cellStyle name="Calculation 8 3 2 10" xfId="14878"/>
    <cellStyle name="Calculation 8 3 2 11" xfId="14877"/>
    <cellStyle name="Calculation 8 3 2 2" xfId="14879"/>
    <cellStyle name="Calculation 8 3 2 2 2" xfId="14880"/>
    <cellStyle name="Calculation 8 3 2 2 2 2" xfId="14881"/>
    <cellStyle name="Calculation 8 3 2 2 3" xfId="14882"/>
    <cellStyle name="Calculation 8 3 2 3" xfId="14883"/>
    <cellStyle name="Calculation 8 3 2 3 2" xfId="14884"/>
    <cellStyle name="Calculation 8 3 2 3 2 2" xfId="14885"/>
    <cellStyle name="Calculation 8 3 2 3 3" xfId="14886"/>
    <cellStyle name="Calculation 8 3 2 4" xfId="14887"/>
    <cellStyle name="Calculation 8 3 2 4 2" xfId="14888"/>
    <cellStyle name="Calculation 8 3 2 4 2 2" xfId="14889"/>
    <cellStyle name="Calculation 8 3 2 4 3" xfId="14890"/>
    <cellStyle name="Calculation 8 3 2 5" xfId="14891"/>
    <cellStyle name="Calculation 8 3 2 5 2" xfId="14892"/>
    <cellStyle name="Calculation 8 3 2 6" xfId="14893"/>
    <cellStyle name="Calculation 8 3 2 6 2" xfId="14894"/>
    <cellStyle name="Calculation 8 3 2 7" xfId="14895"/>
    <cellStyle name="Calculation 8 3 2 7 2" xfId="14896"/>
    <cellStyle name="Calculation 8 3 2 8" xfId="14897"/>
    <cellStyle name="Calculation 8 3 2 8 2" xfId="14898"/>
    <cellStyle name="Calculation 8 3 2 9" xfId="14899"/>
    <cellStyle name="Calculation 8 3 3" xfId="4336"/>
    <cellStyle name="Calculation 8 3 3 2" xfId="14901"/>
    <cellStyle name="Calculation 8 3 3 2 2" xfId="14902"/>
    <cellStyle name="Calculation 8 3 3 2 2 2" xfId="14903"/>
    <cellStyle name="Calculation 8 3 3 2 3" xfId="14904"/>
    <cellStyle name="Calculation 8 3 3 3" xfId="14905"/>
    <cellStyle name="Calculation 8 3 3 3 2" xfId="14906"/>
    <cellStyle name="Calculation 8 3 3 3 2 2" xfId="14907"/>
    <cellStyle name="Calculation 8 3 3 3 3" xfId="14908"/>
    <cellStyle name="Calculation 8 3 3 4" xfId="14909"/>
    <cellStyle name="Calculation 8 3 3 4 2" xfId="14910"/>
    <cellStyle name="Calculation 8 3 3 5" xfId="14911"/>
    <cellStyle name="Calculation 8 3 3 5 2" xfId="14912"/>
    <cellStyle name="Calculation 8 3 3 6" xfId="14913"/>
    <cellStyle name="Calculation 8 3 3 7" xfId="14914"/>
    <cellStyle name="Calculation 8 3 3 8" xfId="14900"/>
    <cellStyle name="Calculation 8 3 4" xfId="8326"/>
    <cellStyle name="Calculation 8 3 4 2" xfId="14915"/>
    <cellStyle name="Calculation 8 3 5" xfId="14916"/>
    <cellStyle name="Calculation 8 3 5 2" xfId="14917"/>
    <cellStyle name="Calculation 8 3 6" xfId="14918"/>
    <cellStyle name="Calculation 8 3 6 2" xfId="14919"/>
    <cellStyle name="Calculation 8 3 7" xfId="14920"/>
    <cellStyle name="Calculation 8 3 8" xfId="14921"/>
    <cellStyle name="Calculation 8 4" xfId="4338"/>
    <cellStyle name="Calculation 8 4 10" xfId="14923"/>
    <cellStyle name="Calculation 8 4 11" xfId="14922"/>
    <cellStyle name="Calculation 8 4 2" xfId="14924"/>
    <cellStyle name="Calculation 8 4 2 2" xfId="14925"/>
    <cellStyle name="Calculation 8 4 2 2 2" xfId="14926"/>
    <cellStyle name="Calculation 8 4 2 3" xfId="14927"/>
    <cellStyle name="Calculation 8 4 2 4" xfId="14928"/>
    <cellStyle name="Calculation 8 4 3" xfId="14929"/>
    <cellStyle name="Calculation 8 4 3 2" xfId="14930"/>
    <cellStyle name="Calculation 8 4 3 2 2" xfId="14931"/>
    <cellStyle name="Calculation 8 4 3 3" xfId="14932"/>
    <cellStyle name="Calculation 8 4 4" xfId="14933"/>
    <cellStyle name="Calculation 8 4 4 2" xfId="14934"/>
    <cellStyle name="Calculation 8 4 4 2 2" xfId="14935"/>
    <cellStyle name="Calculation 8 4 4 3" xfId="14936"/>
    <cellStyle name="Calculation 8 4 5" xfId="14937"/>
    <cellStyle name="Calculation 8 4 5 2" xfId="14938"/>
    <cellStyle name="Calculation 8 4 6" xfId="14939"/>
    <cellStyle name="Calculation 8 4 6 2" xfId="14940"/>
    <cellStyle name="Calculation 8 4 7" xfId="14941"/>
    <cellStyle name="Calculation 8 4 7 2" xfId="14942"/>
    <cellStyle name="Calculation 8 4 8" xfId="14943"/>
    <cellStyle name="Calculation 8 4 8 2" xfId="14944"/>
    <cellStyle name="Calculation 8 4 9" xfId="14945"/>
    <cellStyle name="Calculation 8 5" xfId="4339"/>
    <cellStyle name="Calculation 8 5 10" xfId="14947"/>
    <cellStyle name="Calculation 8 5 11" xfId="14946"/>
    <cellStyle name="Calculation 8 5 2" xfId="14948"/>
    <cellStyle name="Calculation 8 5 2 2" xfId="14949"/>
    <cellStyle name="Calculation 8 5 2 2 2" xfId="14950"/>
    <cellStyle name="Calculation 8 5 2 3" xfId="14951"/>
    <cellStyle name="Calculation 8 5 2 4" xfId="14952"/>
    <cellStyle name="Calculation 8 5 3" xfId="14953"/>
    <cellStyle name="Calculation 8 5 3 2" xfId="14954"/>
    <cellStyle name="Calculation 8 5 3 2 2" xfId="14955"/>
    <cellStyle name="Calculation 8 5 3 3" xfId="14956"/>
    <cellStyle name="Calculation 8 5 4" xfId="14957"/>
    <cellStyle name="Calculation 8 5 4 2" xfId="14958"/>
    <cellStyle name="Calculation 8 5 4 2 2" xfId="14959"/>
    <cellStyle name="Calculation 8 5 4 3" xfId="14960"/>
    <cellStyle name="Calculation 8 5 5" xfId="14961"/>
    <cellStyle name="Calculation 8 5 5 2" xfId="14962"/>
    <cellStyle name="Calculation 8 5 6" xfId="14963"/>
    <cellStyle name="Calculation 8 5 6 2" xfId="14964"/>
    <cellStyle name="Calculation 8 5 7" xfId="14965"/>
    <cellStyle name="Calculation 8 5 7 2" xfId="14966"/>
    <cellStyle name="Calculation 8 5 8" xfId="14967"/>
    <cellStyle name="Calculation 8 5 8 2" xfId="14968"/>
    <cellStyle name="Calculation 8 5 9" xfId="14969"/>
    <cellStyle name="Calculation 8 6" xfId="4340"/>
    <cellStyle name="Calculation 8 6 2" xfId="4977"/>
    <cellStyle name="Calculation 8 6 2 2" xfId="14972"/>
    <cellStyle name="Calculation 8 6 2 2 2" xfId="14973"/>
    <cellStyle name="Calculation 8 6 2 3" xfId="14974"/>
    <cellStyle name="Calculation 8 6 2 4" xfId="14971"/>
    <cellStyle name="Calculation 8 6 3" xfId="14975"/>
    <cellStyle name="Calculation 8 6 3 2" xfId="14976"/>
    <cellStyle name="Calculation 8 6 3 2 2" xfId="14977"/>
    <cellStyle name="Calculation 8 6 3 3" xfId="14978"/>
    <cellStyle name="Calculation 8 6 4" xfId="14979"/>
    <cellStyle name="Calculation 8 6 4 2" xfId="14980"/>
    <cellStyle name="Calculation 8 6 5" xfId="14981"/>
    <cellStyle name="Calculation 8 6 5 2" xfId="14982"/>
    <cellStyle name="Calculation 8 6 6" xfId="14983"/>
    <cellStyle name="Calculation 8 6 7" xfId="14984"/>
    <cellStyle name="Calculation 8 6 8" xfId="14970"/>
    <cellStyle name="Calculation 8 7" xfId="3449"/>
    <cellStyle name="Calculation 8 7 2" xfId="3450"/>
    <cellStyle name="Calculation 8 7 2 2" xfId="14986"/>
    <cellStyle name="Calculation 8 7 3" xfId="14985"/>
    <cellStyle name="Calculation 8 8" xfId="3451"/>
    <cellStyle name="Calculation 8 8 2" xfId="14988"/>
    <cellStyle name="Calculation 8 8 3" xfId="14987"/>
    <cellStyle name="Calculation 8 9" xfId="3452"/>
    <cellStyle name="Calculation 8 9 2" xfId="14990"/>
    <cellStyle name="Calculation 8 9 3" xfId="14989"/>
    <cellStyle name="Calculation 9" xfId="505"/>
    <cellStyle name="Calculation 9 10" xfId="3453"/>
    <cellStyle name="Calculation 9 10 2" xfId="14991"/>
    <cellStyle name="Calculation 9 11" xfId="7959"/>
    <cellStyle name="Calculation 9 11 2" xfId="14992"/>
    <cellStyle name="Calculation 9 2" xfId="2588"/>
    <cellStyle name="Calculation 9 2 2" xfId="3454"/>
    <cellStyle name="Calculation 9 2 2 10" xfId="14994"/>
    <cellStyle name="Calculation 9 2 2 11" xfId="14993"/>
    <cellStyle name="Calculation 9 2 2 2" xfId="14995"/>
    <cellStyle name="Calculation 9 2 2 2 2" xfId="14996"/>
    <cellStyle name="Calculation 9 2 2 2 2 2" xfId="14997"/>
    <cellStyle name="Calculation 9 2 2 2 3" xfId="14998"/>
    <cellStyle name="Calculation 9 2 2 2 4" xfId="14999"/>
    <cellStyle name="Calculation 9 2 2 3" xfId="15000"/>
    <cellStyle name="Calculation 9 2 2 3 2" xfId="15001"/>
    <cellStyle name="Calculation 9 2 2 3 2 2" xfId="15002"/>
    <cellStyle name="Calculation 9 2 2 3 3" xfId="15003"/>
    <cellStyle name="Calculation 9 2 2 4" xfId="15004"/>
    <cellStyle name="Calculation 9 2 2 4 2" xfId="15005"/>
    <cellStyle name="Calculation 9 2 2 4 2 2" xfId="15006"/>
    <cellStyle name="Calculation 9 2 2 4 3" xfId="15007"/>
    <cellStyle name="Calculation 9 2 2 5" xfId="15008"/>
    <cellStyle name="Calculation 9 2 2 5 2" xfId="15009"/>
    <cellStyle name="Calculation 9 2 2 6" xfId="15010"/>
    <cellStyle name="Calculation 9 2 2 6 2" xfId="15011"/>
    <cellStyle name="Calculation 9 2 2 7" xfId="15012"/>
    <cellStyle name="Calculation 9 2 2 7 2" xfId="15013"/>
    <cellStyle name="Calculation 9 2 2 8" xfId="15014"/>
    <cellStyle name="Calculation 9 2 2 8 2" xfId="15015"/>
    <cellStyle name="Calculation 9 2 2 9" xfId="15016"/>
    <cellStyle name="Calculation 9 2 3" xfId="4341"/>
    <cellStyle name="Calculation 9 2 3 2" xfId="15018"/>
    <cellStyle name="Calculation 9 2 3 2 2" xfId="15019"/>
    <cellStyle name="Calculation 9 2 3 2 2 2" xfId="15020"/>
    <cellStyle name="Calculation 9 2 3 2 3" xfId="15021"/>
    <cellStyle name="Calculation 9 2 3 2 4" xfId="15022"/>
    <cellStyle name="Calculation 9 2 3 3" xfId="15023"/>
    <cellStyle name="Calculation 9 2 3 3 2" xfId="15024"/>
    <cellStyle name="Calculation 9 2 3 3 2 2" xfId="15025"/>
    <cellStyle name="Calculation 9 2 3 3 3" xfId="15026"/>
    <cellStyle name="Calculation 9 2 3 4" xfId="15027"/>
    <cellStyle name="Calculation 9 2 3 4 2" xfId="15028"/>
    <cellStyle name="Calculation 9 2 3 5" xfId="15029"/>
    <cellStyle name="Calculation 9 2 3 5 2" xfId="15030"/>
    <cellStyle name="Calculation 9 2 3 6" xfId="15031"/>
    <cellStyle name="Calculation 9 2 3 7" xfId="15032"/>
    <cellStyle name="Calculation 9 2 3 8" xfId="15017"/>
    <cellStyle name="Calculation 9 2 4" xfId="3455"/>
    <cellStyle name="Calculation 9 2 4 2" xfId="4978"/>
    <cellStyle name="Calculation 9 2 4 2 2" xfId="15034"/>
    <cellStyle name="Calculation 9 2 4 3" xfId="15035"/>
    <cellStyle name="Calculation 9 2 4 4" xfId="15033"/>
    <cellStyle name="Calculation 9 2 5" xfId="4979"/>
    <cellStyle name="Calculation 9 2 5 2" xfId="4980"/>
    <cellStyle name="Calculation 9 2 5 2 2" xfId="15037"/>
    <cellStyle name="Calculation 9 2 5 3" xfId="15036"/>
    <cellStyle name="Calculation 9 2 6" xfId="4981"/>
    <cellStyle name="Calculation 9 2 6 2" xfId="15039"/>
    <cellStyle name="Calculation 9 2 6 3" xfId="15038"/>
    <cellStyle name="Calculation 9 2 7" xfId="4982"/>
    <cellStyle name="Calculation 9 2 7 2" xfId="15040"/>
    <cellStyle name="Calculation 9 2 8" xfId="8327"/>
    <cellStyle name="Calculation 9 3" xfId="4983"/>
    <cellStyle name="Calculation 9 3 2" xfId="4984"/>
    <cellStyle name="Calculation 9 3 2 10" xfId="15043"/>
    <cellStyle name="Calculation 9 3 2 11" xfId="15042"/>
    <cellStyle name="Calculation 9 3 2 2" xfId="15044"/>
    <cellStyle name="Calculation 9 3 2 2 2" xfId="15045"/>
    <cellStyle name="Calculation 9 3 2 2 2 2" xfId="15046"/>
    <cellStyle name="Calculation 9 3 2 2 3" xfId="15047"/>
    <cellStyle name="Calculation 9 3 2 3" xfId="15048"/>
    <cellStyle name="Calculation 9 3 2 3 2" xfId="15049"/>
    <cellStyle name="Calculation 9 3 2 3 2 2" xfId="15050"/>
    <cellStyle name="Calculation 9 3 2 3 3" xfId="15051"/>
    <cellStyle name="Calculation 9 3 2 4" xfId="15052"/>
    <cellStyle name="Calculation 9 3 2 4 2" xfId="15053"/>
    <cellStyle name="Calculation 9 3 2 4 2 2" xfId="15054"/>
    <cellStyle name="Calculation 9 3 2 4 3" xfId="15055"/>
    <cellStyle name="Calculation 9 3 2 5" xfId="15056"/>
    <cellStyle name="Calculation 9 3 2 5 2" xfId="15057"/>
    <cellStyle name="Calculation 9 3 2 6" xfId="15058"/>
    <cellStyle name="Calculation 9 3 2 6 2" xfId="15059"/>
    <cellStyle name="Calculation 9 3 2 7" xfId="15060"/>
    <cellStyle name="Calculation 9 3 2 7 2" xfId="15061"/>
    <cellStyle name="Calculation 9 3 2 8" xfId="15062"/>
    <cellStyle name="Calculation 9 3 2 8 2" xfId="15063"/>
    <cellStyle name="Calculation 9 3 2 9" xfId="15064"/>
    <cellStyle name="Calculation 9 3 3" xfId="15065"/>
    <cellStyle name="Calculation 9 3 3 2" xfId="15066"/>
    <cellStyle name="Calculation 9 3 3 2 2" xfId="15067"/>
    <cellStyle name="Calculation 9 3 3 2 2 2" xfId="15068"/>
    <cellStyle name="Calculation 9 3 3 2 3" xfId="15069"/>
    <cellStyle name="Calculation 9 3 3 3" xfId="15070"/>
    <cellStyle name="Calculation 9 3 3 3 2" xfId="15071"/>
    <cellStyle name="Calculation 9 3 3 3 2 2" xfId="15072"/>
    <cellStyle name="Calculation 9 3 3 3 3" xfId="15073"/>
    <cellStyle name="Calculation 9 3 3 4" xfId="15074"/>
    <cellStyle name="Calculation 9 3 3 4 2" xfId="15075"/>
    <cellStyle name="Calculation 9 3 3 5" xfId="15076"/>
    <cellStyle name="Calculation 9 3 3 5 2" xfId="15077"/>
    <cellStyle name="Calculation 9 3 3 6" xfId="15078"/>
    <cellStyle name="Calculation 9 3 3 7" xfId="15079"/>
    <cellStyle name="Calculation 9 3 4" xfId="15080"/>
    <cellStyle name="Calculation 9 3 4 2" xfId="15081"/>
    <cellStyle name="Calculation 9 3 5" xfId="15082"/>
    <cellStyle name="Calculation 9 3 5 2" xfId="15083"/>
    <cellStyle name="Calculation 9 3 6" xfId="15084"/>
    <cellStyle name="Calculation 9 3 6 2" xfId="15085"/>
    <cellStyle name="Calculation 9 3 7" xfId="15086"/>
    <cellStyle name="Calculation 9 3 8" xfId="15087"/>
    <cellStyle name="Calculation 9 3 9" xfId="15041"/>
    <cellStyle name="Calculation 9 4" xfId="4985"/>
    <cellStyle name="Calculation 9 4 10" xfId="15089"/>
    <cellStyle name="Calculation 9 4 11" xfId="15088"/>
    <cellStyle name="Calculation 9 4 2" xfId="15090"/>
    <cellStyle name="Calculation 9 4 2 2" xfId="15091"/>
    <cellStyle name="Calculation 9 4 2 2 2" xfId="15092"/>
    <cellStyle name="Calculation 9 4 2 3" xfId="15093"/>
    <cellStyle name="Calculation 9 4 2 4" xfId="15094"/>
    <cellStyle name="Calculation 9 4 3" xfId="15095"/>
    <cellStyle name="Calculation 9 4 3 2" xfId="15096"/>
    <cellStyle name="Calculation 9 4 3 2 2" xfId="15097"/>
    <cellStyle name="Calculation 9 4 3 3" xfId="15098"/>
    <cellStyle name="Calculation 9 4 4" xfId="15099"/>
    <cellStyle name="Calculation 9 4 4 2" xfId="15100"/>
    <cellStyle name="Calculation 9 4 4 2 2" xfId="15101"/>
    <cellStyle name="Calculation 9 4 4 3" xfId="15102"/>
    <cellStyle name="Calculation 9 4 5" xfId="15103"/>
    <cellStyle name="Calculation 9 4 5 2" xfId="15104"/>
    <cellStyle name="Calculation 9 4 6" xfId="15105"/>
    <cellStyle name="Calculation 9 4 6 2" xfId="15106"/>
    <cellStyle name="Calculation 9 4 7" xfId="15107"/>
    <cellStyle name="Calculation 9 4 7 2" xfId="15108"/>
    <cellStyle name="Calculation 9 4 8" xfId="15109"/>
    <cellStyle name="Calculation 9 4 8 2" xfId="15110"/>
    <cellStyle name="Calculation 9 4 9" xfId="15111"/>
    <cellStyle name="Calculation 9 5" xfId="4986"/>
    <cellStyle name="Calculation 9 5 10" xfId="15113"/>
    <cellStyle name="Calculation 9 5 11" xfId="15112"/>
    <cellStyle name="Calculation 9 5 2" xfId="15114"/>
    <cellStyle name="Calculation 9 5 2 2" xfId="15115"/>
    <cellStyle name="Calculation 9 5 2 2 2" xfId="15116"/>
    <cellStyle name="Calculation 9 5 2 3" xfId="15117"/>
    <cellStyle name="Calculation 9 5 2 4" xfId="15118"/>
    <cellStyle name="Calculation 9 5 3" xfId="15119"/>
    <cellStyle name="Calculation 9 5 3 2" xfId="15120"/>
    <cellStyle name="Calculation 9 5 3 2 2" xfId="15121"/>
    <cellStyle name="Calculation 9 5 3 3" xfId="15122"/>
    <cellStyle name="Calculation 9 5 4" xfId="15123"/>
    <cellStyle name="Calculation 9 5 4 2" xfId="15124"/>
    <cellStyle name="Calculation 9 5 4 2 2" xfId="15125"/>
    <cellStyle name="Calculation 9 5 4 3" xfId="15126"/>
    <cellStyle name="Calculation 9 5 5" xfId="15127"/>
    <cellStyle name="Calculation 9 5 5 2" xfId="15128"/>
    <cellStyle name="Calculation 9 5 6" xfId="15129"/>
    <cellStyle name="Calculation 9 5 6 2" xfId="15130"/>
    <cellStyle name="Calculation 9 5 7" xfId="15131"/>
    <cellStyle name="Calculation 9 5 7 2" xfId="15132"/>
    <cellStyle name="Calculation 9 5 8" xfId="15133"/>
    <cellStyle name="Calculation 9 5 8 2" xfId="15134"/>
    <cellStyle name="Calculation 9 5 9" xfId="15135"/>
    <cellStyle name="Calculation 9 6" xfId="4342"/>
    <cellStyle name="Calculation 9 6 2" xfId="4343"/>
    <cellStyle name="Calculation 9 6 2 2" xfId="15138"/>
    <cellStyle name="Calculation 9 6 2 2 2" xfId="15139"/>
    <cellStyle name="Calculation 9 6 2 3" xfId="15140"/>
    <cellStyle name="Calculation 9 6 2 4" xfId="15137"/>
    <cellStyle name="Calculation 9 6 3" xfId="15141"/>
    <cellStyle name="Calculation 9 6 3 2" xfId="15142"/>
    <cellStyle name="Calculation 9 6 3 2 2" xfId="15143"/>
    <cellStyle name="Calculation 9 6 3 3" xfId="15144"/>
    <cellStyle name="Calculation 9 6 4" xfId="15145"/>
    <cellStyle name="Calculation 9 6 4 2" xfId="15146"/>
    <cellStyle name="Calculation 9 6 5" xfId="15147"/>
    <cellStyle name="Calculation 9 6 5 2" xfId="15148"/>
    <cellStyle name="Calculation 9 6 6" xfId="15149"/>
    <cellStyle name="Calculation 9 6 7" xfId="15150"/>
    <cellStyle name="Calculation 9 6 8" xfId="15136"/>
    <cellStyle name="Calculation 9 7" xfId="4987"/>
    <cellStyle name="Calculation 9 7 2" xfId="3456"/>
    <cellStyle name="Calculation 9 7 2 2" xfId="15152"/>
    <cellStyle name="Calculation 9 7 3" xfId="15151"/>
    <cellStyle name="Calculation 9 8" xfId="3457"/>
    <cellStyle name="Calculation 9 8 2" xfId="15154"/>
    <cellStyle name="Calculation 9 8 3" xfId="15153"/>
    <cellStyle name="Calculation 9 9" xfId="3458"/>
    <cellStyle name="Calculation 9 9 2" xfId="15156"/>
    <cellStyle name="Calculation 9 9 3" xfId="15155"/>
    <cellStyle name="Check Cell 10" xfId="3459"/>
    <cellStyle name="Check Cell 11" xfId="3460"/>
    <cellStyle name="Check Cell 12" xfId="3461"/>
    <cellStyle name="Check Cell 13" xfId="4988"/>
    <cellStyle name="Check Cell 14" xfId="4989"/>
    <cellStyle name="Check Cell 15" xfId="4990"/>
    <cellStyle name="Check Cell 16" xfId="4344"/>
    <cellStyle name="Check Cell 17" xfId="4345"/>
    <cellStyle name="Check Cell 18" xfId="15157"/>
    <cellStyle name="Check Cell 2" xfId="507"/>
    <cellStyle name="Check Cell 2 2" xfId="508"/>
    <cellStyle name="Check Cell 2 2 2" xfId="4346"/>
    <cellStyle name="Check Cell 2 2 3" xfId="40860"/>
    <cellStyle name="Check Cell 2 3" xfId="4347"/>
    <cellStyle name="Check Cell 2 3 2" xfId="41829"/>
    <cellStyle name="Check Cell 2 4" xfId="40717"/>
    <cellStyle name="Check Cell 2 5" xfId="40587"/>
    <cellStyle name="Check Cell 3" xfId="509"/>
    <cellStyle name="Check Cell 3 2" xfId="41309"/>
    <cellStyle name="Check Cell 4" xfId="510"/>
    <cellStyle name="Check Cell 4 2" xfId="42121"/>
    <cellStyle name="Check Cell 5" xfId="511"/>
    <cellStyle name="Check Cell 5 2" xfId="15158"/>
    <cellStyle name="Check Cell 6" xfId="512"/>
    <cellStyle name="Check Cell 6 2" xfId="4348"/>
    <cellStyle name="Check Cell 7" xfId="506"/>
    <cellStyle name="Check Cell 7 2" xfId="4349"/>
    <cellStyle name="Check Cell 8" xfId="4350"/>
    <cellStyle name="Check Cell 9" xfId="4351"/>
    <cellStyle name="Cím" xfId="40322"/>
    <cellStyle name="Címsor 1" xfId="40323"/>
    <cellStyle name="Címsor 2" xfId="40324"/>
    <cellStyle name="Címsor 3" xfId="40325"/>
    <cellStyle name="Címsor 4" xfId="40326"/>
    <cellStyle name="Comma" xfId="3" builtinId="3" customBuiltin="1"/>
    <cellStyle name="Comma  - Style1" xfId="514"/>
    <cellStyle name="Comma  - Style1 2" xfId="515"/>
    <cellStyle name="Comma  - Style1 2 2" xfId="516"/>
    <cellStyle name="Comma  - Style1 2 2 2" xfId="15161"/>
    <cellStyle name="Comma  - Style1 2 2 3" xfId="15162"/>
    <cellStyle name="Comma  - Style1 2 2 4" xfId="15160"/>
    <cellStyle name="Comma  - Style1 2 3" xfId="517"/>
    <cellStyle name="Comma  - Style1 2 3 2" xfId="15163"/>
    <cellStyle name="Comma  - Style1 2 4" xfId="15164"/>
    <cellStyle name="Comma  - Style1 2 5" xfId="15159"/>
    <cellStyle name="Comma  - Style1 2 6" xfId="41467"/>
    <cellStyle name="Comma  - Style1 3" xfId="518"/>
    <cellStyle name="Comma  - Style1 3 2" xfId="4352"/>
    <cellStyle name="Comma  - Style1 3 3" xfId="15165"/>
    <cellStyle name="Comma  - Style1 3 4" xfId="41466"/>
    <cellStyle name="Comma  - Style1 4" xfId="519"/>
    <cellStyle name="Comma  - Style1 4 2" xfId="43442"/>
    <cellStyle name="Comma  - Style1 5" xfId="520"/>
    <cellStyle name="Comma  - Style1 6" xfId="521"/>
    <cellStyle name="Comma  - Style1 7" xfId="522"/>
    <cellStyle name="Comma  - Style1 8" xfId="40406"/>
    <cellStyle name="Comma  - Style2" xfId="523"/>
    <cellStyle name="Comma  - Style2 2" xfId="524"/>
    <cellStyle name="Comma  - Style2 2 2" xfId="525"/>
    <cellStyle name="Comma  - Style2 2 2 2" xfId="15168"/>
    <cellStyle name="Comma  - Style2 2 2 3" xfId="15169"/>
    <cellStyle name="Comma  - Style2 2 2 4" xfId="15167"/>
    <cellStyle name="Comma  - Style2 2 3" xfId="526"/>
    <cellStyle name="Comma  - Style2 2 3 2" xfId="15170"/>
    <cellStyle name="Comma  - Style2 2 4" xfId="15171"/>
    <cellStyle name="Comma  - Style2 2 5" xfId="15166"/>
    <cellStyle name="Comma  - Style2 2 6" xfId="41469"/>
    <cellStyle name="Comma  - Style2 3" xfId="527"/>
    <cellStyle name="Comma  - Style2 3 2" xfId="4353"/>
    <cellStyle name="Comma  - Style2 3 3" xfId="15172"/>
    <cellStyle name="Comma  - Style2 3 4" xfId="41468"/>
    <cellStyle name="Comma  - Style2 4" xfId="528"/>
    <cellStyle name="Comma  - Style2 4 2" xfId="43443"/>
    <cellStyle name="Comma  - Style2 5" xfId="529"/>
    <cellStyle name="Comma  - Style2 6" xfId="530"/>
    <cellStyle name="Comma  - Style2 7" xfId="531"/>
    <cellStyle name="Comma  - Style2 8" xfId="40407"/>
    <cellStyle name="Comma  - Style3" xfId="532"/>
    <cellStyle name="Comma  - Style3 2" xfId="533"/>
    <cellStyle name="Comma  - Style3 2 2" xfId="534"/>
    <cellStyle name="Comma  - Style3 2 2 2" xfId="15175"/>
    <cellStyle name="Comma  - Style3 2 2 3" xfId="15176"/>
    <cellStyle name="Comma  - Style3 2 2 4" xfId="15174"/>
    <cellStyle name="Comma  - Style3 2 3" xfId="535"/>
    <cellStyle name="Comma  - Style3 2 3 2" xfId="15177"/>
    <cellStyle name="Comma  - Style3 2 4" xfId="15178"/>
    <cellStyle name="Comma  - Style3 2 5" xfId="15173"/>
    <cellStyle name="Comma  - Style3 2 6" xfId="41471"/>
    <cellStyle name="Comma  - Style3 3" xfId="536"/>
    <cellStyle name="Comma  - Style3 3 2" xfId="5449"/>
    <cellStyle name="Comma  - Style3 3 3" xfId="15179"/>
    <cellStyle name="Comma  - Style3 3 4" xfId="41470"/>
    <cellStyle name="Comma  - Style3 4" xfId="537"/>
    <cellStyle name="Comma  - Style3 4 2" xfId="43444"/>
    <cellStyle name="Comma  - Style3 5" xfId="538"/>
    <cellStyle name="Comma  - Style3 6" xfId="539"/>
    <cellStyle name="Comma  - Style3 7" xfId="540"/>
    <cellStyle name="Comma  - Style3 8" xfId="40408"/>
    <cellStyle name="Comma  - Style4" xfId="541"/>
    <cellStyle name="Comma  - Style4 2" xfId="542"/>
    <cellStyle name="Comma  - Style4 2 2" xfId="543"/>
    <cellStyle name="Comma  - Style4 2 2 2" xfId="15182"/>
    <cellStyle name="Comma  - Style4 2 2 3" xfId="15183"/>
    <cellStyle name="Comma  - Style4 2 2 4" xfId="15181"/>
    <cellStyle name="Comma  - Style4 2 3" xfId="544"/>
    <cellStyle name="Comma  - Style4 2 3 2" xfId="15184"/>
    <cellStyle name="Comma  - Style4 2 4" xfId="15185"/>
    <cellStyle name="Comma  - Style4 2 5" xfId="15180"/>
    <cellStyle name="Comma  - Style4 2 6" xfId="41473"/>
    <cellStyle name="Comma  - Style4 3" xfId="545"/>
    <cellStyle name="Comma  - Style4 3 2" xfId="4354"/>
    <cellStyle name="Comma  - Style4 3 3" xfId="15186"/>
    <cellStyle name="Comma  - Style4 3 4" xfId="41472"/>
    <cellStyle name="Comma  - Style4 4" xfId="546"/>
    <cellStyle name="Comma  - Style4 4 2" xfId="43445"/>
    <cellStyle name="Comma  - Style4 5" xfId="547"/>
    <cellStyle name="Comma  - Style4 6" xfId="548"/>
    <cellStyle name="Comma  - Style4 7" xfId="549"/>
    <cellStyle name="Comma  - Style4 8" xfId="40409"/>
    <cellStyle name="Comma  - Style5" xfId="550"/>
    <cellStyle name="Comma  - Style5 2" xfId="551"/>
    <cellStyle name="Comma  - Style5 2 2" xfId="552"/>
    <cellStyle name="Comma  - Style5 2 2 2" xfId="15189"/>
    <cellStyle name="Comma  - Style5 2 2 3" xfId="15190"/>
    <cellStyle name="Comma  - Style5 2 2 4" xfId="15188"/>
    <cellStyle name="Comma  - Style5 2 3" xfId="553"/>
    <cellStyle name="Comma  - Style5 2 3 2" xfId="15191"/>
    <cellStyle name="Comma  - Style5 2 4" xfId="15192"/>
    <cellStyle name="Comma  - Style5 2 5" xfId="15187"/>
    <cellStyle name="Comma  - Style5 2 6" xfId="41475"/>
    <cellStyle name="Comma  - Style5 3" xfId="554"/>
    <cellStyle name="Comma  - Style5 3 2" xfId="4355"/>
    <cellStyle name="Comma  - Style5 3 3" xfId="15193"/>
    <cellStyle name="Comma  - Style5 3 4" xfId="41474"/>
    <cellStyle name="Comma  - Style5 4" xfId="555"/>
    <cellStyle name="Comma  - Style5 4 2" xfId="43446"/>
    <cellStyle name="Comma  - Style5 5" xfId="556"/>
    <cellStyle name="Comma  - Style5 6" xfId="557"/>
    <cellStyle name="Comma  - Style5 7" xfId="558"/>
    <cellStyle name="Comma  - Style5 8" xfId="40410"/>
    <cellStyle name="Comma  - Style6" xfId="559"/>
    <cellStyle name="Comma  - Style6 2" xfId="560"/>
    <cellStyle name="Comma  - Style6 2 2" xfId="561"/>
    <cellStyle name="Comma  - Style6 2 2 2" xfId="15196"/>
    <cellStyle name="Comma  - Style6 2 2 3" xfId="15197"/>
    <cellStyle name="Comma  - Style6 2 2 4" xfId="15195"/>
    <cellStyle name="Comma  - Style6 2 3" xfId="562"/>
    <cellStyle name="Comma  - Style6 2 3 2" xfId="15198"/>
    <cellStyle name="Comma  - Style6 2 4" xfId="15199"/>
    <cellStyle name="Comma  - Style6 2 5" xfId="15194"/>
    <cellStyle name="Comma  - Style6 2 6" xfId="41477"/>
    <cellStyle name="Comma  - Style6 3" xfId="563"/>
    <cellStyle name="Comma  - Style6 3 2" xfId="5152"/>
    <cellStyle name="Comma  - Style6 3 3" xfId="15200"/>
    <cellStyle name="Comma  - Style6 3 4" xfId="41476"/>
    <cellStyle name="Comma  - Style6 4" xfId="564"/>
    <cellStyle name="Comma  - Style6 4 2" xfId="43447"/>
    <cellStyle name="Comma  - Style6 5" xfId="565"/>
    <cellStyle name="Comma  - Style6 6" xfId="566"/>
    <cellStyle name="Comma  - Style6 7" xfId="567"/>
    <cellStyle name="Comma  - Style6 8" xfId="40411"/>
    <cellStyle name="Comma  - Style7" xfId="568"/>
    <cellStyle name="Comma  - Style7 2" xfId="569"/>
    <cellStyle name="Comma  - Style7 2 2" xfId="570"/>
    <cellStyle name="Comma  - Style7 2 2 2" xfId="15203"/>
    <cellStyle name="Comma  - Style7 2 2 3" xfId="15204"/>
    <cellStyle name="Comma  - Style7 2 2 4" xfId="15202"/>
    <cellStyle name="Comma  - Style7 2 3" xfId="571"/>
    <cellStyle name="Comma  - Style7 2 3 2" xfId="15205"/>
    <cellStyle name="Comma  - Style7 2 4" xfId="15206"/>
    <cellStyle name="Comma  - Style7 2 5" xfId="15201"/>
    <cellStyle name="Comma  - Style7 2 6" xfId="41479"/>
    <cellStyle name="Comma  - Style7 3" xfId="572"/>
    <cellStyle name="Comma  - Style7 3 2" xfId="4356"/>
    <cellStyle name="Comma  - Style7 3 3" xfId="15207"/>
    <cellStyle name="Comma  - Style7 3 4" xfId="41478"/>
    <cellStyle name="Comma  - Style7 4" xfId="573"/>
    <cellStyle name="Comma  - Style7 4 2" xfId="43448"/>
    <cellStyle name="Comma  - Style7 5" xfId="574"/>
    <cellStyle name="Comma  - Style7 6" xfId="575"/>
    <cellStyle name="Comma  - Style7 7" xfId="576"/>
    <cellStyle name="Comma  - Style7 8" xfId="40412"/>
    <cellStyle name="Comma  - Style8" xfId="577"/>
    <cellStyle name="Comma  - Style8 2" xfId="578"/>
    <cellStyle name="Comma  - Style8 2 2" xfId="579"/>
    <cellStyle name="Comma  - Style8 2 2 2" xfId="15210"/>
    <cellStyle name="Comma  - Style8 2 2 3" xfId="15211"/>
    <cellStyle name="Comma  - Style8 2 2 4" xfId="15209"/>
    <cellStyle name="Comma  - Style8 2 3" xfId="580"/>
    <cellStyle name="Comma  - Style8 2 3 2" xfId="15212"/>
    <cellStyle name="Comma  - Style8 2 4" xfId="15213"/>
    <cellStyle name="Comma  - Style8 2 5" xfId="15208"/>
    <cellStyle name="Comma  - Style8 2 6" xfId="41481"/>
    <cellStyle name="Comma  - Style8 3" xfId="581"/>
    <cellStyle name="Comma  - Style8 3 2" xfId="4357"/>
    <cellStyle name="Comma  - Style8 3 3" xfId="15214"/>
    <cellStyle name="Comma  - Style8 3 4" xfId="41480"/>
    <cellStyle name="Comma  - Style8 4" xfId="582"/>
    <cellStyle name="Comma  - Style8 4 2" xfId="43449"/>
    <cellStyle name="Comma  - Style8 5" xfId="583"/>
    <cellStyle name="Comma  - Style8 6" xfId="584"/>
    <cellStyle name="Comma  - Style8 7" xfId="585"/>
    <cellStyle name="Comma  - Style8 8" xfId="40413"/>
    <cellStyle name="Comma [0] 2" xfId="2589"/>
    <cellStyle name="Comma [0] 3" xfId="2590"/>
    <cellStyle name="Comma [0] 3 2" xfId="2591"/>
    <cellStyle name="Comma [00]" xfId="2592"/>
    <cellStyle name="Comma [00] 2" xfId="15215"/>
    <cellStyle name="Comma [00] 3" xfId="42122"/>
    <cellStyle name="Comma 10" xfId="42"/>
    <cellStyle name="Comma 10 10" xfId="8481"/>
    <cellStyle name="Comma 10 11" xfId="15216"/>
    <cellStyle name="Comma 10 2" xfId="47"/>
    <cellStyle name="Comma 10 2 2" xfId="77"/>
    <cellStyle name="Comma 10 2 2 2" xfId="589"/>
    <cellStyle name="Comma 10 2 2 3" xfId="588"/>
    <cellStyle name="Comma 10 2 3" xfId="590"/>
    <cellStyle name="Comma 10 2 3 2" xfId="40719"/>
    <cellStyle name="Comma 10 2 4" xfId="591"/>
    <cellStyle name="Comma 10 2 5" xfId="587"/>
    <cellStyle name="Comma 10 3" xfId="73"/>
    <cellStyle name="Comma 10 3 2" xfId="593"/>
    <cellStyle name="Comma 10 3 2 2" xfId="15218"/>
    <cellStyle name="Comma 10 3 2 3" xfId="15217"/>
    <cellStyle name="Comma 10 3 3" xfId="2931"/>
    <cellStyle name="Comma 10 3 3 2" xfId="15219"/>
    <cellStyle name="Comma 10 3 4" xfId="592"/>
    <cellStyle name="Comma 10 3 5" xfId="4358"/>
    <cellStyle name="Comma 10 3 6" xfId="40862"/>
    <cellStyle name="Comma 10 4" xfId="84"/>
    <cellStyle name="Comma 10 4 2" xfId="595"/>
    <cellStyle name="Comma 10 4 2 2" xfId="15221"/>
    <cellStyle name="Comma 10 4 3" xfId="596"/>
    <cellStyle name="Comma 10 4 3 2" xfId="15223"/>
    <cellStyle name="Comma 10 4 3 2 2" xfId="15224"/>
    <cellStyle name="Comma 10 4 3 2 2 2" xfId="15225"/>
    <cellStyle name="Comma 10 4 3 2 2 2 2" xfId="15226"/>
    <cellStyle name="Comma 10 4 3 2 2 3" xfId="15227"/>
    <cellStyle name="Comma 10 4 3 2 3" xfId="15228"/>
    <cellStyle name="Comma 10 4 3 2 3 2" xfId="15229"/>
    <cellStyle name="Comma 10 4 3 2 4" xfId="15230"/>
    <cellStyle name="Comma 10 4 3 2 5" xfId="15231"/>
    <cellStyle name="Comma 10 4 3 3" xfId="15232"/>
    <cellStyle name="Comma 10 4 3 3 2" xfId="15233"/>
    <cellStyle name="Comma 10 4 3 3 2 2" xfId="15234"/>
    <cellStyle name="Comma 10 4 3 3 2 2 2" xfId="15235"/>
    <cellStyle name="Comma 10 4 3 3 2 3" xfId="15236"/>
    <cellStyle name="Comma 10 4 3 3 3" xfId="15237"/>
    <cellStyle name="Comma 10 4 3 3 3 2" xfId="15238"/>
    <cellStyle name="Comma 10 4 3 3 4" xfId="15239"/>
    <cellStyle name="Comma 10 4 3 4" xfId="15240"/>
    <cellStyle name="Comma 10 4 3 4 2" xfId="15241"/>
    <cellStyle name="Comma 10 4 3 4 2 2" xfId="15242"/>
    <cellStyle name="Comma 10 4 3 4 3" xfId="15243"/>
    <cellStyle name="Comma 10 4 3 5" xfId="15244"/>
    <cellStyle name="Comma 10 4 3 5 2" xfId="15245"/>
    <cellStyle name="Comma 10 4 3 5 2 2" xfId="15246"/>
    <cellStyle name="Comma 10 4 3 5 3" xfId="15247"/>
    <cellStyle name="Comma 10 4 3 6" xfId="15248"/>
    <cellStyle name="Comma 10 4 3 6 2" xfId="15249"/>
    <cellStyle name="Comma 10 4 3 7" xfId="15250"/>
    <cellStyle name="Comma 10 4 3 8" xfId="15251"/>
    <cellStyle name="Comma 10 4 3 9" xfId="15222"/>
    <cellStyle name="Comma 10 4 4" xfId="594"/>
    <cellStyle name="Comma 10 4 5" xfId="15220"/>
    <cellStyle name="Comma 10 4 6" xfId="41164"/>
    <cellStyle name="Comma 10 5" xfId="96"/>
    <cellStyle name="Comma 10 5 2" xfId="2932"/>
    <cellStyle name="Comma 10 5 2 2" xfId="15254"/>
    <cellStyle name="Comma 10 5 2 2 2" xfId="15255"/>
    <cellStyle name="Comma 10 5 2 2 2 2" xfId="15256"/>
    <cellStyle name="Comma 10 5 2 2 3" xfId="15257"/>
    <cellStyle name="Comma 10 5 2 3" xfId="15258"/>
    <cellStyle name="Comma 10 5 2 3 2" xfId="15259"/>
    <cellStyle name="Comma 10 5 2 4" xfId="15260"/>
    <cellStyle name="Comma 10 5 2 5" xfId="15261"/>
    <cellStyle name="Comma 10 5 2 6" xfId="15253"/>
    <cellStyle name="Comma 10 5 3" xfId="597"/>
    <cellStyle name="Comma 10 5 3 2" xfId="15263"/>
    <cellStyle name="Comma 10 5 3 2 2" xfId="15264"/>
    <cellStyle name="Comma 10 5 3 2 2 2" xfId="15265"/>
    <cellStyle name="Comma 10 5 3 2 3" xfId="15266"/>
    <cellStyle name="Comma 10 5 3 3" xfId="15267"/>
    <cellStyle name="Comma 10 5 3 3 2" xfId="15268"/>
    <cellStyle name="Comma 10 5 3 4" xfId="15269"/>
    <cellStyle name="Comma 10 5 3 5" xfId="15262"/>
    <cellStyle name="Comma 10 5 4" xfId="15270"/>
    <cellStyle name="Comma 10 5 4 2" xfId="15271"/>
    <cellStyle name="Comma 10 5 4 2 2" xfId="15272"/>
    <cellStyle name="Comma 10 5 4 3" xfId="15273"/>
    <cellStyle name="Comma 10 5 5" xfId="15274"/>
    <cellStyle name="Comma 10 5 5 2" xfId="15275"/>
    <cellStyle name="Comma 10 5 5 2 2" xfId="15276"/>
    <cellStyle name="Comma 10 5 5 3" xfId="15277"/>
    <cellStyle name="Comma 10 5 6" xfId="15278"/>
    <cellStyle name="Comma 10 5 6 2" xfId="15279"/>
    <cellStyle name="Comma 10 5 7" xfId="15280"/>
    <cellStyle name="Comma 10 5 7 2" xfId="15281"/>
    <cellStyle name="Comma 10 5 8" xfId="15252"/>
    <cellStyle name="Comma 10 5 9" xfId="40718"/>
    <cellStyle name="Comma 10 6" xfId="598"/>
    <cellStyle name="Comma 10 6 2" xfId="15283"/>
    <cellStyle name="Comma 10 6 3" xfId="15284"/>
    <cellStyle name="Comma 10 6 4" xfId="15285"/>
    <cellStyle name="Comma 10 6 5" xfId="15286"/>
    <cellStyle name="Comma 10 6 6" xfId="15282"/>
    <cellStyle name="Comma 10 7" xfId="599"/>
    <cellStyle name="Comma 10 7 2" xfId="15288"/>
    <cellStyle name="Comma 10 7 2 2" xfId="15289"/>
    <cellStyle name="Comma 10 7 2 2 2" xfId="15290"/>
    <cellStyle name="Comma 10 7 2 3" xfId="15291"/>
    <cellStyle name="Comma 10 7 3" xfId="15292"/>
    <cellStyle name="Comma 10 7 3 2" xfId="15293"/>
    <cellStyle name="Comma 10 7 3 2 2" xfId="15294"/>
    <cellStyle name="Comma 10 7 3 3" xfId="15295"/>
    <cellStyle name="Comma 10 7 4" xfId="15296"/>
    <cellStyle name="Comma 10 7 4 2" xfId="15297"/>
    <cellStyle name="Comma 10 7 5" xfId="15298"/>
    <cellStyle name="Comma 10 7 6" xfId="15299"/>
    <cellStyle name="Comma 10 7 7" xfId="15287"/>
    <cellStyle name="Comma 10 8" xfId="600"/>
    <cellStyle name="Comma 10 8 2" xfId="15300"/>
    <cellStyle name="Comma 10 9" xfId="2593"/>
    <cellStyle name="Comma 10 9 2" xfId="15301"/>
    <cellStyle name="Comma 10_Capital Gain" xfId="2594"/>
    <cellStyle name="Comma 100" xfId="3653"/>
    <cellStyle name="Comma 101" xfId="3654"/>
    <cellStyle name="Comma 102" xfId="3268"/>
    <cellStyle name="Comma 103" xfId="3269"/>
    <cellStyle name="Comma 104" xfId="3270"/>
    <cellStyle name="Comma 105" xfId="3271"/>
    <cellStyle name="Comma 106" xfId="3657"/>
    <cellStyle name="Comma 107" xfId="3272"/>
    <cellStyle name="Comma 108" xfId="3655"/>
    <cellStyle name="Comma 109" xfId="3659"/>
    <cellStyle name="Comma 11" xfId="38"/>
    <cellStyle name="Comma 11 10" xfId="602"/>
    <cellStyle name="Comma 11 11" xfId="40414"/>
    <cellStyle name="Comma 11 2" xfId="603"/>
    <cellStyle name="Comma 11 2 2" xfId="604"/>
    <cellStyle name="Comma 11 2 2 2" xfId="3174"/>
    <cellStyle name="Comma 11 2 2 3" xfId="5325"/>
    <cellStyle name="Comma 11 2 2 3 2" xfId="15303"/>
    <cellStyle name="Comma 11 2 2 4" xfId="15304"/>
    <cellStyle name="Comma 11 2 2 5" xfId="15302"/>
    <cellStyle name="Comma 11 2 3" xfId="605"/>
    <cellStyle name="Comma 11 2 3 2" xfId="15306"/>
    <cellStyle name="Comma 11 2 3 2 2" xfId="15307"/>
    <cellStyle name="Comma 11 2 3 2 2 2" xfId="15308"/>
    <cellStyle name="Comma 11 2 3 2 2 2 2" xfId="15309"/>
    <cellStyle name="Comma 11 2 3 2 2 3" xfId="15310"/>
    <cellStyle name="Comma 11 2 3 2 2 4" xfId="15311"/>
    <cellStyle name="Comma 11 2 3 2 3" xfId="15312"/>
    <cellStyle name="Comma 11 2 3 2 3 2" xfId="15313"/>
    <cellStyle name="Comma 11 2 3 2 4" xfId="15314"/>
    <cellStyle name="Comma 11 2 3 2 5" xfId="15315"/>
    <cellStyle name="Comma 11 2 3 3" xfId="15316"/>
    <cellStyle name="Comma 11 2 3 3 2" xfId="15317"/>
    <cellStyle name="Comma 11 2 3 3 2 2" xfId="15318"/>
    <cellStyle name="Comma 11 2 3 3 2 2 2" xfId="15319"/>
    <cellStyle name="Comma 11 2 3 3 2 3" xfId="15320"/>
    <cellStyle name="Comma 11 2 3 3 3" xfId="15321"/>
    <cellStyle name="Comma 11 2 3 3 3 2" xfId="15322"/>
    <cellStyle name="Comma 11 2 3 3 4" xfId="15323"/>
    <cellStyle name="Comma 11 2 3 4" xfId="15324"/>
    <cellStyle name="Comma 11 2 3 4 2" xfId="15325"/>
    <cellStyle name="Comma 11 2 3 4 2 2" xfId="15326"/>
    <cellStyle name="Comma 11 2 3 4 3" xfId="15327"/>
    <cellStyle name="Comma 11 2 3 5" xfId="15328"/>
    <cellStyle name="Comma 11 2 3 5 2" xfId="15329"/>
    <cellStyle name="Comma 11 2 3 5 2 2" xfId="15330"/>
    <cellStyle name="Comma 11 2 3 5 3" xfId="15331"/>
    <cellStyle name="Comma 11 2 3 6" xfId="15332"/>
    <cellStyle name="Comma 11 2 3 6 2" xfId="15333"/>
    <cellStyle name="Comma 11 2 3 7" xfId="15334"/>
    <cellStyle name="Comma 11 2 3 8" xfId="15305"/>
    <cellStyle name="Comma 11 2 4" xfId="606"/>
    <cellStyle name="Comma 11 2 4 2" xfId="15335"/>
    <cellStyle name="Comma 11 2 5" xfId="4359"/>
    <cellStyle name="Comma 11 2 5 2" xfId="15337"/>
    <cellStyle name="Comma 11 2 5 3" xfId="15338"/>
    <cellStyle name="Comma 11 2 5 4" xfId="15336"/>
    <cellStyle name="Comma 11 2 6" xfId="40954"/>
    <cellStyle name="Comma 11 3" xfId="607"/>
    <cellStyle name="Comma 11 3 2" xfId="608"/>
    <cellStyle name="Comma 11 3 3" xfId="609"/>
    <cellStyle name="Comma 11 3 3 2" xfId="15340"/>
    <cellStyle name="Comma 11 3 4" xfId="610"/>
    <cellStyle name="Comma 11 3 4 2" xfId="15341"/>
    <cellStyle name="Comma 11 3 5" xfId="611"/>
    <cellStyle name="Comma 11 3 5 2" xfId="15342"/>
    <cellStyle name="Comma 11 3 6" xfId="15339"/>
    <cellStyle name="Comma 11 3 7" xfId="41165"/>
    <cellStyle name="Comma 11 4" xfId="612"/>
    <cellStyle name="Comma 11 4 2" xfId="613"/>
    <cellStyle name="Comma 11 4 2 2" xfId="15344"/>
    <cellStyle name="Comma 11 4 3" xfId="15345"/>
    <cellStyle name="Comma 11 4 4" xfId="15343"/>
    <cellStyle name="Comma 11 4 5" xfId="43400"/>
    <cellStyle name="Comma 11 5" xfId="614"/>
    <cellStyle name="Comma 11 5 2" xfId="15346"/>
    <cellStyle name="Comma 11 5 3" xfId="43450"/>
    <cellStyle name="Comma 11 6" xfId="615"/>
    <cellStyle name="Comma 11 7" xfId="616"/>
    <cellStyle name="Comma 11 8" xfId="617"/>
    <cellStyle name="Comma 11 9" xfId="601"/>
    <cellStyle name="Comma 110" xfId="3660"/>
    <cellStyle name="Comma 111" xfId="7797"/>
    <cellStyle name="Comma 111 2" xfId="7869"/>
    <cellStyle name="Comma 112" xfId="7875"/>
    <cellStyle name="Comma 113" xfId="7872"/>
    <cellStyle name="Comma 114" xfId="7960"/>
    <cellStyle name="Comma 115" xfId="8480"/>
    <cellStyle name="Comma 116" xfId="8490"/>
    <cellStyle name="Comma 117" xfId="40376"/>
    <cellStyle name="Comma 118" xfId="40379"/>
    <cellStyle name="Comma 119" xfId="40382"/>
    <cellStyle name="Comma 12" xfId="48"/>
    <cellStyle name="Comma 12 2" xfId="74"/>
    <cellStyle name="Comma 12 2 2" xfId="620"/>
    <cellStyle name="Comma 12 2 2 2" xfId="15348"/>
    <cellStyle name="Comma 12 2 2 3" xfId="15349"/>
    <cellStyle name="Comma 12 2 2 4" xfId="15347"/>
    <cellStyle name="Comma 12 2 2 5" xfId="42123"/>
    <cellStyle name="Comma 12 2 3" xfId="621"/>
    <cellStyle name="Comma 12 2 3 2" xfId="15350"/>
    <cellStyle name="Comma 12 2 4" xfId="622"/>
    <cellStyle name="Comma 12 2 5" xfId="619"/>
    <cellStyle name="Comma 12 2 6" xfId="40955"/>
    <cellStyle name="Comma 12 3" xfId="85"/>
    <cellStyle name="Comma 12 3 2" xfId="623"/>
    <cellStyle name="Comma 12 3 2 2" xfId="15352"/>
    <cellStyle name="Comma 12 3 2 3" xfId="42124"/>
    <cellStyle name="Comma 12 3 3" xfId="7798"/>
    <cellStyle name="Comma 12 3 4" xfId="15351"/>
    <cellStyle name="Comma 12 3 5" xfId="41166"/>
    <cellStyle name="Comma 12 4" xfId="98"/>
    <cellStyle name="Comma 12 4 2" xfId="624"/>
    <cellStyle name="Comma 12 4 2 2" xfId="15354"/>
    <cellStyle name="Comma 12 4 3" xfId="15355"/>
    <cellStyle name="Comma 12 4 4" xfId="15353"/>
    <cellStyle name="Comma 12 5" xfId="625"/>
    <cellStyle name="Comma 12 5 2" xfId="15356"/>
    <cellStyle name="Comma 12 5 2 2" xfId="45246"/>
    <cellStyle name="Comma 12 5 3" xfId="43401"/>
    <cellStyle name="Comma 12 6" xfId="618"/>
    <cellStyle name="Comma 12 6 2" xfId="43451"/>
    <cellStyle name="Comma 12 7" xfId="8482"/>
    <cellStyle name="Comma 12 8" xfId="40415"/>
    <cellStyle name="Comma 120" xfId="40405"/>
    <cellStyle name="Comma 121" xfId="45339"/>
    <cellStyle name="Comma 121 2" xfId="45341"/>
    <cellStyle name="Comma 122" xfId="45343"/>
    <cellStyle name="Comma 13" xfId="83"/>
    <cellStyle name="Comma 13 2" xfId="627"/>
    <cellStyle name="Comma 13 2 2" xfId="628"/>
    <cellStyle name="Comma 13 2 2 2" xfId="15359"/>
    <cellStyle name="Comma 13 2 2 3" xfId="15358"/>
    <cellStyle name="Comma 13 2 3" xfId="629"/>
    <cellStyle name="Comma 13 2 3 2" xfId="15360"/>
    <cellStyle name="Comma 13 2 4" xfId="3094"/>
    <cellStyle name="Comma 13 2 5" xfId="7845"/>
    <cellStyle name="Comma 13 2 6" xfId="15357"/>
    <cellStyle name="Comma 13 2 7" xfId="40956"/>
    <cellStyle name="Comma 13 3" xfId="630"/>
    <cellStyle name="Comma 13 3 2" xfId="15362"/>
    <cellStyle name="Comma 13 3 2 2" xfId="15363"/>
    <cellStyle name="Comma 13 3 3" xfId="15364"/>
    <cellStyle name="Comma 13 3 4" xfId="15361"/>
    <cellStyle name="Comma 13 3 5" xfId="41167"/>
    <cellStyle name="Comma 13 4" xfId="631"/>
    <cellStyle name="Comma 13 4 2" xfId="15366"/>
    <cellStyle name="Comma 13 4 3" xfId="15367"/>
    <cellStyle name="Comma 13 4 4" xfId="15368"/>
    <cellStyle name="Comma 13 4 5" xfId="15365"/>
    <cellStyle name="Comma 13 5" xfId="632"/>
    <cellStyle name="Comma 13 5 2" xfId="15369"/>
    <cellStyle name="Comma 13 6" xfId="626"/>
    <cellStyle name="Comma 13 7" xfId="40416"/>
    <cellStyle name="Comma 14" xfId="71"/>
    <cellStyle name="Comma 14 2" xfId="634"/>
    <cellStyle name="Comma 14 2 2" xfId="3095"/>
    <cellStyle name="Comma 14 2 2 2" xfId="15371"/>
    <cellStyle name="Comma 14 2 3" xfId="5435"/>
    <cellStyle name="Comma 14 2 3 2" xfId="15372"/>
    <cellStyle name="Comma 14 2 4" xfId="15370"/>
    <cellStyle name="Comma 14 2 5" xfId="40957"/>
    <cellStyle name="Comma 14 3" xfId="635"/>
    <cellStyle name="Comma 14 3 2" xfId="7857"/>
    <cellStyle name="Comma 14 3 2 2" xfId="15374"/>
    <cellStyle name="Comma 14 3 3" xfId="15373"/>
    <cellStyle name="Comma 14 3 4" xfId="41168"/>
    <cellStyle name="Comma 14 4" xfId="636"/>
    <cellStyle name="Comma 14 4 2" xfId="43452"/>
    <cellStyle name="Comma 14 5" xfId="637"/>
    <cellStyle name="Comma 14 6" xfId="638"/>
    <cellStyle name="Comma 14 7" xfId="633"/>
    <cellStyle name="Comma 14 8" xfId="40417"/>
    <cellStyle name="Comma 15" xfId="639"/>
    <cellStyle name="Comma 15 2" xfId="640"/>
    <cellStyle name="Comma 15 2 2" xfId="3096"/>
    <cellStyle name="Comma 15 2 2 2" xfId="15376"/>
    <cellStyle name="Comma 15 2 3" xfId="15375"/>
    <cellStyle name="Comma 15 2 4" xfId="40958"/>
    <cellStyle name="Comma 15 3" xfId="641"/>
    <cellStyle name="Comma 15 3 2" xfId="4361"/>
    <cellStyle name="Comma 15 3 2 2" xfId="4362"/>
    <cellStyle name="Comma 15 3 2 3" xfId="15378"/>
    <cellStyle name="Comma 15 3 3" xfId="3588"/>
    <cellStyle name="Comma 15 3 3 2" xfId="15379"/>
    <cellStyle name="Comma 15 3 4" xfId="5295"/>
    <cellStyle name="Comma 15 3 4 2" xfId="15380"/>
    <cellStyle name="Comma 15 3 5" xfId="4360"/>
    <cellStyle name="Comma 15 3 6" xfId="15377"/>
    <cellStyle name="Comma 15 3 7" xfId="41169"/>
    <cellStyle name="Comma 15 4" xfId="642"/>
    <cellStyle name="Comma 15 4 2" xfId="7861"/>
    <cellStyle name="Comma 15 4 3" xfId="43453"/>
    <cellStyle name="Comma 15 5" xfId="643"/>
    <cellStyle name="Comma 15 6" xfId="40418"/>
    <cellStyle name="Comma 16" xfId="644"/>
    <cellStyle name="Comma 16 2" xfId="645"/>
    <cellStyle name="Comma 16 2 2" xfId="3097"/>
    <cellStyle name="Comma 16 2 2 2" xfId="15382"/>
    <cellStyle name="Comma 16 2 3" xfId="15381"/>
    <cellStyle name="Comma 16 2 4" xfId="40959"/>
    <cellStyle name="Comma 16 3" xfId="646"/>
    <cellStyle name="Comma 16 3 2" xfId="15384"/>
    <cellStyle name="Comma 16 3 3" xfId="15385"/>
    <cellStyle name="Comma 16 3 4" xfId="15383"/>
    <cellStyle name="Comma 16 3 5" xfId="41170"/>
    <cellStyle name="Comma 16 4" xfId="41482"/>
    <cellStyle name="Comma 16 5" xfId="41712"/>
    <cellStyle name="Comma 16 6" xfId="43454"/>
    <cellStyle name="Comma 16 7" xfId="40419"/>
    <cellStyle name="Comma 17" xfId="647"/>
    <cellStyle name="Comma 17 2" xfId="648"/>
    <cellStyle name="Comma 17 2 2" xfId="3098"/>
    <cellStyle name="Comma 17 2 2 2" xfId="15388"/>
    <cellStyle name="Comma 17 2 2 3" xfId="15387"/>
    <cellStyle name="Comma 17 2 3" xfId="15386"/>
    <cellStyle name="Comma 17 2 4" xfId="40960"/>
    <cellStyle name="Comma 17 3" xfId="649"/>
    <cellStyle name="Comma 17 3 2" xfId="41171"/>
    <cellStyle name="Comma 17 4" xfId="650"/>
    <cellStyle name="Comma 17 4 2" xfId="43455"/>
    <cellStyle name="Comma 17 5" xfId="651"/>
    <cellStyle name="Comma 17 6" xfId="40420"/>
    <cellStyle name="Comma 18" xfId="652"/>
    <cellStyle name="Comma 18 2" xfId="653"/>
    <cellStyle name="Comma 18 2 2" xfId="15389"/>
    <cellStyle name="Comma 18 2 3" xfId="40961"/>
    <cellStyle name="Comma 18 3" xfId="654"/>
    <cellStyle name="Comma 18 3 2" xfId="15391"/>
    <cellStyle name="Comma 18 3 2 2" xfId="15392"/>
    <cellStyle name="Comma 18 3 2 3" xfId="43518"/>
    <cellStyle name="Comma 18 3 3" xfId="15393"/>
    <cellStyle name="Comma 18 3 4" xfId="15390"/>
    <cellStyle name="Comma 18 3 5" xfId="41172"/>
    <cellStyle name="Comma 18 4" xfId="655"/>
    <cellStyle name="Comma 18 4 2" xfId="43456"/>
    <cellStyle name="Comma 18 5" xfId="656"/>
    <cellStyle name="Comma 18 6" xfId="2406"/>
    <cellStyle name="Comma 18 7" xfId="40421"/>
    <cellStyle name="Comma 19" xfId="657"/>
    <cellStyle name="Comma 19 2" xfId="658"/>
    <cellStyle name="Comma 19 2 2" xfId="2933"/>
    <cellStyle name="Comma 19 2 3" xfId="15394"/>
    <cellStyle name="Comma 19 2 4" xfId="40962"/>
    <cellStyle name="Comma 19 3" xfId="41173"/>
    <cellStyle name="Comma 19 4" xfId="43457"/>
    <cellStyle name="Comma 19 5" xfId="40422"/>
    <cellStyle name="Comma 2" xfId="20"/>
    <cellStyle name="Comma 2 10" xfId="659"/>
    <cellStyle name="Comma 2 10 2" xfId="660"/>
    <cellStyle name="Comma 2 10 2 2" xfId="3625"/>
    <cellStyle name="Comma 2 10 3" xfId="4363"/>
    <cellStyle name="Comma 2 10 4" xfId="3589"/>
    <cellStyle name="Comma 2 11" xfId="661"/>
    <cellStyle name="Comma 2 11 2" xfId="662"/>
    <cellStyle name="Comma 2 11 2 2" xfId="15395"/>
    <cellStyle name="Comma 2 12" xfId="663"/>
    <cellStyle name="Comma 2 12 2" xfId="664"/>
    <cellStyle name="Comma 2 13" xfId="665"/>
    <cellStyle name="Comma 2 14" xfId="666"/>
    <cellStyle name="Comma 2 14 2" xfId="667"/>
    <cellStyle name="Comma 2 15" xfId="668"/>
    <cellStyle name="Comma 2 15 2" xfId="669"/>
    <cellStyle name="Comma 2 16" xfId="670"/>
    <cellStyle name="Comma 2 16 2" xfId="671"/>
    <cellStyle name="Comma 2 17" xfId="672"/>
    <cellStyle name="Comma 2 17 2" xfId="673"/>
    <cellStyle name="Comma 2 18" xfId="674"/>
    <cellStyle name="Comma 2 18 2" xfId="675"/>
    <cellStyle name="Comma 2 19" xfId="676"/>
    <cellStyle name="Comma 2 19 2" xfId="677"/>
    <cellStyle name="Comma 2 19 3" xfId="42125"/>
    <cellStyle name="Comma 2 2" xfId="31"/>
    <cellStyle name="Comma 2 2 10" xfId="678"/>
    <cellStyle name="Comma 2 2 11" xfId="679"/>
    <cellStyle name="Comma 2 2 11 2" xfId="680"/>
    <cellStyle name="Comma 2 2 12" xfId="681"/>
    <cellStyle name="Comma 2 2 12 2" xfId="682"/>
    <cellStyle name="Comma 2 2 13" xfId="683"/>
    <cellStyle name="Comma 2 2 13 2" xfId="684"/>
    <cellStyle name="Comma 2 2 14" xfId="685"/>
    <cellStyle name="Comma 2 2 14 2" xfId="686"/>
    <cellStyle name="Comma 2 2 15" xfId="687"/>
    <cellStyle name="Comma 2 2 15 2" xfId="688"/>
    <cellStyle name="Comma 2 2 16" xfId="689"/>
    <cellStyle name="Comma 2 2 16 2" xfId="690"/>
    <cellStyle name="Comma 2 2 17" xfId="691"/>
    <cellStyle name="Comma 2 2 17 2" xfId="692"/>
    <cellStyle name="Comma 2 2 18" xfId="693"/>
    <cellStyle name="Comma 2 2 19" xfId="694"/>
    <cellStyle name="Comma 2 2 2" xfId="22"/>
    <cellStyle name="Comma 2 2 2 10" xfId="696"/>
    <cellStyle name="Comma 2 2 2 11" xfId="697"/>
    <cellStyle name="Comma 2 2 2 12" xfId="698"/>
    <cellStyle name="Comma 2 2 2 13" xfId="699"/>
    <cellStyle name="Comma 2 2 2 14" xfId="700"/>
    <cellStyle name="Comma 2 2 2 15" xfId="701"/>
    <cellStyle name="Comma 2 2 2 16" xfId="702"/>
    <cellStyle name="Comma 2 2 2 17" xfId="703"/>
    <cellStyle name="Comma 2 2 2 18" xfId="704"/>
    <cellStyle name="Comma 2 2 2 19" xfId="705"/>
    <cellStyle name="Comma 2 2 2 2" xfId="49"/>
    <cellStyle name="Comma 2 2 2 2 2" xfId="707"/>
    <cellStyle name="Comma 2 2 2 2 2 2" xfId="3099"/>
    <cellStyle name="Comma 2 2 2 2 2 2 2" xfId="15397"/>
    <cellStyle name="Comma 2 2 2 2 3" xfId="708"/>
    <cellStyle name="Comma 2 2 2 2 3 2" xfId="4364"/>
    <cellStyle name="Comma 2 2 2 2 3 3" xfId="15398"/>
    <cellStyle name="Comma 2 2 2 2 4" xfId="709"/>
    <cellStyle name="Comma 2 2 2 2 5" xfId="706"/>
    <cellStyle name="Comma 2 2 2 20" xfId="710"/>
    <cellStyle name="Comma 2 2 2 21" xfId="711"/>
    <cellStyle name="Comma 2 2 2 22" xfId="712"/>
    <cellStyle name="Comma 2 2 2 23" xfId="713"/>
    <cellStyle name="Comma 2 2 2 24" xfId="714"/>
    <cellStyle name="Comma 2 2 2 25" xfId="715"/>
    <cellStyle name="Comma 2 2 2 26" xfId="716"/>
    <cellStyle name="Comma 2 2 2 27" xfId="717"/>
    <cellStyle name="Comma 2 2 2 28" xfId="718"/>
    <cellStyle name="Comma 2 2 2 29" xfId="719"/>
    <cellStyle name="Comma 2 2 2 3" xfId="50"/>
    <cellStyle name="Comma 2 2 2 3 2" xfId="29"/>
    <cellStyle name="Comma 2 2 2 3 3" xfId="2934"/>
    <cellStyle name="Comma 2 2 2 3 3 2" xfId="41830"/>
    <cellStyle name="Comma 2 2 2 3 4" xfId="720"/>
    <cellStyle name="Comma 2 2 2 3 5" xfId="40721"/>
    <cellStyle name="Comma 2 2 2 30" xfId="721"/>
    <cellStyle name="Comma 2 2 2 31" xfId="722"/>
    <cellStyle name="Comma 2 2 2 32" xfId="723"/>
    <cellStyle name="Comma 2 2 2 33" xfId="724"/>
    <cellStyle name="Comma 2 2 2 34" xfId="725"/>
    <cellStyle name="Comma 2 2 2 35" xfId="726"/>
    <cellStyle name="Comma 2 2 2 36" xfId="727"/>
    <cellStyle name="Comma 2 2 2 37" xfId="728"/>
    <cellStyle name="Comma 2 2 2 38" xfId="729"/>
    <cellStyle name="Comma 2 2 2 39" xfId="730"/>
    <cellStyle name="Comma 2 2 2 4" xfId="731"/>
    <cellStyle name="Comma 2 2 2 4 2" xfId="732"/>
    <cellStyle name="Comma 2 2 2 4 2 2" xfId="15399"/>
    <cellStyle name="Comma 2 2 2 4 3" xfId="4365"/>
    <cellStyle name="Comma 2 2 2 40" xfId="733"/>
    <cellStyle name="Comma 2 2 2 41" xfId="734"/>
    <cellStyle name="Comma 2 2 2 42" xfId="735"/>
    <cellStyle name="Comma 2 2 2 43" xfId="736"/>
    <cellStyle name="Comma 2 2 2 44" xfId="737"/>
    <cellStyle name="Comma 2 2 2 45" xfId="695"/>
    <cellStyle name="Comma 2 2 2 5" xfId="738"/>
    <cellStyle name="Comma 2 2 2 5 2" xfId="7846"/>
    <cellStyle name="Comma 2 2 2 5 2 2" xfId="15401"/>
    <cellStyle name="Comma 2 2 2 5 3" xfId="5433"/>
    <cellStyle name="Comma 2 2 2 5 3 2" xfId="15402"/>
    <cellStyle name="Comma 2 2 2 5 4" xfId="15400"/>
    <cellStyle name="Comma 2 2 2 6" xfId="739"/>
    <cellStyle name="Comma 2 2 2 6 2" xfId="7847"/>
    <cellStyle name="Comma 2 2 2 6 3" xfId="4366"/>
    <cellStyle name="Comma 2 2 2 7" xfId="740"/>
    <cellStyle name="Comma 2 2 2 8" xfId="741"/>
    <cellStyle name="Comma 2 2 2 9" xfId="742"/>
    <cellStyle name="Comma 2 2 20" xfId="743"/>
    <cellStyle name="Comma 2 2 20 10" xfId="15404"/>
    <cellStyle name="Comma 2 2 20 11" xfId="15403"/>
    <cellStyle name="Comma 2 2 20 2" xfId="744"/>
    <cellStyle name="Comma 2 2 20 2 2" xfId="4369"/>
    <cellStyle name="Comma 2 2 20 2 2 2" xfId="4370"/>
    <cellStyle name="Comma 2 2 20 2 2 2 2" xfId="15408"/>
    <cellStyle name="Comma 2 2 20 2 2 2 2 2" xfId="15409"/>
    <cellStyle name="Comma 2 2 20 2 2 2 3" xfId="15410"/>
    <cellStyle name="Comma 2 2 20 2 2 2 4" xfId="15407"/>
    <cellStyle name="Comma 2 2 20 2 2 3" xfId="15411"/>
    <cellStyle name="Comma 2 2 20 2 2 3 2" xfId="15412"/>
    <cellStyle name="Comma 2 2 20 2 2 4" xfId="15413"/>
    <cellStyle name="Comma 2 2 20 2 2 5" xfId="15414"/>
    <cellStyle name="Comma 2 2 20 2 2 6" xfId="15406"/>
    <cellStyle name="Comma 2 2 20 2 3" xfId="4371"/>
    <cellStyle name="Comma 2 2 20 2 3 2" xfId="15416"/>
    <cellStyle name="Comma 2 2 20 2 3 2 2" xfId="15417"/>
    <cellStyle name="Comma 2 2 20 2 3 2 2 2" xfId="15418"/>
    <cellStyle name="Comma 2 2 20 2 3 2 3" xfId="15419"/>
    <cellStyle name="Comma 2 2 20 2 3 3" xfId="15420"/>
    <cellStyle name="Comma 2 2 20 2 3 3 2" xfId="15421"/>
    <cellStyle name="Comma 2 2 20 2 3 4" xfId="15422"/>
    <cellStyle name="Comma 2 2 20 2 3 5" xfId="15423"/>
    <cellStyle name="Comma 2 2 20 2 3 6" xfId="15415"/>
    <cellStyle name="Comma 2 2 20 2 4" xfId="4372"/>
    <cellStyle name="Comma 2 2 20 2 4 2" xfId="15425"/>
    <cellStyle name="Comma 2 2 20 2 4 2 2" xfId="15426"/>
    <cellStyle name="Comma 2 2 20 2 4 3" xfId="15427"/>
    <cellStyle name="Comma 2 2 20 2 4 4" xfId="15424"/>
    <cellStyle name="Comma 2 2 20 2 5" xfId="4368"/>
    <cellStyle name="Comma 2 2 20 2 5 2" xfId="15429"/>
    <cellStyle name="Comma 2 2 20 2 5 2 2" xfId="15430"/>
    <cellStyle name="Comma 2 2 20 2 5 3" xfId="15431"/>
    <cellStyle name="Comma 2 2 20 2 5 4" xfId="15428"/>
    <cellStyle name="Comma 2 2 20 2 6" xfId="15432"/>
    <cellStyle name="Comma 2 2 20 2 6 2" xfId="15433"/>
    <cellStyle name="Comma 2 2 20 2 7" xfId="15434"/>
    <cellStyle name="Comma 2 2 20 2 8" xfId="15435"/>
    <cellStyle name="Comma 2 2 20 2 9" xfId="15405"/>
    <cellStyle name="Comma 2 2 20 3" xfId="3462"/>
    <cellStyle name="Comma 2 2 20 3 2" xfId="4848"/>
    <cellStyle name="Comma 2 2 20 3 2 2" xfId="15438"/>
    <cellStyle name="Comma 2 2 20 3 2 2 2" xfId="15439"/>
    <cellStyle name="Comma 2 2 20 3 2 2 2 2" xfId="15440"/>
    <cellStyle name="Comma 2 2 20 3 2 2 3" xfId="15441"/>
    <cellStyle name="Comma 2 2 20 3 2 3" xfId="15442"/>
    <cellStyle name="Comma 2 2 20 3 2 3 2" xfId="15443"/>
    <cellStyle name="Comma 2 2 20 3 2 4" xfId="15444"/>
    <cellStyle name="Comma 2 2 20 3 2 5" xfId="15445"/>
    <cellStyle name="Comma 2 2 20 3 2 6" xfId="15437"/>
    <cellStyle name="Comma 2 2 20 3 3" xfId="15446"/>
    <cellStyle name="Comma 2 2 20 3 3 2" xfId="15447"/>
    <cellStyle name="Comma 2 2 20 3 3 2 2" xfId="15448"/>
    <cellStyle name="Comma 2 2 20 3 3 2 2 2" xfId="15449"/>
    <cellStyle name="Comma 2 2 20 3 3 2 3" xfId="15450"/>
    <cellStyle name="Comma 2 2 20 3 3 3" xfId="15451"/>
    <cellStyle name="Comma 2 2 20 3 3 3 2" xfId="15452"/>
    <cellStyle name="Comma 2 2 20 3 3 4" xfId="15453"/>
    <cellStyle name="Comma 2 2 20 3 4" xfId="15454"/>
    <cellStyle name="Comma 2 2 20 3 4 2" xfId="15455"/>
    <cellStyle name="Comma 2 2 20 3 4 2 2" xfId="15456"/>
    <cellStyle name="Comma 2 2 20 3 4 3" xfId="15457"/>
    <cellStyle name="Comma 2 2 20 3 5" xfId="15458"/>
    <cellStyle name="Comma 2 2 20 3 5 2" xfId="15459"/>
    <cellStyle name="Comma 2 2 20 3 5 2 2" xfId="15460"/>
    <cellStyle name="Comma 2 2 20 3 5 3" xfId="15461"/>
    <cellStyle name="Comma 2 2 20 3 6" xfId="15462"/>
    <cellStyle name="Comma 2 2 20 3 6 2" xfId="15463"/>
    <cellStyle name="Comma 2 2 20 3 7" xfId="15464"/>
    <cellStyle name="Comma 2 2 20 3 8" xfId="15465"/>
    <cellStyle name="Comma 2 2 20 3 9" xfId="15436"/>
    <cellStyle name="Comma 2 2 20 4" xfId="4373"/>
    <cellStyle name="Comma 2 2 20 4 2" xfId="15467"/>
    <cellStyle name="Comma 2 2 20 4 2 2" xfId="15468"/>
    <cellStyle name="Comma 2 2 20 4 2 2 2" xfId="15469"/>
    <cellStyle name="Comma 2 2 20 4 2 2 2 2" xfId="15470"/>
    <cellStyle name="Comma 2 2 20 4 2 2 3" xfId="15471"/>
    <cellStyle name="Comma 2 2 20 4 2 3" xfId="15472"/>
    <cellStyle name="Comma 2 2 20 4 2 3 2" xfId="15473"/>
    <cellStyle name="Comma 2 2 20 4 2 4" xfId="15474"/>
    <cellStyle name="Comma 2 2 20 4 3" xfId="15475"/>
    <cellStyle name="Comma 2 2 20 4 3 2" xfId="15476"/>
    <cellStyle name="Comma 2 2 20 4 3 2 2" xfId="15477"/>
    <cellStyle name="Comma 2 2 20 4 3 3" xfId="15478"/>
    <cellStyle name="Comma 2 2 20 4 4" xfId="15479"/>
    <cellStyle name="Comma 2 2 20 4 4 2" xfId="15480"/>
    <cellStyle name="Comma 2 2 20 4 4 2 2" xfId="15481"/>
    <cellStyle name="Comma 2 2 20 4 4 3" xfId="15482"/>
    <cellStyle name="Comma 2 2 20 4 5" xfId="15483"/>
    <cellStyle name="Comma 2 2 20 4 5 2" xfId="15484"/>
    <cellStyle name="Comma 2 2 20 4 6" xfId="15485"/>
    <cellStyle name="Comma 2 2 20 4 7" xfId="15486"/>
    <cellStyle name="Comma 2 2 20 4 8" xfId="15466"/>
    <cellStyle name="Comma 2 2 20 5" xfId="5293"/>
    <cellStyle name="Comma 2 2 20 5 2" xfId="15488"/>
    <cellStyle name="Comma 2 2 20 5 2 2" xfId="15489"/>
    <cellStyle name="Comma 2 2 20 5 2 2 2" xfId="15490"/>
    <cellStyle name="Comma 2 2 20 5 2 3" xfId="15491"/>
    <cellStyle name="Comma 2 2 20 5 3" xfId="15492"/>
    <cellStyle name="Comma 2 2 20 5 3 2" xfId="15493"/>
    <cellStyle name="Comma 2 2 20 5 4" xfId="15494"/>
    <cellStyle name="Comma 2 2 20 5 5" xfId="15495"/>
    <cellStyle name="Comma 2 2 20 5 6" xfId="15487"/>
    <cellStyle name="Comma 2 2 20 6" xfId="7848"/>
    <cellStyle name="Comma 2 2 20 6 2" xfId="15497"/>
    <cellStyle name="Comma 2 2 20 6 2 2" xfId="15498"/>
    <cellStyle name="Comma 2 2 20 6 3" xfId="15499"/>
    <cellStyle name="Comma 2 2 20 6 4" xfId="15496"/>
    <cellStyle name="Comma 2 2 20 7" xfId="4367"/>
    <cellStyle name="Comma 2 2 20 7 2" xfId="15501"/>
    <cellStyle name="Comma 2 2 20 7 2 2" xfId="15502"/>
    <cellStyle name="Comma 2 2 20 7 3" xfId="15503"/>
    <cellStyle name="Comma 2 2 20 7 4" xfId="15500"/>
    <cellStyle name="Comma 2 2 20 8" xfId="15504"/>
    <cellStyle name="Comma 2 2 20 8 2" xfId="15505"/>
    <cellStyle name="Comma 2 2 20 9" xfId="15506"/>
    <cellStyle name="Comma 2 2 21" xfId="745"/>
    <cellStyle name="Comma 2 2 21 2" xfId="15507"/>
    <cellStyle name="Comma 2 2 22" xfId="746"/>
    <cellStyle name="Comma 2 2 22 2" xfId="15508"/>
    <cellStyle name="Comma 2 2 23" xfId="747"/>
    <cellStyle name="Comma 2 2 24" xfId="748"/>
    <cellStyle name="Comma 2 2 25" xfId="749"/>
    <cellStyle name="Comma 2 2 26" xfId="750"/>
    <cellStyle name="Comma 2 2 27" xfId="751"/>
    <cellStyle name="Comma 2 2 28" xfId="752"/>
    <cellStyle name="Comma 2 2 29" xfId="753"/>
    <cellStyle name="Comma 2 2 3" xfId="754"/>
    <cellStyle name="Comma 2 2 3 10" xfId="15509"/>
    <cellStyle name="Comma 2 2 3 2" xfId="755"/>
    <cellStyle name="Comma 2 2 3 2 2" xfId="2596"/>
    <cellStyle name="Comma 2 2 3 2 3" xfId="4890"/>
    <cellStyle name="Comma 2 2 3 2 4" xfId="4891"/>
    <cellStyle name="Comma 2 2 3 2 5" xfId="3463"/>
    <cellStyle name="Comma 2 2 3 2 6" xfId="40964"/>
    <cellStyle name="Comma 2 2 3 3" xfId="756"/>
    <cellStyle name="Comma 2 2 3 3 2" xfId="4892"/>
    <cellStyle name="Comma 2 2 3 3 2 2" xfId="15510"/>
    <cellStyle name="Comma 2 2 3 3 3" xfId="41175"/>
    <cellStyle name="Comma 2 2 3 4" xfId="757"/>
    <cellStyle name="Comma 2 2 3 4 2" xfId="4893"/>
    <cellStyle name="Comma 2 2 3 4 2 2" xfId="15512"/>
    <cellStyle name="Comma 2 2 3 4 3" xfId="15511"/>
    <cellStyle name="Comma 2 2 3 5" xfId="2595"/>
    <cellStyle name="Comma 2 2 3 5 2" xfId="4894"/>
    <cellStyle name="Comma 2 2 3 5 2 2" xfId="15513"/>
    <cellStyle name="Comma 2 2 3 5 3" xfId="15514"/>
    <cellStyle name="Comma 2 2 3 6" xfId="4895"/>
    <cellStyle name="Comma 2 2 3 7" xfId="4896"/>
    <cellStyle name="Comma 2 2 3 8" xfId="4897"/>
    <cellStyle name="Comma 2 2 3 9" xfId="4374"/>
    <cellStyle name="Comma 2 2 30" xfId="758"/>
    <cellStyle name="Comma 2 2 31" xfId="759"/>
    <cellStyle name="Comma 2 2 32" xfId="760"/>
    <cellStyle name="Comma 2 2 33" xfId="761"/>
    <cellStyle name="Comma 2 2 34" xfId="762"/>
    <cellStyle name="Comma 2 2 35" xfId="763"/>
    <cellStyle name="Comma 2 2 36" xfId="764"/>
    <cellStyle name="Comma 2 2 37" xfId="765"/>
    <cellStyle name="Comma 2 2 38" xfId="766"/>
    <cellStyle name="Comma 2 2 39" xfId="767"/>
    <cellStyle name="Comma 2 2 4" xfId="768"/>
    <cellStyle name="Comma 2 2 4 2" xfId="769"/>
    <cellStyle name="Comma 2 2 4 2 2" xfId="770"/>
    <cellStyle name="Comma 2 2 4 2 3" xfId="40982"/>
    <cellStyle name="Comma 2 2 4 3" xfId="771"/>
    <cellStyle name="Comma 2 2 4 3 2" xfId="4889"/>
    <cellStyle name="Comma 2 2 4 4" xfId="772"/>
    <cellStyle name="Comma 2 2 4 4 2" xfId="4375"/>
    <cellStyle name="Comma 2 2 4 5" xfId="4376"/>
    <cellStyle name="Comma 2 2 4 5 2" xfId="40963"/>
    <cellStyle name="Comma 2 2 4 6" xfId="4377"/>
    <cellStyle name="Comma 2 2 4 6 2" xfId="40722"/>
    <cellStyle name="Comma 2 2 40" xfId="773"/>
    <cellStyle name="Comma 2 2 41" xfId="774"/>
    <cellStyle name="Comma 2 2 42" xfId="775"/>
    <cellStyle name="Comma 2 2 43" xfId="776"/>
    <cellStyle name="Comma 2 2 44" xfId="777"/>
    <cellStyle name="Comma 2 2 45" xfId="15396"/>
    <cellStyle name="Comma 2 2 5" xfId="778"/>
    <cellStyle name="Comma 2 2 5 2" xfId="779"/>
    <cellStyle name="Comma 2 2 5 2 2" xfId="4378"/>
    <cellStyle name="Comma 2 2 5 2 3" xfId="41174"/>
    <cellStyle name="Comma 2 2 5 3" xfId="780"/>
    <cellStyle name="Comma 2 2 5 4" xfId="781"/>
    <cellStyle name="Comma 2 2 6" xfId="782"/>
    <cellStyle name="Comma 2 2 6 2" xfId="4849"/>
    <cellStyle name="Comma 2 2 6 3" xfId="4379"/>
    <cellStyle name="Comma 2 2 7" xfId="783"/>
    <cellStyle name="Comma 2 2 7 2" xfId="3223"/>
    <cellStyle name="Comma 2 2 7 3" xfId="4380"/>
    <cellStyle name="Comma 2 2 8" xfId="784"/>
    <cellStyle name="Comma 2 2 8 2" xfId="4381"/>
    <cellStyle name="Comma 2 2 8 3" xfId="4898"/>
    <cellStyle name="Comma 2 2 9" xfId="785"/>
    <cellStyle name="Comma 2 2_accounts AAAF formatted" xfId="3100"/>
    <cellStyle name="Comma 2 20" xfId="786"/>
    <cellStyle name="Comma 2 20 2" xfId="787"/>
    <cellStyle name="Comma 2 20 3" xfId="43402"/>
    <cellStyle name="Comma 2 21" xfId="788"/>
    <cellStyle name="Comma 2 21 2" xfId="789"/>
    <cellStyle name="Comma 2 22" xfId="790"/>
    <cellStyle name="Comma 2 22 2" xfId="2407"/>
    <cellStyle name="Comma 2 22 2 2" xfId="3224"/>
    <cellStyle name="Comma 2 22 2 2 2" xfId="586"/>
    <cellStyle name="Comma 2 22 2 2 2 2" xfId="15518"/>
    <cellStyle name="Comma 2 22 2 2 2 3" xfId="15517"/>
    <cellStyle name="Comma 2 22 2 2 3" xfId="15519"/>
    <cellStyle name="Comma 2 22 2 2 4" xfId="15520"/>
    <cellStyle name="Comma 2 22 2 2 5" xfId="15516"/>
    <cellStyle name="Comma 2 22 2 3" xfId="4900"/>
    <cellStyle name="Comma 2 22 2 3 2" xfId="15522"/>
    <cellStyle name="Comma 2 22 2 3 2 2" xfId="15523"/>
    <cellStyle name="Comma 2 22 2 3 3" xfId="15524"/>
    <cellStyle name="Comma 2 22 2 3 4" xfId="15525"/>
    <cellStyle name="Comma 2 22 2 3 5" xfId="15521"/>
    <cellStyle name="Comma 2 22 2 4" xfId="3602"/>
    <cellStyle name="Comma 2 22 2 4 2" xfId="15527"/>
    <cellStyle name="Comma 2 22 2 4 3" xfId="15526"/>
    <cellStyle name="Comma 2 22 2 5" xfId="3590"/>
    <cellStyle name="Comma 2 22 2 5 2" xfId="15528"/>
    <cellStyle name="Comma 2 22 2 6" xfId="15529"/>
    <cellStyle name="Comma 2 22 2 7" xfId="15515"/>
    <cellStyle name="Comma 2 22 3" xfId="4901"/>
    <cellStyle name="Comma 2 22 3 2" xfId="4382"/>
    <cellStyle name="Comma 2 22 3 2 2" xfId="15532"/>
    <cellStyle name="Comma 2 22 3 2 3" xfId="15531"/>
    <cellStyle name="Comma 2 22 3 3" xfId="15533"/>
    <cellStyle name="Comma 2 22 3 4" xfId="15534"/>
    <cellStyle name="Comma 2 22 3 5" xfId="15530"/>
    <cellStyle name="Comma 2 22 4" xfId="4383"/>
    <cellStyle name="Comma 2 22 4 2" xfId="15536"/>
    <cellStyle name="Comma 2 22 4 2 2" xfId="15537"/>
    <cellStyle name="Comma 2 22 4 3" xfId="15538"/>
    <cellStyle name="Comma 2 22 4 4" xfId="15539"/>
    <cellStyle name="Comma 2 22 4 5" xfId="15535"/>
    <cellStyle name="Comma 2 22 5" xfId="4384"/>
    <cellStyle name="Comma 2 22 5 2" xfId="15540"/>
    <cellStyle name="Comma 2 22 6" xfId="7849"/>
    <cellStyle name="Comma 2 22 7" xfId="4899"/>
    <cellStyle name="Comma 2 23" xfId="791"/>
    <cellStyle name="Comma 2 23 10" xfId="15542"/>
    <cellStyle name="Comma 2 23 11" xfId="15543"/>
    <cellStyle name="Comma 2 23 12" xfId="15541"/>
    <cellStyle name="Comma 2 23 2" xfId="15544"/>
    <cellStyle name="Comma 2 23 2 2" xfId="15545"/>
    <cellStyle name="Comma 2 23 2 2 2" xfId="15546"/>
    <cellStyle name="Comma 2 23 2 2 2 2" xfId="15547"/>
    <cellStyle name="Comma 2 23 2 2 2 2 2" xfId="15548"/>
    <cellStyle name="Comma 2 23 2 2 2 3" xfId="15549"/>
    <cellStyle name="Comma 2 23 2 2 3" xfId="15550"/>
    <cellStyle name="Comma 2 23 2 2 3 2" xfId="15551"/>
    <cellStyle name="Comma 2 23 2 2 4" xfId="15552"/>
    <cellStyle name="Comma 2 23 2 2 5" xfId="15553"/>
    <cellStyle name="Comma 2 23 2 3" xfId="15554"/>
    <cellStyle name="Comma 2 23 2 3 2" xfId="15555"/>
    <cellStyle name="Comma 2 23 2 3 2 2" xfId="15556"/>
    <cellStyle name="Comma 2 23 2 3 2 2 2" xfId="15557"/>
    <cellStyle name="Comma 2 23 2 3 2 3" xfId="15558"/>
    <cellStyle name="Comma 2 23 2 3 3" xfId="15559"/>
    <cellStyle name="Comma 2 23 2 3 3 2" xfId="15560"/>
    <cellStyle name="Comma 2 23 2 3 4" xfId="15561"/>
    <cellStyle name="Comma 2 23 2 4" xfId="15562"/>
    <cellStyle name="Comma 2 23 2 4 2" xfId="15563"/>
    <cellStyle name="Comma 2 23 2 4 2 2" xfId="15564"/>
    <cellStyle name="Comma 2 23 2 4 3" xfId="15565"/>
    <cellStyle name="Comma 2 23 2 5" xfId="15566"/>
    <cellStyle name="Comma 2 23 2 5 2" xfId="15567"/>
    <cellStyle name="Comma 2 23 2 5 2 2" xfId="15568"/>
    <cellStyle name="Comma 2 23 2 5 3" xfId="15569"/>
    <cellStyle name="Comma 2 23 2 6" xfId="15570"/>
    <cellStyle name="Comma 2 23 2 6 2" xfId="15571"/>
    <cellStyle name="Comma 2 23 2 7" xfId="15572"/>
    <cellStyle name="Comma 2 23 2 7 2" xfId="15573"/>
    <cellStyle name="Comma 2 23 2 8" xfId="15574"/>
    <cellStyle name="Comma 2 23 3" xfId="15575"/>
    <cellStyle name="Comma 2 23 3 2" xfId="15576"/>
    <cellStyle name="Comma 2 23 3 2 2" xfId="15577"/>
    <cellStyle name="Comma 2 23 3 2 2 2" xfId="15578"/>
    <cellStyle name="Comma 2 23 3 2 2 2 2" xfId="15579"/>
    <cellStyle name="Comma 2 23 3 2 2 3" xfId="15580"/>
    <cellStyle name="Comma 2 23 3 2 3" xfId="15581"/>
    <cellStyle name="Comma 2 23 3 2 3 2" xfId="15582"/>
    <cellStyle name="Comma 2 23 3 2 4" xfId="15583"/>
    <cellStyle name="Comma 2 23 3 2 5" xfId="15584"/>
    <cellStyle name="Comma 2 23 3 3" xfId="15585"/>
    <cellStyle name="Comma 2 23 3 3 2" xfId="15586"/>
    <cellStyle name="Comma 2 23 3 3 2 2" xfId="15587"/>
    <cellStyle name="Comma 2 23 3 3 2 2 2" xfId="15588"/>
    <cellStyle name="Comma 2 23 3 3 2 3" xfId="15589"/>
    <cellStyle name="Comma 2 23 3 3 3" xfId="15590"/>
    <cellStyle name="Comma 2 23 3 3 3 2" xfId="15591"/>
    <cellStyle name="Comma 2 23 3 3 4" xfId="15592"/>
    <cellStyle name="Comma 2 23 3 4" xfId="15593"/>
    <cellStyle name="Comma 2 23 3 4 2" xfId="15594"/>
    <cellStyle name="Comma 2 23 3 4 2 2" xfId="15595"/>
    <cellStyle name="Comma 2 23 3 4 3" xfId="15596"/>
    <cellStyle name="Comma 2 23 3 5" xfId="15597"/>
    <cellStyle name="Comma 2 23 3 5 2" xfId="15598"/>
    <cellStyle name="Comma 2 23 3 5 2 2" xfId="15599"/>
    <cellStyle name="Comma 2 23 3 5 3" xfId="15600"/>
    <cellStyle name="Comma 2 23 3 6" xfId="15601"/>
    <cellStyle name="Comma 2 23 3 6 2" xfId="15602"/>
    <cellStyle name="Comma 2 23 3 7" xfId="15603"/>
    <cellStyle name="Comma 2 23 3 8" xfId="15604"/>
    <cellStyle name="Comma 2 23 4" xfId="15605"/>
    <cellStyle name="Comma 2 23 4 2" xfId="15606"/>
    <cellStyle name="Comma 2 23 4 2 2" xfId="15607"/>
    <cellStyle name="Comma 2 23 4 2 2 2" xfId="15608"/>
    <cellStyle name="Comma 2 23 4 2 2 2 2" xfId="15609"/>
    <cellStyle name="Comma 2 23 4 2 2 3" xfId="15610"/>
    <cellStyle name="Comma 2 23 4 2 3" xfId="15611"/>
    <cellStyle name="Comma 2 23 4 2 3 2" xfId="15612"/>
    <cellStyle name="Comma 2 23 4 2 4" xfId="15613"/>
    <cellStyle name="Comma 2 23 4 2 5" xfId="15614"/>
    <cellStyle name="Comma 2 23 4 3" xfId="15615"/>
    <cellStyle name="Comma 2 23 4 3 2" xfId="15616"/>
    <cellStyle name="Comma 2 23 4 3 2 2" xfId="15617"/>
    <cellStyle name="Comma 2 23 4 3 2 2 2" xfId="15618"/>
    <cellStyle name="Comma 2 23 4 3 2 3" xfId="15619"/>
    <cellStyle name="Comma 2 23 4 3 3" xfId="15620"/>
    <cellStyle name="Comma 2 23 4 3 3 2" xfId="15621"/>
    <cellStyle name="Comma 2 23 4 3 4" xfId="15622"/>
    <cellStyle name="Comma 2 23 4 4" xfId="15623"/>
    <cellStyle name="Comma 2 23 4 4 2" xfId="15624"/>
    <cellStyle name="Comma 2 23 4 4 2 2" xfId="15625"/>
    <cellStyle name="Comma 2 23 4 4 3" xfId="15626"/>
    <cellStyle name="Comma 2 23 4 5" xfId="15627"/>
    <cellStyle name="Comma 2 23 4 5 2" xfId="15628"/>
    <cellStyle name="Comma 2 23 4 5 2 2" xfId="15629"/>
    <cellStyle name="Comma 2 23 4 5 3" xfId="15630"/>
    <cellStyle name="Comma 2 23 4 6" xfId="15631"/>
    <cellStyle name="Comma 2 23 4 6 2" xfId="15632"/>
    <cellStyle name="Comma 2 23 4 7" xfId="15633"/>
    <cellStyle name="Comma 2 23 4 8" xfId="15634"/>
    <cellStyle name="Comma 2 23 5" xfId="15635"/>
    <cellStyle name="Comma 2 23 5 2" xfId="15636"/>
    <cellStyle name="Comma 2 23 5 2 2" xfId="15637"/>
    <cellStyle name="Comma 2 23 5 2 2 2" xfId="15638"/>
    <cellStyle name="Comma 2 23 5 2 2 2 2" xfId="15639"/>
    <cellStyle name="Comma 2 23 5 2 2 3" xfId="15640"/>
    <cellStyle name="Comma 2 23 5 2 3" xfId="15641"/>
    <cellStyle name="Comma 2 23 5 2 3 2" xfId="15642"/>
    <cellStyle name="Comma 2 23 5 2 4" xfId="15643"/>
    <cellStyle name="Comma 2 23 5 3" xfId="15644"/>
    <cellStyle name="Comma 2 23 5 3 2" xfId="15645"/>
    <cellStyle name="Comma 2 23 5 3 2 2" xfId="15646"/>
    <cellStyle name="Comma 2 23 5 3 3" xfId="15647"/>
    <cellStyle name="Comma 2 23 5 4" xfId="15648"/>
    <cellStyle name="Comma 2 23 5 4 2" xfId="15649"/>
    <cellStyle name="Comma 2 23 5 4 2 2" xfId="15650"/>
    <cellStyle name="Comma 2 23 5 4 3" xfId="15651"/>
    <cellStyle name="Comma 2 23 5 5" xfId="15652"/>
    <cellStyle name="Comma 2 23 5 5 2" xfId="15653"/>
    <cellStyle name="Comma 2 23 5 6" xfId="15654"/>
    <cellStyle name="Comma 2 23 5 7" xfId="15655"/>
    <cellStyle name="Comma 2 23 6" xfId="15656"/>
    <cellStyle name="Comma 2 23 6 2" xfId="15657"/>
    <cellStyle name="Comma 2 23 6 2 2" xfId="15658"/>
    <cellStyle name="Comma 2 23 6 2 2 2" xfId="15659"/>
    <cellStyle name="Comma 2 23 6 2 3" xfId="15660"/>
    <cellStyle name="Comma 2 23 6 3" xfId="15661"/>
    <cellStyle name="Comma 2 23 6 3 2" xfId="15662"/>
    <cellStyle name="Comma 2 23 6 4" xfId="15663"/>
    <cellStyle name="Comma 2 23 6 5" xfId="15664"/>
    <cellStyle name="Comma 2 23 7" xfId="15665"/>
    <cellStyle name="Comma 2 23 7 2" xfId="15666"/>
    <cellStyle name="Comma 2 23 7 2 2" xfId="15667"/>
    <cellStyle name="Comma 2 23 7 3" xfId="15668"/>
    <cellStyle name="Comma 2 23 8" xfId="15669"/>
    <cellStyle name="Comma 2 23 8 2" xfId="15670"/>
    <cellStyle name="Comma 2 23 8 2 2" xfId="15671"/>
    <cellStyle name="Comma 2 23 8 3" xfId="15672"/>
    <cellStyle name="Comma 2 23 9" xfId="15673"/>
    <cellStyle name="Comma 2 23 9 2" xfId="15674"/>
    <cellStyle name="Comma 2 24" xfId="792"/>
    <cellStyle name="Comma 2 24 2" xfId="15676"/>
    <cellStyle name="Comma 2 24 3" xfId="15677"/>
    <cellStyle name="Comma 2 24 4" xfId="15678"/>
    <cellStyle name="Comma 2 24 5" xfId="15675"/>
    <cellStyle name="Comma 2 25" xfId="793"/>
    <cellStyle name="Comma 2 25 2" xfId="15679"/>
    <cellStyle name="Comma 2 26" xfId="794"/>
    <cellStyle name="Comma 2 26 2" xfId="15681"/>
    <cellStyle name="Comma 2 26 3" xfId="15682"/>
    <cellStyle name="Comma 2 26 4" xfId="15680"/>
    <cellStyle name="Comma 2 27" xfId="795"/>
    <cellStyle name="Comma 2 27 2" xfId="15684"/>
    <cellStyle name="Comma 2 27 3" xfId="15685"/>
    <cellStyle name="Comma 2 27 4" xfId="15683"/>
    <cellStyle name="Comma 2 28" xfId="796"/>
    <cellStyle name="Comma 2 28 2" xfId="15687"/>
    <cellStyle name="Comma 2 28 3" xfId="15688"/>
    <cellStyle name="Comma 2 28 4" xfId="15689"/>
    <cellStyle name="Comma 2 28 5" xfId="15686"/>
    <cellStyle name="Comma 2 29" xfId="797"/>
    <cellStyle name="Comma 2 29 2" xfId="15690"/>
    <cellStyle name="Comma 2 3" xfId="798"/>
    <cellStyle name="Comma 2 3 2" xfId="799"/>
    <cellStyle name="Comma 2 3 2 2" xfId="800"/>
    <cellStyle name="Comma 2 3 2 2 2" xfId="3101"/>
    <cellStyle name="Comma 2 3 2 2 2 2" xfId="15691"/>
    <cellStyle name="Comma 2 3 2 2 3" xfId="5437"/>
    <cellStyle name="Comma 2 3 2 3" xfId="4385"/>
    <cellStyle name="Comma 2 3 2 3 2" xfId="15692"/>
    <cellStyle name="Comma 2 3 3" xfId="801"/>
    <cellStyle name="Comma 2 3 3 2" xfId="802"/>
    <cellStyle name="Comma 2 3 3 2 2" xfId="15693"/>
    <cellStyle name="Comma 2 3 3 3" xfId="803"/>
    <cellStyle name="Comma 2 3 3 3 2" xfId="15694"/>
    <cellStyle name="Comma 2 3 3 4" xfId="2597"/>
    <cellStyle name="Comma 2 3 4" xfId="804"/>
    <cellStyle name="Comma 2 3 4 2" xfId="2935"/>
    <cellStyle name="Comma 2 3 4 3" xfId="41831"/>
    <cellStyle name="Comma 2 3 5" xfId="4386"/>
    <cellStyle name="Comma 2 3 5 2" xfId="15696"/>
    <cellStyle name="Comma 2 3 5 3" xfId="15697"/>
    <cellStyle name="Comma 2 3 5 4" xfId="15695"/>
    <cellStyle name="Comma 2 3 5 5" xfId="40723"/>
    <cellStyle name="Comma 2 3 6" xfId="5444"/>
    <cellStyle name="Comma 2 3 6 2" xfId="15698"/>
    <cellStyle name="Comma 2 3 7" xfId="4387"/>
    <cellStyle name="Comma 2 3_Book1sarah" xfId="2598"/>
    <cellStyle name="Comma 2 30" xfId="805"/>
    <cellStyle name="Comma 2 30 2" xfId="15699"/>
    <cellStyle name="Comma 2 31" xfId="806"/>
    <cellStyle name="Comma 2 31 2" xfId="15700"/>
    <cellStyle name="Comma 2 32" xfId="807"/>
    <cellStyle name="Comma 2 32 2" xfId="15701"/>
    <cellStyle name="Comma 2 33" xfId="808"/>
    <cellStyle name="Comma 2 33 2" xfId="15702"/>
    <cellStyle name="Comma 2 34" xfId="809"/>
    <cellStyle name="Comma 2 34 2" xfId="15703"/>
    <cellStyle name="Comma 2 35" xfId="810"/>
    <cellStyle name="Comma 2 35 2" xfId="15704"/>
    <cellStyle name="Comma 2 36" xfId="811"/>
    <cellStyle name="Comma 2 36 2" xfId="15705"/>
    <cellStyle name="Comma 2 37" xfId="812"/>
    <cellStyle name="Comma 2 37 2" xfId="15706"/>
    <cellStyle name="Comma 2 38" xfId="813"/>
    <cellStyle name="Comma 2 38 2" xfId="15707"/>
    <cellStyle name="Comma 2 39" xfId="814"/>
    <cellStyle name="Comma 2 4" xfId="815"/>
    <cellStyle name="Comma 2 4 2" xfId="816"/>
    <cellStyle name="Comma 2 4 2 2" xfId="817"/>
    <cellStyle name="Comma 2 4 2 2 2" xfId="4388"/>
    <cellStyle name="Comma 2 4 2 2 2 2" xfId="15709"/>
    <cellStyle name="Comma 2 4 2 2 3" xfId="15710"/>
    <cellStyle name="Comma 2 4 2 2 4" xfId="15708"/>
    <cellStyle name="Comma 2 4 2 3" xfId="5153"/>
    <cellStyle name="Comma 2 4 2 3 2" xfId="15712"/>
    <cellStyle name="Comma 2 4 2 3 3" xfId="15713"/>
    <cellStyle name="Comma 2 4 2 3 4" xfId="15711"/>
    <cellStyle name="Comma 2 4 2 4" xfId="40965"/>
    <cellStyle name="Comma 2 4 3" xfId="818"/>
    <cellStyle name="Comma 2 4 3 2" xfId="4389"/>
    <cellStyle name="Comma 2 4 3 3" xfId="15714"/>
    <cellStyle name="Comma 2 4 3 4" xfId="41176"/>
    <cellStyle name="Comma 2 4 4" xfId="2408"/>
    <cellStyle name="Comma 2 4 4 2" xfId="15715"/>
    <cellStyle name="Comma 2 4 4 3" xfId="40724"/>
    <cellStyle name="Comma 2 4 5" xfId="15716"/>
    <cellStyle name="Comma 2 4 5 2" xfId="15717"/>
    <cellStyle name="Comma 2 4 5 3" xfId="15718"/>
    <cellStyle name="Comma 2 40" xfId="819"/>
    <cellStyle name="Comma 2 41" xfId="820"/>
    <cellStyle name="Comma 2 42" xfId="821"/>
    <cellStyle name="Comma 2 43" xfId="822"/>
    <cellStyle name="Comma 2 44" xfId="823"/>
    <cellStyle name="Comma 2 45" xfId="824"/>
    <cellStyle name="Comma 2 46" xfId="825"/>
    <cellStyle name="Comma 2 47" xfId="826"/>
    <cellStyle name="Comma 2 48" xfId="827"/>
    <cellStyle name="Comma 2 49" xfId="4390"/>
    <cellStyle name="Comma 2 49 2" xfId="7862"/>
    <cellStyle name="Comma 2 5" xfId="828"/>
    <cellStyle name="Comma 2 5 2" xfId="829"/>
    <cellStyle name="Comma 2 5 2 2" xfId="42126"/>
    <cellStyle name="Comma 2 5 3" xfId="830"/>
    <cellStyle name="Comma 2 5 3 2" xfId="15720"/>
    <cellStyle name="Comma 2 5 3 3" xfId="15721"/>
    <cellStyle name="Comma 2 5 3 4" xfId="15719"/>
    <cellStyle name="Comma 2 5 4" xfId="2409"/>
    <cellStyle name="Comma 2 5 4 2" xfId="15722"/>
    <cellStyle name="Comma 2 50" xfId="4391"/>
    <cellStyle name="Comma 2 51" xfId="3464"/>
    <cellStyle name="Comma 2 52" xfId="4392"/>
    <cellStyle name="Comma 2 53" xfId="3218"/>
    <cellStyle name="Comma 2 54" xfId="5296"/>
    <cellStyle name="Comma 2 55" xfId="5297"/>
    <cellStyle name="Comma 2 56" xfId="3465"/>
    <cellStyle name="Comma 2 57" xfId="5298"/>
    <cellStyle name="Comma 2 58" xfId="5299"/>
    <cellStyle name="Comma 2 59" xfId="3466"/>
    <cellStyle name="Comma 2 6" xfId="831"/>
    <cellStyle name="Comma 2 6 2" xfId="832"/>
    <cellStyle name="Comma 2 6 2 2" xfId="2936"/>
    <cellStyle name="Comma 2 6 2 2 2" xfId="5300"/>
    <cellStyle name="Comma 2 6 2 2 3" xfId="15724"/>
    <cellStyle name="Comma 2 6 2 3" xfId="15725"/>
    <cellStyle name="Comma 2 6 2 4" xfId="15723"/>
    <cellStyle name="Comma 2 6 3" xfId="833"/>
    <cellStyle name="Comma 2 6 3 2" xfId="4393"/>
    <cellStyle name="Comma 2 6 3 2 2" xfId="15726"/>
    <cellStyle name="Comma 2 6 4" xfId="2410"/>
    <cellStyle name="Comma 2 6 4 2" xfId="3591"/>
    <cellStyle name="Comma 2 6 5" xfId="3592"/>
    <cellStyle name="Comma 2 6 5 2" xfId="40725"/>
    <cellStyle name="Comma 2 6 6" xfId="3229"/>
    <cellStyle name="Comma 2 60" xfId="169"/>
    <cellStyle name="Comma 2 61" xfId="3225"/>
    <cellStyle name="Comma 2 62" xfId="4394"/>
    <cellStyle name="Comma 2 63" xfId="3226"/>
    <cellStyle name="Comma 2 64" xfId="4395"/>
    <cellStyle name="Comma 2 65" xfId="5301"/>
    <cellStyle name="Comma 2 66" xfId="4396"/>
    <cellStyle name="Comma 2 67" xfId="3227"/>
    <cellStyle name="Comma 2 68" xfId="4397"/>
    <cellStyle name="Comma 2 69" xfId="4398"/>
    <cellStyle name="Comma 2 7" xfId="834"/>
    <cellStyle name="Comma 2 7 2" xfId="835"/>
    <cellStyle name="Comma 2 7 2 2" xfId="2937"/>
    <cellStyle name="Comma 2 7 2 2 2" xfId="5302"/>
    <cellStyle name="Comma 2 7 2 2 3" xfId="15728"/>
    <cellStyle name="Comma 2 7 2 3" xfId="4399"/>
    <cellStyle name="Comma 2 7 2 3 2" xfId="15729"/>
    <cellStyle name="Comma 2 7 3" xfId="836"/>
    <cellStyle name="Comma 2 7 3 2" xfId="3228"/>
    <cellStyle name="Comma 2 7 3 2 2" xfId="15732"/>
    <cellStyle name="Comma 2 7 3 2 2 2" xfId="15733"/>
    <cellStyle name="Comma 2 7 3 2 2 2 2" xfId="15734"/>
    <cellStyle name="Comma 2 7 3 2 2 3" xfId="15735"/>
    <cellStyle name="Comma 2 7 3 2 3" xfId="15736"/>
    <cellStyle name="Comma 2 7 3 2 3 2" xfId="15737"/>
    <cellStyle name="Comma 2 7 3 2 4" xfId="15738"/>
    <cellStyle name="Comma 2 7 3 2 5" xfId="15739"/>
    <cellStyle name="Comma 2 7 3 2 6" xfId="15731"/>
    <cellStyle name="Comma 2 7 3 3" xfId="15740"/>
    <cellStyle name="Comma 2 7 3 3 2" xfId="15741"/>
    <cellStyle name="Comma 2 7 3 3 2 2" xfId="15742"/>
    <cellStyle name="Comma 2 7 3 3 2 2 2" xfId="15743"/>
    <cellStyle name="Comma 2 7 3 3 2 3" xfId="15744"/>
    <cellStyle name="Comma 2 7 3 3 3" xfId="15745"/>
    <cellStyle name="Comma 2 7 3 3 3 2" xfId="15746"/>
    <cellStyle name="Comma 2 7 3 3 4" xfId="15747"/>
    <cellStyle name="Comma 2 7 3 4" xfId="15748"/>
    <cellStyle name="Comma 2 7 3 4 2" xfId="15749"/>
    <cellStyle name="Comma 2 7 3 4 2 2" xfId="15750"/>
    <cellStyle name="Comma 2 7 3 4 3" xfId="15751"/>
    <cellStyle name="Comma 2 7 3 5" xfId="15752"/>
    <cellStyle name="Comma 2 7 3 5 2" xfId="15753"/>
    <cellStyle name="Comma 2 7 3 5 2 2" xfId="15754"/>
    <cellStyle name="Comma 2 7 3 5 3" xfId="15755"/>
    <cellStyle name="Comma 2 7 3 6" xfId="15756"/>
    <cellStyle name="Comma 2 7 3 6 2" xfId="15757"/>
    <cellStyle name="Comma 2 7 3 7" xfId="15758"/>
    <cellStyle name="Comma 2 7 3 7 2" xfId="15759"/>
    <cellStyle name="Comma 2 7 3 8" xfId="15760"/>
    <cellStyle name="Comma 2 7 3 9" xfId="15730"/>
    <cellStyle name="Comma 2 7 4" xfId="15761"/>
    <cellStyle name="Comma 2 7 4 2" xfId="15762"/>
    <cellStyle name="Comma 2 7 4 3" xfId="15763"/>
    <cellStyle name="Comma 2 7 5" xfId="15764"/>
    <cellStyle name="Comma 2 7 5 2" xfId="15765"/>
    <cellStyle name="Comma 2 7 5 3" xfId="15766"/>
    <cellStyle name="Comma 2 7 6" xfId="15767"/>
    <cellStyle name="Comma 2 7 7" xfId="15727"/>
    <cellStyle name="Comma 2 7 8" xfId="40720"/>
    <cellStyle name="Comma 2 70" xfId="4400"/>
    <cellStyle name="Comma 2 71" xfId="5409"/>
    <cellStyle name="Comma 2 72" xfId="5410"/>
    <cellStyle name="Comma 2 73" xfId="5411"/>
    <cellStyle name="Comma 2 74" xfId="5412"/>
    <cellStyle name="Comma 2 75" xfId="3248"/>
    <cellStyle name="Comma 2 76" xfId="4401"/>
    <cellStyle name="Comma 2 77" xfId="3257"/>
    <cellStyle name="Comma 2 77 2" xfId="7870"/>
    <cellStyle name="Comma 2 77 3" xfId="7871"/>
    <cellStyle name="Comma 2 78" xfId="3621"/>
    <cellStyle name="Comma 2 79" xfId="8494"/>
    <cellStyle name="Comma 2 8" xfId="837"/>
    <cellStyle name="Comma 2 8 2" xfId="838"/>
    <cellStyle name="Comma 2 8 2 2" xfId="2938"/>
    <cellStyle name="Comma 2 8 2 3" xfId="15768"/>
    <cellStyle name="Comma 2 8 3" xfId="839"/>
    <cellStyle name="Comma 2 8 3 2" xfId="15769"/>
    <cellStyle name="Comma 2 8 4" xfId="840"/>
    <cellStyle name="Comma 2 8 4 2" xfId="15770"/>
    <cellStyle name="Comma 2 8 5" xfId="15771"/>
    <cellStyle name="Comma 2 9" xfId="841"/>
    <cellStyle name="Comma 2 9 2" xfId="842"/>
    <cellStyle name="Comma 2 9 2 2" xfId="2939"/>
    <cellStyle name="Comma 2 9 3" xfId="15772"/>
    <cellStyle name="Comma 2 9 4" xfId="15773"/>
    <cellStyle name="Comma 2 9 5" xfId="40894"/>
    <cellStyle name="Comma 2_Account(31-Dec-09)" xfId="843"/>
    <cellStyle name="Comma 20" xfId="844"/>
    <cellStyle name="Comma 20 2" xfId="845"/>
    <cellStyle name="Comma 20 2 2" xfId="4402"/>
    <cellStyle name="Comma 20 2 3" xfId="40966"/>
    <cellStyle name="Comma 20 3" xfId="846"/>
    <cellStyle name="Comma 20 3 2" xfId="4933"/>
    <cellStyle name="Comma 20 3 3" xfId="41177"/>
    <cellStyle name="Comma 20 4" xfId="847"/>
    <cellStyle name="Comma 20 4 2" xfId="4403"/>
    <cellStyle name="Comma 20 5" xfId="4404"/>
    <cellStyle name="Comma 20 5 2" xfId="42127"/>
    <cellStyle name="Comma 20 6" xfId="15774"/>
    <cellStyle name="Comma 20 7" xfId="40423"/>
    <cellStyle name="Comma 20_Book1sarah" xfId="2599"/>
    <cellStyle name="Comma 21" xfId="848"/>
    <cellStyle name="Comma 21 2" xfId="849"/>
    <cellStyle name="Comma 21 2 2" xfId="850"/>
    <cellStyle name="Comma 21 2 2 2" xfId="4405"/>
    <cellStyle name="Comma 21 2 3" xfId="851"/>
    <cellStyle name="Comma 21 3" xfId="852"/>
    <cellStyle name="Comma 21 3 2" xfId="15775"/>
    <cellStyle name="Comma 21 4" xfId="2411"/>
    <cellStyle name="Comma 22" xfId="853"/>
    <cellStyle name="Comma 22 2" xfId="854"/>
    <cellStyle name="Comma 22 2 2" xfId="855"/>
    <cellStyle name="Comma 22 3" xfId="856"/>
    <cellStyle name="Comma 22 3 2" xfId="4406"/>
    <cellStyle name="Comma 22 4" xfId="2600"/>
    <cellStyle name="Comma 22 4 2" xfId="3593"/>
    <cellStyle name="Comma 22 4 2 2" xfId="5453"/>
    <cellStyle name="Comma 22 4 3" xfId="4408"/>
    <cellStyle name="Comma 22 4 4" xfId="3230"/>
    <cellStyle name="Comma 22 4 5" xfId="4407"/>
    <cellStyle name="Comma 22 5" xfId="3596"/>
    <cellStyle name="Comma 22 5 2" xfId="4409"/>
    <cellStyle name="Comma 22 5 2 2" xfId="3234"/>
    <cellStyle name="Comma 22 5 3" xfId="4410"/>
    <cellStyle name="Comma 22 5 4" xfId="166"/>
    <cellStyle name="Comma 22 6" xfId="4411"/>
    <cellStyle name="Comma 22 7" xfId="3231"/>
    <cellStyle name="Comma 23" xfId="51"/>
    <cellStyle name="Comma 23 2" xfId="858"/>
    <cellStyle name="Comma 23 2 10" xfId="40726"/>
    <cellStyle name="Comma 23 2 2" xfId="4412"/>
    <cellStyle name="Comma 23 2 2 2" xfId="15778"/>
    <cellStyle name="Comma 23 2 2 2 2" xfId="15779"/>
    <cellStyle name="Comma 23 2 2 2 2 2" xfId="15780"/>
    <cellStyle name="Comma 23 2 2 2 3" xfId="15781"/>
    <cellStyle name="Comma 23 2 2 2 4" xfId="15782"/>
    <cellStyle name="Comma 23 2 2 3" xfId="15783"/>
    <cellStyle name="Comma 23 2 2 3 2" xfId="15784"/>
    <cellStyle name="Comma 23 2 2 4" xfId="15785"/>
    <cellStyle name="Comma 23 2 2 5" xfId="15786"/>
    <cellStyle name="Comma 23 2 2 6" xfId="15777"/>
    <cellStyle name="Comma 23 2 3" xfId="15787"/>
    <cellStyle name="Comma 23 2 3 2" xfId="15788"/>
    <cellStyle name="Comma 23 2 3 2 2" xfId="15789"/>
    <cellStyle name="Comma 23 2 3 3" xfId="15790"/>
    <cellStyle name="Comma 23 2 3 4" xfId="15791"/>
    <cellStyle name="Comma 23 2 4" xfId="15792"/>
    <cellStyle name="Comma 23 2 4 2" xfId="15793"/>
    <cellStyle name="Comma 23 2 4 2 2" xfId="15794"/>
    <cellStyle name="Comma 23 2 4 3" xfId="15795"/>
    <cellStyle name="Comma 23 2 4 4" xfId="15796"/>
    <cellStyle name="Comma 23 2 5" xfId="15797"/>
    <cellStyle name="Comma 23 2 5 2" xfId="15798"/>
    <cellStyle name="Comma 23 2 5 2 2" xfId="15799"/>
    <cellStyle name="Comma 23 2 5 3" xfId="15800"/>
    <cellStyle name="Comma 23 2 5 4" xfId="15801"/>
    <cellStyle name="Comma 23 2 6" xfId="15802"/>
    <cellStyle name="Comma 23 2 6 2" xfId="15803"/>
    <cellStyle name="Comma 23 2 7" xfId="15804"/>
    <cellStyle name="Comma 23 2 8" xfId="15805"/>
    <cellStyle name="Comma 23 2 9" xfId="15776"/>
    <cellStyle name="Comma 23 3" xfId="859"/>
    <cellStyle name="Comma 23 3 2" xfId="3594"/>
    <cellStyle name="Comma 23 3 2 2" xfId="4414"/>
    <cellStyle name="Comma 23 3 2 2 2" xfId="15809"/>
    <cellStyle name="Comma 23 3 2 2 3" xfId="15808"/>
    <cellStyle name="Comma 23 3 2 3" xfId="15810"/>
    <cellStyle name="Comma 23 3 2 4" xfId="15811"/>
    <cellStyle name="Comma 23 3 2 5" xfId="15807"/>
    <cellStyle name="Comma 23 3 3" xfId="4415"/>
    <cellStyle name="Comma 23 3 3 2" xfId="15813"/>
    <cellStyle name="Comma 23 3 3 2 2" xfId="15814"/>
    <cellStyle name="Comma 23 3 3 3" xfId="15815"/>
    <cellStyle name="Comma 23 3 3 4" xfId="15816"/>
    <cellStyle name="Comma 23 3 3 5" xfId="15812"/>
    <cellStyle name="Comma 23 3 4" xfId="3232"/>
    <cellStyle name="Comma 23 3 4 2" xfId="15818"/>
    <cellStyle name="Comma 23 3 4 3" xfId="15819"/>
    <cellStyle name="Comma 23 3 4 4" xfId="15820"/>
    <cellStyle name="Comma 23 3 4 5" xfId="15817"/>
    <cellStyle name="Comma 23 3 5" xfId="4413"/>
    <cellStyle name="Comma 23 3 6" xfId="15806"/>
    <cellStyle name="Comma 23 4" xfId="860"/>
    <cellStyle name="Comma 23 4 2" xfId="4417"/>
    <cellStyle name="Comma 23 4 2 2" xfId="3595"/>
    <cellStyle name="Comma 23 4 2 2 2" xfId="15823"/>
    <cellStyle name="Comma 23 4 2 3" xfId="15824"/>
    <cellStyle name="Comma 23 4 2 4" xfId="15822"/>
    <cellStyle name="Comma 23 4 3" xfId="5413"/>
    <cellStyle name="Comma 23 4 3 2" xfId="15825"/>
    <cellStyle name="Comma 23 4 4" xfId="3233"/>
    <cellStyle name="Comma 23 4 4 2" xfId="15826"/>
    <cellStyle name="Comma 23 4 5" xfId="4416"/>
    <cellStyle name="Comma 23 4 6" xfId="15821"/>
    <cellStyle name="Comma 23 5" xfId="861"/>
    <cellStyle name="Comma 23 5 2" xfId="15828"/>
    <cellStyle name="Comma 23 5 2 2" xfId="15829"/>
    <cellStyle name="Comma 23 5 3" xfId="15830"/>
    <cellStyle name="Comma 23 5 4" xfId="15831"/>
    <cellStyle name="Comma 23 5 5" xfId="15827"/>
    <cellStyle name="Comma 23 6" xfId="2601"/>
    <cellStyle name="Comma 23 6 2" xfId="4418"/>
    <cellStyle name="Comma 23 6 2 2" xfId="15834"/>
    <cellStyle name="Comma 23 6 2 3" xfId="15833"/>
    <cellStyle name="Comma 23 6 3" xfId="15835"/>
    <cellStyle name="Comma 23 6 4" xfId="15836"/>
    <cellStyle name="Comma 23 6 5" xfId="15837"/>
    <cellStyle name="Comma 23 6 6" xfId="15832"/>
    <cellStyle name="Comma 23 7" xfId="857"/>
    <cellStyle name="Comma 23 7 2" xfId="4419"/>
    <cellStyle name="Comma 23 7 3" xfId="15838"/>
    <cellStyle name="Comma 23 8" xfId="15839"/>
    <cellStyle name="Comma 24" xfId="862"/>
    <cellStyle name="Comma 24 2" xfId="863"/>
    <cellStyle name="Comma 24 2 2" xfId="4991"/>
    <cellStyle name="Comma 24 2 2 2" xfId="15841"/>
    <cellStyle name="Comma 24 2 3" xfId="15842"/>
    <cellStyle name="Comma 24 2 4" xfId="15840"/>
    <cellStyle name="Comma 24 2 5" xfId="40967"/>
    <cellStyle name="Comma 24 3" xfId="864"/>
    <cellStyle name="Comma 24 3 2" xfId="865"/>
    <cellStyle name="Comma 24 3 3" xfId="15843"/>
    <cellStyle name="Comma 24 3 4" xfId="41178"/>
    <cellStyle name="Comma 24 4" xfId="866"/>
    <cellStyle name="Comma 24 5" xfId="3256"/>
    <cellStyle name="Comma 24 5 2" xfId="4421"/>
    <cellStyle name="Comma 24 5 2 2" xfId="4422"/>
    <cellStyle name="Comma 24 5 3" xfId="3467"/>
    <cellStyle name="Comma 24 5 4" xfId="4423"/>
    <cellStyle name="Comma 24 6" xfId="4424"/>
    <cellStyle name="Comma 24 6 2" xfId="1498"/>
    <cellStyle name="Comma 24 7" xfId="4902"/>
    <cellStyle name="Comma 24 7 2" xfId="4425"/>
    <cellStyle name="Comma 24 8" xfId="4420"/>
    <cellStyle name="Comma 25" xfId="867"/>
    <cellStyle name="Comma 25 10" xfId="40520"/>
    <cellStyle name="Comma 25 2" xfId="868"/>
    <cellStyle name="Comma 25 2 2" xfId="3468"/>
    <cellStyle name="Comma 25 2 2 2" xfId="4427"/>
    <cellStyle name="Comma 25 2 2 2 2" xfId="4428"/>
    <cellStyle name="Comma 25 2 2 3" xfId="3217"/>
    <cellStyle name="Comma 25 2 2 4" xfId="4429"/>
    <cellStyle name="Comma 25 2 2 5" xfId="43512"/>
    <cellStyle name="Comma 25 2 3" xfId="4430"/>
    <cellStyle name="Comma 25 2 3 2" xfId="4992"/>
    <cellStyle name="Comma 25 2 4" xfId="4431"/>
    <cellStyle name="Comma 25 2 5" xfId="4432"/>
    <cellStyle name="Comma 25 2 6" xfId="4426"/>
    <cellStyle name="Comma 25 2 7" xfId="15844"/>
    <cellStyle name="Comma 25 3" xfId="869"/>
    <cellStyle name="Comma 25 3 2" xfId="5334"/>
    <cellStyle name="Comma 25 3 2 2" xfId="4433"/>
    <cellStyle name="Comma 25 3 2 2 2" xfId="5414"/>
    <cellStyle name="Comma 25 3 2 3" xfId="4434"/>
    <cellStyle name="Comma 25 3 2 4" xfId="3469"/>
    <cellStyle name="Comma 25 3 3" xfId="5415"/>
    <cellStyle name="Comma 25 3 3 2" xfId="4435"/>
    <cellStyle name="Comma 25 3 4" xfId="5416"/>
    <cellStyle name="Comma 25 3 5" xfId="4436"/>
    <cellStyle name="Comma 25 3 6" xfId="5303"/>
    <cellStyle name="Comma 25 3 7" xfId="15845"/>
    <cellStyle name="Comma 25 3 8" xfId="41832"/>
    <cellStyle name="Comma 25 4" xfId="2602"/>
    <cellStyle name="Comma 25 4 2" xfId="40727"/>
    <cellStyle name="Comma 25 5" xfId="4437"/>
    <cellStyle name="Comma 25 5 2" xfId="42649"/>
    <cellStyle name="Comma 25 5 2 2" xfId="42894"/>
    <cellStyle name="Comma 25 5 2 2 2" xfId="44747"/>
    <cellStyle name="Comma 25 5 2 3" xfId="44510"/>
    <cellStyle name="Comma 25 5 3" xfId="42893"/>
    <cellStyle name="Comma 25 5 3 2" xfId="44746"/>
    <cellStyle name="Comma 25 5 4" xfId="44150"/>
    <cellStyle name="Comma 25 5 5" xfId="42285"/>
    <cellStyle name="Comma 25 6" xfId="93"/>
    <cellStyle name="Comma 25 6 2" xfId="42895"/>
    <cellStyle name="Comma 25 6 2 2" xfId="44748"/>
    <cellStyle name="Comma 25 6 3" xfId="44184"/>
    <cellStyle name="Comma 25 6 4" xfId="42322"/>
    <cellStyle name="Comma 25 7" xfId="4936"/>
    <cellStyle name="Comma 25 7 2" xfId="44745"/>
    <cellStyle name="Comma 25 7 3" xfId="42892"/>
    <cellStyle name="Comma 25 8" xfId="40380"/>
    <cellStyle name="Comma 25 8 2" xfId="45258"/>
    <cellStyle name="Comma 25 8 3" xfId="43458"/>
    <cellStyle name="Comma 25 9" xfId="43583"/>
    <cellStyle name="Comma 26" xfId="870"/>
    <cellStyle name="Comma 26 10" xfId="15847"/>
    <cellStyle name="Comma 26 11" xfId="15848"/>
    <cellStyle name="Comma 26 12" xfId="15846"/>
    <cellStyle name="Comma 26 2" xfId="871"/>
    <cellStyle name="Comma 26 2 10" xfId="15850"/>
    <cellStyle name="Comma 26 2 11" xfId="15851"/>
    <cellStyle name="Comma 26 2 12" xfId="15849"/>
    <cellStyle name="Comma 26 2 2" xfId="15852"/>
    <cellStyle name="Comma 26 2 2 2" xfId="15853"/>
    <cellStyle name="Comma 26 2 2 2 2" xfId="15854"/>
    <cellStyle name="Comma 26 2 2 2 2 2" xfId="15855"/>
    <cellStyle name="Comma 26 2 2 2 2 2 2" xfId="15856"/>
    <cellStyle name="Comma 26 2 2 2 2 3" xfId="15857"/>
    <cellStyle name="Comma 26 2 2 2 3" xfId="15858"/>
    <cellStyle name="Comma 26 2 2 2 3 2" xfId="15859"/>
    <cellStyle name="Comma 26 2 2 2 4" xfId="15860"/>
    <cellStyle name="Comma 26 2 2 2 5" xfId="15861"/>
    <cellStyle name="Comma 26 2 2 3" xfId="15862"/>
    <cellStyle name="Comma 26 2 2 3 2" xfId="15863"/>
    <cellStyle name="Comma 26 2 2 3 2 2" xfId="15864"/>
    <cellStyle name="Comma 26 2 2 3 2 2 2" xfId="15865"/>
    <cellStyle name="Comma 26 2 2 3 2 3" xfId="15866"/>
    <cellStyle name="Comma 26 2 2 3 3" xfId="15867"/>
    <cellStyle name="Comma 26 2 2 3 3 2" xfId="15868"/>
    <cellStyle name="Comma 26 2 2 3 4" xfId="15869"/>
    <cellStyle name="Comma 26 2 2 4" xfId="15870"/>
    <cellStyle name="Comma 26 2 2 4 2" xfId="15871"/>
    <cellStyle name="Comma 26 2 2 4 2 2" xfId="15872"/>
    <cellStyle name="Comma 26 2 2 4 3" xfId="15873"/>
    <cellStyle name="Comma 26 2 2 5" xfId="15874"/>
    <cellStyle name="Comma 26 2 2 5 2" xfId="15875"/>
    <cellStyle name="Comma 26 2 2 5 2 2" xfId="15876"/>
    <cellStyle name="Comma 26 2 2 5 3" xfId="15877"/>
    <cellStyle name="Comma 26 2 2 6" xfId="15878"/>
    <cellStyle name="Comma 26 2 2 6 2" xfId="15879"/>
    <cellStyle name="Comma 26 2 2 7" xfId="15880"/>
    <cellStyle name="Comma 26 2 2 8" xfId="15881"/>
    <cellStyle name="Comma 26 2 3" xfId="15882"/>
    <cellStyle name="Comma 26 2 3 2" xfId="15883"/>
    <cellStyle name="Comma 26 2 3 2 2" xfId="15884"/>
    <cellStyle name="Comma 26 2 3 2 2 2" xfId="15885"/>
    <cellStyle name="Comma 26 2 3 2 2 2 2" xfId="15886"/>
    <cellStyle name="Comma 26 2 3 2 2 3" xfId="15887"/>
    <cellStyle name="Comma 26 2 3 2 3" xfId="15888"/>
    <cellStyle name="Comma 26 2 3 2 3 2" xfId="15889"/>
    <cellStyle name="Comma 26 2 3 2 4" xfId="15890"/>
    <cellStyle name="Comma 26 2 3 2 5" xfId="15891"/>
    <cellStyle name="Comma 26 2 3 3" xfId="15892"/>
    <cellStyle name="Comma 26 2 3 3 2" xfId="15893"/>
    <cellStyle name="Comma 26 2 3 3 2 2" xfId="15894"/>
    <cellStyle name="Comma 26 2 3 3 2 2 2" xfId="15895"/>
    <cellStyle name="Comma 26 2 3 3 2 3" xfId="15896"/>
    <cellStyle name="Comma 26 2 3 3 3" xfId="15897"/>
    <cellStyle name="Comma 26 2 3 3 3 2" xfId="15898"/>
    <cellStyle name="Comma 26 2 3 3 4" xfId="15899"/>
    <cellStyle name="Comma 26 2 3 4" xfId="15900"/>
    <cellStyle name="Comma 26 2 3 4 2" xfId="15901"/>
    <cellStyle name="Comma 26 2 3 4 2 2" xfId="15902"/>
    <cellStyle name="Comma 26 2 3 4 3" xfId="15903"/>
    <cellStyle name="Comma 26 2 3 5" xfId="15904"/>
    <cellStyle name="Comma 26 2 3 5 2" xfId="15905"/>
    <cellStyle name="Comma 26 2 3 5 2 2" xfId="15906"/>
    <cellStyle name="Comma 26 2 3 5 3" xfId="15907"/>
    <cellStyle name="Comma 26 2 3 6" xfId="15908"/>
    <cellStyle name="Comma 26 2 3 6 2" xfId="15909"/>
    <cellStyle name="Comma 26 2 3 7" xfId="15910"/>
    <cellStyle name="Comma 26 2 3 8" xfId="15911"/>
    <cellStyle name="Comma 26 2 4" xfId="15912"/>
    <cellStyle name="Comma 26 2 4 2" xfId="15913"/>
    <cellStyle name="Comma 26 2 4 2 2" xfId="15914"/>
    <cellStyle name="Comma 26 2 4 2 2 2" xfId="15915"/>
    <cellStyle name="Comma 26 2 4 2 2 2 2" xfId="15916"/>
    <cellStyle name="Comma 26 2 4 2 2 3" xfId="15917"/>
    <cellStyle name="Comma 26 2 4 2 3" xfId="15918"/>
    <cellStyle name="Comma 26 2 4 2 3 2" xfId="15919"/>
    <cellStyle name="Comma 26 2 4 2 4" xfId="15920"/>
    <cellStyle name="Comma 26 2 4 2 5" xfId="15921"/>
    <cellStyle name="Comma 26 2 4 3" xfId="15922"/>
    <cellStyle name="Comma 26 2 4 3 2" xfId="15923"/>
    <cellStyle name="Comma 26 2 4 3 2 2" xfId="15924"/>
    <cellStyle name="Comma 26 2 4 3 2 2 2" xfId="15925"/>
    <cellStyle name="Comma 26 2 4 3 2 3" xfId="15926"/>
    <cellStyle name="Comma 26 2 4 3 3" xfId="15927"/>
    <cellStyle name="Comma 26 2 4 3 3 2" xfId="15928"/>
    <cellStyle name="Comma 26 2 4 3 4" xfId="15929"/>
    <cellStyle name="Comma 26 2 4 4" xfId="15930"/>
    <cellStyle name="Comma 26 2 4 4 2" xfId="15931"/>
    <cellStyle name="Comma 26 2 4 4 2 2" xfId="15932"/>
    <cellStyle name="Comma 26 2 4 4 3" xfId="15933"/>
    <cellStyle name="Comma 26 2 4 5" xfId="15934"/>
    <cellStyle name="Comma 26 2 4 5 2" xfId="15935"/>
    <cellStyle name="Comma 26 2 4 5 2 2" xfId="15936"/>
    <cellStyle name="Comma 26 2 4 5 3" xfId="15937"/>
    <cellStyle name="Comma 26 2 4 6" xfId="15938"/>
    <cellStyle name="Comma 26 2 4 6 2" xfId="15939"/>
    <cellStyle name="Comma 26 2 4 7" xfId="15940"/>
    <cellStyle name="Comma 26 2 4 8" xfId="15941"/>
    <cellStyle name="Comma 26 2 5" xfId="15942"/>
    <cellStyle name="Comma 26 2 5 2" xfId="15943"/>
    <cellStyle name="Comma 26 2 5 2 2" xfId="15944"/>
    <cellStyle name="Comma 26 2 5 2 2 2" xfId="15945"/>
    <cellStyle name="Comma 26 2 5 2 2 2 2" xfId="15946"/>
    <cellStyle name="Comma 26 2 5 2 2 3" xfId="15947"/>
    <cellStyle name="Comma 26 2 5 2 3" xfId="15948"/>
    <cellStyle name="Comma 26 2 5 2 3 2" xfId="15949"/>
    <cellStyle name="Comma 26 2 5 2 4" xfId="15950"/>
    <cellStyle name="Comma 26 2 5 3" xfId="15951"/>
    <cellStyle name="Comma 26 2 5 3 2" xfId="15952"/>
    <cellStyle name="Comma 26 2 5 3 2 2" xfId="15953"/>
    <cellStyle name="Comma 26 2 5 3 3" xfId="15954"/>
    <cellStyle name="Comma 26 2 5 4" xfId="15955"/>
    <cellStyle name="Comma 26 2 5 4 2" xfId="15956"/>
    <cellStyle name="Comma 26 2 5 4 2 2" xfId="15957"/>
    <cellStyle name="Comma 26 2 5 4 3" xfId="15958"/>
    <cellStyle name="Comma 26 2 5 5" xfId="15959"/>
    <cellStyle name="Comma 26 2 5 5 2" xfId="15960"/>
    <cellStyle name="Comma 26 2 5 6" xfId="15961"/>
    <cellStyle name="Comma 26 2 5 7" xfId="15962"/>
    <cellStyle name="Comma 26 2 6" xfId="15963"/>
    <cellStyle name="Comma 26 2 6 2" xfId="15964"/>
    <cellStyle name="Comma 26 2 6 2 2" xfId="15965"/>
    <cellStyle name="Comma 26 2 6 2 2 2" xfId="15966"/>
    <cellStyle name="Comma 26 2 6 2 3" xfId="15967"/>
    <cellStyle name="Comma 26 2 6 3" xfId="15968"/>
    <cellStyle name="Comma 26 2 6 3 2" xfId="15969"/>
    <cellStyle name="Comma 26 2 6 4" xfId="15970"/>
    <cellStyle name="Comma 26 2 6 5" xfId="15971"/>
    <cellStyle name="Comma 26 2 7" xfId="15972"/>
    <cellStyle name="Comma 26 2 7 2" xfId="15973"/>
    <cellStyle name="Comma 26 2 7 2 2" xfId="15974"/>
    <cellStyle name="Comma 26 2 7 3" xfId="15975"/>
    <cellStyle name="Comma 26 2 8" xfId="15976"/>
    <cellStyle name="Comma 26 2 8 2" xfId="15977"/>
    <cellStyle name="Comma 26 2 8 2 2" xfId="15978"/>
    <cellStyle name="Comma 26 2 8 3" xfId="15979"/>
    <cellStyle name="Comma 26 2 9" xfId="15980"/>
    <cellStyle name="Comma 26 2 9 2" xfId="15981"/>
    <cellStyle name="Comma 26 3" xfId="872"/>
    <cellStyle name="Comma 26 3 2" xfId="3235"/>
    <cellStyle name="Comma 26 3 2 2" xfId="4439"/>
    <cellStyle name="Comma 26 3 2 2 2" xfId="15985"/>
    <cellStyle name="Comma 26 3 2 2 2 2" xfId="15986"/>
    <cellStyle name="Comma 26 3 2 2 2 2 2" xfId="15987"/>
    <cellStyle name="Comma 26 3 2 2 2 3" xfId="15988"/>
    <cellStyle name="Comma 26 3 2 2 3" xfId="15989"/>
    <cellStyle name="Comma 26 3 2 2 3 2" xfId="15990"/>
    <cellStyle name="Comma 26 3 2 2 4" xfId="15991"/>
    <cellStyle name="Comma 26 3 2 2 5" xfId="15992"/>
    <cellStyle name="Comma 26 3 2 2 6" xfId="15984"/>
    <cellStyle name="Comma 26 3 2 3" xfId="15993"/>
    <cellStyle name="Comma 26 3 2 3 2" xfId="15994"/>
    <cellStyle name="Comma 26 3 2 3 2 2" xfId="15995"/>
    <cellStyle name="Comma 26 3 2 3 2 2 2" xfId="15996"/>
    <cellStyle name="Comma 26 3 2 3 2 3" xfId="15997"/>
    <cellStyle name="Comma 26 3 2 3 3" xfId="15998"/>
    <cellStyle name="Comma 26 3 2 3 3 2" xfId="15999"/>
    <cellStyle name="Comma 26 3 2 3 4" xfId="16000"/>
    <cellStyle name="Comma 26 3 2 4" xfId="16001"/>
    <cellStyle name="Comma 26 3 2 4 2" xfId="16002"/>
    <cellStyle name="Comma 26 3 2 4 2 2" xfId="16003"/>
    <cellStyle name="Comma 26 3 2 4 3" xfId="16004"/>
    <cellStyle name="Comma 26 3 2 5" xfId="16005"/>
    <cellStyle name="Comma 26 3 2 5 2" xfId="16006"/>
    <cellStyle name="Comma 26 3 2 5 2 2" xfId="16007"/>
    <cellStyle name="Comma 26 3 2 5 3" xfId="16008"/>
    <cellStyle name="Comma 26 3 2 6" xfId="16009"/>
    <cellStyle name="Comma 26 3 2 6 2" xfId="16010"/>
    <cellStyle name="Comma 26 3 2 7" xfId="16011"/>
    <cellStyle name="Comma 26 3 2 8" xfId="16012"/>
    <cellStyle name="Comma 26 3 2 9" xfId="15983"/>
    <cellStyle name="Comma 26 3 3" xfId="3470"/>
    <cellStyle name="Comma 26 3 3 2" xfId="16014"/>
    <cellStyle name="Comma 26 3 3 2 2" xfId="16015"/>
    <cellStyle name="Comma 26 3 3 2 2 2" xfId="16016"/>
    <cellStyle name="Comma 26 3 3 2 2 2 2" xfId="16017"/>
    <cellStyle name="Comma 26 3 3 2 2 3" xfId="16018"/>
    <cellStyle name="Comma 26 3 3 2 3" xfId="16019"/>
    <cellStyle name="Comma 26 3 3 2 3 2" xfId="16020"/>
    <cellStyle name="Comma 26 3 3 2 4" xfId="16021"/>
    <cellStyle name="Comma 26 3 3 2 5" xfId="16022"/>
    <cellStyle name="Comma 26 3 3 3" xfId="16023"/>
    <cellStyle name="Comma 26 3 3 3 2" xfId="16024"/>
    <cellStyle name="Comma 26 3 3 3 2 2" xfId="16025"/>
    <cellStyle name="Comma 26 3 3 3 2 2 2" xfId="16026"/>
    <cellStyle name="Comma 26 3 3 3 2 3" xfId="16027"/>
    <cellStyle name="Comma 26 3 3 3 3" xfId="16028"/>
    <cellStyle name="Comma 26 3 3 3 3 2" xfId="16029"/>
    <cellStyle name="Comma 26 3 3 3 4" xfId="16030"/>
    <cellStyle name="Comma 26 3 3 4" xfId="16031"/>
    <cellStyle name="Comma 26 3 3 4 2" xfId="16032"/>
    <cellStyle name="Comma 26 3 3 4 2 2" xfId="16033"/>
    <cellStyle name="Comma 26 3 3 4 3" xfId="16034"/>
    <cellStyle name="Comma 26 3 3 5" xfId="16035"/>
    <cellStyle name="Comma 26 3 3 5 2" xfId="16036"/>
    <cellStyle name="Comma 26 3 3 5 2 2" xfId="16037"/>
    <cellStyle name="Comma 26 3 3 5 3" xfId="16038"/>
    <cellStyle name="Comma 26 3 3 6" xfId="16039"/>
    <cellStyle name="Comma 26 3 3 6 2" xfId="16040"/>
    <cellStyle name="Comma 26 3 3 7" xfId="16041"/>
    <cellStyle name="Comma 26 3 3 8" xfId="16042"/>
    <cellStyle name="Comma 26 3 3 9" xfId="16013"/>
    <cellStyle name="Comma 26 3 4" xfId="3236"/>
    <cellStyle name="Comma 26 3 4 2" xfId="16043"/>
    <cellStyle name="Comma 26 3 5" xfId="4438"/>
    <cellStyle name="Comma 26 3 6" xfId="15982"/>
    <cellStyle name="Comma 26 4" xfId="873"/>
    <cellStyle name="Comma 26 4 2" xfId="4993"/>
    <cellStyle name="Comma 26 4 2 2" xfId="4441"/>
    <cellStyle name="Comma 26 4 2 2 2" xfId="16047"/>
    <cellStyle name="Comma 26 4 2 2 2 2" xfId="16048"/>
    <cellStyle name="Comma 26 4 2 2 3" xfId="16049"/>
    <cellStyle name="Comma 26 4 2 2 4" xfId="16046"/>
    <cellStyle name="Comma 26 4 2 3" xfId="16050"/>
    <cellStyle name="Comma 26 4 2 3 2" xfId="16051"/>
    <cellStyle name="Comma 26 4 2 4" xfId="16052"/>
    <cellStyle name="Comma 26 4 2 5" xfId="16053"/>
    <cellStyle name="Comma 26 4 2 6" xfId="16045"/>
    <cellStyle name="Comma 26 4 3" xfId="4442"/>
    <cellStyle name="Comma 26 4 3 2" xfId="16055"/>
    <cellStyle name="Comma 26 4 3 2 2" xfId="16056"/>
    <cellStyle name="Comma 26 4 3 2 2 2" xfId="16057"/>
    <cellStyle name="Comma 26 4 3 2 3" xfId="16058"/>
    <cellStyle name="Comma 26 4 3 3" xfId="16059"/>
    <cellStyle name="Comma 26 4 3 3 2" xfId="16060"/>
    <cellStyle name="Comma 26 4 3 4" xfId="16061"/>
    <cellStyle name="Comma 26 4 3 5" xfId="16054"/>
    <cellStyle name="Comma 26 4 4" xfId="3237"/>
    <cellStyle name="Comma 26 4 4 2" xfId="16063"/>
    <cellStyle name="Comma 26 4 4 2 2" xfId="16064"/>
    <cellStyle name="Comma 26 4 4 3" xfId="16065"/>
    <cellStyle name="Comma 26 4 4 4" xfId="16062"/>
    <cellStyle name="Comma 26 4 5" xfId="4440"/>
    <cellStyle name="Comma 26 4 5 2" xfId="16067"/>
    <cellStyle name="Comma 26 4 5 2 2" xfId="16068"/>
    <cellStyle name="Comma 26 4 5 3" xfId="16069"/>
    <cellStyle name="Comma 26 4 5 4" xfId="16066"/>
    <cellStyle name="Comma 26 4 6" xfId="16070"/>
    <cellStyle name="Comma 26 4 6 2" xfId="16071"/>
    <cellStyle name="Comma 26 4 7" xfId="16072"/>
    <cellStyle name="Comma 26 4 7 2" xfId="16073"/>
    <cellStyle name="Comma 26 4 8" xfId="16074"/>
    <cellStyle name="Comma 26 4 9" xfId="16044"/>
    <cellStyle name="Comma 26 5" xfId="2412"/>
    <cellStyle name="Comma 26 5 2" xfId="4443"/>
    <cellStyle name="Comma 26 5 2 2" xfId="16077"/>
    <cellStyle name="Comma 26 5 2 2 2" xfId="16078"/>
    <cellStyle name="Comma 26 5 2 2 2 2" xfId="16079"/>
    <cellStyle name="Comma 26 5 2 2 3" xfId="16080"/>
    <cellStyle name="Comma 26 5 2 3" xfId="16081"/>
    <cellStyle name="Comma 26 5 2 3 2" xfId="16082"/>
    <cellStyle name="Comma 26 5 2 4" xfId="16083"/>
    <cellStyle name="Comma 26 5 2 5" xfId="16084"/>
    <cellStyle name="Comma 26 5 2 6" xfId="16076"/>
    <cellStyle name="Comma 26 5 3" xfId="16085"/>
    <cellStyle name="Comma 26 5 3 2" xfId="16086"/>
    <cellStyle name="Comma 26 5 3 2 2" xfId="16087"/>
    <cellStyle name="Comma 26 5 3 2 2 2" xfId="16088"/>
    <cellStyle name="Comma 26 5 3 2 3" xfId="16089"/>
    <cellStyle name="Comma 26 5 3 3" xfId="16090"/>
    <cellStyle name="Comma 26 5 3 3 2" xfId="16091"/>
    <cellStyle name="Comma 26 5 3 4" xfId="16092"/>
    <cellStyle name="Comma 26 5 4" xfId="16093"/>
    <cellStyle name="Comma 26 5 4 2" xfId="16094"/>
    <cellStyle name="Comma 26 5 4 2 2" xfId="16095"/>
    <cellStyle name="Comma 26 5 4 3" xfId="16096"/>
    <cellStyle name="Comma 26 5 5" xfId="16097"/>
    <cellStyle name="Comma 26 5 5 2" xfId="16098"/>
    <cellStyle name="Comma 26 5 5 2 2" xfId="16099"/>
    <cellStyle name="Comma 26 5 5 3" xfId="16100"/>
    <cellStyle name="Comma 26 5 6" xfId="16101"/>
    <cellStyle name="Comma 26 5 6 2" xfId="16102"/>
    <cellStyle name="Comma 26 5 7" xfId="16103"/>
    <cellStyle name="Comma 26 5 8" xfId="16104"/>
    <cellStyle name="Comma 26 5 9" xfId="16075"/>
    <cellStyle name="Comma 26 6" xfId="4444"/>
    <cellStyle name="Comma 26 6 2" xfId="16106"/>
    <cellStyle name="Comma 26 6 2 2" xfId="16107"/>
    <cellStyle name="Comma 26 6 2 2 2" xfId="16108"/>
    <cellStyle name="Comma 26 6 2 2 2 2" xfId="16109"/>
    <cellStyle name="Comma 26 6 2 2 3" xfId="16110"/>
    <cellStyle name="Comma 26 6 2 3" xfId="16111"/>
    <cellStyle name="Comma 26 6 2 3 2" xfId="16112"/>
    <cellStyle name="Comma 26 6 2 4" xfId="16113"/>
    <cellStyle name="Comma 26 6 3" xfId="16114"/>
    <cellStyle name="Comma 26 6 3 2" xfId="16115"/>
    <cellStyle name="Comma 26 6 3 2 2" xfId="16116"/>
    <cellStyle name="Comma 26 6 3 3" xfId="16117"/>
    <cellStyle name="Comma 26 6 4" xfId="16118"/>
    <cellStyle name="Comma 26 6 4 2" xfId="16119"/>
    <cellStyle name="Comma 26 6 4 2 2" xfId="16120"/>
    <cellStyle name="Comma 26 6 4 3" xfId="16121"/>
    <cellStyle name="Comma 26 6 5" xfId="16122"/>
    <cellStyle name="Comma 26 6 5 2" xfId="16123"/>
    <cellStyle name="Comma 26 6 6" xfId="16124"/>
    <cellStyle name="Comma 26 6 7" xfId="16125"/>
    <cellStyle name="Comma 26 6 8" xfId="16105"/>
    <cellStyle name="Comma 26 7" xfId="16126"/>
    <cellStyle name="Comma 26 7 2" xfId="16127"/>
    <cellStyle name="Comma 26 7 2 2" xfId="16128"/>
    <cellStyle name="Comma 26 7 2 2 2" xfId="16129"/>
    <cellStyle name="Comma 26 7 2 3" xfId="16130"/>
    <cellStyle name="Comma 26 7 3" xfId="16131"/>
    <cellStyle name="Comma 26 7 3 2" xfId="16132"/>
    <cellStyle name="Comma 26 7 4" xfId="16133"/>
    <cellStyle name="Comma 26 7 5" xfId="16134"/>
    <cellStyle name="Comma 26 8" xfId="16135"/>
    <cellStyle name="Comma 26 8 2" xfId="16136"/>
    <cellStyle name="Comma 26 8 2 2" xfId="16137"/>
    <cellStyle name="Comma 26 8 3" xfId="16138"/>
    <cellStyle name="Comma 26 9" xfId="16139"/>
    <cellStyle name="Comma 26 9 2" xfId="16140"/>
    <cellStyle name="Comma 26 9 2 2" xfId="16141"/>
    <cellStyle name="Comma 26 9 3" xfId="16142"/>
    <cellStyle name="Comma 27" xfId="874"/>
    <cellStyle name="Comma 27 10" xfId="16144"/>
    <cellStyle name="Comma 27 11" xfId="16145"/>
    <cellStyle name="Comma 27 12" xfId="16143"/>
    <cellStyle name="Comma 27 2" xfId="875"/>
    <cellStyle name="Comma 27 2 10" xfId="16147"/>
    <cellStyle name="Comma 27 2 10 2" xfId="40984"/>
    <cellStyle name="Comma 27 2 11" xfId="16146"/>
    <cellStyle name="Comma 27 2 11 2" xfId="42495"/>
    <cellStyle name="Comma 27 2 11 2 2" xfId="42898"/>
    <cellStyle name="Comma 27 2 11 2 2 2" xfId="44751"/>
    <cellStyle name="Comma 27 2 11 2 3" xfId="44357"/>
    <cellStyle name="Comma 27 2 11 3" xfId="42897"/>
    <cellStyle name="Comma 27 2 11 3 2" xfId="44750"/>
    <cellStyle name="Comma 27 2 11 4" xfId="43956"/>
    <cellStyle name="Comma 27 2 11 5" xfId="41912"/>
    <cellStyle name="Comma 27 2 12" xfId="41789"/>
    <cellStyle name="Comma 27 2 12 2" xfId="42481"/>
    <cellStyle name="Comma 27 2 12 2 2" xfId="42900"/>
    <cellStyle name="Comma 27 2 12 2 2 2" xfId="44753"/>
    <cellStyle name="Comma 27 2 12 2 3" xfId="44343"/>
    <cellStyle name="Comma 27 2 12 3" xfId="42899"/>
    <cellStyle name="Comma 27 2 12 3 2" xfId="44752"/>
    <cellStyle name="Comma 27 2 12 4" xfId="43929"/>
    <cellStyle name="Comma 27 2 13" xfId="42329"/>
    <cellStyle name="Comma 27 2 13 2" xfId="42901"/>
    <cellStyle name="Comma 27 2 13 2 2" xfId="44754"/>
    <cellStyle name="Comma 27 2 13 3" xfId="44191"/>
    <cellStyle name="Comma 27 2 14" xfId="42896"/>
    <cellStyle name="Comma 27 2 14 2" xfId="44749"/>
    <cellStyle name="Comma 27 2 15" xfId="43688"/>
    <cellStyle name="Comma 27 2 16" xfId="40928"/>
    <cellStyle name="Comma 27 2 2" xfId="4446"/>
    <cellStyle name="Comma 27 2 2 10" xfId="41126"/>
    <cellStyle name="Comma 27 2 2 2" xfId="16149"/>
    <cellStyle name="Comma 27 2 2 2 2" xfId="16150"/>
    <cellStyle name="Comma 27 2 2 2 2 2" xfId="16151"/>
    <cellStyle name="Comma 27 2 2 2 2 2 2" xfId="16152"/>
    <cellStyle name="Comma 27 2 2 2 2 2 2 2" xfId="42596"/>
    <cellStyle name="Comma 27 2 2 2 2 2 2 2 2" xfId="42907"/>
    <cellStyle name="Comma 27 2 2 2 2 2 2 2 2 2" xfId="44760"/>
    <cellStyle name="Comma 27 2 2 2 2 2 2 2 3" xfId="44458"/>
    <cellStyle name="Comma 27 2 2 2 2 2 2 3" xfId="42906"/>
    <cellStyle name="Comma 27 2 2 2 2 2 2 3 2" xfId="44759"/>
    <cellStyle name="Comma 27 2 2 2 2 2 2 4" xfId="44057"/>
    <cellStyle name="Comma 27 2 2 2 2 2 2 5" xfId="42016"/>
    <cellStyle name="Comma 27 2 2 2 2 2 3" xfId="42430"/>
    <cellStyle name="Comma 27 2 2 2 2 2 3 2" xfId="42908"/>
    <cellStyle name="Comma 27 2 2 2 2 2 3 2 2" xfId="44761"/>
    <cellStyle name="Comma 27 2 2 2 2 2 3 3" xfId="44292"/>
    <cellStyle name="Comma 27 2 2 2 2 2 4" xfId="42905"/>
    <cellStyle name="Comma 27 2 2 2 2 2 4 2" xfId="44758"/>
    <cellStyle name="Comma 27 2 2 2 2 2 5" xfId="43875"/>
    <cellStyle name="Comma 27 2 2 2 2 2 6" xfId="41713"/>
    <cellStyle name="Comma 27 2 2 2 2 3" xfId="16153"/>
    <cellStyle name="Comma 27 2 2 2 2 3 2" xfId="42493"/>
    <cellStyle name="Comma 27 2 2 2 2 3 2 2" xfId="42910"/>
    <cellStyle name="Comma 27 2 2 2 2 3 2 2 2" xfId="44763"/>
    <cellStyle name="Comma 27 2 2 2 2 3 2 3" xfId="44355"/>
    <cellStyle name="Comma 27 2 2 2 2 3 3" xfId="42909"/>
    <cellStyle name="Comma 27 2 2 2 2 3 3 2" xfId="44762"/>
    <cellStyle name="Comma 27 2 2 2 2 3 4" xfId="43950"/>
    <cellStyle name="Comma 27 2 2 2 2 3 5" xfId="41873"/>
    <cellStyle name="Comma 27 2 2 2 2 4" xfId="41799"/>
    <cellStyle name="Comma 27 2 2 2 2 4 2" xfId="42491"/>
    <cellStyle name="Comma 27 2 2 2 2 4 2 2" xfId="42912"/>
    <cellStyle name="Comma 27 2 2 2 2 4 2 2 2" xfId="44765"/>
    <cellStyle name="Comma 27 2 2 2 2 4 2 3" xfId="44353"/>
    <cellStyle name="Comma 27 2 2 2 2 4 3" xfId="42911"/>
    <cellStyle name="Comma 27 2 2 2 2 4 3 2" xfId="44764"/>
    <cellStyle name="Comma 27 2 2 2 2 4 4" xfId="43939"/>
    <cellStyle name="Comma 27 2 2 2 2 5" xfId="42327"/>
    <cellStyle name="Comma 27 2 2 2 2 5 2" xfId="42913"/>
    <cellStyle name="Comma 27 2 2 2 2 5 2 2" xfId="44766"/>
    <cellStyle name="Comma 27 2 2 2 2 5 3" xfId="44189"/>
    <cellStyle name="Comma 27 2 2 2 2 6" xfId="42904"/>
    <cellStyle name="Comma 27 2 2 2 2 6 2" xfId="44757"/>
    <cellStyle name="Comma 27 2 2 2 2 7" xfId="43666"/>
    <cellStyle name="Comma 27 2 2 2 2 8" xfId="40825"/>
    <cellStyle name="Comma 27 2 2 2 3" xfId="16154"/>
    <cellStyle name="Comma 27 2 2 2 3 2" xfId="16155"/>
    <cellStyle name="Comma 27 2 2 2 3 2 2" xfId="42915"/>
    <cellStyle name="Comma 27 2 2 2 3 2 2 2" xfId="44768"/>
    <cellStyle name="Comma 27 2 2 2 3 2 3" xfId="44381"/>
    <cellStyle name="Comma 27 2 2 2 3 2 4" xfId="42519"/>
    <cellStyle name="Comma 27 2 2 2 3 3" xfId="42914"/>
    <cellStyle name="Comma 27 2 2 2 3 3 2" xfId="44767"/>
    <cellStyle name="Comma 27 2 2 2 3 4" xfId="43980"/>
    <cellStyle name="Comma 27 2 2 2 3 5" xfId="41939"/>
    <cellStyle name="Comma 27 2 2 2 4" xfId="16156"/>
    <cellStyle name="Comma 27 2 2 2 4 2" xfId="42916"/>
    <cellStyle name="Comma 27 2 2 2 4 2 2" xfId="44769"/>
    <cellStyle name="Comma 27 2 2 2 4 3" xfId="44215"/>
    <cellStyle name="Comma 27 2 2 2 4 4" xfId="42353"/>
    <cellStyle name="Comma 27 2 2 2 5" xfId="16157"/>
    <cellStyle name="Comma 27 2 2 2 5 2" xfId="44756"/>
    <cellStyle name="Comma 27 2 2 2 5 3" xfId="42903"/>
    <cellStyle name="Comma 27 2 2 2 6" xfId="43744"/>
    <cellStyle name="Comma 27 2 2 2 7" xfId="41268"/>
    <cellStyle name="Comma 27 2 2 3" xfId="16158"/>
    <cellStyle name="Comma 27 2 2 3 2" xfId="16159"/>
    <cellStyle name="Comma 27 2 2 3 2 2" xfId="16160"/>
    <cellStyle name="Comma 27 2 2 3 2 2 2" xfId="16161"/>
    <cellStyle name="Comma 27 2 2 3 2 3" xfId="16162"/>
    <cellStyle name="Comma 27 2 2 3 3" xfId="16163"/>
    <cellStyle name="Comma 27 2 2 3 3 2" xfId="16164"/>
    <cellStyle name="Comma 27 2 2 3 4" xfId="16165"/>
    <cellStyle name="Comma 27 2 2 3 5" xfId="41484"/>
    <cellStyle name="Comma 27 2 2 4" xfId="16166"/>
    <cellStyle name="Comma 27 2 2 4 2" xfId="16167"/>
    <cellStyle name="Comma 27 2 2 4 2 2" xfId="16168"/>
    <cellStyle name="Comma 27 2 2 4 2 2 2" xfId="44771"/>
    <cellStyle name="Comma 27 2 2 4 2 2 3" xfId="42918"/>
    <cellStyle name="Comma 27 2 2 4 2 3" xfId="44367"/>
    <cellStyle name="Comma 27 2 2 4 2 4" xfId="42505"/>
    <cellStyle name="Comma 27 2 2 4 3" xfId="16169"/>
    <cellStyle name="Comma 27 2 2 4 3 2" xfId="44770"/>
    <cellStyle name="Comma 27 2 2 4 3 3" xfId="42917"/>
    <cellStyle name="Comma 27 2 2 4 4" xfId="43966"/>
    <cellStyle name="Comma 27 2 2 4 5" xfId="41924"/>
    <cellStyle name="Comma 27 2 2 5" xfId="16170"/>
    <cellStyle name="Comma 27 2 2 5 2" xfId="16171"/>
    <cellStyle name="Comma 27 2 2 5 2 2" xfId="16172"/>
    <cellStyle name="Comma 27 2 2 5 2 2 2" xfId="44772"/>
    <cellStyle name="Comma 27 2 2 5 2 3" xfId="42919"/>
    <cellStyle name="Comma 27 2 2 5 3" xfId="16173"/>
    <cellStyle name="Comma 27 2 2 5 3 2" xfId="44201"/>
    <cellStyle name="Comma 27 2 2 5 4" xfId="42339"/>
    <cellStyle name="Comma 27 2 2 6" xfId="16174"/>
    <cellStyle name="Comma 27 2 2 6 2" xfId="16175"/>
    <cellStyle name="Comma 27 2 2 6 2 2" xfId="44755"/>
    <cellStyle name="Comma 27 2 2 6 3" xfId="42902"/>
    <cellStyle name="Comma 27 2 2 7" xfId="16176"/>
    <cellStyle name="Comma 27 2 2 7 2" xfId="43717"/>
    <cellStyle name="Comma 27 2 2 8" xfId="16177"/>
    <cellStyle name="Comma 27 2 2 9" xfId="16148"/>
    <cellStyle name="Comma 27 2 3" xfId="16178"/>
    <cellStyle name="Comma 27 2 3 2" xfId="16179"/>
    <cellStyle name="Comma 27 2 3 2 2" xfId="16180"/>
    <cellStyle name="Comma 27 2 3 2 2 2" xfId="16181"/>
    <cellStyle name="Comma 27 2 3 2 2 2 2" xfId="16182"/>
    <cellStyle name="Comma 27 2 3 2 2 2 2 2" xfId="42924"/>
    <cellStyle name="Comma 27 2 3 2 2 2 2 2 2" xfId="44777"/>
    <cellStyle name="Comma 27 2 3 2 2 2 2 3" xfId="44459"/>
    <cellStyle name="Comma 27 2 3 2 2 2 2 4" xfId="42597"/>
    <cellStyle name="Comma 27 2 3 2 2 2 3" xfId="42923"/>
    <cellStyle name="Comma 27 2 3 2 2 2 3 2" xfId="44776"/>
    <cellStyle name="Comma 27 2 3 2 2 2 4" xfId="44058"/>
    <cellStyle name="Comma 27 2 3 2 2 2 5" xfId="42017"/>
    <cellStyle name="Comma 27 2 3 2 2 3" xfId="16183"/>
    <cellStyle name="Comma 27 2 3 2 2 3 2" xfId="42925"/>
    <cellStyle name="Comma 27 2 3 2 2 3 2 2" xfId="44778"/>
    <cellStyle name="Comma 27 2 3 2 2 3 3" xfId="44293"/>
    <cellStyle name="Comma 27 2 3 2 2 3 4" xfId="42431"/>
    <cellStyle name="Comma 27 2 3 2 2 4" xfId="42922"/>
    <cellStyle name="Comma 27 2 3 2 2 4 2" xfId="44775"/>
    <cellStyle name="Comma 27 2 3 2 2 5" xfId="43876"/>
    <cellStyle name="Comma 27 2 3 2 2 6" xfId="41714"/>
    <cellStyle name="Comma 27 2 3 2 3" xfId="16184"/>
    <cellStyle name="Comma 27 2 3 2 3 2" xfId="16185"/>
    <cellStyle name="Comma 27 2 3 2 3 2 2" xfId="42927"/>
    <cellStyle name="Comma 27 2 3 2 3 2 2 2" xfId="44780"/>
    <cellStyle name="Comma 27 2 3 2 3 2 3" xfId="44385"/>
    <cellStyle name="Comma 27 2 3 2 3 2 4" xfId="42523"/>
    <cellStyle name="Comma 27 2 3 2 3 3" xfId="42926"/>
    <cellStyle name="Comma 27 2 3 2 3 3 2" xfId="44779"/>
    <cellStyle name="Comma 27 2 3 2 3 4" xfId="43984"/>
    <cellStyle name="Comma 27 2 3 2 3 5" xfId="41943"/>
    <cellStyle name="Comma 27 2 3 2 4" xfId="16186"/>
    <cellStyle name="Comma 27 2 3 2 4 2" xfId="42928"/>
    <cellStyle name="Comma 27 2 3 2 4 2 2" xfId="44781"/>
    <cellStyle name="Comma 27 2 3 2 4 3" xfId="44219"/>
    <cellStyle name="Comma 27 2 3 2 4 4" xfId="42357"/>
    <cellStyle name="Comma 27 2 3 2 5" xfId="16187"/>
    <cellStyle name="Comma 27 2 3 2 5 2" xfId="44774"/>
    <cellStyle name="Comma 27 2 3 2 5 3" xfId="42921"/>
    <cellStyle name="Comma 27 2 3 2 6" xfId="43748"/>
    <cellStyle name="Comma 27 2 3 2 7" xfId="41272"/>
    <cellStyle name="Comma 27 2 3 3" xfId="16188"/>
    <cellStyle name="Comma 27 2 3 3 2" xfId="16189"/>
    <cellStyle name="Comma 27 2 3 3 2 2" xfId="16190"/>
    <cellStyle name="Comma 27 2 3 3 2 2 2" xfId="16191"/>
    <cellStyle name="Comma 27 2 3 3 2 3" xfId="16192"/>
    <cellStyle name="Comma 27 2 3 3 3" xfId="16193"/>
    <cellStyle name="Comma 27 2 3 3 3 2" xfId="16194"/>
    <cellStyle name="Comma 27 2 3 3 4" xfId="16195"/>
    <cellStyle name="Comma 27 2 3 3 5" xfId="41485"/>
    <cellStyle name="Comma 27 2 3 4" xfId="16196"/>
    <cellStyle name="Comma 27 2 3 4 2" xfId="16197"/>
    <cellStyle name="Comma 27 2 3 4 2 2" xfId="16198"/>
    <cellStyle name="Comma 27 2 3 4 2 2 2" xfId="44783"/>
    <cellStyle name="Comma 27 2 3 4 2 2 3" xfId="42930"/>
    <cellStyle name="Comma 27 2 3 4 2 3" xfId="44371"/>
    <cellStyle name="Comma 27 2 3 4 2 4" xfId="42509"/>
    <cellStyle name="Comma 27 2 3 4 3" xfId="16199"/>
    <cellStyle name="Comma 27 2 3 4 3 2" xfId="44782"/>
    <cellStyle name="Comma 27 2 3 4 3 3" xfId="42929"/>
    <cellStyle name="Comma 27 2 3 4 4" xfId="43970"/>
    <cellStyle name="Comma 27 2 3 4 5" xfId="41929"/>
    <cellStyle name="Comma 27 2 3 5" xfId="16200"/>
    <cellStyle name="Comma 27 2 3 5 2" xfId="16201"/>
    <cellStyle name="Comma 27 2 3 5 2 2" xfId="16202"/>
    <cellStyle name="Comma 27 2 3 5 2 2 2" xfId="44784"/>
    <cellStyle name="Comma 27 2 3 5 2 3" xfId="42931"/>
    <cellStyle name="Comma 27 2 3 5 3" xfId="16203"/>
    <cellStyle name="Comma 27 2 3 5 3 2" xfId="44205"/>
    <cellStyle name="Comma 27 2 3 5 4" xfId="42343"/>
    <cellStyle name="Comma 27 2 3 6" xfId="16204"/>
    <cellStyle name="Comma 27 2 3 6 2" xfId="16205"/>
    <cellStyle name="Comma 27 2 3 6 2 2" xfId="44773"/>
    <cellStyle name="Comma 27 2 3 6 3" xfId="42920"/>
    <cellStyle name="Comma 27 2 3 7" xfId="16206"/>
    <cellStyle name="Comma 27 2 3 7 2" xfId="43732"/>
    <cellStyle name="Comma 27 2 3 8" xfId="16207"/>
    <cellStyle name="Comma 27 2 3 9" xfId="41244"/>
    <cellStyle name="Comma 27 2 4" xfId="16208"/>
    <cellStyle name="Comma 27 2 4 2" xfId="16209"/>
    <cellStyle name="Comma 27 2 4 2 2" xfId="16210"/>
    <cellStyle name="Comma 27 2 4 2 2 2" xfId="16211"/>
    <cellStyle name="Comma 27 2 4 2 2 2 2" xfId="16212"/>
    <cellStyle name="Comma 27 2 4 2 2 3" xfId="16213"/>
    <cellStyle name="Comma 27 2 4 2 3" xfId="16214"/>
    <cellStyle name="Comma 27 2 4 2 3 2" xfId="16215"/>
    <cellStyle name="Comma 27 2 4 2 4" xfId="16216"/>
    <cellStyle name="Comma 27 2 4 3" xfId="16217"/>
    <cellStyle name="Comma 27 2 4 3 2" xfId="16218"/>
    <cellStyle name="Comma 27 2 4 3 2 2" xfId="16219"/>
    <cellStyle name="Comma 27 2 4 3 3" xfId="16220"/>
    <cellStyle name="Comma 27 2 4 4" xfId="16221"/>
    <cellStyle name="Comma 27 2 4 4 2" xfId="16222"/>
    <cellStyle name="Comma 27 2 4 4 2 2" xfId="16223"/>
    <cellStyle name="Comma 27 2 4 4 3" xfId="16224"/>
    <cellStyle name="Comma 27 2 4 5" xfId="16225"/>
    <cellStyle name="Comma 27 2 4 5 2" xfId="16226"/>
    <cellStyle name="Comma 27 2 4 6" xfId="16227"/>
    <cellStyle name="Comma 27 2 4 7" xfId="41483"/>
    <cellStyle name="Comma 27 2 5" xfId="16228"/>
    <cellStyle name="Comma 27 2 5 2" xfId="16229"/>
    <cellStyle name="Comma 27 2 5 2 2" xfId="16230"/>
    <cellStyle name="Comma 27 2 5 2 2 2" xfId="16231"/>
    <cellStyle name="Comma 27 2 5 2 2 2 2" xfId="44787"/>
    <cellStyle name="Comma 27 2 5 2 2 2 3" xfId="42934"/>
    <cellStyle name="Comma 27 2 5 2 2 3" xfId="44402"/>
    <cellStyle name="Comma 27 2 5 2 2 4" xfId="42540"/>
    <cellStyle name="Comma 27 2 5 2 3" xfId="16232"/>
    <cellStyle name="Comma 27 2 5 2 3 2" xfId="44786"/>
    <cellStyle name="Comma 27 2 5 2 3 3" xfId="42933"/>
    <cellStyle name="Comma 27 2 5 2 4" xfId="44001"/>
    <cellStyle name="Comma 27 2 5 2 5" xfId="41960"/>
    <cellStyle name="Comma 27 2 5 3" xfId="16233"/>
    <cellStyle name="Comma 27 2 5 3 2" xfId="16234"/>
    <cellStyle name="Comma 27 2 5 3 2 2" xfId="44788"/>
    <cellStyle name="Comma 27 2 5 3 2 3" xfId="42935"/>
    <cellStyle name="Comma 27 2 5 3 3" xfId="44236"/>
    <cellStyle name="Comma 27 2 5 3 4" xfId="42374"/>
    <cellStyle name="Comma 27 2 5 4" xfId="16235"/>
    <cellStyle name="Comma 27 2 5 4 2" xfId="44785"/>
    <cellStyle name="Comma 27 2 5 4 3" xfId="42932"/>
    <cellStyle name="Comma 27 2 5 5" xfId="16236"/>
    <cellStyle name="Comma 27 2 5 5 2" xfId="43783"/>
    <cellStyle name="Comma 27 2 5 6" xfId="41398"/>
    <cellStyle name="Comma 27 2 6" xfId="16237"/>
    <cellStyle name="Comma 27 2 6 2" xfId="16238"/>
    <cellStyle name="Comma 27 2 6 2 2" xfId="16239"/>
    <cellStyle name="Comma 27 2 6 2 2 2" xfId="42938"/>
    <cellStyle name="Comma 27 2 6 2 2 2 2" xfId="44791"/>
    <cellStyle name="Comma 27 2 6 2 2 3" xfId="44425"/>
    <cellStyle name="Comma 27 2 6 2 2 4" xfId="42563"/>
    <cellStyle name="Comma 27 2 6 2 3" xfId="42937"/>
    <cellStyle name="Comma 27 2 6 2 3 2" xfId="44790"/>
    <cellStyle name="Comma 27 2 6 2 4" xfId="44024"/>
    <cellStyle name="Comma 27 2 6 2 5" xfId="41983"/>
    <cellStyle name="Comma 27 2 6 3" xfId="16240"/>
    <cellStyle name="Comma 27 2 6 3 2" xfId="42939"/>
    <cellStyle name="Comma 27 2 6 3 2 2" xfId="44792"/>
    <cellStyle name="Comma 27 2 6 3 3" xfId="44259"/>
    <cellStyle name="Comma 27 2 6 3 4" xfId="42397"/>
    <cellStyle name="Comma 27 2 6 4" xfId="42936"/>
    <cellStyle name="Comma 27 2 6 4 2" xfId="44789"/>
    <cellStyle name="Comma 27 2 6 5" xfId="43833"/>
    <cellStyle name="Comma 27 2 6 6" xfId="41643"/>
    <cellStyle name="Comma 27 2 7" xfId="16241"/>
    <cellStyle name="Comma 27 2 7 2" xfId="16242"/>
    <cellStyle name="Comma 27 2 7 2 2" xfId="16243"/>
    <cellStyle name="Comma 27 2 7 2 2 2" xfId="42942"/>
    <cellStyle name="Comma 27 2 7 2 2 2 2" xfId="44795"/>
    <cellStyle name="Comma 27 2 7 2 2 3" xfId="44448"/>
    <cellStyle name="Comma 27 2 7 2 2 4" xfId="42586"/>
    <cellStyle name="Comma 27 2 7 2 3" xfId="42941"/>
    <cellStyle name="Comma 27 2 7 2 3 2" xfId="44794"/>
    <cellStyle name="Comma 27 2 7 2 4" xfId="44047"/>
    <cellStyle name="Comma 27 2 7 2 5" xfId="42006"/>
    <cellStyle name="Comma 27 2 7 3" xfId="16244"/>
    <cellStyle name="Comma 27 2 7 3 2" xfId="42943"/>
    <cellStyle name="Comma 27 2 7 3 2 2" xfId="44796"/>
    <cellStyle name="Comma 27 2 7 3 3" xfId="44282"/>
    <cellStyle name="Comma 27 2 7 3 4" xfId="42420"/>
    <cellStyle name="Comma 27 2 7 4" xfId="42940"/>
    <cellStyle name="Comma 27 2 7 4 2" xfId="44793"/>
    <cellStyle name="Comma 27 2 7 5" xfId="43861"/>
    <cellStyle name="Comma 27 2 7 6" xfId="41683"/>
    <cellStyle name="Comma 27 2 8" xfId="16245"/>
    <cellStyle name="Comma 27 2 8 2" xfId="16246"/>
    <cellStyle name="Comma 27 2 8 2 2" xfId="42624"/>
    <cellStyle name="Comma 27 2 8 2 2 2" xfId="42946"/>
    <cellStyle name="Comma 27 2 8 2 2 2 2" xfId="44799"/>
    <cellStyle name="Comma 27 2 8 2 2 3" xfId="44486"/>
    <cellStyle name="Comma 27 2 8 2 3" xfId="42945"/>
    <cellStyle name="Comma 27 2 8 2 3 2" xfId="44798"/>
    <cellStyle name="Comma 27 2 8 2 4" xfId="44085"/>
    <cellStyle name="Comma 27 2 8 2 5" xfId="42044"/>
    <cellStyle name="Comma 27 2 8 3" xfId="42458"/>
    <cellStyle name="Comma 27 2 8 3 2" xfId="42947"/>
    <cellStyle name="Comma 27 2 8 3 2 2" xfId="44800"/>
    <cellStyle name="Comma 27 2 8 3 3" xfId="44320"/>
    <cellStyle name="Comma 27 2 8 4" xfId="42944"/>
    <cellStyle name="Comma 27 2 8 4 2" xfId="44797"/>
    <cellStyle name="Comma 27 2 8 5" xfId="43904"/>
    <cellStyle name="Comma 27 2 8 6" xfId="41747"/>
    <cellStyle name="Comma 27 2 9" xfId="16247"/>
    <cellStyle name="Comma 27 2 9 2" xfId="41945"/>
    <cellStyle name="Comma 27 2 9 2 2" xfId="42525"/>
    <cellStyle name="Comma 27 2 9 2 2 2" xfId="42950"/>
    <cellStyle name="Comma 27 2 9 2 2 2 2" xfId="44803"/>
    <cellStyle name="Comma 27 2 9 2 2 3" xfId="44387"/>
    <cellStyle name="Comma 27 2 9 2 3" xfId="42949"/>
    <cellStyle name="Comma 27 2 9 2 3 2" xfId="44802"/>
    <cellStyle name="Comma 27 2 9 2 4" xfId="43986"/>
    <cellStyle name="Comma 27 2 9 3" xfId="42359"/>
    <cellStyle name="Comma 27 2 9 3 2" xfId="42951"/>
    <cellStyle name="Comma 27 2 9 3 2 2" xfId="44804"/>
    <cellStyle name="Comma 27 2 9 3 3" xfId="44221"/>
    <cellStyle name="Comma 27 2 9 4" xfId="42948"/>
    <cellStyle name="Comma 27 2 9 4 2" xfId="44801"/>
    <cellStyle name="Comma 27 2 9 5" xfId="43750"/>
    <cellStyle name="Comma 27 2 9 6" xfId="41275"/>
    <cellStyle name="Comma 27 3" xfId="876"/>
    <cellStyle name="Comma 27 3 10" xfId="40821"/>
    <cellStyle name="Comma 27 3 2" xfId="4448"/>
    <cellStyle name="Comma 27 3 2 2" xfId="3238"/>
    <cellStyle name="Comma 27 3 2 2 2" xfId="16251"/>
    <cellStyle name="Comma 27 3 2 2 2 2" xfId="16252"/>
    <cellStyle name="Comma 27 3 2 2 3" xfId="16253"/>
    <cellStyle name="Comma 27 3 2 2 4" xfId="16250"/>
    <cellStyle name="Comma 27 3 2 3" xfId="16254"/>
    <cellStyle name="Comma 27 3 2 3 2" xfId="16255"/>
    <cellStyle name="Comma 27 3 2 4" xfId="16256"/>
    <cellStyle name="Comma 27 3 2 5" xfId="16257"/>
    <cellStyle name="Comma 27 3 2 6" xfId="16249"/>
    <cellStyle name="Comma 27 3 3" xfId="4449"/>
    <cellStyle name="Comma 27 3 3 2" xfId="16259"/>
    <cellStyle name="Comma 27 3 3 2 2" xfId="16260"/>
    <cellStyle name="Comma 27 3 3 2 2 2" xfId="16261"/>
    <cellStyle name="Comma 27 3 3 2 3" xfId="16262"/>
    <cellStyle name="Comma 27 3 3 3" xfId="16263"/>
    <cellStyle name="Comma 27 3 3 3 2" xfId="16264"/>
    <cellStyle name="Comma 27 3 3 4" xfId="16265"/>
    <cellStyle name="Comma 27 3 3 5" xfId="16258"/>
    <cellStyle name="Comma 27 3 4" xfId="3176"/>
    <cellStyle name="Comma 27 3 4 2" xfId="16267"/>
    <cellStyle name="Comma 27 3 4 2 2" xfId="16268"/>
    <cellStyle name="Comma 27 3 4 3" xfId="16269"/>
    <cellStyle name="Comma 27 3 4 4" xfId="16266"/>
    <cellStyle name="Comma 27 3 5" xfId="4447"/>
    <cellStyle name="Comma 27 3 5 2" xfId="16271"/>
    <cellStyle name="Comma 27 3 5 2 2" xfId="16272"/>
    <cellStyle name="Comma 27 3 5 3" xfId="16273"/>
    <cellStyle name="Comma 27 3 5 4" xfId="16270"/>
    <cellStyle name="Comma 27 3 6" xfId="16274"/>
    <cellStyle name="Comma 27 3 6 2" xfId="16275"/>
    <cellStyle name="Comma 27 3 7" xfId="16276"/>
    <cellStyle name="Comma 27 3 7 2" xfId="16277"/>
    <cellStyle name="Comma 27 3 8" xfId="16278"/>
    <cellStyle name="Comma 27 3 9" xfId="16248"/>
    <cellStyle name="Comma 27 4" xfId="2413"/>
    <cellStyle name="Comma 27 4 10" xfId="41212"/>
    <cellStyle name="Comma 27 4 2" xfId="4451"/>
    <cellStyle name="Comma 27 4 2 2" xfId="4452"/>
    <cellStyle name="Comma 27 4 2 2 2" xfId="16282"/>
    <cellStyle name="Comma 27 4 2 2 2 2" xfId="16283"/>
    <cellStyle name="Comma 27 4 2 2 3" xfId="16284"/>
    <cellStyle name="Comma 27 4 2 2 4" xfId="16281"/>
    <cellStyle name="Comma 27 4 2 3" xfId="16285"/>
    <cellStyle name="Comma 27 4 2 3 2" xfId="16286"/>
    <cellStyle name="Comma 27 4 2 4" xfId="16287"/>
    <cellStyle name="Comma 27 4 2 5" xfId="16288"/>
    <cellStyle name="Comma 27 4 2 6" xfId="16280"/>
    <cellStyle name="Comma 27 4 3" xfId="3239"/>
    <cellStyle name="Comma 27 4 3 2" xfId="16290"/>
    <cellStyle name="Comma 27 4 3 2 2" xfId="16291"/>
    <cellStyle name="Comma 27 4 3 2 2 2" xfId="16292"/>
    <cellStyle name="Comma 27 4 3 2 3" xfId="16293"/>
    <cellStyle name="Comma 27 4 3 3" xfId="16294"/>
    <cellStyle name="Comma 27 4 3 3 2" xfId="16295"/>
    <cellStyle name="Comma 27 4 3 4" xfId="16296"/>
    <cellStyle name="Comma 27 4 3 5" xfId="16289"/>
    <cellStyle name="Comma 27 4 4" xfId="3597"/>
    <cellStyle name="Comma 27 4 4 2" xfId="16298"/>
    <cellStyle name="Comma 27 4 4 2 2" xfId="16299"/>
    <cellStyle name="Comma 27 4 4 3" xfId="16300"/>
    <cellStyle name="Comma 27 4 4 4" xfId="16297"/>
    <cellStyle name="Comma 27 4 5" xfId="4450"/>
    <cellStyle name="Comma 27 4 5 2" xfId="16302"/>
    <cellStyle name="Comma 27 4 5 2 2" xfId="16303"/>
    <cellStyle name="Comma 27 4 5 3" xfId="16304"/>
    <cellStyle name="Comma 27 4 5 4" xfId="16301"/>
    <cellStyle name="Comma 27 4 6" xfId="16305"/>
    <cellStyle name="Comma 27 4 6 2" xfId="16306"/>
    <cellStyle name="Comma 27 4 7" xfId="16307"/>
    <cellStyle name="Comma 27 4 8" xfId="16308"/>
    <cellStyle name="Comma 27 4 9" xfId="16279"/>
    <cellStyle name="Comma 27 5" xfId="5305"/>
    <cellStyle name="Comma 27 5 2" xfId="16310"/>
    <cellStyle name="Comma 27 5 2 2" xfId="16311"/>
    <cellStyle name="Comma 27 5 2 2 2" xfId="16312"/>
    <cellStyle name="Comma 27 5 2 2 2 2" xfId="16313"/>
    <cellStyle name="Comma 27 5 2 2 3" xfId="16314"/>
    <cellStyle name="Comma 27 5 2 3" xfId="16315"/>
    <cellStyle name="Comma 27 5 2 3 2" xfId="16316"/>
    <cellStyle name="Comma 27 5 2 4" xfId="16317"/>
    <cellStyle name="Comma 27 5 3" xfId="16318"/>
    <cellStyle name="Comma 27 5 3 2" xfId="16319"/>
    <cellStyle name="Comma 27 5 3 2 2" xfId="16320"/>
    <cellStyle name="Comma 27 5 3 3" xfId="16321"/>
    <cellStyle name="Comma 27 5 4" xfId="16322"/>
    <cellStyle name="Comma 27 5 4 2" xfId="16323"/>
    <cellStyle name="Comma 27 5 4 2 2" xfId="16324"/>
    <cellStyle name="Comma 27 5 4 3" xfId="16325"/>
    <cellStyle name="Comma 27 5 5" xfId="16326"/>
    <cellStyle name="Comma 27 5 5 2" xfId="16327"/>
    <cellStyle name="Comma 27 5 6" xfId="16328"/>
    <cellStyle name="Comma 27 5 7" xfId="16329"/>
    <cellStyle name="Comma 27 5 8" xfId="16309"/>
    <cellStyle name="Comma 27 5 9" xfId="41350"/>
    <cellStyle name="Comma 27 6" xfId="3243"/>
    <cellStyle name="Comma 27 6 2" xfId="16331"/>
    <cellStyle name="Comma 27 6 2 2" xfId="16332"/>
    <cellStyle name="Comma 27 6 2 2 2" xfId="16333"/>
    <cellStyle name="Comma 27 6 2 3" xfId="16334"/>
    <cellStyle name="Comma 27 6 3" xfId="16335"/>
    <cellStyle name="Comma 27 6 3 2" xfId="16336"/>
    <cellStyle name="Comma 27 6 4" xfId="16337"/>
    <cellStyle name="Comma 27 6 5" xfId="16338"/>
    <cellStyle name="Comma 27 6 6" xfId="16330"/>
    <cellStyle name="Comma 27 6 7" xfId="40983"/>
    <cellStyle name="Comma 27 7" xfId="4445"/>
    <cellStyle name="Comma 27 7 2" xfId="16340"/>
    <cellStyle name="Comma 27 7 2 2" xfId="16341"/>
    <cellStyle name="Comma 27 7 3" xfId="16342"/>
    <cellStyle name="Comma 27 7 4" xfId="16339"/>
    <cellStyle name="Comma 27 7 5" xfId="40861"/>
    <cellStyle name="Comma 27 8" xfId="16343"/>
    <cellStyle name="Comma 27 8 2" xfId="16344"/>
    <cellStyle name="Comma 27 8 2 2" xfId="16345"/>
    <cellStyle name="Comma 27 8 3" xfId="16346"/>
    <cellStyle name="Comma 27 9" xfId="16347"/>
    <cellStyle name="Comma 28" xfId="877"/>
    <cellStyle name="Comma 28 10" xfId="16349"/>
    <cellStyle name="Comma 28 10 2" xfId="16350"/>
    <cellStyle name="Comma 28 11" xfId="16351"/>
    <cellStyle name="Comma 28 12" xfId="16352"/>
    <cellStyle name="Comma 28 13" xfId="16348"/>
    <cellStyle name="Comma 28 2" xfId="878"/>
    <cellStyle name="Comma 28 2 10" xfId="16354"/>
    <cellStyle name="Comma 28 2 10 2" xfId="16355"/>
    <cellStyle name="Comma 28 2 11" xfId="16356"/>
    <cellStyle name="Comma 28 2 12" xfId="16357"/>
    <cellStyle name="Comma 28 2 13" xfId="16353"/>
    <cellStyle name="Comma 28 2 14" xfId="40934"/>
    <cellStyle name="Comma 28 2 2" xfId="4454"/>
    <cellStyle name="Comma 28 2 2 10" xfId="16359"/>
    <cellStyle name="Comma 28 2 2 10 2" xfId="16360"/>
    <cellStyle name="Comma 28 2 2 11" xfId="16361"/>
    <cellStyle name="Comma 28 2 2 12" xfId="16362"/>
    <cellStyle name="Comma 28 2 2 13" xfId="16358"/>
    <cellStyle name="Comma 28 2 2 14" xfId="41129"/>
    <cellStyle name="Comma 28 2 2 2" xfId="3240"/>
    <cellStyle name="Comma 28 2 2 2 2" xfId="5306"/>
    <cellStyle name="Comma 28 2 2 2 2 2" xfId="16365"/>
    <cellStyle name="Comma 28 2 2 2 2 2 2" xfId="16366"/>
    <cellStyle name="Comma 28 2 2 2 2 2 2 2" xfId="16367"/>
    <cellStyle name="Comma 28 2 2 2 2 2 3" xfId="16368"/>
    <cellStyle name="Comma 28 2 2 2 2 3" xfId="16369"/>
    <cellStyle name="Comma 28 2 2 2 2 3 2" xfId="16370"/>
    <cellStyle name="Comma 28 2 2 2 2 4" xfId="16371"/>
    <cellStyle name="Comma 28 2 2 2 2 5" xfId="16372"/>
    <cellStyle name="Comma 28 2 2 2 2 6" xfId="16364"/>
    <cellStyle name="Comma 28 2 2 2 3" xfId="16373"/>
    <cellStyle name="Comma 28 2 2 2 3 2" xfId="16374"/>
    <cellStyle name="Comma 28 2 2 2 3 2 2" xfId="16375"/>
    <cellStyle name="Comma 28 2 2 2 3 2 2 2" xfId="16376"/>
    <cellStyle name="Comma 28 2 2 2 3 2 3" xfId="16377"/>
    <cellStyle name="Comma 28 2 2 2 3 3" xfId="16378"/>
    <cellStyle name="Comma 28 2 2 2 3 3 2" xfId="16379"/>
    <cellStyle name="Comma 28 2 2 2 3 4" xfId="16380"/>
    <cellStyle name="Comma 28 2 2 2 4" xfId="16381"/>
    <cellStyle name="Comma 28 2 2 2 4 2" xfId="16382"/>
    <cellStyle name="Comma 28 2 2 2 4 2 2" xfId="16383"/>
    <cellStyle name="Comma 28 2 2 2 4 3" xfId="16384"/>
    <cellStyle name="Comma 28 2 2 2 5" xfId="16385"/>
    <cellStyle name="Comma 28 2 2 2 5 2" xfId="16386"/>
    <cellStyle name="Comma 28 2 2 2 5 2 2" xfId="16387"/>
    <cellStyle name="Comma 28 2 2 2 5 3" xfId="16388"/>
    <cellStyle name="Comma 28 2 2 2 6" xfId="16389"/>
    <cellStyle name="Comma 28 2 2 2 6 2" xfId="16390"/>
    <cellStyle name="Comma 28 2 2 2 7" xfId="16391"/>
    <cellStyle name="Comma 28 2 2 2 8" xfId="16392"/>
    <cellStyle name="Comma 28 2 2 2 9" xfId="16363"/>
    <cellStyle name="Comma 28 2 2 3" xfId="4455"/>
    <cellStyle name="Comma 28 2 2 3 2" xfId="16394"/>
    <cellStyle name="Comma 28 2 2 3 2 2" xfId="16395"/>
    <cellStyle name="Comma 28 2 2 3 2 2 2" xfId="16396"/>
    <cellStyle name="Comma 28 2 2 3 2 2 2 2" xfId="16397"/>
    <cellStyle name="Comma 28 2 2 3 2 2 3" xfId="16398"/>
    <cellStyle name="Comma 28 2 2 3 2 3" xfId="16399"/>
    <cellStyle name="Comma 28 2 2 3 2 3 2" xfId="16400"/>
    <cellStyle name="Comma 28 2 2 3 2 4" xfId="16401"/>
    <cellStyle name="Comma 28 2 2 3 2 5" xfId="16402"/>
    <cellStyle name="Comma 28 2 2 3 3" xfId="16403"/>
    <cellStyle name="Comma 28 2 2 3 3 2" xfId="16404"/>
    <cellStyle name="Comma 28 2 2 3 3 2 2" xfId="16405"/>
    <cellStyle name="Comma 28 2 2 3 3 2 2 2" xfId="16406"/>
    <cellStyle name="Comma 28 2 2 3 3 2 3" xfId="16407"/>
    <cellStyle name="Comma 28 2 2 3 3 3" xfId="16408"/>
    <cellStyle name="Comma 28 2 2 3 3 3 2" xfId="16409"/>
    <cellStyle name="Comma 28 2 2 3 3 4" xfId="16410"/>
    <cellStyle name="Comma 28 2 2 3 4" xfId="16411"/>
    <cellStyle name="Comma 28 2 2 3 4 2" xfId="16412"/>
    <cellStyle name="Comma 28 2 2 3 4 2 2" xfId="16413"/>
    <cellStyle name="Comma 28 2 2 3 4 3" xfId="16414"/>
    <cellStyle name="Comma 28 2 2 3 5" xfId="16415"/>
    <cellStyle name="Comma 28 2 2 3 5 2" xfId="16416"/>
    <cellStyle name="Comma 28 2 2 3 5 2 2" xfId="16417"/>
    <cellStyle name="Comma 28 2 2 3 5 3" xfId="16418"/>
    <cellStyle name="Comma 28 2 2 3 6" xfId="16419"/>
    <cellStyle name="Comma 28 2 2 3 6 2" xfId="16420"/>
    <cellStyle name="Comma 28 2 2 3 7" xfId="16421"/>
    <cellStyle name="Comma 28 2 2 3 8" xfId="16422"/>
    <cellStyle name="Comma 28 2 2 3 9" xfId="16393"/>
    <cellStyle name="Comma 28 2 2 4" xfId="5307"/>
    <cellStyle name="Comma 28 2 2 4 2" xfId="16424"/>
    <cellStyle name="Comma 28 2 2 4 2 2" xfId="16425"/>
    <cellStyle name="Comma 28 2 2 4 2 2 2" xfId="16426"/>
    <cellStyle name="Comma 28 2 2 4 2 2 2 2" xfId="16427"/>
    <cellStyle name="Comma 28 2 2 4 2 2 3" xfId="16428"/>
    <cellStyle name="Comma 28 2 2 4 2 3" xfId="16429"/>
    <cellStyle name="Comma 28 2 2 4 2 3 2" xfId="16430"/>
    <cellStyle name="Comma 28 2 2 4 2 4" xfId="16431"/>
    <cellStyle name="Comma 28 2 2 4 2 5" xfId="16432"/>
    <cellStyle name="Comma 28 2 2 4 3" xfId="16433"/>
    <cellStyle name="Comma 28 2 2 4 3 2" xfId="16434"/>
    <cellStyle name="Comma 28 2 2 4 3 2 2" xfId="16435"/>
    <cellStyle name="Comma 28 2 2 4 3 2 2 2" xfId="16436"/>
    <cellStyle name="Comma 28 2 2 4 3 2 3" xfId="16437"/>
    <cellStyle name="Comma 28 2 2 4 3 3" xfId="16438"/>
    <cellStyle name="Comma 28 2 2 4 3 3 2" xfId="16439"/>
    <cellStyle name="Comma 28 2 2 4 3 4" xfId="16440"/>
    <cellStyle name="Comma 28 2 2 4 4" xfId="16441"/>
    <cellStyle name="Comma 28 2 2 4 4 2" xfId="16442"/>
    <cellStyle name="Comma 28 2 2 4 4 2 2" xfId="16443"/>
    <cellStyle name="Comma 28 2 2 4 4 3" xfId="16444"/>
    <cellStyle name="Comma 28 2 2 4 5" xfId="16445"/>
    <cellStyle name="Comma 28 2 2 4 5 2" xfId="16446"/>
    <cellStyle name="Comma 28 2 2 4 5 2 2" xfId="16447"/>
    <cellStyle name="Comma 28 2 2 4 5 3" xfId="16448"/>
    <cellStyle name="Comma 28 2 2 4 6" xfId="16449"/>
    <cellStyle name="Comma 28 2 2 4 6 2" xfId="16450"/>
    <cellStyle name="Comma 28 2 2 4 7" xfId="16451"/>
    <cellStyle name="Comma 28 2 2 4 8" xfId="16452"/>
    <cellStyle name="Comma 28 2 2 4 9" xfId="16423"/>
    <cellStyle name="Comma 28 2 2 5" xfId="16453"/>
    <cellStyle name="Comma 28 2 2 5 2" xfId="16454"/>
    <cellStyle name="Comma 28 2 2 5 2 2" xfId="16455"/>
    <cellStyle name="Comma 28 2 2 5 2 2 2" xfId="16456"/>
    <cellStyle name="Comma 28 2 2 5 2 2 2 2" xfId="16457"/>
    <cellStyle name="Comma 28 2 2 5 2 2 3" xfId="16458"/>
    <cellStyle name="Comma 28 2 2 5 2 3" xfId="16459"/>
    <cellStyle name="Comma 28 2 2 5 2 3 2" xfId="16460"/>
    <cellStyle name="Comma 28 2 2 5 2 4" xfId="16461"/>
    <cellStyle name="Comma 28 2 2 5 2 5" xfId="16462"/>
    <cellStyle name="Comma 28 2 2 5 3" xfId="16463"/>
    <cellStyle name="Comma 28 2 2 5 3 2" xfId="16464"/>
    <cellStyle name="Comma 28 2 2 5 3 2 2" xfId="16465"/>
    <cellStyle name="Comma 28 2 2 5 3 2 2 2" xfId="16466"/>
    <cellStyle name="Comma 28 2 2 5 3 2 3" xfId="16467"/>
    <cellStyle name="Comma 28 2 2 5 3 3" xfId="16468"/>
    <cellStyle name="Comma 28 2 2 5 3 3 2" xfId="16469"/>
    <cellStyle name="Comma 28 2 2 5 3 4" xfId="16470"/>
    <cellStyle name="Comma 28 2 2 5 4" xfId="16471"/>
    <cellStyle name="Comma 28 2 2 5 4 2" xfId="16472"/>
    <cellStyle name="Comma 28 2 2 5 4 2 2" xfId="16473"/>
    <cellStyle name="Comma 28 2 2 5 4 3" xfId="16474"/>
    <cellStyle name="Comma 28 2 2 5 5" xfId="16475"/>
    <cellStyle name="Comma 28 2 2 5 5 2" xfId="16476"/>
    <cellStyle name="Comma 28 2 2 5 5 2 2" xfId="16477"/>
    <cellStyle name="Comma 28 2 2 5 5 3" xfId="16478"/>
    <cellStyle name="Comma 28 2 2 5 6" xfId="16479"/>
    <cellStyle name="Comma 28 2 2 5 6 2" xfId="16480"/>
    <cellStyle name="Comma 28 2 2 5 7" xfId="16481"/>
    <cellStyle name="Comma 28 2 2 5 8" xfId="16482"/>
    <cellStyle name="Comma 28 2 2 6" xfId="16483"/>
    <cellStyle name="Comma 28 2 2 6 2" xfId="16484"/>
    <cellStyle name="Comma 28 2 2 6 2 2" xfId="16485"/>
    <cellStyle name="Comma 28 2 2 6 2 2 2" xfId="16486"/>
    <cellStyle name="Comma 28 2 2 6 2 2 2 2" xfId="16487"/>
    <cellStyle name="Comma 28 2 2 6 2 2 3" xfId="16488"/>
    <cellStyle name="Comma 28 2 2 6 2 3" xfId="16489"/>
    <cellStyle name="Comma 28 2 2 6 2 3 2" xfId="16490"/>
    <cellStyle name="Comma 28 2 2 6 2 4" xfId="16491"/>
    <cellStyle name="Comma 28 2 2 6 3" xfId="16492"/>
    <cellStyle name="Comma 28 2 2 6 3 2" xfId="16493"/>
    <cellStyle name="Comma 28 2 2 6 3 2 2" xfId="16494"/>
    <cellStyle name="Comma 28 2 2 6 3 3" xfId="16495"/>
    <cellStyle name="Comma 28 2 2 6 4" xfId="16496"/>
    <cellStyle name="Comma 28 2 2 6 4 2" xfId="16497"/>
    <cellStyle name="Comma 28 2 2 6 4 2 2" xfId="16498"/>
    <cellStyle name="Comma 28 2 2 6 4 3" xfId="16499"/>
    <cellStyle name="Comma 28 2 2 6 5" xfId="16500"/>
    <cellStyle name="Comma 28 2 2 6 5 2" xfId="16501"/>
    <cellStyle name="Comma 28 2 2 6 6" xfId="16502"/>
    <cellStyle name="Comma 28 2 2 6 7" xfId="16503"/>
    <cellStyle name="Comma 28 2 2 7" xfId="16504"/>
    <cellStyle name="Comma 28 2 2 7 2" xfId="16505"/>
    <cellStyle name="Comma 28 2 2 7 2 2" xfId="16506"/>
    <cellStyle name="Comma 28 2 2 7 2 2 2" xfId="16507"/>
    <cellStyle name="Comma 28 2 2 7 2 3" xfId="16508"/>
    <cellStyle name="Comma 28 2 2 7 3" xfId="16509"/>
    <cellStyle name="Comma 28 2 2 7 3 2" xfId="16510"/>
    <cellStyle name="Comma 28 2 2 7 4" xfId="16511"/>
    <cellStyle name="Comma 28 2 2 7 5" xfId="16512"/>
    <cellStyle name="Comma 28 2 2 8" xfId="16513"/>
    <cellStyle name="Comma 28 2 2 8 2" xfId="16514"/>
    <cellStyle name="Comma 28 2 2 8 2 2" xfId="16515"/>
    <cellStyle name="Comma 28 2 2 8 3" xfId="16516"/>
    <cellStyle name="Comma 28 2 2 9" xfId="16517"/>
    <cellStyle name="Comma 28 2 2 9 2" xfId="16518"/>
    <cellStyle name="Comma 28 2 2 9 2 2" xfId="16519"/>
    <cellStyle name="Comma 28 2 2 9 3" xfId="16520"/>
    <cellStyle name="Comma 28 2 3" xfId="3241"/>
    <cellStyle name="Comma 28 2 3 10" xfId="16522"/>
    <cellStyle name="Comma 28 2 3 11" xfId="16521"/>
    <cellStyle name="Comma 28 2 3 12" xfId="41247"/>
    <cellStyle name="Comma 28 2 3 2" xfId="4456"/>
    <cellStyle name="Comma 28 2 3 2 2" xfId="16524"/>
    <cellStyle name="Comma 28 2 3 2 2 2" xfId="16525"/>
    <cellStyle name="Comma 28 2 3 2 2 2 2" xfId="16526"/>
    <cellStyle name="Comma 28 2 3 2 2 2 2 2" xfId="16527"/>
    <cellStyle name="Comma 28 2 3 2 2 2 3" xfId="16528"/>
    <cellStyle name="Comma 28 2 3 2 2 3" xfId="16529"/>
    <cellStyle name="Comma 28 2 3 2 2 3 2" xfId="16530"/>
    <cellStyle name="Comma 28 2 3 2 2 4" xfId="16531"/>
    <cellStyle name="Comma 28 2 3 2 2 5" xfId="16532"/>
    <cellStyle name="Comma 28 2 3 2 3" xfId="16533"/>
    <cellStyle name="Comma 28 2 3 2 3 2" xfId="16534"/>
    <cellStyle name="Comma 28 2 3 2 3 2 2" xfId="16535"/>
    <cellStyle name="Comma 28 2 3 2 3 2 2 2" xfId="16536"/>
    <cellStyle name="Comma 28 2 3 2 3 2 3" xfId="16537"/>
    <cellStyle name="Comma 28 2 3 2 3 3" xfId="16538"/>
    <cellStyle name="Comma 28 2 3 2 3 3 2" xfId="16539"/>
    <cellStyle name="Comma 28 2 3 2 3 4" xfId="16540"/>
    <cellStyle name="Comma 28 2 3 2 4" xfId="16541"/>
    <cellStyle name="Comma 28 2 3 2 4 2" xfId="16542"/>
    <cellStyle name="Comma 28 2 3 2 4 2 2" xfId="16543"/>
    <cellStyle name="Comma 28 2 3 2 4 3" xfId="16544"/>
    <cellStyle name="Comma 28 2 3 2 5" xfId="16545"/>
    <cellStyle name="Comma 28 2 3 2 5 2" xfId="16546"/>
    <cellStyle name="Comma 28 2 3 2 5 2 2" xfId="16547"/>
    <cellStyle name="Comma 28 2 3 2 5 3" xfId="16548"/>
    <cellStyle name="Comma 28 2 3 2 6" xfId="16549"/>
    <cellStyle name="Comma 28 2 3 2 6 2" xfId="16550"/>
    <cellStyle name="Comma 28 2 3 2 7" xfId="16551"/>
    <cellStyle name="Comma 28 2 3 2 8" xfId="16552"/>
    <cellStyle name="Comma 28 2 3 2 9" xfId="16523"/>
    <cellStyle name="Comma 28 2 3 3" xfId="16553"/>
    <cellStyle name="Comma 28 2 3 3 2" xfId="16554"/>
    <cellStyle name="Comma 28 2 3 3 2 2" xfId="16555"/>
    <cellStyle name="Comma 28 2 3 3 2 2 2" xfId="16556"/>
    <cellStyle name="Comma 28 2 3 3 2 2 2 2" xfId="16557"/>
    <cellStyle name="Comma 28 2 3 3 2 2 3" xfId="16558"/>
    <cellStyle name="Comma 28 2 3 3 2 3" xfId="16559"/>
    <cellStyle name="Comma 28 2 3 3 2 3 2" xfId="16560"/>
    <cellStyle name="Comma 28 2 3 3 2 4" xfId="16561"/>
    <cellStyle name="Comma 28 2 3 3 2 5" xfId="16562"/>
    <cellStyle name="Comma 28 2 3 3 3" xfId="16563"/>
    <cellStyle name="Comma 28 2 3 3 3 2" xfId="16564"/>
    <cellStyle name="Comma 28 2 3 3 3 2 2" xfId="16565"/>
    <cellStyle name="Comma 28 2 3 3 3 2 2 2" xfId="16566"/>
    <cellStyle name="Comma 28 2 3 3 3 2 3" xfId="16567"/>
    <cellStyle name="Comma 28 2 3 3 3 3" xfId="16568"/>
    <cellStyle name="Comma 28 2 3 3 3 3 2" xfId="16569"/>
    <cellStyle name="Comma 28 2 3 3 3 4" xfId="16570"/>
    <cellStyle name="Comma 28 2 3 3 4" xfId="16571"/>
    <cellStyle name="Comma 28 2 3 3 4 2" xfId="16572"/>
    <cellStyle name="Comma 28 2 3 3 4 2 2" xfId="16573"/>
    <cellStyle name="Comma 28 2 3 3 4 3" xfId="16574"/>
    <cellStyle name="Comma 28 2 3 3 5" xfId="16575"/>
    <cellStyle name="Comma 28 2 3 3 5 2" xfId="16576"/>
    <cellStyle name="Comma 28 2 3 3 5 2 2" xfId="16577"/>
    <cellStyle name="Comma 28 2 3 3 5 3" xfId="16578"/>
    <cellStyle name="Comma 28 2 3 3 6" xfId="16579"/>
    <cellStyle name="Comma 28 2 3 3 6 2" xfId="16580"/>
    <cellStyle name="Comma 28 2 3 3 7" xfId="16581"/>
    <cellStyle name="Comma 28 2 3 3 8" xfId="16582"/>
    <cellStyle name="Comma 28 2 3 4" xfId="16583"/>
    <cellStyle name="Comma 28 2 3 4 2" xfId="16584"/>
    <cellStyle name="Comma 28 2 3 4 2 2" xfId="16585"/>
    <cellStyle name="Comma 28 2 3 4 2 2 2" xfId="16586"/>
    <cellStyle name="Comma 28 2 3 4 2 2 2 2" xfId="16587"/>
    <cellStyle name="Comma 28 2 3 4 2 2 3" xfId="16588"/>
    <cellStyle name="Comma 28 2 3 4 2 3" xfId="16589"/>
    <cellStyle name="Comma 28 2 3 4 2 3 2" xfId="16590"/>
    <cellStyle name="Comma 28 2 3 4 2 4" xfId="16591"/>
    <cellStyle name="Comma 28 2 3 4 3" xfId="16592"/>
    <cellStyle name="Comma 28 2 3 4 3 2" xfId="16593"/>
    <cellStyle name="Comma 28 2 3 4 3 2 2" xfId="16594"/>
    <cellStyle name="Comma 28 2 3 4 3 3" xfId="16595"/>
    <cellStyle name="Comma 28 2 3 4 4" xfId="16596"/>
    <cellStyle name="Comma 28 2 3 4 4 2" xfId="16597"/>
    <cellStyle name="Comma 28 2 3 4 4 2 2" xfId="16598"/>
    <cellStyle name="Comma 28 2 3 4 4 3" xfId="16599"/>
    <cellStyle name="Comma 28 2 3 4 5" xfId="16600"/>
    <cellStyle name="Comma 28 2 3 4 5 2" xfId="16601"/>
    <cellStyle name="Comma 28 2 3 4 6" xfId="16602"/>
    <cellStyle name="Comma 28 2 3 4 7" xfId="16603"/>
    <cellStyle name="Comma 28 2 3 5" xfId="16604"/>
    <cellStyle name="Comma 28 2 3 5 2" xfId="16605"/>
    <cellStyle name="Comma 28 2 3 5 2 2" xfId="16606"/>
    <cellStyle name="Comma 28 2 3 5 2 2 2" xfId="16607"/>
    <cellStyle name="Comma 28 2 3 5 2 3" xfId="16608"/>
    <cellStyle name="Comma 28 2 3 5 3" xfId="16609"/>
    <cellStyle name="Comma 28 2 3 5 3 2" xfId="16610"/>
    <cellStyle name="Comma 28 2 3 5 4" xfId="16611"/>
    <cellStyle name="Comma 28 2 3 5 5" xfId="16612"/>
    <cellStyle name="Comma 28 2 3 6" xfId="16613"/>
    <cellStyle name="Comma 28 2 3 6 2" xfId="16614"/>
    <cellStyle name="Comma 28 2 3 6 2 2" xfId="16615"/>
    <cellStyle name="Comma 28 2 3 6 3" xfId="16616"/>
    <cellStyle name="Comma 28 2 3 7" xfId="16617"/>
    <cellStyle name="Comma 28 2 3 7 2" xfId="16618"/>
    <cellStyle name="Comma 28 2 3 7 2 2" xfId="16619"/>
    <cellStyle name="Comma 28 2 3 7 3" xfId="16620"/>
    <cellStyle name="Comma 28 2 3 8" xfId="16621"/>
    <cellStyle name="Comma 28 2 3 8 2" xfId="16622"/>
    <cellStyle name="Comma 28 2 3 9" xfId="16623"/>
    <cellStyle name="Comma 28 2 4" xfId="5308"/>
    <cellStyle name="Comma 28 2 4 10" xfId="41486"/>
    <cellStyle name="Comma 28 2 4 2" xfId="16625"/>
    <cellStyle name="Comma 28 2 4 2 2" xfId="16626"/>
    <cellStyle name="Comma 28 2 4 2 2 2" xfId="16627"/>
    <cellStyle name="Comma 28 2 4 2 2 2 2" xfId="16628"/>
    <cellStyle name="Comma 28 2 4 2 2 3" xfId="16629"/>
    <cellStyle name="Comma 28 2 4 2 3" xfId="16630"/>
    <cellStyle name="Comma 28 2 4 2 3 2" xfId="16631"/>
    <cellStyle name="Comma 28 2 4 2 4" xfId="16632"/>
    <cellStyle name="Comma 28 2 4 2 5" xfId="16633"/>
    <cellStyle name="Comma 28 2 4 3" xfId="16634"/>
    <cellStyle name="Comma 28 2 4 3 2" xfId="16635"/>
    <cellStyle name="Comma 28 2 4 3 2 2" xfId="16636"/>
    <cellStyle name="Comma 28 2 4 3 2 2 2" xfId="16637"/>
    <cellStyle name="Comma 28 2 4 3 2 3" xfId="16638"/>
    <cellStyle name="Comma 28 2 4 3 3" xfId="16639"/>
    <cellStyle name="Comma 28 2 4 3 3 2" xfId="16640"/>
    <cellStyle name="Comma 28 2 4 3 4" xfId="16641"/>
    <cellStyle name="Comma 28 2 4 4" xfId="16642"/>
    <cellStyle name="Comma 28 2 4 4 2" xfId="16643"/>
    <cellStyle name="Comma 28 2 4 4 2 2" xfId="16644"/>
    <cellStyle name="Comma 28 2 4 4 3" xfId="16645"/>
    <cellStyle name="Comma 28 2 4 5" xfId="16646"/>
    <cellStyle name="Comma 28 2 4 5 2" xfId="16647"/>
    <cellStyle name="Comma 28 2 4 5 2 2" xfId="16648"/>
    <cellStyle name="Comma 28 2 4 5 3" xfId="16649"/>
    <cellStyle name="Comma 28 2 4 6" xfId="16650"/>
    <cellStyle name="Comma 28 2 4 6 2" xfId="16651"/>
    <cellStyle name="Comma 28 2 4 7" xfId="16652"/>
    <cellStyle name="Comma 28 2 4 8" xfId="16653"/>
    <cellStyle name="Comma 28 2 4 9" xfId="16624"/>
    <cellStyle name="Comma 28 2 5" xfId="3242"/>
    <cellStyle name="Comma 28 2 5 10" xfId="40986"/>
    <cellStyle name="Comma 28 2 5 2" xfId="16655"/>
    <cellStyle name="Comma 28 2 5 2 2" xfId="16656"/>
    <cellStyle name="Comma 28 2 5 2 2 2" xfId="16657"/>
    <cellStyle name="Comma 28 2 5 2 2 2 2" xfId="16658"/>
    <cellStyle name="Comma 28 2 5 2 2 3" xfId="16659"/>
    <cellStyle name="Comma 28 2 5 2 3" xfId="16660"/>
    <cellStyle name="Comma 28 2 5 2 3 2" xfId="16661"/>
    <cellStyle name="Comma 28 2 5 2 4" xfId="16662"/>
    <cellStyle name="Comma 28 2 5 2 5" xfId="16663"/>
    <cellStyle name="Comma 28 2 5 3" xfId="16664"/>
    <cellStyle name="Comma 28 2 5 3 2" xfId="16665"/>
    <cellStyle name="Comma 28 2 5 3 2 2" xfId="16666"/>
    <cellStyle name="Comma 28 2 5 3 2 2 2" xfId="16667"/>
    <cellStyle name="Comma 28 2 5 3 2 3" xfId="16668"/>
    <cellStyle name="Comma 28 2 5 3 3" xfId="16669"/>
    <cellStyle name="Comma 28 2 5 3 3 2" xfId="16670"/>
    <cellStyle name="Comma 28 2 5 3 4" xfId="16671"/>
    <cellStyle name="Comma 28 2 5 4" xfId="16672"/>
    <cellStyle name="Comma 28 2 5 4 2" xfId="16673"/>
    <cellStyle name="Comma 28 2 5 4 2 2" xfId="16674"/>
    <cellStyle name="Comma 28 2 5 4 3" xfId="16675"/>
    <cellStyle name="Comma 28 2 5 5" xfId="16676"/>
    <cellStyle name="Comma 28 2 5 5 2" xfId="16677"/>
    <cellStyle name="Comma 28 2 5 5 2 2" xfId="16678"/>
    <cellStyle name="Comma 28 2 5 5 3" xfId="16679"/>
    <cellStyle name="Comma 28 2 5 6" xfId="16680"/>
    <cellStyle name="Comma 28 2 5 6 2" xfId="16681"/>
    <cellStyle name="Comma 28 2 5 7" xfId="16682"/>
    <cellStyle name="Comma 28 2 5 8" xfId="16683"/>
    <cellStyle name="Comma 28 2 5 9" xfId="16654"/>
    <cellStyle name="Comma 28 2 6" xfId="3177"/>
    <cellStyle name="Comma 28 2 6 2" xfId="16685"/>
    <cellStyle name="Comma 28 2 6 2 2" xfId="16686"/>
    <cellStyle name="Comma 28 2 6 2 2 2" xfId="16687"/>
    <cellStyle name="Comma 28 2 6 2 2 2 2" xfId="16688"/>
    <cellStyle name="Comma 28 2 6 2 2 3" xfId="16689"/>
    <cellStyle name="Comma 28 2 6 2 3" xfId="16690"/>
    <cellStyle name="Comma 28 2 6 2 3 2" xfId="16691"/>
    <cellStyle name="Comma 28 2 6 2 4" xfId="16692"/>
    <cellStyle name="Comma 28 2 6 3" xfId="16693"/>
    <cellStyle name="Comma 28 2 6 3 2" xfId="16694"/>
    <cellStyle name="Comma 28 2 6 3 2 2" xfId="16695"/>
    <cellStyle name="Comma 28 2 6 3 3" xfId="16696"/>
    <cellStyle name="Comma 28 2 6 4" xfId="16697"/>
    <cellStyle name="Comma 28 2 6 4 2" xfId="16698"/>
    <cellStyle name="Comma 28 2 6 4 2 2" xfId="16699"/>
    <cellStyle name="Comma 28 2 6 4 3" xfId="16700"/>
    <cellStyle name="Comma 28 2 6 5" xfId="16701"/>
    <cellStyle name="Comma 28 2 6 5 2" xfId="16702"/>
    <cellStyle name="Comma 28 2 6 6" xfId="16703"/>
    <cellStyle name="Comma 28 2 6 7" xfId="16704"/>
    <cellStyle name="Comma 28 2 6 8" xfId="16684"/>
    <cellStyle name="Comma 28 2 7" xfId="16705"/>
    <cellStyle name="Comma 28 2 7 2" xfId="16706"/>
    <cellStyle name="Comma 28 2 7 2 2" xfId="16707"/>
    <cellStyle name="Comma 28 2 7 2 2 2" xfId="16708"/>
    <cellStyle name="Comma 28 2 7 2 3" xfId="16709"/>
    <cellStyle name="Comma 28 2 7 3" xfId="16710"/>
    <cellStyle name="Comma 28 2 7 3 2" xfId="16711"/>
    <cellStyle name="Comma 28 2 7 4" xfId="16712"/>
    <cellStyle name="Comma 28 2 7 5" xfId="16713"/>
    <cellStyle name="Comma 28 2 8" xfId="16714"/>
    <cellStyle name="Comma 28 2 8 2" xfId="16715"/>
    <cellStyle name="Comma 28 2 8 2 2" xfId="16716"/>
    <cellStyle name="Comma 28 2 8 3" xfId="16717"/>
    <cellStyle name="Comma 28 2 9" xfId="16718"/>
    <cellStyle name="Comma 28 2 9 2" xfId="16719"/>
    <cellStyle name="Comma 28 2 9 2 2" xfId="16720"/>
    <cellStyle name="Comma 28 2 9 3" xfId="16721"/>
    <cellStyle name="Comma 28 3" xfId="879"/>
    <cellStyle name="Comma 28 3 10" xfId="41105"/>
    <cellStyle name="Comma 28 3 2" xfId="5304"/>
    <cellStyle name="Comma 28 3 2 2" xfId="4458"/>
    <cellStyle name="Comma 28 3 2 2 2" xfId="16725"/>
    <cellStyle name="Comma 28 3 2 2 2 2" xfId="16726"/>
    <cellStyle name="Comma 28 3 2 2 3" xfId="16727"/>
    <cellStyle name="Comma 28 3 2 2 4" xfId="16724"/>
    <cellStyle name="Comma 28 3 2 3" xfId="16728"/>
    <cellStyle name="Comma 28 3 2 3 2" xfId="16729"/>
    <cellStyle name="Comma 28 3 2 4" xfId="16730"/>
    <cellStyle name="Comma 28 3 2 5" xfId="16731"/>
    <cellStyle name="Comma 28 3 2 6" xfId="16723"/>
    <cellStyle name="Comma 28 3 3" xfId="4459"/>
    <cellStyle name="Comma 28 3 3 2" xfId="16733"/>
    <cellStyle name="Comma 28 3 3 2 2" xfId="16734"/>
    <cellStyle name="Comma 28 3 3 2 2 2" xfId="16735"/>
    <cellStyle name="Comma 28 3 3 2 3" xfId="16736"/>
    <cellStyle name="Comma 28 3 3 3" xfId="16737"/>
    <cellStyle name="Comma 28 3 3 3 2" xfId="16738"/>
    <cellStyle name="Comma 28 3 3 4" xfId="16739"/>
    <cellStyle name="Comma 28 3 3 5" xfId="16732"/>
    <cellStyle name="Comma 28 3 4" xfId="5309"/>
    <cellStyle name="Comma 28 3 4 2" xfId="16741"/>
    <cellStyle name="Comma 28 3 4 2 2" xfId="16742"/>
    <cellStyle name="Comma 28 3 4 3" xfId="16743"/>
    <cellStyle name="Comma 28 3 4 4" xfId="16740"/>
    <cellStyle name="Comma 28 3 5" xfId="4457"/>
    <cellStyle name="Comma 28 3 5 2" xfId="16745"/>
    <cellStyle name="Comma 28 3 5 2 2" xfId="16746"/>
    <cellStyle name="Comma 28 3 5 3" xfId="16747"/>
    <cellStyle name="Comma 28 3 5 4" xfId="16744"/>
    <cellStyle name="Comma 28 3 6" xfId="16748"/>
    <cellStyle name="Comma 28 3 6 2" xfId="16749"/>
    <cellStyle name="Comma 28 3 7" xfId="16750"/>
    <cellStyle name="Comma 28 3 7 2" xfId="16751"/>
    <cellStyle name="Comma 28 3 8" xfId="16752"/>
    <cellStyle name="Comma 28 3 9" xfId="16722"/>
    <cellStyle name="Comma 28 4" xfId="2929"/>
    <cellStyle name="Comma 28 4 10" xfId="41222"/>
    <cellStyle name="Comma 28 4 2" xfId="3178"/>
    <cellStyle name="Comma 28 4 2 2" xfId="16755"/>
    <cellStyle name="Comma 28 4 2 2 2" xfId="16756"/>
    <cellStyle name="Comma 28 4 2 2 2 2" xfId="16757"/>
    <cellStyle name="Comma 28 4 2 2 3" xfId="16758"/>
    <cellStyle name="Comma 28 4 2 3" xfId="16759"/>
    <cellStyle name="Comma 28 4 2 3 2" xfId="16760"/>
    <cellStyle name="Comma 28 4 2 4" xfId="16761"/>
    <cellStyle name="Comma 28 4 2 5" xfId="16762"/>
    <cellStyle name="Comma 28 4 2 6" xfId="16754"/>
    <cellStyle name="Comma 28 4 3" xfId="3215"/>
    <cellStyle name="Comma 28 4 3 2" xfId="16764"/>
    <cellStyle name="Comma 28 4 3 2 2" xfId="16765"/>
    <cellStyle name="Comma 28 4 3 2 2 2" xfId="16766"/>
    <cellStyle name="Comma 28 4 3 2 3" xfId="16767"/>
    <cellStyle name="Comma 28 4 3 3" xfId="16768"/>
    <cellStyle name="Comma 28 4 3 3 2" xfId="16769"/>
    <cellStyle name="Comma 28 4 3 4" xfId="16770"/>
    <cellStyle name="Comma 28 4 3 5" xfId="16763"/>
    <cellStyle name="Comma 28 4 4" xfId="16771"/>
    <cellStyle name="Comma 28 4 4 2" xfId="16772"/>
    <cellStyle name="Comma 28 4 4 2 2" xfId="16773"/>
    <cellStyle name="Comma 28 4 4 3" xfId="16774"/>
    <cellStyle name="Comma 28 4 5" xfId="16775"/>
    <cellStyle name="Comma 28 4 5 2" xfId="16776"/>
    <cellStyle name="Comma 28 4 5 2 2" xfId="16777"/>
    <cellStyle name="Comma 28 4 5 3" xfId="16778"/>
    <cellStyle name="Comma 28 4 6" xfId="16779"/>
    <cellStyle name="Comma 28 4 6 2" xfId="16780"/>
    <cellStyle name="Comma 28 4 7" xfId="16781"/>
    <cellStyle name="Comma 28 4 8" xfId="16782"/>
    <cellStyle name="Comma 28 4 9" xfId="16753"/>
    <cellStyle name="Comma 28 5" xfId="4460"/>
    <cellStyle name="Comma 28 5 2" xfId="16784"/>
    <cellStyle name="Comma 28 5 2 2" xfId="16785"/>
    <cellStyle name="Comma 28 5 2 2 2" xfId="16786"/>
    <cellStyle name="Comma 28 5 2 2 2 2" xfId="16787"/>
    <cellStyle name="Comma 28 5 2 2 3" xfId="16788"/>
    <cellStyle name="Comma 28 5 2 3" xfId="16789"/>
    <cellStyle name="Comma 28 5 2 3 2" xfId="16790"/>
    <cellStyle name="Comma 28 5 2 4" xfId="16791"/>
    <cellStyle name="Comma 28 5 3" xfId="16792"/>
    <cellStyle name="Comma 28 5 3 2" xfId="16793"/>
    <cellStyle name="Comma 28 5 3 2 2" xfId="16794"/>
    <cellStyle name="Comma 28 5 3 3" xfId="16795"/>
    <cellStyle name="Comma 28 5 4" xfId="16796"/>
    <cellStyle name="Comma 28 5 4 2" xfId="16797"/>
    <cellStyle name="Comma 28 5 4 2 2" xfId="16798"/>
    <cellStyle name="Comma 28 5 4 3" xfId="16799"/>
    <cellStyle name="Comma 28 5 5" xfId="16800"/>
    <cellStyle name="Comma 28 5 5 2" xfId="16801"/>
    <cellStyle name="Comma 28 5 6" xfId="16802"/>
    <cellStyle name="Comma 28 5 7" xfId="16803"/>
    <cellStyle name="Comma 28 5 8" xfId="16783"/>
    <cellStyle name="Comma 28 5 9" xfId="41351"/>
    <cellStyle name="Comma 28 6" xfId="3197"/>
    <cellStyle name="Comma 28 6 2" xfId="16805"/>
    <cellStyle name="Comma 28 6 2 2" xfId="16806"/>
    <cellStyle name="Comma 28 6 2 2 2" xfId="16807"/>
    <cellStyle name="Comma 28 6 2 3" xfId="16808"/>
    <cellStyle name="Comma 28 6 3" xfId="16809"/>
    <cellStyle name="Comma 28 6 3 2" xfId="16810"/>
    <cellStyle name="Comma 28 6 4" xfId="16811"/>
    <cellStyle name="Comma 28 6 5" xfId="16812"/>
    <cellStyle name="Comma 28 6 6" xfId="16804"/>
    <cellStyle name="Comma 28 6 7" xfId="40985"/>
    <cellStyle name="Comma 28 7" xfId="4453"/>
    <cellStyle name="Comma 28 7 2" xfId="16814"/>
    <cellStyle name="Comma 28 7 2 2" xfId="16815"/>
    <cellStyle name="Comma 28 7 3" xfId="16816"/>
    <cellStyle name="Comma 28 7 4" xfId="16813"/>
    <cellStyle name="Comma 28 7 5" xfId="40895"/>
    <cellStyle name="Comma 28 8" xfId="16817"/>
    <cellStyle name="Comma 28 8 2" xfId="16818"/>
    <cellStyle name="Comma 28 8 2 2" xfId="16819"/>
    <cellStyle name="Comma 28 8 2 3" xfId="45259"/>
    <cellStyle name="Comma 28 8 3" xfId="16820"/>
    <cellStyle name="Comma 28 8 4" xfId="43459"/>
    <cellStyle name="Comma 28 9" xfId="16821"/>
    <cellStyle name="Comma 29" xfId="880"/>
    <cellStyle name="Comma 29 10" xfId="16823"/>
    <cellStyle name="Comma 29 11" xfId="16824"/>
    <cellStyle name="Comma 29 12" xfId="16822"/>
    <cellStyle name="Comma 29 2" xfId="881"/>
    <cellStyle name="Comma 29 2 2" xfId="16826"/>
    <cellStyle name="Comma 29 2 2 2" xfId="41130"/>
    <cellStyle name="Comma 29 2 3" xfId="16825"/>
    <cellStyle name="Comma 29 2 3 2" xfId="41248"/>
    <cellStyle name="Comma 29 2 4" xfId="41487"/>
    <cellStyle name="Comma 29 2 5" xfId="40988"/>
    <cellStyle name="Comma 29 2 6" xfId="40935"/>
    <cellStyle name="Comma 29 3" xfId="882"/>
    <cellStyle name="Comma 29 3 10" xfId="41106"/>
    <cellStyle name="Comma 29 3 2" xfId="16828"/>
    <cellStyle name="Comma 29 3 2 2" xfId="16829"/>
    <cellStyle name="Comma 29 3 2 2 2" xfId="16830"/>
    <cellStyle name="Comma 29 3 2 2 2 2" xfId="16831"/>
    <cellStyle name="Comma 29 3 2 2 3" xfId="16832"/>
    <cellStyle name="Comma 29 3 2 3" xfId="16833"/>
    <cellStyle name="Comma 29 3 2 3 2" xfId="16834"/>
    <cellStyle name="Comma 29 3 2 4" xfId="16835"/>
    <cellStyle name="Comma 29 3 2 5" xfId="16836"/>
    <cellStyle name="Comma 29 3 3" xfId="16837"/>
    <cellStyle name="Comma 29 3 3 2" xfId="16838"/>
    <cellStyle name="Comma 29 3 3 2 2" xfId="16839"/>
    <cellStyle name="Comma 29 3 3 2 2 2" xfId="16840"/>
    <cellStyle name="Comma 29 3 3 2 3" xfId="16841"/>
    <cellStyle name="Comma 29 3 3 3" xfId="16842"/>
    <cellStyle name="Comma 29 3 3 3 2" xfId="16843"/>
    <cellStyle name="Comma 29 3 3 4" xfId="16844"/>
    <cellStyle name="Comma 29 3 4" xfId="16845"/>
    <cellStyle name="Comma 29 3 4 2" xfId="16846"/>
    <cellStyle name="Comma 29 3 4 2 2" xfId="16847"/>
    <cellStyle name="Comma 29 3 4 3" xfId="16848"/>
    <cellStyle name="Comma 29 3 5" xfId="16849"/>
    <cellStyle name="Comma 29 3 5 2" xfId="16850"/>
    <cellStyle name="Comma 29 3 5 2 2" xfId="16851"/>
    <cellStyle name="Comma 29 3 5 3" xfId="16852"/>
    <cellStyle name="Comma 29 3 6" xfId="16853"/>
    <cellStyle name="Comma 29 3 6 2" xfId="16854"/>
    <cellStyle name="Comma 29 3 7" xfId="16855"/>
    <cellStyle name="Comma 29 3 8" xfId="16856"/>
    <cellStyle name="Comma 29 3 9" xfId="16827"/>
    <cellStyle name="Comma 29 4" xfId="3011"/>
    <cellStyle name="Comma 29 4 10" xfId="41223"/>
    <cellStyle name="Comma 29 4 2" xfId="16858"/>
    <cellStyle name="Comma 29 4 2 2" xfId="16859"/>
    <cellStyle name="Comma 29 4 2 2 2" xfId="16860"/>
    <cellStyle name="Comma 29 4 2 2 2 2" xfId="16861"/>
    <cellStyle name="Comma 29 4 2 2 3" xfId="16862"/>
    <cellStyle name="Comma 29 4 2 3" xfId="16863"/>
    <cellStyle name="Comma 29 4 2 3 2" xfId="16864"/>
    <cellStyle name="Comma 29 4 2 4" xfId="16865"/>
    <cellStyle name="Comma 29 4 2 5" xfId="16866"/>
    <cellStyle name="Comma 29 4 3" xfId="16867"/>
    <cellStyle name="Comma 29 4 3 2" xfId="16868"/>
    <cellStyle name="Comma 29 4 3 2 2" xfId="16869"/>
    <cellStyle name="Comma 29 4 3 2 2 2" xfId="16870"/>
    <cellStyle name="Comma 29 4 3 2 3" xfId="16871"/>
    <cellStyle name="Comma 29 4 3 3" xfId="16872"/>
    <cellStyle name="Comma 29 4 3 3 2" xfId="16873"/>
    <cellStyle name="Comma 29 4 3 4" xfId="16874"/>
    <cellStyle name="Comma 29 4 4" xfId="16875"/>
    <cellStyle name="Comma 29 4 4 2" xfId="16876"/>
    <cellStyle name="Comma 29 4 4 2 2" xfId="16877"/>
    <cellStyle name="Comma 29 4 4 3" xfId="16878"/>
    <cellStyle name="Comma 29 4 5" xfId="16879"/>
    <cellStyle name="Comma 29 4 5 2" xfId="16880"/>
    <cellStyle name="Comma 29 4 5 2 2" xfId="16881"/>
    <cellStyle name="Comma 29 4 5 3" xfId="16882"/>
    <cellStyle name="Comma 29 4 6" xfId="16883"/>
    <cellStyle name="Comma 29 4 6 2" xfId="16884"/>
    <cellStyle name="Comma 29 4 7" xfId="16885"/>
    <cellStyle name="Comma 29 4 8" xfId="16886"/>
    <cellStyle name="Comma 29 4 9" xfId="16857"/>
    <cellStyle name="Comma 29 5" xfId="4461"/>
    <cellStyle name="Comma 29 5 10" xfId="41349"/>
    <cellStyle name="Comma 29 5 2" xfId="16888"/>
    <cellStyle name="Comma 29 5 2 2" xfId="16889"/>
    <cellStyle name="Comma 29 5 2 2 2" xfId="16890"/>
    <cellStyle name="Comma 29 5 2 2 2 2" xfId="16891"/>
    <cellStyle name="Comma 29 5 2 2 3" xfId="16892"/>
    <cellStyle name="Comma 29 5 2 3" xfId="16893"/>
    <cellStyle name="Comma 29 5 2 3 2" xfId="16894"/>
    <cellStyle name="Comma 29 5 2 4" xfId="16895"/>
    <cellStyle name="Comma 29 5 2 5" xfId="16896"/>
    <cellStyle name="Comma 29 5 3" xfId="16897"/>
    <cellStyle name="Comma 29 5 3 2" xfId="16898"/>
    <cellStyle name="Comma 29 5 3 2 2" xfId="16899"/>
    <cellStyle name="Comma 29 5 3 2 2 2" xfId="16900"/>
    <cellStyle name="Comma 29 5 3 2 3" xfId="16901"/>
    <cellStyle name="Comma 29 5 3 3" xfId="16902"/>
    <cellStyle name="Comma 29 5 3 3 2" xfId="16903"/>
    <cellStyle name="Comma 29 5 3 4" xfId="16904"/>
    <cellStyle name="Comma 29 5 4" xfId="16905"/>
    <cellStyle name="Comma 29 5 4 2" xfId="16906"/>
    <cellStyle name="Comma 29 5 4 2 2" xfId="16907"/>
    <cellStyle name="Comma 29 5 4 3" xfId="16908"/>
    <cellStyle name="Comma 29 5 5" xfId="16909"/>
    <cellStyle name="Comma 29 5 5 2" xfId="16910"/>
    <cellStyle name="Comma 29 5 5 2 2" xfId="16911"/>
    <cellStyle name="Comma 29 5 5 3" xfId="16912"/>
    <cellStyle name="Comma 29 5 6" xfId="16913"/>
    <cellStyle name="Comma 29 5 6 2" xfId="16914"/>
    <cellStyle name="Comma 29 5 7" xfId="16915"/>
    <cellStyle name="Comma 29 5 8" xfId="16916"/>
    <cellStyle name="Comma 29 5 9" xfId="16887"/>
    <cellStyle name="Comma 29 6" xfId="16917"/>
    <cellStyle name="Comma 29 6 2" xfId="16918"/>
    <cellStyle name="Comma 29 6 2 2" xfId="16919"/>
    <cellStyle name="Comma 29 6 2 2 2" xfId="16920"/>
    <cellStyle name="Comma 29 6 2 2 2 2" xfId="16921"/>
    <cellStyle name="Comma 29 6 2 2 3" xfId="16922"/>
    <cellStyle name="Comma 29 6 2 3" xfId="16923"/>
    <cellStyle name="Comma 29 6 2 3 2" xfId="16924"/>
    <cellStyle name="Comma 29 6 2 4" xfId="16925"/>
    <cellStyle name="Comma 29 6 3" xfId="16926"/>
    <cellStyle name="Comma 29 6 3 2" xfId="16927"/>
    <cellStyle name="Comma 29 6 3 2 2" xfId="16928"/>
    <cellStyle name="Comma 29 6 3 3" xfId="16929"/>
    <cellStyle name="Comma 29 6 4" xfId="16930"/>
    <cellStyle name="Comma 29 6 4 2" xfId="16931"/>
    <cellStyle name="Comma 29 6 4 2 2" xfId="16932"/>
    <cellStyle name="Comma 29 6 4 3" xfId="16933"/>
    <cellStyle name="Comma 29 6 5" xfId="16934"/>
    <cellStyle name="Comma 29 6 5 2" xfId="16935"/>
    <cellStyle name="Comma 29 6 6" xfId="16936"/>
    <cellStyle name="Comma 29 6 7" xfId="16937"/>
    <cellStyle name="Comma 29 6 8" xfId="40987"/>
    <cellStyle name="Comma 29 7" xfId="16938"/>
    <cellStyle name="Comma 29 7 2" xfId="16939"/>
    <cellStyle name="Comma 29 7 2 2" xfId="16940"/>
    <cellStyle name="Comma 29 7 2 2 2" xfId="16941"/>
    <cellStyle name="Comma 29 7 2 3" xfId="16942"/>
    <cellStyle name="Comma 29 7 3" xfId="16943"/>
    <cellStyle name="Comma 29 7 3 2" xfId="16944"/>
    <cellStyle name="Comma 29 7 4" xfId="16945"/>
    <cellStyle name="Comma 29 7 5" xfId="16946"/>
    <cellStyle name="Comma 29 7 6" xfId="40902"/>
    <cellStyle name="Comma 29 8" xfId="16947"/>
    <cellStyle name="Comma 29 8 2" xfId="16948"/>
    <cellStyle name="Comma 29 8 2 2" xfId="16949"/>
    <cellStyle name="Comma 29 8 2 3" xfId="45276"/>
    <cellStyle name="Comma 29 8 3" xfId="16950"/>
    <cellStyle name="Comma 29 8 4" xfId="43513"/>
    <cellStyle name="Comma 29 9" xfId="16951"/>
    <cellStyle name="Comma 29 9 2" xfId="16952"/>
    <cellStyle name="Comma 29 9 2 2" xfId="16953"/>
    <cellStyle name="Comma 29 9 3" xfId="16954"/>
    <cellStyle name="Comma 3" xfId="24"/>
    <cellStyle name="Comma 3 10" xfId="3102"/>
    <cellStyle name="Comma 3 10 2" xfId="4462"/>
    <cellStyle name="Comma 3 11" xfId="2980"/>
    <cellStyle name="Comma 3 11 2" xfId="4463"/>
    <cellStyle name="Comma 3 11 3" xfId="16955"/>
    <cellStyle name="Comma 3 12" xfId="3260"/>
    <cellStyle name="Comma 3 12 2" xfId="16956"/>
    <cellStyle name="Comma 3 2" xfId="53"/>
    <cellStyle name="Comma 3 2 10" xfId="884"/>
    <cellStyle name="Comma 3 2 11" xfId="16957"/>
    <cellStyle name="Comma 3 2 2" xfId="885"/>
    <cellStyle name="Comma 3 2 2 2" xfId="886"/>
    <cellStyle name="Comma 3 2 2 2 2" xfId="4465"/>
    <cellStyle name="Comma 3 2 2 2 3" xfId="16958"/>
    <cellStyle name="Comma 3 2 2 2 4" xfId="40728"/>
    <cellStyle name="Comma 3 2 2 3" xfId="887"/>
    <cellStyle name="Comma 3 2 2 3 2" xfId="16960"/>
    <cellStyle name="Comma 3 2 2 3 3" xfId="16959"/>
    <cellStyle name="Comma 3 2 2 4" xfId="888"/>
    <cellStyle name="Comma 3 2 2 4 2" xfId="16961"/>
    <cellStyle name="Comma 3 2 2 5" xfId="2943"/>
    <cellStyle name="Comma 3 2 2 5 2" xfId="16962"/>
    <cellStyle name="Comma 3 2 2 6" xfId="4464"/>
    <cellStyle name="Comma 3 2 3" xfId="889"/>
    <cellStyle name="Comma 3 2 3 2" xfId="890"/>
    <cellStyle name="Comma 3 2 3 2 2" xfId="16963"/>
    <cellStyle name="Comma 3 2 3 3" xfId="2944"/>
    <cellStyle name="Comma 3 2 3 3 2" xfId="16965"/>
    <cellStyle name="Comma 3 2 3 3 3" xfId="16964"/>
    <cellStyle name="Comma 3 2 3 4" xfId="16966"/>
    <cellStyle name="Comma 3 2 3 5" xfId="40863"/>
    <cellStyle name="Comma 3 2 4" xfId="891"/>
    <cellStyle name="Comma 3 2 4 2" xfId="892"/>
    <cellStyle name="Comma 3 2 4 3" xfId="7799"/>
    <cellStyle name="Comma 3 2 4 4" xfId="41180"/>
    <cellStyle name="Comma 3 2 5" xfId="893"/>
    <cellStyle name="Comma 3 2 5 2" xfId="2945"/>
    <cellStyle name="Comma 3 2 5 3" xfId="16968"/>
    <cellStyle name="Comma 3 2 5 4" xfId="16969"/>
    <cellStyle name="Comma 3 2 5 5" xfId="16967"/>
    <cellStyle name="Comma 3 2 5 6" xfId="43403"/>
    <cellStyle name="Comma 3 2 6" xfId="894"/>
    <cellStyle name="Comma 3 2 6 2" xfId="3103"/>
    <cellStyle name="Comma 3 2 6 3" xfId="16970"/>
    <cellStyle name="Comma 3 2 7" xfId="895"/>
    <cellStyle name="Comma 3 2 7 2" xfId="2942"/>
    <cellStyle name="Comma 3 2 8" xfId="896"/>
    <cellStyle name="Comma 3 2 8 2" xfId="16971"/>
    <cellStyle name="Comma 3 2 9" xfId="2414"/>
    <cellStyle name="Comma 3 2_Financial Statement - IGI MMF 11 Dec'12" xfId="42128"/>
    <cellStyle name="Comma 3 3" xfId="54"/>
    <cellStyle name="Comma 3 3 2" xfId="898"/>
    <cellStyle name="Comma 3 3 2 2" xfId="899"/>
    <cellStyle name="Comma 3 3 2 2 2" xfId="4466"/>
    <cellStyle name="Comma 3 3 2 3" xfId="3104"/>
    <cellStyle name="Comma 3 3 2 3 2" xfId="4467"/>
    <cellStyle name="Comma 3 3 2 4" xfId="4838"/>
    <cellStyle name="Comma 3 3 3" xfId="900"/>
    <cellStyle name="Comma 3 3 3 2" xfId="2946"/>
    <cellStyle name="Comma 3 3 3 3" xfId="41834"/>
    <cellStyle name="Comma 3 3 4" xfId="901"/>
    <cellStyle name="Comma 3 3 4 2" xfId="4468"/>
    <cellStyle name="Comma 3 3 4 3" xfId="16972"/>
    <cellStyle name="Comma 3 3 4 4" xfId="40729"/>
    <cellStyle name="Comma 3 3 5" xfId="902"/>
    <cellStyle name="Comma 3 3 5 2" xfId="4469"/>
    <cellStyle name="Comma 3 3 6" xfId="903"/>
    <cellStyle name="Comma 3 3 6 2" xfId="4470"/>
    <cellStyle name="Comma 3 3 7" xfId="904"/>
    <cellStyle name="Comma 3 3 7 2" xfId="7868"/>
    <cellStyle name="Comma 3 3 8" xfId="3598"/>
    <cellStyle name="Comma 3 4" xfId="52"/>
    <cellStyle name="Comma 3 4 2" xfId="906"/>
    <cellStyle name="Comma 3 4 2 2" xfId="2947"/>
    <cellStyle name="Comma 3 4 2 3" xfId="3471"/>
    <cellStyle name="Comma 3 4 3" xfId="907"/>
    <cellStyle name="Comma 3 4 3 2" xfId="16974"/>
    <cellStyle name="Comma 3 4 3 3" xfId="16975"/>
    <cellStyle name="Comma 3 4 3 4" xfId="16973"/>
    <cellStyle name="Comma 3 4 3 5" xfId="41181"/>
    <cellStyle name="Comma 3 4 4" xfId="908"/>
    <cellStyle name="Comma 3 4 5" xfId="2603"/>
    <cellStyle name="Comma 3 4 6" xfId="905"/>
    <cellStyle name="Comma 3 5" xfId="909"/>
    <cellStyle name="Comma 3 5 2" xfId="2948"/>
    <cellStyle name="Comma 3 5 2 2" xfId="5311"/>
    <cellStyle name="Comma 3 5 2 3" xfId="41094"/>
    <cellStyle name="Comma 3 5 3" xfId="2604"/>
    <cellStyle name="Comma 3 5 3 2" xfId="5451"/>
    <cellStyle name="Comma 3 5 3 3" xfId="41213"/>
    <cellStyle name="Comma 3 5 4" xfId="4471"/>
    <cellStyle name="Comma 3 5 4 2" xfId="41310"/>
    <cellStyle name="Comma 3 5 5" xfId="40968"/>
    <cellStyle name="Comma 3 5 6" xfId="40730"/>
    <cellStyle name="Comma 3 6" xfId="910"/>
    <cellStyle name="Comma 3 6 2" xfId="2949"/>
    <cellStyle name="Comma 3 6 3" xfId="4472"/>
    <cellStyle name="Comma 3 6 3 2" xfId="16977"/>
    <cellStyle name="Comma 3 6 3 2 2" xfId="16978"/>
    <cellStyle name="Comma 3 6 3 2 2 2" xfId="16979"/>
    <cellStyle name="Comma 3 6 3 2 3" xfId="16980"/>
    <cellStyle name="Comma 3 6 3 2 4" xfId="16981"/>
    <cellStyle name="Comma 3 6 3 3" xfId="16982"/>
    <cellStyle name="Comma 3 6 3 3 2" xfId="16983"/>
    <cellStyle name="Comma 3 6 3 4" xfId="16984"/>
    <cellStyle name="Comma 3 6 3 5" xfId="16985"/>
    <cellStyle name="Comma 3 6 3 6" xfId="16976"/>
    <cellStyle name="Comma 3 6 4" xfId="16986"/>
    <cellStyle name="Comma 3 6 4 2" xfId="16987"/>
    <cellStyle name="Comma 3 6 4 2 2" xfId="16988"/>
    <cellStyle name="Comma 3 6 4 3" xfId="16989"/>
    <cellStyle name="Comma 3 6 4 4" xfId="16990"/>
    <cellStyle name="Comma 3 6 5" xfId="16991"/>
    <cellStyle name="Comma 3 6 5 2" xfId="16992"/>
    <cellStyle name="Comma 3 6 5 2 2" xfId="16993"/>
    <cellStyle name="Comma 3 6 5 3" xfId="16994"/>
    <cellStyle name="Comma 3 6 5 4" xfId="16995"/>
    <cellStyle name="Comma 3 7" xfId="911"/>
    <cellStyle name="Comma 3 7 2" xfId="16997"/>
    <cellStyle name="Comma 3 7 2 2" xfId="41179"/>
    <cellStyle name="Comma 3 7 3" xfId="16996"/>
    <cellStyle name="Comma 3 7 3 2" xfId="41833"/>
    <cellStyle name="Comma 3 8" xfId="912"/>
    <cellStyle name="Comma 3 8 2" xfId="3105"/>
    <cellStyle name="Comma 3 8 3" xfId="41488"/>
    <cellStyle name="Comma 3 9" xfId="3106"/>
    <cellStyle name="Comma 3 9 2" xfId="4473"/>
    <cellStyle name="Comma 3_6. ASMF Accounts - December 12" xfId="913"/>
    <cellStyle name="Comma 30" xfId="914"/>
    <cellStyle name="Comma 30 2" xfId="915"/>
    <cellStyle name="Comma 30 2 2" xfId="5312"/>
    <cellStyle name="Comma 30 2 2 2" xfId="41128"/>
    <cellStyle name="Comma 30 2 3" xfId="41246"/>
    <cellStyle name="Comma 30 2 4" xfId="41489"/>
    <cellStyle name="Comma 30 2 5" xfId="40990"/>
    <cellStyle name="Comma 30 2 6" xfId="40933"/>
    <cellStyle name="Comma 30 3" xfId="916"/>
    <cellStyle name="Comma 30 3 2" xfId="4474"/>
    <cellStyle name="Comma 30 3 3" xfId="41104"/>
    <cellStyle name="Comma 30 4" xfId="917"/>
    <cellStyle name="Comma 30 4 2" xfId="41221"/>
    <cellStyle name="Comma 30 5" xfId="918"/>
    <cellStyle name="Comma 30 5 2" xfId="41352"/>
    <cellStyle name="Comma 30 6" xfId="2605"/>
    <cellStyle name="Comma 30 6 2" xfId="40989"/>
    <cellStyle name="Comma 30 7" xfId="4994"/>
    <cellStyle name="Comma 30 7 2" xfId="40893"/>
    <cellStyle name="Comma 30 8" xfId="43424"/>
    <cellStyle name="Comma 30 8 2" xfId="45252"/>
    <cellStyle name="Comma 30 9" xfId="43514"/>
    <cellStyle name="Comma 30 9 2" xfId="45277"/>
    <cellStyle name="Comma 31" xfId="919"/>
    <cellStyle name="Comma 31 2" xfId="920"/>
    <cellStyle name="Comma 31 2 10" xfId="16999"/>
    <cellStyle name="Comma 31 2 11" xfId="40936"/>
    <cellStyle name="Comma 31 2 2" xfId="4476"/>
    <cellStyle name="Comma 31 2 2 10" xfId="41131"/>
    <cellStyle name="Comma 31 2 2 2" xfId="17001"/>
    <cellStyle name="Comma 31 2 2 2 2" xfId="17002"/>
    <cellStyle name="Comma 31 2 2 2 2 2" xfId="17003"/>
    <cellStyle name="Comma 31 2 2 2 2 2 2" xfId="17004"/>
    <cellStyle name="Comma 31 2 2 2 2 3" xfId="17005"/>
    <cellStyle name="Comma 31 2 2 2 3" xfId="17006"/>
    <cellStyle name="Comma 31 2 2 2 3 2" xfId="17007"/>
    <cellStyle name="Comma 31 2 2 2 4" xfId="17008"/>
    <cellStyle name="Comma 31 2 2 2 5" xfId="17009"/>
    <cellStyle name="Comma 31 2 2 3" xfId="17010"/>
    <cellStyle name="Comma 31 2 2 3 2" xfId="17011"/>
    <cellStyle name="Comma 31 2 2 3 2 2" xfId="17012"/>
    <cellStyle name="Comma 31 2 2 3 2 2 2" xfId="17013"/>
    <cellStyle name="Comma 31 2 2 3 2 3" xfId="17014"/>
    <cellStyle name="Comma 31 2 2 3 3" xfId="17015"/>
    <cellStyle name="Comma 31 2 2 3 3 2" xfId="17016"/>
    <cellStyle name="Comma 31 2 2 3 4" xfId="17017"/>
    <cellStyle name="Comma 31 2 2 4" xfId="17018"/>
    <cellStyle name="Comma 31 2 2 4 2" xfId="17019"/>
    <cellStyle name="Comma 31 2 2 4 2 2" xfId="17020"/>
    <cellStyle name="Comma 31 2 2 4 3" xfId="17021"/>
    <cellStyle name="Comma 31 2 2 5" xfId="17022"/>
    <cellStyle name="Comma 31 2 2 5 2" xfId="17023"/>
    <cellStyle name="Comma 31 2 2 5 2 2" xfId="17024"/>
    <cellStyle name="Comma 31 2 2 5 3" xfId="17025"/>
    <cellStyle name="Comma 31 2 2 6" xfId="17026"/>
    <cellStyle name="Comma 31 2 2 6 2" xfId="17027"/>
    <cellStyle name="Comma 31 2 2 7" xfId="17028"/>
    <cellStyle name="Comma 31 2 2 8" xfId="17029"/>
    <cellStyle name="Comma 31 2 2 9" xfId="17000"/>
    <cellStyle name="Comma 31 2 3" xfId="17030"/>
    <cellStyle name="Comma 31 2 3 2" xfId="17031"/>
    <cellStyle name="Comma 31 2 3 2 2" xfId="17032"/>
    <cellStyle name="Comma 31 2 3 2 2 2" xfId="17033"/>
    <cellStyle name="Comma 31 2 3 2 2 2 2" xfId="17034"/>
    <cellStyle name="Comma 31 2 3 2 2 3" xfId="17035"/>
    <cellStyle name="Comma 31 2 3 2 3" xfId="17036"/>
    <cellStyle name="Comma 31 2 3 2 3 2" xfId="17037"/>
    <cellStyle name="Comma 31 2 3 2 4" xfId="17038"/>
    <cellStyle name="Comma 31 2 3 2 5" xfId="17039"/>
    <cellStyle name="Comma 31 2 3 3" xfId="17040"/>
    <cellStyle name="Comma 31 2 3 3 2" xfId="17041"/>
    <cellStyle name="Comma 31 2 3 3 2 2" xfId="17042"/>
    <cellStyle name="Comma 31 2 3 3 2 2 2" xfId="17043"/>
    <cellStyle name="Comma 31 2 3 3 2 3" xfId="17044"/>
    <cellStyle name="Comma 31 2 3 3 3" xfId="17045"/>
    <cellStyle name="Comma 31 2 3 3 3 2" xfId="17046"/>
    <cellStyle name="Comma 31 2 3 3 4" xfId="17047"/>
    <cellStyle name="Comma 31 2 3 4" xfId="17048"/>
    <cellStyle name="Comma 31 2 3 4 2" xfId="17049"/>
    <cellStyle name="Comma 31 2 3 4 2 2" xfId="17050"/>
    <cellStyle name="Comma 31 2 3 4 3" xfId="17051"/>
    <cellStyle name="Comma 31 2 3 5" xfId="17052"/>
    <cellStyle name="Comma 31 2 3 5 2" xfId="17053"/>
    <cellStyle name="Comma 31 2 3 5 2 2" xfId="17054"/>
    <cellStyle name="Comma 31 2 3 5 3" xfId="17055"/>
    <cellStyle name="Comma 31 2 3 6" xfId="17056"/>
    <cellStyle name="Comma 31 2 3 6 2" xfId="17057"/>
    <cellStyle name="Comma 31 2 3 7" xfId="17058"/>
    <cellStyle name="Comma 31 2 3 8" xfId="17059"/>
    <cellStyle name="Comma 31 2 3 9" xfId="41249"/>
    <cellStyle name="Comma 31 2 4" xfId="17060"/>
    <cellStyle name="Comma 31 2 4 2" xfId="17061"/>
    <cellStyle name="Comma 31 2 4 2 2" xfId="17062"/>
    <cellStyle name="Comma 31 2 4 2 2 2" xfId="17063"/>
    <cellStyle name="Comma 31 2 4 2 2 2 2" xfId="17064"/>
    <cellStyle name="Comma 31 2 4 2 2 3" xfId="17065"/>
    <cellStyle name="Comma 31 2 4 2 3" xfId="17066"/>
    <cellStyle name="Comma 31 2 4 2 3 2" xfId="17067"/>
    <cellStyle name="Comma 31 2 4 2 4" xfId="17068"/>
    <cellStyle name="Comma 31 2 4 3" xfId="17069"/>
    <cellStyle name="Comma 31 2 4 3 2" xfId="17070"/>
    <cellStyle name="Comma 31 2 4 3 2 2" xfId="17071"/>
    <cellStyle name="Comma 31 2 4 3 3" xfId="17072"/>
    <cellStyle name="Comma 31 2 4 4" xfId="17073"/>
    <cellStyle name="Comma 31 2 4 4 2" xfId="17074"/>
    <cellStyle name="Comma 31 2 4 4 2 2" xfId="17075"/>
    <cellStyle name="Comma 31 2 4 4 3" xfId="17076"/>
    <cellStyle name="Comma 31 2 4 5" xfId="17077"/>
    <cellStyle name="Comma 31 2 4 5 2" xfId="17078"/>
    <cellStyle name="Comma 31 2 4 6" xfId="17079"/>
    <cellStyle name="Comma 31 2 4 7" xfId="17080"/>
    <cellStyle name="Comma 31 2 4 8" xfId="41490"/>
    <cellStyle name="Comma 31 2 5" xfId="17081"/>
    <cellStyle name="Comma 31 2 5 2" xfId="17082"/>
    <cellStyle name="Comma 31 2 5 2 2" xfId="17083"/>
    <cellStyle name="Comma 31 2 5 2 2 2" xfId="17084"/>
    <cellStyle name="Comma 31 2 5 2 3" xfId="17085"/>
    <cellStyle name="Comma 31 2 5 3" xfId="17086"/>
    <cellStyle name="Comma 31 2 5 3 2" xfId="17087"/>
    <cellStyle name="Comma 31 2 5 4" xfId="17088"/>
    <cellStyle name="Comma 31 2 5 5" xfId="17089"/>
    <cellStyle name="Comma 31 2 5 6" xfId="40992"/>
    <cellStyle name="Comma 31 2 6" xfId="17090"/>
    <cellStyle name="Comma 31 2 6 2" xfId="17091"/>
    <cellStyle name="Comma 31 2 6 2 2" xfId="17092"/>
    <cellStyle name="Comma 31 2 6 3" xfId="17093"/>
    <cellStyle name="Comma 31 2 7" xfId="17094"/>
    <cellStyle name="Comma 31 2 7 2" xfId="17095"/>
    <cellStyle name="Comma 31 2 7 2 2" xfId="17096"/>
    <cellStyle name="Comma 31 2 7 3" xfId="17097"/>
    <cellStyle name="Comma 31 2 8" xfId="17098"/>
    <cellStyle name="Comma 31 2 8 2" xfId="17099"/>
    <cellStyle name="Comma 31 2 9" xfId="17100"/>
    <cellStyle name="Comma 31 2 9 2" xfId="17101"/>
    <cellStyle name="Comma 31 3" xfId="921"/>
    <cellStyle name="Comma 31 3 2" xfId="4477"/>
    <cellStyle name="Comma 31 3 2 2" xfId="17103"/>
    <cellStyle name="Comma 31 3 3" xfId="17104"/>
    <cellStyle name="Comma 31 3 4" xfId="17105"/>
    <cellStyle name="Comma 31 3 5" xfId="17102"/>
    <cellStyle name="Comma 31 3 6" xfId="41107"/>
    <cellStyle name="Comma 31 4" xfId="3147"/>
    <cellStyle name="Comma 31 4 2" xfId="41224"/>
    <cellStyle name="Comma 31 5" xfId="4475"/>
    <cellStyle name="Comma 31 6" xfId="16998"/>
    <cellStyle name="Comma 31 6 2" xfId="40991"/>
    <cellStyle name="Comma 31 7" xfId="40903"/>
    <cellStyle name="Comma 32" xfId="922"/>
    <cellStyle name="Comma 32 2" xfId="923"/>
    <cellStyle name="Comma 32 2 2" xfId="41127"/>
    <cellStyle name="Comma 32 2 3" xfId="41245"/>
    <cellStyle name="Comma 32 2 4" xfId="41491"/>
    <cellStyle name="Comma 32 2 5" xfId="40994"/>
    <cellStyle name="Comma 32 2 6" xfId="40932"/>
    <cellStyle name="Comma 32 3" xfId="924"/>
    <cellStyle name="Comma 32 3 2" xfId="41103"/>
    <cellStyle name="Comma 32 4" xfId="2606"/>
    <cellStyle name="Comma 32 4 2" xfId="41220"/>
    <cellStyle name="Comma 32 5" xfId="41365"/>
    <cellStyle name="Comma 32 6" xfId="40993"/>
    <cellStyle name="Comma 32 7" xfId="40892"/>
    <cellStyle name="Comma 32 8" xfId="40588"/>
    <cellStyle name="Comma 33" xfId="925"/>
    <cellStyle name="Comma 33 2" xfId="926"/>
    <cellStyle name="Comma 33 2 2" xfId="17108"/>
    <cellStyle name="Comma 33 2 2 2" xfId="17109"/>
    <cellStyle name="Comma 33 2 2 3" xfId="41132"/>
    <cellStyle name="Comma 33 2 3" xfId="17110"/>
    <cellStyle name="Comma 33 2 3 2" xfId="41250"/>
    <cellStyle name="Comma 33 2 4" xfId="17107"/>
    <cellStyle name="Comma 33 2 4 2" xfId="41492"/>
    <cellStyle name="Comma 33 2 5" xfId="40996"/>
    <cellStyle name="Comma 33 2 6" xfId="40937"/>
    <cellStyle name="Comma 33 3" xfId="2978"/>
    <cellStyle name="Comma 33 3 2" xfId="17112"/>
    <cellStyle name="Comma 33 3 3" xfId="17113"/>
    <cellStyle name="Comma 33 3 4" xfId="17114"/>
    <cellStyle name="Comma 33 3 5" xfId="17111"/>
    <cellStyle name="Comma 33 3 6" xfId="41108"/>
    <cellStyle name="Comma 33 4" xfId="4478"/>
    <cellStyle name="Comma 33 4 2" xfId="17115"/>
    <cellStyle name="Comma 33 4 3" xfId="41225"/>
    <cellStyle name="Comma 33 5" xfId="17106"/>
    <cellStyle name="Comma 33 5 2" xfId="41366"/>
    <cellStyle name="Comma 33 6" xfId="40995"/>
    <cellStyle name="Comma 33 7" xfId="40904"/>
    <cellStyle name="Comma 33 8" xfId="40589"/>
    <cellStyle name="Comma 34" xfId="927"/>
    <cellStyle name="Comma 34 2" xfId="928"/>
    <cellStyle name="Comma 34 2 2" xfId="41493"/>
    <cellStyle name="Comma 34 2 3" xfId="41393"/>
    <cellStyle name="Comma 34 2 4" xfId="40998"/>
    <cellStyle name="Comma 34 3" xfId="2607"/>
    <cellStyle name="Comma 34 3 2" xfId="41120"/>
    <cellStyle name="Comma 34 4" xfId="41238"/>
    <cellStyle name="Comma 34 5" xfId="41367"/>
    <cellStyle name="Comma 34 6" xfId="40997"/>
    <cellStyle name="Comma 34 7" xfId="40917"/>
    <cellStyle name="Comma 34 8" xfId="40590"/>
    <cellStyle name="Comma 35" xfId="929"/>
    <cellStyle name="Comma 35 2" xfId="3143"/>
    <cellStyle name="Comma 35 2 2" xfId="17118"/>
    <cellStyle name="Comma 35 2 2 2" xfId="17119"/>
    <cellStyle name="Comma 35 2 2 3" xfId="41139"/>
    <cellStyle name="Comma 35 2 3" xfId="17120"/>
    <cellStyle name="Comma 35 2 3 2" xfId="41257"/>
    <cellStyle name="Comma 35 2 4" xfId="17117"/>
    <cellStyle name="Comma 35 2 5" xfId="41000"/>
    <cellStyle name="Comma 35 2 6" xfId="40944"/>
    <cellStyle name="Comma 35 3" xfId="4479"/>
    <cellStyle name="Comma 35 3 2" xfId="17122"/>
    <cellStyle name="Comma 35 3 3" xfId="17123"/>
    <cellStyle name="Comma 35 3 4" xfId="17121"/>
    <cellStyle name="Comma 35 3 5" xfId="41123"/>
    <cellStyle name="Comma 35 4" xfId="17116"/>
    <cellStyle name="Comma 35 4 2" xfId="41241"/>
    <cellStyle name="Comma 35 5" xfId="41368"/>
    <cellStyle name="Comma 35 6" xfId="40999"/>
    <cellStyle name="Comma 35 7" xfId="40924"/>
    <cellStyle name="Comma 36" xfId="930"/>
    <cellStyle name="Comma 36 10" xfId="17125"/>
    <cellStyle name="Comma 36 11" xfId="17126"/>
    <cellStyle name="Comma 36 12" xfId="17124"/>
    <cellStyle name="Comma 36 2" xfId="931"/>
    <cellStyle name="Comma 36 2 10" xfId="41001"/>
    <cellStyle name="Comma 36 2 2" xfId="17128"/>
    <cellStyle name="Comma 36 2 2 2" xfId="17129"/>
    <cellStyle name="Comma 36 2 2 2 2" xfId="17130"/>
    <cellStyle name="Comma 36 2 2 2 2 2" xfId="17131"/>
    <cellStyle name="Comma 36 2 2 2 3" xfId="17132"/>
    <cellStyle name="Comma 36 2 2 3" xfId="17133"/>
    <cellStyle name="Comma 36 2 2 3 2" xfId="17134"/>
    <cellStyle name="Comma 36 2 2 4" xfId="17135"/>
    <cellStyle name="Comma 36 2 2 5" xfId="17136"/>
    <cellStyle name="Comma 36 2 3" xfId="17137"/>
    <cellStyle name="Comma 36 2 3 2" xfId="17138"/>
    <cellStyle name="Comma 36 2 3 2 2" xfId="17139"/>
    <cellStyle name="Comma 36 2 3 2 2 2" xfId="17140"/>
    <cellStyle name="Comma 36 2 3 2 3" xfId="17141"/>
    <cellStyle name="Comma 36 2 3 3" xfId="17142"/>
    <cellStyle name="Comma 36 2 3 3 2" xfId="17143"/>
    <cellStyle name="Comma 36 2 3 4" xfId="17144"/>
    <cellStyle name="Comma 36 2 4" xfId="17145"/>
    <cellStyle name="Comma 36 2 4 2" xfId="17146"/>
    <cellStyle name="Comma 36 2 4 2 2" xfId="17147"/>
    <cellStyle name="Comma 36 2 4 3" xfId="17148"/>
    <cellStyle name="Comma 36 2 5" xfId="17149"/>
    <cellStyle name="Comma 36 2 5 2" xfId="17150"/>
    <cellStyle name="Comma 36 2 5 2 2" xfId="17151"/>
    <cellStyle name="Comma 36 2 5 3" xfId="17152"/>
    <cellStyle name="Comma 36 2 6" xfId="17153"/>
    <cellStyle name="Comma 36 2 6 2" xfId="17154"/>
    <cellStyle name="Comma 36 2 7" xfId="17155"/>
    <cellStyle name="Comma 36 2 7 2" xfId="17156"/>
    <cellStyle name="Comma 36 2 8" xfId="17157"/>
    <cellStyle name="Comma 36 2 9" xfId="17127"/>
    <cellStyle name="Comma 36 3" xfId="3161"/>
    <cellStyle name="Comma 36 3 2" xfId="17159"/>
    <cellStyle name="Comma 36 3 2 2" xfId="17160"/>
    <cellStyle name="Comma 36 3 2 2 2" xfId="17161"/>
    <cellStyle name="Comma 36 3 2 2 2 2" xfId="17162"/>
    <cellStyle name="Comma 36 3 2 2 3" xfId="17163"/>
    <cellStyle name="Comma 36 3 2 3" xfId="17164"/>
    <cellStyle name="Comma 36 3 2 3 2" xfId="17165"/>
    <cellStyle name="Comma 36 3 2 4" xfId="17166"/>
    <cellStyle name="Comma 36 3 2 5" xfId="17167"/>
    <cellStyle name="Comma 36 3 3" xfId="17168"/>
    <cellStyle name="Comma 36 3 3 2" xfId="17169"/>
    <cellStyle name="Comma 36 3 3 2 2" xfId="17170"/>
    <cellStyle name="Comma 36 3 3 2 2 2" xfId="17171"/>
    <cellStyle name="Comma 36 3 3 2 3" xfId="17172"/>
    <cellStyle name="Comma 36 3 3 3" xfId="17173"/>
    <cellStyle name="Comma 36 3 3 3 2" xfId="17174"/>
    <cellStyle name="Comma 36 3 3 4" xfId="17175"/>
    <cellStyle name="Comma 36 3 4" xfId="17176"/>
    <cellStyle name="Comma 36 3 4 2" xfId="17177"/>
    <cellStyle name="Comma 36 3 4 2 2" xfId="17178"/>
    <cellStyle name="Comma 36 3 4 3" xfId="17179"/>
    <cellStyle name="Comma 36 3 5" xfId="17180"/>
    <cellStyle name="Comma 36 3 5 2" xfId="17181"/>
    <cellStyle name="Comma 36 3 5 2 2" xfId="17182"/>
    <cellStyle name="Comma 36 3 5 3" xfId="17183"/>
    <cellStyle name="Comma 36 3 6" xfId="17184"/>
    <cellStyle name="Comma 36 3 6 2" xfId="17185"/>
    <cellStyle name="Comma 36 3 7" xfId="17186"/>
    <cellStyle name="Comma 36 3 8" xfId="17187"/>
    <cellStyle name="Comma 36 3 9" xfId="17158"/>
    <cellStyle name="Comma 36 4" xfId="4480"/>
    <cellStyle name="Comma 36 4 2" xfId="17189"/>
    <cellStyle name="Comma 36 4 2 2" xfId="17190"/>
    <cellStyle name="Comma 36 4 2 2 2" xfId="17191"/>
    <cellStyle name="Comma 36 4 2 2 2 2" xfId="17192"/>
    <cellStyle name="Comma 36 4 2 2 3" xfId="17193"/>
    <cellStyle name="Comma 36 4 2 3" xfId="17194"/>
    <cellStyle name="Comma 36 4 2 3 2" xfId="17195"/>
    <cellStyle name="Comma 36 4 2 4" xfId="17196"/>
    <cellStyle name="Comma 36 4 2 5" xfId="17197"/>
    <cellStyle name="Comma 36 4 3" xfId="17198"/>
    <cellStyle name="Comma 36 4 3 2" xfId="17199"/>
    <cellStyle name="Comma 36 4 3 2 2" xfId="17200"/>
    <cellStyle name="Comma 36 4 3 2 2 2" xfId="17201"/>
    <cellStyle name="Comma 36 4 3 2 3" xfId="17202"/>
    <cellStyle name="Comma 36 4 3 3" xfId="17203"/>
    <cellStyle name="Comma 36 4 3 3 2" xfId="17204"/>
    <cellStyle name="Comma 36 4 3 4" xfId="17205"/>
    <cellStyle name="Comma 36 4 4" xfId="17206"/>
    <cellStyle name="Comma 36 4 4 2" xfId="17207"/>
    <cellStyle name="Comma 36 4 4 2 2" xfId="17208"/>
    <cellStyle name="Comma 36 4 4 3" xfId="17209"/>
    <cellStyle name="Comma 36 4 5" xfId="17210"/>
    <cellStyle name="Comma 36 4 5 2" xfId="17211"/>
    <cellStyle name="Comma 36 4 5 2 2" xfId="17212"/>
    <cellStyle name="Comma 36 4 5 3" xfId="17213"/>
    <cellStyle name="Comma 36 4 6" xfId="17214"/>
    <cellStyle name="Comma 36 4 6 2" xfId="17215"/>
    <cellStyle name="Comma 36 4 7" xfId="17216"/>
    <cellStyle name="Comma 36 4 8" xfId="17217"/>
    <cellStyle name="Comma 36 4 9" xfId="17188"/>
    <cellStyle name="Comma 36 5" xfId="17218"/>
    <cellStyle name="Comma 36 5 2" xfId="17219"/>
    <cellStyle name="Comma 36 5 2 2" xfId="17220"/>
    <cellStyle name="Comma 36 5 2 2 2" xfId="17221"/>
    <cellStyle name="Comma 36 5 2 2 2 2" xfId="17222"/>
    <cellStyle name="Comma 36 5 2 2 3" xfId="17223"/>
    <cellStyle name="Comma 36 5 2 3" xfId="17224"/>
    <cellStyle name="Comma 36 5 2 3 2" xfId="17225"/>
    <cellStyle name="Comma 36 5 2 4" xfId="17226"/>
    <cellStyle name="Comma 36 5 3" xfId="17227"/>
    <cellStyle name="Comma 36 5 3 2" xfId="17228"/>
    <cellStyle name="Comma 36 5 3 2 2" xfId="17229"/>
    <cellStyle name="Comma 36 5 3 3" xfId="17230"/>
    <cellStyle name="Comma 36 5 4" xfId="17231"/>
    <cellStyle name="Comma 36 5 4 2" xfId="17232"/>
    <cellStyle name="Comma 36 5 4 2 2" xfId="17233"/>
    <cellStyle name="Comma 36 5 4 3" xfId="17234"/>
    <cellStyle name="Comma 36 5 5" xfId="17235"/>
    <cellStyle name="Comma 36 5 5 2" xfId="17236"/>
    <cellStyle name="Comma 36 5 6" xfId="17237"/>
    <cellStyle name="Comma 36 5 7" xfId="17238"/>
    <cellStyle name="Comma 36 6" xfId="17239"/>
    <cellStyle name="Comma 36 6 2" xfId="17240"/>
    <cellStyle name="Comma 36 6 2 2" xfId="17241"/>
    <cellStyle name="Comma 36 6 2 2 2" xfId="17242"/>
    <cellStyle name="Comma 36 6 2 3" xfId="17243"/>
    <cellStyle name="Comma 36 6 3" xfId="17244"/>
    <cellStyle name="Comma 36 6 3 2" xfId="17245"/>
    <cellStyle name="Comma 36 6 4" xfId="17246"/>
    <cellStyle name="Comma 36 6 5" xfId="17247"/>
    <cellStyle name="Comma 36 7" xfId="17248"/>
    <cellStyle name="Comma 36 7 2" xfId="17249"/>
    <cellStyle name="Comma 36 7 2 2" xfId="17250"/>
    <cellStyle name="Comma 36 7 3" xfId="17251"/>
    <cellStyle name="Comma 36 8" xfId="17252"/>
    <cellStyle name="Comma 36 8 2" xfId="17253"/>
    <cellStyle name="Comma 36 8 2 2" xfId="17254"/>
    <cellStyle name="Comma 36 8 3" xfId="17255"/>
    <cellStyle name="Comma 36 9" xfId="17256"/>
    <cellStyle name="Comma 36 9 2" xfId="17257"/>
    <cellStyle name="Comma 37" xfId="932"/>
    <cellStyle name="Comma 37 2" xfId="933"/>
    <cellStyle name="Comma 37 2 2" xfId="41002"/>
    <cellStyle name="Comma 37 3" xfId="2608"/>
    <cellStyle name="Comma 37 4" xfId="40591"/>
    <cellStyle name="Comma 38" xfId="934"/>
    <cellStyle name="Comma 38 10" xfId="17258"/>
    <cellStyle name="Comma 38 2" xfId="935"/>
    <cellStyle name="Comma 38 2 2" xfId="17259"/>
    <cellStyle name="Comma 38 2 3" xfId="41003"/>
    <cellStyle name="Comma 38 3" xfId="2921"/>
    <cellStyle name="Comma 38 3 2" xfId="17261"/>
    <cellStyle name="Comma 38 3 2 2" xfId="17262"/>
    <cellStyle name="Comma 38 3 2 2 2" xfId="17263"/>
    <cellStyle name="Comma 38 3 2 2 2 2" xfId="17264"/>
    <cellStyle name="Comma 38 3 2 2 3" xfId="17265"/>
    <cellStyle name="Comma 38 3 2 3" xfId="17266"/>
    <cellStyle name="Comma 38 3 2 3 2" xfId="17267"/>
    <cellStyle name="Comma 38 3 2 4" xfId="17268"/>
    <cellStyle name="Comma 38 3 3" xfId="17269"/>
    <cellStyle name="Comma 38 3 3 2" xfId="17270"/>
    <cellStyle name="Comma 38 3 3 2 2" xfId="17271"/>
    <cellStyle name="Comma 38 3 3 3" xfId="17272"/>
    <cellStyle name="Comma 38 3 4" xfId="17273"/>
    <cellStyle name="Comma 38 3 4 2" xfId="17274"/>
    <cellStyle name="Comma 38 3 4 2 2" xfId="17275"/>
    <cellStyle name="Comma 38 3 4 3" xfId="17276"/>
    <cellStyle name="Comma 38 3 5" xfId="17277"/>
    <cellStyle name="Comma 38 3 5 2" xfId="17278"/>
    <cellStyle name="Comma 38 3 6" xfId="17279"/>
    <cellStyle name="Comma 38 3 7" xfId="17280"/>
    <cellStyle name="Comma 38 3 8" xfId="17260"/>
    <cellStyle name="Comma 38 4" xfId="3275"/>
    <cellStyle name="Comma 38 4 2" xfId="17282"/>
    <cellStyle name="Comma 38 4 2 2" xfId="17283"/>
    <cellStyle name="Comma 38 4 2 2 2" xfId="17284"/>
    <cellStyle name="Comma 38 4 2 3" xfId="17285"/>
    <cellStyle name="Comma 38 4 3" xfId="17286"/>
    <cellStyle name="Comma 38 4 3 2" xfId="17287"/>
    <cellStyle name="Comma 38 4 4" xfId="17288"/>
    <cellStyle name="Comma 38 4 5" xfId="17289"/>
    <cellStyle name="Comma 38 4 6" xfId="17281"/>
    <cellStyle name="Comma 38 5" xfId="17290"/>
    <cellStyle name="Comma 38 5 2" xfId="17291"/>
    <cellStyle name="Comma 38 5 2 2" xfId="17292"/>
    <cellStyle name="Comma 38 5 3" xfId="17293"/>
    <cellStyle name="Comma 38 6" xfId="17294"/>
    <cellStyle name="Comma 38 6 2" xfId="17295"/>
    <cellStyle name="Comma 38 6 2 2" xfId="17296"/>
    <cellStyle name="Comma 38 6 3" xfId="17297"/>
    <cellStyle name="Comma 38 7" xfId="17298"/>
    <cellStyle name="Comma 38 7 2" xfId="17299"/>
    <cellStyle name="Comma 38 8" xfId="17300"/>
    <cellStyle name="Comma 38 8 2" xfId="17301"/>
    <cellStyle name="Comma 38 9" xfId="17302"/>
    <cellStyle name="Comma 39" xfId="936"/>
    <cellStyle name="Comma 39 2" xfId="937"/>
    <cellStyle name="Comma 39 2 2" xfId="41494"/>
    <cellStyle name="Comma 39 3" xfId="2609"/>
    <cellStyle name="Comma 39 3 2" xfId="41370"/>
    <cellStyle name="Comma 39 4" xfId="41004"/>
    <cellStyle name="Comma 39 5" xfId="40592"/>
    <cellStyle name="Comma 4" xfId="27"/>
    <cellStyle name="Comma 4 10" xfId="938"/>
    <cellStyle name="Comma 4 10 2" xfId="7800"/>
    <cellStyle name="Comma 4 11" xfId="4481"/>
    <cellStyle name="Comma 4 12" xfId="17303"/>
    <cellStyle name="Comma 4 13" xfId="40424"/>
    <cellStyle name="Comma 4 2" xfId="939"/>
    <cellStyle name="Comma 4 2 2" xfId="55"/>
    <cellStyle name="Comma 4 2 2 2" xfId="941"/>
    <cellStyle name="Comma 4 2 2 2 2" xfId="41005"/>
    <cellStyle name="Comma 4 2 2 3" xfId="2951"/>
    <cellStyle name="Comma 4 2 2 3 2" xfId="41311"/>
    <cellStyle name="Comma 4 2 2 4" xfId="940"/>
    <cellStyle name="Comma 4 2 2 4 2" xfId="43461"/>
    <cellStyle name="Comma 4 2 2 5" xfId="4483"/>
    <cellStyle name="Comma 4 2 2 6" xfId="40426"/>
    <cellStyle name="Comma 4 2 3" xfId="942"/>
    <cellStyle name="Comma 4 2 3 2" xfId="4484"/>
    <cellStyle name="Comma 4 2 3 2 2" xfId="17304"/>
    <cellStyle name="Comma 4 2 3 3" xfId="43462"/>
    <cellStyle name="Comma 4 2 3 4" xfId="40427"/>
    <cellStyle name="Comma 4 2 4" xfId="2416"/>
    <cellStyle name="Comma 4 2 4 2" xfId="3472"/>
    <cellStyle name="Comma 4 2 4 2 2" xfId="43463"/>
    <cellStyle name="Comma 4 2 4 3" xfId="17305"/>
    <cellStyle name="Comma 4 2 4 4" xfId="40428"/>
    <cellStyle name="Comma 4 2 5" xfId="4485"/>
    <cellStyle name="Comma 4 2 5 2" xfId="40516"/>
    <cellStyle name="Comma 4 2 5 3" xfId="43425"/>
    <cellStyle name="Comma 4 2 5 4" xfId="40429"/>
    <cellStyle name="Comma 4 2 6" xfId="7801"/>
    <cellStyle name="Comma 4 2 6 2" xfId="43464"/>
    <cellStyle name="Comma 4 2 6 3" xfId="40430"/>
    <cellStyle name="Comma 4 2 7" xfId="4482"/>
    <cellStyle name="Comma 4 2 8" xfId="40425"/>
    <cellStyle name="Comma 4 2_5" xfId="40431"/>
    <cellStyle name="Comma 4 3" xfId="943"/>
    <cellStyle name="Comma 4 3 2" xfId="944"/>
    <cellStyle name="Comma 4 3 2 2" xfId="2952"/>
    <cellStyle name="Comma 4 3 2 3" xfId="4486"/>
    <cellStyle name="Comma 4 3 2 3 2" xfId="17306"/>
    <cellStyle name="Comma 4 3 2 4" xfId="42129"/>
    <cellStyle name="Comma 4 3 3" xfId="945"/>
    <cellStyle name="Comma 4 3 3 2" xfId="17307"/>
    <cellStyle name="Comma 4 3 4" xfId="946"/>
    <cellStyle name="Comma 4 3 5" xfId="2417"/>
    <cellStyle name="Comma 4 3 6" xfId="40432"/>
    <cellStyle name="Comma 4 4" xfId="947"/>
    <cellStyle name="Comma 4 4 2" xfId="948"/>
    <cellStyle name="Comma 4 4 2 2" xfId="17308"/>
    <cellStyle name="Comma 4 4 3" xfId="4487"/>
    <cellStyle name="Comma 4 4 4" xfId="40433"/>
    <cellStyle name="Comma 4 5" xfId="949"/>
    <cellStyle name="Comma 4 5 2" xfId="2953"/>
    <cellStyle name="Comma 4 5 2 2" xfId="17310"/>
    <cellStyle name="Comma 4 5 2 3" xfId="41835"/>
    <cellStyle name="Comma 4 5 3" xfId="4488"/>
    <cellStyle name="Comma 4 5 3 2" xfId="17311"/>
    <cellStyle name="Comma 4 5 4" xfId="17312"/>
    <cellStyle name="Comma 4 5 5" xfId="17309"/>
    <cellStyle name="Comma 4 6" xfId="950"/>
    <cellStyle name="Comma 4 6 2" xfId="3107"/>
    <cellStyle name="Comma 4 6 2 2" xfId="17314"/>
    <cellStyle name="Comma 4 6 3" xfId="17315"/>
    <cellStyle name="Comma 4 6 4" xfId="17313"/>
    <cellStyle name="Comma 4 6 5" xfId="40434"/>
    <cellStyle name="Comma 4 7" xfId="951"/>
    <cellStyle name="Comma 4 7 2" xfId="2950"/>
    <cellStyle name="Comma 4 7 2 2" xfId="43465"/>
    <cellStyle name="Comma 4 7 3" xfId="4489"/>
    <cellStyle name="Comma 4 7 4" xfId="17316"/>
    <cellStyle name="Comma 4 7 5" xfId="40435"/>
    <cellStyle name="Comma 4 8" xfId="952"/>
    <cellStyle name="Comma 4 8 2" xfId="4491"/>
    <cellStyle name="Comma 4 8 3" xfId="4490"/>
    <cellStyle name="Comma 4 8 4" xfId="40731"/>
    <cellStyle name="Comma 4 9" xfId="2415"/>
    <cellStyle name="Comma 4 9 2" xfId="3245"/>
    <cellStyle name="Comma 4 9 3" xfId="4492"/>
    <cellStyle name="Comma 4_5" xfId="40436"/>
    <cellStyle name="Comma 40" xfId="953"/>
    <cellStyle name="Comma 40 2" xfId="954"/>
    <cellStyle name="Comma 40 2 2" xfId="17317"/>
    <cellStyle name="Comma 40 2 3" xfId="41495"/>
    <cellStyle name="Comma 40 3" xfId="2418"/>
    <cellStyle name="Comma 40 4" xfId="4493"/>
    <cellStyle name="Comma 40 4 2" xfId="41006"/>
    <cellStyle name="Comma 41" xfId="955"/>
    <cellStyle name="Comma 41 10" xfId="17318"/>
    <cellStyle name="Comma 41 2" xfId="956"/>
    <cellStyle name="Comma 41 2 2" xfId="17320"/>
    <cellStyle name="Comma 41 2 2 2" xfId="17321"/>
    <cellStyle name="Comma 41 2 3" xfId="17319"/>
    <cellStyle name="Comma 41 2 4" xfId="41007"/>
    <cellStyle name="Comma 41 3" xfId="2940"/>
    <cellStyle name="Comma 41 3 2" xfId="17323"/>
    <cellStyle name="Comma 41 3 2 2" xfId="17324"/>
    <cellStyle name="Comma 41 3 2 2 2" xfId="17325"/>
    <cellStyle name="Comma 41 3 2 2 2 2" xfId="17326"/>
    <cellStyle name="Comma 41 3 2 2 3" xfId="17327"/>
    <cellStyle name="Comma 41 3 2 3" xfId="17328"/>
    <cellStyle name="Comma 41 3 2 3 2" xfId="17329"/>
    <cellStyle name="Comma 41 3 2 4" xfId="17330"/>
    <cellStyle name="Comma 41 3 3" xfId="17331"/>
    <cellStyle name="Comma 41 3 3 2" xfId="17332"/>
    <cellStyle name="Comma 41 3 3 2 2" xfId="17333"/>
    <cellStyle name="Comma 41 3 3 3" xfId="17334"/>
    <cellStyle name="Comma 41 3 4" xfId="17335"/>
    <cellStyle name="Comma 41 3 4 2" xfId="17336"/>
    <cellStyle name="Comma 41 3 4 2 2" xfId="17337"/>
    <cellStyle name="Comma 41 3 4 3" xfId="17338"/>
    <cellStyle name="Comma 41 3 5" xfId="17339"/>
    <cellStyle name="Comma 41 3 5 2" xfId="17340"/>
    <cellStyle name="Comma 41 3 6" xfId="17341"/>
    <cellStyle name="Comma 41 3 7" xfId="17342"/>
    <cellStyle name="Comma 41 3 8" xfId="17322"/>
    <cellStyle name="Comma 41 4" xfId="17343"/>
    <cellStyle name="Comma 41 4 2" xfId="17344"/>
    <cellStyle name="Comma 41 4 2 2" xfId="17345"/>
    <cellStyle name="Comma 41 4 2 2 2" xfId="17346"/>
    <cellStyle name="Comma 41 4 2 3" xfId="17347"/>
    <cellStyle name="Comma 41 4 3" xfId="17348"/>
    <cellStyle name="Comma 41 4 3 2" xfId="17349"/>
    <cellStyle name="Comma 41 4 4" xfId="17350"/>
    <cellStyle name="Comma 41 4 5" xfId="17351"/>
    <cellStyle name="Comma 41 5" xfId="17352"/>
    <cellStyle name="Comma 41 5 2" xfId="17353"/>
    <cellStyle name="Comma 41 5 2 2" xfId="17354"/>
    <cellStyle name="Comma 41 5 3" xfId="17355"/>
    <cellStyle name="Comma 41 6" xfId="17356"/>
    <cellStyle name="Comma 41 6 2" xfId="17357"/>
    <cellStyle name="Comma 41 6 2 2" xfId="17358"/>
    <cellStyle name="Comma 41 6 3" xfId="17359"/>
    <cellStyle name="Comma 41 7" xfId="17360"/>
    <cellStyle name="Comma 41 7 2" xfId="17361"/>
    <cellStyle name="Comma 41 8" xfId="17362"/>
    <cellStyle name="Comma 41 9" xfId="17363"/>
    <cellStyle name="Comma 42" xfId="957"/>
    <cellStyle name="Comma 42 2" xfId="958"/>
    <cellStyle name="Comma 42 2 2" xfId="41008"/>
    <cellStyle name="Comma 43" xfId="959"/>
    <cellStyle name="Comma 43 2" xfId="960"/>
    <cellStyle name="Comma 43 2 2" xfId="41009"/>
    <cellStyle name="Comma 44" xfId="961"/>
    <cellStyle name="Comma 44 2" xfId="962"/>
    <cellStyle name="Comma 44 2 2" xfId="41010"/>
    <cellStyle name="Comma 45" xfId="963"/>
    <cellStyle name="Comma 45 2" xfId="964"/>
    <cellStyle name="Comma 45 2 2" xfId="17365"/>
    <cellStyle name="Comma 45 2 3" xfId="41011"/>
    <cellStyle name="Comma 45 3" xfId="3154"/>
    <cellStyle name="Comma 45 4" xfId="17364"/>
    <cellStyle name="Comma 46" xfId="965"/>
    <cellStyle name="Comma 46 2" xfId="966"/>
    <cellStyle name="Comma 46 2 2" xfId="41012"/>
    <cellStyle name="Comma 47" xfId="967"/>
    <cellStyle name="Comma 47 2" xfId="968"/>
    <cellStyle name="Comma 47 2 2" xfId="17366"/>
    <cellStyle name="Comma 47 2 3" xfId="41013"/>
    <cellStyle name="Comma 47 3" xfId="5154"/>
    <cellStyle name="Comma 48" xfId="969"/>
    <cellStyle name="Comma 48 2" xfId="970"/>
    <cellStyle name="Comma 48 2 2" xfId="41715"/>
    <cellStyle name="Comma 48 2 2 2" xfId="42018"/>
    <cellStyle name="Comma 48 2 2 2 2" xfId="42598"/>
    <cellStyle name="Comma 48 2 2 2 2 2" xfId="42956"/>
    <cellStyle name="Comma 48 2 2 2 2 2 2" xfId="44809"/>
    <cellStyle name="Comma 48 2 2 2 2 3" xfId="44460"/>
    <cellStyle name="Comma 48 2 2 2 3" xfId="42955"/>
    <cellStyle name="Comma 48 2 2 2 3 2" xfId="44808"/>
    <cellStyle name="Comma 48 2 2 2 4" xfId="44059"/>
    <cellStyle name="Comma 48 2 2 3" xfId="42432"/>
    <cellStyle name="Comma 48 2 2 3 2" xfId="42957"/>
    <cellStyle name="Comma 48 2 2 3 2 2" xfId="44810"/>
    <cellStyle name="Comma 48 2 2 3 3" xfId="44294"/>
    <cellStyle name="Comma 48 2 2 4" xfId="42954"/>
    <cellStyle name="Comma 48 2 2 4 2" xfId="44807"/>
    <cellStyle name="Comma 48 2 2 5" xfId="43877"/>
    <cellStyle name="Comma 48 2 3" xfId="41932"/>
    <cellStyle name="Comma 48 2 3 2" xfId="42512"/>
    <cellStyle name="Comma 48 2 3 2 2" xfId="42959"/>
    <cellStyle name="Comma 48 2 3 2 2 2" xfId="44812"/>
    <cellStyle name="Comma 48 2 3 2 3" xfId="44374"/>
    <cellStyle name="Comma 48 2 3 3" xfId="42958"/>
    <cellStyle name="Comma 48 2 3 3 2" xfId="44811"/>
    <cellStyle name="Comma 48 2 3 4" xfId="43973"/>
    <cellStyle name="Comma 48 2 4" xfId="42346"/>
    <cellStyle name="Comma 48 2 4 2" xfId="42960"/>
    <cellStyle name="Comma 48 2 4 2 2" xfId="44813"/>
    <cellStyle name="Comma 48 2 4 3" xfId="44208"/>
    <cellStyle name="Comma 48 2 5" xfId="42953"/>
    <cellStyle name="Comma 48 2 5 2" xfId="44806"/>
    <cellStyle name="Comma 48 2 6" xfId="43737"/>
    <cellStyle name="Comma 48 2 7" xfId="41261"/>
    <cellStyle name="Comma 48 3" xfId="2610"/>
    <cellStyle name="Comma 48 4" xfId="41917"/>
    <cellStyle name="Comma 48 4 2" xfId="42498"/>
    <cellStyle name="Comma 48 4 2 2" xfId="42962"/>
    <cellStyle name="Comma 48 4 2 2 2" xfId="44815"/>
    <cellStyle name="Comma 48 4 2 3" xfId="44360"/>
    <cellStyle name="Comma 48 4 3" xfId="42961"/>
    <cellStyle name="Comma 48 4 3 2" xfId="44814"/>
    <cellStyle name="Comma 48 4 4" xfId="43959"/>
    <cellStyle name="Comma 48 5" xfId="42332"/>
    <cellStyle name="Comma 48 5 2" xfId="42963"/>
    <cellStyle name="Comma 48 5 2 2" xfId="44816"/>
    <cellStyle name="Comma 48 5 3" xfId="44194"/>
    <cellStyle name="Comma 48 6" xfId="42952"/>
    <cellStyle name="Comma 48 6 2" xfId="44805"/>
    <cellStyle name="Comma 48 7" xfId="43700"/>
    <cellStyle name="Comma 48 8" xfId="41014"/>
    <cellStyle name="Comma 49" xfId="971"/>
    <cellStyle name="Comma 49 2" xfId="972"/>
    <cellStyle name="Comma 49 2 2" xfId="17369"/>
    <cellStyle name="Comma 49 2 2 2" xfId="17370"/>
    <cellStyle name="Comma 49 2 2 2 2" xfId="42599"/>
    <cellStyle name="Comma 49 2 2 2 2 2" xfId="42968"/>
    <cellStyle name="Comma 49 2 2 2 2 2 2" xfId="44821"/>
    <cellStyle name="Comma 49 2 2 2 2 3" xfId="44461"/>
    <cellStyle name="Comma 49 2 2 2 3" xfId="42967"/>
    <cellStyle name="Comma 49 2 2 2 3 2" xfId="44820"/>
    <cellStyle name="Comma 49 2 2 2 4" xfId="44060"/>
    <cellStyle name="Comma 49 2 2 2 5" xfId="42019"/>
    <cellStyle name="Comma 49 2 2 3" xfId="42433"/>
    <cellStyle name="Comma 49 2 2 3 2" xfId="42969"/>
    <cellStyle name="Comma 49 2 2 3 2 2" xfId="44822"/>
    <cellStyle name="Comma 49 2 2 3 3" xfId="44295"/>
    <cellStyle name="Comma 49 2 2 4" xfId="42966"/>
    <cellStyle name="Comma 49 2 2 4 2" xfId="44819"/>
    <cellStyle name="Comma 49 2 2 5" xfId="43878"/>
    <cellStyle name="Comma 49 2 2 6" xfId="41716"/>
    <cellStyle name="Comma 49 2 3" xfId="17371"/>
    <cellStyle name="Comma 49 2 3 2" xfId="42520"/>
    <cellStyle name="Comma 49 2 3 2 2" xfId="42971"/>
    <cellStyle name="Comma 49 2 3 2 2 2" xfId="44824"/>
    <cellStyle name="Comma 49 2 3 2 3" xfId="44382"/>
    <cellStyle name="Comma 49 2 3 3" xfId="42970"/>
    <cellStyle name="Comma 49 2 3 3 2" xfId="44823"/>
    <cellStyle name="Comma 49 2 3 4" xfId="43981"/>
    <cellStyle name="Comma 49 2 3 5" xfId="41940"/>
    <cellStyle name="Comma 49 2 4" xfId="17368"/>
    <cellStyle name="Comma 49 2 4 2" xfId="42972"/>
    <cellStyle name="Comma 49 2 4 2 2" xfId="44825"/>
    <cellStyle name="Comma 49 2 4 3" xfId="44216"/>
    <cellStyle name="Comma 49 2 4 4" xfId="42354"/>
    <cellStyle name="Comma 49 2 5" xfId="42965"/>
    <cellStyle name="Comma 49 2 5 2" xfId="44818"/>
    <cellStyle name="Comma 49 2 6" xfId="43745"/>
    <cellStyle name="Comma 49 2 7" xfId="41269"/>
    <cellStyle name="Comma 49 3" xfId="2930"/>
    <cellStyle name="Comma 49 3 2" xfId="17372"/>
    <cellStyle name="Comma 49 4" xfId="3636"/>
    <cellStyle name="Comma 49 4 2" xfId="17373"/>
    <cellStyle name="Comma 49 4 2 2" xfId="42974"/>
    <cellStyle name="Comma 49 4 2 2 2" xfId="44827"/>
    <cellStyle name="Comma 49 4 2 3" xfId="44368"/>
    <cellStyle name="Comma 49 4 2 4" xfId="42506"/>
    <cellStyle name="Comma 49 4 3" xfId="42973"/>
    <cellStyle name="Comma 49 4 3 2" xfId="44826"/>
    <cellStyle name="Comma 49 4 4" xfId="43967"/>
    <cellStyle name="Comma 49 4 5" xfId="41925"/>
    <cellStyle name="Comma 49 5" xfId="17374"/>
    <cellStyle name="Comma 49 5 2" xfId="42975"/>
    <cellStyle name="Comma 49 5 2 2" xfId="44828"/>
    <cellStyle name="Comma 49 5 3" xfId="44202"/>
    <cellStyle name="Comma 49 5 4" xfId="42340"/>
    <cellStyle name="Comma 49 6" xfId="17367"/>
    <cellStyle name="Comma 49 6 2" xfId="44817"/>
    <cellStyle name="Comma 49 6 3" xfId="42964"/>
    <cellStyle name="Comma 49 7" xfId="43720"/>
    <cellStyle name="Comma 49 8" xfId="41147"/>
    <cellStyle name="Comma 5" xfId="40"/>
    <cellStyle name="Comma 5 10" xfId="974"/>
    <cellStyle name="Comma 5 10 2" xfId="5155"/>
    <cellStyle name="Comma 5 11" xfId="40437"/>
    <cellStyle name="Comma 5 2" xfId="56"/>
    <cellStyle name="Comma 5 2 2" xfId="976"/>
    <cellStyle name="Comma 5 2 2 2" xfId="977"/>
    <cellStyle name="Comma 5 2 2 3" xfId="2955"/>
    <cellStyle name="Comma 5 2 3" xfId="978"/>
    <cellStyle name="Comma 5 2 4" xfId="979"/>
    <cellStyle name="Comma 5 2 4 2" xfId="17375"/>
    <cellStyle name="Comma 5 2 4 3" xfId="40732"/>
    <cellStyle name="Comma 5 2 5" xfId="975"/>
    <cellStyle name="Comma 5 2 6" xfId="3599"/>
    <cellStyle name="Comma 5 2 7" xfId="40438"/>
    <cellStyle name="Comma 5 3" xfId="980"/>
    <cellStyle name="Comma 5 3 2" xfId="981"/>
    <cellStyle name="Comma 5 3 2 2" xfId="5156"/>
    <cellStyle name="Comma 5 3 2 2 2" xfId="17378"/>
    <cellStyle name="Comma 5 3 2 3" xfId="17377"/>
    <cellStyle name="Comma 5 3 3" xfId="2956"/>
    <cellStyle name="Comma 5 3 3 2" xfId="40830"/>
    <cellStyle name="Comma 5 3 4" xfId="17376"/>
    <cellStyle name="Comma 5 3 4 2" xfId="43466"/>
    <cellStyle name="Comma 5 4" xfId="982"/>
    <cellStyle name="Comma 5 4 2" xfId="983"/>
    <cellStyle name="Comma 5 4 2 2" xfId="17379"/>
    <cellStyle name="Comma 5 4 2 3" xfId="40929"/>
    <cellStyle name="Comma 5 4 3" xfId="984"/>
    <cellStyle name="Comma 5 4 4" xfId="2957"/>
    <cellStyle name="Comma 5 4 5" xfId="40864"/>
    <cellStyle name="Comma 5 5" xfId="985"/>
    <cellStyle name="Comma 5 5 2" xfId="2958"/>
    <cellStyle name="Comma 5 5 3" xfId="5157"/>
    <cellStyle name="Comma 5 5 4" xfId="40918"/>
    <cellStyle name="Comma 5 6" xfId="3108"/>
    <cellStyle name="Comma 5 6 2" xfId="5158"/>
    <cellStyle name="Comma 5 7" xfId="2954"/>
    <cellStyle name="Comma 5 7 2" xfId="5159"/>
    <cellStyle name="Comma 5 7 3" xfId="17380"/>
    <cellStyle name="Comma 5 8" xfId="2419"/>
    <cellStyle name="Comma 5 8 2" xfId="4494"/>
    <cellStyle name="Comma 5 8 3" xfId="42286"/>
    <cellStyle name="Comma 5 9" xfId="4495"/>
    <cellStyle name="Comma 5 9 2" xfId="43404"/>
    <cellStyle name="Comma 5_5" xfId="40439"/>
    <cellStyle name="Comma 50" xfId="986"/>
    <cellStyle name="Comma 50 2" xfId="987"/>
    <cellStyle name="Comma 50 2 2" xfId="988"/>
    <cellStyle name="Comma 50 2 2 2" xfId="42020"/>
    <cellStyle name="Comma 50 2 2 2 2" xfId="42600"/>
    <cellStyle name="Comma 50 2 2 2 2 2" xfId="42980"/>
    <cellStyle name="Comma 50 2 2 2 2 2 2" xfId="44833"/>
    <cellStyle name="Comma 50 2 2 2 2 3" xfId="44462"/>
    <cellStyle name="Comma 50 2 2 2 3" xfId="42979"/>
    <cellStyle name="Comma 50 2 2 2 3 2" xfId="44832"/>
    <cellStyle name="Comma 50 2 2 2 4" xfId="44061"/>
    <cellStyle name="Comma 50 2 2 3" xfId="42434"/>
    <cellStyle name="Comma 50 2 2 3 2" xfId="42981"/>
    <cellStyle name="Comma 50 2 2 3 2 2" xfId="44834"/>
    <cellStyle name="Comma 50 2 2 3 3" xfId="44296"/>
    <cellStyle name="Comma 50 2 2 4" xfId="42978"/>
    <cellStyle name="Comma 50 2 2 4 2" xfId="44831"/>
    <cellStyle name="Comma 50 2 2 5" xfId="43879"/>
    <cellStyle name="Comma 50 2 2 6" xfId="41717"/>
    <cellStyle name="Comma 50 2 3" xfId="41936"/>
    <cellStyle name="Comma 50 2 3 2" xfId="42516"/>
    <cellStyle name="Comma 50 2 3 2 2" xfId="42983"/>
    <cellStyle name="Comma 50 2 3 2 2 2" xfId="44836"/>
    <cellStyle name="Comma 50 2 3 2 3" xfId="44378"/>
    <cellStyle name="Comma 50 2 3 3" xfId="42982"/>
    <cellStyle name="Comma 50 2 3 3 2" xfId="44835"/>
    <cellStyle name="Comma 50 2 3 4" xfId="43977"/>
    <cellStyle name="Comma 50 2 4" xfId="42350"/>
    <cellStyle name="Comma 50 2 4 2" xfId="42984"/>
    <cellStyle name="Comma 50 2 4 2 2" xfId="44837"/>
    <cellStyle name="Comma 50 2 4 3" xfId="44212"/>
    <cellStyle name="Comma 50 2 5" xfId="42977"/>
    <cellStyle name="Comma 50 2 5 2" xfId="44830"/>
    <cellStyle name="Comma 50 2 6" xfId="43741"/>
    <cellStyle name="Comma 50 2 7" xfId="41265"/>
    <cellStyle name="Comma 50 3" xfId="989"/>
    <cellStyle name="Comma 50 4" xfId="2611"/>
    <cellStyle name="Comma 50 4 2" xfId="42502"/>
    <cellStyle name="Comma 50 4 2 2" xfId="42986"/>
    <cellStyle name="Comma 50 4 2 2 2" xfId="44839"/>
    <cellStyle name="Comma 50 4 2 3" xfId="44364"/>
    <cellStyle name="Comma 50 4 3" xfId="42985"/>
    <cellStyle name="Comma 50 4 3 2" xfId="44838"/>
    <cellStyle name="Comma 50 4 4" xfId="43963"/>
    <cellStyle name="Comma 50 4 5" xfId="41921"/>
    <cellStyle name="Comma 50 5" xfId="42336"/>
    <cellStyle name="Comma 50 5 2" xfId="42987"/>
    <cellStyle name="Comma 50 5 2 2" xfId="44840"/>
    <cellStyle name="Comma 50 5 3" xfId="44198"/>
    <cellStyle name="Comma 50 6" xfId="42976"/>
    <cellStyle name="Comma 50 6 2" xfId="44829"/>
    <cellStyle name="Comma 50 7" xfId="43711"/>
    <cellStyle name="Comma 50 8" xfId="41087"/>
    <cellStyle name="Comma 51" xfId="990"/>
    <cellStyle name="Comma 51 2" xfId="991"/>
    <cellStyle name="Comma 51 3" xfId="2612"/>
    <cellStyle name="Comma 52" xfId="992"/>
    <cellStyle name="Comma 52 2" xfId="993"/>
    <cellStyle name="Comma 52 2 2" xfId="17383"/>
    <cellStyle name="Comma 52 2 3" xfId="17382"/>
    <cellStyle name="Comma 52 3" xfId="2977"/>
    <cellStyle name="Comma 52 3 2" xfId="17385"/>
    <cellStyle name="Comma 52 3 3" xfId="17384"/>
    <cellStyle name="Comma 52 4" xfId="3640"/>
    <cellStyle name="Comma 52 4 2" xfId="17386"/>
    <cellStyle name="Comma 52 5" xfId="17381"/>
    <cellStyle name="Comma 53" xfId="994"/>
    <cellStyle name="Comma 53 2" xfId="2613"/>
    <cellStyle name="Comma 54" xfId="995"/>
    <cellStyle name="Comma 54 2" xfId="996"/>
    <cellStyle name="Comma 54 3" xfId="2614"/>
    <cellStyle name="Comma 54 4" xfId="41496"/>
    <cellStyle name="Comma 55" xfId="997"/>
    <cellStyle name="Comma 55 2" xfId="998"/>
    <cellStyle name="Comma 55 3" xfId="41497"/>
    <cellStyle name="Comma 56" xfId="999"/>
    <cellStyle name="Comma 56 2" xfId="3642"/>
    <cellStyle name="Comma 56 3" xfId="41498"/>
    <cellStyle name="Comma 57" xfId="1000"/>
    <cellStyle name="Comma 57 2" xfId="2615"/>
    <cellStyle name="Comma 58" xfId="1001"/>
    <cellStyle name="Comma 58 2" xfId="2616"/>
    <cellStyle name="Comma 59" xfId="1002"/>
    <cellStyle name="Comma 59 2" xfId="3644"/>
    <cellStyle name="Comma 59 2 2" xfId="17388"/>
    <cellStyle name="Comma 59 3" xfId="17389"/>
    <cellStyle name="Comma 59 4" xfId="17390"/>
    <cellStyle name="Comma 59 5" xfId="17387"/>
    <cellStyle name="Comma 6" xfId="46"/>
    <cellStyle name="Comma 6 2" xfId="1004"/>
    <cellStyle name="Comma 6 2 2" xfId="1005"/>
    <cellStyle name="Comma 6 2 2 2" xfId="4497"/>
    <cellStyle name="Comma 6 2 2 2 2" xfId="40734"/>
    <cellStyle name="Comma 6 2 3" xfId="1006"/>
    <cellStyle name="Comma 6 2 3 2" xfId="5160"/>
    <cellStyle name="Comma 6 2 3 2 2" xfId="41718"/>
    <cellStyle name="Comma 6 2 3 3" xfId="17392"/>
    <cellStyle name="Comma 6 2 3 3 2" xfId="41499"/>
    <cellStyle name="Comma 6 2 3 4" xfId="41927"/>
    <cellStyle name="Comma 6 2 3 5" xfId="41182"/>
    <cellStyle name="Comma 6 2 4" xfId="5161"/>
    <cellStyle name="Comma 6 2 4 2" xfId="17393"/>
    <cellStyle name="Comma 6 2 5" xfId="4496"/>
    <cellStyle name="Comma 6 2 6" xfId="17391"/>
    <cellStyle name="Comma 6 3" xfId="1007"/>
    <cellStyle name="Comma 6 3 2" xfId="1008"/>
    <cellStyle name="Comma 6 3 2 2" xfId="5163"/>
    <cellStyle name="Comma 6 3 2 2 2" xfId="42131"/>
    <cellStyle name="Comma 6 3 2 3" xfId="42130"/>
    <cellStyle name="Comma 6 3 3" xfId="5162"/>
    <cellStyle name="Comma 6 3 3 2" xfId="17395"/>
    <cellStyle name="Comma 6 3 3 3" xfId="42132"/>
    <cellStyle name="Comma 6 3 4" xfId="17394"/>
    <cellStyle name="Comma 6 3 4 2" xfId="42634"/>
    <cellStyle name="Comma 6 3 4 2 2" xfId="42989"/>
    <cellStyle name="Comma 6 3 4 2 2 2" xfId="44842"/>
    <cellStyle name="Comma 6 3 4 2 3" xfId="44496"/>
    <cellStyle name="Comma 6 3 4 3" xfId="42988"/>
    <cellStyle name="Comma 6 3 4 3 2" xfId="44841"/>
    <cellStyle name="Comma 6 3 4 4" xfId="44103"/>
    <cellStyle name="Comma 6 3 4 5" xfId="42133"/>
    <cellStyle name="Comma 6 3 5" xfId="43467"/>
    <cellStyle name="Comma 6 3 6" xfId="40735"/>
    <cellStyle name="Comma 6 4" xfId="1009"/>
    <cellStyle name="Comma 6 4 2" xfId="2959"/>
    <cellStyle name="Comma 6 4 2 2" xfId="17397"/>
    <cellStyle name="Comma 6 4 2 3" xfId="17396"/>
    <cellStyle name="Comma 6 4 2 4" xfId="43421"/>
    <cellStyle name="Comma 6 5" xfId="1010"/>
    <cellStyle name="Comma 6 5 2" xfId="2960"/>
    <cellStyle name="Comma 6 5 3" xfId="5164"/>
    <cellStyle name="Comma 6 5 3 2" xfId="17399"/>
    <cellStyle name="Comma 6 5 4" xfId="17398"/>
    <cellStyle name="Comma 6 6" xfId="3109"/>
    <cellStyle name="Comma 6 6 2" xfId="7802"/>
    <cellStyle name="Comma 6 6 2 2" xfId="17400"/>
    <cellStyle name="Comma 6 6 3" xfId="17401"/>
    <cellStyle name="Comma 6 6 4" xfId="40733"/>
    <cellStyle name="Comma 6 7" xfId="1003"/>
    <cellStyle name="Comma 6 8" xfId="40384"/>
    <cellStyle name="Comma 6 9" xfId="40440"/>
    <cellStyle name="Comma 6_5" xfId="40441"/>
    <cellStyle name="Comma 60" xfId="1011"/>
    <cellStyle name="Comma 60 2" xfId="3647"/>
    <cellStyle name="Comma 60 3" xfId="17402"/>
    <cellStyle name="Comma 61" xfId="1012"/>
    <cellStyle name="Comma 61 2" xfId="3473"/>
    <cellStyle name="Comma 61 3" xfId="17403"/>
    <cellStyle name="Comma 62" xfId="1013"/>
    <cellStyle name="Comma 62 2" xfId="3649"/>
    <cellStyle name="Comma 62 3" xfId="17404"/>
    <cellStyle name="Comma 63" xfId="1014"/>
    <cellStyle name="Comma 63 2" xfId="17405"/>
    <cellStyle name="Comma 63 3" xfId="41500"/>
    <cellStyle name="Comma 64" xfId="1015"/>
    <cellStyle name="Comma 64 2" xfId="17406"/>
    <cellStyle name="Comma 65" xfId="1016"/>
    <cellStyle name="Comma 65 2" xfId="3266"/>
    <cellStyle name="Comma 65 2 2" xfId="17409"/>
    <cellStyle name="Comma 65 2 3" xfId="17408"/>
    <cellStyle name="Comma 65 3" xfId="17410"/>
    <cellStyle name="Comma 65 4" xfId="17407"/>
    <cellStyle name="Comma 66" xfId="1017"/>
    <cellStyle name="Comma 66 2" xfId="3650"/>
    <cellStyle name="Comma 66 3" xfId="17411"/>
    <cellStyle name="Comma 67" xfId="1018"/>
    <cellStyle name="Comma 67 2" xfId="3652"/>
    <cellStyle name="Comma 67 3" xfId="17412"/>
    <cellStyle name="Comma 68" xfId="1019"/>
    <cellStyle name="Comma 68 2" xfId="17413"/>
    <cellStyle name="Comma 69" xfId="1020"/>
    <cellStyle name="Comma 69 2" xfId="17414"/>
    <cellStyle name="Comma 7" xfId="66"/>
    <cellStyle name="Comma 7 10" xfId="5165"/>
    <cellStyle name="Comma 7 11" xfId="3474"/>
    <cellStyle name="Comma 7 12" xfId="3246"/>
    <cellStyle name="Comma 7 2" xfId="1022"/>
    <cellStyle name="Comma 7 2 2" xfId="1023"/>
    <cellStyle name="Comma 7 2 2 2" xfId="5167"/>
    <cellStyle name="Comma 7 2 2 2 2" xfId="17416"/>
    <cellStyle name="Comma 7 2 2 3" xfId="17415"/>
    <cellStyle name="Comma 7 2 3" xfId="1024"/>
    <cellStyle name="Comma 7 2 3 2" xfId="4498"/>
    <cellStyle name="Comma 7 2 4" xfId="3179"/>
    <cellStyle name="Comma 7 2 5" xfId="4499"/>
    <cellStyle name="Comma 7 2 6" xfId="4500"/>
    <cellStyle name="Comma 7 2 7" xfId="5166"/>
    <cellStyle name="Comma 7 3" xfId="1025"/>
    <cellStyle name="Comma 7 3 2" xfId="1026"/>
    <cellStyle name="Comma 7 3 2 2" xfId="17418"/>
    <cellStyle name="Comma 7 3 3" xfId="4501"/>
    <cellStyle name="Comma 7 3 3 2" xfId="17419"/>
    <cellStyle name="Comma 7 3 4" xfId="17417"/>
    <cellStyle name="Comma 7 3 5" xfId="42134"/>
    <cellStyle name="Comma 7 4" xfId="1027"/>
    <cellStyle name="Comma 7 4 10" xfId="17421"/>
    <cellStyle name="Comma 7 4 11" xfId="17422"/>
    <cellStyle name="Comma 7 4 12" xfId="17420"/>
    <cellStyle name="Comma 7 4 2" xfId="2961"/>
    <cellStyle name="Comma 7 4 2 2" xfId="17424"/>
    <cellStyle name="Comma 7 4 2 2 2" xfId="17425"/>
    <cellStyle name="Comma 7 4 2 2 2 2" xfId="17426"/>
    <cellStyle name="Comma 7 4 2 2 2 2 2" xfId="17427"/>
    <cellStyle name="Comma 7 4 2 2 2 3" xfId="17428"/>
    <cellStyle name="Comma 7 4 2 2 3" xfId="17429"/>
    <cellStyle name="Comma 7 4 2 2 3 2" xfId="17430"/>
    <cellStyle name="Comma 7 4 2 2 4" xfId="17431"/>
    <cellStyle name="Comma 7 4 2 2 5" xfId="17432"/>
    <cellStyle name="Comma 7 4 2 3" xfId="17433"/>
    <cellStyle name="Comma 7 4 2 3 2" xfId="17434"/>
    <cellStyle name="Comma 7 4 2 3 2 2" xfId="17435"/>
    <cellStyle name="Comma 7 4 2 3 2 2 2" xfId="17436"/>
    <cellStyle name="Comma 7 4 2 3 2 3" xfId="17437"/>
    <cellStyle name="Comma 7 4 2 3 3" xfId="17438"/>
    <cellStyle name="Comma 7 4 2 3 3 2" xfId="17439"/>
    <cellStyle name="Comma 7 4 2 3 4" xfId="17440"/>
    <cellStyle name="Comma 7 4 2 4" xfId="17441"/>
    <cellStyle name="Comma 7 4 2 4 2" xfId="17442"/>
    <cellStyle name="Comma 7 4 2 4 2 2" xfId="17443"/>
    <cellStyle name="Comma 7 4 2 4 3" xfId="17444"/>
    <cellStyle name="Comma 7 4 2 5" xfId="17445"/>
    <cellStyle name="Comma 7 4 2 5 2" xfId="17446"/>
    <cellStyle name="Comma 7 4 2 5 2 2" xfId="17447"/>
    <cellStyle name="Comma 7 4 2 5 3" xfId="17448"/>
    <cellStyle name="Comma 7 4 2 6" xfId="17449"/>
    <cellStyle name="Comma 7 4 2 6 2" xfId="17450"/>
    <cellStyle name="Comma 7 4 2 7" xfId="17451"/>
    <cellStyle name="Comma 7 4 2 7 2" xfId="17452"/>
    <cellStyle name="Comma 7 4 2 8" xfId="17453"/>
    <cellStyle name="Comma 7 4 2 9" xfId="17423"/>
    <cellStyle name="Comma 7 4 3" xfId="4502"/>
    <cellStyle name="Comma 7 4 3 2" xfId="17455"/>
    <cellStyle name="Comma 7 4 3 2 2" xfId="17456"/>
    <cellStyle name="Comma 7 4 3 2 2 2" xfId="17457"/>
    <cellStyle name="Comma 7 4 3 2 2 2 2" xfId="17458"/>
    <cellStyle name="Comma 7 4 3 2 2 3" xfId="17459"/>
    <cellStyle name="Comma 7 4 3 2 3" xfId="17460"/>
    <cellStyle name="Comma 7 4 3 2 3 2" xfId="17461"/>
    <cellStyle name="Comma 7 4 3 2 4" xfId="17462"/>
    <cellStyle name="Comma 7 4 3 2 5" xfId="17463"/>
    <cellStyle name="Comma 7 4 3 3" xfId="17464"/>
    <cellStyle name="Comma 7 4 3 3 2" xfId="17465"/>
    <cellStyle name="Comma 7 4 3 3 2 2" xfId="17466"/>
    <cellStyle name="Comma 7 4 3 3 2 2 2" xfId="17467"/>
    <cellStyle name="Comma 7 4 3 3 2 3" xfId="17468"/>
    <cellStyle name="Comma 7 4 3 3 3" xfId="17469"/>
    <cellStyle name="Comma 7 4 3 3 3 2" xfId="17470"/>
    <cellStyle name="Comma 7 4 3 3 4" xfId="17471"/>
    <cellStyle name="Comma 7 4 3 4" xfId="17472"/>
    <cellStyle name="Comma 7 4 3 4 2" xfId="17473"/>
    <cellStyle name="Comma 7 4 3 4 2 2" xfId="17474"/>
    <cellStyle name="Comma 7 4 3 4 3" xfId="17475"/>
    <cellStyle name="Comma 7 4 3 5" xfId="17476"/>
    <cellStyle name="Comma 7 4 3 5 2" xfId="17477"/>
    <cellStyle name="Comma 7 4 3 5 2 2" xfId="17478"/>
    <cellStyle name="Comma 7 4 3 5 3" xfId="17479"/>
    <cellStyle name="Comma 7 4 3 6" xfId="17480"/>
    <cellStyle name="Comma 7 4 3 6 2" xfId="17481"/>
    <cellStyle name="Comma 7 4 3 7" xfId="17482"/>
    <cellStyle name="Comma 7 4 3 8" xfId="17483"/>
    <cellStyle name="Comma 7 4 3 9" xfId="17454"/>
    <cellStyle name="Comma 7 4 4" xfId="17484"/>
    <cellStyle name="Comma 7 4 4 2" xfId="17485"/>
    <cellStyle name="Comma 7 4 4 2 2" xfId="17486"/>
    <cellStyle name="Comma 7 4 4 2 2 2" xfId="17487"/>
    <cellStyle name="Comma 7 4 4 2 2 2 2" xfId="17488"/>
    <cellStyle name="Comma 7 4 4 2 2 3" xfId="17489"/>
    <cellStyle name="Comma 7 4 4 2 3" xfId="17490"/>
    <cellStyle name="Comma 7 4 4 2 3 2" xfId="17491"/>
    <cellStyle name="Comma 7 4 4 2 4" xfId="17492"/>
    <cellStyle name="Comma 7 4 4 2 5" xfId="17493"/>
    <cellStyle name="Comma 7 4 4 3" xfId="17494"/>
    <cellStyle name="Comma 7 4 4 3 2" xfId="17495"/>
    <cellStyle name="Comma 7 4 4 3 2 2" xfId="17496"/>
    <cellStyle name="Comma 7 4 4 3 2 2 2" xfId="17497"/>
    <cellStyle name="Comma 7 4 4 3 2 3" xfId="17498"/>
    <cellStyle name="Comma 7 4 4 3 3" xfId="17499"/>
    <cellStyle name="Comma 7 4 4 3 3 2" xfId="17500"/>
    <cellStyle name="Comma 7 4 4 3 4" xfId="17501"/>
    <cellStyle name="Comma 7 4 4 4" xfId="17502"/>
    <cellStyle name="Comma 7 4 4 4 2" xfId="17503"/>
    <cellStyle name="Comma 7 4 4 4 2 2" xfId="17504"/>
    <cellStyle name="Comma 7 4 4 4 3" xfId="17505"/>
    <cellStyle name="Comma 7 4 4 5" xfId="17506"/>
    <cellStyle name="Comma 7 4 4 5 2" xfId="17507"/>
    <cellStyle name="Comma 7 4 4 5 2 2" xfId="17508"/>
    <cellStyle name="Comma 7 4 4 5 3" xfId="17509"/>
    <cellStyle name="Comma 7 4 4 6" xfId="17510"/>
    <cellStyle name="Comma 7 4 4 6 2" xfId="17511"/>
    <cellStyle name="Comma 7 4 4 7" xfId="17512"/>
    <cellStyle name="Comma 7 4 4 8" xfId="17513"/>
    <cellStyle name="Comma 7 4 5" xfId="17514"/>
    <cellStyle name="Comma 7 4 5 2" xfId="17515"/>
    <cellStyle name="Comma 7 4 5 2 2" xfId="17516"/>
    <cellStyle name="Comma 7 4 5 2 2 2" xfId="17517"/>
    <cellStyle name="Comma 7 4 5 2 2 2 2" xfId="17518"/>
    <cellStyle name="Comma 7 4 5 2 2 3" xfId="17519"/>
    <cellStyle name="Comma 7 4 5 2 3" xfId="17520"/>
    <cellStyle name="Comma 7 4 5 2 3 2" xfId="17521"/>
    <cellStyle name="Comma 7 4 5 2 4" xfId="17522"/>
    <cellStyle name="Comma 7 4 5 3" xfId="17523"/>
    <cellStyle name="Comma 7 4 5 3 2" xfId="17524"/>
    <cellStyle name="Comma 7 4 5 3 2 2" xfId="17525"/>
    <cellStyle name="Comma 7 4 5 3 3" xfId="17526"/>
    <cellStyle name="Comma 7 4 5 4" xfId="17527"/>
    <cellStyle name="Comma 7 4 5 4 2" xfId="17528"/>
    <cellStyle name="Comma 7 4 5 4 2 2" xfId="17529"/>
    <cellStyle name="Comma 7 4 5 4 3" xfId="17530"/>
    <cellStyle name="Comma 7 4 5 5" xfId="17531"/>
    <cellStyle name="Comma 7 4 5 5 2" xfId="17532"/>
    <cellStyle name="Comma 7 4 5 6" xfId="17533"/>
    <cellStyle name="Comma 7 4 5 7" xfId="17534"/>
    <cellStyle name="Comma 7 4 6" xfId="17535"/>
    <cellStyle name="Comma 7 4 6 2" xfId="17536"/>
    <cellStyle name="Comma 7 4 6 2 2" xfId="17537"/>
    <cellStyle name="Comma 7 4 6 2 2 2" xfId="17538"/>
    <cellStyle name="Comma 7 4 6 2 3" xfId="17539"/>
    <cellStyle name="Comma 7 4 6 3" xfId="17540"/>
    <cellStyle name="Comma 7 4 6 3 2" xfId="17541"/>
    <cellStyle name="Comma 7 4 6 4" xfId="17542"/>
    <cellStyle name="Comma 7 4 6 5" xfId="17543"/>
    <cellStyle name="Comma 7 4 7" xfId="17544"/>
    <cellStyle name="Comma 7 4 7 2" xfId="17545"/>
    <cellStyle name="Comma 7 4 7 2 2" xfId="17546"/>
    <cellStyle name="Comma 7 4 7 3" xfId="17547"/>
    <cellStyle name="Comma 7 4 8" xfId="17548"/>
    <cellStyle name="Comma 7 4 8 2" xfId="17549"/>
    <cellStyle name="Comma 7 4 8 2 2" xfId="17550"/>
    <cellStyle name="Comma 7 4 8 3" xfId="17551"/>
    <cellStyle name="Comma 7 4 9" xfId="17552"/>
    <cellStyle name="Comma 7 4 9 2" xfId="17553"/>
    <cellStyle name="Comma 7 5" xfId="2962"/>
    <cellStyle name="Comma 7 5 2" xfId="4503"/>
    <cellStyle name="Comma 7 5 2 2" xfId="17554"/>
    <cellStyle name="Comma 7 6" xfId="3110"/>
    <cellStyle name="Comma 7 6 2" xfId="4504"/>
    <cellStyle name="Comma 7 6 2 2" xfId="17555"/>
    <cellStyle name="Comma 7 6 3" xfId="17556"/>
    <cellStyle name="Comma 7 7" xfId="1021"/>
    <cellStyle name="Comma 7 7 2" xfId="4505"/>
    <cellStyle name="Comma 7 8" xfId="4506"/>
    <cellStyle name="Comma 7 8 2" xfId="4507"/>
    <cellStyle name="Comma 7 8 3" xfId="4508"/>
    <cellStyle name="Comma 7 9" xfId="3600"/>
    <cellStyle name="Comma 7_Accounts 2010 after RAJ" xfId="2963"/>
    <cellStyle name="Comma 70" xfId="1028"/>
    <cellStyle name="Comma 70 2" xfId="17557"/>
    <cellStyle name="Comma 70 3" xfId="41277"/>
    <cellStyle name="Comma 71" xfId="1029"/>
    <cellStyle name="Comma 71 2" xfId="17558"/>
    <cellStyle name="Comma 71 3" xfId="41626"/>
    <cellStyle name="Comma 72" xfId="1030"/>
    <cellStyle name="Comma 72 2" xfId="17559"/>
    <cellStyle name="Comma 72 3" xfId="41656"/>
    <cellStyle name="Comma 73" xfId="1031"/>
    <cellStyle name="Comma 73 2" xfId="17560"/>
    <cellStyle name="Comma 73 3" xfId="41703"/>
    <cellStyle name="Comma 74" xfId="2405"/>
    <cellStyle name="Comma 74 2" xfId="3273"/>
    <cellStyle name="Comma 74 3" xfId="17561"/>
    <cellStyle name="Comma 74 4" xfId="41704"/>
    <cellStyle name="Comma 75" xfId="513"/>
    <cellStyle name="Comma 75 2" xfId="3656"/>
    <cellStyle name="Comma 75 3" xfId="17562"/>
    <cellStyle name="Comma 75 4" xfId="41694"/>
    <cellStyle name="Comma 76" xfId="3475"/>
    <cellStyle name="Comma 76 2" xfId="3658"/>
    <cellStyle name="Comma 76 3" xfId="17563"/>
    <cellStyle name="Comma 76 4" xfId="41705"/>
    <cellStyle name="Comma 77" xfId="4565"/>
    <cellStyle name="Comma 77 2" xfId="5000"/>
    <cellStyle name="Comma 77 3" xfId="17564"/>
    <cellStyle name="Comma 77 4" xfId="41701"/>
    <cellStyle name="Comma 78" xfId="3661"/>
    <cellStyle name="Comma 78 2" xfId="17565"/>
    <cellStyle name="Comma 78 3" xfId="41659"/>
    <cellStyle name="Comma 79" xfId="3274"/>
    <cellStyle name="Comma 79 2" xfId="17567"/>
    <cellStyle name="Comma 79 2 2" xfId="17568"/>
    <cellStyle name="Comma 79 3" xfId="17569"/>
    <cellStyle name="Comma 79 4" xfId="17566"/>
    <cellStyle name="Comma 79 5" xfId="41688"/>
    <cellStyle name="Comma 8" xfId="72"/>
    <cellStyle name="Comma 8 10" xfId="3111"/>
    <cellStyle name="Comma 8 11" xfId="2964"/>
    <cellStyle name="Comma 8 12" xfId="2420"/>
    <cellStyle name="Comma 8 13" xfId="1032"/>
    <cellStyle name="Comma 8 2" xfId="70"/>
    <cellStyle name="Comma 8 2 2" xfId="1034"/>
    <cellStyle name="Comma 8 2 2 2" xfId="5168"/>
    <cellStyle name="Comma 8 2 2 3" xfId="17570"/>
    <cellStyle name="Comma 8 2 3" xfId="2965"/>
    <cellStyle name="Comma 8 2 3 2" xfId="40737"/>
    <cellStyle name="Comma 8 2 4" xfId="1033"/>
    <cellStyle name="Comma 8 2_Accounts 2010 after RAJ" xfId="17571"/>
    <cellStyle name="Comma 8 3" xfId="1035"/>
    <cellStyle name="Comma 8 3 2" xfId="1036"/>
    <cellStyle name="Comma 8 3 2 2" xfId="5169"/>
    <cellStyle name="Comma 8 3 2 2 2" xfId="17572"/>
    <cellStyle name="Comma 8 3 2 3" xfId="43468"/>
    <cellStyle name="Comma 8 3 3" xfId="1037"/>
    <cellStyle name="Comma 8 3 4" xfId="1038"/>
    <cellStyle name="Comma 8 3 5" xfId="2966"/>
    <cellStyle name="Comma 8 4" xfId="1039"/>
    <cellStyle name="Comma 8 4 2" xfId="2967"/>
    <cellStyle name="Comma 8 4 3" xfId="5170"/>
    <cellStyle name="Comma 8 4 4" xfId="41836"/>
    <cellStyle name="Comma 8 5" xfId="1040"/>
    <cellStyle name="Comma 8 5 2" xfId="5171"/>
    <cellStyle name="Comma 8 5 3" xfId="40736"/>
    <cellStyle name="Comma 8 6" xfId="1041"/>
    <cellStyle name="Comma 8 6 2" xfId="5172"/>
    <cellStyle name="Comma 8 7" xfId="3112"/>
    <cellStyle name="Comma 8 7 2" xfId="4509"/>
    <cellStyle name="Comma 8 8" xfId="3113"/>
    <cellStyle name="Comma 8 9" xfId="3114"/>
    <cellStyle name="Comma 8_5" xfId="40442"/>
    <cellStyle name="Comma 80" xfId="3276"/>
    <cellStyle name="Comma 80 2" xfId="17574"/>
    <cellStyle name="Comma 80 2 2" xfId="17575"/>
    <cellStyle name="Comma 80 2 2 2" xfId="42993"/>
    <cellStyle name="Comma 80 2 2 2 2" xfId="44846"/>
    <cellStyle name="Comma 80 2 2 3" xfId="44457"/>
    <cellStyle name="Comma 80 2 2 4" xfId="42595"/>
    <cellStyle name="Comma 80 2 3" xfId="42992"/>
    <cellStyle name="Comma 80 2 3 2" xfId="44845"/>
    <cellStyle name="Comma 80 2 4" xfId="44056"/>
    <cellStyle name="Comma 80 2 5" xfId="42015"/>
    <cellStyle name="Comma 80 3" xfId="17576"/>
    <cellStyle name="Comma 80 3 2" xfId="42994"/>
    <cellStyle name="Comma 80 3 2 2" xfId="44847"/>
    <cellStyle name="Comma 80 3 3" xfId="44291"/>
    <cellStyle name="Comma 80 3 4" xfId="42429"/>
    <cellStyle name="Comma 80 4" xfId="17573"/>
    <cellStyle name="Comma 80 4 2" xfId="44844"/>
    <cellStyle name="Comma 80 4 3" xfId="42991"/>
    <cellStyle name="Comma 80 5" xfId="43874"/>
    <cellStyle name="Comma 80 6" xfId="41708"/>
    <cellStyle name="Comma 81" xfId="3634"/>
    <cellStyle name="Comma 81 2" xfId="8499"/>
    <cellStyle name="Comma 81 3" xfId="17577"/>
    <cellStyle name="Comma 81 4" xfId="41730"/>
    <cellStyle name="Comma 82" xfId="3635"/>
    <cellStyle name="Comma 82 2" xfId="17579"/>
    <cellStyle name="Comma 82 3" xfId="17578"/>
    <cellStyle name="Comma 82 4" xfId="41766"/>
    <cellStyle name="Comma 83" xfId="3261"/>
    <cellStyle name="Comma 83 2" xfId="17580"/>
    <cellStyle name="Comma 84" xfId="3637"/>
    <cellStyle name="Comma 84 2" xfId="17581"/>
    <cellStyle name="Comma 84 3" xfId="41772"/>
    <cellStyle name="Comma 85" xfId="3638"/>
    <cellStyle name="Comma 85 2" xfId="17582"/>
    <cellStyle name="Comma 86" xfId="3639"/>
    <cellStyle name="Comma 86 2" xfId="40360"/>
    <cellStyle name="Comma 87" xfId="1042"/>
    <cellStyle name="Comma 87 2" xfId="1043"/>
    <cellStyle name="Comma 87 2 2" xfId="44849"/>
    <cellStyle name="Comma 87 2 3" xfId="42996"/>
    <cellStyle name="Comma 87 3" xfId="3641"/>
    <cellStyle name="Comma 87 3 2" xfId="44156"/>
    <cellStyle name="Comma 87 4" xfId="40361"/>
    <cellStyle name="Comma 87 5" xfId="42293"/>
    <cellStyle name="Comma 88" xfId="3643"/>
    <cellStyle name="Comma 88 2" xfId="40364"/>
    <cellStyle name="Comma 88 2 2" xfId="44850"/>
    <cellStyle name="Comma 88 2 3" xfId="42997"/>
    <cellStyle name="Comma 88 3" xfId="44186"/>
    <cellStyle name="Comma 88 4" xfId="42324"/>
    <cellStyle name="Comma 89" xfId="4510"/>
    <cellStyle name="Comma 89 2" xfId="42998"/>
    <cellStyle name="Comma 89 2 2" xfId="44851"/>
    <cellStyle name="Comma 89 3" xfId="44516"/>
    <cellStyle name="Comma 89 4" xfId="42657"/>
    <cellStyle name="Comma 9" xfId="57"/>
    <cellStyle name="Comma 9 10" xfId="4511"/>
    <cellStyle name="Comma 9 10 2" xfId="17584"/>
    <cellStyle name="Comma 9 11" xfId="8483"/>
    <cellStyle name="Comma 9 12" xfId="17583"/>
    <cellStyle name="Comma 9 2" xfId="78"/>
    <cellStyle name="Comma 9 2 2" xfId="1046"/>
    <cellStyle name="Comma 9 2 2 2" xfId="4512"/>
    <cellStyle name="Comma 9 2 2 2 2" xfId="17587"/>
    <cellStyle name="Comma 9 2 2 2 3" xfId="17586"/>
    <cellStyle name="Comma 9 2 2 3" xfId="17588"/>
    <cellStyle name="Comma 9 2 2 3 2" xfId="17589"/>
    <cellStyle name="Comma 9 2 2 4" xfId="17585"/>
    <cellStyle name="Comma 9 2 3" xfId="1047"/>
    <cellStyle name="Comma 9 2 3 2" xfId="17591"/>
    <cellStyle name="Comma 9 2 3 3" xfId="17590"/>
    <cellStyle name="Comma 9 2 4" xfId="1048"/>
    <cellStyle name="Comma 9 2 4 2" xfId="17593"/>
    <cellStyle name="Comma 9 2 4 3" xfId="17592"/>
    <cellStyle name="Comma 9 2 5" xfId="1045"/>
    <cellStyle name="Comma 9 2 5 2" xfId="17594"/>
    <cellStyle name="Comma 9 3" xfId="86"/>
    <cellStyle name="Comma 9 3 2" xfId="1050"/>
    <cellStyle name="Comma 9 3 2 2" xfId="40739"/>
    <cellStyle name="Comma 9 3 3" xfId="1049"/>
    <cellStyle name="Comma 9 3 3 2" xfId="17597"/>
    <cellStyle name="Comma 9 3 3 3" xfId="17598"/>
    <cellStyle name="Comma 9 3 3 4" xfId="17599"/>
    <cellStyle name="Comma 9 3 3 5" xfId="17596"/>
    <cellStyle name="Comma 9 3 4" xfId="17600"/>
    <cellStyle name="Comma 9 3 5" xfId="17595"/>
    <cellStyle name="Comma 9 3 6" xfId="40443"/>
    <cellStyle name="Comma 9 4" xfId="111"/>
    <cellStyle name="Comma 9 4 10" xfId="17602"/>
    <cellStyle name="Comma 9 4 11" xfId="17601"/>
    <cellStyle name="Comma 9 4 12" xfId="41183"/>
    <cellStyle name="Comma 9 4 2" xfId="1051"/>
    <cellStyle name="Comma 9 4 2 2" xfId="17604"/>
    <cellStyle name="Comma 9 4 2 2 2" xfId="17605"/>
    <cellStyle name="Comma 9 4 2 2 2 2" xfId="17606"/>
    <cellStyle name="Comma 9 4 2 2 2 2 2" xfId="17607"/>
    <cellStyle name="Comma 9 4 2 2 2 3" xfId="17608"/>
    <cellStyle name="Comma 9 4 2 2 3" xfId="17609"/>
    <cellStyle name="Comma 9 4 2 2 3 2" xfId="17610"/>
    <cellStyle name="Comma 9 4 2 2 4" xfId="17611"/>
    <cellStyle name="Comma 9 4 2 2 5" xfId="17612"/>
    <cellStyle name="Comma 9 4 2 3" xfId="17613"/>
    <cellStyle name="Comma 9 4 2 3 2" xfId="17614"/>
    <cellStyle name="Comma 9 4 2 3 2 2" xfId="17615"/>
    <cellStyle name="Comma 9 4 2 3 2 2 2" xfId="17616"/>
    <cellStyle name="Comma 9 4 2 3 2 3" xfId="17617"/>
    <cellStyle name="Comma 9 4 2 3 3" xfId="17618"/>
    <cellStyle name="Comma 9 4 2 3 3 2" xfId="17619"/>
    <cellStyle name="Comma 9 4 2 3 4" xfId="17620"/>
    <cellStyle name="Comma 9 4 2 4" xfId="17621"/>
    <cellStyle name="Comma 9 4 2 4 2" xfId="17622"/>
    <cellStyle name="Comma 9 4 2 4 2 2" xfId="17623"/>
    <cellStyle name="Comma 9 4 2 4 3" xfId="17624"/>
    <cellStyle name="Comma 9 4 2 5" xfId="17625"/>
    <cellStyle name="Comma 9 4 2 5 2" xfId="17626"/>
    <cellStyle name="Comma 9 4 2 5 2 2" xfId="17627"/>
    <cellStyle name="Comma 9 4 2 5 3" xfId="17628"/>
    <cellStyle name="Comma 9 4 2 6" xfId="17629"/>
    <cellStyle name="Comma 9 4 2 6 2" xfId="17630"/>
    <cellStyle name="Comma 9 4 2 7" xfId="17631"/>
    <cellStyle name="Comma 9 4 2 8" xfId="17632"/>
    <cellStyle name="Comma 9 4 2 9" xfId="17603"/>
    <cellStyle name="Comma 9 4 3" xfId="4513"/>
    <cellStyle name="Comma 9 4 3 2" xfId="17634"/>
    <cellStyle name="Comma 9 4 3 2 2" xfId="17635"/>
    <cellStyle name="Comma 9 4 3 2 2 2" xfId="17636"/>
    <cellStyle name="Comma 9 4 3 2 2 2 2" xfId="17637"/>
    <cellStyle name="Comma 9 4 3 2 2 3" xfId="17638"/>
    <cellStyle name="Comma 9 4 3 2 3" xfId="17639"/>
    <cellStyle name="Comma 9 4 3 2 3 2" xfId="17640"/>
    <cellStyle name="Comma 9 4 3 2 4" xfId="17641"/>
    <cellStyle name="Comma 9 4 3 2 5" xfId="17642"/>
    <cellStyle name="Comma 9 4 3 3" xfId="17643"/>
    <cellStyle name="Comma 9 4 3 3 2" xfId="17644"/>
    <cellStyle name="Comma 9 4 3 3 2 2" xfId="17645"/>
    <cellStyle name="Comma 9 4 3 3 2 2 2" xfId="17646"/>
    <cellStyle name="Comma 9 4 3 3 2 3" xfId="17647"/>
    <cellStyle name="Comma 9 4 3 3 3" xfId="17648"/>
    <cellStyle name="Comma 9 4 3 3 3 2" xfId="17649"/>
    <cellStyle name="Comma 9 4 3 3 4" xfId="17650"/>
    <cellStyle name="Comma 9 4 3 4" xfId="17651"/>
    <cellStyle name="Comma 9 4 3 4 2" xfId="17652"/>
    <cellStyle name="Comma 9 4 3 4 2 2" xfId="17653"/>
    <cellStyle name="Comma 9 4 3 4 3" xfId="17654"/>
    <cellStyle name="Comma 9 4 3 5" xfId="17655"/>
    <cellStyle name="Comma 9 4 3 5 2" xfId="17656"/>
    <cellStyle name="Comma 9 4 3 5 2 2" xfId="17657"/>
    <cellStyle name="Comma 9 4 3 5 3" xfId="17658"/>
    <cellStyle name="Comma 9 4 3 6" xfId="17659"/>
    <cellStyle name="Comma 9 4 3 6 2" xfId="17660"/>
    <cellStyle name="Comma 9 4 3 7" xfId="17661"/>
    <cellStyle name="Comma 9 4 3 8" xfId="17662"/>
    <cellStyle name="Comma 9 4 3 9" xfId="17633"/>
    <cellStyle name="Comma 9 4 4" xfId="17663"/>
    <cellStyle name="Comma 9 4 4 2" xfId="17664"/>
    <cellStyle name="Comma 9 4 4 2 2" xfId="17665"/>
    <cellStyle name="Comma 9 4 4 2 2 2" xfId="17666"/>
    <cellStyle name="Comma 9 4 4 2 2 2 2" xfId="17667"/>
    <cellStyle name="Comma 9 4 4 2 2 3" xfId="17668"/>
    <cellStyle name="Comma 9 4 4 2 3" xfId="17669"/>
    <cellStyle name="Comma 9 4 4 2 3 2" xfId="17670"/>
    <cellStyle name="Comma 9 4 4 2 4" xfId="17671"/>
    <cellStyle name="Comma 9 4 4 3" xfId="17672"/>
    <cellStyle name="Comma 9 4 4 3 2" xfId="17673"/>
    <cellStyle name="Comma 9 4 4 3 2 2" xfId="17674"/>
    <cellStyle name="Comma 9 4 4 3 3" xfId="17675"/>
    <cellStyle name="Comma 9 4 4 4" xfId="17676"/>
    <cellStyle name="Comma 9 4 4 4 2" xfId="17677"/>
    <cellStyle name="Comma 9 4 4 4 2 2" xfId="17678"/>
    <cellStyle name="Comma 9 4 4 4 3" xfId="17679"/>
    <cellStyle name="Comma 9 4 4 5" xfId="17680"/>
    <cellStyle name="Comma 9 4 4 5 2" xfId="17681"/>
    <cellStyle name="Comma 9 4 4 6" xfId="17682"/>
    <cellStyle name="Comma 9 4 4 7" xfId="17683"/>
    <cellStyle name="Comma 9 4 5" xfId="17684"/>
    <cellStyle name="Comma 9 4 5 2" xfId="17685"/>
    <cellStyle name="Comma 9 4 5 2 2" xfId="17686"/>
    <cellStyle name="Comma 9 4 5 2 2 2" xfId="17687"/>
    <cellStyle name="Comma 9 4 5 2 3" xfId="17688"/>
    <cellStyle name="Comma 9 4 5 3" xfId="17689"/>
    <cellStyle name="Comma 9 4 5 3 2" xfId="17690"/>
    <cellStyle name="Comma 9 4 5 4" xfId="17691"/>
    <cellStyle name="Comma 9 4 5 5" xfId="17692"/>
    <cellStyle name="Comma 9 4 6" xfId="17693"/>
    <cellStyle name="Comma 9 4 6 2" xfId="17694"/>
    <cellStyle name="Comma 9 4 6 2 2" xfId="17695"/>
    <cellStyle name="Comma 9 4 6 3" xfId="17696"/>
    <cellStyle name="Comma 9 4 7" xfId="17697"/>
    <cellStyle name="Comma 9 4 7 2" xfId="17698"/>
    <cellStyle name="Comma 9 4 7 2 2" xfId="17699"/>
    <cellStyle name="Comma 9 4 7 3" xfId="17700"/>
    <cellStyle name="Comma 9 4 8" xfId="17701"/>
    <cellStyle name="Comma 9 4 8 2" xfId="17702"/>
    <cellStyle name="Comma 9 4 9" xfId="17703"/>
    <cellStyle name="Comma 9 4 9 2" xfId="17704"/>
    <cellStyle name="Comma 9 5" xfId="1052"/>
    <cellStyle name="Comma 9 5 10" xfId="41837"/>
    <cellStyle name="Comma 9 5 2" xfId="4514"/>
    <cellStyle name="Comma 9 5 2 2" xfId="17707"/>
    <cellStyle name="Comma 9 5 2 2 2" xfId="17708"/>
    <cellStyle name="Comma 9 5 2 2 2 2" xfId="17709"/>
    <cellStyle name="Comma 9 5 2 2 3" xfId="17710"/>
    <cellStyle name="Comma 9 5 2 3" xfId="17711"/>
    <cellStyle name="Comma 9 5 2 3 2" xfId="17712"/>
    <cellStyle name="Comma 9 5 2 4" xfId="17713"/>
    <cellStyle name="Comma 9 5 2 5" xfId="17714"/>
    <cellStyle name="Comma 9 5 2 6" xfId="17706"/>
    <cellStyle name="Comma 9 5 3" xfId="17715"/>
    <cellStyle name="Comma 9 5 3 2" xfId="17716"/>
    <cellStyle name="Comma 9 5 3 2 2" xfId="17717"/>
    <cellStyle name="Comma 9 5 3 2 2 2" xfId="17718"/>
    <cellStyle name="Comma 9 5 3 2 3" xfId="17719"/>
    <cellStyle name="Comma 9 5 3 3" xfId="17720"/>
    <cellStyle name="Comma 9 5 3 3 2" xfId="17721"/>
    <cellStyle name="Comma 9 5 3 4" xfId="17722"/>
    <cellStyle name="Comma 9 5 4" xfId="17723"/>
    <cellStyle name="Comma 9 5 4 2" xfId="17724"/>
    <cellStyle name="Comma 9 5 4 2 2" xfId="17725"/>
    <cellStyle name="Comma 9 5 4 3" xfId="17726"/>
    <cellStyle name="Comma 9 5 5" xfId="17727"/>
    <cellStyle name="Comma 9 5 5 2" xfId="17728"/>
    <cellStyle name="Comma 9 5 5 2 2" xfId="17729"/>
    <cellStyle name="Comma 9 5 5 3" xfId="17730"/>
    <cellStyle name="Comma 9 5 6" xfId="17731"/>
    <cellStyle name="Comma 9 5 6 2" xfId="17732"/>
    <cellStyle name="Comma 9 5 7" xfId="17733"/>
    <cellStyle name="Comma 9 5 7 2" xfId="17734"/>
    <cellStyle name="Comma 9 5 8" xfId="17735"/>
    <cellStyle name="Comma 9 5 9" xfId="17705"/>
    <cellStyle name="Comma 9 6" xfId="1053"/>
    <cellStyle name="Comma 9 6 10" xfId="40738"/>
    <cellStyle name="Comma 9 6 2" xfId="4516"/>
    <cellStyle name="Comma 9 6 2 2" xfId="4517"/>
    <cellStyle name="Comma 9 6 2 2 2" xfId="4518"/>
    <cellStyle name="Comma 9 6 2 2 2 2" xfId="17740"/>
    <cellStyle name="Comma 9 6 2 2 2 3" xfId="17739"/>
    <cellStyle name="Comma 9 6 2 2 3" xfId="17741"/>
    <cellStyle name="Comma 9 6 2 2 4" xfId="17738"/>
    <cellStyle name="Comma 9 6 2 3" xfId="4519"/>
    <cellStyle name="Comma 9 6 2 3 2" xfId="17743"/>
    <cellStyle name="Comma 9 6 2 3 3" xfId="17742"/>
    <cellStyle name="Comma 9 6 2 4" xfId="4520"/>
    <cellStyle name="Comma 9 6 2 4 2" xfId="17744"/>
    <cellStyle name="Comma 9 6 2 5" xfId="17745"/>
    <cellStyle name="Comma 9 6 2 6" xfId="17737"/>
    <cellStyle name="Comma 9 6 3" xfId="5173"/>
    <cellStyle name="Comma 9 6 3 2" xfId="4521"/>
    <cellStyle name="Comma 9 6 3 2 2" xfId="17748"/>
    <cellStyle name="Comma 9 6 3 2 2 2" xfId="17749"/>
    <cellStyle name="Comma 9 6 3 2 3" xfId="17750"/>
    <cellStyle name="Comma 9 6 3 2 4" xfId="17747"/>
    <cellStyle name="Comma 9 6 3 3" xfId="17751"/>
    <cellStyle name="Comma 9 6 3 3 2" xfId="17752"/>
    <cellStyle name="Comma 9 6 3 4" xfId="17753"/>
    <cellStyle name="Comma 9 6 3 5" xfId="17746"/>
    <cellStyle name="Comma 9 6 4" xfId="4522"/>
    <cellStyle name="Comma 9 6 4 2" xfId="17755"/>
    <cellStyle name="Comma 9 6 4 2 2" xfId="17756"/>
    <cellStyle name="Comma 9 6 4 3" xfId="17757"/>
    <cellStyle name="Comma 9 6 4 4" xfId="17754"/>
    <cellStyle name="Comma 9 6 5" xfId="4523"/>
    <cellStyle name="Comma 9 6 5 2" xfId="17759"/>
    <cellStyle name="Comma 9 6 5 2 2" xfId="17760"/>
    <cellStyle name="Comma 9 6 5 3" xfId="17761"/>
    <cellStyle name="Comma 9 6 5 4" xfId="17758"/>
    <cellStyle name="Comma 9 6 6" xfId="4515"/>
    <cellStyle name="Comma 9 6 6 2" xfId="17763"/>
    <cellStyle name="Comma 9 6 6 3" xfId="17762"/>
    <cellStyle name="Comma 9 6 7" xfId="17764"/>
    <cellStyle name="Comma 9 6 8" xfId="17765"/>
    <cellStyle name="Comma 9 6 9" xfId="17736"/>
    <cellStyle name="Comma 9 7" xfId="1044"/>
    <cellStyle name="Comma 9 7 2" xfId="5174"/>
    <cellStyle name="Comma 9 7 2 2" xfId="17768"/>
    <cellStyle name="Comma 9 7 2 2 2" xfId="17769"/>
    <cellStyle name="Comma 9 7 2 2 2 2" xfId="17770"/>
    <cellStyle name="Comma 9 7 2 2 3" xfId="17771"/>
    <cellStyle name="Comma 9 7 2 3" xfId="17772"/>
    <cellStyle name="Comma 9 7 2 3 2" xfId="17773"/>
    <cellStyle name="Comma 9 7 2 4" xfId="17774"/>
    <cellStyle name="Comma 9 7 2 5" xfId="17767"/>
    <cellStyle name="Comma 9 7 3" xfId="17775"/>
    <cellStyle name="Comma 9 7 3 2" xfId="17776"/>
    <cellStyle name="Comma 9 7 3 2 2" xfId="17777"/>
    <cellStyle name="Comma 9 7 3 3" xfId="17778"/>
    <cellStyle name="Comma 9 7 4" xfId="17779"/>
    <cellStyle name="Comma 9 7 5" xfId="17766"/>
    <cellStyle name="Comma 9 8" xfId="4524"/>
    <cellStyle name="Comma 9 8 2" xfId="17781"/>
    <cellStyle name="Comma 9 8 3" xfId="17782"/>
    <cellStyle name="Comma 9 8 4" xfId="17783"/>
    <cellStyle name="Comma 9 8 5" xfId="17780"/>
    <cellStyle name="Comma 9 9" xfId="4525"/>
    <cellStyle name="Comma 9 9 2" xfId="17784"/>
    <cellStyle name="Comma 9_1. SBP QRC 30 Sep 10 (Trial 22oct) Final" xfId="42135"/>
    <cellStyle name="Comma 90" xfId="3645"/>
    <cellStyle name="Comma 90 2" xfId="43432"/>
    <cellStyle name="Comma 90 2 2" xfId="43534"/>
    <cellStyle name="Comma 90 2 2 2" xfId="45286"/>
    <cellStyle name="Comma 90 2 3" xfId="45256"/>
    <cellStyle name="Comma 90 3" xfId="45249"/>
    <cellStyle name="Comma 90 4" xfId="43420"/>
    <cellStyle name="Comma 91" xfId="3646"/>
    <cellStyle name="Comma 91 2" xfId="45251"/>
    <cellStyle name="Comma 91 3" xfId="43423"/>
    <cellStyle name="Comma 92" xfId="3648"/>
    <cellStyle name="Comma 92 2" xfId="45254"/>
    <cellStyle name="Comma 92 3" xfId="43429"/>
    <cellStyle name="Comma 93" xfId="5175"/>
    <cellStyle name="Comma 93 2" xfId="45255"/>
    <cellStyle name="Comma 93 3" xfId="43431"/>
    <cellStyle name="Comma 94" xfId="3262"/>
    <cellStyle name="Comma 94 2" xfId="43441"/>
    <cellStyle name="Comma 95" xfId="3263"/>
    <cellStyle name="Comma 95 2" xfId="43521"/>
    <cellStyle name="Comma 96" xfId="3264"/>
    <cellStyle name="Comma 96 2" xfId="43529"/>
    <cellStyle name="Comma 97" xfId="3265"/>
    <cellStyle name="Comma 97 2" xfId="43473"/>
    <cellStyle name="Comma 98" xfId="3267"/>
    <cellStyle name="Comma 98 2" xfId="45285"/>
    <cellStyle name="Comma 98 3" xfId="43533"/>
    <cellStyle name="Comma 99" xfId="3651"/>
    <cellStyle name="Comma_Accounts value fund" xfId="40371"/>
    <cellStyle name="Comma_Final accou by farrukh PCMF" xfId="40393"/>
    <cellStyle name="Comma_September 2011" xfId="40375"/>
    <cellStyle name="Comma0" xfId="1055"/>
    <cellStyle name="Comma0 2" xfId="1056"/>
    <cellStyle name="Comma0 2 2" xfId="1057"/>
    <cellStyle name="Comma0 2 3" xfId="2968"/>
    <cellStyle name="Comma0 2 4" xfId="41501"/>
    <cellStyle name="Comma0 3" xfId="1058"/>
    <cellStyle name="Comma0 3 2" xfId="1059"/>
    <cellStyle name="Comma0 3 2 2" xfId="17785"/>
    <cellStyle name="Comma0 3 3" xfId="17786"/>
    <cellStyle name="Comma0 4" xfId="1060"/>
    <cellStyle name="Comma0 5" xfId="1061"/>
    <cellStyle name="Comma0 6" xfId="40740"/>
    <cellStyle name="CommaWIRR_pldt" xfId="40593"/>
    <cellStyle name="CompanyName" xfId="1062"/>
    <cellStyle name="CompanyName 2" xfId="1063"/>
    <cellStyle name="CompanyName_Final Accounts reintial- 2009" xfId="5176"/>
    <cellStyle name="Component" xfId="1064"/>
    <cellStyle name="Component 2" xfId="1065"/>
    <cellStyle name="Component 2 2" xfId="42137"/>
    <cellStyle name="Component 3" xfId="42136"/>
    <cellStyle name="Component_1. Rcon FEEL vs Trial (Domestic on BS)" xfId="42138"/>
    <cellStyle name="Copied" xfId="1066"/>
    <cellStyle name="Copied 2" xfId="1067"/>
    <cellStyle name="Copied 3" xfId="42139"/>
    <cellStyle name="Credit" xfId="42140"/>
    <cellStyle name="Credit subtotal" xfId="42141"/>
    <cellStyle name="Credit subtotal 2" xfId="42635"/>
    <cellStyle name="Credit subtotal 2 2" xfId="43000"/>
    <cellStyle name="Credit subtotal 2 3" xfId="42995"/>
    <cellStyle name="Credit subtotal 2 3 2" xfId="44848"/>
    <cellStyle name="Credit subtotal 3" xfId="42999"/>
    <cellStyle name="Credit Total" xfId="42142"/>
    <cellStyle name="Credit_Board docs RR" xfId="42143"/>
    <cellStyle name="Ctrrency [0]_laroux_2_Locas_1" xfId="42144"/>
    <cellStyle name="Currency [00]" xfId="2617"/>
    <cellStyle name="Currency [00] 2" xfId="17787"/>
    <cellStyle name="Currency [00] 3" xfId="42145"/>
    <cellStyle name="Currency 10" xfId="43440"/>
    <cellStyle name="Currency 11" xfId="43523"/>
    <cellStyle name="Currency 12" xfId="43519"/>
    <cellStyle name="Currency 13" xfId="40444"/>
    <cellStyle name="Currency 2" xfId="1068"/>
    <cellStyle name="Currency 2 10" xfId="17788"/>
    <cellStyle name="Currency 2 2" xfId="1069"/>
    <cellStyle name="Currency 2 2 2" xfId="1070"/>
    <cellStyle name="Currency 2 2 2 2" xfId="17789"/>
    <cellStyle name="Currency 2 2 3" xfId="1071"/>
    <cellStyle name="Currency 2 2 3 2" xfId="17790"/>
    <cellStyle name="Currency 2 2 4" xfId="4526"/>
    <cellStyle name="Currency 2 2 5" xfId="40741"/>
    <cellStyle name="Currency 2 3" xfId="1072"/>
    <cellStyle name="Currency 2 3 2" xfId="1073"/>
    <cellStyle name="Currency 2 3 3" xfId="4527"/>
    <cellStyle name="Currency 2 3 4" xfId="40742"/>
    <cellStyle name="Currency 2 4" xfId="1074"/>
    <cellStyle name="Currency 2 4 2" xfId="40743"/>
    <cellStyle name="Currency 2 5" xfId="1075"/>
    <cellStyle name="Currency 2 5 2" xfId="40744"/>
    <cellStyle name="Currency 2 6" xfId="1076"/>
    <cellStyle name="Currency 2 6 2" xfId="5178"/>
    <cellStyle name="Currency 2 6 2 2" xfId="17791"/>
    <cellStyle name="Currency 2 6 3" xfId="17792"/>
    <cellStyle name="Currency 2 7" xfId="1077"/>
    <cellStyle name="Currency 2 7 2" xfId="5179"/>
    <cellStyle name="Currency 2 8" xfId="5180"/>
    <cellStyle name="Currency 2 9" xfId="5177"/>
    <cellStyle name="Currency 3" xfId="1078"/>
    <cellStyle name="Currency 3 2" xfId="1079"/>
    <cellStyle name="Currency 3 2 2" xfId="2969"/>
    <cellStyle name="Currency 3 3" xfId="2618"/>
    <cellStyle name="Currency 3 3 2" xfId="5182"/>
    <cellStyle name="Currency 3 4" xfId="5181"/>
    <cellStyle name="Currency 3 5" xfId="40745"/>
    <cellStyle name="Currency 4" xfId="1080"/>
    <cellStyle name="Currency 4 2" xfId="17793"/>
    <cellStyle name="Currency 4 3" xfId="40746"/>
    <cellStyle name="Currency 5" xfId="1081"/>
    <cellStyle name="Currency 5 2" xfId="40747"/>
    <cellStyle name="Currency 6" xfId="1082"/>
    <cellStyle name="Currency 6 2" xfId="40748"/>
    <cellStyle name="Currency 7" xfId="42295"/>
    <cellStyle name="Currency 8" xfId="42655"/>
    <cellStyle name="Currency 9" xfId="43469"/>
    <cellStyle name="Currency0" xfId="1083"/>
    <cellStyle name="Currency0 2" xfId="1084"/>
    <cellStyle name="Currency0 2 2" xfId="1085"/>
    <cellStyle name="Currency0 2 3" xfId="2970"/>
    <cellStyle name="Currency0 2 4" xfId="41502"/>
    <cellStyle name="Currency0 3" xfId="1086"/>
    <cellStyle name="Currency0 3 2" xfId="1087"/>
    <cellStyle name="Currency0 3 2 2" xfId="17794"/>
    <cellStyle name="Currency0 3 3" xfId="17795"/>
    <cellStyle name="Currency0 4" xfId="1088"/>
    <cellStyle name="Currency0 5" xfId="1089"/>
    <cellStyle name="Currency0 6" xfId="40749"/>
    <cellStyle name="Custom - Style1" xfId="2619"/>
    <cellStyle name="Custom - Style8" xfId="1090"/>
    <cellStyle name="Custom - Style8 2" xfId="42146"/>
    <cellStyle name="Dash" xfId="1091"/>
    <cellStyle name="Dash 2" xfId="1092"/>
    <cellStyle name="Dash 2 2" xfId="1093"/>
    <cellStyle name="Dash 2 2 2" xfId="17796"/>
    <cellStyle name="Dash 2 3" xfId="17797"/>
    <cellStyle name="Dash 2 4" xfId="17798"/>
    <cellStyle name="Dash 3" xfId="1094"/>
    <cellStyle name="Dash 3 2" xfId="2971"/>
    <cellStyle name="Dash 4" xfId="1095"/>
    <cellStyle name="Dash 4 2" xfId="17799"/>
    <cellStyle name="Dash_CDC RECON AND MARK TO MARKET" xfId="2620"/>
    <cellStyle name="Data   - Style2" xfId="1096"/>
    <cellStyle name="Data   - Style2 10" xfId="17800"/>
    <cellStyle name="Data   - Style2 11" xfId="42147"/>
    <cellStyle name="Data   - Style2 2" xfId="1097"/>
    <cellStyle name="Data   - Style2 2 10" xfId="17801"/>
    <cellStyle name="Data   - Style2 2 11" xfId="44107"/>
    <cellStyle name="Data   - Style2 2 2" xfId="1098"/>
    <cellStyle name="Data   - Style2 2 2 2" xfId="7963"/>
    <cellStyle name="Data   - Style2 2 2 2 2" xfId="17802"/>
    <cellStyle name="Data   - Style2 2 2 2 2 2" xfId="17803"/>
    <cellStyle name="Data   - Style2 2 2 2 2 3" xfId="17804"/>
    <cellStyle name="Data   - Style2 2 2 2 3" xfId="17805"/>
    <cellStyle name="Data   - Style2 2 2 2 4" xfId="17806"/>
    <cellStyle name="Data   - Style2 2 2 3" xfId="17807"/>
    <cellStyle name="Data   - Style2 2 2 3 2" xfId="17808"/>
    <cellStyle name="Data   - Style2 2 2 3 2 2" xfId="17809"/>
    <cellStyle name="Data   - Style2 2 2 3 2 3" xfId="17810"/>
    <cellStyle name="Data   - Style2 2 2 3 3" xfId="17811"/>
    <cellStyle name="Data   - Style2 2 2 3 4" xfId="17812"/>
    <cellStyle name="Data   - Style2 2 2 4" xfId="17813"/>
    <cellStyle name="Data   - Style2 2 2 4 2" xfId="17814"/>
    <cellStyle name="Data   - Style2 2 2 4 2 2" xfId="17815"/>
    <cellStyle name="Data   - Style2 2 2 4 2 3" xfId="17816"/>
    <cellStyle name="Data   - Style2 2 2 4 3" xfId="17817"/>
    <cellStyle name="Data   - Style2 2 2 4 4" xfId="17818"/>
    <cellStyle name="Data   - Style2 2 2 5" xfId="17819"/>
    <cellStyle name="Data   - Style2 2 2 5 2" xfId="17820"/>
    <cellStyle name="Data   - Style2 2 2 5 3" xfId="17821"/>
    <cellStyle name="Data   - Style2 2 2 6" xfId="17822"/>
    <cellStyle name="Data   - Style2 2 2 6 2" xfId="17823"/>
    <cellStyle name="Data   - Style2 2 2 7" xfId="17824"/>
    <cellStyle name="Data   - Style2 2 2 7 2" xfId="17825"/>
    <cellStyle name="Data   - Style2 2 2 8" xfId="17826"/>
    <cellStyle name="Data   - Style2 2 2 9" xfId="17827"/>
    <cellStyle name="Data   - Style2 2 3" xfId="7962"/>
    <cellStyle name="Data   - Style2 2 3 2" xfId="17828"/>
    <cellStyle name="Data   - Style2 2 3 2 2" xfId="17829"/>
    <cellStyle name="Data   - Style2 2 3 2 2 2" xfId="17830"/>
    <cellStyle name="Data   - Style2 2 3 2 2 3" xfId="17831"/>
    <cellStyle name="Data   - Style2 2 3 2 3" xfId="17832"/>
    <cellStyle name="Data   - Style2 2 3 2 4" xfId="17833"/>
    <cellStyle name="Data   - Style2 2 3 3" xfId="17834"/>
    <cellStyle name="Data   - Style2 2 3 3 2" xfId="17835"/>
    <cellStyle name="Data   - Style2 2 3 3 2 2" xfId="17836"/>
    <cellStyle name="Data   - Style2 2 3 3 2 3" xfId="17837"/>
    <cellStyle name="Data   - Style2 2 3 3 3" xfId="17838"/>
    <cellStyle name="Data   - Style2 2 3 3 4" xfId="17839"/>
    <cellStyle name="Data   - Style2 2 3 4" xfId="17840"/>
    <cellStyle name="Data   - Style2 2 3 4 2" xfId="17841"/>
    <cellStyle name="Data   - Style2 2 3 4 3" xfId="17842"/>
    <cellStyle name="Data   - Style2 2 3 4 4" xfId="17843"/>
    <cellStyle name="Data   - Style2 2 3 5" xfId="17844"/>
    <cellStyle name="Data   - Style2 2 3 5 2" xfId="17845"/>
    <cellStyle name="Data   - Style2 2 3 5 3" xfId="17846"/>
    <cellStyle name="Data   - Style2 2 3 6" xfId="17847"/>
    <cellStyle name="Data   - Style2 2 3 7" xfId="17848"/>
    <cellStyle name="Data   - Style2 2 4" xfId="17849"/>
    <cellStyle name="Data   - Style2 2 4 2" xfId="17850"/>
    <cellStyle name="Data   - Style2 2 4 2 2" xfId="17851"/>
    <cellStyle name="Data   - Style2 2 4 2 3" xfId="17852"/>
    <cellStyle name="Data   - Style2 2 4 2 4" xfId="17853"/>
    <cellStyle name="Data   - Style2 2 4 3" xfId="17854"/>
    <cellStyle name="Data   - Style2 2 4 3 2" xfId="17855"/>
    <cellStyle name="Data   - Style2 2 4 3 3" xfId="17856"/>
    <cellStyle name="Data   - Style2 2 4 3 4" xfId="17857"/>
    <cellStyle name="Data   - Style2 2 4 4" xfId="17858"/>
    <cellStyle name="Data   - Style2 2 4 5" xfId="17859"/>
    <cellStyle name="Data   - Style2 2 4 6" xfId="17860"/>
    <cellStyle name="Data   - Style2 2 5" xfId="17861"/>
    <cellStyle name="Data   - Style2 2 5 2" xfId="17862"/>
    <cellStyle name="Data   - Style2 2 5 2 2" xfId="17863"/>
    <cellStyle name="Data   - Style2 2 5 2 3" xfId="17864"/>
    <cellStyle name="Data   - Style2 2 5 2 4" xfId="17865"/>
    <cellStyle name="Data   - Style2 2 5 3" xfId="17866"/>
    <cellStyle name="Data   - Style2 2 5 3 2" xfId="17867"/>
    <cellStyle name="Data   - Style2 2 5 3 3" xfId="17868"/>
    <cellStyle name="Data   - Style2 2 5 3 4" xfId="17869"/>
    <cellStyle name="Data   - Style2 2 5 4" xfId="17870"/>
    <cellStyle name="Data   - Style2 2 5 5" xfId="17871"/>
    <cellStyle name="Data   - Style2 2 5 6" xfId="17872"/>
    <cellStyle name="Data   - Style2 2 6" xfId="17873"/>
    <cellStyle name="Data   - Style2 2 6 2" xfId="17874"/>
    <cellStyle name="Data   - Style2 2 6 3" xfId="17875"/>
    <cellStyle name="Data   - Style2 2 6 4" xfId="17876"/>
    <cellStyle name="Data   - Style2 2 7" xfId="17877"/>
    <cellStyle name="Data   - Style2 2 7 2" xfId="17878"/>
    <cellStyle name="Data   - Style2 2 7 3" xfId="17879"/>
    <cellStyle name="Data   - Style2 2 7 4" xfId="17880"/>
    <cellStyle name="Data   - Style2 2 8" xfId="17881"/>
    <cellStyle name="Data   - Style2 2 9" xfId="17882"/>
    <cellStyle name="Data   - Style2 3" xfId="1099"/>
    <cellStyle name="Data   - Style2 3 2" xfId="1100"/>
    <cellStyle name="Data   - Style2 3 2 2" xfId="7965"/>
    <cellStyle name="Data   - Style2 3 2 2 2" xfId="17883"/>
    <cellStyle name="Data   - Style2 3 2 2 2 2" xfId="17884"/>
    <cellStyle name="Data   - Style2 3 2 2 2 3" xfId="17885"/>
    <cellStyle name="Data   - Style2 3 2 2 3" xfId="17886"/>
    <cellStyle name="Data   - Style2 3 2 2 4" xfId="17887"/>
    <cellStyle name="Data   - Style2 3 2 3" xfId="17888"/>
    <cellStyle name="Data   - Style2 3 2 3 2" xfId="17889"/>
    <cellStyle name="Data   - Style2 3 2 3 2 2" xfId="17890"/>
    <cellStyle name="Data   - Style2 3 2 3 2 3" xfId="17891"/>
    <cellStyle name="Data   - Style2 3 2 3 3" xfId="17892"/>
    <cellStyle name="Data   - Style2 3 2 3 4" xfId="17893"/>
    <cellStyle name="Data   - Style2 3 2 4" xfId="17894"/>
    <cellStyle name="Data   - Style2 3 2 4 2" xfId="17895"/>
    <cellStyle name="Data   - Style2 3 2 4 2 2" xfId="17896"/>
    <cellStyle name="Data   - Style2 3 2 4 3" xfId="17897"/>
    <cellStyle name="Data   - Style2 3 2 4 4" xfId="17898"/>
    <cellStyle name="Data   - Style2 3 2 5" xfId="17899"/>
    <cellStyle name="Data   - Style2 3 2 5 2" xfId="17900"/>
    <cellStyle name="Data   - Style2 3 2 6" xfId="17901"/>
    <cellStyle name="Data   - Style2 3 2 6 2" xfId="17902"/>
    <cellStyle name="Data   - Style2 3 2 7" xfId="17903"/>
    <cellStyle name="Data   - Style2 3 2 7 2" xfId="17904"/>
    <cellStyle name="Data   - Style2 3 2 8" xfId="17905"/>
    <cellStyle name="Data   - Style2 3 2 9" xfId="17906"/>
    <cellStyle name="Data   - Style2 3 3" xfId="7964"/>
    <cellStyle name="Data   - Style2 3 3 2" xfId="17907"/>
    <cellStyle name="Data   - Style2 3 3 2 2" xfId="17908"/>
    <cellStyle name="Data   - Style2 3 3 2 2 2" xfId="17909"/>
    <cellStyle name="Data   - Style2 3 3 2 3" xfId="17910"/>
    <cellStyle name="Data   - Style2 3 3 2 4" xfId="17911"/>
    <cellStyle name="Data   - Style2 3 3 3" xfId="17912"/>
    <cellStyle name="Data   - Style2 3 3 3 2" xfId="17913"/>
    <cellStyle name="Data   - Style2 3 3 3 2 2" xfId="17914"/>
    <cellStyle name="Data   - Style2 3 3 3 3" xfId="17915"/>
    <cellStyle name="Data   - Style2 3 3 4" xfId="17916"/>
    <cellStyle name="Data   - Style2 3 3 4 2" xfId="17917"/>
    <cellStyle name="Data   - Style2 3 3 5" xfId="17918"/>
    <cellStyle name="Data   - Style2 3 3 5 2" xfId="17919"/>
    <cellStyle name="Data   - Style2 3 3 6" xfId="17920"/>
    <cellStyle name="Data   - Style2 3 3 7" xfId="17921"/>
    <cellStyle name="Data   - Style2 3 4" xfId="17922"/>
    <cellStyle name="Data   - Style2 3 4 2" xfId="17923"/>
    <cellStyle name="Data   - Style2 3 4 3" xfId="17924"/>
    <cellStyle name="Data   - Style2 3 4 4" xfId="17925"/>
    <cellStyle name="Data   - Style2 3 5" xfId="17926"/>
    <cellStyle name="Data   - Style2 3 5 2" xfId="17927"/>
    <cellStyle name="Data   - Style2 3 5 3" xfId="17928"/>
    <cellStyle name="Data   - Style2 3 5 4" xfId="17929"/>
    <cellStyle name="Data   - Style2 3 6" xfId="17930"/>
    <cellStyle name="Data   - Style2 3 7" xfId="17931"/>
    <cellStyle name="Data   - Style2 3 8" xfId="17932"/>
    <cellStyle name="Data   - Style2 3 9" xfId="45289"/>
    <cellStyle name="Data   - Style2 4" xfId="1101"/>
    <cellStyle name="Data   - Style2 4 10" xfId="45336"/>
    <cellStyle name="Data   - Style2 4 2" xfId="5183"/>
    <cellStyle name="Data   - Style2 4 2 2" xfId="17934"/>
    <cellStyle name="Data   - Style2 4 2 2 2" xfId="17935"/>
    <cellStyle name="Data   - Style2 4 2 2 3" xfId="17936"/>
    <cellStyle name="Data   - Style2 4 2 3" xfId="17937"/>
    <cellStyle name="Data   - Style2 4 2 4" xfId="17938"/>
    <cellStyle name="Data   - Style2 4 2 5" xfId="17933"/>
    <cellStyle name="Data   - Style2 4 3" xfId="7966"/>
    <cellStyle name="Data   - Style2 4 3 2" xfId="17939"/>
    <cellStyle name="Data   - Style2 4 3 2 2" xfId="17940"/>
    <cellStyle name="Data   - Style2 4 3 2 3" xfId="17941"/>
    <cellStyle name="Data   - Style2 4 3 3" xfId="17942"/>
    <cellStyle name="Data   - Style2 4 3 4" xfId="17943"/>
    <cellStyle name="Data   - Style2 4 4" xfId="17944"/>
    <cellStyle name="Data   - Style2 4 4 2" xfId="17945"/>
    <cellStyle name="Data   - Style2 4 4 2 2" xfId="17946"/>
    <cellStyle name="Data   - Style2 4 4 2 3" xfId="17947"/>
    <cellStyle name="Data   - Style2 4 4 3" xfId="17948"/>
    <cellStyle name="Data   - Style2 4 4 4" xfId="17949"/>
    <cellStyle name="Data   - Style2 4 5" xfId="17950"/>
    <cellStyle name="Data   - Style2 4 5 2" xfId="17951"/>
    <cellStyle name="Data   - Style2 4 5 3" xfId="17952"/>
    <cellStyle name="Data   - Style2 4 6" xfId="17953"/>
    <cellStyle name="Data   - Style2 4 6 2" xfId="17954"/>
    <cellStyle name="Data   - Style2 4 7" xfId="17955"/>
    <cellStyle name="Data   - Style2 4 7 2" xfId="17956"/>
    <cellStyle name="Data   - Style2 4 8" xfId="17957"/>
    <cellStyle name="Data   - Style2 4 9" xfId="17958"/>
    <cellStyle name="Data   - Style2 5" xfId="5184"/>
    <cellStyle name="Data   - Style2 5 10" xfId="17959"/>
    <cellStyle name="Data   - Style2 5 2" xfId="5185"/>
    <cellStyle name="Data   - Style2 5 2 2" xfId="17961"/>
    <cellStyle name="Data   - Style2 5 2 2 2" xfId="17962"/>
    <cellStyle name="Data   - Style2 5 2 2 3" xfId="17963"/>
    <cellStyle name="Data   - Style2 5 2 3" xfId="17964"/>
    <cellStyle name="Data   - Style2 5 2 4" xfId="17965"/>
    <cellStyle name="Data   - Style2 5 2 5" xfId="17960"/>
    <cellStyle name="Data   - Style2 5 3" xfId="17966"/>
    <cellStyle name="Data   - Style2 5 3 2" xfId="17967"/>
    <cellStyle name="Data   - Style2 5 3 2 2" xfId="17968"/>
    <cellStyle name="Data   - Style2 5 3 2 3" xfId="17969"/>
    <cellStyle name="Data   - Style2 5 3 3" xfId="17970"/>
    <cellStyle name="Data   - Style2 5 3 4" xfId="17971"/>
    <cellStyle name="Data   - Style2 5 4" xfId="17972"/>
    <cellStyle name="Data   - Style2 5 4 2" xfId="17973"/>
    <cellStyle name="Data   - Style2 5 4 2 2" xfId="17974"/>
    <cellStyle name="Data   - Style2 5 4 2 3" xfId="17975"/>
    <cellStyle name="Data   - Style2 5 4 3" xfId="17976"/>
    <cellStyle name="Data   - Style2 5 4 4" xfId="17977"/>
    <cellStyle name="Data   - Style2 5 5" xfId="17978"/>
    <cellStyle name="Data   - Style2 5 5 2" xfId="17979"/>
    <cellStyle name="Data   - Style2 5 5 3" xfId="17980"/>
    <cellStyle name="Data   - Style2 5 6" xfId="17981"/>
    <cellStyle name="Data   - Style2 5 6 2" xfId="17982"/>
    <cellStyle name="Data   - Style2 5 7" xfId="17983"/>
    <cellStyle name="Data   - Style2 5 7 2" xfId="17984"/>
    <cellStyle name="Data   - Style2 5 8" xfId="17985"/>
    <cellStyle name="Data   - Style2 5 9" xfId="17986"/>
    <cellStyle name="Data   - Style2 6" xfId="5186"/>
    <cellStyle name="Data   - Style2 6 2" xfId="17988"/>
    <cellStyle name="Data   - Style2 6 2 2" xfId="17989"/>
    <cellStyle name="Data   - Style2 6 2 2 2" xfId="17990"/>
    <cellStyle name="Data   - Style2 6 2 3" xfId="17991"/>
    <cellStyle name="Data   - Style2 6 2 4" xfId="17992"/>
    <cellStyle name="Data   - Style2 6 3" xfId="17993"/>
    <cellStyle name="Data   - Style2 6 3 2" xfId="17994"/>
    <cellStyle name="Data   - Style2 6 3 2 2" xfId="17995"/>
    <cellStyle name="Data   - Style2 6 3 3" xfId="17996"/>
    <cellStyle name="Data   - Style2 6 4" xfId="17997"/>
    <cellStyle name="Data   - Style2 6 4 2" xfId="17998"/>
    <cellStyle name="Data   - Style2 6 5" xfId="17999"/>
    <cellStyle name="Data   - Style2 6 5 2" xfId="18000"/>
    <cellStyle name="Data   - Style2 6 6" xfId="18001"/>
    <cellStyle name="Data   - Style2 6 7" xfId="18002"/>
    <cellStyle name="Data   - Style2 6 8" xfId="17987"/>
    <cellStyle name="Data   - Style2 7" xfId="5187"/>
    <cellStyle name="Data   - Style2 7 2" xfId="18004"/>
    <cellStyle name="Data   - Style2 7 3" xfId="18005"/>
    <cellStyle name="Data   - Style2 7 4" xfId="18006"/>
    <cellStyle name="Data   - Style2 7 5" xfId="18003"/>
    <cellStyle name="Data   - Style2 8" xfId="7803"/>
    <cellStyle name="Data   - Style2 8 2" xfId="18008"/>
    <cellStyle name="Data   - Style2 8 3" xfId="18009"/>
    <cellStyle name="Data   - Style2 8 4" xfId="18007"/>
    <cellStyle name="Data   - Style2 9" xfId="7961"/>
    <cellStyle name="Date" xfId="1102"/>
    <cellStyle name="Date 2" xfId="7804"/>
    <cellStyle name="Date 2 2" xfId="18011"/>
    <cellStyle name="Date 2 3" xfId="18012"/>
    <cellStyle name="Date 2 4" xfId="18010"/>
    <cellStyle name="Date 3" xfId="4528"/>
    <cellStyle name="Date 3 2" xfId="18014"/>
    <cellStyle name="Date 3 3" xfId="18015"/>
    <cellStyle name="Date 3 4" xfId="18013"/>
    <cellStyle name="Date Short" xfId="2621"/>
    <cellStyle name="Debit" xfId="42148"/>
    <cellStyle name="Debit subtotal" xfId="42149"/>
    <cellStyle name="Debit subtotal 2" xfId="42636"/>
    <cellStyle name="Debit subtotal 2 2" xfId="43002"/>
    <cellStyle name="Debit subtotal 2 3" xfId="42990"/>
    <cellStyle name="Debit subtotal 2 3 2" xfId="44843"/>
    <cellStyle name="Debit subtotal 3" xfId="43001"/>
    <cellStyle name="Debit Total" xfId="42150"/>
    <cellStyle name="Debit_Board docs RR" xfId="42151"/>
    <cellStyle name="Define your own named style" xfId="40327"/>
    <cellStyle name="Define your own named style 2" xfId="42152"/>
    <cellStyle name="Description" xfId="1103"/>
    <cellStyle name="Description 2" xfId="1104"/>
    <cellStyle name="Description 3" xfId="42153"/>
    <cellStyle name="Dezimal [0]_BINV" xfId="2622"/>
    <cellStyle name="Dezimal_BINV" xfId="2623"/>
    <cellStyle name="Dollar" xfId="1105"/>
    <cellStyle name="Dollar 2" xfId="1106"/>
    <cellStyle name="Dollar 2 2" xfId="1107"/>
    <cellStyle name="Dollar 2 2 2" xfId="18016"/>
    <cellStyle name="Dollar 2 3" xfId="1108"/>
    <cellStyle name="Dollar 2 3 2" xfId="18017"/>
    <cellStyle name="Dollar 3" xfId="1109"/>
    <cellStyle name="Dollar 3 2" xfId="1110"/>
    <cellStyle name="Dollar 4" xfId="1111"/>
    <cellStyle name="Draw lines around data in range" xfId="40328"/>
    <cellStyle name="Draw lines around data in range 2" xfId="44108"/>
    <cellStyle name="Draw lines around data in range 3" xfId="45290"/>
    <cellStyle name="Draw lines around data in range 4" xfId="43772"/>
    <cellStyle name="Draw lines around data in range 5" xfId="42154"/>
    <cellStyle name="Draw shadow and lines within range" xfId="40329"/>
    <cellStyle name="Draw shadow and lines within range 2" xfId="44109"/>
    <cellStyle name="Draw shadow and lines within range 3" xfId="45291"/>
    <cellStyle name="Draw shadow and lines within range 4" xfId="45313"/>
    <cellStyle name="Draw shadow and lines within range 5" xfId="42155"/>
    <cellStyle name="Ellenőrzőcella" xfId="40330"/>
    <cellStyle name="Enlarge title text, yellow on blue" xfId="40331"/>
    <cellStyle name="Enlarge title text, yellow on blue 2" xfId="42156"/>
    <cellStyle name="Enter Currency (0)" xfId="1112"/>
    <cellStyle name="Enter Currency (0) 2" xfId="1113"/>
    <cellStyle name="Enter Currency (0) 2 2" xfId="1114"/>
    <cellStyle name="Enter Currency (0) 2 2 2" xfId="18018"/>
    <cellStyle name="Enter Currency (0) 3" xfId="1115"/>
    <cellStyle name="Enter Currency (0) 4" xfId="1116"/>
    <cellStyle name="Enter Currency (2)" xfId="2624"/>
    <cellStyle name="Enter Currency (2) 2" xfId="42157"/>
    <cellStyle name="Enter Units (0)" xfId="2625"/>
    <cellStyle name="Enter Units (0) 2" xfId="42158"/>
    <cellStyle name="Enter Units (1)" xfId="2626"/>
    <cellStyle name="Enter Units (1) 2" xfId="42159"/>
    <cellStyle name="Enter Units (2)" xfId="2627"/>
    <cellStyle name="Enter Units (2) 2" xfId="42160"/>
    <cellStyle name="Entered" xfId="1117"/>
    <cellStyle name="Entered 2" xfId="1118"/>
    <cellStyle name="Entered 3" xfId="42161"/>
    <cellStyle name="Euro" xfId="1119"/>
    <cellStyle name="Euro 10" xfId="1120"/>
    <cellStyle name="Euro 10 2" xfId="2421"/>
    <cellStyle name="Euro 11" xfId="2422"/>
    <cellStyle name="Euro 12" xfId="2423"/>
    <cellStyle name="Euro 13" xfId="2424"/>
    <cellStyle name="Euro 14" xfId="2425"/>
    <cellStyle name="Euro 15" xfId="2426"/>
    <cellStyle name="Euro 16" xfId="2427"/>
    <cellStyle name="Euro 17" xfId="2428"/>
    <cellStyle name="Euro 18" xfId="2429"/>
    <cellStyle name="Euro 19" xfId="2430"/>
    <cellStyle name="Euro 2" xfId="1121"/>
    <cellStyle name="Euro 2 2" xfId="1122"/>
    <cellStyle name="Euro 2 2 2" xfId="18020"/>
    <cellStyle name="Euro 2 2 3" xfId="18019"/>
    <cellStyle name="Euro 2 2 4" xfId="40969"/>
    <cellStyle name="Euro 2 3" xfId="1123"/>
    <cellStyle name="Euro 2 3 2" xfId="41184"/>
    <cellStyle name="Euro 2 4" xfId="18021"/>
    <cellStyle name="Euro 2 5" xfId="40594"/>
    <cellStyle name="Euro 20" xfId="4529"/>
    <cellStyle name="Euro 20 2" xfId="18023"/>
    <cellStyle name="Euro 20 2 2" xfId="18024"/>
    <cellStyle name="Euro 20 3" xfId="18025"/>
    <cellStyle name="Euro 20 4" xfId="18022"/>
    <cellStyle name="Euro 21" xfId="4530"/>
    <cellStyle name="Euro 21 2" xfId="18027"/>
    <cellStyle name="Euro 21 3" xfId="18028"/>
    <cellStyle name="Euro 21 4" xfId="18026"/>
    <cellStyle name="Euro 22" xfId="18029"/>
    <cellStyle name="Euro 22 2" xfId="18030"/>
    <cellStyle name="Euro 22 3" xfId="18031"/>
    <cellStyle name="Euro 23" xfId="18032"/>
    <cellStyle name="Euro 24" xfId="40445"/>
    <cellStyle name="Euro 3" xfId="1124"/>
    <cellStyle name="Euro 3 2" xfId="1125"/>
    <cellStyle name="Euro 3 3" xfId="40751"/>
    <cellStyle name="Euro 4" xfId="1126"/>
    <cellStyle name="Euro 4 2" xfId="1127"/>
    <cellStyle name="Euro 4 2 2" xfId="40865"/>
    <cellStyle name="Euro 4 3" xfId="2431"/>
    <cellStyle name="Euro 4 3 2" xfId="41838"/>
    <cellStyle name="Euro 4 4" xfId="40752"/>
    <cellStyle name="Euro 5" xfId="1128"/>
    <cellStyle name="Euro 5 2" xfId="1129"/>
    <cellStyle name="Euro 5 3" xfId="40750"/>
    <cellStyle name="Euro 6" xfId="1130"/>
    <cellStyle name="Euro 6 2" xfId="2432"/>
    <cellStyle name="Euro 7" xfId="1131"/>
    <cellStyle name="Euro 7 2" xfId="2433"/>
    <cellStyle name="Euro 8" xfId="1132"/>
    <cellStyle name="Euro 8 2" xfId="2434"/>
    <cellStyle name="Euro 9" xfId="1133"/>
    <cellStyle name="Euro 9 2" xfId="2435"/>
    <cellStyle name="Excel Built-in Comma" xfId="40332"/>
    <cellStyle name="Excel Built-in Normal" xfId="40333"/>
    <cellStyle name="Explanatory Text 10" xfId="4531"/>
    <cellStyle name="Explanatory Text 11" xfId="5188"/>
    <cellStyle name="Explanatory Text 12" xfId="4532"/>
    <cellStyle name="Explanatory Text 13" xfId="5189"/>
    <cellStyle name="Explanatory Text 14" xfId="4533"/>
    <cellStyle name="Explanatory Text 15" xfId="4534"/>
    <cellStyle name="Explanatory Text 16" xfId="4535"/>
    <cellStyle name="Explanatory Text 17" xfId="5417"/>
    <cellStyle name="Explanatory Text 18" xfId="18033"/>
    <cellStyle name="Explanatory Text 2" xfId="1135"/>
    <cellStyle name="Explanatory Text 2 2" xfId="1136"/>
    <cellStyle name="Explanatory Text 2 2 2" xfId="4536"/>
    <cellStyle name="Explanatory Text 2 2 3" xfId="40866"/>
    <cellStyle name="Explanatory Text 2 3" xfId="4537"/>
    <cellStyle name="Explanatory Text 2 3 2" xfId="41839"/>
    <cellStyle name="Explanatory Text 2 4" xfId="40753"/>
    <cellStyle name="Explanatory Text 2 5" xfId="40595"/>
    <cellStyle name="Explanatory Text 3" xfId="1137"/>
    <cellStyle name="Explanatory Text 3 2" xfId="41313"/>
    <cellStyle name="Explanatory Text 4" xfId="1138"/>
    <cellStyle name="Explanatory Text 4 2" xfId="42162"/>
    <cellStyle name="Explanatory Text 5" xfId="1139"/>
    <cellStyle name="Explanatory Text 6" xfId="1140"/>
    <cellStyle name="Explanatory Text 6 2" xfId="4538"/>
    <cellStyle name="Explanatory Text 7" xfId="1134"/>
    <cellStyle name="Explanatory Text 8" xfId="4539"/>
    <cellStyle name="Explanatory Text 9" xfId="4540"/>
    <cellStyle name="Feature" xfId="1141"/>
    <cellStyle name="Feature 2" xfId="1142"/>
    <cellStyle name="Feature 3" xfId="42163"/>
    <cellStyle name="Figyelmeztetés" xfId="40334"/>
    <cellStyle name="Fixed" xfId="1143"/>
    <cellStyle name="Fixed 2" xfId="1144"/>
    <cellStyle name="Fixed 2 2" xfId="1145"/>
    <cellStyle name="Fixed 2 2 2" xfId="40971"/>
    <cellStyle name="Fixed 2 3" xfId="1146"/>
    <cellStyle name="Fixed 2 3 2" xfId="41186"/>
    <cellStyle name="Fixed 2 4" xfId="43470"/>
    <cellStyle name="Fixed 2 5" xfId="40447"/>
    <cellStyle name="Fixed 3" xfId="1147"/>
    <cellStyle name="Fixed 3 2" xfId="1148"/>
    <cellStyle name="Fixed 3 3" xfId="40970"/>
    <cellStyle name="Fixed 4" xfId="1149"/>
    <cellStyle name="Fixed 4 2" xfId="4541"/>
    <cellStyle name="Fixed 4 3" xfId="41185"/>
    <cellStyle name="Fixed 5" xfId="1150"/>
    <cellStyle name="Fixed 6" xfId="4542"/>
    <cellStyle name="Fixed 7" xfId="40446"/>
    <cellStyle name="Fixed_5.2" xfId="5190"/>
    <cellStyle name="Followed Hyperlink" xfId="5191"/>
    <cellStyle name="Format a column of totals" xfId="40335"/>
    <cellStyle name="Format a column of totals 2" xfId="42164"/>
    <cellStyle name="Format a row of totals" xfId="40336"/>
    <cellStyle name="Format a row of totals 2" xfId="44112"/>
    <cellStyle name="Format a row of totals 3" xfId="45292"/>
    <cellStyle name="Format a row of totals 4" xfId="45303"/>
    <cellStyle name="Format a row of totals 5" xfId="42165"/>
    <cellStyle name="Format text as bold, black on yellow" xfId="40337"/>
    <cellStyle name="Format text as bold, black on yellow 2" xfId="44113"/>
    <cellStyle name="Format text as bold, black on yellow 3" xfId="45293"/>
    <cellStyle name="Format text as bold, black on yellow 4" xfId="45315"/>
    <cellStyle name="Format text as bold, black on yellow 5" xfId="42166"/>
    <cellStyle name="Good 10" xfId="4544"/>
    <cellStyle name="Good 11" xfId="4904"/>
    <cellStyle name="Good 12" xfId="4905"/>
    <cellStyle name="Good 13" xfId="4906"/>
    <cellStyle name="Good 14" xfId="4907"/>
    <cellStyle name="Good 15" xfId="4908"/>
    <cellStyle name="Good 16" xfId="4909"/>
    <cellStyle name="Good 17" xfId="3247"/>
    <cellStyle name="Good 18" xfId="18034"/>
    <cellStyle name="Good 2" xfId="1152"/>
    <cellStyle name="Good 2 2" xfId="1153"/>
    <cellStyle name="Good 2 2 2" xfId="4910"/>
    <cellStyle name="Good 2 2 2 2" xfId="41504"/>
    <cellStyle name="Good 2 2 3" xfId="41901"/>
    <cellStyle name="Good 2 2 4" xfId="40867"/>
    <cellStyle name="Good 2 3" xfId="3601"/>
    <cellStyle name="Good 2 3 2" xfId="41840"/>
    <cellStyle name="Good 2 4" xfId="40754"/>
    <cellStyle name="Good 2 5" xfId="40596"/>
    <cellStyle name="Good 3" xfId="1154"/>
    <cellStyle name="Good 3 2" xfId="41314"/>
    <cellStyle name="Good 4" xfId="1155"/>
    <cellStyle name="Good 4 2" xfId="41503"/>
    <cellStyle name="Good 5" xfId="1156"/>
    <cellStyle name="Good 5 2" xfId="18035"/>
    <cellStyle name="Good 6" xfId="1157"/>
    <cellStyle name="Good 6 2" xfId="4545"/>
    <cellStyle name="Good 7" xfId="1151"/>
    <cellStyle name="Good 7 2" xfId="4546"/>
    <cellStyle name="Good 8" xfId="4547"/>
    <cellStyle name="Good 9" xfId="4911"/>
    <cellStyle name="Grey" xfId="1158"/>
    <cellStyle name="Grey 2" xfId="1159"/>
    <cellStyle name="Grey 2 2" xfId="1160"/>
    <cellStyle name="Grey 2 3" xfId="1161"/>
    <cellStyle name="Grey 2 3 2" xfId="18036"/>
    <cellStyle name="Grey 2 4" xfId="3180"/>
    <cellStyle name="Grey 3" xfId="1162"/>
    <cellStyle name="Grey 3 2" xfId="4912"/>
    <cellStyle name="Grey 3 3" xfId="18037"/>
    <cellStyle name="Grey 4" xfId="1163"/>
    <cellStyle name="Grey 5" xfId="1164"/>
    <cellStyle name="Grey 6" xfId="1165"/>
    <cellStyle name="Header1" xfId="1166"/>
    <cellStyle name="Header1 2" xfId="1167"/>
    <cellStyle name="Header1 2 2" xfId="1168"/>
    <cellStyle name="Header1 2 2 2" xfId="18039"/>
    <cellStyle name="Header1 2 2 2 2" xfId="18040"/>
    <cellStyle name="Header1 2 2 2 2 2" xfId="18041"/>
    <cellStyle name="Header1 2 2 2 3" xfId="18042"/>
    <cellStyle name="Header1 2 2 2 3 2" xfId="18043"/>
    <cellStyle name="Header1 2 2 2 4" xfId="18044"/>
    <cellStyle name="Header1 2 2 2 4 2" xfId="18045"/>
    <cellStyle name="Header1 2 2 2 5" xfId="18046"/>
    <cellStyle name="Header1 2 2 2 5 2" xfId="18047"/>
    <cellStyle name="Header1 2 2 2 6" xfId="18048"/>
    <cellStyle name="Header1 2 2 2 6 2" xfId="18049"/>
    <cellStyle name="Header1 2 2 2 7" xfId="18050"/>
    <cellStyle name="Header1 2 2 2 7 2" xfId="18051"/>
    <cellStyle name="Header1 2 2 2 8" xfId="18052"/>
    <cellStyle name="Header1 2 2 2 8 2" xfId="18053"/>
    <cellStyle name="Header1 2 2 2 9" xfId="18054"/>
    <cellStyle name="Header1 2 2 3" xfId="18055"/>
    <cellStyle name="Header1 2 2 3 2" xfId="18056"/>
    <cellStyle name="Header1 2 2 3 2 2" xfId="18057"/>
    <cellStyle name="Header1 2 2 3 3" xfId="18058"/>
    <cellStyle name="Header1 2 2 3 3 2" xfId="18059"/>
    <cellStyle name="Header1 2 2 3 4" xfId="18060"/>
    <cellStyle name="Header1 2 2 3 4 2" xfId="18061"/>
    <cellStyle name="Header1 2 2 3 5" xfId="18062"/>
    <cellStyle name="Header1 2 2 3 5 2" xfId="18063"/>
    <cellStyle name="Header1 2 2 3 6" xfId="18064"/>
    <cellStyle name="Header1 2 2 3 6 2" xfId="18065"/>
    <cellStyle name="Header1 2 2 3 7" xfId="18066"/>
    <cellStyle name="Header1 2 2 3 7 2" xfId="18067"/>
    <cellStyle name="Header1 2 2 3 8" xfId="18068"/>
    <cellStyle name="Header1 2 2 4" xfId="18069"/>
    <cellStyle name="Header1 2 2 4 2" xfId="18070"/>
    <cellStyle name="Header1 2 2 4 2 2" xfId="18071"/>
    <cellStyle name="Header1 2 2 4 3" xfId="18072"/>
    <cellStyle name="Header1 2 2 4 3 2" xfId="18073"/>
    <cellStyle name="Header1 2 2 4 4" xfId="18074"/>
    <cellStyle name="Header1 2 2 4 4 2" xfId="18075"/>
    <cellStyle name="Header1 2 2 4 5" xfId="18076"/>
    <cellStyle name="Header1 2 2 4 5 2" xfId="18077"/>
    <cellStyle name="Header1 2 2 4 6" xfId="18078"/>
    <cellStyle name="Header1 2 2 4 6 2" xfId="18079"/>
    <cellStyle name="Header1 2 2 4 7" xfId="18080"/>
    <cellStyle name="Header1 2 2 4 7 2" xfId="18081"/>
    <cellStyle name="Header1 2 2 4 8" xfId="18082"/>
    <cellStyle name="Header1 2 2 5" xfId="18083"/>
    <cellStyle name="Header1 2 2 5 10" xfId="18084"/>
    <cellStyle name="Header1 2 2 5 10 2" xfId="18085"/>
    <cellStyle name="Header1 2 2 5 11" xfId="18086"/>
    <cellStyle name="Header1 2 2 5 11 2" xfId="18087"/>
    <cellStyle name="Header1 2 2 5 12" xfId="18088"/>
    <cellStyle name="Header1 2 2 5 12 2" xfId="18089"/>
    <cellStyle name="Header1 2 2 5 13" xfId="18090"/>
    <cellStyle name="Header1 2 2 5 2" xfId="18091"/>
    <cellStyle name="Header1 2 2 5 2 2" xfId="18092"/>
    <cellStyle name="Header1 2 2 5 3" xfId="18093"/>
    <cellStyle name="Header1 2 2 5 3 2" xfId="18094"/>
    <cellStyle name="Header1 2 2 5 4" xfId="18095"/>
    <cellStyle name="Header1 2 2 5 4 2" xfId="18096"/>
    <cellStyle name="Header1 2 2 5 5" xfId="18097"/>
    <cellStyle name="Header1 2 2 5 5 2" xfId="18098"/>
    <cellStyle name="Header1 2 2 5 6" xfId="18099"/>
    <cellStyle name="Header1 2 2 5 6 2" xfId="18100"/>
    <cellStyle name="Header1 2 2 5 7" xfId="18101"/>
    <cellStyle name="Header1 2 2 5 7 2" xfId="18102"/>
    <cellStyle name="Header1 2 2 5 8" xfId="18103"/>
    <cellStyle name="Header1 2 2 5 8 2" xfId="18104"/>
    <cellStyle name="Header1 2 2 5 9" xfId="18105"/>
    <cellStyle name="Header1 2 2 5 9 2" xfId="18106"/>
    <cellStyle name="Header1 2 2 6" xfId="18107"/>
    <cellStyle name="Header1 2 2 6 2" xfId="18108"/>
    <cellStyle name="Header1 2 2 7" xfId="18109"/>
    <cellStyle name="Header1 2 2 8" xfId="18038"/>
    <cellStyle name="Header1 2 3" xfId="4913"/>
    <cellStyle name="Header1 2 3 10" xfId="18110"/>
    <cellStyle name="Header1 2 3 2" xfId="18111"/>
    <cellStyle name="Header1 2 3 2 2" xfId="18112"/>
    <cellStyle name="Header1 2 3 3" xfId="18113"/>
    <cellStyle name="Header1 2 3 3 2" xfId="18114"/>
    <cellStyle name="Header1 2 3 4" xfId="18115"/>
    <cellStyle name="Header1 2 3 4 2" xfId="18116"/>
    <cellStyle name="Header1 2 3 5" xfId="18117"/>
    <cellStyle name="Header1 2 3 5 2" xfId="18118"/>
    <cellStyle name="Header1 2 3 6" xfId="18119"/>
    <cellStyle name="Header1 2 3 6 2" xfId="18120"/>
    <cellStyle name="Header1 2 3 7" xfId="18121"/>
    <cellStyle name="Header1 2 3 7 2" xfId="18122"/>
    <cellStyle name="Header1 2 3 8" xfId="18123"/>
    <cellStyle name="Header1 2 3 8 2" xfId="18124"/>
    <cellStyle name="Header1 2 3 9" xfId="18125"/>
    <cellStyle name="Header1 2 4" xfId="7968"/>
    <cellStyle name="Header1 2 4 2" xfId="18126"/>
    <cellStyle name="Header1 2 4 2 2" xfId="18127"/>
    <cellStyle name="Header1 2 4 3" xfId="18128"/>
    <cellStyle name="Header1 2 4 3 2" xfId="18129"/>
    <cellStyle name="Header1 2 4 4" xfId="18130"/>
    <cellStyle name="Header1 2 4 4 2" xfId="18131"/>
    <cellStyle name="Header1 2 4 5" xfId="18132"/>
    <cellStyle name="Header1 2 4 5 2" xfId="18133"/>
    <cellStyle name="Header1 2 4 6" xfId="18134"/>
    <cellStyle name="Header1 2 4 6 2" xfId="18135"/>
    <cellStyle name="Header1 2 4 7" xfId="18136"/>
    <cellStyle name="Header1 2 4 7 2" xfId="18137"/>
    <cellStyle name="Header1 2 4 8" xfId="18138"/>
    <cellStyle name="Header1 2 5" xfId="18139"/>
    <cellStyle name="Header1 2 5 2" xfId="18140"/>
    <cellStyle name="Header1 2 6" xfId="42167"/>
    <cellStyle name="Header1 3" xfId="1169"/>
    <cellStyle name="Header1 3 2" xfId="1170"/>
    <cellStyle name="Header1 3 2 2" xfId="18142"/>
    <cellStyle name="Header1 3 2 2 10" xfId="18143"/>
    <cellStyle name="Header1 3 2 2 2" xfId="18144"/>
    <cellStyle name="Header1 3 2 2 2 2" xfId="18145"/>
    <cellStyle name="Header1 3 2 2 3" xfId="18146"/>
    <cellStyle name="Header1 3 2 2 3 2" xfId="18147"/>
    <cellStyle name="Header1 3 2 2 4" xfId="18148"/>
    <cellStyle name="Header1 3 2 2 4 2" xfId="18149"/>
    <cellStyle name="Header1 3 2 2 5" xfId="18150"/>
    <cellStyle name="Header1 3 2 2 5 2" xfId="18151"/>
    <cellStyle name="Header1 3 2 2 6" xfId="18152"/>
    <cellStyle name="Header1 3 2 2 6 2" xfId="18153"/>
    <cellStyle name="Header1 3 2 2 7" xfId="18154"/>
    <cellStyle name="Header1 3 2 2 7 2" xfId="18155"/>
    <cellStyle name="Header1 3 2 2 8" xfId="18156"/>
    <cellStyle name="Header1 3 2 2 8 2" xfId="18157"/>
    <cellStyle name="Header1 3 2 2 9" xfId="18158"/>
    <cellStyle name="Header1 3 2 2 9 2" xfId="18159"/>
    <cellStyle name="Header1 3 2 3" xfId="18160"/>
    <cellStyle name="Header1 3 2 3 10" xfId="18161"/>
    <cellStyle name="Header1 3 2 3 2" xfId="18162"/>
    <cellStyle name="Header1 3 2 3 2 2" xfId="18163"/>
    <cellStyle name="Header1 3 2 3 3" xfId="18164"/>
    <cellStyle name="Header1 3 2 3 3 2" xfId="18165"/>
    <cellStyle name="Header1 3 2 3 4" xfId="18166"/>
    <cellStyle name="Header1 3 2 3 4 2" xfId="18167"/>
    <cellStyle name="Header1 3 2 3 5" xfId="18168"/>
    <cellStyle name="Header1 3 2 3 5 2" xfId="18169"/>
    <cellStyle name="Header1 3 2 3 6" xfId="18170"/>
    <cellStyle name="Header1 3 2 3 6 2" xfId="18171"/>
    <cellStyle name="Header1 3 2 3 7" xfId="18172"/>
    <cellStyle name="Header1 3 2 3 7 2" xfId="18173"/>
    <cellStyle name="Header1 3 2 3 8" xfId="18174"/>
    <cellStyle name="Header1 3 2 3 8 2" xfId="18175"/>
    <cellStyle name="Header1 3 2 3 9" xfId="18176"/>
    <cellStyle name="Header1 3 2 3 9 2" xfId="18177"/>
    <cellStyle name="Header1 3 2 4" xfId="18178"/>
    <cellStyle name="Header1 3 2 4 10" xfId="18179"/>
    <cellStyle name="Header1 3 2 4 10 2" xfId="18180"/>
    <cellStyle name="Header1 3 2 4 11" xfId="18181"/>
    <cellStyle name="Header1 3 2 4 11 2" xfId="18182"/>
    <cellStyle name="Header1 3 2 4 12" xfId="18183"/>
    <cellStyle name="Header1 3 2 4 12 2" xfId="18184"/>
    <cellStyle name="Header1 3 2 4 13" xfId="18185"/>
    <cellStyle name="Header1 3 2 4 2" xfId="18186"/>
    <cellStyle name="Header1 3 2 4 2 2" xfId="18187"/>
    <cellStyle name="Header1 3 2 4 3" xfId="18188"/>
    <cellStyle name="Header1 3 2 4 3 2" xfId="18189"/>
    <cellStyle name="Header1 3 2 4 4" xfId="18190"/>
    <cellStyle name="Header1 3 2 4 4 2" xfId="18191"/>
    <cellStyle name="Header1 3 2 4 5" xfId="18192"/>
    <cellStyle name="Header1 3 2 4 5 2" xfId="18193"/>
    <cellStyle name="Header1 3 2 4 6" xfId="18194"/>
    <cellStyle name="Header1 3 2 4 6 2" xfId="18195"/>
    <cellStyle name="Header1 3 2 4 7" xfId="18196"/>
    <cellStyle name="Header1 3 2 4 7 2" xfId="18197"/>
    <cellStyle name="Header1 3 2 4 8" xfId="18198"/>
    <cellStyle name="Header1 3 2 4 8 2" xfId="18199"/>
    <cellStyle name="Header1 3 2 4 9" xfId="18200"/>
    <cellStyle name="Header1 3 2 4 9 2" xfId="18201"/>
    <cellStyle name="Header1 3 2 5" xfId="18202"/>
    <cellStyle name="Header1 3 2 5 10" xfId="18203"/>
    <cellStyle name="Header1 3 2 5 10 2" xfId="18204"/>
    <cellStyle name="Header1 3 2 5 11" xfId="18205"/>
    <cellStyle name="Header1 3 2 5 11 2" xfId="18206"/>
    <cellStyle name="Header1 3 2 5 12" xfId="18207"/>
    <cellStyle name="Header1 3 2 5 12 2" xfId="18208"/>
    <cellStyle name="Header1 3 2 5 13" xfId="18209"/>
    <cellStyle name="Header1 3 2 5 2" xfId="18210"/>
    <cellStyle name="Header1 3 2 5 2 2" xfId="18211"/>
    <cellStyle name="Header1 3 2 5 3" xfId="18212"/>
    <cellStyle name="Header1 3 2 5 3 2" xfId="18213"/>
    <cellStyle name="Header1 3 2 5 4" xfId="18214"/>
    <cellStyle name="Header1 3 2 5 4 2" xfId="18215"/>
    <cellStyle name="Header1 3 2 5 5" xfId="18216"/>
    <cellStyle name="Header1 3 2 5 5 2" xfId="18217"/>
    <cellStyle name="Header1 3 2 5 6" xfId="18218"/>
    <cellStyle name="Header1 3 2 5 6 2" xfId="18219"/>
    <cellStyle name="Header1 3 2 5 7" xfId="18220"/>
    <cellStyle name="Header1 3 2 5 7 2" xfId="18221"/>
    <cellStyle name="Header1 3 2 5 8" xfId="18222"/>
    <cellStyle name="Header1 3 2 5 8 2" xfId="18223"/>
    <cellStyle name="Header1 3 2 5 9" xfId="18224"/>
    <cellStyle name="Header1 3 2 5 9 2" xfId="18225"/>
    <cellStyle name="Header1 3 2 6" xfId="18226"/>
    <cellStyle name="Header1 3 2 6 2" xfId="18227"/>
    <cellStyle name="Header1 3 2 6 2 2" xfId="18228"/>
    <cellStyle name="Header1 3 2 6 3" xfId="18229"/>
    <cellStyle name="Header1 3 2 6 3 2" xfId="18230"/>
    <cellStyle name="Header1 3 2 6 4" xfId="18231"/>
    <cellStyle name="Header1 3 2 6 4 2" xfId="18232"/>
    <cellStyle name="Header1 3 2 6 5" xfId="18233"/>
    <cellStyle name="Header1 3 2 6 5 2" xfId="18234"/>
    <cellStyle name="Header1 3 2 6 6" xfId="18235"/>
    <cellStyle name="Header1 3 2 6 6 2" xfId="18236"/>
    <cellStyle name="Header1 3 2 6 7" xfId="18237"/>
    <cellStyle name="Header1 3 2 6 7 2" xfId="18238"/>
    <cellStyle name="Header1 3 2 6 8" xfId="18239"/>
    <cellStyle name="Header1 3 2 6 8 2" xfId="18240"/>
    <cellStyle name="Header1 3 2 6 9" xfId="18241"/>
    <cellStyle name="Header1 3 2 7" xfId="18242"/>
    <cellStyle name="Header1 3 2 8" xfId="18141"/>
    <cellStyle name="Header1 3 3" xfId="18243"/>
    <cellStyle name="Header1 3 3 10" xfId="18244"/>
    <cellStyle name="Header1 3 3 2" xfId="18245"/>
    <cellStyle name="Header1 3 3 2 2" xfId="18246"/>
    <cellStyle name="Header1 3 3 3" xfId="18247"/>
    <cellStyle name="Header1 3 3 3 2" xfId="18248"/>
    <cellStyle name="Header1 3 3 4" xfId="18249"/>
    <cellStyle name="Header1 3 3 4 2" xfId="18250"/>
    <cellStyle name="Header1 3 3 5" xfId="18251"/>
    <cellStyle name="Header1 3 3 5 2" xfId="18252"/>
    <cellStyle name="Header1 3 3 6" xfId="18253"/>
    <cellStyle name="Header1 3 3 6 2" xfId="18254"/>
    <cellStyle name="Header1 3 3 7" xfId="18255"/>
    <cellStyle name="Header1 3 3 7 2" xfId="18256"/>
    <cellStyle name="Header1 3 3 8" xfId="18257"/>
    <cellStyle name="Header1 3 3 8 2" xfId="18258"/>
    <cellStyle name="Header1 3 3 9" xfId="18259"/>
    <cellStyle name="Header1 3 3 9 2" xfId="18260"/>
    <cellStyle name="Header1 3 4" xfId="18261"/>
    <cellStyle name="Header1 3 4 2" xfId="18262"/>
    <cellStyle name="Header1 3 4 2 2" xfId="18263"/>
    <cellStyle name="Header1 3 4 3" xfId="18264"/>
    <cellStyle name="Header1 3 4 3 2" xfId="18265"/>
    <cellStyle name="Header1 3 4 4" xfId="18266"/>
    <cellStyle name="Header1 3 4 4 2" xfId="18267"/>
    <cellStyle name="Header1 3 4 5" xfId="18268"/>
    <cellStyle name="Header1 3 4 5 2" xfId="18269"/>
    <cellStyle name="Header1 3 4 6" xfId="18270"/>
    <cellStyle name="Header1 3 4 6 2" xfId="18271"/>
    <cellStyle name="Header1 3 4 7" xfId="18272"/>
    <cellStyle name="Header1 3 4 7 2" xfId="18273"/>
    <cellStyle name="Header1 3 4 8" xfId="18274"/>
    <cellStyle name="Header1 3 4 8 2" xfId="18275"/>
    <cellStyle name="Header1 3 4 9" xfId="18276"/>
    <cellStyle name="Header1 3 5" xfId="18277"/>
    <cellStyle name="Header1 3 6" xfId="43471"/>
    <cellStyle name="Header1 4" xfId="1171"/>
    <cellStyle name="Header1 4 2" xfId="18279"/>
    <cellStyle name="Header1 4 2 2" xfId="18280"/>
    <cellStyle name="Header1 4 2 2 2" xfId="18281"/>
    <cellStyle name="Header1 4 2 3" xfId="18282"/>
    <cellStyle name="Header1 4 2 3 2" xfId="18283"/>
    <cellStyle name="Header1 4 2 4" xfId="18284"/>
    <cellStyle name="Header1 4 2 4 2" xfId="18285"/>
    <cellStyle name="Header1 4 2 5" xfId="18286"/>
    <cellStyle name="Header1 4 2 5 2" xfId="18287"/>
    <cellStyle name="Header1 4 2 6" xfId="18288"/>
    <cellStyle name="Header1 4 2 6 2" xfId="18289"/>
    <cellStyle name="Header1 4 2 7" xfId="18290"/>
    <cellStyle name="Header1 4 2 7 2" xfId="18291"/>
    <cellStyle name="Header1 4 2 8" xfId="18292"/>
    <cellStyle name="Header1 4 2 8 2" xfId="18293"/>
    <cellStyle name="Header1 4 2 9" xfId="18294"/>
    <cellStyle name="Header1 4 3" xfId="18295"/>
    <cellStyle name="Header1 4 3 2" xfId="18296"/>
    <cellStyle name="Header1 4 3 2 2" xfId="18297"/>
    <cellStyle name="Header1 4 3 3" xfId="18298"/>
    <cellStyle name="Header1 4 3 3 2" xfId="18299"/>
    <cellStyle name="Header1 4 3 4" xfId="18300"/>
    <cellStyle name="Header1 4 3 4 2" xfId="18301"/>
    <cellStyle name="Header1 4 3 5" xfId="18302"/>
    <cellStyle name="Header1 4 3 5 2" xfId="18303"/>
    <cellStyle name="Header1 4 3 6" xfId="18304"/>
    <cellStyle name="Header1 4 3 6 2" xfId="18305"/>
    <cellStyle name="Header1 4 3 7" xfId="18306"/>
    <cellStyle name="Header1 4 3 7 2" xfId="18307"/>
    <cellStyle name="Header1 4 3 8" xfId="18308"/>
    <cellStyle name="Header1 4 4" xfId="18309"/>
    <cellStyle name="Header1 4 4 2" xfId="18310"/>
    <cellStyle name="Header1 4 4 2 2" xfId="18311"/>
    <cellStyle name="Header1 4 4 3" xfId="18312"/>
    <cellStyle name="Header1 4 4 3 2" xfId="18313"/>
    <cellStyle name="Header1 4 4 4" xfId="18314"/>
    <cellStyle name="Header1 4 4 4 2" xfId="18315"/>
    <cellStyle name="Header1 4 4 5" xfId="18316"/>
    <cellStyle name="Header1 4 4 5 2" xfId="18317"/>
    <cellStyle name="Header1 4 4 6" xfId="18318"/>
    <cellStyle name="Header1 4 4 6 2" xfId="18319"/>
    <cellStyle name="Header1 4 4 7" xfId="18320"/>
    <cellStyle name="Header1 4 4 7 2" xfId="18321"/>
    <cellStyle name="Header1 4 4 8" xfId="18322"/>
    <cellStyle name="Header1 4 5" xfId="18323"/>
    <cellStyle name="Header1 4 5 10" xfId="18324"/>
    <cellStyle name="Header1 4 5 10 2" xfId="18325"/>
    <cellStyle name="Header1 4 5 11" xfId="18326"/>
    <cellStyle name="Header1 4 5 11 2" xfId="18327"/>
    <cellStyle name="Header1 4 5 12" xfId="18328"/>
    <cellStyle name="Header1 4 5 12 2" xfId="18329"/>
    <cellStyle name="Header1 4 5 13" xfId="18330"/>
    <cellStyle name="Header1 4 5 2" xfId="18331"/>
    <cellStyle name="Header1 4 5 2 2" xfId="18332"/>
    <cellStyle name="Header1 4 5 3" xfId="18333"/>
    <cellStyle name="Header1 4 5 3 2" xfId="18334"/>
    <cellStyle name="Header1 4 5 4" xfId="18335"/>
    <cellStyle name="Header1 4 5 4 2" xfId="18336"/>
    <cellStyle name="Header1 4 5 5" xfId="18337"/>
    <cellStyle name="Header1 4 5 5 2" xfId="18338"/>
    <cellStyle name="Header1 4 5 6" xfId="18339"/>
    <cellStyle name="Header1 4 5 6 2" xfId="18340"/>
    <cellStyle name="Header1 4 5 7" xfId="18341"/>
    <cellStyle name="Header1 4 5 7 2" xfId="18342"/>
    <cellStyle name="Header1 4 5 8" xfId="18343"/>
    <cellStyle name="Header1 4 5 8 2" xfId="18344"/>
    <cellStyle name="Header1 4 5 9" xfId="18345"/>
    <cellStyle name="Header1 4 5 9 2" xfId="18346"/>
    <cellStyle name="Header1 4 6" xfId="18347"/>
    <cellStyle name="Header1 4 6 2" xfId="18348"/>
    <cellStyle name="Header1 4 7" xfId="18349"/>
    <cellStyle name="Header1 4 8" xfId="18350"/>
    <cellStyle name="Header1 4 9" xfId="18278"/>
    <cellStyle name="Header1 5" xfId="1172"/>
    <cellStyle name="Header1 5 2" xfId="7969"/>
    <cellStyle name="Header1 5 2 2" xfId="18351"/>
    <cellStyle name="Header1 5 3" xfId="18352"/>
    <cellStyle name="Header1 5 3 2" xfId="18353"/>
    <cellStyle name="Header1 5 4" xfId="18354"/>
    <cellStyle name="Header1 5 4 2" xfId="18355"/>
    <cellStyle name="Header1 5 5" xfId="18356"/>
    <cellStyle name="Header1 5 5 2" xfId="18357"/>
    <cellStyle name="Header1 5 6" xfId="18358"/>
    <cellStyle name="Header1 5 6 2" xfId="18359"/>
    <cellStyle name="Header1 5 7" xfId="18360"/>
    <cellStyle name="Header1 5 7 2" xfId="18361"/>
    <cellStyle name="Header1 5 8" xfId="18362"/>
    <cellStyle name="Header1 5 8 2" xfId="18363"/>
    <cellStyle name="Header1 5 9" xfId="18364"/>
    <cellStyle name="Header1 6" xfId="1173"/>
    <cellStyle name="Header1 6 2" xfId="7970"/>
    <cellStyle name="Header1 6 2 2" xfId="18365"/>
    <cellStyle name="Header1 6 3" xfId="18366"/>
    <cellStyle name="Header1 6 3 2" xfId="18367"/>
    <cellStyle name="Header1 6 4" xfId="18368"/>
    <cellStyle name="Header1 6 4 2" xfId="18369"/>
    <cellStyle name="Header1 6 5" xfId="18370"/>
    <cellStyle name="Header1 6 5 2" xfId="18371"/>
    <cellStyle name="Header1 6 6" xfId="18372"/>
    <cellStyle name="Header1 6 6 2" xfId="18373"/>
    <cellStyle name="Header1 6 7" xfId="18374"/>
    <cellStyle name="Header1 6 7 2" xfId="18375"/>
    <cellStyle name="Header1 6 8" xfId="18376"/>
    <cellStyle name="Header1 7" xfId="7967"/>
    <cellStyle name="Header1 8" xfId="40448"/>
    <cellStyle name="Header2" xfId="1174"/>
    <cellStyle name="Header2 10" xfId="5192"/>
    <cellStyle name="Header2 10 2" xfId="18379"/>
    <cellStyle name="Header2 10 3" xfId="18378"/>
    <cellStyle name="Header2 11" xfId="7805"/>
    <cellStyle name="Header2 11 2" xfId="18381"/>
    <cellStyle name="Header2 11 3" xfId="18380"/>
    <cellStyle name="Header2 12" xfId="7971"/>
    <cellStyle name="Header2 12 2" xfId="18382"/>
    <cellStyle name="Header2 13" xfId="18383"/>
    <cellStyle name="Header2 14" xfId="18377"/>
    <cellStyle name="Header2 15" xfId="40449"/>
    <cellStyle name="Header2 2" xfId="1175"/>
    <cellStyle name="Header2 2 10" xfId="42168"/>
    <cellStyle name="Header2 2 2" xfId="1176"/>
    <cellStyle name="Header2 2 2 10" xfId="18384"/>
    <cellStyle name="Header2 2 2 2" xfId="1177"/>
    <cellStyle name="Header2 2 2 2 2" xfId="7974"/>
    <cellStyle name="Header2 2 2 2 2 2" xfId="18387"/>
    <cellStyle name="Header2 2 2 2 2 3" xfId="18388"/>
    <cellStyle name="Header2 2 2 2 2 4" xfId="18386"/>
    <cellStyle name="Header2 2 2 2 3" xfId="18389"/>
    <cellStyle name="Header2 2 2 2 4" xfId="18390"/>
    <cellStyle name="Header2 2 2 2 5" xfId="18385"/>
    <cellStyle name="Header2 2 2 3" xfId="4549"/>
    <cellStyle name="Header2 2 2 3 2" xfId="18392"/>
    <cellStyle name="Header2 2 2 3 2 2" xfId="18393"/>
    <cellStyle name="Header2 2 2 3 2 3" xfId="18394"/>
    <cellStyle name="Header2 2 2 3 3" xfId="18395"/>
    <cellStyle name="Header2 2 2 3 4" xfId="18396"/>
    <cellStyle name="Header2 2 2 3 5" xfId="18391"/>
    <cellStyle name="Header2 2 2 4" xfId="7973"/>
    <cellStyle name="Header2 2 2 4 2" xfId="18398"/>
    <cellStyle name="Header2 2 2 4 2 2" xfId="18399"/>
    <cellStyle name="Header2 2 2 4 2 3" xfId="18400"/>
    <cellStyle name="Header2 2 2 4 3" xfId="18401"/>
    <cellStyle name="Header2 2 2 4 4" xfId="18402"/>
    <cellStyle name="Header2 2 2 4 5" xfId="18397"/>
    <cellStyle name="Header2 2 2 5" xfId="18403"/>
    <cellStyle name="Header2 2 2 5 2" xfId="18404"/>
    <cellStyle name="Header2 2 2 5 3" xfId="18405"/>
    <cellStyle name="Header2 2 2 6" xfId="18406"/>
    <cellStyle name="Header2 2 2 7" xfId="18407"/>
    <cellStyle name="Header2 2 2 8" xfId="18408"/>
    <cellStyle name="Header2 2 2 8 2" xfId="18409"/>
    <cellStyle name="Header2 2 2 9" xfId="18410"/>
    <cellStyle name="Header2 2 3" xfId="1178"/>
    <cellStyle name="Header2 2 3 2" xfId="4550"/>
    <cellStyle name="Header2 2 3 2 2" xfId="18413"/>
    <cellStyle name="Header2 2 3 2 2 2" xfId="18414"/>
    <cellStyle name="Header2 2 3 2 2 3" xfId="18415"/>
    <cellStyle name="Header2 2 3 2 3" xfId="18416"/>
    <cellStyle name="Header2 2 3 2 4" xfId="18417"/>
    <cellStyle name="Header2 2 3 2 5" xfId="18412"/>
    <cellStyle name="Header2 2 3 3" xfId="7975"/>
    <cellStyle name="Header2 2 3 3 2" xfId="18419"/>
    <cellStyle name="Header2 2 3 3 2 2" xfId="18420"/>
    <cellStyle name="Header2 2 3 3 2 3" xfId="18421"/>
    <cellStyle name="Header2 2 3 3 3" xfId="18422"/>
    <cellStyle name="Header2 2 3 3 4" xfId="18423"/>
    <cellStyle name="Header2 2 3 3 5" xfId="18418"/>
    <cellStyle name="Header2 2 3 4" xfId="18424"/>
    <cellStyle name="Header2 2 3 4 2" xfId="18425"/>
    <cellStyle name="Header2 2 3 4 2 2" xfId="18426"/>
    <cellStyle name="Header2 2 3 4 2 3" xfId="18427"/>
    <cellStyle name="Header2 2 3 4 3" xfId="18428"/>
    <cellStyle name="Header2 2 3 4 4" xfId="18429"/>
    <cellStyle name="Header2 2 3 5" xfId="18430"/>
    <cellStyle name="Header2 2 3 5 2" xfId="18431"/>
    <cellStyle name="Header2 2 3 5 3" xfId="18432"/>
    <cellStyle name="Header2 2 3 6" xfId="18433"/>
    <cellStyle name="Header2 2 3 7" xfId="18434"/>
    <cellStyle name="Header2 2 3 8" xfId="18435"/>
    <cellStyle name="Header2 2 3 9" xfId="18411"/>
    <cellStyle name="Header2 2 4" xfId="3181"/>
    <cellStyle name="Header2 2 4 2" xfId="4551"/>
    <cellStyle name="Header2 2 4 2 2" xfId="18438"/>
    <cellStyle name="Header2 2 4 2 2 2" xfId="18439"/>
    <cellStyle name="Header2 2 4 2 2 3" xfId="18440"/>
    <cellStyle name="Header2 2 4 2 3" xfId="18441"/>
    <cellStyle name="Header2 2 4 2 4" xfId="18442"/>
    <cellStyle name="Header2 2 4 2 5" xfId="18437"/>
    <cellStyle name="Header2 2 4 3" xfId="18443"/>
    <cellStyle name="Header2 2 4 3 2" xfId="18444"/>
    <cellStyle name="Header2 2 4 3 2 2" xfId="18445"/>
    <cellStyle name="Header2 2 4 3 2 3" xfId="18446"/>
    <cellStyle name="Header2 2 4 3 3" xfId="18447"/>
    <cellStyle name="Header2 2 4 3 4" xfId="18448"/>
    <cellStyle name="Header2 2 4 4" xfId="18449"/>
    <cellStyle name="Header2 2 4 4 2" xfId="18450"/>
    <cellStyle name="Header2 2 4 4 3" xfId="18451"/>
    <cellStyle name="Header2 2 4 4 4" xfId="18452"/>
    <cellStyle name="Header2 2 4 5" xfId="18453"/>
    <cellStyle name="Header2 2 4 6" xfId="18454"/>
    <cellStyle name="Header2 2 4 7" xfId="18455"/>
    <cellStyle name="Header2 2 4 8" xfId="18456"/>
    <cellStyle name="Header2 2 4 9" xfId="18436"/>
    <cellStyle name="Header2 2 5" xfId="4552"/>
    <cellStyle name="Header2 2 5 2" xfId="4553"/>
    <cellStyle name="Header2 2 5 2 2" xfId="18459"/>
    <cellStyle name="Header2 2 5 2 3" xfId="18460"/>
    <cellStyle name="Header2 2 5 2 4" xfId="18461"/>
    <cellStyle name="Header2 2 5 2 5" xfId="18458"/>
    <cellStyle name="Header2 2 5 3" xfId="18462"/>
    <cellStyle name="Header2 2 5 4" xfId="18463"/>
    <cellStyle name="Header2 2 5 5" xfId="18464"/>
    <cellStyle name="Header2 2 5 6" xfId="18465"/>
    <cellStyle name="Header2 2 5 7" xfId="18466"/>
    <cellStyle name="Header2 2 5 8" xfId="18457"/>
    <cellStyle name="Header2 2 6" xfId="4554"/>
    <cellStyle name="Header2 2 6 2" xfId="18468"/>
    <cellStyle name="Header2 2 6 2 2" xfId="18469"/>
    <cellStyle name="Header2 2 6 2 3" xfId="18470"/>
    <cellStyle name="Header2 2 6 3" xfId="18471"/>
    <cellStyle name="Header2 2 6 4" xfId="18472"/>
    <cellStyle name="Header2 2 6 5" xfId="18467"/>
    <cellStyle name="Header2 2 7" xfId="4555"/>
    <cellStyle name="Header2 2 7 2" xfId="18474"/>
    <cellStyle name="Header2 2 7 2 2" xfId="18475"/>
    <cellStyle name="Header2 2 7 3" xfId="18476"/>
    <cellStyle name="Header2 2 7 4" xfId="18477"/>
    <cellStyle name="Header2 2 7 5" xfId="18473"/>
    <cellStyle name="Header2 2 8" xfId="4548"/>
    <cellStyle name="Header2 2 8 2" xfId="18479"/>
    <cellStyle name="Header2 2 8 3" xfId="18480"/>
    <cellStyle name="Header2 2 8 4" xfId="18478"/>
    <cellStyle name="Header2 2 9" xfId="7972"/>
    <cellStyle name="Header2 2 9 2" xfId="18481"/>
    <cellStyle name="Header2 3" xfId="1179"/>
    <cellStyle name="Header2 3 10" xfId="18482"/>
    <cellStyle name="Header2 3 2" xfId="1180"/>
    <cellStyle name="Header2 3 2 10" xfId="18484"/>
    <cellStyle name="Header2 3 2 11" xfId="18483"/>
    <cellStyle name="Header2 3 2 2" xfId="1181"/>
    <cellStyle name="Header2 3 2 2 2" xfId="7978"/>
    <cellStyle name="Header2 3 2 2 2 2" xfId="18487"/>
    <cellStyle name="Header2 3 2 2 2 3" xfId="18486"/>
    <cellStyle name="Header2 3 2 2 3" xfId="18488"/>
    <cellStyle name="Header2 3 2 2 4" xfId="18489"/>
    <cellStyle name="Header2 3 2 2 5" xfId="18485"/>
    <cellStyle name="Header2 3 2 3" xfId="3182"/>
    <cellStyle name="Header2 3 2 3 2" xfId="18491"/>
    <cellStyle name="Header2 3 2 3 2 2" xfId="18492"/>
    <cellStyle name="Header2 3 2 3 3" xfId="18493"/>
    <cellStyle name="Header2 3 2 3 4" xfId="18490"/>
    <cellStyle name="Header2 3 2 4" xfId="7977"/>
    <cellStyle name="Header2 3 2 4 2" xfId="18495"/>
    <cellStyle name="Header2 3 2 4 2 2" xfId="18496"/>
    <cellStyle name="Header2 3 2 4 3" xfId="18497"/>
    <cellStyle name="Header2 3 2 4 4" xfId="18494"/>
    <cellStyle name="Header2 3 2 5" xfId="18498"/>
    <cellStyle name="Header2 3 2 5 2" xfId="18499"/>
    <cellStyle name="Header2 3 2 6" xfId="18500"/>
    <cellStyle name="Header2 3 2 6 2" xfId="18501"/>
    <cellStyle name="Header2 3 2 7" xfId="18502"/>
    <cellStyle name="Header2 3 2 7 2" xfId="18503"/>
    <cellStyle name="Header2 3 2 8" xfId="18504"/>
    <cellStyle name="Header2 3 2 8 2" xfId="18505"/>
    <cellStyle name="Header2 3 2 9" xfId="18506"/>
    <cellStyle name="Header2 3 2 9 2" xfId="18507"/>
    <cellStyle name="Header2 3 3" xfId="1182"/>
    <cellStyle name="Header2 3 3 10" xfId="18509"/>
    <cellStyle name="Header2 3 3 11" xfId="18508"/>
    <cellStyle name="Header2 3 3 2" xfId="4556"/>
    <cellStyle name="Header2 3 3 2 2" xfId="18511"/>
    <cellStyle name="Header2 3 3 2 2 2" xfId="18512"/>
    <cellStyle name="Header2 3 3 2 3" xfId="18513"/>
    <cellStyle name="Header2 3 3 2 4" xfId="18510"/>
    <cellStyle name="Header2 3 3 3" xfId="7979"/>
    <cellStyle name="Header2 3 3 3 2" xfId="18515"/>
    <cellStyle name="Header2 3 3 3 2 2" xfId="18516"/>
    <cellStyle name="Header2 3 3 3 3" xfId="18517"/>
    <cellStyle name="Header2 3 3 3 4" xfId="18514"/>
    <cellStyle name="Header2 3 3 4" xfId="18518"/>
    <cellStyle name="Header2 3 3 4 2" xfId="18519"/>
    <cellStyle name="Header2 3 3 4 2 2" xfId="18520"/>
    <cellStyle name="Header2 3 3 4 3" xfId="18521"/>
    <cellStyle name="Header2 3 3 5" xfId="18522"/>
    <cellStyle name="Header2 3 3 5 2" xfId="18523"/>
    <cellStyle name="Header2 3 3 6" xfId="18524"/>
    <cellStyle name="Header2 3 3 6 2" xfId="18525"/>
    <cellStyle name="Header2 3 3 7" xfId="18526"/>
    <cellStyle name="Header2 3 3 7 2" xfId="18527"/>
    <cellStyle name="Header2 3 3 8" xfId="18528"/>
    <cellStyle name="Header2 3 3 8 2" xfId="18529"/>
    <cellStyle name="Header2 3 3 9" xfId="18530"/>
    <cellStyle name="Header2 3 4" xfId="1183"/>
    <cellStyle name="Header2 3 4 2" xfId="4557"/>
    <cellStyle name="Header2 3 4 2 2" xfId="18533"/>
    <cellStyle name="Header2 3 4 2 3" xfId="18534"/>
    <cellStyle name="Header2 3 4 2 4" xfId="18535"/>
    <cellStyle name="Header2 3 4 2 5" xfId="18532"/>
    <cellStyle name="Header2 3 4 3" xfId="7980"/>
    <cellStyle name="Header2 3 4 3 2" xfId="18536"/>
    <cellStyle name="Header2 3 4 4" xfId="18537"/>
    <cellStyle name="Header2 3 4 5" xfId="18538"/>
    <cellStyle name="Header2 3 4 6" xfId="18539"/>
    <cellStyle name="Header2 3 4 7" xfId="18531"/>
    <cellStyle name="Header2 3 5" xfId="5418"/>
    <cellStyle name="Header2 3 5 2" xfId="4558"/>
    <cellStyle name="Header2 3 5 2 2" xfId="18541"/>
    <cellStyle name="Header2 3 5 3" xfId="18542"/>
    <cellStyle name="Header2 3 5 4" xfId="18543"/>
    <cellStyle name="Header2 3 5 5" xfId="18540"/>
    <cellStyle name="Header2 3 6" xfId="3183"/>
    <cellStyle name="Header2 3 6 2" xfId="18544"/>
    <cellStyle name="Header2 3 7" xfId="4559"/>
    <cellStyle name="Header2 3 7 2" xfId="18545"/>
    <cellStyle name="Header2 3 8" xfId="7976"/>
    <cellStyle name="Header2 3 9" xfId="18546"/>
    <cellStyle name="Header2 3 9 2" xfId="18547"/>
    <cellStyle name="Header2 4" xfId="1184"/>
    <cellStyle name="Header2 4 10" xfId="18548"/>
    <cellStyle name="Header2 4 2" xfId="1185"/>
    <cellStyle name="Header2 4 2 10" xfId="18549"/>
    <cellStyle name="Header2 4 2 2" xfId="5316"/>
    <cellStyle name="Header2 4 2 2 2" xfId="18551"/>
    <cellStyle name="Header2 4 2 2 3" xfId="18552"/>
    <cellStyle name="Header2 4 2 2 4" xfId="18553"/>
    <cellStyle name="Header2 4 2 2 5" xfId="18550"/>
    <cellStyle name="Header2 4 2 3" xfId="7982"/>
    <cellStyle name="Header2 4 2 3 2" xfId="18555"/>
    <cellStyle name="Header2 4 2 3 3" xfId="18554"/>
    <cellStyle name="Header2 4 2 4" xfId="18556"/>
    <cellStyle name="Header2 4 2 4 2" xfId="18557"/>
    <cellStyle name="Header2 4 2 5" xfId="18558"/>
    <cellStyle name="Header2 4 2 6" xfId="18559"/>
    <cellStyle name="Header2 4 2 7" xfId="18560"/>
    <cellStyle name="Header2 4 2 8" xfId="18561"/>
    <cellStyle name="Header2 4 2 9" xfId="18562"/>
    <cellStyle name="Header2 4 2 9 2" xfId="18563"/>
    <cellStyle name="Header2 4 3" xfId="4560"/>
    <cellStyle name="Header2 4 3 10" xfId="18564"/>
    <cellStyle name="Header2 4 3 2" xfId="18565"/>
    <cellStyle name="Header2 4 3 2 2" xfId="18566"/>
    <cellStyle name="Header2 4 3 2 2 2" xfId="18567"/>
    <cellStyle name="Header2 4 3 2 3" xfId="18568"/>
    <cellStyle name="Header2 4 3 3" xfId="18569"/>
    <cellStyle name="Header2 4 3 3 2" xfId="18570"/>
    <cellStyle name="Header2 4 3 3 2 2" xfId="18571"/>
    <cellStyle name="Header2 4 3 3 3" xfId="18572"/>
    <cellStyle name="Header2 4 3 4" xfId="18573"/>
    <cellStyle name="Header2 4 3 4 2" xfId="18574"/>
    <cellStyle name="Header2 4 3 4 2 2" xfId="18575"/>
    <cellStyle name="Header2 4 3 4 3" xfId="18576"/>
    <cellStyle name="Header2 4 3 5" xfId="18577"/>
    <cellStyle name="Header2 4 3 5 2" xfId="18578"/>
    <cellStyle name="Header2 4 3 6" xfId="18579"/>
    <cellStyle name="Header2 4 3 6 2" xfId="18580"/>
    <cellStyle name="Header2 4 3 7" xfId="18581"/>
    <cellStyle name="Header2 4 3 7 2" xfId="18582"/>
    <cellStyle name="Header2 4 3 8" xfId="18583"/>
    <cellStyle name="Header2 4 3 9" xfId="18584"/>
    <cellStyle name="Header2 4 4" xfId="7981"/>
    <cellStyle name="Header2 4 4 2" xfId="18586"/>
    <cellStyle name="Header2 4 4 2 2" xfId="18587"/>
    <cellStyle name="Header2 4 4 2 3" xfId="18588"/>
    <cellStyle name="Header2 4 4 2 4" xfId="18589"/>
    <cellStyle name="Header2 4 4 3" xfId="18590"/>
    <cellStyle name="Header2 4 4 3 2" xfId="18591"/>
    <cellStyle name="Header2 4 4 4" xfId="18592"/>
    <cellStyle name="Header2 4 4 5" xfId="18593"/>
    <cellStyle name="Header2 4 4 6" xfId="18594"/>
    <cellStyle name="Header2 4 4 7" xfId="18585"/>
    <cellStyle name="Header2 4 5" xfId="18595"/>
    <cellStyle name="Header2 4 5 2" xfId="18596"/>
    <cellStyle name="Header2 4 5 3" xfId="18597"/>
    <cellStyle name="Header2 4 5 4" xfId="18598"/>
    <cellStyle name="Header2 4 6" xfId="18599"/>
    <cellStyle name="Header2 4 7" xfId="18600"/>
    <cellStyle name="Header2 4 8" xfId="18601"/>
    <cellStyle name="Header2 4 9" xfId="18602"/>
    <cellStyle name="Header2 4 9 2" xfId="18603"/>
    <cellStyle name="Header2 5" xfId="1186"/>
    <cellStyle name="Header2 5 10" xfId="18604"/>
    <cellStyle name="Header2 5 2" xfId="7983"/>
    <cellStyle name="Header2 5 2 2" xfId="18606"/>
    <cellStyle name="Header2 5 2 2 2" xfId="18607"/>
    <cellStyle name="Header2 5 2 3" xfId="18608"/>
    <cellStyle name="Header2 5 2 3 2" xfId="18609"/>
    <cellStyle name="Header2 5 2 4" xfId="18605"/>
    <cellStyle name="Header2 5 3" xfId="18610"/>
    <cellStyle name="Header2 5 3 2" xfId="18611"/>
    <cellStyle name="Header2 5 3 2 2" xfId="18612"/>
    <cellStyle name="Header2 5 3 3" xfId="18613"/>
    <cellStyle name="Header2 5 3 3 2" xfId="18614"/>
    <cellStyle name="Header2 5 4" xfId="18615"/>
    <cellStyle name="Header2 5 4 2" xfId="18616"/>
    <cellStyle name="Header2 5 4 2 2" xfId="18617"/>
    <cellStyle name="Header2 5 4 3" xfId="18618"/>
    <cellStyle name="Header2 5 5" xfId="18619"/>
    <cellStyle name="Header2 5 5 2" xfId="18620"/>
    <cellStyle name="Header2 5 6" xfId="18621"/>
    <cellStyle name="Header2 5 6 2" xfId="18622"/>
    <cellStyle name="Header2 5 7" xfId="18623"/>
    <cellStyle name="Header2 5 7 2" xfId="18624"/>
    <cellStyle name="Header2 5 8" xfId="18625"/>
    <cellStyle name="Header2 5 9" xfId="18626"/>
    <cellStyle name="Header2 6" xfId="1187"/>
    <cellStyle name="Header2 6 10" xfId="18627"/>
    <cellStyle name="Header2 6 2" xfId="4561"/>
    <cellStyle name="Header2 6 2 2" xfId="18629"/>
    <cellStyle name="Header2 6 2 3" xfId="18630"/>
    <cellStyle name="Header2 6 2 4" xfId="18631"/>
    <cellStyle name="Header2 6 2 5" xfId="18628"/>
    <cellStyle name="Header2 6 3" xfId="7984"/>
    <cellStyle name="Header2 6 3 2" xfId="18633"/>
    <cellStyle name="Header2 6 3 3" xfId="18632"/>
    <cellStyle name="Header2 6 4" xfId="18634"/>
    <cellStyle name="Header2 6 4 2" xfId="18635"/>
    <cellStyle name="Header2 6 5" xfId="18636"/>
    <cellStyle name="Header2 6 6" xfId="18637"/>
    <cellStyle name="Header2 6 7" xfId="18638"/>
    <cellStyle name="Header2 6 8" xfId="18639"/>
    <cellStyle name="Header2 6 9" xfId="18640"/>
    <cellStyle name="Header2 6 9 2" xfId="18641"/>
    <cellStyle name="Header2 7" xfId="1188"/>
    <cellStyle name="Header2 7 2" xfId="4562"/>
    <cellStyle name="Header2 7 2 2" xfId="18644"/>
    <cellStyle name="Header2 7 2 2 2" xfId="18645"/>
    <cellStyle name="Header2 7 2 3" xfId="18646"/>
    <cellStyle name="Header2 7 2 4" xfId="18643"/>
    <cellStyle name="Header2 7 3" xfId="5432"/>
    <cellStyle name="Header2 7 3 2" xfId="18648"/>
    <cellStyle name="Header2 7 3 3" xfId="18647"/>
    <cellStyle name="Header2 7 4" xfId="7985"/>
    <cellStyle name="Header2 7 4 2" xfId="18650"/>
    <cellStyle name="Header2 7 4 3" xfId="18649"/>
    <cellStyle name="Header2 7 5" xfId="18651"/>
    <cellStyle name="Header2 7 5 2" xfId="18652"/>
    <cellStyle name="Header2 7 6" xfId="18653"/>
    <cellStyle name="Header2 7 6 2" xfId="18654"/>
    <cellStyle name="Header2 7 7" xfId="18642"/>
    <cellStyle name="Header2 8" xfId="4563"/>
    <cellStyle name="Header2 8 2" xfId="4564"/>
    <cellStyle name="Header2 8 2 2" xfId="18657"/>
    <cellStyle name="Header2 8 2 3" xfId="18656"/>
    <cellStyle name="Header2 8 3" xfId="18658"/>
    <cellStyle name="Header2 8 3 2" xfId="18659"/>
    <cellStyle name="Header2 8 4" xfId="18655"/>
    <cellStyle name="Header2 9" xfId="5440"/>
    <cellStyle name="Header2 9 2" xfId="18661"/>
    <cellStyle name="Header2 9 3" xfId="18660"/>
    <cellStyle name="Heading" xfId="40450"/>
    <cellStyle name="Heading 1 10" xfId="2628"/>
    <cellStyle name="Heading 1 11" xfId="2629"/>
    <cellStyle name="Heading 1 12" xfId="2630"/>
    <cellStyle name="Heading 1 13" xfId="2631"/>
    <cellStyle name="Heading 1 14" xfId="2632"/>
    <cellStyle name="Heading 1 15" xfId="2633"/>
    <cellStyle name="Heading 1 16" xfId="2634"/>
    <cellStyle name="Heading 1 17" xfId="2635"/>
    <cellStyle name="Heading 1 18" xfId="2636"/>
    <cellStyle name="Heading 1 19" xfId="2637"/>
    <cellStyle name="Heading 1 2" xfId="1190"/>
    <cellStyle name="Heading 1 2 2" xfId="1191"/>
    <cellStyle name="Heading 1 2 2 2" xfId="41506"/>
    <cellStyle name="Heading 1 2 2 3" xfId="41902"/>
    <cellStyle name="Heading 1 2 2 4" xfId="40868"/>
    <cellStyle name="Heading 1 2 3" xfId="41841"/>
    <cellStyle name="Heading 1 2 4" xfId="40755"/>
    <cellStyle name="Heading 1 2 5" xfId="40597"/>
    <cellStyle name="Heading 1 20" xfId="2638"/>
    <cellStyle name="Heading 1 21" xfId="2639"/>
    <cellStyle name="Heading 1 22" xfId="2640"/>
    <cellStyle name="Heading 1 23" xfId="2641"/>
    <cellStyle name="Heading 1 24" xfId="2642"/>
    <cellStyle name="Heading 1 25" xfId="2643"/>
    <cellStyle name="Heading 1 26" xfId="2644"/>
    <cellStyle name="Heading 1 27" xfId="2645"/>
    <cellStyle name="Heading 1 28" xfId="2646"/>
    <cellStyle name="Heading 1 29" xfId="2647"/>
    <cellStyle name="Heading 1 3" xfId="1192"/>
    <cellStyle name="Heading 1 3 2" xfId="41315"/>
    <cellStyle name="Heading 1 30" xfId="2648"/>
    <cellStyle name="Heading 1 31" xfId="2649"/>
    <cellStyle name="Heading 1 32" xfId="2650"/>
    <cellStyle name="Heading 1 33" xfId="2651"/>
    <cellStyle name="Heading 1 34" xfId="2652"/>
    <cellStyle name="Heading 1 35" xfId="2653"/>
    <cellStyle name="Heading 1 36" xfId="2654"/>
    <cellStyle name="Heading 1 37" xfId="2655"/>
    <cellStyle name="Heading 1 38" xfId="1189"/>
    <cellStyle name="Heading 1 39" xfId="7806"/>
    <cellStyle name="Heading 1 39 2" xfId="18662"/>
    <cellStyle name="Heading 1 4" xfId="1193"/>
    <cellStyle name="Heading 1 4 2" xfId="41505"/>
    <cellStyle name="Heading 1 5" xfId="1194"/>
    <cellStyle name="Heading 1 6" xfId="1195"/>
    <cellStyle name="Heading 1 6 2" xfId="1196"/>
    <cellStyle name="Heading 1 6 3" xfId="1197"/>
    <cellStyle name="Heading 1 6 4" xfId="2656"/>
    <cellStyle name="Heading 1 7" xfId="1198"/>
    <cellStyle name="Heading 1 7 2" xfId="2657"/>
    <cellStyle name="Heading 1 8" xfId="2658"/>
    <cellStyle name="Heading 1 9" xfId="2659"/>
    <cellStyle name="Heading 2 10" xfId="2660"/>
    <cellStyle name="Heading 2 11" xfId="2661"/>
    <cellStyle name="Heading 2 12" xfId="2662"/>
    <cellStyle name="Heading 2 13" xfId="2663"/>
    <cellStyle name="Heading 2 14" xfId="2664"/>
    <cellStyle name="Heading 2 15" xfId="2665"/>
    <cellStyle name="Heading 2 16" xfId="2666"/>
    <cellStyle name="Heading 2 17" xfId="2667"/>
    <cellStyle name="Heading 2 18" xfId="2668"/>
    <cellStyle name="Heading 2 19" xfId="2669"/>
    <cellStyle name="Heading 2 2" xfId="1200"/>
    <cellStyle name="Heading 2 2 2" xfId="1201"/>
    <cellStyle name="Heading 2 2 2 2" xfId="41508"/>
    <cellStyle name="Heading 2 2 2 3" xfId="41903"/>
    <cellStyle name="Heading 2 2 2 4" xfId="40869"/>
    <cellStyle name="Heading 2 2 3" xfId="41842"/>
    <cellStyle name="Heading 2 2 4" xfId="40756"/>
    <cellStyle name="Heading 2 2 5" xfId="40598"/>
    <cellStyle name="Heading 2 20" xfId="2670"/>
    <cellStyle name="Heading 2 21" xfId="2671"/>
    <cellStyle name="Heading 2 22" xfId="2672"/>
    <cellStyle name="Heading 2 23" xfId="2673"/>
    <cellStyle name="Heading 2 24" xfId="2674"/>
    <cellStyle name="Heading 2 25" xfId="2675"/>
    <cellStyle name="Heading 2 26" xfId="2676"/>
    <cellStyle name="Heading 2 27" xfId="2677"/>
    <cellStyle name="Heading 2 28" xfId="2678"/>
    <cellStyle name="Heading 2 29" xfId="2679"/>
    <cellStyle name="Heading 2 3" xfId="1202"/>
    <cellStyle name="Heading 2 3 2" xfId="41316"/>
    <cellStyle name="Heading 2 30" xfId="2680"/>
    <cellStyle name="Heading 2 31" xfId="2681"/>
    <cellStyle name="Heading 2 32" xfId="2682"/>
    <cellStyle name="Heading 2 33" xfId="2683"/>
    <cellStyle name="Heading 2 34" xfId="2684"/>
    <cellStyle name="Heading 2 35" xfId="2685"/>
    <cellStyle name="Heading 2 36" xfId="2686"/>
    <cellStyle name="Heading 2 37" xfId="2687"/>
    <cellStyle name="Heading 2 38" xfId="1199"/>
    <cellStyle name="Heading 2 39" xfId="7807"/>
    <cellStyle name="Heading 2 39 2" xfId="18663"/>
    <cellStyle name="Heading 2 4" xfId="1203"/>
    <cellStyle name="Heading 2 4 2" xfId="41507"/>
    <cellStyle name="Heading 2 5" xfId="1204"/>
    <cellStyle name="Heading 2 6" xfId="1205"/>
    <cellStyle name="Heading 2 6 2" xfId="1206"/>
    <cellStyle name="Heading 2 6 3" xfId="1207"/>
    <cellStyle name="Heading 2 6 4" xfId="2688"/>
    <cellStyle name="Heading 2 7" xfId="1208"/>
    <cellStyle name="Heading 2 7 2" xfId="2689"/>
    <cellStyle name="Heading 2 8" xfId="2690"/>
    <cellStyle name="Heading 2 9" xfId="2691"/>
    <cellStyle name="Heading 3 10" xfId="2692"/>
    <cellStyle name="Heading 3 11" xfId="2693"/>
    <cellStyle name="Heading 3 12" xfId="2694"/>
    <cellStyle name="Heading 3 13" xfId="2695"/>
    <cellStyle name="Heading 3 14" xfId="2696"/>
    <cellStyle name="Heading 3 15" xfId="2697"/>
    <cellStyle name="Heading 3 16" xfId="2698"/>
    <cellStyle name="Heading 3 17" xfId="2699"/>
    <cellStyle name="Heading 3 18" xfId="2700"/>
    <cellStyle name="Heading 3 19" xfId="2701"/>
    <cellStyle name="Heading 3 2" xfId="1210"/>
    <cellStyle name="Heading 3 2 2" xfId="1211"/>
    <cellStyle name="Heading 3 2 2 2" xfId="41510"/>
    <cellStyle name="Heading 3 2 2 3" xfId="41904"/>
    <cellStyle name="Heading 3 2 2 4" xfId="40870"/>
    <cellStyle name="Heading 3 2 3" xfId="41843"/>
    <cellStyle name="Heading 3 2 4" xfId="40757"/>
    <cellStyle name="Heading 3 2 5" xfId="40599"/>
    <cellStyle name="Heading 3 20" xfId="2702"/>
    <cellStyle name="Heading 3 21" xfId="2703"/>
    <cellStyle name="Heading 3 22" xfId="2704"/>
    <cellStyle name="Heading 3 23" xfId="2705"/>
    <cellStyle name="Heading 3 24" xfId="2706"/>
    <cellStyle name="Heading 3 25" xfId="2707"/>
    <cellStyle name="Heading 3 26" xfId="2708"/>
    <cellStyle name="Heading 3 27" xfId="2709"/>
    <cellStyle name="Heading 3 28" xfId="2710"/>
    <cellStyle name="Heading 3 29" xfId="2711"/>
    <cellStyle name="Heading 3 3" xfId="1212"/>
    <cellStyle name="Heading 3 3 2" xfId="41317"/>
    <cellStyle name="Heading 3 30" xfId="2712"/>
    <cellStyle name="Heading 3 31" xfId="2713"/>
    <cellStyle name="Heading 3 32" xfId="2714"/>
    <cellStyle name="Heading 3 33" xfId="2715"/>
    <cellStyle name="Heading 3 34" xfId="2716"/>
    <cellStyle name="Heading 3 35" xfId="2717"/>
    <cellStyle name="Heading 3 36" xfId="2718"/>
    <cellStyle name="Heading 3 37" xfId="2719"/>
    <cellStyle name="Heading 3 38" xfId="1209"/>
    <cellStyle name="Heading 3 39" xfId="7808"/>
    <cellStyle name="Heading 3 39 2" xfId="18664"/>
    <cellStyle name="Heading 3 4" xfId="1213"/>
    <cellStyle name="Heading 3 4 2" xfId="41509"/>
    <cellStyle name="Heading 3 5" xfId="1214"/>
    <cellStyle name="Heading 3 6" xfId="1215"/>
    <cellStyle name="Heading 3 6 2" xfId="1216"/>
    <cellStyle name="Heading 3 6 3" xfId="1217"/>
    <cellStyle name="Heading 3 6 4" xfId="2720"/>
    <cellStyle name="Heading 3 7" xfId="1218"/>
    <cellStyle name="Heading 3 7 2" xfId="2721"/>
    <cellStyle name="Heading 3 8" xfId="2722"/>
    <cellStyle name="Heading 3 9" xfId="2723"/>
    <cellStyle name="Heading 4 10" xfId="4566"/>
    <cellStyle name="Heading 4 11" xfId="4567"/>
    <cellStyle name="Heading 4 12" xfId="4568"/>
    <cellStyle name="Heading 4 13" xfId="4569"/>
    <cellStyle name="Heading 4 14" xfId="4570"/>
    <cellStyle name="Heading 4 15" xfId="4571"/>
    <cellStyle name="Heading 4 16" xfId="4572"/>
    <cellStyle name="Heading 4 17" xfId="3476"/>
    <cellStyle name="Heading 4 18" xfId="7809"/>
    <cellStyle name="Heading 4 18 2" xfId="18665"/>
    <cellStyle name="Heading 4 2" xfId="1220"/>
    <cellStyle name="Heading 4 2 2" xfId="1221"/>
    <cellStyle name="Heading 4 2 2 2" xfId="41512"/>
    <cellStyle name="Heading 4 2 2 3" xfId="41905"/>
    <cellStyle name="Heading 4 2 2 4" xfId="40871"/>
    <cellStyle name="Heading 4 2 3" xfId="41844"/>
    <cellStyle name="Heading 4 2 4" xfId="40758"/>
    <cellStyle name="Heading 4 2 5" xfId="40600"/>
    <cellStyle name="Heading 4 3" xfId="1222"/>
    <cellStyle name="Heading 4 3 2" xfId="41318"/>
    <cellStyle name="Heading 4 4" xfId="1223"/>
    <cellStyle name="Heading 4 4 2" xfId="41511"/>
    <cellStyle name="Heading 4 5" xfId="1224"/>
    <cellStyle name="Heading 4 6" xfId="1225"/>
    <cellStyle name="Heading 4 6 2" xfId="1226"/>
    <cellStyle name="Heading 4 6 3" xfId="1227"/>
    <cellStyle name="Heading 4 6 4" xfId="4573"/>
    <cellStyle name="Heading 4 7" xfId="1228"/>
    <cellStyle name="Heading 4 7 2" xfId="4574"/>
    <cellStyle name="Heading 4 8" xfId="1219"/>
    <cellStyle name="Heading 4 9" xfId="4575"/>
    <cellStyle name="Heading 5" xfId="40511"/>
    <cellStyle name="Heading1" xfId="1229"/>
    <cellStyle name="Heading1 2" xfId="7810"/>
    <cellStyle name="Heading1 2 2" xfId="18667"/>
    <cellStyle name="Heading1 2 3" xfId="18668"/>
    <cellStyle name="Heading1 2 4" xfId="18666"/>
    <cellStyle name="Heading1 3" xfId="4576"/>
    <cellStyle name="Heading1 3 2" xfId="18670"/>
    <cellStyle name="Heading1 3 3" xfId="18671"/>
    <cellStyle name="Heading1 3 4" xfId="18669"/>
    <cellStyle name="Heading2" xfId="1230"/>
    <cellStyle name="Heading2 2" xfId="7811"/>
    <cellStyle name="Heading2 2 2" xfId="18673"/>
    <cellStyle name="Heading2 2 3" xfId="18674"/>
    <cellStyle name="Heading2 2 4" xfId="18672"/>
    <cellStyle name="Heading2 3" xfId="4577"/>
    <cellStyle name="Heading2 3 2" xfId="18676"/>
    <cellStyle name="Heading2 3 3" xfId="18677"/>
    <cellStyle name="Heading2 3 4" xfId="18675"/>
    <cellStyle name="Hivatkozott cella" xfId="40338"/>
    <cellStyle name="Hyperlink" xfId="3169"/>
    <cellStyle name="Hyperlink 2" xfId="1231"/>
    <cellStyle name="Hyperlink 2 2" xfId="1232"/>
    <cellStyle name="Hyperlink 2 2 2" xfId="4579"/>
    <cellStyle name="Hyperlink 2 2 3" xfId="18679"/>
    <cellStyle name="Hyperlink 2 2 4" xfId="41319"/>
    <cellStyle name="Hyperlink 2 3" xfId="2724"/>
    <cellStyle name="Hyperlink 2 3 2" xfId="4580"/>
    <cellStyle name="Hyperlink 2 3 3" xfId="41845"/>
    <cellStyle name="Hyperlink 2 4" xfId="4578"/>
    <cellStyle name="Hyperlink 2 4 2" xfId="18680"/>
    <cellStyle name="Hyperlink 2 5" xfId="18681"/>
    <cellStyle name="Hyperlink 2 6" xfId="40368"/>
    <cellStyle name="Hyperlink 2 7" xfId="18678"/>
    <cellStyle name="Hyperlink 2 8" xfId="40759"/>
    <cellStyle name="Hyperlink 3" xfId="1233"/>
    <cellStyle name="Hyperlink 3 2" xfId="4582"/>
    <cellStyle name="Hyperlink 3 2 2" xfId="18682"/>
    <cellStyle name="Hyperlink 3 3" xfId="4583"/>
    <cellStyle name="Hyperlink 3 4" xfId="4581"/>
    <cellStyle name="Hyperlink 3 5" xfId="41320"/>
    <cellStyle name="Hyperlink 4" xfId="4584"/>
    <cellStyle name="Hyperlink 4 2" xfId="18684"/>
    <cellStyle name="Hyperlink 4 3" xfId="18685"/>
    <cellStyle name="Hyperlink 4 4" xfId="18683"/>
    <cellStyle name="Hyperlink 5" xfId="4585"/>
    <cellStyle name="Hyperlink 5 2" xfId="18687"/>
    <cellStyle name="Hyperlink 5 3" xfId="18688"/>
    <cellStyle name="Hyperlink 5 4" xfId="18686"/>
    <cellStyle name="Hyperlink 6" xfId="7783"/>
    <cellStyle name="Hyperlink 6 2" xfId="18689"/>
    <cellStyle name="Hyperlink 7" xfId="18690"/>
    <cellStyle name="Hyperlink seguido" xfId="1234"/>
    <cellStyle name="Hyperlink seguido 2" xfId="41513"/>
    <cellStyle name="Input [yellow]" xfId="1236"/>
    <cellStyle name="Input [yellow] 10" xfId="3477"/>
    <cellStyle name="Input [yellow] 11" xfId="3478"/>
    <cellStyle name="Input [yellow] 12" xfId="7813"/>
    <cellStyle name="Input [yellow] 13" xfId="7987"/>
    <cellStyle name="Input [yellow] 2" xfId="1237"/>
    <cellStyle name="Input [yellow] 2 2" xfId="1238"/>
    <cellStyle name="Input [yellow] 2 2 2" xfId="3479"/>
    <cellStyle name="Input [yellow] 2 2 2 2" xfId="18693"/>
    <cellStyle name="Input [yellow] 2 2 2 3" xfId="18692"/>
    <cellStyle name="Input [yellow] 2 2 3" xfId="7989"/>
    <cellStyle name="Input [yellow] 2 2 3 2" xfId="18694"/>
    <cellStyle name="Input [yellow] 2 2 4" xfId="18695"/>
    <cellStyle name="Input [yellow] 2 2 5" xfId="18691"/>
    <cellStyle name="Input [yellow] 2 3" xfId="1239"/>
    <cellStyle name="Input [yellow] 2 3 2" xfId="3481"/>
    <cellStyle name="Input [yellow] 2 3 2 2" xfId="18698"/>
    <cellStyle name="Input [yellow] 2 3 2 3" xfId="18697"/>
    <cellStyle name="Input [yellow] 2 3 3" xfId="3480"/>
    <cellStyle name="Input [yellow] 2 3 3 2" xfId="18700"/>
    <cellStyle name="Input [yellow] 2 3 3 3" xfId="18699"/>
    <cellStyle name="Input [yellow] 2 3 4" xfId="18701"/>
    <cellStyle name="Input [yellow] 2 3 4 2" xfId="18702"/>
    <cellStyle name="Input [yellow] 2 3 5" xfId="18703"/>
    <cellStyle name="Input [yellow] 2 3 6" xfId="18704"/>
    <cellStyle name="Input [yellow] 2 3 7" xfId="18696"/>
    <cellStyle name="Input [yellow] 2 4" xfId="1240"/>
    <cellStyle name="Input [yellow] 2 4 2" xfId="7990"/>
    <cellStyle name="Input [yellow] 2 4 2 2" xfId="18706"/>
    <cellStyle name="Input [yellow] 2 4 3" xfId="18705"/>
    <cellStyle name="Input [yellow] 2 5" xfId="3482"/>
    <cellStyle name="Input [yellow] 2 5 2" xfId="4586"/>
    <cellStyle name="Input [yellow] 2 5 3" xfId="18707"/>
    <cellStyle name="Input [yellow] 2 6" xfId="4587"/>
    <cellStyle name="Input [yellow] 2 7" xfId="4588"/>
    <cellStyle name="Input [yellow] 2 8" xfId="7988"/>
    <cellStyle name="Input [yellow] 3" xfId="1241"/>
    <cellStyle name="Input [yellow] 3 2" xfId="1242"/>
    <cellStyle name="Input [yellow] 3 2 2" xfId="4590"/>
    <cellStyle name="Input [yellow] 3 2 2 2" xfId="18710"/>
    <cellStyle name="Input [yellow] 3 2 3" xfId="4589"/>
    <cellStyle name="Input [yellow] 3 2 4" xfId="18709"/>
    <cellStyle name="Input [yellow] 3 3" xfId="1243"/>
    <cellStyle name="Input [yellow] 3 3 2" xfId="3483"/>
    <cellStyle name="Input [yellow] 3 3 2 2" xfId="18711"/>
    <cellStyle name="Input [yellow] 3 3 3" xfId="7992"/>
    <cellStyle name="Input [yellow] 3 4" xfId="3484"/>
    <cellStyle name="Input [yellow] 3 4 2" xfId="3485"/>
    <cellStyle name="Input [yellow] 3 4 2 2" xfId="18713"/>
    <cellStyle name="Input [yellow] 3 4 3" xfId="18712"/>
    <cellStyle name="Input [yellow] 3 5" xfId="3486"/>
    <cellStyle name="Input [yellow] 3 5 2" xfId="18714"/>
    <cellStyle name="Input [yellow] 3 6" xfId="3487"/>
    <cellStyle name="Input [yellow] 3 6 2" xfId="18715"/>
    <cellStyle name="Input [yellow] 3 7" xfId="7991"/>
    <cellStyle name="Input [yellow] 3 7 2" xfId="18716"/>
    <cellStyle name="Input [yellow] 3 8" xfId="18708"/>
    <cellStyle name="Input [yellow] 4" xfId="1244"/>
    <cellStyle name="Input [yellow] 4 2" xfId="3489"/>
    <cellStyle name="Input [yellow] 4 2 2" xfId="3490"/>
    <cellStyle name="Input [yellow] 4 2 3" xfId="18718"/>
    <cellStyle name="Input [yellow] 4 3" xfId="3491"/>
    <cellStyle name="Input [yellow] 4 3 2" xfId="18719"/>
    <cellStyle name="Input [yellow] 4 4" xfId="3492"/>
    <cellStyle name="Input [yellow] 4 4 2" xfId="4591"/>
    <cellStyle name="Input [yellow] 4 4 3" xfId="18720"/>
    <cellStyle name="Input [yellow] 4 5" xfId="4592"/>
    <cellStyle name="Input [yellow] 4 6" xfId="4593"/>
    <cellStyle name="Input [yellow] 4 7" xfId="3488"/>
    <cellStyle name="Input [yellow] 4 8" xfId="18717"/>
    <cellStyle name="Input [yellow] 5" xfId="1245"/>
    <cellStyle name="Input [yellow] 5 2" xfId="4595"/>
    <cellStyle name="Input [yellow] 5 2 2" xfId="4596"/>
    <cellStyle name="Input [yellow] 5 2 3" xfId="18721"/>
    <cellStyle name="Input [yellow] 5 3" xfId="4597"/>
    <cellStyle name="Input [yellow] 5 4" xfId="5419"/>
    <cellStyle name="Input [yellow] 5 4 2" xfId="3493"/>
    <cellStyle name="Input [yellow] 5 5" xfId="3494"/>
    <cellStyle name="Input [yellow] 5 6" xfId="3495"/>
    <cellStyle name="Input [yellow] 5 7" xfId="4594"/>
    <cellStyle name="Input [yellow] 5 8" xfId="7993"/>
    <cellStyle name="Input [yellow] 6" xfId="1246"/>
    <cellStyle name="Input [yellow] 6 2" xfId="18723"/>
    <cellStyle name="Input [yellow] 6 3" xfId="18722"/>
    <cellStyle name="Input [yellow] 7" xfId="3496"/>
    <cellStyle name="Input [yellow] 7 2" xfId="3497"/>
    <cellStyle name="Input [yellow] 7 2 2" xfId="18725"/>
    <cellStyle name="Input [yellow] 7 3" xfId="18724"/>
    <cellStyle name="Input [yellow] 8" xfId="3498"/>
    <cellStyle name="Input [yellow] 8 2" xfId="18726"/>
    <cellStyle name="Input [yellow] 9" xfId="3499"/>
    <cellStyle name="Input [yellow] 9 2" xfId="3500"/>
    <cellStyle name="Input [yellow] 9 3" xfId="18727"/>
    <cellStyle name="Input [yellow]_For Accounts-Final Stock Fund" xfId="1247"/>
    <cellStyle name="Input 10" xfId="1248"/>
    <cellStyle name="Input 10 10" xfId="3501"/>
    <cellStyle name="Input 10 10 2" xfId="18728"/>
    <cellStyle name="Input 10 11" xfId="40601"/>
    <cellStyle name="Input 10 2" xfId="1249"/>
    <cellStyle name="Input 10 2 10" xfId="18729"/>
    <cellStyle name="Input 10 2 11" xfId="41396"/>
    <cellStyle name="Input 10 2 2" xfId="1250"/>
    <cellStyle name="Input 10 2 2 10" xfId="18730"/>
    <cellStyle name="Input 10 2 2 11" xfId="43781"/>
    <cellStyle name="Input 10 2 2 2" xfId="3502"/>
    <cellStyle name="Input 10 2 2 2 2" xfId="18732"/>
    <cellStyle name="Input 10 2 2 2 3" xfId="18733"/>
    <cellStyle name="Input 10 2 2 2 4" xfId="18731"/>
    <cellStyle name="Input 10 2 2 3" xfId="7995"/>
    <cellStyle name="Input 10 2 2 3 2" xfId="18735"/>
    <cellStyle name="Input 10 2 2 3 3" xfId="18734"/>
    <cellStyle name="Input 10 2 2 4" xfId="18736"/>
    <cellStyle name="Input 10 2 2 4 2" xfId="18737"/>
    <cellStyle name="Input 10 2 2 5" xfId="18738"/>
    <cellStyle name="Input 10 2 2 6" xfId="18739"/>
    <cellStyle name="Input 10 2 2 7" xfId="18740"/>
    <cellStyle name="Input 10 2 2 8" xfId="18741"/>
    <cellStyle name="Input 10 2 2 9" xfId="18742"/>
    <cellStyle name="Input 10 2 3" xfId="3503"/>
    <cellStyle name="Input 10 2 3 2" xfId="18744"/>
    <cellStyle name="Input 10 2 3 2 2" xfId="18745"/>
    <cellStyle name="Input 10 2 3 2 3" xfId="18746"/>
    <cellStyle name="Input 10 2 3 3" xfId="18747"/>
    <cellStyle name="Input 10 2 3 3 2" xfId="18748"/>
    <cellStyle name="Input 10 2 3 4" xfId="18749"/>
    <cellStyle name="Input 10 2 3 5" xfId="18750"/>
    <cellStyle name="Input 10 2 3 6" xfId="18751"/>
    <cellStyle name="Input 10 2 3 7" xfId="18743"/>
    <cellStyle name="Input 10 2 3 8" xfId="43670"/>
    <cellStyle name="Input 10 2 4" xfId="3504"/>
    <cellStyle name="Input 10 2 4 2" xfId="3505"/>
    <cellStyle name="Input 10 2 4 2 2" xfId="18753"/>
    <cellStyle name="Input 10 2 4 3" xfId="18752"/>
    <cellStyle name="Input 10 2 4 4" xfId="45326"/>
    <cellStyle name="Input 10 2 5" xfId="4598"/>
    <cellStyle name="Input 10 2 5 2" xfId="4599"/>
    <cellStyle name="Input 10 2 5 3" xfId="18754"/>
    <cellStyle name="Input 10 2 6" xfId="4600"/>
    <cellStyle name="Input 10 2 6 2" xfId="18755"/>
    <cellStyle name="Input 10 2 7" xfId="5420"/>
    <cellStyle name="Input 10 2 7 2" xfId="18756"/>
    <cellStyle name="Input 10 2 8" xfId="5193"/>
    <cellStyle name="Input 10 2 9" xfId="7994"/>
    <cellStyle name="Input 10 3" xfId="1251"/>
    <cellStyle name="Input 10 3 2" xfId="4602"/>
    <cellStyle name="Input 10 3 2 10" xfId="18758"/>
    <cellStyle name="Input 10 3 2 2" xfId="18759"/>
    <cellStyle name="Input 10 3 2 2 2" xfId="18760"/>
    <cellStyle name="Input 10 3 2 3" xfId="18761"/>
    <cellStyle name="Input 10 3 2 3 2" xfId="18762"/>
    <cellStyle name="Input 10 3 2 4" xfId="18763"/>
    <cellStyle name="Input 10 3 2 4 2" xfId="18764"/>
    <cellStyle name="Input 10 3 2 5" xfId="18765"/>
    <cellStyle name="Input 10 3 2 6" xfId="18766"/>
    <cellStyle name="Input 10 3 2 7" xfId="18767"/>
    <cellStyle name="Input 10 3 2 8" xfId="18768"/>
    <cellStyle name="Input 10 3 2 9" xfId="18769"/>
    <cellStyle name="Input 10 3 3" xfId="4601"/>
    <cellStyle name="Input 10 3 3 2" xfId="18771"/>
    <cellStyle name="Input 10 3 3 2 2" xfId="18772"/>
    <cellStyle name="Input 10 3 3 3" xfId="18773"/>
    <cellStyle name="Input 10 3 3 3 2" xfId="18774"/>
    <cellStyle name="Input 10 3 3 4" xfId="18775"/>
    <cellStyle name="Input 10 3 3 5" xfId="18776"/>
    <cellStyle name="Input 10 3 3 6" xfId="18777"/>
    <cellStyle name="Input 10 3 3 7" xfId="18770"/>
    <cellStyle name="Input 10 3 4" xfId="7996"/>
    <cellStyle name="Input 10 3 4 2" xfId="18778"/>
    <cellStyle name="Input 10 3 5" xfId="18779"/>
    <cellStyle name="Input 10 3 6" xfId="18780"/>
    <cellStyle name="Input 10 3 7" xfId="18781"/>
    <cellStyle name="Input 10 3 8" xfId="18757"/>
    <cellStyle name="Input 10 3 9" xfId="41356"/>
    <cellStyle name="Input 10 4" xfId="1252"/>
    <cellStyle name="Input 10 4 10" xfId="18782"/>
    <cellStyle name="Input 10 4 11" xfId="40925"/>
    <cellStyle name="Input 10 4 2" xfId="4603"/>
    <cellStyle name="Input 10 4 2 2" xfId="18784"/>
    <cellStyle name="Input 10 4 2 3" xfId="18785"/>
    <cellStyle name="Input 10 4 2 4" xfId="18783"/>
    <cellStyle name="Input 10 4 2 5" xfId="43686"/>
    <cellStyle name="Input 10 4 3" xfId="18786"/>
    <cellStyle name="Input 10 4 3 2" xfId="18787"/>
    <cellStyle name="Input 10 4 3 3" xfId="43804"/>
    <cellStyle name="Input 10 4 4" xfId="18788"/>
    <cellStyle name="Input 10 4 4 2" xfId="18789"/>
    <cellStyle name="Input 10 4 4 3" xfId="44110"/>
    <cellStyle name="Input 10 4 5" xfId="18790"/>
    <cellStyle name="Input 10 4 6" xfId="18791"/>
    <cellStyle name="Input 10 4 7" xfId="18792"/>
    <cellStyle name="Input 10 4 8" xfId="18793"/>
    <cellStyle name="Input 10 4 9" xfId="18794"/>
    <cellStyle name="Input 10 5" xfId="2725"/>
    <cellStyle name="Input 10 5 10" xfId="43590"/>
    <cellStyle name="Input 10 5 2" xfId="5421"/>
    <cellStyle name="Input 10 5 2 2" xfId="18796"/>
    <cellStyle name="Input 10 5 2 3" xfId="18797"/>
    <cellStyle name="Input 10 5 2 4" xfId="18795"/>
    <cellStyle name="Input 10 5 3" xfId="8328"/>
    <cellStyle name="Input 10 5 3 2" xfId="18798"/>
    <cellStyle name="Input 10 5 4" xfId="18799"/>
    <cellStyle name="Input 10 5 4 2" xfId="18800"/>
    <cellStyle name="Input 10 5 5" xfId="18801"/>
    <cellStyle name="Input 10 5 6" xfId="18802"/>
    <cellStyle name="Input 10 5 7" xfId="18803"/>
    <cellStyle name="Input 10 5 8" xfId="18804"/>
    <cellStyle name="Input 10 5 9" xfId="18805"/>
    <cellStyle name="Input 10 6" xfId="3506"/>
    <cellStyle name="Input 10 6 2" xfId="4604"/>
    <cellStyle name="Input 10 6 2 2" xfId="18808"/>
    <cellStyle name="Input 10 6 2 3" xfId="18807"/>
    <cellStyle name="Input 10 6 3" xfId="18809"/>
    <cellStyle name="Input 10 6 3 2" xfId="18810"/>
    <cellStyle name="Input 10 6 4" xfId="18811"/>
    <cellStyle name="Input 10 6 5" xfId="18812"/>
    <cellStyle name="Input 10 6 6" xfId="18813"/>
    <cellStyle name="Input 10 6 7" xfId="18806"/>
    <cellStyle name="Input 10 6 8" xfId="43691"/>
    <cellStyle name="Input 10 7" xfId="4605"/>
    <cellStyle name="Input 10 7 2" xfId="5422"/>
    <cellStyle name="Input 10 7 3" xfId="18814"/>
    <cellStyle name="Input 10 7 4" xfId="44104"/>
    <cellStyle name="Input 10 8" xfId="4606"/>
    <cellStyle name="Input 10 8 2" xfId="18815"/>
    <cellStyle name="Input 10 9" xfId="4607"/>
    <cellStyle name="Input 10 9 2" xfId="18816"/>
    <cellStyle name="Input 11" xfId="1253"/>
    <cellStyle name="Input 11 10" xfId="4608"/>
    <cellStyle name="Input 11 10 2" xfId="18817"/>
    <cellStyle name="Input 11 11" xfId="40602"/>
    <cellStyle name="Input 11 2" xfId="1254"/>
    <cellStyle name="Input 11 2 10" xfId="18818"/>
    <cellStyle name="Input 11 2 11" xfId="41344"/>
    <cellStyle name="Input 11 2 2" xfId="1255"/>
    <cellStyle name="Input 11 2 2 10" xfId="18819"/>
    <cellStyle name="Input 11 2 2 2" xfId="4609"/>
    <cellStyle name="Input 11 2 2 2 2" xfId="18821"/>
    <cellStyle name="Input 11 2 2 2 3" xfId="18822"/>
    <cellStyle name="Input 11 2 2 2 4" xfId="18820"/>
    <cellStyle name="Input 11 2 2 3" xfId="7998"/>
    <cellStyle name="Input 11 2 2 3 2" xfId="18824"/>
    <cellStyle name="Input 11 2 2 3 3" xfId="18823"/>
    <cellStyle name="Input 11 2 2 4" xfId="18825"/>
    <cellStyle name="Input 11 2 2 4 2" xfId="18826"/>
    <cellStyle name="Input 11 2 2 5" xfId="18827"/>
    <cellStyle name="Input 11 2 2 6" xfId="18828"/>
    <cellStyle name="Input 11 2 2 7" xfId="18829"/>
    <cellStyle name="Input 11 2 2 8" xfId="18830"/>
    <cellStyle name="Input 11 2 2 9" xfId="18831"/>
    <cellStyle name="Input 11 2 3" xfId="4610"/>
    <cellStyle name="Input 11 2 3 2" xfId="18833"/>
    <cellStyle name="Input 11 2 3 2 2" xfId="18834"/>
    <cellStyle name="Input 11 2 3 2 3" xfId="18835"/>
    <cellStyle name="Input 11 2 3 3" xfId="18836"/>
    <cellStyle name="Input 11 2 3 3 2" xfId="18837"/>
    <cellStyle name="Input 11 2 3 4" xfId="18838"/>
    <cellStyle name="Input 11 2 3 5" xfId="18839"/>
    <cellStyle name="Input 11 2 3 6" xfId="18840"/>
    <cellStyle name="Input 11 2 3 7" xfId="18832"/>
    <cellStyle name="Input 11 2 4" xfId="5322"/>
    <cellStyle name="Input 11 2 4 2" xfId="4611"/>
    <cellStyle name="Input 11 2 4 2 2" xfId="18842"/>
    <cellStyle name="Input 11 2 4 3" xfId="18841"/>
    <cellStyle name="Input 11 2 5" xfId="4612"/>
    <cellStyle name="Input 11 2 5 2" xfId="3507"/>
    <cellStyle name="Input 11 2 5 3" xfId="18843"/>
    <cellStyle name="Input 11 2 6" xfId="5446"/>
    <cellStyle name="Input 11 2 6 2" xfId="18844"/>
    <cellStyle name="Input 11 2 7" xfId="3249"/>
    <cellStyle name="Input 11 2 7 2" xfId="18845"/>
    <cellStyle name="Input 11 2 8" xfId="5428"/>
    <cellStyle name="Input 11 2 9" xfId="7997"/>
    <cellStyle name="Input 11 3" xfId="1256"/>
    <cellStyle name="Input 11 3 2" xfId="4614"/>
    <cellStyle name="Input 11 3 2 10" xfId="18847"/>
    <cellStyle name="Input 11 3 2 2" xfId="18848"/>
    <cellStyle name="Input 11 3 2 2 2" xfId="18849"/>
    <cellStyle name="Input 11 3 2 3" xfId="18850"/>
    <cellStyle name="Input 11 3 2 3 2" xfId="18851"/>
    <cellStyle name="Input 11 3 2 4" xfId="18852"/>
    <cellStyle name="Input 11 3 2 4 2" xfId="18853"/>
    <cellStyle name="Input 11 3 2 5" xfId="18854"/>
    <cellStyle name="Input 11 3 2 6" xfId="18855"/>
    <cellStyle name="Input 11 3 2 7" xfId="18856"/>
    <cellStyle name="Input 11 3 2 8" xfId="18857"/>
    <cellStyle name="Input 11 3 2 9" xfId="18858"/>
    <cellStyle name="Input 11 3 3" xfId="4613"/>
    <cellStyle name="Input 11 3 3 2" xfId="18860"/>
    <cellStyle name="Input 11 3 3 2 2" xfId="18861"/>
    <cellStyle name="Input 11 3 3 3" xfId="18862"/>
    <cellStyle name="Input 11 3 3 3 2" xfId="18863"/>
    <cellStyle name="Input 11 3 3 4" xfId="18864"/>
    <cellStyle name="Input 11 3 3 5" xfId="18865"/>
    <cellStyle name="Input 11 3 3 6" xfId="18866"/>
    <cellStyle name="Input 11 3 3 7" xfId="18859"/>
    <cellStyle name="Input 11 3 4" xfId="7999"/>
    <cellStyle name="Input 11 3 4 2" xfId="18867"/>
    <cellStyle name="Input 11 3 5" xfId="18868"/>
    <cellStyle name="Input 11 3 6" xfId="18869"/>
    <cellStyle name="Input 11 3 7" xfId="18870"/>
    <cellStyle name="Input 11 3 8" xfId="18846"/>
    <cellStyle name="Input 11 3 9" xfId="43591"/>
    <cellStyle name="Input 11 4" xfId="1257"/>
    <cellStyle name="Input 11 4 10" xfId="18871"/>
    <cellStyle name="Input 11 4 11" xfId="43640"/>
    <cellStyle name="Input 11 4 2" xfId="5434"/>
    <cellStyle name="Input 11 4 2 2" xfId="18873"/>
    <cellStyle name="Input 11 4 2 3" xfId="18874"/>
    <cellStyle name="Input 11 4 2 4" xfId="18872"/>
    <cellStyle name="Input 11 4 3" xfId="18875"/>
    <cellStyle name="Input 11 4 3 2" xfId="18876"/>
    <cellStyle name="Input 11 4 4" xfId="18877"/>
    <cellStyle name="Input 11 4 4 2" xfId="18878"/>
    <cellStyle name="Input 11 4 5" xfId="18879"/>
    <cellStyle name="Input 11 4 6" xfId="18880"/>
    <cellStyle name="Input 11 4 7" xfId="18881"/>
    <cellStyle name="Input 11 4 8" xfId="18882"/>
    <cellStyle name="Input 11 4 9" xfId="18883"/>
    <cellStyle name="Input 11 5" xfId="2726"/>
    <cellStyle name="Input 11 5 10" xfId="43547"/>
    <cellStyle name="Input 11 5 2" xfId="4615"/>
    <cellStyle name="Input 11 5 2 2" xfId="18885"/>
    <cellStyle name="Input 11 5 2 3" xfId="18886"/>
    <cellStyle name="Input 11 5 2 4" xfId="18884"/>
    <cellStyle name="Input 11 5 3" xfId="8329"/>
    <cellStyle name="Input 11 5 3 2" xfId="18887"/>
    <cellStyle name="Input 11 5 4" xfId="18888"/>
    <cellStyle name="Input 11 5 4 2" xfId="18889"/>
    <cellStyle name="Input 11 5 5" xfId="18890"/>
    <cellStyle name="Input 11 5 6" xfId="18891"/>
    <cellStyle name="Input 11 5 7" xfId="18892"/>
    <cellStyle name="Input 11 5 8" xfId="18893"/>
    <cellStyle name="Input 11 5 9" xfId="18894"/>
    <cellStyle name="Input 11 6" xfId="4616"/>
    <cellStyle name="Input 11 6 2" xfId="4617"/>
    <cellStyle name="Input 11 6 2 2" xfId="18897"/>
    <cellStyle name="Input 11 6 2 3" xfId="18896"/>
    <cellStyle name="Input 11 6 3" xfId="18898"/>
    <cellStyle name="Input 11 6 3 2" xfId="18899"/>
    <cellStyle name="Input 11 6 4" xfId="18900"/>
    <cellStyle name="Input 11 6 5" xfId="18901"/>
    <cellStyle name="Input 11 6 6" xfId="18902"/>
    <cellStyle name="Input 11 6 7" xfId="18895"/>
    <cellStyle name="Input 11 7" xfId="4618"/>
    <cellStyle name="Input 11 7 2" xfId="4619"/>
    <cellStyle name="Input 11 7 3" xfId="18903"/>
    <cellStyle name="Input 11 8" xfId="4620"/>
    <cellStyle name="Input 11 8 2" xfId="18904"/>
    <cellStyle name="Input 11 9" xfId="4621"/>
    <cellStyle name="Input 11 9 2" xfId="18905"/>
    <cellStyle name="Input 12" xfId="1258"/>
    <cellStyle name="Input 12 10" xfId="4622"/>
    <cellStyle name="Input 12 10 2" xfId="18906"/>
    <cellStyle name="Input 12 11" xfId="8000"/>
    <cellStyle name="Input 12 12" xfId="40603"/>
    <cellStyle name="Input 12 2" xfId="1259"/>
    <cellStyle name="Input 12 2 10" xfId="18907"/>
    <cellStyle name="Input 12 2 11" xfId="41357"/>
    <cellStyle name="Input 12 2 2" xfId="4623"/>
    <cellStyle name="Input 12 2 2 10" xfId="18908"/>
    <cellStyle name="Input 12 2 2 2" xfId="18909"/>
    <cellStyle name="Input 12 2 2 2 2" xfId="18910"/>
    <cellStyle name="Input 12 2 2 2 3" xfId="18911"/>
    <cellStyle name="Input 12 2 2 3" xfId="18912"/>
    <cellStyle name="Input 12 2 2 3 2" xfId="18913"/>
    <cellStyle name="Input 12 2 2 4" xfId="18914"/>
    <cellStyle name="Input 12 2 2 4 2" xfId="18915"/>
    <cellStyle name="Input 12 2 2 5" xfId="18916"/>
    <cellStyle name="Input 12 2 2 6" xfId="18917"/>
    <cellStyle name="Input 12 2 2 7" xfId="18918"/>
    <cellStyle name="Input 12 2 2 8" xfId="18919"/>
    <cellStyle name="Input 12 2 2 9" xfId="18920"/>
    <cellStyle name="Input 12 2 3" xfId="4624"/>
    <cellStyle name="Input 12 2 3 2" xfId="18922"/>
    <cellStyle name="Input 12 2 3 2 2" xfId="18923"/>
    <cellStyle name="Input 12 2 3 2 3" xfId="18924"/>
    <cellStyle name="Input 12 2 3 3" xfId="18925"/>
    <cellStyle name="Input 12 2 3 3 2" xfId="18926"/>
    <cellStyle name="Input 12 2 3 4" xfId="18927"/>
    <cellStyle name="Input 12 2 3 5" xfId="18928"/>
    <cellStyle name="Input 12 2 3 6" xfId="18929"/>
    <cellStyle name="Input 12 2 3 7" xfId="18921"/>
    <cellStyle name="Input 12 2 4" xfId="4625"/>
    <cellStyle name="Input 12 2 4 2" xfId="4626"/>
    <cellStyle name="Input 12 2 4 2 2" xfId="18931"/>
    <cellStyle name="Input 12 2 4 3" xfId="18930"/>
    <cellStyle name="Input 12 2 5" xfId="3251"/>
    <cellStyle name="Input 12 2 5 2" xfId="4627"/>
    <cellStyle name="Input 12 2 5 3" xfId="18932"/>
    <cellStyle name="Input 12 2 6" xfId="4628"/>
    <cellStyle name="Input 12 2 6 2" xfId="18933"/>
    <cellStyle name="Input 12 2 7" xfId="4629"/>
    <cellStyle name="Input 12 2 7 2" xfId="18934"/>
    <cellStyle name="Input 12 2 8" xfId="3508"/>
    <cellStyle name="Input 12 2 9" xfId="8001"/>
    <cellStyle name="Input 12 3" xfId="2727"/>
    <cellStyle name="Input 12 3 2" xfId="5194"/>
    <cellStyle name="Input 12 3 2 10" xfId="18935"/>
    <cellStyle name="Input 12 3 2 2" xfId="18936"/>
    <cellStyle name="Input 12 3 2 2 2" xfId="18937"/>
    <cellStyle name="Input 12 3 2 3" xfId="18938"/>
    <cellStyle name="Input 12 3 2 3 2" xfId="18939"/>
    <cellStyle name="Input 12 3 2 4" xfId="18940"/>
    <cellStyle name="Input 12 3 2 4 2" xfId="18941"/>
    <cellStyle name="Input 12 3 2 5" xfId="18942"/>
    <cellStyle name="Input 12 3 2 6" xfId="18943"/>
    <cellStyle name="Input 12 3 2 7" xfId="18944"/>
    <cellStyle name="Input 12 3 2 8" xfId="18945"/>
    <cellStyle name="Input 12 3 2 9" xfId="18946"/>
    <cellStyle name="Input 12 3 3" xfId="4630"/>
    <cellStyle name="Input 12 3 3 2" xfId="18948"/>
    <cellStyle name="Input 12 3 3 2 2" xfId="18949"/>
    <cellStyle name="Input 12 3 3 3" xfId="18950"/>
    <cellStyle name="Input 12 3 3 3 2" xfId="18951"/>
    <cellStyle name="Input 12 3 3 4" xfId="18952"/>
    <cellStyle name="Input 12 3 3 5" xfId="18953"/>
    <cellStyle name="Input 12 3 3 6" xfId="18954"/>
    <cellStyle name="Input 12 3 3 7" xfId="18947"/>
    <cellStyle name="Input 12 3 4" xfId="8330"/>
    <cellStyle name="Input 12 3 5" xfId="18955"/>
    <cellStyle name="Input 12 3 6" xfId="18956"/>
    <cellStyle name="Input 12 3 7" xfId="18957"/>
    <cellStyle name="Input 12 3 8" xfId="43592"/>
    <cellStyle name="Input 12 4" xfId="4631"/>
    <cellStyle name="Input 12 4 10" xfId="18958"/>
    <cellStyle name="Input 12 4 11" xfId="43683"/>
    <cellStyle name="Input 12 4 2" xfId="18959"/>
    <cellStyle name="Input 12 4 2 2" xfId="18960"/>
    <cellStyle name="Input 12 4 2 3" xfId="18961"/>
    <cellStyle name="Input 12 4 3" xfId="18962"/>
    <cellStyle name="Input 12 4 3 2" xfId="18963"/>
    <cellStyle name="Input 12 4 4" xfId="18964"/>
    <cellStyle name="Input 12 4 4 2" xfId="18965"/>
    <cellStyle name="Input 12 4 5" xfId="18966"/>
    <cellStyle name="Input 12 4 6" xfId="18967"/>
    <cellStyle name="Input 12 4 7" xfId="18968"/>
    <cellStyle name="Input 12 4 8" xfId="18969"/>
    <cellStyle name="Input 12 4 9" xfId="18970"/>
    <cellStyle name="Input 12 5" xfId="4632"/>
    <cellStyle name="Input 12 5 10" xfId="18971"/>
    <cellStyle name="Input 12 5 11" xfId="43675"/>
    <cellStyle name="Input 12 5 2" xfId="18972"/>
    <cellStyle name="Input 12 5 2 2" xfId="18973"/>
    <cellStyle name="Input 12 5 2 3" xfId="18974"/>
    <cellStyle name="Input 12 5 3" xfId="18975"/>
    <cellStyle name="Input 12 5 3 2" xfId="18976"/>
    <cellStyle name="Input 12 5 4" xfId="18977"/>
    <cellStyle name="Input 12 5 4 2" xfId="18978"/>
    <cellStyle name="Input 12 5 5" xfId="18979"/>
    <cellStyle name="Input 12 5 6" xfId="18980"/>
    <cellStyle name="Input 12 5 7" xfId="18981"/>
    <cellStyle name="Input 12 5 8" xfId="18982"/>
    <cellStyle name="Input 12 5 9" xfId="18983"/>
    <cellStyle name="Input 12 6" xfId="4633"/>
    <cellStyle name="Input 12 6 2" xfId="4634"/>
    <cellStyle name="Input 12 6 2 2" xfId="18986"/>
    <cellStyle name="Input 12 6 2 3" xfId="18985"/>
    <cellStyle name="Input 12 6 3" xfId="18987"/>
    <cellStyle name="Input 12 6 3 2" xfId="18988"/>
    <cellStyle name="Input 12 6 4" xfId="18989"/>
    <cellStyle name="Input 12 6 5" xfId="18990"/>
    <cellStyle name="Input 12 6 6" xfId="18991"/>
    <cellStyle name="Input 12 6 7" xfId="18984"/>
    <cellStyle name="Input 12 7" xfId="4635"/>
    <cellStyle name="Input 12 7 2" xfId="4636"/>
    <cellStyle name="Input 12 7 3" xfId="18992"/>
    <cellStyle name="Input 12 8" xfId="4637"/>
    <cellStyle name="Input 12 8 2" xfId="18993"/>
    <cellStyle name="Input 12 9" xfId="5317"/>
    <cellStyle name="Input 12 9 2" xfId="18994"/>
    <cellStyle name="Input 13" xfId="1260"/>
    <cellStyle name="Input 13 10" xfId="4638"/>
    <cellStyle name="Input 13 10 2" xfId="18995"/>
    <cellStyle name="Input 13 11" xfId="8002"/>
    <cellStyle name="Input 13 12" xfId="40604"/>
    <cellStyle name="Input 13 2" xfId="1261"/>
    <cellStyle name="Input 13 2 10" xfId="18996"/>
    <cellStyle name="Input 13 2 11" xfId="41343"/>
    <cellStyle name="Input 13 2 2" xfId="4640"/>
    <cellStyle name="Input 13 2 2 10" xfId="18997"/>
    <cellStyle name="Input 13 2 2 2" xfId="18998"/>
    <cellStyle name="Input 13 2 2 2 2" xfId="18999"/>
    <cellStyle name="Input 13 2 2 2 3" xfId="19000"/>
    <cellStyle name="Input 13 2 2 3" xfId="19001"/>
    <cellStyle name="Input 13 2 2 3 2" xfId="19002"/>
    <cellStyle name="Input 13 2 2 4" xfId="19003"/>
    <cellStyle name="Input 13 2 2 4 2" xfId="19004"/>
    <cellStyle name="Input 13 2 2 5" xfId="19005"/>
    <cellStyle name="Input 13 2 2 6" xfId="19006"/>
    <cellStyle name="Input 13 2 2 7" xfId="19007"/>
    <cellStyle name="Input 13 2 2 8" xfId="19008"/>
    <cellStyle name="Input 13 2 2 9" xfId="19009"/>
    <cellStyle name="Input 13 2 3" xfId="4641"/>
    <cellStyle name="Input 13 2 3 2" xfId="19011"/>
    <cellStyle name="Input 13 2 3 2 2" xfId="19012"/>
    <cellStyle name="Input 13 2 3 2 3" xfId="19013"/>
    <cellStyle name="Input 13 2 3 3" xfId="19014"/>
    <cellStyle name="Input 13 2 3 3 2" xfId="19015"/>
    <cellStyle name="Input 13 2 3 4" xfId="19016"/>
    <cellStyle name="Input 13 2 3 5" xfId="19017"/>
    <cellStyle name="Input 13 2 3 6" xfId="19018"/>
    <cellStyle name="Input 13 2 3 7" xfId="19010"/>
    <cellStyle name="Input 13 2 4" xfId="4642"/>
    <cellStyle name="Input 13 2 4 2" xfId="4643"/>
    <cellStyle name="Input 13 2 4 2 2" xfId="19020"/>
    <cellStyle name="Input 13 2 4 3" xfId="19019"/>
    <cellStyle name="Input 13 2 5" xfId="4644"/>
    <cellStyle name="Input 13 2 5 2" xfId="4645"/>
    <cellStyle name="Input 13 2 5 3" xfId="19021"/>
    <cellStyle name="Input 13 2 6" xfId="4646"/>
    <cellStyle name="Input 13 2 6 2" xfId="19022"/>
    <cellStyle name="Input 13 2 7" xfId="4647"/>
    <cellStyle name="Input 13 2 7 2" xfId="19023"/>
    <cellStyle name="Input 13 2 8" xfId="4639"/>
    <cellStyle name="Input 13 2 9" xfId="8003"/>
    <cellStyle name="Input 13 3" xfId="2728"/>
    <cellStyle name="Input 13 3 2" xfId="4649"/>
    <cellStyle name="Input 13 3 2 10" xfId="19024"/>
    <cellStyle name="Input 13 3 2 2" xfId="19025"/>
    <cellStyle name="Input 13 3 2 2 2" xfId="19026"/>
    <cellStyle name="Input 13 3 2 3" xfId="19027"/>
    <cellStyle name="Input 13 3 2 3 2" xfId="19028"/>
    <cellStyle name="Input 13 3 2 4" xfId="19029"/>
    <cellStyle name="Input 13 3 2 4 2" xfId="19030"/>
    <cellStyle name="Input 13 3 2 5" xfId="19031"/>
    <cellStyle name="Input 13 3 2 6" xfId="19032"/>
    <cellStyle name="Input 13 3 2 7" xfId="19033"/>
    <cellStyle name="Input 13 3 2 8" xfId="19034"/>
    <cellStyle name="Input 13 3 2 9" xfId="19035"/>
    <cellStyle name="Input 13 3 3" xfId="4648"/>
    <cellStyle name="Input 13 3 3 2" xfId="19037"/>
    <cellStyle name="Input 13 3 3 2 2" xfId="19038"/>
    <cellStyle name="Input 13 3 3 3" xfId="19039"/>
    <cellStyle name="Input 13 3 3 3 2" xfId="19040"/>
    <cellStyle name="Input 13 3 3 4" xfId="19041"/>
    <cellStyle name="Input 13 3 3 5" xfId="19042"/>
    <cellStyle name="Input 13 3 3 6" xfId="19043"/>
    <cellStyle name="Input 13 3 3 7" xfId="19036"/>
    <cellStyle name="Input 13 3 4" xfId="8331"/>
    <cellStyle name="Input 13 3 5" xfId="19044"/>
    <cellStyle name="Input 13 3 6" xfId="19045"/>
    <cellStyle name="Input 13 3 7" xfId="19046"/>
    <cellStyle name="Input 13 3 8" xfId="43593"/>
    <cellStyle name="Input 13 4" xfId="4650"/>
    <cellStyle name="Input 13 4 10" xfId="19047"/>
    <cellStyle name="Input 13 4 11" xfId="43708"/>
    <cellStyle name="Input 13 4 2" xfId="19048"/>
    <cellStyle name="Input 13 4 2 2" xfId="19049"/>
    <cellStyle name="Input 13 4 2 3" xfId="19050"/>
    <cellStyle name="Input 13 4 3" xfId="19051"/>
    <cellStyle name="Input 13 4 3 2" xfId="19052"/>
    <cellStyle name="Input 13 4 4" xfId="19053"/>
    <cellStyle name="Input 13 4 4 2" xfId="19054"/>
    <cellStyle name="Input 13 4 5" xfId="19055"/>
    <cellStyle name="Input 13 4 6" xfId="19056"/>
    <cellStyle name="Input 13 4 7" xfId="19057"/>
    <cellStyle name="Input 13 4 8" xfId="19058"/>
    <cellStyle name="Input 13 4 9" xfId="19059"/>
    <cellStyle name="Input 13 5" xfId="4651"/>
    <cellStyle name="Input 13 5 10" xfId="19060"/>
    <cellStyle name="Input 13 5 11" xfId="43573"/>
    <cellStyle name="Input 13 5 2" xfId="19061"/>
    <cellStyle name="Input 13 5 2 2" xfId="19062"/>
    <cellStyle name="Input 13 5 2 3" xfId="19063"/>
    <cellStyle name="Input 13 5 3" xfId="19064"/>
    <cellStyle name="Input 13 5 3 2" xfId="19065"/>
    <cellStyle name="Input 13 5 4" xfId="19066"/>
    <cellStyle name="Input 13 5 4 2" xfId="19067"/>
    <cellStyle name="Input 13 5 5" xfId="19068"/>
    <cellStyle name="Input 13 5 6" xfId="19069"/>
    <cellStyle name="Input 13 5 7" xfId="19070"/>
    <cellStyle name="Input 13 5 8" xfId="19071"/>
    <cellStyle name="Input 13 5 9" xfId="19072"/>
    <cellStyle name="Input 13 6" xfId="4652"/>
    <cellStyle name="Input 13 6 2" xfId="4653"/>
    <cellStyle name="Input 13 6 2 2" xfId="19075"/>
    <cellStyle name="Input 13 6 2 3" xfId="19074"/>
    <cellStyle name="Input 13 6 3" xfId="19076"/>
    <cellStyle name="Input 13 6 3 2" xfId="19077"/>
    <cellStyle name="Input 13 6 4" xfId="19078"/>
    <cellStyle name="Input 13 6 5" xfId="19079"/>
    <cellStyle name="Input 13 6 6" xfId="19080"/>
    <cellStyle name="Input 13 6 7" xfId="19073"/>
    <cellStyle name="Input 13 7" xfId="4654"/>
    <cellStyle name="Input 13 7 2" xfId="4655"/>
    <cellStyle name="Input 13 7 3" xfId="19081"/>
    <cellStyle name="Input 13 8" xfId="4656"/>
    <cellStyle name="Input 13 8 2" xfId="19082"/>
    <cellStyle name="Input 13 9" xfId="4657"/>
    <cellStyle name="Input 13 9 2" xfId="19083"/>
    <cellStyle name="Input 14" xfId="1262"/>
    <cellStyle name="Input 14 10" xfId="4658"/>
    <cellStyle name="Input 14 10 2" xfId="19084"/>
    <cellStyle name="Input 14 11" xfId="8004"/>
    <cellStyle name="Input 14 12" xfId="40605"/>
    <cellStyle name="Input 14 2" xfId="1263"/>
    <cellStyle name="Input 14 2 10" xfId="19085"/>
    <cellStyle name="Input 14 2 11" xfId="41358"/>
    <cellStyle name="Input 14 2 2" xfId="4660"/>
    <cellStyle name="Input 14 2 2 10" xfId="19086"/>
    <cellStyle name="Input 14 2 2 2" xfId="19087"/>
    <cellStyle name="Input 14 2 2 2 2" xfId="19088"/>
    <cellStyle name="Input 14 2 2 2 3" xfId="19089"/>
    <cellStyle name="Input 14 2 2 3" xfId="19090"/>
    <cellStyle name="Input 14 2 2 3 2" xfId="19091"/>
    <cellStyle name="Input 14 2 2 4" xfId="19092"/>
    <cellStyle name="Input 14 2 2 4 2" xfId="19093"/>
    <cellStyle name="Input 14 2 2 5" xfId="19094"/>
    <cellStyle name="Input 14 2 2 6" xfId="19095"/>
    <cellStyle name="Input 14 2 2 7" xfId="19096"/>
    <cellStyle name="Input 14 2 2 8" xfId="19097"/>
    <cellStyle name="Input 14 2 2 9" xfId="19098"/>
    <cellStyle name="Input 14 2 3" xfId="4661"/>
    <cellStyle name="Input 14 2 3 2" xfId="19100"/>
    <cellStyle name="Input 14 2 3 2 2" xfId="19101"/>
    <cellStyle name="Input 14 2 3 2 3" xfId="19102"/>
    <cellStyle name="Input 14 2 3 3" xfId="19103"/>
    <cellStyle name="Input 14 2 3 3 2" xfId="19104"/>
    <cellStyle name="Input 14 2 3 4" xfId="19105"/>
    <cellStyle name="Input 14 2 3 5" xfId="19106"/>
    <cellStyle name="Input 14 2 3 6" xfId="19107"/>
    <cellStyle name="Input 14 2 3 7" xfId="19099"/>
    <cellStyle name="Input 14 2 4" xfId="4662"/>
    <cellStyle name="Input 14 2 4 2" xfId="4663"/>
    <cellStyle name="Input 14 2 4 2 2" xfId="19109"/>
    <cellStyle name="Input 14 2 4 3" xfId="19108"/>
    <cellStyle name="Input 14 2 5" xfId="4664"/>
    <cellStyle name="Input 14 2 5 2" xfId="4665"/>
    <cellStyle name="Input 14 2 5 3" xfId="19110"/>
    <cellStyle name="Input 14 2 6" xfId="4666"/>
    <cellStyle name="Input 14 2 6 2" xfId="19111"/>
    <cellStyle name="Input 14 2 7" xfId="4667"/>
    <cellStyle name="Input 14 2 7 2" xfId="19112"/>
    <cellStyle name="Input 14 2 8" xfId="4659"/>
    <cellStyle name="Input 14 2 9" xfId="8005"/>
    <cellStyle name="Input 14 3" xfId="2729"/>
    <cellStyle name="Input 14 3 2" xfId="4669"/>
    <cellStyle name="Input 14 3 2 10" xfId="19113"/>
    <cellStyle name="Input 14 3 2 2" xfId="19114"/>
    <cellStyle name="Input 14 3 2 2 2" xfId="19115"/>
    <cellStyle name="Input 14 3 2 3" xfId="19116"/>
    <cellStyle name="Input 14 3 2 3 2" xfId="19117"/>
    <cellStyle name="Input 14 3 2 4" xfId="19118"/>
    <cellStyle name="Input 14 3 2 4 2" xfId="19119"/>
    <cellStyle name="Input 14 3 2 5" xfId="19120"/>
    <cellStyle name="Input 14 3 2 6" xfId="19121"/>
    <cellStyle name="Input 14 3 2 7" xfId="19122"/>
    <cellStyle name="Input 14 3 2 8" xfId="19123"/>
    <cellStyle name="Input 14 3 2 9" xfId="19124"/>
    <cellStyle name="Input 14 3 3" xfId="4668"/>
    <cellStyle name="Input 14 3 3 2" xfId="19126"/>
    <cellStyle name="Input 14 3 3 2 2" xfId="19127"/>
    <cellStyle name="Input 14 3 3 3" xfId="19128"/>
    <cellStyle name="Input 14 3 3 3 2" xfId="19129"/>
    <cellStyle name="Input 14 3 3 4" xfId="19130"/>
    <cellStyle name="Input 14 3 3 5" xfId="19131"/>
    <cellStyle name="Input 14 3 3 6" xfId="19132"/>
    <cellStyle name="Input 14 3 3 7" xfId="19125"/>
    <cellStyle name="Input 14 3 4" xfId="8332"/>
    <cellStyle name="Input 14 3 5" xfId="19133"/>
    <cellStyle name="Input 14 3 6" xfId="19134"/>
    <cellStyle name="Input 14 3 7" xfId="19135"/>
    <cellStyle name="Input 14 3 8" xfId="43594"/>
    <cellStyle name="Input 14 4" xfId="4670"/>
    <cellStyle name="Input 14 4 10" xfId="19136"/>
    <cellStyle name="Input 14 4 11" xfId="43771"/>
    <cellStyle name="Input 14 4 2" xfId="19137"/>
    <cellStyle name="Input 14 4 2 2" xfId="19138"/>
    <cellStyle name="Input 14 4 2 3" xfId="19139"/>
    <cellStyle name="Input 14 4 3" xfId="19140"/>
    <cellStyle name="Input 14 4 3 2" xfId="19141"/>
    <cellStyle name="Input 14 4 4" xfId="19142"/>
    <cellStyle name="Input 14 4 4 2" xfId="19143"/>
    <cellStyle name="Input 14 4 5" xfId="19144"/>
    <cellStyle name="Input 14 4 6" xfId="19145"/>
    <cellStyle name="Input 14 4 7" xfId="19146"/>
    <cellStyle name="Input 14 4 8" xfId="19147"/>
    <cellStyle name="Input 14 4 9" xfId="19148"/>
    <cellStyle name="Input 14 5" xfId="4671"/>
    <cellStyle name="Input 14 5 10" xfId="19149"/>
    <cellStyle name="Input 14 5 11" xfId="43703"/>
    <cellStyle name="Input 14 5 2" xfId="19150"/>
    <cellStyle name="Input 14 5 2 2" xfId="19151"/>
    <cellStyle name="Input 14 5 2 3" xfId="19152"/>
    <cellStyle name="Input 14 5 3" xfId="19153"/>
    <cellStyle name="Input 14 5 3 2" xfId="19154"/>
    <cellStyle name="Input 14 5 4" xfId="19155"/>
    <cellStyle name="Input 14 5 4 2" xfId="19156"/>
    <cellStyle name="Input 14 5 5" xfId="19157"/>
    <cellStyle name="Input 14 5 6" xfId="19158"/>
    <cellStyle name="Input 14 5 7" xfId="19159"/>
    <cellStyle name="Input 14 5 8" xfId="19160"/>
    <cellStyle name="Input 14 5 9" xfId="19161"/>
    <cellStyle name="Input 14 6" xfId="4672"/>
    <cellStyle name="Input 14 6 2" xfId="5423"/>
    <cellStyle name="Input 14 6 2 2" xfId="19164"/>
    <cellStyle name="Input 14 6 2 3" xfId="19163"/>
    <cellStyle name="Input 14 6 3" xfId="19165"/>
    <cellStyle name="Input 14 6 3 2" xfId="19166"/>
    <cellStyle name="Input 14 6 4" xfId="19167"/>
    <cellStyle name="Input 14 6 5" xfId="19168"/>
    <cellStyle name="Input 14 6 6" xfId="19169"/>
    <cellStyle name="Input 14 6 7" xfId="19162"/>
    <cellStyle name="Input 14 7" xfId="4673"/>
    <cellStyle name="Input 14 7 2" xfId="5318"/>
    <cellStyle name="Input 14 7 3" xfId="19170"/>
    <cellStyle name="Input 14 8" xfId="4674"/>
    <cellStyle name="Input 14 8 2" xfId="19171"/>
    <cellStyle name="Input 14 9" xfId="4675"/>
    <cellStyle name="Input 14 9 2" xfId="19172"/>
    <cellStyle name="Input 15" xfId="1264"/>
    <cellStyle name="Input 15 10" xfId="4676"/>
    <cellStyle name="Input 15 10 2" xfId="19173"/>
    <cellStyle name="Input 15 11" xfId="8006"/>
    <cellStyle name="Input 15 12" xfId="40606"/>
    <cellStyle name="Input 15 2" xfId="1265"/>
    <cellStyle name="Input 15 2 10" xfId="19174"/>
    <cellStyle name="Input 15 2 11" xfId="41342"/>
    <cellStyle name="Input 15 2 2" xfId="4678"/>
    <cellStyle name="Input 15 2 2 10" xfId="19175"/>
    <cellStyle name="Input 15 2 2 2" xfId="19176"/>
    <cellStyle name="Input 15 2 2 2 2" xfId="19177"/>
    <cellStyle name="Input 15 2 2 2 3" xfId="19178"/>
    <cellStyle name="Input 15 2 2 3" xfId="19179"/>
    <cellStyle name="Input 15 2 2 3 2" xfId="19180"/>
    <cellStyle name="Input 15 2 2 4" xfId="19181"/>
    <cellStyle name="Input 15 2 2 4 2" xfId="19182"/>
    <cellStyle name="Input 15 2 2 5" xfId="19183"/>
    <cellStyle name="Input 15 2 2 6" xfId="19184"/>
    <cellStyle name="Input 15 2 2 7" xfId="19185"/>
    <cellStyle name="Input 15 2 2 8" xfId="19186"/>
    <cellStyle name="Input 15 2 2 9" xfId="19187"/>
    <cellStyle name="Input 15 2 3" xfId="4679"/>
    <cellStyle name="Input 15 2 3 2" xfId="19189"/>
    <cellStyle name="Input 15 2 3 2 2" xfId="19190"/>
    <cellStyle name="Input 15 2 3 2 3" xfId="19191"/>
    <cellStyle name="Input 15 2 3 3" xfId="19192"/>
    <cellStyle name="Input 15 2 3 3 2" xfId="19193"/>
    <cellStyle name="Input 15 2 3 4" xfId="19194"/>
    <cellStyle name="Input 15 2 3 5" xfId="19195"/>
    <cellStyle name="Input 15 2 3 6" xfId="19196"/>
    <cellStyle name="Input 15 2 3 7" xfId="19188"/>
    <cellStyle name="Input 15 2 4" xfId="4680"/>
    <cellStyle name="Input 15 2 4 2" xfId="4681"/>
    <cellStyle name="Input 15 2 4 2 2" xfId="19198"/>
    <cellStyle name="Input 15 2 4 3" xfId="19197"/>
    <cellStyle name="Input 15 2 5" xfId="4903"/>
    <cellStyle name="Input 15 2 5 2" xfId="4682"/>
    <cellStyle name="Input 15 2 5 3" xfId="19199"/>
    <cellStyle name="Input 15 2 6" xfId="4683"/>
    <cellStyle name="Input 15 2 6 2" xfId="19200"/>
    <cellStyle name="Input 15 2 7" xfId="4684"/>
    <cellStyle name="Input 15 2 7 2" xfId="19201"/>
    <cellStyle name="Input 15 2 8" xfId="4677"/>
    <cellStyle name="Input 15 2 9" xfId="8007"/>
    <cellStyle name="Input 15 3" xfId="2730"/>
    <cellStyle name="Input 15 3 2" xfId="4685"/>
    <cellStyle name="Input 15 3 2 10" xfId="19202"/>
    <cellStyle name="Input 15 3 2 2" xfId="19203"/>
    <cellStyle name="Input 15 3 2 2 2" xfId="19204"/>
    <cellStyle name="Input 15 3 2 3" xfId="19205"/>
    <cellStyle name="Input 15 3 2 3 2" xfId="19206"/>
    <cellStyle name="Input 15 3 2 4" xfId="19207"/>
    <cellStyle name="Input 15 3 2 4 2" xfId="19208"/>
    <cellStyle name="Input 15 3 2 5" xfId="19209"/>
    <cellStyle name="Input 15 3 2 6" xfId="19210"/>
    <cellStyle name="Input 15 3 2 7" xfId="19211"/>
    <cellStyle name="Input 15 3 2 8" xfId="19212"/>
    <cellStyle name="Input 15 3 2 9" xfId="19213"/>
    <cellStyle name="Input 15 3 3" xfId="5195"/>
    <cellStyle name="Input 15 3 3 2" xfId="19215"/>
    <cellStyle name="Input 15 3 3 2 2" xfId="19216"/>
    <cellStyle name="Input 15 3 3 3" xfId="19217"/>
    <cellStyle name="Input 15 3 3 3 2" xfId="19218"/>
    <cellStyle name="Input 15 3 3 4" xfId="19219"/>
    <cellStyle name="Input 15 3 3 5" xfId="19220"/>
    <cellStyle name="Input 15 3 3 6" xfId="19221"/>
    <cellStyle name="Input 15 3 3 7" xfId="19214"/>
    <cellStyle name="Input 15 3 4" xfId="8333"/>
    <cellStyle name="Input 15 3 5" xfId="19222"/>
    <cellStyle name="Input 15 3 6" xfId="19223"/>
    <cellStyle name="Input 15 3 7" xfId="19224"/>
    <cellStyle name="Input 15 3 8" xfId="43595"/>
    <cellStyle name="Input 15 4" xfId="5319"/>
    <cellStyle name="Input 15 4 10" xfId="19225"/>
    <cellStyle name="Input 15 4 11" xfId="43729"/>
    <cellStyle name="Input 15 4 2" xfId="19226"/>
    <cellStyle name="Input 15 4 2 2" xfId="19227"/>
    <cellStyle name="Input 15 4 2 3" xfId="19228"/>
    <cellStyle name="Input 15 4 3" xfId="19229"/>
    <cellStyle name="Input 15 4 3 2" xfId="19230"/>
    <cellStyle name="Input 15 4 4" xfId="19231"/>
    <cellStyle name="Input 15 4 4 2" xfId="19232"/>
    <cellStyle name="Input 15 4 5" xfId="19233"/>
    <cellStyle name="Input 15 4 6" xfId="19234"/>
    <cellStyle name="Input 15 4 7" xfId="19235"/>
    <cellStyle name="Input 15 4 8" xfId="19236"/>
    <cellStyle name="Input 15 4 9" xfId="19237"/>
    <cellStyle name="Input 15 5" xfId="4686"/>
    <cellStyle name="Input 15 5 10" xfId="19238"/>
    <cellStyle name="Input 15 5 11" xfId="43631"/>
    <cellStyle name="Input 15 5 2" xfId="19239"/>
    <cellStyle name="Input 15 5 2 2" xfId="19240"/>
    <cellStyle name="Input 15 5 2 3" xfId="19241"/>
    <cellStyle name="Input 15 5 3" xfId="19242"/>
    <cellStyle name="Input 15 5 3 2" xfId="19243"/>
    <cellStyle name="Input 15 5 4" xfId="19244"/>
    <cellStyle name="Input 15 5 4 2" xfId="19245"/>
    <cellStyle name="Input 15 5 5" xfId="19246"/>
    <cellStyle name="Input 15 5 6" xfId="19247"/>
    <cellStyle name="Input 15 5 7" xfId="19248"/>
    <cellStyle name="Input 15 5 8" xfId="19249"/>
    <cellStyle name="Input 15 5 9" xfId="19250"/>
    <cellStyle name="Input 15 6" xfId="4687"/>
    <cellStyle name="Input 15 6 2" xfId="4688"/>
    <cellStyle name="Input 15 6 2 2" xfId="19253"/>
    <cellStyle name="Input 15 6 2 3" xfId="19252"/>
    <cellStyle name="Input 15 6 3" xfId="19254"/>
    <cellStyle name="Input 15 6 3 2" xfId="19255"/>
    <cellStyle name="Input 15 6 4" xfId="19256"/>
    <cellStyle name="Input 15 6 5" xfId="19257"/>
    <cellStyle name="Input 15 6 6" xfId="19258"/>
    <cellStyle name="Input 15 6 7" xfId="19251"/>
    <cellStyle name="Input 15 7" xfId="4689"/>
    <cellStyle name="Input 15 7 2" xfId="4690"/>
    <cellStyle name="Input 15 7 3" xfId="19259"/>
    <cellStyle name="Input 15 8" xfId="5196"/>
    <cellStyle name="Input 15 8 2" xfId="19260"/>
    <cellStyle name="Input 15 9" xfId="4691"/>
    <cellStyle name="Input 15 9 2" xfId="19261"/>
    <cellStyle name="Input 16" xfId="1266"/>
    <cellStyle name="Input 16 10" xfId="4692"/>
    <cellStyle name="Input 16 10 2" xfId="19262"/>
    <cellStyle name="Input 16 11" xfId="8008"/>
    <cellStyle name="Input 16 12" xfId="40607"/>
    <cellStyle name="Input 16 2" xfId="1267"/>
    <cellStyle name="Input 16 2 10" xfId="19263"/>
    <cellStyle name="Input 16 2 11" xfId="41369"/>
    <cellStyle name="Input 16 2 2" xfId="4694"/>
    <cellStyle name="Input 16 2 2 10" xfId="19264"/>
    <cellStyle name="Input 16 2 2 2" xfId="19265"/>
    <cellStyle name="Input 16 2 2 2 2" xfId="19266"/>
    <cellStyle name="Input 16 2 2 2 3" xfId="19267"/>
    <cellStyle name="Input 16 2 2 3" xfId="19268"/>
    <cellStyle name="Input 16 2 2 3 2" xfId="19269"/>
    <cellStyle name="Input 16 2 2 4" xfId="19270"/>
    <cellStyle name="Input 16 2 2 4 2" xfId="19271"/>
    <cellStyle name="Input 16 2 2 5" xfId="19272"/>
    <cellStyle name="Input 16 2 2 6" xfId="19273"/>
    <cellStyle name="Input 16 2 2 7" xfId="19274"/>
    <cellStyle name="Input 16 2 2 8" xfId="19275"/>
    <cellStyle name="Input 16 2 2 9" xfId="19276"/>
    <cellStyle name="Input 16 2 3" xfId="4695"/>
    <cellStyle name="Input 16 2 3 2" xfId="19278"/>
    <cellStyle name="Input 16 2 3 2 2" xfId="19279"/>
    <cellStyle name="Input 16 2 3 2 3" xfId="19280"/>
    <cellStyle name="Input 16 2 3 3" xfId="19281"/>
    <cellStyle name="Input 16 2 3 3 2" xfId="19282"/>
    <cellStyle name="Input 16 2 3 4" xfId="19283"/>
    <cellStyle name="Input 16 2 3 5" xfId="19284"/>
    <cellStyle name="Input 16 2 3 6" xfId="19285"/>
    <cellStyle name="Input 16 2 3 7" xfId="19277"/>
    <cellStyle name="Input 16 2 4" xfId="4696"/>
    <cellStyle name="Input 16 2 4 2" xfId="4697"/>
    <cellStyle name="Input 16 2 4 2 2" xfId="19287"/>
    <cellStyle name="Input 16 2 4 3" xfId="19286"/>
    <cellStyle name="Input 16 2 5" xfId="4698"/>
    <cellStyle name="Input 16 2 5 2" xfId="5197"/>
    <cellStyle name="Input 16 2 5 3" xfId="19288"/>
    <cellStyle name="Input 16 2 6" xfId="4699"/>
    <cellStyle name="Input 16 2 6 2" xfId="19289"/>
    <cellStyle name="Input 16 2 7" xfId="4700"/>
    <cellStyle name="Input 16 2 7 2" xfId="19290"/>
    <cellStyle name="Input 16 2 8" xfId="4693"/>
    <cellStyle name="Input 16 2 9" xfId="8009"/>
    <cellStyle name="Input 16 3" xfId="2731"/>
    <cellStyle name="Input 16 3 2" xfId="4702"/>
    <cellStyle name="Input 16 3 2 10" xfId="19291"/>
    <cellStyle name="Input 16 3 2 2" xfId="19292"/>
    <cellStyle name="Input 16 3 2 2 2" xfId="19293"/>
    <cellStyle name="Input 16 3 2 3" xfId="19294"/>
    <cellStyle name="Input 16 3 2 3 2" xfId="19295"/>
    <cellStyle name="Input 16 3 2 4" xfId="19296"/>
    <cellStyle name="Input 16 3 2 4 2" xfId="19297"/>
    <cellStyle name="Input 16 3 2 5" xfId="19298"/>
    <cellStyle name="Input 16 3 2 6" xfId="19299"/>
    <cellStyle name="Input 16 3 2 7" xfId="19300"/>
    <cellStyle name="Input 16 3 2 8" xfId="19301"/>
    <cellStyle name="Input 16 3 2 9" xfId="19302"/>
    <cellStyle name="Input 16 3 3" xfId="4701"/>
    <cellStyle name="Input 16 3 3 2" xfId="19304"/>
    <cellStyle name="Input 16 3 3 2 2" xfId="19305"/>
    <cellStyle name="Input 16 3 3 3" xfId="19306"/>
    <cellStyle name="Input 16 3 3 3 2" xfId="19307"/>
    <cellStyle name="Input 16 3 3 4" xfId="19308"/>
    <cellStyle name="Input 16 3 3 5" xfId="19309"/>
    <cellStyle name="Input 16 3 3 6" xfId="19310"/>
    <cellStyle name="Input 16 3 3 7" xfId="19303"/>
    <cellStyle name="Input 16 3 4" xfId="8334"/>
    <cellStyle name="Input 16 3 5" xfId="19311"/>
    <cellStyle name="Input 16 3 6" xfId="19312"/>
    <cellStyle name="Input 16 3 7" xfId="19313"/>
    <cellStyle name="Input 16 3 8" xfId="43596"/>
    <cellStyle name="Input 16 4" xfId="4703"/>
    <cellStyle name="Input 16 4 10" xfId="19314"/>
    <cellStyle name="Input 16 4 11" xfId="43713"/>
    <cellStyle name="Input 16 4 2" xfId="19315"/>
    <cellStyle name="Input 16 4 2 2" xfId="19316"/>
    <cellStyle name="Input 16 4 2 3" xfId="19317"/>
    <cellStyle name="Input 16 4 3" xfId="19318"/>
    <cellStyle name="Input 16 4 3 2" xfId="19319"/>
    <cellStyle name="Input 16 4 4" xfId="19320"/>
    <cellStyle name="Input 16 4 4 2" xfId="19321"/>
    <cellStyle name="Input 16 4 5" xfId="19322"/>
    <cellStyle name="Input 16 4 6" xfId="19323"/>
    <cellStyle name="Input 16 4 7" xfId="19324"/>
    <cellStyle name="Input 16 4 8" xfId="19325"/>
    <cellStyle name="Input 16 4 9" xfId="19326"/>
    <cellStyle name="Input 16 5" xfId="4704"/>
    <cellStyle name="Input 16 5 10" xfId="19327"/>
    <cellStyle name="Input 16 5 11" xfId="43792"/>
    <cellStyle name="Input 16 5 2" xfId="19328"/>
    <cellStyle name="Input 16 5 2 2" xfId="19329"/>
    <cellStyle name="Input 16 5 2 3" xfId="19330"/>
    <cellStyle name="Input 16 5 3" xfId="19331"/>
    <cellStyle name="Input 16 5 3 2" xfId="19332"/>
    <cellStyle name="Input 16 5 4" xfId="19333"/>
    <cellStyle name="Input 16 5 4 2" xfId="19334"/>
    <cellStyle name="Input 16 5 5" xfId="19335"/>
    <cellStyle name="Input 16 5 6" xfId="19336"/>
    <cellStyle name="Input 16 5 7" xfId="19337"/>
    <cellStyle name="Input 16 5 8" xfId="19338"/>
    <cellStyle name="Input 16 5 9" xfId="19339"/>
    <cellStyle name="Input 16 6" xfId="4705"/>
    <cellStyle name="Input 16 6 2" xfId="4706"/>
    <cellStyle name="Input 16 6 2 2" xfId="19342"/>
    <cellStyle name="Input 16 6 2 3" xfId="19341"/>
    <cellStyle name="Input 16 6 3" xfId="19343"/>
    <cellStyle name="Input 16 6 3 2" xfId="19344"/>
    <cellStyle name="Input 16 6 4" xfId="19345"/>
    <cellStyle name="Input 16 6 5" xfId="19346"/>
    <cellStyle name="Input 16 6 6" xfId="19347"/>
    <cellStyle name="Input 16 6 7" xfId="19340"/>
    <cellStyle name="Input 16 7" xfId="4707"/>
    <cellStyle name="Input 16 7 2" xfId="5198"/>
    <cellStyle name="Input 16 7 3" xfId="19348"/>
    <cellStyle name="Input 16 8" xfId="5199"/>
    <cellStyle name="Input 16 8 2" xfId="19349"/>
    <cellStyle name="Input 16 9" xfId="5200"/>
    <cellStyle name="Input 16 9 2" xfId="19350"/>
    <cellStyle name="Input 17" xfId="1268"/>
    <cellStyle name="Input 17 10" xfId="5201"/>
    <cellStyle name="Input 17 10 2" xfId="19351"/>
    <cellStyle name="Input 17 11" xfId="8010"/>
    <cellStyle name="Input 17 12" xfId="40608"/>
    <cellStyle name="Input 17 2" xfId="1269"/>
    <cellStyle name="Input 17 2 10" xfId="19352"/>
    <cellStyle name="Input 17 2 11" xfId="43597"/>
    <cellStyle name="Input 17 2 2" xfId="4709"/>
    <cellStyle name="Input 17 2 2 10" xfId="19353"/>
    <cellStyle name="Input 17 2 2 2" xfId="19354"/>
    <cellStyle name="Input 17 2 2 2 2" xfId="19355"/>
    <cellStyle name="Input 17 2 2 2 3" xfId="19356"/>
    <cellStyle name="Input 17 2 2 3" xfId="19357"/>
    <cellStyle name="Input 17 2 2 3 2" xfId="19358"/>
    <cellStyle name="Input 17 2 2 4" xfId="19359"/>
    <cellStyle name="Input 17 2 2 4 2" xfId="19360"/>
    <cellStyle name="Input 17 2 2 5" xfId="19361"/>
    <cellStyle name="Input 17 2 2 6" xfId="19362"/>
    <cellStyle name="Input 17 2 2 7" xfId="19363"/>
    <cellStyle name="Input 17 2 2 8" xfId="19364"/>
    <cellStyle name="Input 17 2 2 9" xfId="19365"/>
    <cellStyle name="Input 17 2 3" xfId="4710"/>
    <cellStyle name="Input 17 2 3 2" xfId="19367"/>
    <cellStyle name="Input 17 2 3 2 2" xfId="19368"/>
    <cellStyle name="Input 17 2 3 2 3" xfId="19369"/>
    <cellStyle name="Input 17 2 3 3" xfId="19370"/>
    <cellStyle name="Input 17 2 3 3 2" xfId="19371"/>
    <cellStyle name="Input 17 2 3 4" xfId="19372"/>
    <cellStyle name="Input 17 2 3 5" xfId="19373"/>
    <cellStyle name="Input 17 2 3 6" xfId="19374"/>
    <cellStyle name="Input 17 2 3 7" xfId="19366"/>
    <cellStyle name="Input 17 2 4" xfId="5320"/>
    <cellStyle name="Input 17 2 4 2" xfId="4711"/>
    <cellStyle name="Input 17 2 4 2 2" xfId="19376"/>
    <cellStyle name="Input 17 2 4 3" xfId="19375"/>
    <cellStyle name="Input 17 2 5" xfId="4712"/>
    <cellStyle name="Input 17 2 5 2" xfId="4713"/>
    <cellStyle name="Input 17 2 5 3" xfId="19377"/>
    <cellStyle name="Input 17 2 6" xfId="4714"/>
    <cellStyle name="Input 17 2 6 2" xfId="19378"/>
    <cellStyle name="Input 17 2 7" xfId="4715"/>
    <cellStyle name="Input 17 2 7 2" xfId="19379"/>
    <cellStyle name="Input 17 2 8" xfId="4708"/>
    <cellStyle name="Input 17 2 9" xfId="8011"/>
    <cellStyle name="Input 17 3" xfId="2732"/>
    <cellStyle name="Input 17 3 2" xfId="4716"/>
    <cellStyle name="Input 17 3 2 10" xfId="19380"/>
    <cellStyle name="Input 17 3 2 2" xfId="19381"/>
    <cellStyle name="Input 17 3 2 2 2" xfId="19382"/>
    <cellStyle name="Input 17 3 2 3" xfId="19383"/>
    <cellStyle name="Input 17 3 2 3 2" xfId="19384"/>
    <cellStyle name="Input 17 3 2 4" xfId="19385"/>
    <cellStyle name="Input 17 3 2 4 2" xfId="19386"/>
    <cellStyle name="Input 17 3 2 5" xfId="19387"/>
    <cellStyle name="Input 17 3 2 6" xfId="19388"/>
    <cellStyle name="Input 17 3 2 7" xfId="19389"/>
    <cellStyle name="Input 17 3 2 8" xfId="19390"/>
    <cellStyle name="Input 17 3 2 9" xfId="19391"/>
    <cellStyle name="Input 17 3 3" xfId="5202"/>
    <cellStyle name="Input 17 3 3 2" xfId="19393"/>
    <cellStyle name="Input 17 3 3 2 2" xfId="19394"/>
    <cellStyle name="Input 17 3 3 3" xfId="19395"/>
    <cellStyle name="Input 17 3 3 3 2" xfId="19396"/>
    <cellStyle name="Input 17 3 3 4" xfId="19397"/>
    <cellStyle name="Input 17 3 3 5" xfId="19398"/>
    <cellStyle name="Input 17 3 3 6" xfId="19399"/>
    <cellStyle name="Input 17 3 3 7" xfId="19392"/>
    <cellStyle name="Input 17 3 4" xfId="8335"/>
    <cellStyle name="Input 17 3 5" xfId="19400"/>
    <cellStyle name="Input 17 3 6" xfId="19401"/>
    <cellStyle name="Input 17 3 7" xfId="19402"/>
    <cellStyle name="Input 17 3 8" xfId="43709"/>
    <cellStyle name="Input 17 4" xfId="4717"/>
    <cellStyle name="Input 17 4 10" xfId="19403"/>
    <cellStyle name="Input 17 4 11" xfId="45260"/>
    <cellStyle name="Input 17 4 2" xfId="19404"/>
    <cellStyle name="Input 17 4 2 2" xfId="19405"/>
    <cellStyle name="Input 17 4 2 3" xfId="19406"/>
    <cellStyle name="Input 17 4 3" xfId="19407"/>
    <cellStyle name="Input 17 4 3 2" xfId="19408"/>
    <cellStyle name="Input 17 4 4" xfId="19409"/>
    <cellStyle name="Input 17 4 4 2" xfId="19410"/>
    <cellStyle name="Input 17 4 5" xfId="19411"/>
    <cellStyle name="Input 17 4 6" xfId="19412"/>
    <cellStyle name="Input 17 4 7" xfId="19413"/>
    <cellStyle name="Input 17 4 8" xfId="19414"/>
    <cellStyle name="Input 17 4 9" xfId="19415"/>
    <cellStyle name="Input 17 5" xfId="4718"/>
    <cellStyle name="Input 17 5 10" xfId="19416"/>
    <cellStyle name="Input 17 5 2" xfId="19417"/>
    <cellStyle name="Input 17 5 2 2" xfId="19418"/>
    <cellStyle name="Input 17 5 2 3" xfId="19419"/>
    <cellStyle name="Input 17 5 3" xfId="19420"/>
    <cellStyle name="Input 17 5 3 2" xfId="19421"/>
    <cellStyle name="Input 17 5 4" xfId="19422"/>
    <cellStyle name="Input 17 5 4 2" xfId="19423"/>
    <cellStyle name="Input 17 5 5" xfId="19424"/>
    <cellStyle name="Input 17 5 6" xfId="19425"/>
    <cellStyle name="Input 17 5 7" xfId="19426"/>
    <cellStyle name="Input 17 5 8" xfId="19427"/>
    <cellStyle name="Input 17 5 9" xfId="19428"/>
    <cellStyle name="Input 17 6" xfId="4719"/>
    <cellStyle name="Input 17 6 2" xfId="4720"/>
    <cellStyle name="Input 17 6 2 2" xfId="19431"/>
    <cellStyle name="Input 17 6 2 3" xfId="19430"/>
    <cellStyle name="Input 17 6 3" xfId="19432"/>
    <cellStyle name="Input 17 6 3 2" xfId="19433"/>
    <cellStyle name="Input 17 6 4" xfId="19434"/>
    <cellStyle name="Input 17 6 5" xfId="19435"/>
    <cellStyle name="Input 17 6 6" xfId="19436"/>
    <cellStyle name="Input 17 6 7" xfId="19429"/>
    <cellStyle name="Input 17 7" xfId="4721"/>
    <cellStyle name="Input 17 7 2" xfId="4722"/>
    <cellStyle name="Input 17 7 3" xfId="19437"/>
    <cellStyle name="Input 17 8" xfId="5424"/>
    <cellStyle name="Input 17 8 2" xfId="19438"/>
    <cellStyle name="Input 17 9" xfId="4723"/>
    <cellStyle name="Input 17 9 2" xfId="19439"/>
    <cellStyle name="Input 18" xfId="1270"/>
    <cellStyle name="Input 18 10" xfId="19440"/>
    <cellStyle name="Input 18 11" xfId="40609"/>
    <cellStyle name="Input 18 2" xfId="2733"/>
    <cellStyle name="Input 18 2 2" xfId="8336"/>
    <cellStyle name="Input 18 2 2 2" xfId="19441"/>
    <cellStyle name="Input 18 2 2 2 2" xfId="19442"/>
    <cellStyle name="Input 18 2 2 2 3" xfId="19443"/>
    <cellStyle name="Input 18 2 2 3" xfId="19444"/>
    <cellStyle name="Input 18 2 2 3 2" xfId="19445"/>
    <cellStyle name="Input 18 2 2 4" xfId="19446"/>
    <cellStyle name="Input 18 2 2 4 2" xfId="19447"/>
    <cellStyle name="Input 18 2 2 5" xfId="19448"/>
    <cellStyle name="Input 18 2 2 6" xfId="19449"/>
    <cellStyle name="Input 18 2 2 7" xfId="19450"/>
    <cellStyle name="Input 18 2 2 8" xfId="19451"/>
    <cellStyle name="Input 18 2 2 9" xfId="19452"/>
    <cellStyle name="Input 18 2 3" xfId="19453"/>
    <cellStyle name="Input 18 2 3 2" xfId="19454"/>
    <cellStyle name="Input 18 2 3 2 2" xfId="19455"/>
    <cellStyle name="Input 18 2 3 2 3" xfId="19456"/>
    <cellStyle name="Input 18 2 3 3" xfId="19457"/>
    <cellStyle name="Input 18 2 3 3 2" xfId="19458"/>
    <cellStyle name="Input 18 2 3 4" xfId="19459"/>
    <cellStyle name="Input 18 2 3 5" xfId="19460"/>
    <cellStyle name="Input 18 2 3 6" xfId="19461"/>
    <cellStyle name="Input 18 2 4" xfId="19462"/>
    <cellStyle name="Input 18 2 4 2" xfId="19463"/>
    <cellStyle name="Input 18 2 5" xfId="19464"/>
    <cellStyle name="Input 18 2 6" xfId="19465"/>
    <cellStyle name="Input 18 2 7" xfId="19466"/>
    <cellStyle name="Input 18 2 8" xfId="43598"/>
    <cellStyle name="Input 18 3" xfId="4724"/>
    <cellStyle name="Input 18 3 2" xfId="19468"/>
    <cellStyle name="Input 18 3 2 2" xfId="19469"/>
    <cellStyle name="Input 18 3 2 2 2" xfId="19470"/>
    <cellStyle name="Input 18 3 2 3" xfId="19471"/>
    <cellStyle name="Input 18 3 2 3 2" xfId="19472"/>
    <cellStyle name="Input 18 3 2 4" xfId="19473"/>
    <cellStyle name="Input 18 3 2 4 2" xfId="19474"/>
    <cellStyle name="Input 18 3 2 5" xfId="19475"/>
    <cellStyle name="Input 18 3 2 6" xfId="19476"/>
    <cellStyle name="Input 18 3 2 7" xfId="19477"/>
    <cellStyle name="Input 18 3 2 8" xfId="19478"/>
    <cellStyle name="Input 18 3 2 9" xfId="19479"/>
    <cellStyle name="Input 18 3 3" xfId="19480"/>
    <cellStyle name="Input 18 3 3 2" xfId="19481"/>
    <cellStyle name="Input 18 3 3 2 2" xfId="19482"/>
    <cellStyle name="Input 18 3 3 3" xfId="19483"/>
    <cellStyle name="Input 18 3 3 3 2" xfId="19484"/>
    <cellStyle name="Input 18 3 3 4" xfId="19485"/>
    <cellStyle name="Input 18 3 3 5" xfId="19486"/>
    <cellStyle name="Input 18 3 3 6" xfId="19487"/>
    <cellStyle name="Input 18 3 4" xfId="19488"/>
    <cellStyle name="Input 18 3 5" xfId="19489"/>
    <cellStyle name="Input 18 3 6" xfId="19490"/>
    <cellStyle name="Input 18 3 7" xfId="19491"/>
    <cellStyle name="Input 18 3 8" xfId="19467"/>
    <cellStyle name="Input 18 3 9" xfId="43815"/>
    <cellStyle name="Input 18 4" xfId="4725"/>
    <cellStyle name="Input 18 4 10" xfId="19492"/>
    <cellStyle name="Input 18 4 11" xfId="44115"/>
    <cellStyle name="Input 18 4 2" xfId="4726"/>
    <cellStyle name="Input 18 4 2 2" xfId="19494"/>
    <cellStyle name="Input 18 4 2 3" xfId="19495"/>
    <cellStyle name="Input 18 4 2 4" xfId="19493"/>
    <cellStyle name="Input 18 4 3" xfId="19496"/>
    <cellStyle name="Input 18 4 3 2" xfId="19497"/>
    <cellStyle name="Input 18 4 4" xfId="19498"/>
    <cellStyle name="Input 18 4 4 2" xfId="19499"/>
    <cellStyle name="Input 18 4 5" xfId="19500"/>
    <cellStyle name="Input 18 4 6" xfId="19501"/>
    <cellStyle name="Input 18 4 7" xfId="19502"/>
    <cellStyle name="Input 18 4 8" xfId="19503"/>
    <cellStyle name="Input 18 4 9" xfId="19504"/>
    <cellStyle name="Input 18 5" xfId="4727"/>
    <cellStyle name="Input 18 5 10" xfId="19505"/>
    <cellStyle name="Input 18 5 2" xfId="5203"/>
    <cellStyle name="Input 18 5 2 2" xfId="19507"/>
    <cellStyle name="Input 18 5 2 3" xfId="19508"/>
    <cellStyle name="Input 18 5 2 4" xfId="19506"/>
    <cellStyle name="Input 18 5 3" xfId="19509"/>
    <cellStyle name="Input 18 5 3 2" xfId="19510"/>
    <cellStyle name="Input 18 5 4" xfId="19511"/>
    <cellStyle name="Input 18 5 4 2" xfId="19512"/>
    <cellStyle name="Input 18 5 5" xfId="19513"/>
    <cellStyle name="Input 18 5 6" xfId="19514"/>
    <cellStyle name="Input 18 5 7" xfId="19515"/>
    <cellStyle name="Input 18 5 8" xfId="19516"/>
    <cellStyle name="Input 18 5 9" xfId="19517"/>
    <cellStyle name="Input 18 6" xfId="4728"/>
    <cellStyle name="Input 18 6 2" xfId="19519"/>
    <cellStyle name="Input 18 6 2 2" xfId="19520"/>
    <cellStyle name="Input 18 6 3" xfId="19521"/>
    <cellStyle name="Input 18 6 3 2" xfId="19522"/>
    <cellStyle name="Input 18 6 4" xfId="19523"/>
    <cellStyle name="Input 18 6 5" xfId="19524"/>
    <cellStyle name="Input 18 6 6" xfId="19525"/>
    <cellStyle name="Input 18 6 7" xfId="19518"/>
    <cellStyle name="Input 18 7" xfId="4914"/>
    <cellStyle name="Input 18 7 2" xfId="19526"/>
    <cellStyle name="Input 18 8" xfId="8012"/>
    <cellStyle name="Input 18 8 2" xfId="19527"/>
    <cellStyle name="Input 18 9" xfId="19528"/>
    <cellStyle name="Input 19" xfId="1271"/>
    <cellStyle name="Input 19 10" xfId="19529"/>
    <cellStyle name="Input 19 11" xfId="40610"/>
    <cellStyle name="Input 19 2" xfId="2734"/>
    <cellStyle name="Input 19 2 2" xfId="8337"/>
    <cellStyle name="Input 19 2 2 2" xfId="19530"/>
    <cellStyle name="Input 19 2 2 2 2" xfId="19531"/>
    <cellStyle name="Input 19 2 2 2 3" xfId="19532"/>
    <cellStyle name="Input 19 2 2 3" xfId="19533"/>
    <cellStyle name="Input 19 2 2 3 2" xfId="19534"/>
    <cellStyle name="Input 19 2 2 4" xfId="19535"/>
    <cellStyle name="Input 19 2 2 4 2" xfId="19536"/>
    <cellStyle name="Input 19 2 2 5" xfId="19537"/>
    <cellStyle name="Input 19 2 2 6" xfId="19538"/>
    <cellStyle name="Input 19 2 2 7" xfId="19539"/>
    <cellStyle name="Input 19 2 2 8" xfId="19540"/>
    <cellStyle name="Input 19 2 2 9" xfId="19541"/>
    <cellStyle name="Input 19 2 3" xfId="19542"/>
    <cellStyle name="Input 19 2 3 2" xfId="19543"/>
    <cellStyle name="Input 19 2 3 2 2" xfId="19544"/>
    <cellStyle name="Input 19 2 3 2 3" xfId="19545"/>
    <cellStyle name="Input 19 2 3 3" xfId="19546"/>
    <cellStyle name="Input 19 2 3 3 2" xfId="19547"/>
    <cellStyle name="Input 19 2 3 4" xfId="19548"/>
    <cellStyle name="Input 19 2 3 5" xfId="19549"/>
    <cellStyle name="Input 19 2 3 6" xfId="19550"/>
    <cellStyle name="Input 19 2 4" xfId="19551"/>
    <cellStyle name="Input 19 2 4 2" xfId="19552"/>
    <cellStyle name="Input 19 2 5" xfId="19553"/>
    <cellStyle name="Input 19 2 6" xfId="19554"/>
    <cellStyle name="Input 19 2 7" xfId="19555"/>
    <cellStyle name="Input 19 2 8" xfId="43599"/>
    <cellStyle name="Input 19 3" xfId="4915"/>
    <cellStyle name="Input 19 3 2" xfId="19557"/>
    <cellStyle name="Input 19 3 2 2" xfId="19558"/>
    <cellStyle name="Input 19 3 2 2 2" xfId="19559"/>
    <cellStyle name="Input 19 3 2 3" xfId="19560"/>
    <cellStyle name="Input 19 3 2 3 2" xfId="19561"/>
    <cellStyle name="Input 19 3 2 4" xfId="19562"/>
    <cellStyle name="Input 19 3 2 4 2" xfId="19563"/>
    <cellStyle name="Input 19 3 2 5" xfId="19564"/>
    <cellStyle name="Input 19 3 2 6" xfId="19565"/>
    <cellStyle name="Input 19 3 2 7" xfId="19566"/>
    <cellStyle name="Input 19 3 2 8" xfId="19567"/>
    <cellStyle name="Input 19 3 2 9" xfId="19568"/>
    <cellStyle name="Input 19 3 3" xfId="19569"/>
    <cellStyle name="Input 19 3 3 2" xfId="19570"/>
    <cellStyle name="Input 19 3 3 2 2" xfId="19571"/>
    <cellStyle name="Input 19 3 3 3" xfId="19572"/>
    <cellStyle name="Input 19 3 3 3 2" xfId="19573"/>
    <cellStyle name="Input 19 3 3 4" xfId="19574"/>
    <cellStyle name="Input 19 3 3 5" xfId="19575"/>
    <cellStyle name="Input 19 3 3 6" xfId="19576"/>
    <cellStyle name="Input 19 3 4" xfId="19577"/>
    <cellStyle name="Input 19 3 5" xfId="19578"/>
    <cellStyle name="Input 19 3 6" xfId="19579"/>
    <cellStyle name="Input 19 3 7" xfId="19580"/>
    <cellStyle name="Input 19 3 8" xfId="19556"/>
    <cellStyle name="Input 19 3 9" xfId="43733"/>
    <cellStyle name="Input 19 4" xfId="4916"/>
    <cellStyle name="Input 19 4 10" xfId="19581"/>
    <cellStyle name="Input 19 4 11" xfId="44116"/>
    <cellStyle name="Input 19 4 2" xfId="4917"/>
    <cellStyle name="Input 19 4 2 2" xfId="19583"/>
    <cellStyle name="Input 19 4 2 3" xfId="19584"/>
    <cellStyle name="Input 19 4 2 4" xfId="19582"/>
    <cellStyle name="Input 19 4 3" xfId="19585"/>
    <cellStyle name="Input 19 4 3 2" xfId="19586"/>
    <cellStyle name="Input 19 4 4" xfId="19587"/>
    <cellStyle name="Input 19 4 4 2" xfId="19588"/>
    <cellStyle name="Input 19 4 5" xfId="19589"/>
    <cellStyle name="Input 19 4 6" xfId="19590"/>
    <cellStyle name="Input 19 4 7" xfId="19591"/>
    <cellStyle name="Input 19 4 8" xfId="19592"/>
    <cellStyle name="Input 19 4 9" xfId="19593"/>
    <cellStyle name="Input 19 5" xfId="4918"/>
    <cellStyle name="Input 19 5 10" xfId="19594"/>
    <cellStyle name="Input 19 5 2" xfId="4919"/>
    <cellStyle name="Input 19 5 2 2" xfId="19596"/>
    <cellStyle name="Input 19 5 2 3" xfId="19597"/>
    <cellStyle name="Input 19 5 2 4" xfId="19595"/>
    <cellStyle name="Input 19 5 3" xfId="19598"/>
    <cellStyle name="Input 19 5 3 2" xfId="19599"/>
    <cellStyle name="Input 19 5 4" xfId="19600"/>
    <cellStyle name="Input 19 5 4 2" xfId="19601"/>
    <cellStyle name="Input 19 5 5" xfId="19602"/>
    <cellStyle name="Input 19 5 6" xfId="19603"/>
    <cellStyle name="Input 19 5 7" xfId="19604"/>
    <cellStyle name="Input 19 5 8" xfId="19605"/>
    <cellStyle name="Input 19 5 9" xfId="19606"/>
    <cellStyle name="Input 19 6" xfId="4920"/>
    <cellStyle name="Input 19 6 2" xfId="19608"/>
    <cellStyle name="Input 19 6 2 2" xfId="19609"/>
    <cellStyle name="Input 19 6 3" xfId="19610"/>
    <cellStyle name="Input 19 6 3 2" xfId="19611"/>
    <cellStyle name="Input 19 6 4" xfId="19612"/>
    <cellStyle name="Input 19 6 5" xfId="19613"/>
    <cellStyle name="Input 19 6 6" xfId="19614"/>
    <cellStyle name="Input 19 6 7" xfId="19607"/>
    <cellStyle name="Input 19 7" xfId="4921"/>
    <cellStyle name="Input 19 7 2" xfId="19615"/>
    <cellStyle name="Input 19 8" xfId="8013"/>
    <cellStyle name="Input 19 8 2" xfId="19616"/>
    <cellStyle name="Input 19 9" xfId="19617"/>
    <cellStyle name="Input 2" xfId="1272"/>
    <cellStyle name="Input 2 10" xfId="19618"/>
    <cellStyle name="Input 2 11" xfId="40611"/>
    <cellStyle name="Input 2 2" xfId="1273"/>
    <cellStyle name="Input 2 2 10" xfId="40872"/>
    <cellStyle name="Input 2 2 2" xfId="1274"/>
    <cellStyle name="Input 2 2 2 10" xfId="41514"/>
    <cellStyle name="Input 2 2 2 2" xfId="8016"/>
    <cellStyle name="Input 2 2 2 2 2" xfId="19620"/>
    <cellStyle name="Input 2 2 2 2 2 2" xfId="19621"/>
    <cellStyle name="Input 2 2 2 2 3" xfId="19622"/>
    <cellStyle name="Input 2 2 2 2 4" xfId="43797"/>
    <cellStyle name="Input 2 2 2 3" xfId="19623"/>
    <cellStyle name="Input 2 2 2 3 2" xfId="19624"/>
    <cellStyle name="Input 2 2 2 3 3" xfId="19625"/>
    <cellStyle name="Input 2 2 2 3 4" xfId="45275"/>
    <cellStyle name="Input 2 2 2 4" xfId="19626"/>
    <cellStyle name="Input 2 2 2 4 2" xfId="19627"/>
    <cellStyle name="Input 2 2 2 4 3" xfId="45323"/>
    <cellStyle name="Input 2 2 2 5" xfId="19628"/>
    <cellStyle name="Input 2 2 2 6" xfId="19629"/>
    <cellStyle name="Input 2 2 2 7" xfId="19630"/>
    <cellStyle name="Input 2 2 2 8" xfId="19631"/>
    <cellStyle name="Input 2 2 2 9" xfId="19632"/>
    <cellStyle name="Input 2 2 3" xfId="5425"/>
    <cellStyle name="Input 2 2 3 10" xfId="19633"/>
    <cellStyle name="Input 2 2 3 11" xfId="41906"/>
    <cellStyle name="Input 2 2 3 2" xfId="19634"/>
    <cellStyle name="Input 2 2 3 2 2" xfId="19635"/>
    <cellStyle name="Input 2 2 3 2 3" xfId="19636"/>
    <cellStyle name="Input 2 2 3 2 4" xfId="43952"/>
    <cellStyle name="Input 2 2 3 3" xfId="19637"/>
    <cellStyle name="Input 2 2 3 3 2" xfId="19638"/>
    <cellStyle name="Input 2 2 3 3 3" xfId="43585"/>
    <cellStyle name="Input 2 2 3 4" xfId="19639"/>
    <cellStyle name="Input 2 2 3 4 2" xfId="19640"/>
    <cellStyle name="Input 2 2 3 4 3" xfId="43727"/>
    <cellStyle name="Input 2 2 3 5" xfId="19641"/>
    <cellStyle name="Input 2 2 3 6" xfId="19642"/>
    <cellStyle name="Input 2 2 3 7" xfId="19643"/>
    <cellStyle name="Input 2 2 3 8" xfId="19644"/>
    <cellStyle name="Input 2 2 3 9" xfId="19645"/>
    <cellStyle name="Input 2 2 4" xfId="4922"/>
    <cellStyle name="Input 2 2 4 2" xfId="4923"/>
    <cellStyle name="Input 2 2 4 2 2" xfId="19647"/>
    <cellStyle name="Input 2 2 4 3" xfId="19648"/>
    <cellStyle name="Input 2 2 4 4" xfId="19649"/>
    <cellStyle name="Input 2 2 4 5" xfId="19646"/>
    <cellStyle name="Input 2 2 4 6" xfId="43671"/>
    <cellStyle name="Input 2 2 5" xfId="4924"/>
    <cellStyle name="Input 2 2 5 2" xfId="5204"/>
    <cellStyle name="Input 2 2 5 3" xfId="19650"/>
    <cellStyle name="Input 2 2 5 4" xfId="45269"/>
    <cellStyle name="Input 2 2 6" xfId="5205"/>
    <cellStyle name="Input 2 2 6 2" xfId="45335"/>
    <cellStyle name="Input 2 2 7" xfId="5206"/>
    <cellStyle name="Input 2 2 8" xfId="8015"/>
    <cellStyle name="Input 2 2 9" xfId="19619"/>
    <cellStyle name="Input 2 3" xfId="1275"/>
    <cellStyle name="Input 2 3 2" xfId="1276"/>
    <cellStyle name="Input 2 3 2 10" xfId="43945"/>
    <cellStyle name="Input 2 3 2 2" xfId="8018"/>
    <cellStyle name="Input 2 3 2 2 2" xfId="19651"/>
    <cellStyle name="Input 2 3 2 2 3" xfId="19652"/>
    <cellStyle name="Input 2 3 2 3" xfId="19653"/>
    <cellStyle name="Input 2 3 2 3 2" xfId="19654"/>
    <cellStyle name="Input 2 3 2 4" xfId="19655"/>
    <cellStyle name="Input 2 3 2 4 2" xfId="19656"/>
    <cellStyle name="Input 2 3 2 5" xfId="19657"/>
    <cellStyle name="Input 2 3 2 6" xfId="19658"/>
    <cellStyle name="Input 2 3 2 7" xfId="19659"/>
    <cellStyle name="Input 2 3 2 8" xfId="19660"/>
    <cellStyle name="Input 2 3 2 9" xfId="19661"/>
    <cellStyle name="Input 2 3 3" xfId="8017"/>
    <cellStyle name="Input 2 3 3 2" xfId="19662"/>
    <cellStyle name="Input 2 3 3 2 2" xfId="19663"/>
    <cellStyle name="Input 2 3 3 2 3" xfId="19664"/>
    <cellStyle name="Input 2 3 3 3" xfId="19665"/>
    <cellStyle name="Input 2 3 3 3 2" xfId="19666"/>
    <cellStyle name="Input 2 3 3 4" xfId="19667"/>
    <cellStyle name="Input 2 3 3 5" xfId="19668"/>
    <cellStyle name="Input 2 3 3 6" xfId="19669"/>
    <cellStyle name="Input 2 3 3 7" xfId="43784"/>
    <cellStyle name="Input 2 3 4" xfId="19670"/>
    <cellStyle name="Input 2 3 4 2" xfId="19671"/>
    <cellStyle name="Input 2 3 4 3" xfId="45295"/>
    <cellStyle name="Input 2 3 5" xfId="19672"/>
    <cellStyle name="Input 2 3 6" xfId="19673"/>
    <cellStyle name="Input 2 3 7" xfId="19674"/>
    <cellStyle name="Input 2 3 8" xfId="41846"/>
    <cellStyle name="Input 2 4" xfId="1277"/>
    <cellStyle name="Input 2 4 10" xfId="40760"/>
    <cellStyle name="Input 2 4 2" xfId="1278"/>
    <cellStyle name="Input 2 4 2 2" xfId="8020"/>
    <cellStyle name="Input 2 4 2 3" xfId="19675"/>
    <cellStyle name="Input 2 4 2 4" xfId="43654"/>
    <cellStyle name="Input 2 4 3" xfId="8019"/>
    <cellStyle name="Input 2 4 3 2" xfId="19676"/>
    <cellStyle name="Input 2 4 3 3" xfId="43635"/>
    <cellStyle name="Input 2 4 4" xfId="19677"/>
    <cellStyle name="Input 2 4 4 2" xfId="19678"/>
    <cellStyle name="Input 2 4 4 3" xfId="43668"/>
    <cellStyle name="Input 2 4 5" xfId="19679"/>
    <cellStyle name="Input 2 4 6" xfId="19680"/>
    <cellStyle name="Input 2 4 7" xfId="19681"/>
    <cellStyle name="Input 2 4 8" xfId="19682"/>
    <cellStyle name="Input 2 4 9" xfId="19683"/>
    <cellStyle name="Input 2 5" xfId="1279"/>
    <cellStyle name="Input 2 5 10" xfId="43600"/>
    <cellStyle name="Input 2 5 2" xfId="5207"/>
    <cellStyle name="Input 2 5 2 2" xfId="19685"/>
    <cellStyle name="Input 2 5 2 3" xfId="19686"/>
    <cellStyle name="Input 2 5 2 4" xfId="19684"/>
    <cellStyle name="Input 2 5 3" xfId="8021"/>
    <cellStyle name="Input 2 5 3 2" xfId="19687"/>
    <cellStyle name="Input 2 5 4" xfId="19688"/>
    <cellStyle name="Input 2 5 4 2" xfId="19689"/>
    <cellStyle name="Input 2 5 5" xfId="19690"/>
    <cellStyle name="Input 2 5 6" xfId="19691"/>
    <cellStyle name="Input 2 5 7" xfId="19692"/>
    <cellStyle name="Input 2 5 8" xfId="19693"/>
    <cellStyle name="Input 2 5 9" xfId="19694"/>
    <cellStyle name="Input 2 6" xfId="4729"/>
    <cellStyle name="Input 2 6 2" xfId="4730"/>
    <cellStyle name="Input 2 6 2 2" xfId="19697"/>
    <cellStyle name="Input 2 6 2 3" xfId="19696"/>
    <cellStyle name="Input 2 6 3" xfId="19698"/>
    <cellStyle name="Input 2 6 3 2" xfId="19699"/>
    <cellStyle name="Input 2 6 4" xfId="19700"/>
    <cellStyle name="Input 2 6 5" xfId="19701"/>
    <cellStyle name="Input 2 6 6" xfId="19702"/>
    <cellStyle name="Input 2 6 7" xfId="19695"/>
    <cellStyle name="Input 2 6 8" xfId="43718"/>
    <cellStyle name="Input 2 7" xfId="4925"/>
    <cellStyle name="Input 2 7 2" xfId="19703"/>
    <cellStyle name="Input 2 7 3" xfId="43694"/>
    <cellStyle name="Input 2 8" xfId="5208"/>
    <cellStyle name="Input 2 8 2" xfId="19704"/>
    <cellStyle name="Input 2 9" xfId="8014"/>
    <cellStyle name="Input 20" xfId="1280"/>
    <cellStyle name="Input 20 10" xfId="19705"/>
    <cellStyle name="Input 20 11" xfId="40612"/>
    <cellStyle name="Input 20 2" xfId="2735"/>
    <cellStyle name="Input 20 2 2" xfId="8338"/>
    <cellStyle name="Input 20 2 2 2" xfId="19706"/>
    <cellStyle name="Input 20 2 2 2 2" xfId="19707"/>
    <cellStyle name="Input 20 2 2 2 3" xfId="19708"/>
    <cellStyle name="Input 20 2 2 3" xfId="19709"/>
    <cellStyle name="Input 20 2 2 3 2" xfId="19710"/>
    <cellStyle name="Input 20 2 2 4" xfId="19711"/>
    <cellStyle name="Input 20 2 2 4 2" xfId="19712"/>
    <cellStyle name="Input 20 2 2 5" xfId="19713"/>
    <cellStyle name="Input 20 2 2 6" xfId="19714"/>
    <cellStyle name="Input 20 2 2 7" xfId="19715"/>
    <cellStyle name="Input 20 2 2 8" xfId="19716"/>
    <cellStyle name="Input 20 2 2 9" xfId="19717"/>
    <cellStyle name="Input 20 2 3" xfId="19718"/>
    <cellStyle name="Input 20 2 3 2" xfId="19719"/>
    <cellStyle name="Input 20 2 3 2 2" xfId="19720"/>
    <cellStyle name="Input 20 2 3 2 3" xfId="19721"/>
    <cellStyle name="Input 20 2 3 3" xfId="19722"/>
    <cellStyle name="Input 20 2 3 3 2" xfId="19723"/>
    <cellStyle name="Input 20 2 3 4" xfId="19724"/>
    <cellStyle name="Input 20 2 3 5" xfId="19725"/>
    <cellStyle name="Input 20 2 3 6" xfId="19726"/>
    <cellStyle name="Input 20 2 4" xfId="19727"/>
    <cellStyle name="Input 20 2 4 2" xfId="19728"/>
    <cellStyle name="Input 20 2 5" xfId="19729"/>
    <cellStyle name="Input 20 2 6" xfId="19730"/>
    <cellStyle name="Input 20 2 7" xfId="19731"/>
    <cellStyle name="Input 20 2 8" xfId="43601"/>
    <cellStyle name="Input 20 3" xfId="5209"/>
    <cellStyle name="Input 20 3 2" xfId="19733"/>
    <cellStyle name="Input 20 3 2 2" xfId="19734"/>
    <cellStyle name="Input 20 3 2 2 2" xfId="19735"/>
    <cellStyle name="Input 20 3 2 3" xfId="19736"/>
    <cellStyle name="Input 20 3 2 3 2" xfId="19737"/>
    <cellStyle name="Input 20 3 2 4" xfId="19738"/>
    <cellStyle name="Input 20 3 2 4 2" xfId="19739"/>
    <cellStyle name="Input 20 3 2 5" xfId="19740"/>
    <cellStyle name="Input 20 3 2 6" xfId="19741"/>
    <cellStyle name="Input 20 3 2 7" xfId="19742"/>
    <cellStyle name="Input 20 3 2 8" xfId="19743"/>
    <cellStyle name="Input 20 3 2 9" xfId="19744"/>
    <cellStyle name="Input 20 3 3" xfId="19745"/>
    <cellStyle name="Input 20 3 3 2" xfId="19746"/>
    <cellStyle name="Input 20 3 3 2 2" xfId="19747"/>
    <cellStyle name="Input 20 3 3 3" xfId="19748"/>
    <cellStyle name="Input 20 3 3 3 2" xfId="19749"/>
    <cellStyle name="Input 20 3 3 4" xfId="19750"/>
    <cellStyle name="Input 20 3 3 5" xfId="19751"/>
    <cellStyle name="Input 20 3 3 6" xfId="19752"/>
    <cellStyle name="Input 20 3 4" xfId="19753"/>
    <cellStyle name="Input 20 3 5" xfId="19754"/>
    <cellStyle name="Input 20 3 6" xfId="19755"/>
    <cellStyle name="Input 20 3 7" xfId="19756"/>
    <cellStyle name="Input 20 3 8" xfId="19732"/>
    <cellStyle name="Input 20 3 9" xfId="43689"/>
    <cellStyle name="Input 20 4" xfId="5210"/>
    <cellStyle name="Input 20 4 10" xfId="19757"/>
    <cellStyle name="Input 20 4 11" xfId="44106"/>
    <cellStyle name="Input 20 4 2" xfId="5211"/>
    <cellStyle name="Input 20 4 2 2" xfId="19759"/>
    <cellStyle name="Input 20 4 2 3" xfId="19760"/>
    <cellStyle name="Input 20 4 2 4" xfId="19758"/>
    <cellStyle name="Input 20 4 3" xfId="19761"/>
    <cellStyle name="Input 20 4 3 2" xfId="19762"/>
    <cellStyle name="Input 20 4 4" xfId="19763"/>
    <cellStyle name="Input 20 4 4 2" xfId="19764"/>
    <cellStyle name="Input 20 4 5" xfId="19765"/>
    <cellStyle name="Input 20 4 6" xfId="19766"/>
    <cellStyle name="Input 20 4 7" xfId="19767"/>
    <cellStyle name="Input 20 4 8" xfId="19768"/>
    <cellStyle name="Input 20 4 9" xfId="19769"/>
    <cellStyle name="Input 20 5" xfId="5212"/>
    <cellStyle name="Input 20 5 10" xfId="19770"/>
    <cellStyle name="Input 20 5 2" xfId="5213"/>
    <cellStyle name="Input 20 5 2 2" xfId="19772"/>
    <cellStyle name="Input 20 5 2 3" xfId="19773"/>
    <cellStyle name="Input 20 5 2 4" xfId="19771"/>
    <cellStyle name="Input 20 5 3" xfId="19774"/>
    <cellStyle name="Input 20 5 3 2" xfId="19775"/>
    <cellStyle name="Input 20 5 4" xfId="19776"/>
    <cellStyle name="Input 20 5 4 2" xfId="19777"/>
    <cellStyle name="Input 20 5 5" xfId="19778"/>
    <cellStyle name="Input 20 5 6" xfId="19779"/>
    <cellStyle name="Input 20 5 7" xfId="19780"/>
    <cellStyle name="Input 20 5 8" xfId="19781"/>
    <cellStyle name="Input 20 5 9" xfId="19782"/>
    <cellStyle name="Input 20 6" xfId="5214"/>
    <cellStyle name="Input 20 6 2" xfId="19784"/>
    <cellStyle name="Input 20 6 2 2" xfId="19785"/>
    <cellStyle name="Input 20 6 3" xfId="19786"/>
    <cellStyle name="Input 20 6 3 2" xfId="19787"/>
    <cellStyle name="Input 20 6 4" xfId="19788"/>
    <cellStyle name="Input 20 6 5" xfId="19789"/>
    <cellStyle name="Input 20 6 6" xfId="19790"/>
    <cellStyle name="Input 20 6 7" xfId="19783"/>
    <cellStyle name="Input 20 7" xfId="5215"/>
    <cellStyle name="Input 20 7 2" xfId="19791"/>
    <cellStyle name="Input 20 8" xfId="8022"/>
    <cellStyle name="Input 20 8 2" xfId="19792"/>
    <cellStyle name="Input 20 9" xfId="19793"/>
    <cellStyle name="Input 21" xfId="1281"/>
    <cellStyle name="Input 21 10" xfId="19794"/>
    <cellStyle name="Input 21 11" xfId="40613"/>
    <cellStyle name="Input 21 2" xfId="2736"/>
    <cellStyle name="Input 21 2 2" xfId="8339"/>
    <cellStyle name="Input 21 2 2 2" xfId="19795"/>
    <cellStyle name="Input 21 2 2 2 2" xfId="19796"/>
    <cellStyle name="Input 21 2 2 2 3" xfId="19797"/>
    <cellStyle name="Input 21 2 2 3" xfId="19798"/>
    <cellStyle name="Input 21 2 2 3 2" xfId="19799"/>
    <cellStyle name="Input 21 2 2 4" xfId="19800"/>
    <cellStyle name="Input 21 2 2 4 2" xfId="19801"/>
    <cellStyle name="Input 21 2 2 5" xfId="19802"/>
    <cellStyle name="Input 21 2 2 6" xfId="19803"/>
    <cellStyle name="Input 21 2 2 7" xfId="19804"/>
    <cellStyle name="Input 21 2 2 8" xfId="19805"/>
    <cellStyle name="Input 21 2 2 9" xfId="19806"/>
    <cellStyle name="Input 21 2 3" xfId="19807"/>
    <cellStyle name="Input 21 2 3 2" xfId="19808"/>
    <cellStyle name="Input 21 2 3 2 2" xfId="19809"/>
    <cellStyle name="Input 21 2 3 2 3" xfId="19810"/>
    <cellStyle name="Input 21 2 3 3" xfId="19811"/>
    <cellStyle name="Input 21 2 3 3 2" xfId="19812"/>
    <cellStyle name="Input 21 2 3 4" xfId="19813"/>
    <cellStyle name="Input 21 2 3 5" xfId="19814"/>
    <cellStyle name="Input 21 2 3 6" xfId="19815"/>
    <cellStyle name="Input 21 2 4" xfId="19816"/>
    <cellStyle name="Input 21 2 4 2" xfId="19817"/>
    <cellStyle name="Input 21 2 5" xfId="19818"/>
    <cellStyle name="Input 21 2 6" xfId="19819"/>
    <cellStyle name="Input 21 2 7" xfId="19820"/>
    <cellStyle name="Input 21 2 8" xfId="43602"/>
    <cellStyle name="Input 21 3" xfId="4731"/>
    <cellStyle name="Input 21 3 2" xfId="19822"/>
    <cellStyle name="Input 21 3 2 2" xfId="19823"/>
    <cellStyle name="Input 21 3 2 2 2" xfId="19824"/>
    <cellStyle name="Input 21 3 2 3" xfId="19825"/>
    <cellStyle name="Input 21 3 2 3 2" xfId="19826"/>
    <cellStyle name="Input 21 3 2 4" xfId="19827"/>
    <cellStyle name="Input 21 3 2 4 2" xfId="19828"/>
    <cellStyle name="Input 21 3 2 5" xfId="19829"/>
    <cellStyle name="Input 21 3 2 6" xfId="19830"/>
    <cellStyle name="Input 21 3 2 7" xfId="19831"/>
    <cellStyle name="Input 21 3 2 8" xfId="19832"/>
    <cellStyle name="Input 21 3 2 9" xfId="19833"/>
    <cellStyle name="Input 21 3 3" xfId="19834"/>
    <cellStyle name="Input 21 3 3 2" xfId="19835"/>
    <cellStyle name="Input 21 3 3 2 2" xfId="19836"/>
    <cellStyle name="Input 21 3 3 3" xfId="19837"/>
    <cellStyle name="Input 21 3 3 3 2" xfId="19838"/>
    <cellStyle name="Input 21 3 3 4" xfId="19839"/>
    <cellStyle name="Input 21 3 3 5" xfId="19840"/>
    <cellStyle name="Input 21 3 3 6" xfId="19841"/>
    <cellStyle name="Input 21 3 4" xfId="19842"/>
    <cellStyle name="Input 21 3 5" xfId="19843"/>
    <cellStyle name="Input 21 3 6" xfId="19844"/>
    <cellStyle name="Input 21 3 7" xfId="19845"/>
    <cellStyle name="Input 21 3 8" xfId="19821"/>
    <cellStyle name="Input 21 3 9" xfId="43639"/>
    <cellStyle name="Input 21 4" xfId="4926"/>
    <cellStyle name="Input 21 4 10" xfId="19846"/>
    <cellStyle name="Input 21 4 11" xfId="43770"/>
    <cellStyle name="Input 21 4 2" xfId="4927"/>
    <cellStyle name="Input 21 4 2 2" xfId="19848"/>
    <cellStyle name="Input 21 4 2 3" xfId="19849"/>
    <cellStyle name="Input 21 4 2 4" xfId="19847"/>
    <cellStyle name="Input 21 4 3" xfId="19850"/>
    <cellStyle name="Input 21 4 3 2" xfId="19851"/>
    <cellStyle name="Input 21 4 4" xfId="19852"/>
    <cellStyle name="Input 21 4 4 2" xfId="19853"/>
    <cellStyle name="Input 21 4 5" xfId="19854"/>
    <cellStyle name="Input 21 4 6" xfId="19855"/>
    <cellStyle name="Input 21 4 7" xfId="19856"/>
    <cellStyle name="Input 21 4 8" xfId="19857"/>
    <cellStyle name="Input 21 4 9" xfId="19858"/>
    <cellStyle name="Input 21 5" xfId="4928"/>
    <cellStyle name="Input 21 5 10" xfId="19859"/>
    <cellStyle name="Input 21 5 2" xfId="4929"/>
    <cellStyle name="Input 21 5 2 2" xfId="19861"/>
    <cellStyle name="Input 21 5 2 3" xfId="19862"/>
    <cellStyle name="Input 21 5 2 4" xfId="19860"/>
    <cellStyle name="Input 21 5 3" xfId="19863"/>
    <cellStyle name="Input 21 5 3 2" xfId="19864"/>
    <cellStyle name="Input 21 5 4" xfId="19865"/>
    <cellStyle name="Input 21 5 4 2" xfId="19866"/>
    <cellStyle name="Input 21 5 5" xfId="19867"/>
    <cellStyle name="Input 21 5 6" xfId="19868"/>
    <cellStyle name="Input 21 5 7" xfId="19869"/>
    <cellStyle name="Input 21 5 8" xfId="19870"/>
    <cellStyle name="Input 21 5 9" xfId="19871"/>
    <cellStyle name="Input 21 6" xfId="4930"/>
    <cellStyle name="Input 21 6 2" xfId="19873"/>
    <cellStyle name="Input 21 6 2 2" xfId="19874"/>
    <cellStyle name="Input 21 6 3" xfId="19875"/>
    <cellStyle name="Input 21 6 3 2" xfId="19876"/>
    <cellStyle name="Input 21 6 4" xfId="19877"/>
    <cellStyle name="Input 21 6 5" xfId="19878"/>
    <cellStyle name="Input 21 6 6" xfId="19879"/>
    <cellStyle name="Input 21 6 7" xfId="19872"/>
    <cellStyle name="Input 21 7" xfId="4732"/>
    <cellStyle name="Input 21 7 2" xfId="19880"/>
    <cellStyle name="Input 21 8" xfId="8023"/>
    <cellStyle name="Input 21 8 2" xfId="19881"/>
    <cellStyle name="Input 21 9" xfId="19882"/>
    <cellStyle name="Input 22" xfId="1282"/>
    <cellStyle name="Input 22 10" xfId="19883"/>
    <cellStyle name="Input 22 11" xfId="40614"/>
    <cellStyle name="Input 22 2" xfId="2737"/>
    <cellStyle name="Input 22 2 2" xfId="8340"/>
    <cellStyle name="Input 22 2 2 2" xfId="19884"/>
    <cellStyle name="Input 22 2 2 2 2" xfId="19885"/>
    <cellStyle name="Input 22 2 2 2 3" xfId="19886"/>
    <cellStyle name="Input 22 2 2 3" xfId="19887"/>
    <cellStyle name="Input 22 2 2 3 2" xfId="19888"/>
    <cellStyle name="Input 22 2 2 4" xfId="19889"/>
    <cellStyle name="Input 22 2 2 4 2" xfId="19890"/>
    <cellStyle name="Input 22 2 2 5" xfId="19891"/>
    <cellStyle name="Input 22 2 2 6" xfId="19892"/>
    <cellStyle name="Input 22 2 2 7" xfId="19893"/>
    <cellStyle name="Input 22 2 2 8" xfId="19894"/>
    <cellStyle name="Input 22 2 2 9" xfId="19895"/>
    <cellStyle name="Input 22 2 3" xfId="19896"/>
    <cellStyle name="Input 22 2 3 2" xfId="19897"/>
    <cellStyle name="Input 22 2 3 2 2" xfId="19898"/>
    <cellStyle name="Input 22 2 3 2 3" xfId="19899"/>
    <cellStyle name="Input 22 2 3 3" xfId="19900"/>
    <cellStyle name="Input 22 2 3 3 2" xfId="19901"/>
    <cellStyle name="Input 22 2 3 4" xfId="19902"/>
    <cellStyle name="Input 22 2 3 5" xfId="19903"/>
    <cellStyle name="Input 22 2 3 6" xfId="19904"/>
    <cellStyle name="Input 22 2 4" xfId="19905"/>
    <cellStyle name="Input 22 2 4 2" xfId="19906"/>
    <cellStyle name="Input 22 2 5" xfId="19907"/>
    <cellStyle name="Input 22 2 6" xfId="19908"/>
    <cellStyle name="Input 22 2 7" xfId="19909"/>
    <cellStyle name="Input 22 2 8" xfId="43603"/>
    <cellStyle name="Input 22 3" xfId="4733"/>
    <cellStyle name="Input 22 3 2" xfId="19911"/>
    <cellStyle name="Input 22 3 2 2" xfId="19912"/>
    <cellStyle name="Input 22 3 2 2 2" xfId="19913"/>
    <cellStyle name="Input 22 3 2 3" xfId="19914"/>
    <cellStyle name="Input 22 3 2 3 2" xfId="19915"/>
    <cellStyle name="Input 22 3 2 4" xfId="19916"/>
    <cellStyle name="Input 22 3 2 4 2" xfId="19917"/>
    <cellStyle name="Input 22 3 2 5" xfId="19918"/>
    <cellStyle name="Input 22 3 2 6" xfId="19919"/>
    <cellStyle name="Input 22 3 2 7" xfId="19920"/>
    <cellStyle name="Input 22 3 2 8" xfId="19921"/>
    <cellStyle name="Input 22 3 2 9" xfId="19922"/>
    <cellStyle name="Input 22 3 3" xfId="19923"/>
    <cellStyle name="Input 22 3 3 2" xfId="19924"/>
    <cellStyle name="Input 22 3 3 2 2" xfId="19925"/>
    <cellStyle name="Input 22 3 3 3" xfId="19926"/>
    <cellStyle name="Input 22 3 3 3 2" xfId="19927"/>
    <cellStyle name="Input 22 3 3 4" xfId="19928"/>
    <cellStyle name="Input 22 3 3 5" xfId="19929"/>
    <cellStyle name="Input 22 3 3 6" xfId="19930"/>
    <cellStyle name="Input 22 3 4" xfId="19931"/>
    <cellStyle name="Input 22 3 5" xfId="19932"/>
    <cellStyle name="Input 22 3 6" xfId="19933"/>
    <cellStyle name="Input 22 3 7" xfId="19934"/>
    <cellStyle name="Input 22 3 8" xfId="19910"/>
    <cellStyle name="Input 22 3 9" xfId="43684"/>
    <cellStyle name="Input 22 4" xfId="4734"/>
    <cellStyle name="Input 22 4 10" xfId="19935"/>
    <cellStyle name="Input 22 4 11" xfId="43803"/>
    <cellStyle name="Input 22 4 2" xfId="4735"/>
    <cellStyle name="Input 22 4 2 2" xfId="19937"/>
    <cellStyle name="Input 22 4 2 3" xfId="19938"/>
    <cellStyle name="Input 22 4 2 4" xfId="19936"/>
    <cellStyle name="Input 22 4 3" xfId="19939"/>
    <cellStyle name="Input 22 4 3 2" xfId="19940"/>
    <cellStyle name="Input 22 4 4" xfId="19941"/>
    <cellStyle name="Input 22 4 4 2" xfId="19942"/>
    <cellStyle name="Input 22 4 5" xfId="19943"/>
    <cellStyle name="Input 22 4 6" xfId="19944"/>
    <cellStyle name="Input 22 4 7" xfId="19945"/>
    <cellStyle name="Input 22 4 8" xfId="19946"/>
    <cellStyle name="Input 22 4 9" xfId="19947"/>
    <cellStyle name="Input 22 5" xfId="4736"/>
    <cellStyle name="Input 22 5 10" xfId="19948"/>
    <cellStyle name="Input 22 5 2" xfId="4737"/>
    <cellStyle name="Input 22 5 2 2" xfId="19950"/>
    <cellStyle name="Input 22 5 2 3" xfId="19951"/>
    <cellStyle name="Input 22 5 2 4" xfId="19949"/>
    <cellStyle name="Input 22 5 3" xfId="19952"/>
    <cellStyle name="Input 22 5 3 2" xfId="19953"/>
    <cellStyle name="Input 22 5 4" xfId="19954"/>
    <cellStyle name="Input 22 5 4 2" xfId="19955"/>
    <cellStyle name="Input 22 5 5" xfId="19956"/>
    <cellStyle name="Input 22 5 6" xfId="19957"/>
    <cellStyle name="Input 22 5 7" xfId="19958"/>
    <cellStyle name="Input 22 5 8" xfId="19959"/>
    <cellStyle name="Input 22 5 9" xfId="19960"/>
    <cellStyle name="Input 22 6" xfId="4738"/>
    <cellStyle name="Input 22 6 2" xfId="19962"/>
    <cellStyle name="Input 22 6 2 2" xfId="19963"/>
    <cellStyle name="Input 22 6 3" xfId="19964"/>
    <cellStyle name="Input 22 6 3 2" xfId="19965"/>
    <cellStyle name="Input 22 6 4" xfId="19966"/>
    <cellStyle name="Input 22 6 5" xfId="19967"/>
    <cellStyle name="Input 22 6 6" xfId="19968"/>
    <cellStyle name="Input 22 6 7" xfId="19961"/>
    <cellStyle name="Input 22 7" xfId="4739"/>
    <cellStyle name="Input 22 7 2" xfId="19969"/>
    <cellStyle name="Input 22 8" xfId="8024"/>
    <cellStyle name="Input 22 8 2" xfId="19970"/>
    <cellStyle name="Input 22 9" xfId="19971"/>
    <cellStyle name="Input 23" xfId="1283"/>
    <cellStyle name="Input 23 10" xfId="19972"/>
    <cellStyle name="Input 23 11" xfId="40615"/>
    <cellStyle name="Input 23 2" xfId="2738"/>
    <cellStyle name="Input 23 2 2" xfId="8341"/>
    <cellStyle name="Input 23 2 2 10" xfId="43751"/>
    <cellStyle name="Input 23 2 2 2" xfId="19973"/>
    <cellStyle name="Input 23 2 2 2 2" xfId="19974"/>
    <cellStyle name="Input 23 2 2 2 3" xfId="19975"/>
    <cellStyle name="Input 23 2 2 3" xfId="19976"/>
    <cellStyle name="Input 23 2 2 3 2" xfId="19977"/>
    <cellStyle name="Input 23 2 2 4" xfId="19978"/>
    <cellStyle name="Input 23 2 2 4 2" xfId="19979"/>
    <cellStyle name="Input 23 2 2 5" xfId="19980"/>
    <cellStyle name="Input 23 2 2 6" xfId="19981"/>
    <cellStyle name="Input 23 2 2 7" xfId="19982"/>
    <cellStyle name="Input 23 2 2 8" xfId="19983"/>
    <cellStyle name="Input 23 2 2 9" xfId="19984"/>
    <cellStyle name="Input 23 2 3" xfId="19985"/>
    <cellStyle name="Input 23 2 3 2" xfId="19986"/>
    <cellStyle name="Input 23 2 3 2 2" xfId="19987"/>
    <cellStyle name="Input 23 2 3 2 3" xfId="19988"/>
    <cellStyle name="Input 23 2 3 3" xfId="19989"/>
    <cellStyle name="Input 23 2 3 3 2" xfId="19990"/>
    <cellStyle name="Input 23 2 3 4" xfId="19991"/>
    <cellStyle name="Input 23 2 3 5" xfId="19992"/>
    <cellStyle name="Input 23 2 3 6" xfId="19993"/>
    <cellStyle name="Input 23 2 3 7" xfId="43581"/>
    <cellStyle name="Input 23 2 4" xfId="19994"/>
    <cellStyle name="Input 23 2 4 2" xfId="19995"/>
    <cellStyle name="Input 23 2 4 3" xfId="45330"/>
    <cellStyle name="Input 23 2 5" xfId="19996"/>
    <cellStyle name="Input 23 2 6" xfId="19997"/>
    <cellStyle name="Input 23 2 7" xfId="19998"/>
    <cellStyle name="Input 23 2 8" xfId="41278"/>
    <cellStyle name="Input 23 3" xfId="4740"/>
    <cellStyle name="Input 23 3 2" xfId="20000"/>
    <cellStyle name="Input 23 3 2 2" xfId="20001"/>
    <cellStyle name="Input 23 3 2 2 2" xfId="20002"/>
    <cellStyle name="Input 23 3 2 3" xfId="20003"/>
    <cellStyle name="Input 23 3 2 3 2" xfId="20004"/>
    <cellStyle name="Input 23 3 2 4" xfId="20005"/>
    <cellStyle name="Input 23 3 2 4 2" xfId="20006"/>
    <cellStyle name="Input 23 3 2 5" xfId="20007"/>
    <cellStyle name="Input 23 3 2 6" xfId="20008"/>
    <cellStyle name="Input 23 3 2 7" xfId="20009"/>
    <cellStyle name="Input 23 3 2 8" xfId="20010"/>
    <cellStyle name="Input 23 3 2 9" xfId="20011"/>
    <cellStyle name="Input 23 3 3" xfId="20012"/>
    <cellStyle name="Input 23 3 3 2" xfId="20013"/>
    <cellStyle name="Input 23 3 3 2 2" xfId="20014"/>
    <cellStyle name="Input 23 3 3 3" xfId="20015"/>
    <cellStyle name="Input 23 3 3 3 2" xfId="20016"/>
    <cellStyle name="Input 23 3 3 4" xfId="20017"/>
    <cellStyle name="Input 23 3 3 5" xfId="20018"/>
    <cellStyle name="Input 23 3 3 6" xfId="20019"/>
    <cellStyle name="Input 23 3 4" xfId="20020"/>
    <cellStyle name="Input 23 3 5" xfId="20021"/>
    <cellStyle name="Input 23 3 6" xfId="20022"/>
    <cellStyle name="Input 23 3 7" xfId="20023"/>
    <cellStyle name="Input 23 3 8" xfId="19999"/>
    <cellStyle name="Input 23 3 9" xfId="43604"/>
    <cellStyle name="Input 23 4" xfId="4741"/>
    <cellStyle name="Input 23 4 10" xfId="20024"/>
    <cellStyle name="Input 23 4 11" xfId="43706"/>
    <cellStyle name="Input 23 4 2" xfId="4742"/>
    <cellStyle name="Input 23 4 2 2" xfId="20026"/>
    <cellStyle name="Input 23 4 2 3" xfId="20027"/>
    <cellStyle name="Input 23 4 2 4" xfId="20025"/>
    <cellStyle name="Input 23 4 3" xfId="20028"/>
    <cellStyle name="Input 23 4 3 2" xfId="20029"/>
    <cellStyle name="Input 23 4 4" xfId="20030"/>
    <cellStyle name="Input 23 4 4 2" xfId="20031"/>
    <cellStyle name="Input 23 4 5" xfId="20032"/>
    <cellStyle name="Input 23 4 6" xfId="20033"/>
    <cellStyle name="Input 23 4 7" xfId="20034"/>
    <cellStyle name="Input 23 4 8" xfId="20035"/>
    <cellStyle name="Input 23 4 9" xfId="20036"/>
    <cellStyle name="Input 23 5" xfId="5216"/>
    <cellStyle name="Input 23 5 10" xfId="20037"/>
    <cellStyle name="Input 23 5 11" xfId="45281"/>
    <cellStyle name="Input 23 5 2" xfId="4743"/>
    <cellStyle name="Input 23 5 2 2" xfId="20039"/>
    <cellStyle name="Input 23 5 2 3" xfId="20040"/>
    <cellStyle name="Input 23 5 2 4" xfId="20038"/>
    <cellStyle name="Input 23 5 3" xfId="20041"/>
    <cellStyle name="Input 23 5 3 2" xfId="20042"/>
    <cellStyle name="Input 23 5 4" xfId="20043"/>
    <cellStyle name="Input 23 5 4 2" xfId="20044"/>
    <cellStyle name="Input 23 5 5" xfId="20045"/>
    <cellStyle name="Input 23 5 6" xfId="20046"/>
    <cellStyle name="Input 23 5 7" xfId="20047"/>
    <cellStyle name="Input 23 5 8" xfId="20048"/>
    <cellStyle name="Input 23 5 9" xfId="20049"/>
    <cellStyle name="Input 23 6" xfId="4744"/>
    <cellStyle name="Input 23 6 2" xfId="20051"/>
    <cellStyle name="Input 23 6 2 2" xfId="20052"/>
    <cellStyle name="Input 23 6 3" xfId="20053"/>
    <cellStyle name="Input 23 6 3 2" xfId="20054"/>
    <cellStyle name="Input 23 6 4" xfId="20055"/>
    <cellStyle name="Input 23 6 5" xfId="20056"/>
    <cellStyle name="Input 23 6 6" xfId="20057"/>
    <cellStyle name="Input 23 6 7" xfId="20050"/>
    <cellStyle name="Input 23 7" xfId="4745"/>
    <cellStyle name="Input 23 7 2" xfId="20058"/>
    <cellStyle name="Input 23 8" xfId="8025"/>
    <cellStyle name="Input 23 8 2" xfId="20059"/>
    <cellStyle name="Input 23 9" xfId="20060"/>
    <cellStyle name="Input 24" xfId="1284"/>
    <cellStyle name="Input 24 10" xfId="20061"/>
    <cellStyle name="Input 24 11" xfId="40616"/>
    <cellStyle name="Input 24 2" xfId="2739"/>
    <cellStyle name="Input 24 2 2" xfId="8342"/>
    <cellStyle name="Input 24 2 2 10" xfId="43818"/>
    <cellStyle name="Input 24 2 2 2" xfId="20062"/>
    <cellStyle name="Input 24 2 2 2 2" xfId="20063"/>
    <cellStyle name="Input 24 2 2 2 3" xfId="20064"/>
    <cellStyle name="Input 24 2 2 3" xfId="20065"/>
    <cellStyle name="Input 24 2 2 3 2" xfId="20066"/>
    <cellStyle name="Input 24 2 2 4" xfId="20067"/>
    <cellStyle name="Input 24 2 2 4 2" xfId="20068"/>
    <cellStyle name="Input 24 2 2 5" xfId="20069"/>
    <cellStyle name="Input 24 2 2 6" xfId="20070"/>
    <cellStyle name="Input 24 2 2 7" xfId="20071"/>
    <cellStyle name="Input 24 2 2 8" xfId="20072"/>
    <cellStyle name="Input 24 2 2 9" xfId="20073"/>
    <cellStyle name="Input 24 2 3" xfId="20074"/>
    <cellStyle name="Input 24 2 3 2" xfId="20075"/>
    <cellStyle name="Input 24 2 3 2 2" xfId="20076"/>
    <cellStyle name="Input 24 2 3 2 3" xfId="20077"/>
    <cellStyle name="Input 24 2 3 3" xfId="20078"/>
    <cellStyle name="Input 24 2 3 3 2" xfId="20079"/>
    <cellStyle name="Input 24 2 3 4" xfId="20080"/>
    <cellStyle name="Input 24 2 3 5" xfId="20081"/>
    <cellStyle name="Input 24 2 3 6" xfId="20082"/>
    <cellStyle name="Input 24 2 3 7" xfId="44099"/>
    <cellStyle name="Input 24 2 4" xfId="20083"/>
    <cellStyle name="Input 24 2 4 2" xfId="20084"/>
    <cellStyle name="Input 24 2 4 3" xfId="45318"/>
    <cellStyle name="Input 24 2 5" xfId="20085"/>
    <cellStyle name="Input 24 2 6" xfId="20086"/>
    <cellStyle name="Input 24 2 7" xfId="20087"/>
    <cellStyle name="Input 24 2 8" xfId="41627"/>
    <cellStyle name="Input 24 3" xfId="4746"/>
    <cellStyle name="Input 24 3 2" xfId="20089"/>
    <cellStyle name="Input 24 3 2 2" xfId="20090"/>
    <cellStyle name="Input 24 3 2 2 2" xfId="20091"/>
    <cellStyle name="Input 24 3 2 3" xfId="20092"/>
    <cellStyle name="Input 24 3 2 3 2" xfId="20093"/>
    <cellStyle name="Input 24 3 2 4" xfId="20094"/>
    <cellStyle name="Input 24 3 2 4 2" xfId="20095"/>
    <cellStyle name="Input 24 3 2 5" xfId="20096"/>
    <cellStyle name="Input 24 3 2 6" xfId="20097"/>
    <cellStyle name="Input 24 3 2 7" xfId="20098"/>
    <cellStyle name="Input 24 3 2 8" xfId="20099"/>
    <cellStyle name="Input 24 3 2 9" xfId="20100"/>
    <cellStyle name="Input 24 3 3" xfId="20101"/>
    <cellStyle name="Input 24 3 3 2" xfId="20102"/>
    <cellStyle name="Input 24 3 3 2 2" xfId="20103"/>
    <cellStyle name="Input 24 3 3 3" xfId="20104"/>
    <cellStyle name="Input 24 3 3 3 2" xfId="20105"/>
    <cellStyle name="Input 24 3 3 4" xfId="20106"/>
    <cellStyle name="Input 24 3 3 5" xfId="20107"/>
    <cellStyle name="Input 24 3 3 6" xfId="20108"/>
    <cellStyle name="Input 24 3 4" xfId="20109"/>
    <cellStyle name="Input 24 3 5" xfId="20110"/>
    <cellStyle name="Input 24 3 6" xfId="20111"/>
    <cellStyle name="Input 24 3 7" xfId="20112"/>
    <cellStyle name="Input 24 3 8" xfId="20088"/>
    <cellStyle name="Input 24 3 9" xfId="43605"/>
    <cellStyle name="Input 24 4" xfId="4747"/>
    <cellStyle name="Input 24 4 10" xfId="20113"/>
    <cellStyle name="Input 24 4 11" xfId="43768"/>
    <cellStyle name="Input 24 4 2" xfId="4748"/>
    <cellStyle name="Input 24 4 2 2" xfId="20115"/>
    <cellStyle name="Input 24 4 2 3" xfId="20116"/>
    <cellStyle name="Input 24 4 2 4" xfId="20114"/>
    <cellStyle name="Input 24 4 3" xfId="20117"/>
    <cellStyle name="Input 24 4 3 2" xfId="20118"/>
    <cellStyle name="Input 24 4 4" xfId="20119"/>
    <cellStyle name="Input 24 4 4 2" xfId="20120"/>
    <cellStyle name="Input 24 4 5" xfId="20121"/>
    <cellStyle name="Input 24 4 6" xfId="20122"/>
    <cellStyle name="Input 24 4 7" xfId="20123"/>
    <cellStyle name="Input 24 4 8" xfId="20124"/>
    <cellStyle name="Input 24 4 9" xfId="20125"/>
    <cellStyle name="Input 24 5" xfId="4749"/>
    <cellStyle name="Input 24 5 10" xfId="20126"/>
    <cellStyle name="Input 24 5 11" xfId="43702"/>
    <cellStyle name="Input 24 5 2" xfId="4750"/>
    <cellStyle name="Input 24 5 2 2" xfId="20128"/>
    <cellStyle name="Input 24 5 2 3" xfId="20129"/>
    <cellStyle name="Input 24 5 2 4" xfId="20127"/>
    <cellStyle name="Input 24 5 3" xfId="20130"/>
    <cellStyle name="Input 24 5 3 2" xfId="20131"/>
    <cellStyle name="Input 24 5 4" xfId="20132"/>
    <cellStyle name="Input 24 5 4 2" xfId="20133"/>
    <cellStyle name="Input 24 5 5" xfId="20134"/>
    <cellStyle name="Input 24 5 6" xfId="20135"/>
    <cellStyle name="Input 24 5 7" xfId="20136"/>
    <cellStyle name="Input 24 5 8" xfId="20137"/>
    <cellStyle name="Input 24 5 9" xfId="20138"/>
    <cellStyle name="Input 24 6" xfId="5323"/>
    <cellStyle name="Input 24 6 2" xfId="20140"/>
    <cellStyle name="Input 24 6 2 2" xfId="20141"/>
    <cellStyle name="Input 24 6 3" xfId="20142"/>
    <cellStyle name="Input 24 6 3 2" xfId="20143"/>
    <cellStyle name="Input 24 6 4" xfId="20144"/>
    <cellStyle name="Input 24 6 5" xfId="20145"/>
    <cellStyle name="Input 24 6 6" xfId="20146"/>
    <cellStyle name="Input 24 6 7" xfId="20139"/>
    <cellStyle name="Input 24 7" xfId="4751"/>
    <cellStyle name="Input 24 7 2" xfId="20147"/>
    <cellStyle name="Input 24 8" xfId="8026"/>
    <cellStyle name="Input 24 8 2" xfId="20148"/>
    <cellStyle name="Input 24 9" xfId="20149"/>
    <cellStyle name="Input 25" xfId="1285"/>
    <cellStyle name="Input 25 10" xfId="20150"/>
    <cellStyle name="Input 25 11" xfId="40617"/>
    <cellStyle name="Input 25 2" xfId="2740"/>
    <cellStyle name="Input 25 2 2" xfId="8343"/>
    <cellStyle name="Input 25 2 2 10" xfId="43844"/>
    <cellStyle name="Input 25 2 2 2" xfId="20151"/>
    <cellStyle name="Input 25 2 2 2 2" xfId="20152"/>
    <cellStyle name="Input 25 2 2 2 3" xfId="20153"/>
    <cellStyle name="Input 25 2 2 3" xfId="20154"/>
    <cellStyle name="Input 25 2 2 3 2" xfId="20155"/>
    <cellStyle name="Input 25 2 2 4" xfId="20156"/>
    <cellStyle name="Input 25 2 2 4 2" xfId="20157"/>
    <cellStyle name="Input 25 2 2 5" xfId="20158"/>
    <cellStyle name="Input 25 2 2 6" xfId="20159"/>
    <cellStyle name="Input 25 2 2 7" xfId="20160"/>
    <cellStyle name="Input 25 2 2 8" xfId="20161"/>
    <cellStyle name="Input 25 2 2 9" xfId="20162"/>
    <cellStyle name="Input 25 2 3" xfId="20163"/>
    <cellStyle name="Input 25 2 3 2" xfId="20164"/>
    <cellStyle name="Input 25 2 3 2 2" xfId="20165"/>
    <cellStyle name="Input 25 2 3 2 3" xfId="20166"/>
    <cellStyle name="Input 25 2 3 3" xfId="20167"/>
    <cellStyle name="Input 25 2 3 3 2" xfId="20168"/>
    <cellStyle name="Input 25 2 3 4" xfId="20169"/>
    <cellStyle name="Input 25 2 3 5" xfId="20170"/>
    <cellStyle name="Input 25 2 3 6" xfId="20171"/>
    <cellStyle name="Input 25 2 3 7" xfId="44098"/>
    <cellStyle name="Input 25 2 4" xfId="20172"/>
    <cellStyle name="Input 25 2 4 2" xfId="20173"/>
    <cellStyle name="Input 25 2 4 3" xfId="45316"/>
    <cellStyle name="Input 25 2 5" xfId="20174"/>
    <cellStyle name="Input 25 2 6" xfId="20175"/>
    <cellStyle name="Input 25 2 7" xfId="20176"/>
    <cellStyle name="Input 25 2 8" xfId="41661"/>
    <cellStyle name="Input 25 3" xfId="4752"/>
    <cellStyle name="Input 25 3 2" xfId="20178"/>
    <cellStyle name="Input 25 3 2 2" xfId="20179"/>
    <cellStyle name="Input 25 3 2 2 2" xfId="20180"/>
    <cellStyle name="Input 25 3 2 3" xfId="20181"/>
    <cellStyle name="Input 25 3 2 3 2" xfId="20182"/>
    <cellStyle name="Input 25 3 2 4" xfId="20183"/>
    <cellStyle name="Input 25 3 2 4 2" xfId="20184"/>
    <cellStyle name="Input 25 3 2 5" xfId="20185"/>
    <cellStyle name="Input 25 3 2 6" xfId="20186"/>
    <cellStyle name="Input 25 3 2 7" xfId="20187"/>
    <cellStyle name="Input 25 3 2 8" xfId="20188"/>
    <cellStyle name="Input 25 3 2 9" xfId="20189"/>
    <cellStyle name="Input 25 3 3" xfId="20190"/>
    <cellStyle name="Input 25 3 3 2" xfId="20191"/>
    <cellStyle name="Input 25 3 3 2 2" xfId="20192"/>
    <cellStyle name="Input 25 3 3 3" xfId="20193"/>
    <cellStyle name="Input 25 3 3 3 2" xfId="20194"/>
    <cellStyle name="Input 25 3 3 4" xfId="20195"/>
    <cellStyle name="Input 25 3 3 5" xfId="20196"/>
    <cellStyle name="Input 25 3 3 6" xfId="20197"/>
    <cellStyle name="Input 25 3 4" xfId="20198"/>
    <cellStyle name="Input 25 3 5" xfId="20199"/>
    <cellStyle name="Input 25 3 6" xfId="20200"/>
    <cellStyle name="Input 25 3 7" xfId="20201"/>
    <cellStyle name="Input 25 3 8" xfId="20177"/>
    <cellStyle name="Input 25 3 9" xfId="43606"/>
    <cellStyle name="Input 25 4" xfId="4753"/>
    <cellStyle name="Input 25 4 10" xfId="20202"/>
    <cellStyle name="Input 25 4 11" xfId="43730"/>
    <cellStyle name="Input 25 4 2" xfId="4754"/>
    <cellStyle name="Input 25 4 2 2" xfId="20204"/>
    <cellStyle name="Input 25 4 2 3" xfId="20205"/>
    <cellStyle name="Input 25 4 2 4" xfId="20203"/>
    <cellStyle name="Input 25 4 3" xfId="20206"/>
    <cellStyle name="Input 25 4 3 2" xfId="20207"/>
    <cellStyle name="Input 25 4 4" xfId="20208"/>
    <cellStyle name="Input 25 4 4 2" xfId="20209"/>
    <cellStyle name="Input 25 4 5" xfId="20210"/>
    <cellStyle name="Input 25 4 6" xfId="20211"/>
    <cellStyle name="Input 25 4 7" xfId="20212"/>
    <cellStyle name="Input 25 4 8" xfId="20213"/>
    <cellStyle name="Input 25 4 9" xfId="20214"/>
    <cellStyle name="Input 25 5" xfId="4755"/>
    <cellStyle name="Input 25 5 10" xfId="20215"/>
    <cellStyle name="Input 25 5 11" xfId="44117"/>
    <cellStyle name="Input 25 5 2" xfId="4756"/>
    <cellStyle name="Input 25 5 2 2" xfId="20217"/>
    <cellStyle name="Input 25 5 2 3" xfId="20218"/>
    <cellStyle name="Input 25 5 2 4" xfId="20216"/>
    <cellStyle name="Input 25 5 3" xfId="20219"/>
    <cellStyle name="Input 25 5 3 2" xfId="20220"/>
    <cellStyle name="Input 25 5 4" xfId="20221"/>
    <cellStyle name="Input 25 5 4 2" xfId="20222"/>
    <cellStyle name="Input 25 5 5" xfId="20223"/>
    <cellStyle name="Input 25 5 6" xfId="20224"/>
    <cellStyle name="Input 25 5 7" xfId="20225"/>
    <cellStyle name="Input 25 5 8" xfId="20226"/>
    <cellStyle name="Input 25 5 9" xfId="20227"/>
    <cellStyle name="Input 25 6" xfId="4757"/>
    <cellStyle name="Input 25 6 2" xfId="20229"/>
    <cellStyle name="Input 25 6 2 2" xfId="20230"/>
    <cellStyle name="Input 25 6 3" xfId="20231"/>
    <cellStyle name="Input 25 6 3 2" xfId="20232"/>
    <cellStyle name="Input 25 6 4" xfId="20233"/>
    <cellStyle name="Input 25 6 5" xfId="20234"/>
    <cellStyle name="Input 25 6 6" xfId="20235"/>
    <cellStyle name="Input 25 6 7" xfId="20228"/>
    <cellStyle name="Input 25 7" xfId="4758"/>
    <cellStyle name="Input 25 7 2" xfId="20236"/>
    <cellStyle name="Input 25 8" xfId="8027"/>
    <cellStyle name="Input 25 8 2" xfId="20237"/>
    <cellStyle name="Input 25 9" xfId="20238"/>
    <cellStyle name="Input 26" xfId="1286"/>
    <cellStyle name="Input 26 10" xfId="20239"/>
    <cellStyle name="Input 26 11" xfId="40618"/>
    <cellStyle name="Input 26 2" xfId="2741"/>
    <cellStyle name="Input 26 2 2" xfId="8344"/>
    <cellStyle name="Input 26 2 2 10" xfId="43873"/>
    <cellStyle name="Input 26 2 2 2" xfId="20240"/>
    <cellStyle name="Input 26 2 2 2 2" xfId="20241"/>
    <cellStyle name="Input 26 2 2 2 3" xfId="20242"/>
    <cellStyle name="Input 26 2 2 3" xfId="20243"/>
    <cellStyle name="Input 26 2 2 3 2" xfId="20244"/>
    <cellStyle name="Input 26 2 2 4" xfId="20245"/>
    <cellStyle name="Input 26 2 2 4 2" xfId="20246"/>
    <cellStyle name="Input 26 2 2 5" xfId="20247"/>
    <cellStyle name="Input 26 2 2 6" xfId="20248"/>
    <cellStyle name="Input 26 2 2 7" xfId="20249"/>
    <cellStyle name="Input 26 2 2 8" xfId="20250"/>
    <cellStyle name="Input 26 2 2 9" xfId="20251"/>
    <cellStyle name="Input 26 2 3" xfId="20252"/>
    <cellStyle name="Input 26 2 3 2" xfId="20253"/>
    <cellStyle name="Input 26 2 3 2 2" xfId="20254"/>
    <cellStyle name="Input 26 2 3 2 3" xfId="20255"/>
    <cellStyle name="Input 26 2 3 3" xfId="20256"/>
    <cellStyle name="Input 26 2 3 3 2" xfId="20257"/>
    <cellStyle name="Input 26 2 3 4" xfId="20258"/>
    <cellStyle name="Input 26 2 3 5" xfId="20259"/>
    <cellStyle name="Input 26 2 3 6" xfId="20260"/>
    <cellStyle name="Input 26 2 3 7" xfId="44097"/>
    <cellStyle name="Input 26 2 4" xfId="20261"/>
    <cellStyle name="Input 26 2 4 2" xfId="20262"/>
    <cellStyle name="Input 26 2 4 3" xfId="45311"/>
    <cellStyle name="Input 26 2 5" xfId="20263"/>
    <cellStyle name="Input 26 2 6" xfId="20264"/>
    <cellStyle name="Input 26 2 7" xfId="20265"/>
    <cellStyle name="Input 26 2 8" xfId="41702"/>
    <cellStyle name="Input 26 3" xfId="4759"/>
    <cellStyle name="Input 26 3 2" xfId="20267"/>
    <cellStyle name="Input 26 3 2 2" xfId="20268"/>
    <cellStyle name="Input 26 3 2 2 2" xfId="20269"/>
    <cellStyle name="Input 26 3 2 3" xfId="20270"/>
    <cellStyle name="Input 26 3 2 3 2" xfId="20271"/>
    <cellStyle name="Input 26 3 2 4" xfId="20272"/>
    <cellStyle name="Input 26 3 2 4 2" xfId="20273"/>
    <cellStyle name="Input 26 3 2 5" xfId="20274"/>
    <cellStyle name="Input 26 3 2 6" xfId="20275"/>
    <cellStyle name="Input 26 3 2 7" xfId="20276"/>
    <cellStyle name="Input 26 3 2 8" xfId="20277"/>
    <cellStyle name="Input 26 3 2 9" xfId="20278"/>
    <cellStyle name="Input 26 3 3" xfId="20279"/>
    <cellStyle name="Input 26 3 3 2" xfId="20280"/>
    <cellStyle name="Input 26 3 3 2 2" xfId="20281"/>
    <cellStyle name="Input 26 3 3 3" xfId="20282"/>
    <cellStyle name="Input 26 3 3 3 2" xfId="20283"/>
    <cellStyle name="Input 26 3 3 4" xfId="20284"/>
    <cellStyle name="Input 26 3 3 5" xfId="20285"/>
    <cellStyle name="Input 26 3 3 6" xfId="20286"/>
    <cellStyle name="Input 26 3 4" xfId="20287"/>
    <cellStyle name="Input 26 3 5" xfId="20288"/>
    <cellStyle name="Input 26 3 6" xfId="20289"/>
    <cellStyle name="Input 26 3 7" xfId="20290"/>
    <cellStyle name="Input 26 3 8" xfId="20266"/>
    <cellStyle name="Input 26 3 9" xfId="43607"/>
    <cellStyle name="Input 26 4" xfId="4760"/>
    <cellStyle name="Input 26 4 10" xfId="20291"/>
    <cellStyle name="Input 26 4 11" xfId="43714"/>
    <cellStyle name="Input 26 4 2" xfId="4761"/>
    <cellStyle name="Input 26 4 2 2" xfId="20293"/>
    <cellStyle name="Input 26 4 2 3" xfId="20294"/>
    <cellStyle name="Input 26 4 2 4" xfId="20292"/>
    <cellStyle name="Input 26 4 3" xfId="20295"/>
    <cellStyle name="Input 26 4 3 2" xfId="20296"/>
    <cellStyle name="Input 26 4 4" xfId="20297"/>
    <cellStyle name="Input 26 4 4 2" xfId="20298"/>
    <cellStyle name="Input 26 4 5" xfId="20299"/>
    <cellStyle name="Input 26 4 6" xfId="20300"/>
    <cellStyle name="Input 26 4 7" xfId="20301"/>
    <cellStyle name="Input 26 4 8" xfId="20302"/>
    <cellStyle name="Input 26 4 9" xfId="20303"/>
    <cellStyle name="Input 26 5" xfId="4762"/>
    <cellStyle name="Input 26 5 10" xfId="20304"/>
    <cellStyle name="Input 26 5 11" xfId="43794"/>
    <cellStyle name="Input 26 5 2" xfId="5217"/>
    <cellStyle name="Input 26 5 2 2" xfId="20306"/>
    <cellStyle name="Input 26 5 2 3" xfId="20307"/>
    <cellStyle name="Input 26 5 2 4" xfId="20305"/>
    <cellStyle name="Input 26 5 3" xfId="20308"/>
    <cellStyle name="Input 26 5 3 2" xfId="20309"/>
    <cellStyle name="Input 26 5 4" xfId="20310"/>
    <cellStyle name="Input 26 5 4 2" xfId="20311"/>
    <cellStyle name="Input 26 5 5" xfId="20312"/>
    <cellStyle name="Input 26 5 6" xfId="20313"/>
    <cellStyle name="Input 26 5 7" xfId="20314"/>
    <cellStyle name="Input 26 5 8" xfId="20315"/>
    <cellStyle name="Input 26 5 9" xfId="20316"/>
    <cellStyle name="Input 26 6" xfId="4764"/>
    <cellStyle name="Input 26 6 2" xfId="20318"/>
    <cellStyle name="Input 26 6 2 2" xfId="20319"/>
    <cellStyle name="Input 26 6 3" xfId="20320"/>
    <cellStyle name="Input 26 6 3 2" xfId="20321"/>
    <cellStyle name="Input 26 6 4" xfId="20322"/>
    <cellStyle name="Input 26 6 5" xfId="20323"/>
    <cellStyle name="Input 26 6 6" xfId="20324"/>
    <cellStyle name="Input 26 6 7" xfId="20317"/>
    <cellStyle name="Input 26 7" xfId="5218"/>
    <cellStyle name="Input 26 7 2" xfId="20325"/>
    <cellStyle name="Input 26 8" xfId="8028"/>
    <cellStyle name="Input 26 8 2" xfId="20326"/>
    <cellStyle name="Input 26 9" xfId="20327"/>
    <cellStyle name="Input 27" xfId="2742"/>
    <cellStyle name="Input 27 10" xfId="20328"/>
    <cellStyle name="Input 27 11" xfId="40619"/>
    <cellStyle name="Input 27 2" xfId="5315"/>
    <cellStyle name="Input 27 2 2" xfId="20330"/>
    <cellStyle name="Input 27 2 2 10" xfId="43863"/>
    <cellStyle name="Input 27 2 2 2" xfId="20331"/>
    <cellStyle name="Input 27 2 2 2 2" xfId="20332"/>
    <cellStyle name="Input 27 2 2 2 3" xfId="20333"/>
    <cellStyle name="Input 27 2 2 3" xfId="20334"/>
    <cellStyle name="Input 27 2 2 3 2" xfId="20335"/>
    <cellStyle name="Input 27 2 2 4" xfId="20336"/>
    <cellStyle name="Input 27 2 2 4 2" xfId="20337"/>
    <cellStyle name="Input 27 2 2 5" xfId="20338"/>
    <cellStyle name="Input 27 2 2 6" xfId="20339"/>
    <cellStyle name="Input 27 2 2 7" xfId="20340"/>
    <cellStyle name="Input 27 2 2 8" xfId="20341"/>
    <cellStyle name="Input 27 2 2 9" xfId="20342"/>
    <cellStyle name="Input 27 2 3" xfId="20343"/>
    <cellStyle name="Input 27 2 3 2" xfId="20344"/>
    <cellStyle name="Input 27 2 3 2 2" xfId="20345"/>
    <cellStyle name="Input 27 2 3 2 3" xfId="20346"/>
    <cellStyle name="Input 27 2 3 3" xfId="20347"/>
    <cellStyle name="Input 27 2 3 3 2" xfId="20348"/>
    <cellStyle name="Input 27 2 3 4" xfId="20349"/>
    <cellStyle name="Input 27 2 3 5" xfId="20350"/>
    <cellStyle name="Input 27 2 3 6" xfId="20351"/>
    <cellStyle name="Input 27 2 3 7" xfId="43536"/>
    <cellStyle name="Input 27 2 4" xfId="20352"/>
    <cellStyle name="Input 27 2 4 2" xfId="20353"/>
    <cellStyle name="Input 27 2 4 3" xfId="44100"/>
    <cellStyle name="Input 27 2 5" xfId="20354"/>
    <cellStyle name="Input 27 2 6" xfId="20355"/>
    <cellStyle name="Input 27 2 7" xfId="20356"/>
    <cellStyle name="Input 27 2 8" xfId="20329"/>
    <cellStyle name="Input 27 2 9" xfId="41685"/>
    <cellStyle name="Input 27 3" xfId="4765"/>
    <cellStyle name="Input 27 3 2" xfId="20358"/>
    <cellStyle name="Input 27 3 2 2" xfId="20359"/>
    <cellStyle name="Input 27 3 2 2 2" xfId="20360"/>
    <cellStyle name="Input 27 3 2 3" xfId="20361"/>
    <cellStyle name="Input 27 3 2 3 2" xfId="20362"/>
    <cellStyle name="Input 27 3 2 4" xfId="20363"/>
    <cellStyle name="Input 27 3 2 4 2" xfId="20364"/>
    <cellStyle name="Input 27 3 2 5" xfId="20365"/>
    <cellStyle name="Input 27 3 2 6" xfId="20366"/>
    <cellStyle name="Input 27 3 2 7" xfId="20367"/>
    <cellStyle name="Input 27 3 2 8" xfId="20368"/>
    <cellStyle name="Input 27 3 2 9" xfId="20369"/>
    <cellStyle name="Input 27 3 3" xfId="20370"/>
    <cellStyle name="Input 27 3 3 2" xfId="20371"/>
    <cellStyle name="Input 27 3 3 2 2" xfId="20372"/>
    <cellStyle name="Input 27 3 3 3" xfId="20373"/>
    <cellStyle name="Input 27 3 3 3 2" xfId="20374"/>
    <cellStyle name="Input 27 3 3 4" xfId="20375"/>
    <cellStyle name="Input 27 3 3 5" xfId="20376"/>
    <cellStyle name="Input 27 3 3 6" xfId="20377"/>
    <cellStyle name="Input 27 3 4" xfId="20378"/>
    <cellStyle name="Input 27 3 5" xfId="20379"/>
    <cellStyle name="Input 27 3 6" xfId="20380"/>
    <cellStyle name="Input 27 3 7" xfId="20381"/>
    <cellStyle name="Input 27 3 8" xfId="20357"/>
    <cellStyle name="Input 27 3 9" xfId="43608"/>
    <cellStyle name="Input 27 4" xfId="5443"/>
    <cellStyle name="Input 27 4 10" xfId="20382"/>
    <cellStyle name="Input 27 4 11" xfId="43707"/>
    <cellStyle name="Input 27 4 2" xfId="4766"/>
    <cellStyle name="Input 27 4 2 2" xfId="20384"/>
    <cellStyle name="Input 27 4 2 3" xfId="20385"/>
    <cellStyle name="Input 27 4 2 4" xfId="20383"/>
    <cellStyle name="Input 27 4 3" xfId="20386"/>
    <cellStyle name="Input 27 4 3 2" xfId="20387"/>
    <cellStyle name="Input 27 4 4" xfId="20388"/>
    <cellStyle name="Input 27 4 4 2" xfId="20389"/>
    <cellStyle name="Input 27 4 5" xfId="20390"/>
    <cellStyle name="Input 27 4 6" xfId="20391"/>
    <cellStyle name="Input 27 4 7" xfId="20392"/>
    <cellStyle name="Input 27 4 8" xfId="20393"/>
    <cellStyle name="Input 27 4 9" xfId="20394"/>
    <cellStyle name="Input 27 5" xfId="5445"/>
    <cellStyle name="Input 27 5 10" xfId="20395"/>
    <cellStyle name="Input 27 5 11" xfId="43652"/>
    <cellStyle name="Input 27 5 2" xfId="4767"/>
    <cellStyle name="Input 27 5 2 2" xfId="20397"/>
    <cellStyle name="Input 27 5 2 3" xfId="20398"/>
    <cellStyle name="Input 27 5 2 4" xfId="20396"/>
    <cellStyle name="Input 27 5 3" xfId="20399"/>
    <cellStyle name="Input 27 5 3 2" xfId="20400"/>
    <cellStyle name="Input 27 5 4" xfId="20401"/>
    <cellStyle name="Input 27 5 4 2" xfId="20402"/>
    <cellStyle name="Input 27 5 5" xfId="20403"/>
    <cellStyle name="Input 27 5 6" xfId="20404"/>
    <cellStyle name="Input 27 5 7" xfId="20405"/>
    <cellStyle name="Input 27 5 8" xfId="20406"/>
    <cellStyle name="Input 27 5 9" xfId="20407"/>
    <cellStyle name="Input 27 6" xfId="5310"/>
    <cellStyle name="Input 27 6 2" xfId="20409"/>
    <cellStyle name="Input 27 6 2 2" xfId="20410"/>
    <cellStyle name="Input 27 6 3" xfId="20411"/>
    <cellStyle name="Input 27 6 3 2" xfId="20412"/>
    <cellStyle name="Input 27 6 4" xfId="20413"/>
    <cellStyle name="Input 27 6 5" xfId="20414"/>
    <cellStyle name="Input 27 6 6" xfId="20415"/>
    <cellStyle name="Input 27 6 7" xfId="20408"/>
    <cellStyle name="Input 27 7" xfId="4768"/>
    <cellStyle name="Input 27 7 2" xfId="20416"/>
    <cellStyle name="Input 27 8" xfId="8345"/>
    <cellStyle name="Input 27 9" xfId="20417"/>
    <cellStyle name="Input 28" xfId="2743"/>
    <cellStyle name="Input 28 10" xfId="20418"/>
    <cellStyle name="Input 28 11" xfId="40620"/>
    <cellStyle name="Input 28 2" xfId="4769"/>
    <cellStyle name="Input 28 2 2" xfId="20420"/>
    <cellStyle name="Input 28 2 2 10" xfId="43859"/>
    <cellStyle name="Input 28 2 2 2" xfId="20421"/>
    <cellStyle name="Input 28 2 2 2 2" xfId="20422"/>
    <cellStyle name="Input 28 2 2 2 3" xfId="20423"/>
    <cellStyle name="Input 28 2 2 3" xfId="20424"/>
    <cellStyle name="Input 28 2 2 3 2" xfId="20425"/>
    <cellStyle name="Input 28 2 2 4" xfId="20426"/>
    <cellStyle name="Input 28 2 2 4 2" xfId="20427"/>
    <cellStyle name="Input 28 2 2 5" xfId="20428"/>
    <cellStyle name="Input 28 2 2 6" xfId="20429"/>
    <cellStyle name="Input 28 2 2 7" xfId="20430"/>
    <cellStyle name="Input 28 2 2 8" xfId="20431"/>
    <cellStyle name="Input 28 2 2 9" xfId="20432"/>
    <cellStyle name="Input 28 2 3" xfId="20433"/>
    <cellStyle name="Input 28 2 3 2" xfId="20434"/>
    <cellStyle name="Input 28 2 3 2 2" xfId="20435"/>
    <cellStyle name="Input 28 2 3 2 3" xfId="20436"/>
    <cellStyle name="Input 28 2 3 3" xfId="20437"/>
    <cellStyle name="Input 28 2 3 3 2" xfId="20438"/>
    <cellStyle name="Input 28 2 3 4" xfId="20439"/>
    <cellStyle name="Input 28 2 3 5" xfId="20440"/>
    <cellStyle name="Input 28 2 3 6" xfId="20441"/>
    <cellStyle name="Input 28 2 3 7" xfId="43788"/>
    <cellStyle name="Input 28 2 4" xfId="20442"/>
    <cellStyle name="Input 28 2 4 2" xfId="20443"/>
    <cellStyle name="Input 28 2 4 3" xfId="45312"/>
    <cellStyle name="Input 28 2 5" xfId="20444"/>
    <cellStyle name="Input 28 2 6" xfId="20445"/>
    <cellStyle name="Input 28 2 7" xfId="20446"/>
    <cellStyle name="Input 28 2 8" xfId="20419"/>
    <cellStyle name="Input 28 2 9" xfId="41680"/>
    <cellStyle name="Input 28 3" xfId="4770"/>
    <cellStyle name="Input 28 3 2" xfId="20448"/>
    <cellStyle name="Input 28 3 2 2" xfId="20449"/>
    <cellStyle name="Input 28 3 2 2 2" xfId="20450"/>
    <cellStyle name="Input 28 3 2 3" xfId="20451"/>
    <cellStyle name="Input 28 3 2 3 2" xfId="20452"/>
    <cellStyle name="Input 28 3 2 4" xfId="20453"/>
    <cellStyle name="Input 28 3 2 4 2" xfId="20454"/>
    <cellStyle name="Input 28 3 2 5" xfId="20455"/>
    <cellStyle name="Input 28 3 2 6" xfId="20456"/>
    <cellStyle name="Input 28 3 2 7" xfId="20457"/>
    <cellStyle name="Input 28 3 2 8" xfId="20458"/>
    <cellStyle name="Input 28 3 2 9" xfId="20459"/>
    <cellStyle name="Input 28 3 3" xfId="20460"/>
    <cellStyle name="Input 28 3 3 2" xfId="20461"/>
    <cellStyle name="Input 28 3 3 2 2" xfId="20462"/>
    <cellStyle name="Input 28 3 3 3" xfId="20463"/>
    <cellStyle name="Input 28 3 3 3 2" xfId="20464"/>
    <cellStyle name="Input 28 3 3 4" xfId="20465"/>
    <cellStyle name="Input 28 3 3 5" xfId="20466"/>
    <cellStyle name="Input 28 3 3 6" xfId="20467"/>
    <cellStyle name="Input 28 3 4" xfId="20468"/>
    <cellStyle name="Input 28 3 5" xfId="20469"/>
    <cellStyle name="Input 28 3 6" xfId="20470"/>
    <cellStyle name="Input 28 3 7" xfId="20471"/>
    <cellStyle name="Input 28 3 8" xfId="20447"/>
    <cellStyle name="Input 28 3 9" xfId="43609"/>
    <cellStyle name="Input 28 4" xfId="4771"/>
    <cellStyle name="Input 28 4 10" xfId="20472"/>
    <cellStyle name="Input 28 4 11" xfId="43814"/>
    <cellStyle name="Input 28 4 2" xfId="4772"/>
    <cellStyle name="Input 28 4 2 2" xfId="20474"/>
    <cellStyle name="Input 28 4 2 3" xfId="20475"/>
    <cellStyle name="Input 28 4 2 4" xfId="20473"/>
    <cellStyle name="Input 28 4 3" xfId="20476"/>
    <cellStyle name="Input 28 4 3 2" xfId="20477"/>
    <cellStyle name="Input 28 4 4" xfId="20478"/>
    <cellStyle name="Input 28 4 4 2" xfId="20479"/>
    <cellStyle name="Input 28 4 5" xfId="20480"/>
    <cellStyle name="Input 28 4 6" xfId="20481"/>
    <cellStyle name="Input 28 4 7" xfId="20482"/>
    <cellStyle name="Input 28 4 8" xfId="20483"/>
    <cellStyle name="Input 28 4 9" xfId="20484"/>
    <cellStyle name="Input 28 5" xfId="4773"/>
    <cellStyle name="Input 28 5 10" xfId="20485"/>
    <cellStyle name="Input 28 5 11" xfId="43548"/>
    <cellStyle name="Input 28 5 2" xfId="4774"/>
    <cellStyle name="Input 28 5 2 2" xfId="20487"/>
    <cellStyle name="Input 28 5 2 3" xfId="20488"/>
    <cellStyle name="Input 28 5 2 4" xfId="20486"/>
    <cellStyle name="Input 28 5 3" xfId="20489"/>
    <cellStyle name="Input 28 5 3 2" xfId="20490"/>
    <cellStyle name="Input 28 5 4" xfId="20491"/>
    <cellStyle name="Input 28 5 4 2" xfId="20492"/>
    <cellStyle name="Input 28 5 5" xfId="20493"/>
    <cellStyle name="Input 28 5 6" xfId="20494"/>
    <cellStyle name="Input 28 5 7" xfId="20495"/>
    <cellStyle name="Input 28 5 8" xfId="20496"/>
    <cellStyle name="Input 28 5 9" xfId="20497"/>
    <cellStyle name="Input 28 6" xfId="4775"/>
    <cellStyle name="Input 28 6 2" xfId="20499"/>
    <cellStyle name="Input 28 6 2 2" xfId="20500"/>
    <cellStyle name="Input 28 6 3" xfId="20501"/>
    <cellStyle name="Input 28 6 3 2" xfId="20502"/>
    <cellStyle name="Input 28 6 4" xfId="20503"/>
    <cellStyle name="Input 28 6 5" xfId="20504"/>
    <cellStyle name="Input 28 6 6" xfId="20505"/>
    <cellStyle name="Input 28 6 7" xfId="20498"/>
    <cellStyle name="Input 28 7" xfId="4776"/>
    <cellStyle name="Input 28 7 2" xfId="20506"/>
    <cellStyle name="Input 28 8" xfId="8346"/>
    <cellStyle name="Input 28 9" xfId="20507"/>
    <cellStyle name="Input 29" xfId="2744"/>
    <cellStyle name="Input 29 10" xfId="20508"/>
    <cellStyle name="Input 29 11" xfId="40621"/>
    <cellStyle name="Input 29 2" xfId="4777"/>
    <cellStyle name="Input 29 2 2" xfId="20510"/>
    <cellStyle name="Input 29 2 2 10" xfId="43843"/>
    <cellStyle name="Input 29 2 2 2" xfId="20511"/>
    <cellStyle name="Input 29 2 2 2 2" xfId="20512"/>
    <cellStyle name="Input 29 2 2 2 3" xfId="20513"/>
    <cellStyle name="Input 29 2 2 3" xfId="20514"/>
    <cellStyle name="Input 29 2 2 3 2" xfId="20515"/>
    <cellStyle name="Input 29 2 2 4" xfId="20516"/>
    <cellStyle name="Input 29 2 2 4 2" xfId="20517"/>
    <cellStyle name="Input 29 2 2 5" xfId="20518"/>
    <cellStyle name="Input 29 2 2 6" xfId="20519"/>
    <cellStyle name="Input 29 2 2 7" xfId="20520"/>
    <cellStyle name="Input 29 2 2 8" xfId="20521"/>
    <cellStyle name="Input 29 2 2 9" xfId="20522"/>
    <cellStyle name="Input 29 2 3" xfId="20523"/>
    <cellStyle name="Input 29 2 3 2" xfId="20524"/>
    <cellStyle name="Input 29 2 3 2 2" xfId="20525"/>
    <cellStyle name="Input 29 2 3 2 3" xfId="20526"/>
    <cellStyle name="Input 29 2 3 3" xfId="20527"/>
    <cellStyle name="Input 29 2 3 3 2" xfId="20528"/>
    <cellStyle name="Input 29 2 3 4" xfId="20529"/>
    <cellStyle name="Input 29 2 3 5" xfId="20530"/>
    <cellStyle name="Input 29 2 3 6" xfId="20531"/>
    <cellStyle name="Input 29 2 3 7" xfId="43538"/>
    <cellStyle name="Input 29 2 4" xfId="20532"/>
    <cellStyle name="Input 29 2 4 2" xfId="20533"/>
    <cellStyle name="Input 29 2 4 3" xfId="45317"/>
    <cellStyle name="Input 29 2 5" xfId="20534"/>
    <cellStyle name="Input 29 2 6" xfId="20535"/>
    <cellStyle name="Input 29 2 7" xfId="20536"/>
    <cellStyle name="Input 29 2 8" xfId="20509"/>
    <cellStyle name="Input 29 2 9" xfId="41655"/>
    <cellStyle name="Input 29 3" xfId="4778"/>
    <cellStyle name="Input 29 3 2" xfId="20538"/>
    <cellStyle name="Input 29 3 2 2" xfId="20539"/>
    <cellStyle name="Input 29 3 2 2 2" xfId="20540"/>
    <cellStyle name="Input 29 3 2 3" xfId="20541"/>
    <cellStyle name="Input 29 3 2 3 2" xfId="20542"/>
    <cellStyle name="Input 29 3 2 4" xfId="20543"/>
    <cellStyle name="Input 29 3 2 4 2" xfId="20544"/>
    <cellStyle name="Input 29 3 2 5" xfId="20545"/>
    <cellStyle name="Input 29 3 2 6" xfId="20546"/>
    <cellStyle name="Input 29 3 2 7" xfId="20547"/>
    <cellStyle name="Input 29 3 2 8" xfId="20548"/>
    <cellStyle name="Input 29 3 2 9" xfId="20549"/>
    <cellStyle name="Input 29 3 3" xfId="20550"/>
    <cellStyle name="Input 29 3 3 2" xfId="20551"/>
    <cellStyle name="Input 29 3 3 2 2" xfId="20552"/>
    <cellStyle name="Input 29 3 3 3" xfId="20553"/>
    <cellStyle name="Input 29 3 3 3 2" xfId="20554"/>
    <cellStyle name="Input 29 3 3 4" xfId="20555"/>
    <cellStyle name="Input 29 3 3 5" xfId="20556"/>
    <cellStyle name="Input 29 3 3 6" xfId="20557"/>
    <cellStyle name="Input 29 3 4" xfId="20558"/>
    <cellStyle name="Input 29 3 5" xfId="20559"/>
    <cellStyle name="Input 29 3 6" xfId="20560"/>
    <cellStyle name="Input 29 3 7" xfId="20561"/>
    <cellStyle name="Input 29 3 8" xfId="20537"/>
    <cellStyle name="Input 29 3 9" xfId="43610"/>
    <cellStyle name="Input 29 4" xfId="4779"/>
    <cellStyle name="Input 29 4 10" xfId="20562"/>
    <cellStyle name="Input 29 4 11" xfId="43734"/>
    <cellStyle name="Input 29 4 2" xfId="4780"/>
    <cellStyle name="Input 29 4 2 2" xfId="20564"/>
    <cellStyle name="Input 29 4 2 3" xfId="20565"/>
    <cellStyle name="Input 29 4 2 4" xfId="20563"/>
    <cellStyle name="Input 29 4 3" xfId="20566"/>
    <cellStyle name="Input 29 4 3 2" xfId="20567"/>
    <cellStyle name="Input 29 4 4" xfId="20568"/>
    <cellStyle name="Input 29 4 4 2" xfId="20569"/>
    <cellStyle name="Input 29 4 5" xfId="20570"/>
    <cellStyle name="Input 29 4 6" xfId="20571"/>
    <cellStyle name="Input 29 4 7" xfId="20572"/>
    <cellStyle name="Input 29 4 8" xfId="20573"/>
    <cellStyle name="Input 29 4 9" xfId="20574"/>
    <cellStyle name="Input 29 5" xfId="4781"/>
    <cellStyle name="Input 29 5 10" xfId="20575"/>
    <cellStyle name="Input 29 5 11" xfId="43632"/>
    <cellStyle name="Input 29 5 2" xfId="5429"/>
    <cellStyle name="Input 29 5 2 2" xfId="20577"/>
    <cellStyle name="Input 29 5 2 3" xfId="20578"/>
    <cellStyle name="Input 29 5 2 4" xfId="20576"/>
    <cellStyle name="Input 29 5 3" xfId="20579"/>
    <cellStyle name="Input 29 5 3 2" xfId="20580"/>
    <cellStyle name="Input 29 5 4" xfId="20581"/>
    <cellStyle name="Input 29 5 4 2" xfId="20582"/>
    <cellStyle name="Input 29 5 5" xfId="20583"/>
    <cellStyle name="Input 29 5 6" xfId="20584"/>
    <cellStyle name="Input 29 5 7" xfId="20585"/>
    <cellStyle name="Input 29 5 8" xfId="20586"/>
    <cellStyle name="Input 29 5 9" xfId="20587"/>
    <cellStyle name="Input 29 6" xfId="4782"/>
    <cellStyle name="Input 29 6 2" xfId="20589"/>
    <cellStyle name="Input 29 6 2 2" xfId="20590"/>
    <cellStyle name="Input 29 6 3" xfId="20591"/>
    <cellStyle name="Input 29 6 3 2" xfId="20592"/>
    <cellStyle name="Input 29 6 4" xfId="20593"/>
    <cellStyle name="Input 29 6 5" xfId="20594"/>
    <cellStyle name="Input 29 6 6" xfId="20595"/>
    <cellStyle name="Input 29 6 7" xfId="20588"/>
    <cellStyle name="Input 29 7" xfId="4783"/>
    <cellStyle name="Input 29 7 2" xfId="20596"/>
    <cellStyle name="Input 29 8" xfId="8347"/>
    <cellStyle name="Input 29 9" xfId="20597"/>
    <cellStyle name="Input 3" xfId="1287"/>
    <cellStyle name="Input 3 10" xfId="20598"/>
    <cellStyle name="Input 3 11" xfId="40622"/>
    <cellStyle name="Input 3 2" xfId="1288"/>
    <cellStyle name="Input 3 2 2" xfId="1289"/>
    <cellStyle name="Input 3 2 2 10" xfId="43778"/>
    <cellStyle name="Input 3 2 2 2" xfId="8031"/>
    <cellStyle name="Input 3 2 2 2 2" xfId="20599"/>
    <cellStyle name="Input 3 2 2 2 3" xfId="20600"/>
    <cellStyle name="Input 3 2 2 3" xfId="20601"/>
    <cellStyle name="Input 3 2 2 3 2" xfId="20602"/>
    <cellStyle name="Input 3 2 2 4" xfId="20603"/>
    <cellStyle name="Input 3 2 2 4 2" xfId="20604"/>
    <cellStyle name="Input 3 2 2 5" xfId="20605"/>
    <cellStyle name="Input 3 2 2 6" xfId="20606"/>
    <cellStyle name="Input 3 2 2 7" xfId="20607"/>
    <cellStyle name="Input 3 2 2 8" xfId="20608"/>
    <cellStyle name="Input 3 2 2 9" xfId="20609"/>
    <cellStyle name="Input 3 2 3" xfId="4784"/>
    <cellStyle name="Input 3 2 3 2" xfId="20611"/>
    <cellStyle name="Input 3 2 3 2 2" xfId="20612"/>
    <cellStyle name="Input 3 2 3 2 3" xfId="20613"/>
    <cellStyle name="Input 3 2 3 3" xfId="20614"/>
    <cellStyle name="Input 3 2 3 3 2" xfId="20615"/>
    <cellStyle name="Input 3 2 3 4" xfId="20616"/>
    <cellStyle name="Input 3 2 3 5" xfId="20617"/>
    <cellStyle name="Input 3 2 3 6" xfId="20618"/>
    <cellStyle name="Input 3 2 3 7" xfId="20610"/>
    <cellStyle name="Input 3 2 3 8" xfId="43543"/>
    <cellStyle name="Input 3 2 4" xfId="4785"/>
    <cellStyle name="Input 3 2 4 2" xfId="5426"/>
    <cellStyle name="Input 3 2 4 2 2" xfId="20620"/>
    <cellStyle name="Input 3 2 4 3" xfId="20619"/>
    <cellStyle name="Input 3 2 4 4" xfId="43648"/>
    <cellStyle name="Input 3 2 5" xfId="4786"/>
    <cellStyle name="Input 3 2 5 2" xfId="4787"/>
    <cellStyle name="Input 3 2 5 3" xfId="20621"/>
    <cellStyle name="Input 3 2 6" xfId="4788"/>
    <cellStyle name="Input 3 2 6 2" xfId="20622"/>
    <cellStyle name="Input 3 2 7" xfId="5321"/>
    <cellStyle name="Input 3 2 7 2" xfId="20623"/>
    <cellStyle name="Input 3 2 8" xfId="8030"/>
    <cellStyle name="Input 3 2 9" xfId="41386"/>
    <cellStyle name="Input 3 3" xfId="1290"/>
    <cellStyle name="Input 3 3 2" xfId="1291"/>
    <cellStyle name="Input 3 3 2 2" xfId="8033"/>
    <cellStyle name="Input 3 3 2 2 2" xfId="20624"/>
    <cellStyle name="Input 3 3 2 3" xfId="20625"/>
    <cellStyle name="Input 3 3 2 3 2" xfId="20626"/>
    <cellStyle name="Input 3 3 2 4" xfId="20627"/>
    <cellStyle name="Input 3 3 2 4 2" xfId="20628"/>
    <cellStyle name="Input 3 3 2 5" xfId="20629"/>
    <cellStyle name="Input 3 3 2 6" xfId="20630"/>
    <cellStyle name="Input 3 3 2 7" xfId="20631"/>
    <cellStyle name="Input 3 3 2 8" xfId="20632"/>
    <cellStyle name="Input 3 3 2 9" xfId="20633"/>
    <cellStyle name="Input 3 3 3" xfId="8032"/>
    <cellStyle name="Input 3 3 3 2" xfId="20634"/>
    <cellStyle name="Input 3 3 3 2 2" xfId="20635"/>
    <cellStyle name="Input 3 3 3 3" xfId="20636"/>
    <cellStyle name="Input 3 3 3 3 2" xfId="20637"/>
    <cellStyle name="Input 3 3 3 4" xfId="20638"/>
    <cellStyle name="Input 3 3 3 5" xfId="20639"/>
    <cellStyle name="Input 3 3 3 6" xfId="20640"/>
    <cellStyle name="Input 3 3 4" xfId="20641"/>
    <cellStyle name="Input 3 3 5" xfId="20642"/>
    <cellStyle name="Input 3 3 6" xfId="20643"/>
    <cellStyle name="Input 3 3 7" xfId="20644"/>
    <cellStyle name="Input 3 3 8" xfId="41321"/>
    <cellStyle name="Input 3 4" xfId="1292"/>
    <cellStyle name="Input 3 4 10" xfId="40901"/>
    <cellStyle name="Input 3 4 2" xfId="8034"/>
    <cellStyle name="Input 3 4 2 2" xfId="20645"/>
    <cellStyle name="Input 3 4 2 3" xfId="20646"/>
    <cellStyle name="Input 3 4 2 4" xfId="43682"/>
    <cellStyle name="Input 3 4 3" xfId="20647"/>
    <cellStyle name="Input 3 4 3 2" xfId="20648"/>
    <cellStyle name="Input 3 4 3 3" xfId="44130"/>
    <cellStyle name="Input 3 4 4" xfId="20649"/>
    <cellStyle name="Input 3 4 4 2" xfId="20650"/>
    <cellStyle name="Input 3 4 4 3" xfId="44096"/>
    <cellStyle name="Input 3 4 5" xfId="20651"/>
    <cellStyle name="Input 3 4 6" xfId="20652"/>
    <cellStyle name="Input 3 4 7" xfId="20653"/>
    <cellStyle name="Input 3 4 8" xfId="20654"/>
    <cellStyle name="Input 3 4 9" xfId="20655"/>
    <cellStyle name="Input 3 5" xfId="5219"/>
    <cellStyle name="Input 3 5 10" xfId="20656"/>
    <cellStyle name="Input 3 5 11" xfId="43611"/>
    <cellStyle name="Input 3 5 2" xfId="3509"/>
    <cellStyle name="Input 3 5 2 2" xfId="20658"/>
    <cellStyle name="Input 3 5 2 3" xfId="20659"/>
    <cellStyle name="Input 3 5 2 4" xfId="20657"/>
    <cellStyle name="Input 3 5 3" xfId="20660"/>
    <cellStyle name="Input 3 5 3 2" xfId="20661"/>
    <cellStyle name="Input 3 5 4" xfId="20662"/>
    <cellStyle name="Input 3 5 4 2" xfId="20663"/>
    <cellStyle name="Input 3 5 5" xfId="20664"/>
    <cellStyle name="Input 3 5 6" xfId="20665"/>
    <cellStyle name="Input 3 5 7" xfId="20666"/>
    <cellStyle name="Input 3 5 8" xfId="20667"/>
    <cellStyle name="Input 3 5 9" xfId="20668"/>
    <cellStyle name="Input 3 6" xfId="3510"/>
    <cellStyle name="Input 3 6 2" xfId="3511"/>
    <cellStyle name="Input 3 6 2 2" xfId="20671"/>
    <cellStyle name="Input 3 6 2 3" xfId="20670"/>
    <cellStyle name="Input 3 6 3" xfId="20672"/>
    <cellStyle name="Input 3 6 3 2" xfId="20673"/>
    <cellStyle name="Input 3 6 4" xfId="20674"/>
    <cellStyle name="Input 3 6 5" xfId="20675"/>
    <cellStyle name="Input 3 6 6" xfId="20676"/>
    <cellStyle name="Input 3 6 7" xfId="20669"/>
    <cellStyle name="Input 3 6 8" xfId="43719"/>
    <cellStyle name="Input 3 7" xfId="3512"/>
    <cellStyle name="Input 3 7 2" xfId="20677"/>
    <cellStyle name="Input 3 7 3" xfId="43724"/>
    <cellStyle name="Input 3 8" xfId="3513"/>
    <cellStyle name="Input 3 8 2" xfId="20678"/>
    <cellStyle name="Input 3 9" xfId="8029"/>
    <cellStyle name="Input 30" xfId="2745"/>
    <cellStyle name="Input 30 10" xfId="20679"/>
    <cellStyle name="Input 30 11" xfId="40623"/>
    <cellStyle name="Input 30 2" xfId="5220"/>
    <cellStyle name="Input 30 2 2" xfId="20681"/>
    <cellStyle name="Input 30 2 2 10" xfId="43864"/>
    <cellStyle name="Input 30 2 2 2" xfId="20682"/>
    <cellStyle name="Input 30 2 2 2 2" xfId="20683"/>
    <cellStyle name="Input 30 2 2 2 3" xfId="20684"/>
    <cellStyle name="Input 30 2 2 3" xfId="20685"/>
    <cellStyle name="Input 30 2 2 3 2" xfId="20686"/>
    <cellStyle name="Input 30 2 2 4" xfId="20687"/>
    <cellStyle name="Input 30 2 2 4 2" xfId="20688"/>
    <cellStyle name="Input 30 2 2 5" xfId="20689"/>
    <cellStyle name="Input 30 2 2 6" xfId="20690"/>
    <cellStyle name="Input 30 2 2 7" xfId="20691"/>
    <cellStyle name="Input 30 2 2 8" xfId="20692"/>
    <cellStyle name="Input 30 2 2 9" xfId="20693"/>
    <cellStyle name="Input 30 2 3" xfId="20694"/>
    <cellStyle name="Input 30 2 3 2" xfId="20695"/>
    <cellStyle name="Input 30 2 3 2 2" xfId="20696"/>
    <cellStyle name="Input 30 2 3 2 3" xfId="20697"/>
    <cellStyle name="Input 30 2 3 3" xfId="20698"/>
    <cellStyle name="Input 30 2 3 3 2" xfId="20699"/>
    <cellStyle name="Input 30 2 3 4" xfId="20700"/>
    <cellStyle name="Input 30 2 3 5" xfId="20701"/>
    <cellStyle name="Input 30 2 3 6" xfId="20702"/>
    <cellStyle name="Input 30 2 3 7" xfId="43535"/>
    <cellStyle name="Input 30 2 4" xfId="20703"/>
    <cellStyle name="Input 30 2 4 2" xfId="20704"/>
    <cellStyle name="Input 30 2 4 3" xfId="43845"/>
    <cellStyle name="Input 30 2 5" xfId="20705"/>
    <cellStyle name="Input 30 2 6" xfId="20706"/>
    <cellStyle name="Input 30 2 7" xfId="20707"/>
    <cellStyle name="Input 30 2 8" xfId="20680"/>
    <cellStyle name="Input 30 2 9" xfId="41690"/>
    <cellStyle name="Input 30 3" xfId="5221"/>
    <cellStyle name="Input 30 3 2" xfId="20709"/>
    <cellStyle name="Input 30 3 2 2" xfId="20710"/>
    <cellStyle name="Input 30 3 2 2 2" xfId="20711"/>
    <cellStyle name="Input 30 3 2 3" xfId="20712"/>
    <cellStyle name="Input 30 3 2 3 2" xfId="20713"/>
    <cellStyle name="Input 30 3 2 4" xfId="20714"/>
    <cellStyle name="Input 30 3 2 4 2" xfId="20715"/>
    <cellStyle name="Input 30 3 2 5" xfId="20716"/>
    <cellStyle name="Input 30 3 2 6" xfId="20717"/>
    <cellStyle name="Input 30 3 2 7" xfId="20718"/>
    <cellStyle name="Input 30 3 2 8" xfId="20719"/>
    <cellStyle name="Input 30 3 2 9" xfId="20720"/>
    <cellStyle name="Input 30 3 3" xfId="20721"/>
    <cellStyle name="Input 30 3 3 2" xfId="20722"/>
    <cellStyle name="Input 30 3 3 2 2" xfId="20723"/>
    <cellStyle name="Input 30 3 3 3" xfId="20724"/>
    <cellStyle name="Input 30 3 3 3 2" xfId="20725"/>
    <cellStyle name="Input 30 3 3 4" xfId="20726"/>
    <cellStyle name="Input 30 3 3 5" xfId="20727"/>
    <cellStyle name="Input 30 3 3 6" xfId="20728"/>
    <cellStyle name="Input 30 3 4" xfId="20729"/>
    <cellStyle name="Input 30 3 5" xfId="20730"/>
    <cellStyle name="Input 30 3 6" xfId="20731"/>
    <cellStyle name="Input 30 3 7" xfId="20732"/>
    <cellStyle name="Input 30 3 8" xfId="20708"/>
    <cellStyle name="Input 30 3 9" xfId="43612"/>
    <cellStyle name="Input 30 4" xfId="5222"/>
    <cellStyle name="Input 30 4 10" xfId="20733"/>
    <cellStyle name="Input 30 4 11" xfId="43690"/>
    <cellStyle name="Input 30 4 2" xfId="3603"/>
    <cellStyle name="Input 30 4 2 2" xfId="20735"/>
    <cellStyle name="Input 30 4 2 3" xfId="20736"/>
    <cellStyle name="Input 30 4 2 4" xfId="20734"/>
    <cellStyle name="Input 30 4 3" xfId="20737"/>
    <cellStyle name="Input 30 4 3 2" xfId="20738"/>
    <cellStyle name="Input 30 4 4" xfId="20739"/>
    <cellStyle name="Input 30 4 4 2" xfId="20740"/>
    <cellStyle name="Input 30 4 5" xfId="20741"/>
    <cellStyle name="Input 30 4 6" xfId="20742"/>
    <cellStyle name="Input 30 4 7" xfId="20743"/>
    <cellStyle name="Input 30 4 8" xfId="20744"/>
    <cellStyle name="Input 30 4 9" xfId="20745"/>
    <cellStyle name="Input 30 5" xfId="3604"/>
    <cellStyle name="Input 30 5 10" xfId="20746"/>
    <cellStyle name="Input 30 5 11" xfId="44105"/>
    <cellStyle name="Input 30 5 2" xfId="3605"/>
    <cellStyle name="Input 30 5 2 2" xfId="20748"/>
    <cellStyle name="Input 30 5 2 3" xfId="20749"/>
    <cellStyle name="Input 30 5 2 4" xfId="20747"/>
    <cellStyle name="Input 30 5 3" xfId="20750"/>
    <cellStyle name="Input 30 5 3 2" xfId="20751"/>
    <cellStyle name="Input 30 5 4" xfId="20752"/>
    <cellStyle name="Input 30 5 4 2" xfId="20753"/>
    <cellStyle name="Input 30 5 5" xfId="20754"/>
    <cellStyle name="Input 30 5 6" xfId="20755"/>
    <cellStyle name="Input 30 5 7" xfId="20756"/>
    <cellStyle name="Input 30 5 8" xfId="20757"/>
    <cellStyle name="Input 30 5 9" xfId="20758"/>
    <cellStyle name="Input 30 6" xfId="3606"/>
    <cellStyle name="Input 30 6 2" xfId="20760"/>
    <cellStyle name="Input 30 6 2 2" xfId="20761"/>
    <cellStyle name="Input 30 6 3" xfId="20762"/>
    <cellStyle name="Input 30 6 3 2" xfId="20763"/>
    <cellStyle name="Input 30 6 4" xfId="20764"/>
    <cellStyle name="Input 30 6 5" xfId="20765"/>
    <cellStyle name="Input 30 6 6" xfId="20766"/>
    <cellStyle name="Input 30 6 7" xfId="20759"/>
    <cellStyle name="Input 30 7" xfId="3607"/>
    <cellStyle name="Input 30 7 2" xfId="20767"/>
    <cellStyle name="Input 30 8" xfId="8348"/>
    <cellStyle name="Input 30 9" xfId="20768"/>
    <cellStyle name="Input 31" xfId="2746"/>
    <cellStyle name="Input 31 10" xfId="20769"/>
    <cellStyle name="Input 31 11" xfId="40624"/>
    <cellStyle name="Input 31 2" xfId="5223"/>
    <cellStyle name="Input 31 2 2" xfId="20771"/>
    <cellStyle name="Input 31 2 2 10" xfId="43862"/>
    <cellStyle name="Input 31 2 2 2" xfId="20772"/>
    <cellStyle name="Input 31 2 2 2 2" xfId="20773"/>
    <cellStyle name="Input 31 2 2 2 3" xfId="20774"/>
    <cellStyle name="Input 31 2 2 3" xfId="20775"/>
    <cellStyle name="Input 31 2 2 3 2" xfId="20776"/>
    <cellStyle name="Input 31 2 2 4" xfId="20777"/>
    <cellStyle name="Input 31 2 2 4 2" xfId="20778"/>
    <cellStyle name="Input 31 2 2 5" xfId="20779"/>
    <cellStyle name="Input 31 2 2 6" xfId="20780"/>
    <cellStyle name="Input 31 2 2 7" xfId="20781"/>
    <cellStyle name="Input 31 2 2 8" xfId="20782"/>
    <cellStyle name="Input 31 2 2 9" xfId="20783"/>
    <cellStyle name="Input 31 2 3" xfId="20784"/>
    <cellStyle name="Input 31 2 3 2" xfId="20785"/>
    <cellStyle name="Input 31 2 3 2 2" xfId="20786"/>
    <cellStyle name="Input 31 2 3 2 3" xfId="20787"/>
    <cellStyle name="Input 31 2 3 3" xfId="20788"/>
    <cellStyle name="Input 31 2 3 3 2" xfId="20789"/>
    <cellStyle name="Input 31 2 3 4" xfId="20790"/>
    <cellStyle name="Input 31 2 3 5" xfId="20791"/>
    <cellStyle name="Input 31 2 3 6" xfId="20792"/>
    <cellStyle name="Input 31 2 3 7" xfId="43537"/>
    <cellStyle name="Input 31 2 4" xfId="20793"/>
    <cellStyle name="Input 31 2 4 2" xfId="20794"/>
    <cellStyle name="Input 31 2 4 3" xfId="44101"/>
    <cellStyle name="Input 31 2 5" xfId="20795"/>
    <cellStyle name="Input 31 2 6" xfId="20796"/>
    <cellStyle name="Input 31 2 7" xfId="20797"/>
    <cellStyle name="Input 31 2 8" xfId="20770"/>
    <cellStyle name="Input 31 2 9" xfId="41684"/>
    <cellStyle name="Input 31 3" xfId="3608"/>
    <cellStyle name="Input 31 3 2" xfId="20799"/>
    <cellStyle name="Input 31 3 2 2" xfId="20800"/>
    <cellStyle name="Input 31 3 2 2 2" xfId="20801"/>
    <cellStyle name="Input 31 3 2 3" xfId="20802"/>
    <cellStyle name="Input 31 3 2 3 2" xfId="20803"/>
    <cellStyle name="Input 31 3 2 4" xfId="20804"/>
    <cellStyle name="Input 31 3 2 4 2" xfId="20805"/>
    <cellStyle name="Input 31 3 2 5" xfId="20806"/>
    <cellStyle name="Input 31 3 2 6" xfId="20807"/>
    <cellStyle name="Input 31 3 2 7" xfId="20808"/>
    <cellStyle name="Input 31 3 2 8" xfId="20809"/>
    <cellStyle name="Input 31 3 2 9" xfId="20810"/>
    <cellStyle name="Input 31 3 3" xfId="20811"/>
    <cellStyle name="Input 31 3 3 2" xfId="20812"/>
    <cellStyle name="Input 31 3 3 2 2" xfId="20813"/>
    <cellStyle name="Input 31 3 3 3" xfId="20814"/>
    <cellStyle name="Input 31 3 3 3 2" xfId="20815"/>
    <cellStyle name="Input 31 3 3 4" xfId="20816"/>
    <cellStyle name="Input 31 3 3 5" xfId="20817"/>
    <cellStyle name="Input 31 3 3 6" xfId="20818"/>
    <cellStyle name="Input 31 3 4" xfId="20819"/>
    <cellStyle name="Input 31 3 5" xfId="20820"/>
    <cellStyle name="Input 31 3 6" xfId="20821"/>
    <cellStyle name="Input 31 3 7" xfId="20822"/>
    <cellStyle name="Input 31 3 8" xfId="20798"/>
    <cellStyle name="Input 31 3 9" xfId="43613"/>
    <cellStyle name="Input 31 4" xfId="5224"/>
    <cellStyle name="Input 31 4 10" xfId="20823"/>
    <cellStyle name="Input 31 4 11" xfId="43638"/>
    <cellStyle name="Input 31 4 2" xfId="5225"/>
    <cellStyle name="Input 31 4 2 2" xfId="20825"/>
    <cellStyle name="Input 31 4 2 3" xfId="20826"/>
    <cellStyle name="Input 31 4 2 4" xfId="20824"/>
    <cellStyle name="Input 31 4 3" xfId="20827"/>
    <cellStyle name="Input 31 4 3 2" xfId="20828"/>
    <cellStyle name="Input 31 4 4" xfId="20829"/>
    <cellStyle name="Input 31 4 4 2" xfId="20830"/>
    <cellStyle name="Input 31 4 5" xfId="20831"/>
    <cellStyle name="Input 31 4 6" xfId="20832"/>
    <cellStyle name="Input 31 4 7" xfId="20833"/>
    <cellStyle name="Input 31 4 8" xfId="20834"/>
    <cellStyle name="Input 31 4 9" xfId="20835"/>
    <cellStyle name="Input 31 5" xfId="5226"/>
    <cellStyle name="Input 31 5 10" xfId="20836"/>
    <cellStyle name="Input 31 5 11" xfId="43589"/>
    <cellStyle name="Input 31 5 2" xfId="5227"/>
    <cellStyle name="Input 31 5 2 2" xfId="20838"/>
    <cellStyle name="Input 31 5 2 3" xfId="20839"/>
    <cellStyle name="Input 31 5 2 4" xfId="20837"/>
    <cellStyle name="Input 31 5 3" xfId="20840"/>
    <cellStyle name="Input 31 5 3 2" xfId="20841"/>
    <cellStyle name="Input 31 5 4" xfId="20842"/>
    <cellStyle name="Input 31 5 4 2" xfId="20843"/>
    <cellStyle name="Input 31 5 5" xfId="20844"/>
    <cellStyle name="Input 31 5 6" xfId="20845"/>
    <cellStyle name="Input 31 5 7" xfId="20846"/>
    <cellStyle name="Input 31 5 8" xfId="20847"/>
    <cellStyle name="Input 31 5 9" xfId="20848"/>
    <cellStyle name="Input 31 6" xfId="4789"/>
    <cellStyle name="Input 31 6 2" xfId="20850"/>
    <cellStyle name="Input 31 6 2 2" xfId="20851"/>
    <cellStyle name="Input 31 6 3" xfId="20852"/>
    <cellStyle name="Input 31 6 3 2" xfId="20853"/>
    <cellStyle name="Input 31 6 4" xfId="20854"/>
    <cellStyle name="Input 31 6 5" xfId="20855"/>
    <cellStyle name="Input 31 6 6" xfId="20856"/>
    <cellStyle name="Input 31 6 7" xfId="20849"/>
    <cellStyle name="Input 31 7" xfId="4790"/>
    <cellStyle name="Input 31 7 2" xfId="20857"/>
    <cellStyle name="Input 31 8" xfId="8349"/>
    <cellStyle name="Input 31 9" xfId="20858"/>
    <cellStyle name="Input 32" xfId="2747"/>
    <cellStyle name="Input 32 10" xfId="20859"/>
    <cellStyle name="Input 32 11" xfId="40625"/>
    <cellStyle name="Input 32 2" xfId="4791"/>
    <cellStyle name="Input 32 2 2" xfId="20861"/>
    <cellStyle name="Input 32 2 2 10" xfId="43842"/>
    <cellStyle name="Input 32 2 2 2" xfId="20862"/>
    <cellStyle name="Input 32 2 2 2 2" xfId="20863"/>
    <cellStyle name="Input 32 2 2 2 3" xfId="20864"/>
    <cellStyle name="Input 32 2 2 3" xfId="20865"/>
    <cellStyle name="Input 32 2 2 3 2" xfId="20866"/>
    <cellStyle name="Input 32 2 2 4" xfId="20867"/>
    <cellStyle name="Input 32 2 2 4 2" xfId="20868"/>
    <cellStyle name="Input 32 2 2 5" xfId="20869"/>
    <cellStyle name="Input 32 2 2 6" xfId="20870"/>
    <cellStyle name="Input 32 2 2 7" xfId="20871"/>
    <cellStyle name="Input 32 2 2 8" xfId="20872"/>
    <cellStyle name="Input 32 2 2 9" xfId="20873"/>
    <cellStyle name="Input 32 2 3" xfId="20874"/>
    <cellStyle name="Input 32 2 3 2" xfId="20875"/>
    <cellStyle name="Input 32 2 3 2 2" xfId="20876"/>
    <cellStyle name="Input 32 2 3 2 3" xfId="20877"/>
    <cellStyle name="Input 32 2 3 3" xfId="20878"/>
    <cellStyle name="Input 32 2 3 3 2" xfId="20879"/>
    <cellStyle name="Input 32 2 3 4" xfId="20880"/>
    <cellStyle name="Input 32 2 3 5" xfId="20881"/>
    <cellStyle name="Input 32 2 3 6" xfId="20882"/>
    <cellStyle name="Input 32 2 3 7" xfId="43791"/>
    <cellStyle name="Input 32 2 4" xfId="20883"/>
    <cellStyle name="Input 32 2 4 2" xfId="20884"/>
    <cellStyle name="Input 32 2 4 3" xfId="45337"/>
    <cellStyle name="Input 32 2 5" xfId="20885"/>
    <cellStyle name="Input 32 2 6" xfId="20886"/>
    <cellStyle name="Input 32 2 7" xfId="20887"/>
    <cellStyle name="Input 32 2 8" xfId="20860"/>
    <cellStyle name="Input 32 2 9" xfId="41653"/>
    <cellStyle name="Input 32 3" xfId="4792"/>
    <cellStyle name="Input 32 3 2" xfId="20889"/>
    <cellStyle name="Input 32 3 2 2" xfId="20890"/>
    <cellStyle name="Input 32 3 2 2 2" xfId="20891"/>
    <cellStyle name="Input 32 3 2 3" xfId="20892"/>
    <cellStyle name="Input 32 3 2 3 2" xfId="20893"/>
    <cellStyle name="Input 32 3 2 4" xfId="20894"/>
    <cellStyle name="Input 32 3 2 4 2" xfId="20895"/>
    <cellStyle name="Input 32 3 2 5" xfId="20896"/>
    <cellStyle name="Input 32 3 2 6" xfId="20897"/>
    <cellStyle name="Input 32 3 2 7" xfId="20898"/>
    <cellStyle name="Input 32 3 2 8" xfId="20899"/>
    <cellStyle name="Input 32 3 2 9" xfId="20900"/>
    <cellStyle name="Input 32 3 3" xfId="20901"/>
    <cellStyle name="Input 32 3 3 2" xfId="20902"/>
    <cellStyle name="Input 32 3 3 2 2" xfId="20903"/>
    <cellStyle name="Input 32 3 3 3" xfId="20904"/>
    <cellStyle name="Input 32 3 3 3 2" xfId="20905"/>
    <cellStyle name="Input 32 3 3 4" xfId="20906"/>
    <cellStyle name="Input 32 3 3 5" xfId="20907"/>
    <cellStyle name="Input 32 3 3 6" xfId="20908"/>
    <cellStyle name="Input 32 3 4" xfId="20909"/>
    <cellStyle name="Input 32 3 5" xfId="20910"/>
    <cellStyle name="Input 32 3 6" xfId="20911"/>
    <cellStyle name="Input 32 3 7" xfId="20912"/>
    <cellStyle name="Input 32 3 8" xfId="20888"/>
    <cellStyle name="Input 32 3 9" xfId="43614"/>
    <cellStyle name="Input 32 4" xfId="4793"/>
    <cellStyle name="Input 32 4 10" xfId="20913"/>
    <cellStyle name="Input 32 4 11" xfId="43661"/>
    <cellStyle name="Input 32 4 2" xfId="3609"/>
    <cellStyle name="Input 32 4 2 2" xfId="20915"/>
    <cellStyle name="Input 32 4 2 3" xfId="20916"/>
    <cellStyle name="Input 32 4 2 4" xfId="20914"/>
    <cellStyle name="Input 32 4 3" xfId="20917"/>
    <cellStyle name="Input 32 4 3 2" xfId="20918"/>
    <cellStyle name="Input 32 4 4" xfId="20919"/>
    <cellStyle name="Input 32 4 4 2" xfId="20920"/>
    <cellStyle name="Input 32 4 5" xfId="20921"/>
    <cellStyle name="Input 32 4 6" xfId="20922"/>
    <cellStyle name="Input 32 4 7" xfId="20923"/>
    <cellStyle name="Input 32 4 8" xfId="20924"/>
    <cellStyle name="Input 32 4 9" xfId="20925"/>
    <cellStyle name="Input 32 5" xfId="4794"/>
    <cellStyle name="Input 32 5 10" xfId="20926"/>
    <cellStyle name="Input 32 5 11" xfId="44126"/>
    <cellStyle name="Input 32 5 2" xfId="4795"/>
    <cellStyle name="Input 32 5 2 2" xfId="20928"/>
    <cellStyle name="Input 32 5 2 3" xfId="20929"/>
    <cellStyle name="Input 32 5 2 4" xfId="20927"/>
    <cellStyle name="Input 32 5 3" xfId="20930"/>
    <cellStyle name="Input 32 5 3 2" xfId="20931"/>
    <cellStyle name="Input 32 5 4" xfId="20932"/>
    <cellStyle name="Input 32 5 4 2" xfId="20933"/>
    <cellStyle name="Input 32 5 5" xfId="20934"/>
    <cellStyle name="Input 32 5 6" xfId="20935"/>
    <cellStyle name="Input 32 5 7" xfId="20936"/>
    <cellStyle name="Input 32 5 8" xfId="20937"/>
    <cellStyle name="Input 32 5 9" xfId="20938"/>
    <cellStyle name="Input 32 6" xfId="5228"/>
    <cellStyle name="Input 32 6 2" xfId="20940"/>
    <cellStyle name="Input 32 6 2 2" xfId="20941"/>
    <cellStyle name="Input 32 6 3" xfId="20942"/>
    <cellStyle name="Input 32 6 3 2" xfId="20943"/>
    <cellStyle name="Input 32 6 4" xfId="20944"/>
    <cellStyle name="Input 32 6 5" xfId="20945"/>
    <cellStyle name="Input 32 6 6" xfId="20946"/>
    <cellStyle name="Input 32 6 7" xfId="20939"/>
    <cellStyle name="Input 32 7" xfId="5229"/>
    <cellStyle name="Input 32 7 2" xfId="20947"/>
    <cellStyle name="Input 32 8" xfId="8350"/>
    <cellStyle name="Input 32 9" xfId="20948"/>
    <cellStyle name="Input 33" xfId="2748"/>
    <cellStyle name="Input 33 10" xfId="20949"/>
    <cellStyle name="Input 33 11" xfId="40626"/>
    <cellStyle name="Input 33 2" xfId="5230"/>
    <cellStyle name="Input 33 2 2" xfId="20951"/>
    <cellStyle name="Input 33 2 2 10" xfId="43889"/>
    <cellStyle name="Input 33 2 2 2" xfId="20952"/>
    <cellStyle name="Input 33 2 2 2 2" xfId="20953"/>
    <cellStyle name="Input 33 2 2 2 3" xfId="20954"/>
    <cellStyle name="Input 33 2 2 3" xfId="20955"/>
    <cellStyle name="Input 33 2 2 3 2" xfId="20956"/>
    <cellStyle name="Input 33 2 2 4" xfId="20957"/>
    <cellStyle name="Input 33 2 2 4 2" xfId="20958"/>
    <cellStyle name="Input 33 2 2 5" xfId="20959"/>
    <cellStyle name="Input 33 2 2 6" xfId="20960"/>
    <cellStyle name="Input 33 2 2 7" xfId="20961"/>
    <cellStyle name="Input 33 2 2 8" xfId="20962"/>
    <cellStyle name="Input 33 2 2 9" xfId="20963"/>
    <cellStyle name="Input 33 2 3" xfId="20964"/>
    <cellStyle name="Input 33 2 3 2" xfId="20965"/>
    <cellStyle name="Input 33 2 3 2 2" xfId="20966"/>
    <cellStyle name="Input 33 2 3 2 3" xfId="20967"/>
    <cellStyle name="Input 33 2 3 3" xfId="20968"/>
    <cellStyle name="Input 33 2 3 3 2" xfId="20969"/>
    <cellStyle name="Input 33 2 3 4" xfId="20970"/>
    <cellStyle name="Input 33 2 3 5" xfId="20971"/>
    <cellStyle name="Input 33 2 3 6" xfId="20972"/>
    <cellStyle name="Input 33 2 3 7" xfId="43667"/>
    <cellStyle name="Input 33 2 4" xfId="20973"/>
    <cellStyle name="Input 33 2 4 2" xfId="20974"/>
    <cellStyle name="Input 33 2 4 3" xfId="43942"/>
    <cellStyle name="Input 33 2 5" xfId="20975"/>
    <cellStyle name="Input 33 2 6" xfId="20976"/>
    <cellStyle name="Input 33 2 7" xfId="20977"/>
    <cellStyle name="Input 33 2 8" xfId="20950"/>
    <cellStyle name="Input 33 2 9" xfId="41731"/>
    <cellStyle name="Input 33 3" xfId="5231"/>
    <cellStyle name="Input 33 3 2" xfId="20979"/>
    <cellStyle name="Input 33 3 2 2" xfId="20980"/>
    <cellStyle name="Input 33 3 2 2 2" xfId="20981"/>
    <cellStyle name="Input 33 3 2 3" xfId="20982"/>
    <cellStyle name="Input 33 3 2 3 2" xfId="20983"/>
    <cellStyle name="Input 33 3 2 4" xfId="20984"/>
    <cellStyle name="Input 33 3 2 4 2" xfId="20985"/>
    <cellStyle name="Input 33 3 2 5" xfId="20986"/>
    <cellStyle name="Input 33 3 2 6" xfId="20987"/>
    <cellStyle name="Input 33 3 2 7" xfId="20988"/>
    <cellStyle name="Input 33 3 2 8" xfId="20989"/>
    <cellStyle name="Input 33 3 2 9" xfId="20990"/>
    <cellStyle name="Input 33 3 3" xfId="20991"/>
    <cellStyle name="Input 33 3 3 2" xfId="20992"/>
    <cellStyle name="Input 33 3 3 2 2" xfId="20993"/>
    <cellStyle name="Input 33 3 3 3" xfId="20994"/>
    <cellStyle name="Input 33 3 3 3 2" xfId="20995"/>
    <cellStyle name="Input 33 3 3 4" xfId="20996"/>
    <cellStyle name="Input 33 3 3 5" xfId="20997"/>
    <cellStyle name="Input 33 3 3 6" xfId="20998"/>
    <cellStyle name="Input 33 3 4" xfId="20999"/>
    <cellStyle name="Input 33 3 5" xfId="21000"/>
    <cellStyle name="Input 33 3 6" xfId="21001"/>
    <cellStyle name="Input 33 3 7" xfId="21002"/>
    <cellStyle name="Input 33 3 8" xfId="20978"/>
    <cellStyle name="Input 33 3 9" xfId="43615"/>
    <cellStyle name="Input 33 4" xfId="3610"/>
    <cellStyle name="Input 33 4 10" xfId="21003"/>
    <cellStyle name="Input 33 4 11" xfId="43662"/>
    <cellStyle name="Input 33 4 2" xfId="3611"/>
    <cellStyle name="Input 33 4 2 2" xfId="21005"/>
    <cellStyle name="Input 33 4 2 3" xfId="21006"/>
    <cellStyle name="Input 33 4 2 4" xfId="21004"/>
    <cellStyle name="Input 33 4 3" xfId="21007"/>
    <cellStyle name="Input 33 4 3 2" xfId="21008"/>
    <cellStyle name="Input 33 4 4" xfId="21009"/>
    <cellStyle name="Input 33 4 4 2" xfId="21010"/>
    <cellStyle name="Input 33 4 5" xfId="21011"/>
    <cellStyle name="Input 33 4 6" xfId="21012"/>
    <cellStyle name="Input 33 4 7" xfId="21013"/>
    <cellStyle name="Input 33 4 8" xfId="21014"/>
    <cellStyle name="Input 33 4 9" xfId="21015"/>
    <cellStyle name="Input 33 5" xfId="3612"/>
    <cellStyle name="Input 33 5 10" xfId="21016"/>
    <cellStyle name="Input 33 5 11" xfId="45253"/>
    <cellStyle name="Input 33 5 2" xfId="3613"/>
    <cellStyle name="Input 33 5 2 2" xfId="21018"/>
    <cellStyle name="Input 33 5 2 3" xfId="21019"/>
    <cellStyle name="Input 33 5 2 4" xfId="21017"/>
    <cellStyle name="Input 33 5 3" xfId="21020"/>
    <cellStyle name="Input 33 5 3 2" xfId="21021"/>
    <cellStyle name="Input 33 5 4" xfId="21022"/>
    <cellStyle name="Input 33 5 4 2" xfId="21023"/>
    <cellStyle name="Input 33 5 5" xfId="21024"/>
    <cellStyle name="Input 33 5 6" xfId="21025"/>
    <cellStyle name="Input 33 5 7" xfId="21026"/>
    <cellStyle name="Input 33 5 8" xfId="21027"/>
    <cellStyle name="Input 33 5 9" xfId="21028"/>
    <cellStyle name="Input 33 6" xfId="3614"/>
    <cellStyle name="Input 33 6 2" xfId="21030"/>
    <cellStyle name="Input 33 6 2 2" xfId="21031"/>
    <cellStyle name="Input 33 6 3" xfId="21032"/>
    <cellStyle name="Input 33 6 3 2" xfId="21033"/>
    <cellStyle name="Input 33 6 4" xfId="21034"/>
    <cellStyle name="Input 33 6 5" xfId="21035"/>
    <cellStyle name="Input 33 6 6" xfId="21036"/>
    <cellStyle name="Input 33 6 7" xfId="21029"/>
    <cellStyle name="Input 33 7" xfId="3615"/>
    <cellStyle name="Input 33 7 2" xfId="21037"/>
    <cellStyle name="Input 33 8" xfId="8351"/>
    <cellStyle name="Input 33 9" xfId="21038"/>
    <cellStyle name="Input 34" xfId="2749"/>
    <cellStyle name="Input 34 10" xfId="21039"/>
    <cellStyle name="Input 34 11" xfId="40627"/>
    <cellStyle name="Input 34 2" xfId="3616"/>
    <cellStyle name="Input 34 2 2" xfId="21041"/>
    <cellStyle name="Input 34 2 2 10" xfId="43913"/>
    <cellStyle name="Input 34 2 2 2" xfId="21042"/>
    <cellStyle name="Input 34 2 2 2 2" xfId="21043"/>
    <cellStyle name="Input 34 2 2 2 3" xfId="21044"/>
    <cellStyle name="Input 34 2 2 3" xfId="21045"/>
    <cellStyle name="Input 34 2 2 3 2" xfId="21046"/>
    <cellStyle name="Input 34 2 2 4" xfId="21047"/>
    <cellStyle name="Input 34 2 2 4 2" xfId="21048"/>
    <cellStyle name="Input 34 2 2 5" xfId="21049"/>
    <cellStyle name="Input 34 2 2 6" xfId="21050"/>
    <cellStyle name="Input 34 2 2 7" xfId="21051"/>
    <cellStyle name="Input 34 2 2 8" xfId="21052"/>
    <cellStyle name="Input 34 2 2 9" xfId="21053"/>
    <cellStyle name="Input 34 2 3" xfId="21054"/>
    <cellStyle name="Input 34 2 3 2" xfId="21055"/>
    <cellStyle name="Input 34 2 3 2 2" xfId="21056"/>
    <cellStyle name="Input 34 2 3 2 3" xfId="21057"/>
    <cellStyle name="Input 34 2 3 3" xfId="21058"/>
    <cellStyle name="Input 34 2 3 3 2" xfId="21059"/>
    <cellStyle name="Input 34 2 3 4" xfId="21060"/>
    <cellStyle name="Input 34 2 3 5" xfId="21061"/>
    <cellStyle name="Input 34 2 3 6" xfId="21062"/>
    <cellStyle name="Input 34 2 3 7" xfId="43647"/>
    <cellStyle name="Input 34 2 4" xfId="21063"/>
    <cellStyle name="Input 34 2 4 2" xfId="21064"/>
    <cellStyle name="Input 34 2 4 3" xfId="44138"/>
    <cellStyle name="Input 34 2 5" xfId="21065"/>
    <cellStyle name="Input 34 2 6" xfId="21066"/>
    <cellStyle name="Input 34 2 7" xfId="21067"/>
    <cellStyle name="Input 34 2 8" xfId="21040"/>
    <cellStyle name="Input 34 2 9" xfId="41767"/>
    <cellStyle name="Input 34 3" xfId="3617"/>
    <cellStyle name="Input 34 3 2" xfId="21069"/>
    <cellStyle name="Input 34 3 2 2" xfId="21070"/>
    <cellStyle name="Input 34 3 2 2 2" xfId="21071"/>
    <cellStyle name="Input 34 3 2 3" xfId="21072"/>
    <cellStyle name="Input 34 3 2 3 2" xfId="21073"/>
    <cellStyle name="Input 34 3 2 4" xfId="21074"/>
    <cellStyle name="Input 34 3 2 4 2" xfId="21075"/>
    <cellStyle name="Input 34 3 2 5" xfId="21076"/>
    <cellStyle name="Input 34 3 2 6" xfId="21077"/>
    <cellStyle name="Input 34 3 2 7" xfId="21078"/>
    <cellStyle name="Input 34 3 2 8" xfId="21079"/>
    <cellStyle name="Input 34 3 2 9" xfId="21080"/>
    <cellStyle name="Input 34 3 3" xfId="21081"/>
    <cellStyle name="Input 34 3 3 2" xfId="21082"/>
    <cellStyle name="Input 34 3 3 2 2" xfId="21083"/>
    <cellStyle name="Input 34 3 3 3" xfId="21084"/>
    <cellStyle name="Input 34 3 3 3 2" xfId="21085"/>
    <cellStyle name="Input 34 3 3 4" xfId="21086"/>
    <cellStyle name="Input 34 3 3 5" xfId="21087"/>
    <cellStyle name="Input 34 3 3 6" xfId="21088"/>
    <cellStyle name="Input 34 3 4" xfId="21089"/>
    <cellStyle name="Input 34 3 5" xfId="21090"/>
    <cellStyle name="Input 34 3 6" xfId="21091"/>
    <cellStyle name="Input 34 3 7" xfId="21092"/>
    <cellStyle name="Input 34 3 8" xfId="21068"/>
    <cellStyle name="Input 34 3 9" xfId="43616"/>
    <cellStyle name="Input 34 4" xfId="3618"/>
    <cellStyle name="Input 34 4 10" xfId="21093"/>
    <cellStyle name="Input 34 4 11" xfId="43728"/>
    <cellStyle name="Input 34 4 2" xfId="5232"/>
    <cellStyle name="Input 34 4 2 2" xfId="21095"/>
    <cellStyle name="Input 34 4 2 3" xfId="21096"/>
    <cellStyle name="Input 34 4 2 4" xfId="21094"/>
    <cellStyle name="Input 34 4 3" xfId="21097"/>
    <cellStyle name="Input 34 4 3 2" xfId="21098"/>
    <cellStyle name="Input 34 4 4" xfId="21099"/>
    <cellStyle name="Input 34 4 4 2" xfId="21100"/>
    <cellStyle name="Input 34 4 5" xfId="21101"/>
    <cellStyle name="Input 34 4 6" xfId="21102"/>
    <cellStyle name="Input 34 4 7" xfId="21103"/>
    <cellStyle name="Input 34 4 8" xfId="21104"/>
    <cellStyle name="Input 34 4 9" xfId="21105"/>
    <cellStyle name="Input 34 5" xfId="3514"/>
    <cellStyle name="Input 34 5 10" xfId="21106"/>
    <cellStyle name="Input 34 5 11" xfId="43726"/>
    <cellStyle name="Input 34 5 2" xfId="5233"/>
    <cellStyle name="Input 34 5 2 2" xfId="21108"/>
    <cellStyle name="Input 34 5 2 3" xfId="21109"/>
    <cellStyle name="Input 34 5 2 4" xfId="21107"/>
    <cellStyle name="Input 34 5 3" xfId="21110"/>
    <cellStyle name="Input 34 5 3 2" xfId="21111"/>
    <cellStyle name="Input 34 5 4" xfId="21112"/>
    <cellStyle name="Input 34 5 4 2" xfId="21113"/>
    <cellStyle name="Input 34 5 5" xfId="21114"/>
    <cellStyle name="Input 34 5 6" xfId="21115"/>
    <cellStyle name="Input 34 5 7" xfId="21116"/>
    <cellStyle name="Input 34 5 8" xfId="21117"/>
    <cellStyle name="Input 34 5 9" xfId="21118"/>
    <cellStyle name="Input 34 6" xfId="3253"/>
    <cellStyle name="Input 34 6 2" xfId="21120"/>
    <cellStyle name="Input 34 6 2 2" xfId="21121"/>
    <cellStyle name="Input 34 6 3" xfId="21122"/>
    <cellStyle name="Input 34 6 3 2" xfId="21123"/>
    <cellStyle name="Input 34 6 4" xfId="21124"/>
    <cellStyle name="Input 34 6 5" xfId="21125"/>
    <cellStyle name="Input 34 6 6" xfId="21126"/>
    <cellStyle name="Input 34 6 7" xfId="21119"/>
    <cellStyle name="Input 34 7" xfId="5234"/>
    <cellStyle name="Input 34 7 2" xfId="21127"/>
    <cellStyle name="Input 34 8" xfId="8352"/>
    <cellStyle name="Input 34 9" xfId="21128"/>
    <cellStyle name="Input 35" xfId="2750"/>
    <cellStyle name="Input 35 10" xfId="21129"/>
    <cellStyle name="Input 35 11" xfId="40628"/>
    <cellStyle name="Input 35 2" xfId="5235"/>
    <cellStyle name="Input 35 2 2" xfId="21131"/>
    <cellStyle name="Input 35 2 2 10" xfId="43914"/>
    <cellStyle name="Input 35 2 2 2" xfId="21132"/>
    <cellStyle name="Input 35 2 2 2 2" xfId="21133"/>
    <cellStyle name="Input 35 2 2 2 3" xfId="21134"/>
    <cellStyle name="Input 35 2 2 3" xfId="21135"/>
    <cellStyle name="Input 35 2 2 3 2" xfId="21136"/>
    <cellStyle name="Input 35 2 2 4" xfId="21137"/>
    <cellStyle name="Input 35 2 2 4 2" xfId="21138"/>
    <cellStyle name="Input 35 2 2 5" xfId="21139"/>
    <cellStyle name="Input 35 2 2 6" xfId="21140"/>
    <cellStyle name="Input 35 2 2 7" xfId="21141"/>
    <cellStyle name="Input 35 2 2 8" xfId="21142"/>
    <cellStyle name="Input 35 2 2 9" xfId="21143"/>
    <cellStyle name="Input 35 2 3" xfId="21144"/>
    <cellStyle name="Input 35 2 3 2" xfId="21145"/>
    <cellStyle name="Input 35 2 3 2 2" xfId="21146"/>
    <cellStyle name="Input 35 2 3 2 3" xfId="21147"/>
    <cellStyle name="Input 35 2 3 3" xfId="21148"/>
    <cellStyle name="Input 35 2 3 3 2" xfId="21149"/>
    <cellStyle name="Input 35 2 3 4" xfId="21150"/>
    <cellStyle name="Input 35 2 3 5" xfId="21151"/>
    <cellStyle name="Input 35 2 3 6" xfId="21152"/>
    <cellStyle name="Input 35 2 3 7" xfId="43786"/>
    <cellStyle name="Input 35 2 4" xfId="21153"/>
    <cellStyle name="Input 35 2 4 2" xfId="21154"/>
    <cellStyle name="Input 35 2 4 3" xfId="43642"/>
    <cellStyle name="Input 35 2 5" xfId="21155"/>
    <cellStyle name="Input 35 2 6" xfId="21156"/>
    <cellStyle name="Input 35 2 7" xfId="21157"/>
    <cellStyle name="Input 35 2 8" xfId="21130"/>
    <cellStyle name="Input 35 2 9" xfId="41773"/>
    <cellStyle name="Input 35 3" xfId="4796"/>
    <cellStyle name="Input 35 3 2" xfId="21159"/>
    <cellStyle name="Input 35 3 2 2" xfId="21160"/>
    <cellStyle name="Input 35 3 2 2 2" xfId="21161"/>
    <cellStyle name="Input 35 3 2 3" xfId="21162"/>
    <cellStyle name="Input 35 3 2 3 2" xfId="21163"/>
    <cellStyle name="Input 35 3 2 4" xfId="21164"/>
    <cellStyle name="Input 35 3 2 4 2" xfId="21165"/>
    <cellStyle name="Input 35 3 2 5" xfId="21166"/>
    <cellStyle name="Input 35 3 2 6" xfId="21167"/>
    <cellStyle name="Input 35 3 2 7" xfId="21168"/>
    <cellStyle name="Input 35 3 2 8" xfId="21169"/>
    <cellStyle name="Input 35 3 2 9" xfId="21170"/>
    <cellStyle name="Input 35 3 3" xfId="21171"/>
    <cellStyle name="Input 35 3 3 2" xfId="21172"/>
    <cellStyle name="Input 35 3 3 2 2" xfId="21173"/>
    <cellStyle name="Input 35 3 3 3" xfId="21174"/>
    <cellStyle name="Input 35 3 3 3 2" xfId="21175"/>
    <cellStyle name="Input 35 3 3 4" xfId="21176"/>
    <cellStyle name="Input 35 3 3 5" xfId="21177"/>
    <cellStyle name="Input 35 3 3 6" xfId="21178"/>
    <cellStyle name="Input 35 3 4" xfId="21179"/>
    <cellStyle name="Input 35 3 5" xfId="21180"/>
    <cellStyle name="Input 35 3 6" xfId="21181"/>
    <cellStyle name="Input 35 3 7" xfId="21182"/>
    <cellStyle name="Input 35 3 8" xfId="21158"/>
    <cellStyle name="Input 35 3 9" xfId="43617"/>
    <cellStyle name="Input 35 4" xfId="3515"/>
    <cellStyle name="Input 35 4 10" xfId="21183"/>
    <cellStyle name="Input 35 4 11" xfId="43697"/>
    <cellStyle name="Input 35 4 2" xfId="4797"/>
    <cellStyle name="Input 35 4 2 2" xfId="21185"/>
    <cellStyle name="Input 35 4 2 3" xfId="21186"/>
    <cellStyle name="Input 35 4 2 4" xfId="21184"/>
    <cellStyle name="Input 35 4 3" xfId="21187"/>
    <cellStyle name="Input 35 4 3 2" xfId="21188"/>
    <cellStyle name="Input 35 4 4" xfId="21189"/>
    <cellStyle name="Input 35 4 4 2" xfId="21190"/>
    <cellStyle name="Input 35 4 5" xfId="21191"/>
    <cellStyle name="Input 35 4 6" xfId="21192"/>
    <cellStyle name="Input 35 4 7" xfId="21193"/>
    <cellStyle name="Input 35 4 8" xfId="21194"/>
    <cellStyle name="Input 35 4 9" xfId="21195"/>
    <cellStyle name="Input 35 5" xfId="3254"/>
    <cellStyle name="Input 35 5 10" xfId="21196"/>
    <cellStyle name="Input 35 5 11" xfId="44118"/>
    <cellStyle name="Input 35 5 2" xfId="4798"/>
    <cellStyle name="Input 35 5 2 2" xfId="21198"/>
    <cellStyle name="Input 35 5 2 3" xfId="21199"/>
    <cellStyle name="Input 35 5 2 4" xfId="21197"/>
    <cellStyle name="Input 35 5 3" xfId="21200"/>
    <cellStyle name="Input 35 5 3 2" xfId="21201"/>
    <cellStyle name="Input 35 5 4" xfId="21202"/>
    <cellStyle name="Input 35 5 4 2" xfId="21203"/>
    <cellStyle name="Input 35 5 5" xfId="21204"/>
    <cellStyle name="Input 35 5 6" xfId="21205"/>
    <cellStyle name="Input 35 5 7" xfId="21206"/>
    <cellStyle name="Input 35 5 8" xfId="21207"/>
    <cellStyle name="Input 35 5 9" xfId="21208"/>
    <cellStyle name="Input 35 6" xfId="4799"/>
    <cellStyle name="Input 35 6 2" xfId="21210"/>
    <cellStyle name="Input 35 6 2 2" xfId="21211"/>
    <cellStyle name="Input 35 6 3" xfId="21212"/>
    <cellStyle name="Input 35 6 3 2" xfId="21213"/>
    <cellStyle name="Input 35 6 4" xfId="21214"/>
    <cellStyle name="Input 35 6 5" xfId="21215"/>
    <cellStyle name="Input 35 6 6" xfId="21216"/>
    <cellStyle name="Input 35 6 7" xfId="21209"/>
    <cellStyle name="Input 35 7" xfId="4800"/>
    <cellStyle name="Input 35 7 2" xfId="21217"/>
    <cellStyle name="Input 35 8" xfId="8353"/>
    <cellStyle name="Input 35 9" xfId="21218"/>
    <cellStyle name="Input 36" xfId="2751"/>
    <cellStyle name="Input 36 10" xfId="21219"/>
    <cellStyle name="Input 36 11" xfId="40629"/>
    <cellStyle name="Input 36 2" xfId="4942"/>
    <cellStyle name="Input 36 2 2" xfId="21221"/>
    <cellStyle name="Input 36 2 2 2" xfId="21222"/>
    <cellStyle name="Input 36 2 2 2 2" xfId="21223"/>
    <cellStyle name="Input 36 2 2 2 3" xfId="21224"/>
    <cellStyle name="Input 36 2 2 3" xfId="21225"/>
    <cellStyle name="Input 36 2 2 3 2" xfId="21226"/>
    <cellStyle name="Input 36 2 2 4" xfId="21227"/>
    <cellStyle name="Input 36 2 2 4 2" xfId="21228"/>
    <cellStyle name="Input 36 2 2 5" xfId="21229"/>
    <cellStyle name="Input 36 2 2 6" xfId="21230"/>
    <cellStyle name="Input 36 2 2 7" xfId="21231"/>
    <cellStyle name="Input 36 2 2 8" xfId="21232"/>
    <cellStyle name="Input 36 2 2 9" xfId="21233"/>
    <cellStyle name="Input 36 2 3" xfId="21234"/>
    <cellStyle name="Input 36 2 3 2" xfId="21235"/>
    <cellStyle name="Input 36 2 3 2 2" xfId="21236"/>
    <cellStyle name="Input 36 2 3 2 3" xfId="21237"/>
    <cellStyle name="Input 36 2 3 3" xfId="21238"/>
    <cellStyle name="Input 36 2 3 3 2" xfId="21239"/>
    <cellStyle name="Input 36 2 3 4" xfId="21240"/>
    <cellStyle name="Input 36 2 3 5" xfId="21241"/>
    <cellStyle name="Input 36 2 3 6" xfId="21242"/>
    <cellStyle name="Input 36 2 4" xfId="21243"/>
    <cellStyle name="Input 36 2 4 2" xfId="21244"/>
    <cellStyle name="Input 36 2 5" xfId="21245"/>
    <cellStyle name="Input 36 2 6" xfId="21246"/>
    <cellStyle name="Input 36 2 7" xfId="21247"/>
    <cellStyle name="Input 36 2 8" xfId="21220"/>
    <cellStyle name="Input 36 2 9" xfId="43618"/>
    <cellStyle name="Input 36 3" xfId="3516"/>
    <cellStyle name="Input 36 3 2" xfId="21249"/>
    <cellStyle name="Input 36 3 2 2" xfId="21250"/>
    <cellStyle name="Input 36 3 2 2 2" xfId="21251"/>
    <cellStyle name="Input 36 3 2 3" xfId="21252"/>
    <cellStyle name="Input 36 3 2 3 2" xfId="21253"/>
    <cellStyle name="Input 36 3 2 4" xfId="21254"/>
    <cellStyle name="Input 36 3 2 4 2" xfId="21255"/>
    <cellStyle name="Input 36 3 2 5" xfId="21256"/>
    <cellStyle name="Input 36 3 2 6" xfId="21257"/>
    <cellStyle name="Input 36 3 2 7" xfId="21258"/>
    <cellStyle name="Input 36 3 2 8" xfId="21259"/>
    <cellStyle name="Input 36 3 2 9" xfId="21260"/>
    <cellStyle name="Input 36 3 3" xfId="21261"/>
    <cellStyle name="Input 36 3 3 2" xfId="21262"/>
    <cellStyle name="Input 36 3 3 2 2" xfId="21263"/>
    <cellStyle name="Input 36 3 3 3" xfId="21264"/>
    <cellStyle name="Input 36 3 3 3 2" xfId="21265"/>
    <cellStyle name="Input 36 3 3 4" xfId="21266"/>
    <cellStyle name="Input 36 3 3 5" xfId="21267"/>
    <cellStyle name="Input 36 3 3 6" xfId="21268"/>
    <cellStyle name="Input 36 3 4" xfId="21269"/>
    <cellStyle name="Input 36 3 5" xfId="21270"/>
    <cellStyle name="Input 36 3 6" xfId="21271"/>
    <cellStyle name="Input 36 3 7" xfId="21272"/>
    <cellStyle name="Input 36 3 8" xfId="21248"/>
    <cellStyle name="Input 36 3 9" xfId="43578"/>
    <cellStyle name="Input 36 4" xfId="5236"/>
    <cellStyle name="Input 36 4 10" xfId="21273"/>
    <cellStyle name="Input 36 4 11" xfId="43699"/>
    <cellStyle name="Input 36 4 2" xfId="5237"/>
    <cellStyle name="Input 36 4 2 2" xfId="21275"/>
    <cellStyle name="Input 36 4 2 3" xfId="21276"/>
    <cellStyle name="Input 36 4 2 4" xfId="21274"/>
    <cellStyle name="Input 36 4 3" xfId="21277"/>
    <cellStyle name="Input 36 4 3 2" xfId="21278"/>
    <cellStyle name="Input 36 4 4" xfId="21279"/>
    <cellStyle name="Input 36 4 4 2" xfId="21280"/>
    <cellStyle name="Input 36 4 5" xfId="21281"/>
    <cellStyle name="Input 36 4 6" xfId="21282"/>
    <cellStyle name="Input 36 4 7" xfId="21283"/>
    <cellStyle name="Input 36 4 8" xfId="21284"/>
    <cellStyle name="Input 36 4 9" xfId="21285"/>
    <cellStyle name="Input 36 5" xfId="5238"/>
    <cellStyle name="Input 36 5 10" xfId="21286"/>
    <cellStyle name="Input 36 5 2" xfId="5239"/>
    <cellStyle name="Input 36 5 2 2" xfId="21288"/>
    <cellStyle name="Input 36 5 2 3" xfId="21289"/>
    <cellStyle name="Input 36 5 2 4" xfId="21287"/>
    <cellStyle name="Input 36 5 3" xfId="21290"/>
    <cellStyle name="Input 36 5 3 2" xfId="21291"/>
    <cellStyle name="Input 36 5 4" xfId="21292"/>
    <cellStyle name="Input 36 5 4 2" xfId="21293"/>
    <cellStyle name="Input 36 5 5" xfId="21294"/>
    <cellStyle name="Input 36 5 6" xfId="21295"/>
    <cellStyle name="Input 36 5 7" xfId="21296"/>
    <cellStyle name="Input 36 5 8" xfId="21297"/>
    <cellStyle name="Input 36 5 9" xfId="21298"/>
    <cellStyle name="Input 36 6" xfId="5240"/>
    <cellStyle name="Input 36 6 2" xfId="21300"/>
    <cellStyle name="Input 36 6 2 2" xfId="21301"/>
    <cellStyle name="Input 36 6 3" xfId="21302"/>
    <cellStyle name="Input 36 6 3 2" xfId="21303"/>
    <cellStyle name="Input 36 6 4" xfId="21304"/>
    <cellStyle name="Input 36 6 5" xfId="21305"/>
    <cellStyle name="Input 36 6 6" xfId="21306"/>
    <cellStyle name="Input 36 6 7" xfId="21299"/>
    <cellStyle name="Input 36 7" xfId="5241"/>
    <cellStyle name="Input 36 7 2" xfId="21307"/>
    <cellStyle name="Input 36 8" xfId="8354"/>
    <cellStyle name="Input 36 9" xfId="21308"/>
    <cellStyle name="Input 37" xfId="2752"/>
    <cellStyle name="Input 37 10" xfId="21309"/>
    <cellStyle name="Input 37 11" xfId="40630"/>
    <cellStyle name="Input 37 2" xfId="5242"/>
    <cellStyle name="Input 37 2 2" xfId="21311"/>
    <cellStyle name="Input 37 2 2 2" xfId="21312"/>
    <cellStyle name="Input 37 2 2 2 2" xfId="21313"/>
    <cellStyle name="Input 37 2 2 2 3" xfId="21314"/>
    <cellStyle name="Input 37 2 2 3" xfId="21315"/>
    <cellStyle name="Input 37 2 2 3 2" xfId="21316"/>
    <cellStyle name="Input 37 2 2 4" xfId="21317"/>
    <cellStyle name="Input 37 2 2 4 2" xfId="21318"/>
    <cellStyle name="Input 37 2 2 5" xfId="21319"/>
    <cellStyle name="Input 37 2 2 6" xfId="21320"/>
    <cellStyle name="Input 37 2 2 7" xfId="21321"/>
    <cellStyle name="Input 37 2 2 8" xfId="21322"/>
    <cellStyle name="Input 37 2 2 9" xfId="21323"/>
    <cellStyle name="Input 37 2 3" xfId="21324"/>
    <cellStyle name="Input 37 2 3 2" xfId="21325"/>
    <cellStyle name="Input 37 2 3 2 2" xfId="21326"/>
    <cellStyle name="Input 37 2 3 2 3" xfId="21327"/>
    <cellStyle name="Input 37 2 3 3" xfId="21328"/>
    <cellStyle name="Input 37 2 3 3 2" xfId="21329"/>
    <cellStyle name="Input 37 2 3 4" xfId="21330"/>
    <cellStyle name="Input 37 2 3 5" xfId="21331"/>
    <cellStyle name="Input 37 2 3 6" xfId="21332"/>
    <cellStyle name="Input 37 2 4" xfId="21333"/>
    <cellStyle name="Input 37 2 4 2" xfId="21334"/>
    <cellStyle name="Input 37 2 5" xfId="21335"/>
    <cellStyle name="Input 37 2 6" xfId="21336"/>
    <cellStyle name="Input 37 2 7" xfId="21337"/>
    <cellStyle name="Input 37 2 8" xfId="21310"/>
    <cellStyle name="Input 37 2 9" xfId="43619"/>
    <cellStyle name="Input 37 3" xfId="4801"/>
    <cellStyle name="Input 37 3 2" xfId="21339"/>
    <cellStyle name="Input 37 3 2 2" xfId="21340"/>
    <cellStyle name="Input 37 3 2 2 2" xfId="21341"/>
    <cellStyle name="Input 37 3 2 3" xfId="21342"/>
    <cellStyle name="Input 37 3 2 3 2" xfId="21343"/>
    <cellStyle name="Input 37 3 2 4" xfId="21344"/>
    <cellStyle name="Input 37 3 2 4 2" xfId="21345"/>
    <cellStyle name="Input 37 3 2 5" xfId="21346"/>
    <cellStyle name="Input 37 3 2 6" xfId="21347"/>
    <cellStyle name="Input 37 3 2 7" xfId="21348"/>
    <cellStyle name="Input 37 3 2 8" xfId="21349"/>
    <cellStyle name="Input 37 3 2 9" xfId="21350"/>
    <cellStyle name="Input 37 3 3" xfId="21351"/>
    <cellStyle name="Input 37 3 3 2" xfId="21352"/>
    <cellStyle name="Input 37 3 3 2 2" xfId="21353"/>
    <cellStyle name="Input 37 3 3 3" xfId="21354"/>
    <cellStyle name="Input 37 3 3 3 2" xfId="21355"/>
    <cellStyle name="Input 37 3 3 4" xfId="21356"/>
    <cellStyle name="Input 37 3 3 5" xfId="21357"/>
    <cellStyle name="Input 37 3 3 6" xfId="21358"/>
    <cellStyle name="Input 37 3 4" xfId="21359"/>
    <cellStyle name="Input 37 3 5" xfId="21360"/>
    <cellStyle name="Input 37 3 6" xfId="21361"/>
    <cellStyle name="Input 37 3 7" xfId="21362"/>
    <cellStyle name="Input 37 3 8" xfId="21338"/>
    <cellStyle name="Input 37 3 9" xfId="43577"/>
    <cellStyle name="Input 37 4" xfId="4802"/>
    <cellStyle name="Input 37 4 10" xfId="21363"/>
    <cellStyle name="Input 37 4 11" xfId="43653"/>
    <cellStyle name="Input 37 4 2" xfId="4803"/>
    <cellStyle name="Input 37 4 2 2" xfId="21365"/>
    <cellStyle name="Input 37 4 2 3" xfId="21366"/>
    <cellStyle name="Input 37 4 2 4" xfId="21364"/>
    <cellStyle name="Input 37 4 3" xfId="21367"/>
    <cellStyle name="Input 37 4 3 2" xfId="21368"/>
    <cellStyle name="Input 37 4 4" xfId="21369"/>
    <cellStyle name="Input 37 4 4 2" xfId="21370"/>
    <cellStyle name="Input 37 4 5" xfId="21371"/>
    <cellStyle name="Input 37 4 6" xfId="21372"/>
    <cellStyle name="Input 37 4 7" xfId="21373"/>
    <cellStyle name="Input 37 4 8" xfId="21374"/>
    <cellStyle name="Input 37 4 9" xfId="21375"/>
    <cellStyle name="Input 37 5" xfId="5348"/>
    <cellStyle name="Input 37 5 10" xfId="21376"/>
    <cellStyle name="Input 37 5 2" xfId="4804"/>
    <cellStyle name="Input 37 5 2 2" xfId="21378"/>
    <cellStyle name="Input 37 5 2 3" xfId="21379"/>
    <cellStyle name="Input 37 5 2 4" xfId="21377"/>
    <cellStyle name="Input 37 5 3" xfId="21380"/>
    <cellStyle name="Input 37 5 3 2" xfId="21381"/>
    <cellStyle name="Input 37 5 4" xfId="21382"/>
    <cellStyle name="Input 37 5 4 2" xfId="21383"/>
    <cellStyle name="Input 37 5 5" xfId="21384"/>
    <cellStyle name="Input 37 5 6" xfId="21385"/>
    <cellStyle name="Input 37 5 7" xfId="21386"/>
    <cellStyle name="Input 37 5 8" xfId="21387"/>
    <cellStyle name="Input 37 5 9" xfId="21388"/>
    <cellStyle name="Input 37 6" xfId="4805"/>
    <cellStyle name="Input 37 6 2" xfId="21390"/>
    <cellStyle name="Input 37 6 2 2" xfId="21391"/>
    <cellStyle name="Input 37 6 3" xfId="21392"/>
    <cellStyle name="Input 37 6 3 2" xfId="21393"/>
    <cellStyle name="Input 37 6 4" xfId="21394"/>
    <cellStyle name="Input 37 6 5" xfId="21395"/>
    <cellStyle name="Input 37 6 6" xfId="21396"/>
    <cellStyle name="Input 37 6 7" xfId="21389"/>
    <cellStyle name="Input 37 7" xfId="4806"/>
    <cellStyle name="Input 37 7 2" xfId="21397"/>
    <cellStyle name="Input 37 8" xfId="8355"/>
    <cellStyle name="Input 37 9" xfId="21398"/>
    <cellStyle name="Input 38" xfId="2974"/>
    <cellStyle name="Input 38 10" xfId="21399"/>
    <cellStyle name="Input 38 11" xfId="40631"/>
    <cellStyle name="Input 38 2" xfId="4807"/>
    <cellStyle name="Input 38 2 2" xfId="21400"/>
    <cellStyle name="Input 38 2 2 2" xfId="21401"/>
    <cellStyle name="Input 38 2 2 2 2" xfId="21402"/>
    <cellStyle name="Input 38 2 2 3" xfId="21403"/>
    <cellStyle name="Input 38 2 2 3 2" xfId="21404"/>
    <cellStyle name="Input 38 2 2 4" xfId="21405"/>
    <cellStyle name="Input 38 2 2 4 2" xfId="21406"/>
    <cellStyle name="Input 38 2 2 5" xfId="21407"/>
    <cellStyle name="Input 38 2 2 6" xfId="21408"/>
    <cellStyle name="Input 38 2 2 7" xfId="21409"/>
    <cellStyle name="Input 38 2 2 8" xfId="21410"/>
    <cellStyle name="Input 38 2 2 9" xfId="21411"/>
    <cellStyle name="Input 38 2 3" xfId="43620"/>
    <cellStyle name="Input 38 3" xfId="4943"/>
    <cellStyle name="Input 38 3 10" xfId="21412"/>
    <cellStyle name="Input 38 3 11" xfId="44147"/>
    <cellStyle name="Input 38 3 2" xfId="5349"/>
    <cellStyle name="Input 38 3 2 2" xfId="21414"/>
    <cellStyle name="Input 38 3 2 3" xfId="21413"/>
    <cellStyle name="Input 38 3 3" xfId="21415"/>
    <cellStyle name="Input 38 3 3 2" xfId="21416"/>
    <cellStyle name="Input 38 3 4" xfId="21417"/>
    <cellStyle name="Input 38 3 4 2" xfId="21418"/>
    <cellStyle name="Input 38 3 5" xfId="21419"/>
    <cellStyle name="Input 38 3 6" xfId="21420"/>
    <cellStyle name="Input 38 3 7" xfId="21421"/>
    <cellStyle name="Input 38 3 8" xfId="21422"/>
    <cellStyle name="Input 38 3 9" xfId="21423"/>
    <cellStyle name="Input 38 4" xfId="5350"/>
    <cellStyle name="Input 38 4 10" xfId="21424"/>
    <cellStyle name="Input 38 4 11" xfId="43655"/>
    <cellStyle name="Input 38 4 2" xfId="21425"/>
    <cellStyle name="Input 38 4 2 2" xfId="21426"/>
    <cellStyle name="Input 38 4 3" xfId="21427"/>
    <cellStyle name="Input 38 4 3 2" xfId="21428"/>
    <cellStyle name="Input 38 4 4" xfId="21429"/>
    <cellStyle name="Input 38 4 4 2" xfId="21430"/>
    <cellStyle name="Input 38 4 5" xfId="21431"/>
    <cellStyle name="Input 38 4 6" xfId="21432"/>
    <cellStyle name="Input 38 4 7" xfId="21433"/>
    <cellStyle name="Input 38 4 8" xfId="21434"/>
    <cellStyle name="Input 38 4 9" xfId="21435"/>
    <cellStyle name="Input 38 5" xfId="3517"/>
    <cellStyle name="Input 38 5 10" xfId="21436"/>
    <cellStyle name="Input 38 5 2" xfId="21437"/>
    <cellStyle name="Input 38 5 2 2" xfId="21438"/>
    <cellStyle name="Input 38 5 3" xfId="21439"/>
    <cellStyle name="Input 38 5 3 2" xfId="21440"/>
    <cellStyle name="Input 38 5 4" xfId="21441"/>
    <cellStyle name="Input 38 5 4 2" xfId="21442"/>
    <cellStyle name="Input 38 5 5" xfId="21443"/>
    <cellStyle name="Input 38 5 6" xfId="21444"/>
    <cellStyle name="Input 38 5 7" xfId="21445"/>
    <cellStyle name="Input 38 5 8" xfId="21446"/>
    <cellStyle name="Input 38 5 9" xfId="21447"/>
    <cellStyle name="Input 38 6" xfId="4808"/>
    <cellStyle name="Input 38 6 2" xfId="5351"/>
    <cellStyle name="Input 38 6 2 2" xfId="21450"/>
    <cellStyle name="Input 38 6 2 3" xfId="21449"/>
    <cellStyle name="Input 38 6 3" xfId="21451"/>
    <cellStyle name="Input 38 6 3 2" xfId="21452"/>
    <cellStyle name="Input 38 6 4" xfId="21453"/>
    <cellStyle name="Input 38 6 5" xfId="21454"/>
    <cellStyle name="Input 38 6 6" xfId="21455"/>
    <cellStyle name="Input 38 6 7" xfId="21448"/>
    <cellStyle name="Input 38 7" xfId="4944"/>
    <cellStyle name="Input 38 7 2" xfId="5352"/>
    <cellStyle name="Input 38 7 3" xfId="21456"/>
    <cellStyle name="Input 38 8" xfId="8462"/>
    <cellStyle name="Input 38 9" xfId="21457"/>
    <cellStyle name="Input 39" xfId="2927"/>
    <cellStyle name="Input 39 10" xfId="21458"/>
    <cellStyle name="Input 39 11" xfId="40632"/>
    <cellStyle name="Input 39 2" xfId="5353"/>
    <cellStyle name="Input 39 2 10" xfId="21459"/>
    <cellStyle name="Input 39 2 11" xfId="43621"/>
    <cellStyle name="Input 39 2 2" xfId="21460"/>
    <cellStyle name="Input 39 2 2 2" xfId="21461"/>
    <cellStyle name="Input 39 2 3" xfId="21462"/>
    <cellStyle name="Input 39 2 3 2" xfId="21463"/>
    <cellStyle name="Input 39 2 4" xfId="21464"/>
    <cellStyle name="Input 39 2 4 2" xfId="21465"/>
    <cellStyle name="Input 39 2 5" xfId="21466"/>
    <cellStyle name="Input 39 2 6" xfId="21467"/>
    <cellStyle name="Input 39 2 7" xfId="21468"/>
    <cellStyle name="Input 39 2 8" xfId="21469"/>
    <cellStyle name="Input 39 2 9" xfId="21470"/>
    <cellStyle name="Input 39 3" xfId="3518"/>
    <cellStyle name="Input 39 3 10" xfId="21471"/>
    <cellStyle name="Input 39 3 11" xfId="44146"/>
    <cellStyle name="Input 39 3 2" xfId="21472"/>
    <cellStyle name="Input 39 3 2 2" xfId="21473"/>
    <cellStyle name="Input 39 3 3" xfId="21474"/>
    <cellStyle name="Input 39 3 3 2" xfId="21475"/>
    <cellStyle name="Input 39 3 4" xfId="21476"/>
    <cellStyle name="Input 39 3 4 2" xfId="21477"/>
    <cellStyle name="Input 39 3 5" xfId="21478"/>
    <cellStyle name="Input 39 3 6" xfId="21479"/>
    <cellStyle name="Input 39 3 7" xfId="21480"/>
    <cellStyle name="Input 39 3 8" xfId="21481"/>
    <cellStyle name="Input 39 3 9" xfId="21482"/>
    <cellStyle name="Input 39 4" xfId="4809"/>
    <cellStyle name="Input 39 4 10" xfId="21483"/>
    <cellStyle name="Input 39 4 11" xfId="43633"/>
    <cellStyle name="Input 39 4 2" xfId="4945"/>
    <cellStyle name="Input 39 4 2 2" xfId="21485"/>
    <cellStyle name="Input 39 4 2 3" xfId="21484"/>
    <cellStyle name="Input 39 4 3" xfId="21486"/>
    <cellStyle name="Input 39 4 3 2" xfId="21487"/>
    <cellStyle name="Input 39 4 4" xfId="21488"/>
    <cellStyle name="Input 39 4 4 2" xfId="21489"/>
    <cellStyle name="Input 39 4 5" xfId="21490"/>
    <cellStyle name="Input 39 4 6" xfId="21491"/>
    <cellStyle name="Input 39 4 7" xfId="21492"/>
    <cellStyle name="Input 39 4 8" xfId="21493"/>
    <cellStyle name="Input 39 4 9" xfId="21494"/>
    <cellStyle name="Input 39 5" xfId="5354"/>
    <cellStyle name="Input 39 5 10" xfId="21495"/>
    <cellStyle name="Input 39 5 2" xfId="4946"/>
    <cellStyle name="Input 39 5 2 2" xfId="21497"/>
    <cellStyle name="Input 39 5 2 3" xfId="21496"/>
    <cellStyle name="Input 39 5 3" xfId="21498"/>
    <cellStyle name="Input 39 5 3 2" xfId="21499"/>
    <cellStyle name="Input 39 5 4" xfId="21500"/>
    <cellStyle name="Input 39 5 4 2" xfId="21501"/>
    <cellStyle name="Input 39 5 5" xfId="21502"/>
    <cellStyle name="Input 39 5 6" xfId="21503"/>
    <cellStyle name="Input 39 5 7" xfId="21504"/>
    <cellStyle name="Input 39 5 8" xfId="21505"/>
    <cellStyle name="Input 39 5 9" xfId="21506"/>
    <cellStyle name="Input 39 6" xfId="3519"/>
    <cellStyle name="Input 39 6 2" xfId="21508"/>
    <cellStyle name="Input 39 6 2 2" xfId="21509"/>
    <cellStyle name="Input 39 6 3" xfId="21510"/>
    <cellStyle name="Input 39 6 3 2" xfId="21511"/>
    <cellStyle name="Input 39 6 4" xfId="21512"/>
    <cellStyle name="Input 39 6 5" xfId="21513"/>
    <cellStyle name="Input 39 6 6" xfId="21514"/>
    <cellStyle name="Input 39 6 7" xfId="21507"/>
    <cellStyle name="Input 39 7" xfId="5355"/>
    <cellStyle name="Input 39 7 2" xfId="21515"/>
    <cellStyle name="Input 39 8" xfId="8460"/>
    <cellStyle name="Input 39 9" xfId="21516"/>
    <cellStyle name="Input 4" xfId="1293"/>
    <cellStyle name="Input 4 10" xfId="21517"/>
    <cellStyle name="Input 4 11" xfId="40633"/>
    <cellStyle name="Input 4 2" xfId="1294"/>
    <cellStyle name="Input 4 2 2" xfId="1295"/>
    <cellStyle name="Input 4 2 2 10" xfId="43776"/>
    <cellStyle name="Input 4 2 2 2" xfId="8037"/>
    <cellStyle name="Input 4 2 2 2 2" xfId="21518"/>
    <cellStyle name="Input 4 2 2 2 3" xfId="21519"/>
    <cellStyle name="Input 4 2 2 3" xfId="21520"/>
    <cellStyle name="Input 4 2 2 3 2" xfId="21521"/>
    <cellStyle name="Input 4 2 2 4" xfId="21522"/>
    <cellStyle name="Input 4 2 2 4 2" xfId="21523"/>
    <cellStyle name="Input 4 2 2 5" xfId="21524"/>
    <cellStyle name="Input 4 2 2 6" xfId="21525"/>
    <cellStyle name="Input 4 2 2 7" xfId="21526"/>
    <cellStyle name="Input 4 2 2 8" xfId="21527"/>
    <cellStyle name="Input 4 2 2 9" xfId="21528"/>
    <cellStyle name="Input 4 2 3" xfId="3520"/>
    <cellStyle name="Input 4 2 3 2" xfId="21530"/>
    <cellStyle name="Input 4 2 3 2 2" xfId="21531"/>
    <cellStyle name="Input 4 2 3 2 3" xfId="21532"/>
    <cellStyle name="Input 4 2 3 3" xfId="21533"/>
    <cellStyle name="Input 4 2 3 3 2" xfId="21534"/>
    <cellStyle name="Input 4 2 3 4" xfId="21535"/>
    <cellStyle name="Input 4 2 3 5" xfId="21536"/>
    <cellStyle name="Input 4 2 3 6" xfId="21537"/>
    <cellStyle name="Input 4 2 3 7" xfId="21529"/>
    <cellStyle name="Input 4 2 3 8" xfId="44102"/>
    <cellStyle name="Input 4 2 4" xfId="5356"/>
    <cellStyle name="Input 4 2 4 2" xfId="5357"/>
    <cellStyle name="Input 4 2 4 2 2" xfId="21539"/>
    <cellStyle name="Input 4 2 4 3" xfId="21538"/>
    <cellStyle name="Input 4 2 4 4" xfId="45309"/>
    <cellStyle name="Input 4 2 5" xfId="4947"/>
    <cellStyle name="Input 4 2 5 2" xfId="3521"/>
    <cellStyle name="Input 4 2 5 3" xfId="21540"/>
    <cellStyle name="Input 4 2 6" xfId="5358"/>
    <cellStyle name="Input 4 2 6 2" xfId="21541"/>
    <cellStyle name="Input 4 2 7" xfId="3522"/>
    <cellStyle name="Input 4 2 7 2" xfId="21542"/>
    <cellStyle name="Input 4 2 8" xfId="8036"/>
    <cellStyle name="Input 4 2 9" xfId="41384"/>
    <cellStyle name="Input 4 3" xfId="1296"/>
    <cellStyle name="Input 4 3 2" xfId="1297"/>
    <cellStyle name="Input 4 3 2 2" xfId="8039"/>
    <cellStyle name="Input 4 3 2 2 2" xfId="21543"/>
    <cellStyle name="Input 4 3 2 3" xfId="21544"/>
    <cellStyle name="Input 4 3 2 3 2" xfId="21545"/>
    <cellStyle name="Input 4 3 2 4" xfId="21546"/>
    <cellStyle name="Input 4 3 2 4 2" xfId="21547"/>
    <cellStyle name="Input 4 3 2 5" xfId="21548"/>
    <cellStyle name="Input 4 3 2 6" xfId="21549"/>
    <cellStyle name="Input 4 3 2 7" xfId="21550"/>
    <cellStyle name="Input 4 3 2 8" xfId="21551"/>
    <cellStyle name="Input 4 3 2 9" xfId="21552"/>
    <cellStyle name="Input 4 3 3" xfId="8038"/>
    <cellStyle name="Input 4 3 3 2" xfId="21553"/>
    <cellStyle name="Input 4 3 3 2 2" xfId="21554"/>
    <cellStyle name="Input 4 3 3 3" xfId="21555"/>
    <cellStyle name="Input 4 3 3 3 2" xfId="21556"/>
    <cellStyle name="Input 4 3 3 4" xfId="21557"/>
    <cellStyle name="Input 4 3 3 5" xfId="21558"/>
    <cellStyle name="Input 4 3 3 6" xfId="21559"/>
    <cellStyle name="Input 4 3 4" xfId="21560"/>
    <cellStyle name="Input 4 3 5" xfId="21561"/>
    <cellStyle name="Input 4 3 6" xfId="21562"/>
    <cellStyle name="Input 4 3 7" xfId="21563"/>
    <cellStyle name="Input 4 3 8" xfId="41353"/>
    <cellStyle name="Input 4 4" xfId="1298"/>
    <cellStyle name="Input 4 4 10" xfId="40899"/>
    <cellStyle name="Input 4 4 2" xfId="8040"/>
    <cellStyle name="Input 4 4 2 2" xfId="21564"/>
    <cellStyle name="Input 4 4 2 3" xfId="21565"/>
    <cellStyle name="Input 4 4 2 4" xfId="43680"/>
    <cellStyle name="Input 4 4 3" xfId="21566"/>
    <cellStyle name="Input 4 4 3 2" xfId="21567"/>
    <cellStyle name="Input 4 4 3 3" xfId="44131"/>
    <cellStyle name="Input 4 4 4" xfId="21568"/>
    <cellStyle name="Input 4 4 4 2" xfId="21569"/>
    <cellStyle name="Input 4 4 4 3" xfId="45332"/>
    <cellStyle name="Input 4 4 5" xfId="21570"/>
    <cellStyle name="Input 4 4 6" xfId="21571"/>
    <cellStyle name="Input 4 4 7" xfId="21572"/>
    <cellStyle name="Input 4 4 8" xfId="21573"/>
    <cellStyle name="Input 4 4 9" xfId="21574"/>
    <cellStyle name="Input 4 5" xfId="3523"/>
    <cellStyle name="Input 4 5 10" xfId="21575"/>
    <cellStyle name="Input 4 5 11" xfId="43622"/>
    <cellStyle name="Input 4 5 2" xfId="5359"/>
    <cellStyle name="Input 4 5 2 2" xfId="21577"/>
    <cellStyle name="Input 4 5 2 3" xfId="21578"/>
    <cellStyle name="Input 4 5 2 4" xfId="21576"/>
    <cellStyle name="Input 4 5 3" xfId="21579"/>
    <cellStyle name="Input 4 5 3 2" xfId="21580"/>
    <cellStyle name="Input 4 5 4" xfId="21581"/>
    <cellStyle name="Input 4 5 4 2" xfId="21582"/>
    <cellStyle name="Input 4 5 5" xfId="21583"/>
    <cellStyle name="Input 4 5 6" xfId="21584"/>
    <cellStyle name="Input 4 5 7" xfId="21585"/>
    <cellStyle name="Input 4 5 8" xfId="21586"/>
    <cellStyle name="Input 4 5 9" xfId="21587"/>
    <cellStyle name="Input 4 6" xfId="5360"/>
    <cellStyle name="Input 4 6 2" xfId="4948"/>
    <cellStyle name="Input 4 6 2 2" xfId="21590"/>
    <cellStyle name="Input 4 6 2 3" xfId="21589"/>
    <cellStyle name="Input 4 6 3" xfId="21591"/>
    <cellStyle name="Input 4 6 3 2" xfId="21592"/>
    <cellStyle name="Input 4 6 4" xfId="21593"/>
    <cellStyle name="Input 4 6 5" xfId="21594"/>
    <cellStyle name="Input 4 6 6" xfId="21595"/>
    <cellStyle name="Input 4 6 7" xfId="21588"/>
    <cellStyle name="Input 4 6 8" xfId="43576"/>
    <cellStyle name="Input 4 7" xfId="3524"/>
    <cellStyle name="Input 4 7 2" xfId="21596"/>
    <cellStyle name="Input 4 7 3" xfId="45280"/>
    <cellStyle name="Input 4 8" xfId="5361"/>
    <cellStyle name="Input 4 8 2" xfId="21597"/>
    <cellStyle name="Input 4 9" xfId="8035"/>
    <cellStyle name="Input 40" xfId="2922"/>
    <cellStyle name="Input 40 10" xfId="21598"/>
    <cellStyle name="Input 40 11" xfId="40634"/>
    <cellStyle name="Input 40 2" xfId="7812"/>
    <cellStyle name="Input 40 2 10" xfId="21599"/>
    <cellStyle name="Input 40 2 11" xfId="43623"/>
    <cellStyle name="Input 40 2 2" xfId="21600"/>
    <cellStyle name="Input 40 2 2 2" xfId="21601"/>
    <cellStyle name="Input 40 2 3" xfId="21602"/>
    <cellStyle name="Input 40 2 3 2" xfId="21603"/>
    <cellStyle name="Input 40 2 4" xfId="21604"/>
    <cellStyle name="Input 40 2 4 2" xfId="21605"/>
    <cellStyle name="Input 40 2 5" xfId="21606"/>
    <cellStyle name="Input 40 2 6" xfId="21607"/>
    <cellStyle name="Input 40 2 7" xfId="21608"/>
    <cellStyle name="Input 40 2 8" xfId="21609"/>
    <cellStyle name="Input 40 2 9" xfId="21610"/>
    <cellStyle name="Input 40 3" xfId="8458"/>
    <cellStyle name="Input 40 3 10" xfId="43575"/>
    <cellStyle name="Input 40 3 2" xfId="21611"/>
    <cellStyle name="Input 40 3 2 2" xfId="21612"/>
    <cellStyle name="Input 40 3 3" xfId="21613"/>
    <cellStyle name="Input 40 3 3 2" xfId="21614"/>
    <cellStyle name="Input 40 3 4" xfId="21615"/>
    <cellStyle name="Input 40 3 4 2" xfId="21616"/>
    <cellStyle name="Input 40 3 5" xfId="21617"/>
    <cellStyle name="Input 40 3 6" xfId="21618"/>
    <cellStyle name="Input 40 3 7" xfId="21619"/>
    <cellStyle name="Input 40 3 8" xfId="21620"/>
    <cellStyle name="Input 40 3 9" xfId="21621"/>
    <cellStyle name="Input 40 4" xfId="21622"/>
    <cellStyle name="Input 40 4 10" xfId="44497"/>
    <cellStyle name="Input 40 4 2" xfId="21623"/>
    <cellStyle name="Input 40 4 2 2" xfId="21624"/>
    <cellStyle name="Input 40 4 3" xfId="21625"/>
    <cellStyle name="Input 40 4 3 2" xfId="21626"/>
    <cellStyle name="Input 40 4 4" xfId="21627"/>
    <cellStyle name="Input 40 4 4 2" xfId="21628"/>
    <cellStyle name="Input 40 4 5" xfId="21629"/>
    <cellStyle name="Input 40 4 6" xfId="21630"/>
    <cellStyle name="Input 40 4 7" xfId="21631"/>
    <cellStyle name="Input 40 4 8" xfId="21632"/>
    <cellStyle name="Input 40 4 9" xfId="21633"/>
    <cellStyle name="Input 40 5" xfId="21634"/>
    <cellStyle name="Input 40 5 2" xfId="21635"/>
    <cellStyle name="Input 40 5 2 2" xfId="21636"/>
    <cellStyle name="Input 40 5 3" xfId="21637"/>
    <cellStyle name="Input 40 5 3 2" xfId="21638"/>
    <cellStyle name="Input 40 5 4" xfId="21639"/>
    <cellStyle name="Input 40 5 4 2" xfId="21640"/>
    <cellStyle name="Input 40 5 5" xfId="21641"/>
    <cellStyle name="Input 40 5 6" xfId="21642"/>
    <cellStyle name="Input 40 5 7" xfId="21643"/>
    <cellStyle name="Input 40 5 8" xfId="21644"/>
    <cellStyle name="Input 40 5 9" xfId="21645"/>
    <cellStyle name="Input 40 6" xfId="21646"/>
    <cellStyle name="Input 40 6 2" xfId="21647"/>
    <cellStyle name="Input 40 6 2 2" xfId="21648"/>
    <cellStyle name="Input 40 6 3" xfId="21649"/>
    <cellStyle name="Input 40 6 3 2" xfId="21650"/>
    <cellStyle name="Input 40 6 4" xfId="21651"/>
    <cellStyle name="Input 40 6 5" xfId="21652"/>
    <cellStyle name="Input 40 6 6" xfId="21653"/>
    <cellStyle name="Input 40 7" xfId="21654"/>
    <cellStyle name="Input 40 8" xfId="21655"/>
    <cellStyle name="Input 40 9" xfId="21656"/>
    <cellStyle name="Input 41" xfId="2925"/>
    <cellStyle name="Input 41 10" xfId="21657"/>
    <cellStyle name="Input 41 11" xfId="40635"/>
    <cellStyle name="Input 41 2" xfId="8459"/>
    <cellStyle name="Input 41 2 10" xfId="43624"/>
    <cellStyle name="Input 41 2 2" xfId="21658"/>
    <cellStyle name="Input 41 2 2 2" xfId="21659"/>
    <cellStyle name="Input 41 2 3" xfId="21660"/>
    <cellStyle name="Input 41 2 3 2" xfId="21661"/>
    <cellStyle name="Input 41 2 4" xfId="21662"/>
    <cellStyle name="Input 41 2 4 2" xfId="21663"/>
    <cellStyle name="Input 41 2 5" xfId="21664"/>
    <cellStyle name="Input 41 2 6" xfId="21665"/>
    <cellStyle name="Input 41 2 7" xfId="21666"/>
    <cellStyle name="Input 41 2 8" xfId="21667"/>
    <cellStyle name="Input 41 2 9" xfId="21668"/>
    <cellStyle name="Input 41 3" xfId="21669"/>
    <cellStyle name="Input 41 3 10" xfId="43660"/>
    <cellStyle name="Input 41 3 2" xfId="21670"/>
    <cellStyle name="Input 41 3 2 2" xfId="21671"/>
    <cellStyle name="Input 41 3 3" xfId="21672"/>
    <cellStyle name="Input 41 3 3 2" xfId="21673"/>
    <cellStyle name="Input 41 3 4" xfId="21674"/>
    <cellStyle name="Input 41 3 4 2" xfId="21675"/>
    <cellStyle name="Input 41 3 5" xfId="21676"/>
    <cellStyle name="Input 41 3 6" xfId="21677"/>
    <cellStyle name="Input 41 3 7" xfId="21678"/>
    <cellStyle name="Input 41 3 8" xfId="21679"/>
    <cellStyle name="Input 41 3 9" xfId="21680"/>
    <cellStyle name="Input 41 4" xfId="21681"/>
    <cellStyle name="Input 41 4 10" xfId="43769"/>
    <cellStyle name="Input 41 4 2" xfId="21682"/>
    <cellStyle name="Input 41 4 2 2" xfId="21683"/>
    <cellStyle name="Input 41 4 3" xfId="21684"/>
    <cellStyle name="Input 41 4 3 2" xfId="21685"/>
    <cellStyle name="Input 41 4 4" xfId="21686"/>
    <cellStyle name="Input 41 4 4 2" xfId="21687"/>
    <cellStyle name="Input 41 4 5" xfId="21688"/>
    <cellStyle name="Input 41 4 6" xfId="21689"/>
    <cellStyle name="Input 41 4 7" xfId="21690"/>
    <cellStyle name="Input 41 4 8" xfId="21691"/>
    <cellStyle name="Input 41 4 9" xfId="21692"/>
    <cellStyle name="Input 41 5" xfId="21693"/>
    <cellStyle name="Input 41 5 2" xfId="21694"/>
    <cellStyle name="Input 41 5 2 2" xfId="21695"/>
    <cellStyle name="Input 41 5 3" xfId="21696"/>
    <cellStyle name="Input 41 5 3 2" xfId="21697"/>
    <cellStyle name="Input 41 5 4" xfId="21698"/>
    <cellStyle name="Input 41 5 4 2" xfId="21699"/>
    <cellStyle name="Input 41 5 5" xfId="21700"/>
    <cellStyle name="Input 41 5 6" xfId="21701"/>
    <cellStyle name="Input 41 5 7" xfId="21702"/>
    <cellStyle name="Input 41 5 8" xfId="21703"/>
    <cellStyle name="Input 41 5 9" xfId="21704"/>
    <cellStyle name="Input 41 6" xfId="21705"/>
    <cellStyle name="Input 41 6 2" xfId="21706"/>
    <cellStyle name="Input 41 6 2 2" xfId="21707"/>
    <cellStyle name="Input 41 6 3" xfId="21708"/>
    <cellStyle name="Input 41 6 3 2" xfId="21709"/>
    <cellStyle name="Input 41 6 4" xfId="21710"/>
    <cellStyle name="Input 41 6 5" xfId="21711"/>
    <cellStyle name="Input 41 6 6" xfId="21712"/>
    <cellStyle name="Input 41 7" xfId="21713"/>
    <cellStyle name="Input 41 8" xfId="21714"/>
    <cellStyle name="Input 41 9" xfId="21715"/>
    <cellStyle name="Input 42" xfId="3162"/>
    <cellStyle name="Input 42 10" xfId="21716"/>
    <cellStyle name="Input 42 11" xfId="40636"/>
    <cellStyle name="Input 42 2" xfId="8476"/>
    <cellStyle name="Input 42 2 10" xfId="43625"/>
    <cellStyle name="Input 42 2 2" xfId="21717"/>
    <cellStyle name="Input 42 2 2 2" xfId="21718"/>
    <cellStyle name="Input 42 2 3" xfId="21719"/>
    <cellStyle name="Input 42 2 3 2" xfId="21720"/>
    <cellStyle name="Input 42 2 4" xfId="21721"/>
    <cellStyle name="Input 42 2 4 2" xfId="21722"/>
    <cellStyle name="Input 42 2 5" xfId="21723"/>
    <cellStyle name="Input 42 2 6" xfId="21724"/>
    <cellStyle name="Input 42 2 7" xfId="21725"/>
    <cellStyle name="Input 42 2 8" xfId="21726"/>
    <cellStyle name="Input 42 2 9" xfId="21727"/>
    <cellStyle name="Input 42 3" xfId="21728"/>
    <cellStyle name="Input 42 3 10" xfId="44145"/>
    <cellStyle name="Input 42 3 2" xfId="21729"/>
    <cellStyle name="Input 42 3 2 2" xfId="21730"/>
    <cellStyle name="Input 42 3 3" xfId="21731"/>
    <cellStyle name="Input 42 3 3 2" xfId="21732"/>
    <cellStyle name="Input 42 3 4" xfId="21733"/>
    <cellStyle name="Input 42 3 4 2" xfId="21734"/>
    <cellStyle name="Input 42 3 5" xfId="21735"/>
    <cellStyle name="Input 42 3 6" xfId="21736"/>
    <cellStyle name="Input 42 3 7" xfId="21737"/>
    <cellStyle name="Input 42 3 8" xfId="21738"/>
    <cellStyle name="Input 42 3 9" xfId="21739"/>
    <cellStyle name="Input 42 4" xfId="21740"/>
    <cellStyle name="Input 42 4 10" xfId="43779"/>
    <cellStyle name="Input 42 4 2" xfId="21741"/>
    <cellStyle name="Input 42 4 2 2" xfId="21742"/>
    <cellStyle name="Input 42 4 3" xfId="21743"/>
    <cellStyle name="Input 42 4 3 2" xfId="21744"/>
    <cellStyle name="Input 42 4 4" xfId="21745"/>
    <cellStyle name="Input 42 4 4 2" xfId="21746"/>
    <cellStyle name="Input 42 4 5" xfId="21747"/>
    <cellStyle name="Input 42 4 6" xfId="21748"/>
    <cellStyle name="Input 42 4 7" xfId="21749"/>
    <cellStyle name="Input 42 4 8" xfId="21750"/>
    <cellStyle name="Input 42 4 9" xfId="21751"/>
    <cellStyle name="Input 42 5" xfId="21752"/>
    <cellStyle name="Input 42 5 2" xfId="21753"/>
    <cellStyle name="Input 42 5 2 2" xfId="21754"/>
    <cellStyle name="Input 42 5 3" xfId="21755"/>
    <cellStyle name="Input 42 5 3 2" xfId="21756"/>
    <cellStyle name="Input 42 5 4" xfId="21757"/>
    <cellStyle name="Input 42 5 4 2" xfId="21758"/>
    <cellStyle name="Input 42 5 5" xfId="21759"/>
    <cellStyle name="Input 42 5 6" xfId="21760"/>
    <cellStyle name="Input 42 5 7" xfId="21761"/>
    <cellStyle name="Input 42 5 8" xfId="21762"/>
    <cellStyle name="Input 42 5 9" xfId="21763"/>
    <cellStyle name="Input 42 6" xfId="21764"/>
    <cellStyle name="Input 42 6 2" xfId="21765"/>
    <cellStyle name="Input 42 6 2 2" xfId="21766"/>
    <cellStyle name="Input 42 6 3" xfId="21767"/>
    <cellStyle name="Input 42 6 3 2" xfId="21768"/>
    <cellStyle name="Input 42 6 4" xfId="21769"/>
    <cellStyle name="Input 42 6 5" xfId="21770"/>
    <cellStyle name="Input 42 6 6" xfId="21771"/>
    <cellStyle name="Input 42 7" xfId="21772"/>
    <cellStyle name="Input 42 8" xfId="21773"/>
    <cellStyle name="Input 42 9" xfId="21774"/>
    <cellStyle name="Input 43" xfId="3026"/>
    <cellStyle name="Input 43 10" xfId="21775"/>
    <cellStyle name="Input 43 2" xfId="8464"/>
    <cellStyle name="Input 43 2 2" xfId="21776"/>
    <cellStyle name="Input 43 2 2 2" xfId="21777"/>
    <cellStyle name="Input 43 2 3" xfId="21778"/>
    <cellStyle name="Input 43 2 3 2" xfId="21779"/>
    <cellStyle name="Input 43 2 4" xfId="21780"/>
    <cellStyle name="Input 43 2 4 2" xfId="21781"/>
    <cellStyle name="Input 43 2 5" xfId="21782"/>
    <cellStyle name="Input 43 2 6" xfId="21783"/>
    <cellStyle name="Input 43 2 7" xfId="21784"/>
    <cellStyle name="Input 43 2 8" xfId="21785"/>
    <cellStyle name="Input 43 2 9" xfId="21786"/>
    <cellStyle name="Input 43 3" xfId="21787"/>
    <cellStyle name="Input 43 3 2" xfId="21788"/>
    <cellStyle name="Input 43 3 2 2" xfId="21789"/>
    <cellStyle name="Input 43 3 3" xfId="21790"/>
    <cellStyle name="Input 43 3 3 2" xfId="21791"/>
    <cellStyle name="Input 43 3 4" xfId="21792"/>
    <cellStyle name="Input 43 3 4 2" xfId="21793"/>
    <cellStyle name="Input 43 3 5" xfId="21794"/>
    <cellStyle name="Input 43 3 6" xfId="21795"/>
    <cellStyle name="Input 43 3 7" xfId="21796"/>
    <cellStyle name="Input 43 3 8" xfId="21797"/>
    <cellStyle name="Input 43 3 9" xfId="21798"/>
    <cellStyle name="Input 43 4" xfId="21799"/>
    <cellStyle name="Input 43 4 2" xfId="21800"/>
    <cellStyle name="Input 43 4 2 2" xfId="21801"/>
    <cellStyle name="Input 43 4 3" xfId="21802"/>
    <cellStyle name="Input 43 4 3 2" xfId="21803"/>
    <cellStyle name="Input 43 4 4" xfId="21804"/>
    <cellStyle name="Input 43 4 4 2" xfId="21805"/>
    <cellStyle name="Input 43 4 5" xfId="21806"/>
    <cellStyle name="Input 43 4 6" xfId="21807"/>
    <cellStyle name="Input 43 4 7" xfId="21808"/>
    <cellStyle name="Input 43 4 8" xfId="21809"/>
    <cellStyle name="Input 43 4 9" xfId="21810"/>
    <cellStyle name="Input 43 5" xfId="21811"/>
    <cellStyle name="Input 43 5 2" xfId="21812"/>
    <cellStyle name="Input 43 5 2 2" xfId="21813"/>
    <cellStyle name="Input 43 5 3" xfId="21814"/>
    <cellStyle name="Input 43 5 3 2" xfId="21815"/>
    <cellStyle name="Input 43 5 4" xfId="21816"/>
    <cellStyle name="Input 43 5 4 2" xfId="21817"/>
    <cellStyle name="Input 43 5 5" xfId="21818"/>
    <cellStyle name="Input 43 5 6" xfId="21819"/>
    <cellStyle name="Input 43 5 7" xfId="21820"/>
    <cellStyle name="Input 43 5 8" xfId="21821"/>
    <cellStyle name="Input 43 5 9" xfId="21822"/>
    <cellStyle name="Input 43 6" xfId="21823"/>
    <cellStyle name="Input 43 6 2" xfId="21824"/>
    <cellStyle name="Input 43 6 2 2" xfId="21825"/>
    <cellStyle name="Input 43 6 3" xfId="21826"/>
    <cellStyle name="Input 43 6 3 2" xfId="21827"/>
    <cellStyle name="Input 43 6 4" xfId="21828"/>
    <cellStyle name="Input 43 6 5" xfId="21829"/>
    <cellStyle name="Input 43 6 6" xfId="21830"/>
    <cellStyle name="Input 43 7" xfId="21831"/>
    <cellStyle name="Input 43 8" xfId="21832"/>
    <cellStyle name="Input 43 9" xfId="21833"/>
    <cellStyle name="Input 44" xfId="3159"/>
    <cellStyle name="Input 44 2" xfId="8475"/>
    <cellStyle name="Input 44 2 2" xfId="21835"/>
    <cellStyle name="Input 44 3" xfId="21836"/>
    <cellStyle name="Input 44 4" xfId="21834"/>
    <cellStyle name="Input 45" xfId="3156"/>
    <cellStyle name="Input 45 2" xfId="8474"/>
    <cellStyle name="Input 46" xfId="3146"/>
    <cellStyle name="Input 46 2" xfId="8473"/>
    <cellStyle name="Input 47" xfId="3014"/>
    <cellStyle name="Input 47 2" xfId="8463"/>
    <cellStyle name="Input 48" xfId="2972"/>
    <cellStyle name="Input 48 2" xfId="8461"/>
    <cellStyle name="Input 49" xfId="1235"/>
    <cellStyle name="Input 5" xfId="1299"/>
    <cellStyle name="Input 5 10" xfId="21837"/>
    <cellStyle name="Input 5 11" xfId="40637"/>
    <cellStyle name="Input 5 2" xfId="1300"/>
    <cellStyle name="Input 5 2 2" xfId="3525"/>
    <cellStyle name="Input 5 2 2 10" xfId="21838"/>
    <cellStyle name="Input 5 2 2 11" xfId="43774"/>
    <cellStyle name="Input 5 2 2 2" xfId="21839"/>
    <cellStyle name="Input 5 2 2 2 2" xfId="21840"/>
    <cellStyle name="Input 5 2 2 2 3" xfId="21841"/>
    <cellStyle name="Input 5 2 2 3" xfId="21842"/>
    <cellStyle name="Input 5 2 2 3 2" xfId="21843"/>
    <cellStyle name="Input 5 2 2 4" xfId="21844"/>
    <cellStyle name="Input 5 2 2 4 2" xfId="21845"/>
    <cellStyle name="Input 5 2 2 5" xfId="21846"/>
    <cellStyle name="Input 5 2 2 6" xfId="21847"/>
    <cellStyle name="Input 5 2 2 7" xfId="21848"/>
    <cellStyle name="Input 5 2 2 8" xfId="21849"/>
    <cellStyle name="Input 5 2 2 9" xfId="21850"/>
    <cellStyle name="Input 5 2 3" xfId="5362"/>
    <cellStyle name="Input 5 2 3 2" xfId="21852"/>
    <cellStyle name="Input 5 2 3 2 2" xfId="21853"/>
    <cellStyle name="Input 5 2 3 2 3" xfId="21854"/>
    <cellStyle name="Input 5 2 3 3" xfId="21855"/>
    <cellStyle name="Input 5 2 3 3 2" xfId="21856"/>
    <cellStyle name="Input 5 2 3 4" xfId="21857"/>
    <cellStyle name="Input 5 2 3 5" xfId="21858"/>
    <cellStyle name="Input 5 2 3 6" xfId="21859"/>
    <cellStyle name="Input 5 2 3 7" xfId="21851"/>
    <cellStyle name="Input 5 2 3 8" xfId="43546"/>
    <cellStyle name="Input 5 2 4" xfId="4949"/>
    <cellStyle name="Input 5 2 4 2" xfId="3526"/>
    <cellStyle name="Input 5 2 4 2 2" xfId="21861"/>
    <cellStyle name="Input 5 2 4 3" xfId="21860"/>
    <cellStyle name="Input 5 2 4 4" xfId="45327"/>
    <cellStyle name="Input 5 2 5" xfId="5363"/>
    <cellStyle name="Input 5 2 5 2" xfId="5364"/>
    <cellStyle name="Input 5 2 5 3" xfId="21862"/>
    <cellStyle name="Input 5 2 6" xfId="3527"/>
    <cellStyle name="Input 5 2 6 2" xfId="21863"/>
    <cellStyle name="Input 5 2 7" xfId="5365"/>
    <cellStyle name="Input 5 2 7 2" xfId="21864"/>
    <cellStyle name="Input 5 2 8" xfId="8042"/>
    <cellStyle name="Input 5 2 9" xfId="41382"/>
    <cellStyle name="Input 5 3" xfId="4950"/>
    <cellStyle name="Input 5 3 2" xfId="21866"/>
    <cellStyle name="Input 5 3 2 2" xfId="21867"/>
    <cellStyle name="Input 5 3 2 2 2" xfId="21868"/>
    <cellStyle name="Input 5 3 2 3" xfId="21869"/>
    <cellStyle name="Input 5 3 2 3 2" xfId="21870"/>
    <cellStyle name="Input 5 3 2 4" xfId="21871"/>
    <cellStyle name="Input 5 3 2 4 2" xfId="21872"/>
    <cellStyle name="Input 5 3 2 5" xfId="21873"/>
    <cellStyle name="Input 5 3 2 6" xfId="21874"/>
    <cellStyle name="Input 5 3 2 7" xfId="21875"/>
    <cellStyle name="Input 5 3 2 8" xfId="21876"/>
    <cellStyle name="Input 5 3 2 9" xfId="21877"/>
    <cellStyle name="Input 5 3 3" xfId="21878"/>
    <cellStyle name="Input 5 3 3 2" xfId="21879"/>
    <cellStyle name="Input 5 3 3 2 2" xfId="21880"/>
    <cellStyle name="Input 5 3 3 3" xfId="21881"/>
    <cellStyle name="Input 5 3 3 3 2" xfId="21882"/>
    <cellStyle name="Input 5 3 3 4" xfId="21883"/>
    <cellStyle name="Input 5 3 3 5" xfId="21884"/>
    <cellStyle name="Input 5 3 3 6" xfId="21885"/>
    <cellStyle name="Input 5 3 4" xfId="21886"/>
    <cellStyle name="Input 5 3 5" xfId="21887"/>
    <cellStyle name="Input 5 3 6" xfId="21888"/>
    <cellStyle name="Input 5 3 7" xfId="21889"/>
    <cellStyle name="Input 5 3 8" xfId="21865"/>
    <cellStyle name="Input 5 3 9" xfId="41347"/>
    <cellStyle name="Input 5 4" xfId="5366"/>
    <cellStyle name="Input 5 4 10" xfId="21890"/>
    <cellStyle name="Input 5 4 11" xfId="40897"/>
    <cellStyle name="Input 5 4 2" xfId="21891"/>
    <cellStyle name="Input 5 4 2 2" xfId="21892"/>
    <cellStyle name="Input 5 4 2 3" xfId="21893"/>
    <cellStyle name="Input 5 4 2 4" xfId="43678"/>
    <cellStyle name="Input 5 4 3" xfId="21894"/>
    <cellStyle name="Input 5 4 3 2" xfId="21895"/>
    <cellStyle name="Input 5 4 3 3" xfId="44521"/>
    <cellStyle name="Input 5 4 4" xfId="21896"/>
    <cellStyle name="Input 5 4 4 2" xfId="21897"/>
    <cellStyle name="Input 5 4 4 3" xfId="45304"/>
    <cellStyle name="Input 5 4 5" xfId="21898"/>
    <cellStyle name="Input 5 4 6" xfId="21899"/>
    <cellStyle name="Input 5 4 7" xfId="21900"/>
    <cellStyle name="Input 5 4 8" xfId="21901"/>
    <cellStyle name="Input 5 4 9" xfId="21902"/>
    <cellStyle name="Input 5 5" xfId="3528"/>
    <cellStyle name="Input 5 5 10" xfId="21903"/>
    <cellStyle name="Input 5 5 11" xfId="43626"/>
    <cellStyle name="Input 5 5 2" xfId="5367"/>
    <cellStyle name="Input 5 5 2 2" xfId="21905"/>
    <cellStyle name="Input 5 5 2 3" xfId="21906"/>
    <cellStyle name="Input 5 5 2 4" xfId="21904"/>
    <cellStyle name="Input 5 5 3" xfId="21907"/>
    <cellStyle name="Input 5 5 3 2" xfId="21908"/>
    <cellStyle name="Input 5 5 4" xfId="21909"/>
    <cellStyle name="Input 5 5 4 2" xfId="21910"/>
    <cellStyle name="Input 5 5 5" xfId="21911"/>
    <cellStyle name="Input 5 5 6" xfId="21912"/>
    <cellStyle name="Input 5 5 7" xfId="21913"/>
    <cellStyle name="Input 5 5 8" xfId="21914"/>
    <cellStyle name="Input 5 5 9" xfId="21915"/>
    <cellStyle name="Input 5 6" xfId="3529"/>
    <cellStyle name="Input 5 6 2" xfId="4951"/>
    <cellStyle name="Input 5 6 2 2" xfId="21918"/>
    <cellStyle name="Input 5 6 2 3" xfId="21917"/>
    <cellStyle name="Input 5 6 3" xfId="21919"/>
    <cellStyle name="Input 5 6 3 2" xfId="21920"/>
    <cellStyle name="Input 5 6 4" xfId="21921"/>
    <cellStyle name="Input 5 6 5" xfId="21922"/>
    <cellStyle name="Input 5 6 6" xfId="21923"/>
    <cellStyle name="Input 5 6 7" xfId="21916"/>
    <cellStyle name="Input 5 6 8" xfId="44144"/>
    <cellStyle name="Input 5 7" xfId="3530"/>
    <cellStyle name="Input 5 7 2" xfId="21924"/>
    <cellStyle name="Input 5 7 3" xfId="44095"/>
    <cellStyle name="Input 5 8" xfId="5368"/>
    <cellStyle name="Input 5 8 2" xfId="21925"/>
    <cellStyle name="Input 5 9" xfId="8041"/>
    <cellStyle name="Input 50" xfId="4027"/>
    <cellStyle name="Input 51" xfId="4302"/>
    <cellStyle name="Input 52" xfId="7986"/>
    <cellStyle name="Input 6" xfId="1301"/>
    <cellStyle name="Input 6 10" xfId="4952"/>
    <cellStyle name="Input 6 10 2" xfId="21926"/>
    <cellStyle name="Input 6 11" xfId="8043"/>
    <cellStyle name="Input 6 12" xfId="40638"/>
    <cellStyle name="Input 6 2" xfId="1302"/>
    <cellStyle name="Input 6 2 2" xfId="5369"/>
    <cellStyle name="Input 6 2 2 10" xfId="21927"/>
    <cellStyle name="Input 6 2 2 11" xfId="43777"/>
    <cellStyle name="Input 6 2 2 2" xfId="21928"/>
    <cellStyle name="Input 6 2 2 2 2" xfId="21929"/>
    <cellStyle name="Input 6 2 2 2 3" xfId="21930"/>
    <cellStyle name="Input 6 2 2 3" xfId="21931"/>
    <cellStyle name="Input 6 2 2 3 2" xfId="21932"/>
    <cellStyle name="Input 6 2 2 4" xfId="21933"/>
    <cellStyle name="Input 6 2 2 4 2" xfId="21934"/>
    <cellStyle name="Input 6 2 2 5" xfId="21935"/>
    <cellStyle name="Input 6 2 2 6" xfId="21936"/>
    <cellStyle name="Input 6 2 2 7" xfId="21937"/>
    <cellStyle name="Input 6 2 2 8" xfId="21938"/>
    <cellStyle name="Input 6 2 2 9" xfId="21939"/>
    <cellStyle name="Input 6 2 3" xfId="5370"/>
    <cellStyle name="Input 6 2 3 2" xfId="21941"/>
    <cellStyle name="Input 6 2 3 2 2" xfId="21942"/>
    <cellStyle name="Input 6 2 3 2 3" xfId="21943"/>
    <cellStyle name="Input 6 2 3 3" xfId="21944"/>
    <cellStyle name="Input 6 2 3 3 2" xfId="21945"/>
    <cellStyle name="Input 6 2 3 4" xfId="21946"/>
    <cellStyle name="Input 6 2 3 5" xfId="21947"/>
    <cellStyle name="Input 6 2 3 6" xfId="21948"/>
    <cellStyle name="Input 6 2 3 7" xfId="21940"/>
    <cellStyle name="Input 6 2 3 8" xfId="43544"/>
    <cellStyle name="Input 6 2 4" xfId="5371"/>
    <cellStyle name="Input 6 2 4 2" xfId="3531"/>
    <cellStyle name="Input 6 2 4 2 2" xfId="21950"/>
    <cellStyle name="Input 6 2 4 3" xfId="21949"/>
    <cellStyle name="Input 6 2 4 4" xfId="45287"/>
    <cellStyle name="Input 6 2 5" xfId="4953"/>
    <cellStyle name="Input 6 2 5 2" xfId="4995"/>
    <cellStyle name="Input 6 2 5 3" xfId="21951"/>
    <cellStyle name="Input 6 2 6" xfId="4810"/>
    <cellStyle name="Input 6 2 6 2" xfId="21952"/>
    <cellStyle name="Input 6 2 7" xfId="4811"/>
    <cellStyle name="Input 6 2 7 2" xfId="21953"/>
    <cellStyle name="Input 6 2 8" xfId="8044"/>
    <cellStyle name="Input 6 2 9" xfId="41385"/>
    <cellStyle name="Input 6 3" xfId="4812"/>
    <cellStyle name="Input 6 3 2" xfId="5243"/>
    <cellStyle name="Input 6 3 2 10" xfId="21955"/>
    <cellStyle name="Input 6 3 2 2" xfId="21956"/>
    <cellStyle name="Input 6 3 2 2 2" xfId="21957"/>
    <cellStyle name="Input 6 3 2 3" xfId="21958"/>
    <cellStyle name="Input 6 3 2 3 2" xfId="21959"/>
    <cellStyle name="Input 6 3 2 4" xfId="21960"/>
    <cellStyle name="Input 6 3 2 4 2" xfId="21961"/>
    <cellStyle name="Input 6 3 2 5" xfId="21962"/>
    <cellStyle name="Input 6 3 2 6" xfId="21963"/>
    <cellStyle name="Input 6 3 2 7" xfId="21964"/>
    <cellStyle name="Input 6 3 2 8" xfId="21965"/>
    <cellStyle name="Input 6 3 2 9" xfId="21966"/>
    <cellStyle name="Input 6 3 3" xfId="21967"/>
    <cellStyle name="Input 6 3 3 2" xfId="21968"/>
    <cellStyle name="Input 6 3 3 2 2" xfId="21969"/>
    <cellStyle name="Input 6 3 3 3" xfId="21970"/>
    <cellStyle name="Input 6 3 3 3 2" xfId="21971"/>
    <cellStyle name="Input 6 3 3 4" xfId="21972"/>
    <cellStyle name="Input 6 3 3 5" xfId="21973"/>
    <cellStyle name="Input 6 3 3 6" xfId="21974"/>
    <cellStyle name="Input 6 3 4" xfId="21975"/>
    <cellStyle name="Input 6 3 5" xfId="21976"/>
    <cellStyle name="Input 6 3 6" xfId="21977"/>
    <cellStyle name="Input 6 3 7" xfId="21978"/>
    <cellStyle name="Input 6 3 8" xfId="21954"/>
    <cellStyle name="Input 6 3 9" xfId="41354"/>
    <cellStyle name="Input 6 4" xfId="4813"/>
    <cellStyle name="Input 6 4 10" xfId="21979"/>
    <cellStyle name="Input 6 4 11" xfId="40900"/>
    <cellStyle name="Input 6 4 2" xfId="21980"/>
    <cellStyle name="Input 6 4 2 2" xfId="21981"/>
    <cellStyle name="Input 6 4 2 3" xfId="21982"/>
    <cellStyle name="Input 6 4 2 4" xfId="43681"/>
    <cellStyle name="Input 6 4 3" xfId="21983"/>
    <cellStyle name="Input 6 4 3 2" xfId="21984"/>
    <cellStyle name="Input 6 4 3 3" xfId="45279"/>
    <cellStyle name="Input 6 4 4" xfId="21985"/>
    <cellStyle name="Input 6 4 4 2" xfId="21986"/>
    <cellStyle name="Input 6 4 4 3" xfId="45307"/>
    <cellStyle name="Input 6 4 5" xfId="21987"/>
    <cellStyle name="Input 6 4 6" xfId="21988"/>
    <cellStyle name="Input 6 4 7" xfId="21989"/>
    <cellStyle name="Input 6 4 8" xfId="21990"/>
    <cellStyle name="Input 6 4 9" xfId="21991"/>
    <cellStyle name="Input 6 5" xfId="4814"/>
    <cellStyle name="Input 6 5 10" xfId="21992"/>
    <cellStyle name="Input 6 5 11" xfId="43627"/>
    <cellStyle name="Input 6 5 2" xfId="21993"/>
    <cellStyle name="Input 6 5 2 2" xfId="21994"/>
    <cellStyle name="Input 6 5 2 3" xfId="21995"/>
    <cellStyle name="Input 6 5 3" xfId="21996"/>
    <cellStyle name="Input 6 5 3 2" xfId="21997"/>
    <cellStyle name="Input 6 5 4" xfId="21998"/>
    <cellStyle name="Input 6 5 4 2" xfId="21999"/>
    <cellStyle name="Input 6 5 5" xfId="22000"/>
    <cellStyle name="Input 6 5 6" xfId="22001"/>
    <cellStyle name="Input 6 5 7" xfId="22002"/>
    <cellStyle name="Input 6 5 8" xfId="22003"/>
    <cellStyle name="Input 6 5 9" xfId="22004"/>
    <cellStyle name="Input 6 6" xfId="5244"/>
    <cellStyle name="Input 6 6 2" xfId="4815"/>
    <cellStyle name="Input 6 6 2 2" xfId="22007"/>
    <cellStyle name="Input 6 6 2 3" xfId="22006"/>
    <cellStyle name="Input 6 6 3" xfId="22008"/>
    <cellStyle name="Input 6 6 3 2" xfId="22009"/>
    <cellStyle name="Input 6 6 4" xfId="22010"/>
    <cellStyle name="Input 6 6 5" xfId="22011"/>
    <cellStyle name="Input 6 6 6" xfId="22012"/>
    <cellStyle name="Input 6 6 7" xfId="22005"/>
    <cellStyle name="Input 6 6 8" xfId="44143"/>
    <cellStyle name="Input 6 7" xfId="4816"/>
    <cellStyle name="Input 6 7 2" xfId="5245"/>
    <cellStyle name="Input 6 7 3" xfId="22013"/>
    <cellStyle name="Input 6 7 4" xfId="44129"/>
    <cellStyle name="Input 6 8" xfId="4817"/>
    <cellStyle name="Input 6 8 2" xfId="22014"/>
    <cellStyle name="Input 6 9" xfId="5246"/>
    <cellStyle name="Input 6 9 2" xfId="22015"/>
    <cellStyle name="Input 7" xfId="1303"/>
    <cellStyle name="Input 7 10" xfId="4818"/>
    <cellStyle name="Input 7 10 2" xfId="22016"/>
    <cellStyle name="Input 7 11" xfId="8045"/>
    <cellStyle name="Input 7 12" xfId="40639"/>
    <cellStyle name="Input 7 2" xfId="1304"/>
    <cellStyle name="Input 7 2 2" xfId="4819"/>
    <cellStyle name="Input 7 2 2 10" xfId="22017"/>
    <cellStyle name="Input 7 2 2 11" xfId="43773"/>
    <cellStyle name="Input 7 2 2 2" xfId="22018"/>
    <cellStyle name="Input 7 2 2 2 2" xfId="22019"/>
    <cellStyle name="Input 7 2 2 2 3" xfId="22020"/>
    <cellStyle name="Input 7 2 2 3" xfId="22021"/>
    <cellStyle name="Input 7 2 2 3 2" xfId="22022"/>
    <cellStyle name="Input 7 2 2 4" xfId="22023"/>
    <cellStyle name="Input 7 2 2 4 2" xfId="22024"/>
    <cellStyle name="Input 7 2 2 5" xfId="22025"/>
    <cellStyle name="Input 7 2 2 6" xfId="22026"/>
    <cellStyle name="Input 7 2 2 7" xfId="22027"/>
    <cellStyle name="Input 7 2 2 8" xfId="22028"/>
    <cellStyle name="Input 7 2 2 9" xfId="22029"/>
    <cellStyle name="Input 7 2 3" xfId="4820"/>
    <cellStyle name="Input 7 2 3 2" xfId="22031"/>
    <cellStyle name="Input 7 2 3 2 2" xfId="22032"/>
    <cellStyle name="Input 7 2 3 2 3" xfId="22033"/>
    <cellStyle name="Input 7 2 3 3" xfId="22034"/>
    <cellStyle name="Input 7 2 3 3 2" xfId="22035"/>
    <cellStyle name="Input 7 2 3 4" xfId="22036"/>
    <cellStyle name="Input 7 2 3 5" xfId="22037"/>
    <cellStyle name="Input 7 2 3 6" xfId="22038"/>
    <cellStyle name="Input 7 2 3 7" xfId="22030"/>
    <cellStyle name="Input 7 2 3 8" xfId="43944"/>
    <cellStyle name="Input 7 2 4" xfId="4821"/>
    <cellStyle name="Input 7 2 4 2" xfId="4822"/>
    <cellStyle name="Input 7 2 4 2 2" xfId="22040"/>
    <cellStyle name="Input 7 2 4 3" xfId="22039"/>
    <cellStyle name="Input 7 2 4 4" xfId="45305"/>
    <cellStyle name="Input 7 2 5" xfId="4823"/>
    <cellStyle name="Input 7 2 5 2" xfId="4824"/>
    <cellStyle name="Input 7 2 5 3" xfId="22041"/>
    <cellStyle name="Input 7 2 6" xfId="5247"/>
    <cellStyle name="Input 7 2 6 2" xfId="22042"/>
    <cellStyle name="Input 7 2 7" xfId="4825"/>
    <cellStyle name="Input 7 2 7 2" xfId="22043"/>
    <cellStyle name="Input 7 2 8" xfId="8046"/>
    <cellStyle name="Input 7 2 9" xfId="41381"/>
    <cellStyle name="Input 7 3" xfId="4826"/>
    <cellStyle name="Input 7 3 2" xfId="4827"/>
    <cellStyle name="Input 7 3 2 10" xfId="22045"/>
    <cellStyle name="Input 7 3 2 2" xfId="22046"/>
    <cellStyle name="Input 7 3 2 2 2" xfId="22047"/>
    <cellStyle name="Input 7 3 2 3" xfId="22048"/>
    <cellStyle name="Input 7 3 2 3 2" xfId="22049"/>
    <cellStyle name="Input 7 3 2 4" xfId="22050"/>
    <cellStyle name="Input 7 3 2 4 2" xfId="22051"/>
    <cellStyle name="Input 7 3 2 5" xfId="22052"/>
    <cellStyle name="Input 7 3 2 6" xfId="22053"/>
    <cellStyle name="Input 7 3 2 7" xfId="22054"/>
    <cellStyle name="Input 7 3 2 8" xfId="22055"/>
    <cellStyle name="Input 7 3 2 9" xfId="22056"/>
    <cellStyle name="Input 7 3 3" xfId="22057"/>
    <cellStyle name="Input 7 3 3 2" xfId="22058"/>
    <cellStyle name="Input 7 3 3 2 2" xfId="22059"/>
    <cellStyle name="Input 7 3 3 3" xfId="22060"/>
    <cellStyle name="Input 7 3 3 3 2" xfId="22061"/>
    <cellStyle name="Input 7 3 3 4" xfId="22062"/>
    <cellStyle name="Input 7 3 3 5" xfId="22063"/>
    <cellStyle name="Input 7 3 3 6" xfId="22064"/>
    <cellStyle name="Input 7 3 4" xfId="22065"/>
    <cellStyle name="Input 7 3 5" xfId="22066"/>
    <cellStyle name="Input 7 3 6" xfId="22067"/>
    <cellStyle name="Input 7 3 7" xfId="22068"/>
    <cellStyle name="Input 7 3 8" xfId="22044"/>
    <cellStyle name="Input 7 3 9" xfId="41346"/>
    <cellStyle name="Input 7 4" xfId="4828"/>
    <cellStyle name="Input 7 4 10" xfId="22069"/>
    <cellStyle name="Input 7 4 11" xfId="40896"/>
    <cellStyle name="Input 7 4 2" xfId="22070"/>
    <cellStyle name="Input 7 4 2 2" xfId="22071"/>
    <cellStyle name="Input 7 4 2 3" xfId="22072"/>
    <cellStyle name="Input 7 4 2 4" xfId="43677"/>
    <cellStyle name="Input 7 4 3" xfId="22073"/>
    <cellStyle name="Input 7 4 3 2" xfId="22074"/>
    <cellStyle name="Input 7 4 3 3" xfId="45247"/>
    <cellStyle name="Input 7 4 4" xfId="22075"/>
    <cellStyle name="Input 7 4 4 2" xfId="22076"/>
    <cellStyle name="Input 7 4 4 3" xfId="45333"/>
    <cellStyle name="Input 7 4 5" xfId="22077"/>
    <cellStyle name="Input 7 4 6" xfId="22078"/>
    <cellStyle name="Input 7 4 7" xfId="22079"/>
    <cellStyle name="Input 7 4 8" xfId="22080"/>
    <cellStyle name="Input 7 4 9" xfId="22081"/>
    <cellStyle name="Input 7 5" xfId="4829"/>
    <cellStyle name="Input 7 5 10" xfId="22082"/>
    <cellStyle name="Input 7 5 11" xfId="43628"/>
    <cellStyle name="Input 7 5 2" xfId="22083"/>
    <cellStyle name="Input 7 5 2 2" xfId="22084"/>
    <cellStyle name="Input 7 5 2 3" xfId="22085"/>
    <cellStyle name="Input 7 5 3" xfId="22086"/>
    <cellStyle name="Input 7 5 3 2" xfId="22087"/>
    <cellStyle name="Input 7 5 4" xfId="22088"/>
    <cellStyle name="Input 7 5 4 2" xfId="22089"/>
    <cellStyle name="Input 7 5 5" xfId="22090"/>
    <cellStyle name="Input 7 5 6" xfId="22091"/>
    <cellStyle name="Input 7 5 7" xfId="22092"/>
    <cellStyle name="Input 7 5 8" xfId="22093"/>
    <cellStyle name="Input 7 5 9" xfId="22094"/>
    <cellStyle name="Input 7 6" xfId="5372"/>
    <cellStyle name="Input 7 6 2" xfId="5373"/>
    <cellStyle name="Input 7 6 2 2" xfId="22097"/>
    <cellStyle name="Input 7 6 2 3" xfId="22096"/>
    <cellStyle name="Input 7 6 3" xfId="22098"/>
    <cellStyle name="Input 7 6 3 2" xfId="22099"/>
    <cellStyle name="Input 7 6 4" xfId="22100"/>
    <cellStyle name="Input 7 6 5" xfId="22101"/>
    <cellStyle name="Input 7 6 6" xfId="22102"/>
    <cellStyle name="Input 7 6 7" xfId="22095"/>
    <cellStyle name="Input 7 6 8" xfId="44142"/>
    <cellStyle name="Input 7 7" xfId="4996"/>
    <cellStyle name="Input 7 7 2" xfId="4954"/>
    <cellStyle name="Input 7 7 3" xfId="22103"/>
    <cellStyle name="Input 7 7 4" xfId="44119"/>
    <cellStyle name="Input 7 8" xfId="5374"/>
    <cellStyle name="Input 7 8 2" xfId="22104"/>
    <cellStyle name="Input 7 9" xfId="4955"/>
    <cellStyle name="Input 7 9 2" xfId="22105"/>
    <cellStyle name="Input 8" xfId="1305"/>
    <cellStyle name="Input 8 10" xfId="4997"/>
    <cellStyle name="Input 8 10 2" xfId="22106"/>
    <cellStyle name="Input 8 11" xfId="40640"/>
    <cellStyle name="Input 8 2" xfId="1306"/>
    <cellStyle name="Input 8 2 10" xfId="22107"/>
    <cellStyle name="Input 8 2 11" xfId="41383"/>
    <cellStyle name="Input 8 2 2" xfId="1307"/>
    <cellStyle name="Input 8 2 2 10" xfId="22108"/>
    <cellStyle name="Input 8 2 2 11" xfId="43775"/>
    <cellStyle name="Input 8 2 2 2" xfId="4998"/>
    <cellStyle name="Input 8 2 2 2 2" xfId="22110"/>
    <cellStyle name="Input 8 2 2 2 3" xfId="22111"/>
    <cellStyle name="Input 8 2 2 2 4" xfId="22109"/>
    <cellStyle name="Input 8 2 2 3" xfId="8048"/>
    <cellStyle name="Input 8 2 2 3 2" xfId="22113"/>
    <cellStyle name="Input 8 2 2 3 3" xfId="22112"/>
    <cellStyle name="Input 8 2 2 4" xfId="22114"/>
    <cellStyle name="Input 8 2 2 4 2" xfId="22115"/>
    <cellStyle name="Input 8 2 2 5" xfId="22116"/>
    <cellStyle name="Input 8 2 2 6" xfId="22117"/>
    <cellStyle name="Input 8 2 2 7" xfId="22118"/>
    <cellStyle name="Input 8 2 2 8" xfId="22119"/>
    <cellStyle name="Input 8 2 2 9" xfId="22120"/>
    <cellStyle name="Input 8 2 3" xfId="5376"/>
    <cellStyle name="Input 8 2 3 2" xfId="22122"/>
    <cellStyle name="Input 8 2 3 2 2" xfId="22123"/>
    <cellStyle name="Input 8 2 3 2 3" xfId="22124"/>
    <cellStyle name="Input 8 2 3 3" xfId="22125"/>
    <cellStyle name="Input 8 2 3 3 2" xfId="22126"/>
    <cellStyle name="Input 8 2 3 4" xfId="22127"/>
    <cellStyle name="Input 8 2 3 5" xfId="22128"/>
    <cellStyle name="Input 8 2 3 6" xfId="22129"/>
    <cellStyle name="Input 8 2 3 7" xfId="22121"/>
    <cellStyle name="Input 8 2 3 8" xfId="43545"/>
    <cellStyle name="Input 8 2 4" xfId="3532"/>
    <cellStyle name="Input 8 2 4 2" xfId="5377"/>
    <cellStyle name="Input 8 2 4 2 2" xfId="22131"/>
    <cellStyle name="Input 8 2 4 3" xfId="22130"/>
    <cellStyle name="Input 8 2 4 4" xfId="45328"/>
    <cellStyle name="Input 8 2 5" xfId="3184"/>
    <cellStyle name="Input 8 2 5 2" xfId="3533"/>
    <cellStyle name="Input 8 2 5 3" xfId="22132"/>
    <cellStyle name="Input 8 2 6" xfId="4830"/>
    <cellStyle name="Input 8 2 6 2" xfId="22133"/>
    <cellStyle name="Input 8 2 7" xfId="5248"/>
    <cellStyle name="Input 8 2 7 2" xfId="22134"/>
    <cellStyle name="Input 8 2 8" xfId="5375"/>
    <cellStyle name="Input 8 2 9" xfId="8047"/>
    <cellStyle name="Input 8 3" xfId="1308"/>
    <cellStyle name="Input 8 3 2" xfId="4956"/>
    <cellStyle name="Input 8 3 2 10" xfId="22136"/>
    <cellStyle name="Input 8 3 2 2" xfId="22137"/>
    <cellStyle name="Input 8 3 2 2 2" xfId="22138"/>
    <cellStyle name="Input 8 3 2 3" xfId="22139"/>
    <cellStyle name="Input 8 3 2 3 2" xfId="22140"/>
    <cellStyle name="Input 8 3 2 4" xfId="22141"/>
    <cellStyle name="Input 8 3 2 4 2" xfId="22142"/>
    <cellStyle name="Input 8 3 2 5" xfId="22143"/>
    <cellStyle name="Input 8 3 2 6" xfId="22144"/>
    <cellStyle name="Input 8 3 2 7" xfId="22145"/>
    <cellStyle name="Input 8 3 2 8" xfId="22146"/>
    <cellStyle name="Input 8 3 2 9" xfId="22147"/>
    <cellStyle name="Input 8 3 3" xfId="5249"/>
    <cellStyle name="Input 8 3 3 2" xfId="22149"/>
    <cellStyle name="Input 8 3 3 2 2" xfId="22150"/>
    <cellStyle name="Input 8 3 3 3" xfId="22151"/>
    <cellStyle name="Input 8 3 3 3 2" xfId="22152"/>
    <cellStyle name="Input 8 3 3 4" xfId="22153"/>
    <cellStyle name="Input 8 3 3 5" xfId="22154"/>
    <cellStyle name="Input 8 3 3 6" xfId="22155"/>
    <cellStyle name="Input 8 3 3 7" xfId="22148"/>
    <cellStyle name="Input 8 3 4" xfId="8049"/>
    <cellStyle name="Input 8 3 4 2" xfId="22156"/>
    <cellStyle name="Input 8 3 5" xfId="22157"/>
    <cellStyle name="Input 8 3 6" xfId="22158"/>
    <cellStyle name="Input 8 3 7" xfId="22159"/>
    <cellStyle name="Input 8 3 8" xfId="22135"/>
    <cellStyle name="Input 8 3 9" xfId="41355"/>
    <cellStyle name="Input 8 4" xfId="1309"/>
    <cellStyle name="Input 8 4 10" xfId="22160"/>
    <cellStyle name="Input 8 4 11" xfId="40898"/>
    <cellStyle name="Input 8 4 2" xfId="5378"/>
    <cellStyle name="Input 8 4 2 2" xfId="22162"/>
    <cellStyle name="Input 8 4 2 3" xfId="22163"/>
    <cellStyle name="Input 8 4 2 4" xfId="22161"/>
    <cellStyle name="Input 8 4 2 5" xfId="43679"/>
    <cellStyle name="Input 8 4 3" xfId="22164"/>
    <cellStyle name="Input 8 4 3 2" xfId="22165"/>
    <cellStyle name="Input 8 4 3 3" xfId="43555"/>
    <cellStyle name="Input 8 4 4" xfId="22166"/>
    <cellStyle name="Input 8 4 4 2" xfId="22167"/>
    <cellStyle name="Input 8 4 4 3" xfId="45331"/>
    <cellStyle name="Input 8 4 5" xfId="22168"/>
    <cellStyle name="Input 8 4 6" xfId="22169"/>
    <cellStyle name="Input 8 4 7" xfId="22170"/>
    <cellStyle name="Input 8 4 8" xfId="22171"/>
    <cellStyle name="Input 8 4 9" xfId="22172"/>
    <cellStyle name="Input 8 5" xfId="2753"/>
    <cellStyle name="Input 8 5 10" xfId="43629"/>
    <cellStyle name="Input 8 5 2" xfId="3534"/>
    <cellStyle name="Input 8 5 2 2" xfId="22174"/>
    <cellStyle name="Input 8 5 2 3" xfId="22175"/>
    <cellStyle name="Input 8 5 2 4" xfId="22173"/>
    <cellStyle name="Input 8 5 3" xfId="8356"/>
    <cellStyle name="Input 8 5 3 2" xfId="22176"/>
    <cellStyle name="Input 8 5 4" xfId="22177"/>
    <cellStyle name="Input 8 5 4 2" xfId="22178"/>
    <cellStyle name="Input 8 5 5" xfId="22179"/>
    <cellStyle name="Input 8 5 6" xfId="22180"/>
    <cellStyle name="Input 8 5 7" xfId="22181"/>
    <cellStyle name="Input 8 5 8" xfId="22182"/>
    <cellStyle name="Input 8 5 9" xfId="22183"/>
    <cellStyle name="Input 8 6" xfId="4957"/>
    <cellStyle name="Input 8 6 2" xfId="5379"/>
    <cellStyle name="Input 8 6 2 2" xfId="22186"/>
    <cellStyle name="Input 8 6 2 3" xfId="22185"/>
    <cellStyle name="Input 8 6 3" xfId="22187"/>
    <cellStyle name="Input 8 6 3 2" xfId="22188"/>
    <cellStyle name="Input 8 6 4" xfId="22189"/>
    <cellStyle name="Input 8 6 5" xfId="22190"/>
    <cellStyle name="Input 8 6 6" xfId="22191"/>
    <cellStyle name="Input 8 6 7" xfId="22184"/>
    <cellStyle name="Input 8 6 8" xfId="44141"/>
    <cellStyle name="Input 8 7" xfId="5380"/>
    <cellStyle name="Input 8 7 2" xfId="3535"/>
    <cellStyle name="Input 8 7 3" xfId="22192"/>
    <cellStyle name="Input 8 7 4" xfId="43795"/>
    <cellStyle name="Input 8 8" xfId="5381"/>
    <cellStyle name="Input 8 8 2" xfId="22193"/>
    <cellStyle name="Input 8 9" xfId="3536"/>
    <cellStyle name="Input 8 9 2" xfId="22194"/>
    <cellStyle name="Input 9" xfId="1310"/>
    <cellStyle name="Input 9 10" xfId="4831"/>
    <cellStyle name="Input 9 10 2" xfId="22195"/>
    <cellStyle name="Input 9 11" xfId="40641"/>
    <cellStyle name="Input 9 2" xfId="1311"/>
    <cellStyle name="Input 9 2 10" xfId="22196"/>
    <cellStyle name="Input 9 2 11" xfId="41394"/>
    <cellStyle name="Input 9 2 2" xfId="1312"/>
    <cellStyle name="Input 9 2 2 10" xfId="22197"/>
    <cellStyle name="Input 9 2 2 11" xfId="43780"/>
    <cellStyle name="Input 9 2 2 2" xfId="3537"/>
    <cellStyle name="Input 9 2 2 2 2" xfId="22199"/>
    <cellStyle name="Input 9 2 2 2 3" xfId="22200"/>
    <cellStyle name="Input 9 2 2 2 4" xfId="22198"/>
    <cellStyle name="Input 9 2 2 3" xfId="8051"/>
    <cellStyle name="Input 9 2 2 3 2" xfId="22202"/>
    <cellStyle name="Input 9 2 2 3 3" xfId="22201"/>
    <cellStyle name="Input 9 2 2 4" xfId="22203"/>
    <cellStyle name="Input 9 2 2 4 2" xfId="22204"/>
    <cellStyle name="Input 9 2 2 5" xfId="22205"/>
    <cellStyle name="Input 9 2 2 6" xfId="22206"/>
    <cellStyle name="Input 9 2 2 7" xfId="22207"/>
    <cellStyle name="Input 9 2 2 8" xfId="22208"/>
    <cellStyle name="Input 9 2 2 9" xfId="22209"/>
    <cellStyle name="Input 9 2 3" xfId="4958"/>
    <cellStyle name="Input 9 2 3 2" xfId="22211"/>
    <cellStyle name="Input 9 2 3 2 2" xfId="22212"/>
    <cellStyle name="Input 9 2 3 2 3" xfId="22213"/>
    <cellStyle name="Input 9 2 3 3" xfId="22214"/>
    <cellStyle name="Input 9 2 3 3 2" xfId="22215"/>
    <cellStyle name="Input 9 2 3 4" xfId="22216"/>
    <cellStyle name="Input 9 2 3 5" xfId="22217"/>
    <cellStyle name="Input 9 2 3 6" xfId="22218"/>
    <cellStyle name="Input 9 2 3 7" xfId="22210"/>
    <cellStyle name="Input 9 2 3 8" xfId="43542"/>
    <cellStyle name="Input 9 2 4" xfId="5382"/>
    <cellStyle name="Input 9 2 4 2" xfId="5383"/>
    <cellStyle name="Input 9 2 4 2 2" xfId="22220"/>
    <cellStyle name="Input 9 2 4 3" xfId="22219"/>
    <cellStyle name="Input 9 2 4 4" xfId="43787"/>
    <cellStyle name="Input 9 2 5" xfId="3538"/>
    <cellStyle name="Input 9 2 5 2" xfId="5384"/>
    <cellStyle name="Input 9 2 5 3" xfId="22221"/>
    <cellStyle name="Input 9 2 6" xfId="3186"/>
    <cellStyle name="Input 9 2 6 2" xfId="22222"/>
    <cellStyle name="Input 9 2 7" xfId="3539"/>
    <cellStyle name="Input 9 2 7 2" xfId="22223"/>
    <cellStyle name="Input 9 2 8" xfId="3185"/>
    <cellStyle name="Input 9 2 9" xfId="8050"/>
    <cellStyle name="Input 9 3" xfId="1313"/>
    <cellStyle name="Input 9 3 2" xfId="3187"/>
    <cellStyle name="Input 9 3 2 10" xfId="22225"/>
    <cellStyle name="Input 9 3 2 2" xfId="22226"/>
    <cellStyle name="Input 9 3 2 2 2" xfId="22227"/>
    <cellStyle name="Input 9 3 2 3" xfId="22228"/>
    <cellStyle name="Input 9 3 2 3 2" xfId="22229"/>
    <cellStyle name="Input 9 3 2 4" xfId="22230"/>
    <cellStyle name="Input 9 3 2 4 2" xfId="22231"/>
    <cellStyle name="Input 9 3 2 5" xfId="22232"/>
    <cellStyle name="Input 9 3 2 6" xfId="22233"/>
    <cellStyle name="Input 9 3 2 7" xfId="22234"/>
    <cellStyle name="Input 9 3 2 8" xfId="22235"/>
    <cellStyle name="Input 9 3 2 9" xfId="22236"/>
    <cellStyle name="Input 9 3 3" xfId="5258"/>
    <cellStyle name="Input 9 3 3 2" xfId="22238"/>
    <cellStyle name="Input 9 3 3 2 2" xfId="22239"/>
    <cellStyle name="Input 9 3 3 3" xfId="22240"/>
    <cellStyle name="Input 9 3 3 3 2" xfId="22241"/>
    <cellStyle name="Input 9 3 3 4" xfId="22242"/>
    <cellStyle name="Input 9 3 3 5" xfId="22243"/>
    <cellStyle name="Input 9 3 3 6" xfId="22244"/>
    <cellStyle name="Input 9 3 3 7" xfId="22237"/>
    <cellStyle name="Input 9 3 4" xfId="8052"/>
    <cellStyle name="Input 9 3 4 2" xfId="22245"/>
    <cellStyle name="Input 9 3 5" xfId="22246"/>
    <cellStyle name="Input 9 3 6" xfId="22247"/>
    <cellStyle name="Input 9 3 7" xfId="22248"/>
    <cellStyle name="Input 9 3 8" xfId="22224"/>
    <cellStyle name="Input 9 3 9" xfId="41345"/>
    <cellStyle name="Input 9 4" xfId="1314"/>
    <cellStyle name="Input 9 4 10" xfId="22249"/>
    <cellStyle name="Input 9 4 11" xfId="40919"/>
    <cellStyle name="Input 9 4 2" xfId="3188"/>
    <cellStyle name="Input 9 4 2 2" xfId="22251"/>
    <cellStyle name="Input 9 4 2 3" xfId="22252"/>
    <cellStyle name="Input 9 4 2 4" xfId="22250"/>
    <cellStyle name="Input 9 4 2 5" xfId="43685"/>
    <cellStyle name="Input 9 4 3" xfId="22253"/>
    <cellStyle name="Input 9 4 3 2" xfId="22254"/>
    <cellStyle name="Input 9 4 3 3" xfId="43805"/>
    <cellStyle name="Input 9 4 4" xfId="22255"/>
    <cellStyle name="Input 9 4 4 2" xfId="22256"/>
    <cellStyle name="Input 9 4 4 3" xfId="44111"/>
    <cellStyle name="Input 9 4 5" xfId="22257"/>
    <cellStyle name="Input 9 4 6" xfId="22258"/>
    <cellStyle name="Input 9 4 7" xfId="22259"/>
    <cellStyle name="Input 9 4 8" xfId="22260"/>
    <cellStyle name="Input 9 4 9" xfId="22261"/>
    <cellStyle name="Input 9 5" xfId="2754"/>
    <cellStyle name="Input 9 5 10" xfId="43630"/>
    <cellStyle name="Input 9 5 2" xfId="3189"/>
    <cellStyle name="Input 9 5 2 2" xfId="22263"/>
    <cellStyle name="Input 9 5 2 3" xfId="22264"/>
    <cellStyle name="Input 9 5 2 4" xfId="22262"/>
    <cellStyle name="Input 9 5 3" xfId="8357"/>
    <cellStyle name="Input 9 5 3 2" xfId="22265"/>
    <cellStyle name="Input 9 5 4" xfId="22266"/>
    <cellStyle name="Input 9 5 4 2" xfId="22267"/>
    <cellStyle name="Input 9 5 5" xfId="22268"/>
    <cellStyle name="Input 9 5 6" xfId="22269"/>
    <cellStyle name="Input 9 5 7" xfId="22270"/>
    <cellStyle name="Input 9 5 8" xfId="22271"/>
    <cellStyle name="Input 9 5 9" xfId="22272"/>
    <cellStyle name="Input 9 6" xfId="3540"/>
    <cellStyle name="Input 9 6 2" xfId="3190"/>
    <cellStyle name="Input 9 6 2 2" xfId="22275"/>
    <cellStyle name="Input 9 6 2 3" xfId="22274"/>
    <cellStyle name="Input 9 6 3" xfId="22276"/>
    <cellStyle name="Input 9 6 3 2" xfId="22277"/>
    <cellStyle name="Input 9 6 4" xfId="22278"/>
    <cellStyle name="Input 9 6 5" xfId="22279"/>
    <cellStyle name="Input 9 6 6" xfId="22280"/>
    <cellStyle name="Input 9 6 7" xfId="22273"/>
    <cellStyle name="Input 9 6 8" xfId="44140"/>
    <cellStyle name="Input 9 7" xfId="3541"/>
    <cellStyle name="Input 9 7 2" xfId="4832"/>
    <cellStyle name="Input 9 7 3" xfId="22281"/>
    <cellStyle name="Input 9 7 4" xfId="44157"/>
    <cellStyle name="Input 9 8" xfId="4833"/>
    <cellStyle name="Input 9 8 2" xfId="22282"/>
    <cellStyle name="Input 9 9" xfId="4834"/>
    <cellStyle name="Input 9 9 2" xfId="22283"/>
    <cellStyle name="Instructions" xfId="1315"/>
    <cellStyle name="Instructions 2" xfId="42169"/>
    <cellStyle name="Integer" xfId="1316"/>
    <cellStyle name="Integer 2" xfId="1317"/>
    <cellStyle name="Integer 2 2" xfId="1318"/>
    <cellStyle name="Integer 2 2 2" xfId="22284"/>
    <cellStyle name="Integer 2 3" xfId="22285"/>
    <cellStyle name="Integer 2 3 2" xfId="41187"/>
    <cellStyle name="Integer 2 4" xfId="22286"/>
    <cellStyle name="Integer 3" xfId="1319"/>
    <cellStyle name="Integer 3 2" xfId="2975"/>
    <cellStyle name="Integer 4" xfId="1320"/>
    <cellStyle name="Integer 4 2" xfId="4835"/>
    <cellStyle name="Integer 5" xfId="4836"/>
    <cellStyle name="Integer 6" xfId="5458"/>
    <cellStyle name="Integer 7" xfId="5459"/>
    <cellStyle name="Integer_5.2" xfId="5460"/>
    <cellStyle name="Intial cap" xfId="1321"/>
    <cellStyle name="Intial cap 2" xfId="1322"/>
    <cellStyle name="Intial cap 2 2" xfId="2976"/>
    <cellStyle name="Intial cap 3" xfId="1323"/>
    <cellStyle name="Intial cap 3 2" xfId="5461"/>
    <cellStyle name="Intial cap 3 3" xfId="22287"/>
    <cellStyle name="Intial cap 4" xfId="1324"/>
    <cellStyle name="Intitulé cours" xfId="2755"/>
    <cellStyle name="Jegyzet" xfId="40339"/>
    <cellStyle name="Jelölőszín (1)" xfId="40340"/>
    <cellStyle name="Jelölőszín (2)" xfId="40341"/>
    <cellStyle name="Jelölőszín (3)" xfId="40342"/>
    <cellStyle name="Jelölőszín (4)" xfId="40343"/>
    <cellStyle name="Jelölőszín (5)" xfId="40344"/>
    <cellStyle name="Jelölőszín (6)" xfId="40345"/>
    <cellStyle name="Jó" xfId="40346"/>
    <cellStyle name="Kimenet" xfId="40347"/>
    <cellStyle name="Labels - Style3" xfId="1325"/>
    <cellStyle name="Labels - Style3 10" xfId="8053"/>
    <cellStyle name="Labels - Style3 10 2" xfId="22289"/>
    <cellStyle name="Labels - Style3 11" xfId="22288"/>
    <cellStyle name="Labels - Style3 12" xfId="42170"/>
    <cellStyle name="Labels - Style3 2" xfId="1326"/>
    <cellStyle name="Labels - Style3 2 10" xfId="22291"/>
    <cellStyle name="Labels - Style3 2 11" xfId="22292"/>
    <cellStyle name="Labels - Style3 2 12" xfId="22290"/>
    <cellStyle name="Labels - Style3 2 13" xfId="44114"/>
    <cellStyle name="Labels - Style3 2 2" xfId="1327"/>
    <cellStyle name="Labels - Style3 2 2 2" xfId="8055"/>
    <cellStyle name="Labels - Style3 2 2 2 2" xfId="22294"/>
    <cellStyle name="Labels - Style3 2 2 2 2 2" xfId="22295"/>
    <cellStyle name="Labels - Style3 2 2 2 2 3" xfId="22296"/>
    <cellStyle name="Labels - Style3 2 2 2 2 4" xfId="22297"/>
    <cellStyle name="Labels - Style3 2 2 2 3" xfId="22298"/>
    <cellStyle name="Labels - Style3 2 2 2 3 2" xfId="22299"/>
    <cellStyle name="Labels - Style3 2 2 2 3 3" xfId="22300"/>
    <cellStyle name="Labels - Style3 2 2 2 3 4" xfId="22301"/>
    <cellStyle name="Labels - Style3 2 2 2 4" xfId="22302"/>
    <cellStyle name="Labels - Style3 2 2 2 5" xfId="22303"/>
    <cellStyle name="Labels - Style3 2 2 2 6" xfId="22304"/>
    <cellStyle name="Labels - Style3 2 2 3" xfId="22305"/>
    <cellStyle name="Labels - Style3 2 2 3 2" xfId="22306"/>
    <cellStyle name="Labels - Style3 2 2 3 2 2" xfId="22307"/>
    <cellStyle name="Labels - Style3 2 2 3 2 3" xfId="22308"/>
    <cellStyle name="Labels - Style3 2 2 3 3" xfId="22309"/>
    <cellStyle name="Labels - Style3 2 2 3 4" xfId="22310"/>
    <cellStyle name="Labels - Style3 2 2 4" xfId="22311"/>
    <cellStyle name="Labels - Style3 2 2 4 2" xfId="22312"/>
    <cellStyle name="Labels - Style3 2 2 4 2 2" xfId="22313"/>
    <cellStyle name="Labels - Style3 2 2 4 2 3" xfId="22314"/>
    <cellStyle name="Labels - Style3 2 2 4 3" xfId="22315"/>
    <cellStyle name="Labels - Style3 2 2 4 4" xfId="22316"/>
    <cellStyle name="Labels - Style3 2 2 5" xfId="22317"/>
    <cellStyle name="Labels - Style3 2 2 5 2" xfId="22318"/>
    <cellStyle name="Labels - Style3 2 2 5 3" xfId="22319"/>
    <cellStyle name="Labels - Style3 2 2 5 4" xfId="22320"/>
    <cellStyle name="Labels - Style3 2 2 6" xfId="22321"/>
    <cellStyle name="Labels - Style3 2 2 6 2" xfId="22322"/>
    <cellStyle name="Labels - Style3 2 2 6 3" xfId="22323"/>
    <cellStyle name="Labels - Style3 2 2 7" xfId="22324"/>
    <cellStyle name="Labels - Style3 2 2 8" xfId="22325"/>
    <cellStyle name="Labels - Style3 2 2 8 2" xfId="22326"/>
    <cellStyle name="Labels - Style3 2 2 9" xfId="22293"/>
    <cellStyle name="Labels - Style3 2 3" xfId="5463"/>
    <cellStyle name="Labels - Style3 2 3 2" xfId="22328"/>
    <cellStyle name="Labels - Style3 2 3 2 2" xfId="22329"/>
    <cellStyle name="Labels - Style3 2 3 2 2 2" xfId="22330"/>
    <cellStyle name="Labels - Style3 2 3 2 2 3" xfId="22331"/>
    <cellStyle name="Labels - Style3 2 3 2 2 4" xfId="22332"/>
    <cellStyle name="Labels - Style3 2 3 2 3" xfId="22333"/>
    <cellStyle name="Labels - Style3 2 3 2 3 2" xfId="22334"/>
    <cellStyle name="Labels - Style3 2 3 2 3 3" xfId="22335"/>
    <cellStyle name="Labels - Style3 2 3 2 3 4" xfId="22336"/>
    <cellStyle name="Labels - Style3 2 3 2 4" xfId="22337"/>
    <cellStyle name="Labels - Style3 2 3 2 5" xfId="22338"/>
    <cellStyle name="Labels - Style3 2 3 2 6" xfId="22339"/>
    <cellStyle name="Labels - Style3 2 3 3" xfId="22340"/>
    <cellStyle name="Labels - Style3 2 3 3 2" xfId="22341"/>
    <cellStyle name="Labels - Style3 2 3 3 2 2" xfId="22342"/>
    <cellStyle name="Labels - Style3 2 3 3 2 3" xfId="22343"/>
    <cellStyle name="Labels - Style3 2 3 3 3" xfId="22344"/>
    <cellStyle name="Labels - Style3 2 3 3 4" xfId="22345"/>
    <cellStyle name="Labels - Style3 2 3 4" xfId="22346"/>
    <cellStyle name="Labels - Style3 2 3 4 2" xfId="22347"/>
    <cellStyle name="Labels - Style3 2 3 4 3" xfId="22348"/>
    <cellStyle name="Labels - Style3 2 3 4 4" xfId="22349"/>
    <cellStyle name="Labels - Style3 2 3 5" xfId="22350"/>
    <cellStyle name="Labels - Style3 2 3 5 2" xfId="22351"/>
    <cellStyle name="Labels - Style3 2 3 5 3" xfId="22352"/>
    <cellStyle name="Labels - Style3 2 3 5 4" xfId="22353"/>
    <cellStyle name="Labels - Style3 2 3 6" xfId="22354"/>
    <cellStyle name="Labels - Style3 2 3 7" xfId="22355"/>
    <cellStyle name="Labels - Style3 2 3 8" xfId="22356"/>
    <cellStyle name="Labels - Style3 2 3 9" xfId="22327"/>
    <cellStyle name="Labels - Style3 2 4" xfId="8054"/>
    <cellStyle name="Labels - Style3 2 4 2" xfId="22358"/>
    <cellStyle name="Labels - Style3 2 4 2 2" xfId="22359"/>
    <cellStyle name="Labels - Style3 2 4 2 3" xfId="22360"/>
    <cellStyle name="Labels - Style3 2 4 2 4" xfId="22361"/>
    <cellStyle name="Labels - Style3 2 4 3" xfId="22362"/>
    <cellStyle name="Labels - Style3 2 4 3 2" xfId="22363"/>
    <cellStyle name="Labels - Style3 2 4 3 3" xfId="22364"/>
    <cellStyle name="Labels - Style3 2 4 3 4" xfId="22365"/>
    <cellStyle name="Labels - Style3 2 4 4" xfId="22366"/>
    <cellStyle name="Labels - Style3 2 4 4 2" xfId="22367"/>
    <cellStyle name="Labels - Style3 2 4 4 3" xfId="22368"/>
    <cellStyle name="Labels - Style3 2 4 4 4" xfId="22369"/>
    <cellStyle name="Labels - Style3 2 4 5" xfId="22370"/>
    <cellStyle name="Labels - Style3 2 4 6" xfId="22371"/>
    <cellStyle name="Labels - Style3 2 4 7" xfId="22372"/>
    <cellStyle name="Labels - Style3 2 4 8" xfId="22357"/>
    <cellStyle name="Labels - Style3 2 5" xfId="22373"/>
    <cellStyle name="Labels - Style3 2 5 2" xfId="22374"/>
    <cellStyle name="Labels - Style3 2 5 2 2" xfId="22375"/>
    <cellStyle name="Labels - Style3 2 5 2 3" xfId="22376"/>
    <cellStyle name="Labels - Style3 2 5 2 4" xfId="22377"/>
    <cellStyle name="Labels - Style3 2 5 3" xfId="22378"/>
    <cellStyle name="Labels - Style3 2 5 3 2" xfId="22379"/>
    <cellStyle name="Labels - Style3 2 5 3 3" xfId="22380"/>
    <cellStyle name="Labels - Style3 2 5 3 4" xfId="22381"/>
    <cellStyle name="Labels - Style3 2 5 4" xfId="22382"/>
    <cellStyle name="Labels - Style3 2 5 4 2" xfId="22383"/>
    <cellStyle name="Labels - Style3 2 5 4 3" xfId="22384"/>
    <cellStyle name="Labels - Style3 2 5 4 4" xfId="22385"/>
    <cellStyle name="Labels - Style3 2 5 5" xfId="22386"/>
    <cellStyle name="Labels - Style3 2 5 6" xfId="22387"/>
    <cellStyle name="Labels - Style3 2 5 7" xfId="22388"/>
    <cellStyle name="Labels - Style3 2 6" xfId="22389"/>
    <cellStyle name="Labels - Style3 2 6 2" xfId="22390"/>
    <cellStyle name="Labels - Style3 2 6 2 2" xfId="22391"/>
    <cellStyle name="Labels - Style3 2 6 2 3" xfId="22392"/>
    <cellStyle name="Labels - Style3 2 6 2 4" xfId="22393"/>
    <cellStyle name="Labels - Style3 2 6 3" xfId="22394"/>
    <cellStyle name="Labels - Style3 2 6 3 2" xfId="22395"/>
    <cellStyle name="Labels - Style3 2 6 3 3" xfId="22396"/>
    <cellStyle name="Labels - Style3 2 6 3 4" xfId="22397"/>
    <cellStyle name="Labels - Style3 2 6 4" xfId="22398"/>
    <cellStyle name="Labels - Style3 2 6 5" xfId="22399"/>
    <cellStyle name="Labels - Style3 2 6 6" xfId="22400"/>
    <cellStyle name="Labels - Style3 2 7" xfId="22401"/>
    <cellStyle name="Labels - Style3 2 7 2" xfId="22402"/>
    <cellStyle name="Labels - Style3 2 7 3" xfId="22403"/>
    <cellStyle name="Labels - Style3 2 7 4" xfId="22404"/>
    <cellStyle name="Labels - Style3 2 8" xfId="22405"/>
    <cellStyle name="Labels - Style3 2 8 2" xfId="22406"/>
    <cellStyle name="Labels - Style3 2 8 3" xfId="22407"/>
    <cellStyle name="Labels - Style3 2 8 4" xfId="22408"/>
    <cellStyle name="Labels - Style3 2 9" xfId="22409"/>
    <cellStyle name="Labels - Style3 2 9 2" xfId="22410"/>
    <cellStyle name="Labels - Style3 2 9 3" xfId="22411"/>
    <cellStyle name="Labels - Style3 2 9 4" xfId="22412"/>
    <cellStyle name="Labels - Style3 3" xfId="1328"/>
    <cellStyle name="Labels - Style3 3 2" xfId="1329"/>
    <cellStyle name="Labels - Style3 3 2 2" xfId="8057"/>
    <cellStyle name="Labels - Style3 3 2 2 2" xfId="22416"/>
    <cellStyle name="Labels - Style3 3 2 2 2 2" xfId="22417"/>
    <cellStyle name="Labels - Style3 3 2 2 3" xfId="22418"/>
    <cellStyle name="Labels - Style3 3 2 2 4" xfId="22415"/>
    <cellStyle name="Labels - Style3 3 2 3" xfId="22419"/>
    <cellStyle name="Labels - Style3 3 2 3 2" xfId="22420"/>
    <cellStyle name="Labels - Style3 3 2 3 2 2" xfId="22421"/>
    <cellStyle name="Labels - Style3 3 2 3 3" xfId="22422"/>
    <cellStyle name="Labels - Style3 3 2 4" xfId="22423"/>
    <cellStyle name="Labels - Style3 3 2 4 2" xfId="22424"/>
    <cellStyle name="Labels - Style3 3 2 4 3" xfId="22425"/>
    <cellStyle name="Labels - Style3 3 2 5" xfId="22426"/>
    <cellStyle name="Labels - Style3 3 2 6" xfId="22427"/>
    <cellStyle name="Labels - Style3 3 2 7" xfId="22428"/>
    <cellStyle name="Labels - Style3 3 2 8" xfId="22429"/>
    <cellStyle name="Labels - Style3 3 2 9" xfId="22414"/>
    <cellStyle name="Labels - Style3 3 3" xfId="5464"/>
    <cellStyle name="Labels - Style3 3 3 2" xfId="22431"/>
    <cellStyle name="Labels - Style3 3 3 2 2" xfId="22432"/>
    <cellStyle name="Labels - Style3 3 3 2 3" xfId="22433"/>
    <cellStyle name="Labels - Style3 3 3 3" xfId="22434"/>
    <cellStyle name="Labels - Style3 3 3 3 2" xfId="22435"/>
    <cellStyle name="Labels - Style3 3 3 4" xfId="22436"/>
    <cellStyle name="Labels - Style3 3 3 5" xfId="22437"/>
    <cellStyle name="Labels - Style3 3 3 6" xfId="22438"/>
    <cellStyle name="Labels - Style3 3 3 7" xfId="22430"/>
    <cellStyle name="Labels - Style3 3 4" xfId="8056"/>
    <cellStyle name="Labels - Style3 3 4 2" xfId="22440"/>
    <cellStyle name="Labels - Style3 3 4 3" xfId="22441"/>
    <cellStyle name="Labels - Style3 3 4 4" xfId="22442"/>
    <cellStyle name="Labels - Style3 3 4 5" xfId="22439"/>
    <cellStyle name="Labels - Style3 3 5" xfId="22443"/>
    <cellStyle name="Labels - Style3 3 5 2" xfId="22444"/>
    <cellStyle name="Labels - Style3 3 5 3" xfId="22445"/>
    <cellStyle name="Labels - Style3 3 5 4" xfId="22446"/>
    <cellStyle name="Labels - Style3 3 6" xfId="22447"/>
    <cellStyle name="Labels - Style3 3 7" xfId="22448"/>
    <cellStyle name="Labels - Style3 3 8" xfId="22413"/>
    <cellStyle name="Labels - Style3 3 9" xfId="45294"/>
    <cellStyle name="Labels - Style3 4" xfId="1330"/>
    <cellStyle name="Labels - Style3 4 10" xfId="45314"/>
    <cellStyle name="Labels - Style3 4 2" xfId="5466"/>
    <cellStyle name="Labels - Style3 4 2 2" xfId="22451"/>
    <cellStyle name="Labels - Style3 4 2 2 2" xfId="22452"/>
    <cellStyle name="Labels - Style3 4 2 2 3" xfId="22453"/>
    <cellStyle name="Labels - Style3 4 2 2 4" xfId="22454"/>
    <cellStyle name="Labels - Style3 4 2 3" xfId="22455"/>
    <cellStyle name="Labels - Style3 4 2 3 2" xfId="22456"/>
    <cellStyle name="Labels - Style3 4 2 3 3" xfId="22457"/>
    <cellStyle name="Labels - Style3 4 2 3 4" xfId="22458"/>
    <cellStyle name="Labels - Style3 4 2 4" xfId="22459"/>
    <cellStyle name="Labels - Style3 4 2 5" xfId="22460"/>
    <cellStyle name="Labels - Style3 4 2 6" xfId="22461"/>
    <cellStyle name="Labels - Style3 4 2 7" xfId="22450"/>
    <cellStyle name="Labels - Style3 4 3" xfId="5465"/>
    <cellStyle name="Labels - Style3 4 3 2" xfId="22463"/>
    <cellStyle name="Labels - Style3 4 3 2 2" xfId="22464"/>
    <cellStyle name="Labels - Style3 4 3 3" xfId="22465"/>
    <cellStyle name="Labels - Style3 4 3 4" xfId="22462"/>
    <cellStyle name="Labels - Style3 4 4" xfId="8058"/>
    <cellStyle name="Labels - Style3 4 4 2" xfId="22467"/>
    <cellStyle name="Labels - Style3 4 4 2 2" xfId="22468"/>
    <cellStyle name="Labels - Style3 4 4 3" xfId="22469"/>
    <cellStyle name="Labels - Style3 4 4 4" xfId="22466"/>
    <cellStyle name="Labels - Style3 4 5" xfId="22470"/>
    <cellStyle name="Labels - Style3 4 5 2" xfId="22471"/>
    <cellStyle name="Labels - Style3 4 5 3" xfId="22472"/>
    <cellStyle name="Labels - Style3 4 5 4" xfId="22473"/>
    <cellStyle name="Labels - Style3 4 6" xfId="22474"/>
    <cellStyle name="Labels - Style3 4 6 2" xfId="22475"/>
    <cellStyle name="Labels - Style3 4 7" xfId="22476"/>
    <cellStyle name="Labels - Style3 4 8" xfId="22477"/>
    <cellStyle name="Labels - Style3 4 9" xfId="22449"/>
    <cellStyle name="Labels - Style3 5" xfId="5467"/>
    <cellStyle name="Labels - Style3 5 2" xfId="5468"/>
    <cellStyle name="Labels - Style3 5 2 2" xfId="22480"/>
    <cellStyle name="Labels - Style3 5 2 2 2" xfId="22481"/>
    <cellStyle name="Labels - Style3 5 2 3" xfId="22482"/>
    <cellStyle name="Labels - Style3 5 2 4" xfId="22479"/>
    <cellStyle name="Labels - Style3 5 3" xfId="22483"/>
    <cellStyle name="Labels - Style3 5 3 2" xfId="22484"/>
    <cellStyle name="Labels - Style3 5 3 2 2" xfId="22485"/>
    <cellStyle name="Labels - Style3 5 3 3" xfId="22486"/>
    <cellStyle name="Labels - Style3 5 4" xfId="22487"/>
    <cellStyle name="Labels - Style3 5 4 2" xfId="22488"/>
    <cellStyle name="Labels - Style3 5 4 2 2" xfId="22489"/>
    <cellStyle name="Labels - Style3 5 4 3" xfId="22490"/>
    <cellStyle name="Labels - Style3 5 5" xfId="22491"/>
    <cellStyle name="Labels - Style3 5 5 2" xfId="22492"/>
    <cellStyle name="Labels - Style3 5 6" xfId="22493"/>
    <cellStyle name="Labels - Style3 5 7" xfId="22494"/>
    <cellStyle name="Labels - Style3 5 8" xfId="22495"/>
    <cellStyle name="Labels - Style3 5 9" xfId="22478"/>
    <cellStyle name="Labels - Style3 6" xfId="5469"/>
    <cellStyle name="Labels - Style3 6 2" xfId="22497"/>
    <cellStyle name="Labels - Style3 6 2 2" xfId="22498"/>
    <cellStyle name="Labels - Style3 6 2 2 2" xfId="22499"/>
    <cellStyle name="Labels - Style3 6 2 3" xfId="22500"/>
    <cellStyle name="Labels - Style3 6 3" xfId="22501"/>
    <cellStyle name="Labels - Style3 6 3 2" xfId="22502"/>
    <cellStyle name="Labels - Style3 6 3 2 2" xfId="22503"/>
    <cellStyle name="Labels - Style3 6 3 3" xfId="22504"/>
    <cellStyle name="Labels - Style3 6 4" xfId="22505"/>
    <cellStyle name="Labels - Style3 6 4 2" xfId="22506"/>
    <cellStyle name="Labels - Style3 6 5" xfId="22507"/>
    <cellStyle name="Labels - Style3 6 6" xfId="22508"/>
    <cellStyle name="Labels - Style3 6 7" xfId="22509"/>
    <cellStyle name="Labels - Style3 6 8" xfId="22496"/>
    <cellStyle name="Labels - Style3 7" xfId="5470"/>
    <cellStyle name="Labels - Style3 7 2" xfId="22511"/>
    <cellStyle name="Labels - Style3 7 3" xfId="22512"/>
    <cellStyle name="Labels - Style3 7 4" xfId="22513"/>
    <cellStyle name="Labels - Style3 7 5" xfId="22510"/>
    <cellStyle name="Labels - Style3 8" xfId="7814"/>
    <cellStyle name="Labels - Style3 8 2" xfId="22515"/>
    <cellStyle name="Labels - Style3 8 3" xfId="22516"/>
    <cellStyle name="Labels - Style3 8 4" xfId="22517"/>
    <cellStyle name="Labels - Style3 8 5" xfId="22514"/>
    <cellStyle name="Labels - Style3 9" xfId="5462"/>
    <cellStyle name="Labels - Style3 9 2" xfId="22518"/>
    <cellStyle name="Lien hypertexte" xfId="2756"/>
    <cellStyle name="Lien hypertexte 2" xfId="42171"/>
    <cellStyle name="Lien hypertexte visité" xfId="2757"/>
    <cellStyle name="Lien hypertexte visité 2" xfId="42172"/>
    <cellStyle name="Lien hypertexte_asad investment-ua" xfId="2758"/>
    <cellStyle name="Link Currency (0)" xfId="1331"/>
    <cellStyle name="Link Currency (0) 2" xfId="1332"/>
    <cellStyle name="Link Currency (0) 2 2" xfId="1333"/>
    <cellStyle name="Link Currency (0) 2 2 2" xfId="22519"/>
    <cellStyle name="Link Currency (0) 3" xfId="1334"/>
    <cellStyle name="Link Currency (0) 4" xfId="1335"/>
    <cellStyle name="Link Currency (2)" xfId="2759"/>
    <cellStyle name="Link Currency (2) 2" xfId="42173"/>
    <cellStyle name="Link Units (0)" xfId="2760"/>
    <cellStyle name="Link Units (0) 2" xfId="42174"/>
    <cellStyle name="Link Units (1)" xfId="2761"/>
    <cellStyle name="Link Units (1) 2" xfId="42175"/>
    <cellStyle name="Link Units (2)" xfId="2762"/>
    <cellStyle name="Link Units (2) 2" xfId="42176"/>
    <cellStyle name="Linked Cell 10" xfId="5471"/>
    <cellStyle name="Linked Cell 11" xfId="5472"/>
    <cellStyle name="Linked Cell 12" xfId="5473"/>
    <cellStyle name="Linked Cell 13" xfId="5474"/>
    <cellStyle name="Linked Cell 14" xfId="5475"/>
    <cellStyle name="Linked Cell 15" xfId="5476"/>
    <cellStyle name="Linked Cell 16" xfId="5477"/>
    <cellStyle name="Linked Cell 17" xfId="5478"/>
    <cellStyle name="Linked Cell 18" xfId="22520"/>
    <cellStyle name="Linked Cell 2" xfId="1337"/>
    <cellStyle name="Linked Cell 2 2" xfId="1338"/>
    <cellStyle name="Linked Cell 2 2 2" xfId="5479"/>
    <cellStyle name="Linked Cell 2 2 2 2" xfId="41516"/>
    <cellStyle name="Linked Cell 2 2 3" xfId="41907"/>
    <cellStyle name="Linked Cell 2 2 4" xfId="40873"/>
    <cellStyle name="Linked Cell 2 3" xfId="5480"/>
    <cellStyle name="Linked Cell 2 3 2" xfId="41847"/>
    <cellStyle name="Linked Cell 2 4" xfId="40761"/>
    <cellStyle name="Linked Cell 2 5" xfId="40642"/>
    <cellStyle name="Linked Cell 3" xfId="1339"/>
    <cellStyle name="Linked Cell 3 2" xfId="1340"/>
    <cellStyle name="Linked Cell 3 3" xfId="41322"/>
    <cellStyle name="Linked Cell 4" xfId="1341"/>
    <cellStyle name="Linked Cell 4 2" xfId="1342"/>
    <cellStyle name="Linked Cell 4 3" xfId="41515"/>
    <cellStyle name="Linked Cell 5" xfId="1343"/>
    <cellStyle name="Linked Cell 5 2" xfId="1344"/>
    <cellStyle name="Linked Cell 6" xfId="1345"/>
    <cellStyle name="Linked Cell 6 2" xfId="5481"/>
    <cellStyle name="Linked Cell 7" xfId="1336"/>
    <cellStyle name="Linked Cell 8" xfId="5482"/>
    <cellStyle name="Linked Cell 9" xfId="5483"/>
    <cellStyle name="Magyarázó szöveg" xfId="40348"/>
    <cellStyle name="Millares [0]_laroux" xfId="1346"/>
    <cellStyle name="Millares_laroux" xfId="1347"/>
    <cellStyle name="Milliers [0]_AR1194" xfId="2763"/>
    <cellStyle name="Milliers_AR1194" xfId="2764"/>
    <cellStyle name="Moeda [0]_dimon" xfId="1348"/>
    <cellStyle name="Moeda_dimon" xfId="1349"/>
    <cellStyle name="Mon?taire [0]_AR1194" xfId="2765"/>
    <cellStyle name="Mon?taire_AR1194" xfId="2766"/>
    <cellStyle name="Moneda [0]_pldt" xfId="1350"/>
    <cellStyle name="Moneda_pldt" xfId="1351"/>
    <cellStyle name="Monétaire [0]_EDYAN" xfId="1352"/>
    <cellStyle name="Monétaire_EDYAN" xfId="1353"/>
    <cellStyle name="Mon้taire [0]_AR1194" xfId="2767"/>
    <cellStyle name="Mon้taire_AR1194" xfId="2768"/>
    <cellStyle name="MOQ" xfId="1354"/>
    <cellStyle name="MOQ 2" xfId="1355"/>
    <cellStyle name="MOQ 2 2" xfId="3115"/>
    <cellStyle name="MOQ 2 2 2" xfId="22521"/>
    <cellStyle name="MOQ 2 3" xfId="22522"/>
    <cellStyle name="MOQ 3" xfId="1356"/>
    <cellStyle name="MOQ 3 2" xfId="1357"/>
    <cellStyle name="MOQ 4" xfId="1358"/>
    <cellStyle name="Neutral 10" xfId="5484"/>
    <cellStyle name="Neutral 11" xfId="5485"/>
    <cellStyle name="Neutral 12" xfId="5486"/>
    <cellStyle name="Neutral 13" xfId="5487"/>
    <cellStyle name="Neutral 14" xfId="5488"/>
    <cellStyle name="Neutral 15" xfId="5489"/>
    <cellStyle name="Neutral 16" xfId="5490"/>
    <cellStyle name="Neutral 17" xfId="5491"/>
    <cellStyle name="Neutral 18" xfId="22523"/>
    <cellStyle name="Neutral 2" xfId="1360"/>
    <cellStyle name="Neutral 2 2" xfId="1361"/>
    <cellStyle name="Neutral 2 2 2" xfId="5492"/>
    <cellStyle name="Neutral 2 2 2 2" xfId="41518"/>
    <cellStyle name="Neutral 2 2 3" xfId="41908"/>
    <cellStyle name="Neutral 2 2 4" xfId="40874"/>
    <cellStyle name="Neutral 2 3" xfId="5493"/>
    <cellStyle name="Neutral 2 3 2" xfId="41848"/>
    <cellStyle name="Neutral 2 4" xfId="40762"/>
    <cellStyle name="Neutral 2 5" xfId="40643"/>
    <cellStyle name="Neutral 3" xfId="1362"/>
    <cellStyle name="Neutral 3 2" xfId="41323"/>
    <cellStyle name="Neutral 4" xfId="1363"/>
    <cellStyle name="Neutral 4 2" xfId="41517"/>
    <cellStyle name="Neutral 5" xfId="1364"/>
    <cellStyle name="Neutral 5 2" xfId="22524"/>
    <cellStyle name="Neutral 6" xfId="1365"/>
    <cellStyle name="Neutral 6 2" xfId="5494"/>
    <cellStyle name="Neutral 7" xfId="1359"/>
    <cellStyle name="Neutral 7 2" xfId="5495"/>
    <cellStyle name="Neutral 8" xfId="5496"/>
    <cellStyle name="Neutral 9" xfId="5497"/>
    <cellStyle name="New Markets operations Indicators" xfId="1366"/>
    <cellStyle name="New Times Roman" xfId="1367"/>
    <cellStyle name="New Times Roman 2" xfId="1368"/>
    <cellStyle name="New Times Roman 3" xfId="1369"/>
    <cellStyle name="New Times Roman 4" xfId="1370"/>
    <cellStyle name="New Times Roman 5" xfId="40763"/>
    <cellStyle name="Nom Responsable" xfId="2769"/>
    <cellStyle name="Normal" xfId="0" builtinId="0"/>
    <cellStyle name="Normal - Style1" xfId="1371"/>
    <cellStyle name="Normal - Style1 10" xfId="2436"/>
    <cellStyle name="Normal - Style1 10 2" xfId="42177"/>
    <cellStyle name="Normal - Style1 11" xfId="2437"/>
    <cellStyle name="Normal - Style1 11 2" xfId="42178"/>
    <cellStyle name="Normal - Style1 12" xfId="2438"/>
    <cellStyle name="Normal - Style1 12 2" xfId="42179"/>
    <cellStyle name="Normal - Style1 13" xfId="2439"/>
    <cellStyle name="Normal - Style1 13 2" xfId="42180"/>
    <cellStyle name="Normal - Style1 14" xfId="2440"/>
    <cellStyle name="Normal - Style1 15" xfId="2441"/>
    <cellStyle name="Normal - Style1 16" xfId="2442"/>
    <cellStyle name="Normal - Style1 17" xfId="2443"/>
    <cellStyle name="Normal - Style1 18" xfId="2444"/>
    <cellStyle name="Normal - Style1 19" xfId="2445"/>
    <cellStyle name="Normal - Style1 2" xfId="1372"/>
    <cellStyle name="Normal - Style1 2 2" xfId="1373"/>
    <cellStyle name="Normal - Style1 2 2 2" xfId="40972"/>
    <cellStyle name="Normal - Style1 2 3" xfId="1374"/>
    <cellStyle name="Normal - Style1 2 3 2" xfId="41188"/>
    <cellStyle name="Normal - Style1 2 38" xfId="43417"/>
    <cellStyle name="Normal - Style1 2 4" xfId="1375"/>
    <cellStyle name="Normal - Style1 2 4 2" xfId="22526"/>
    <cellStyle name="Normal - Style1 2 4 3" xfId="43405"/>
    <cellStyle name="Normal - Style1 2 5" xfId="40452"/>
    <cellStyle name="Normal - Style1 20" xfId="5498"/>
    <cellStyle name="Normal - Style1 21" xfId="5499"/>
    <cellStyle name="Normal - Style1 21 2" xfId="22527"/>
    <cellStyle name="Normal - Style1 22" xfId="5500"/>
    <cellStyle name="Normal - Style1 23" xfId="22525"/>
    <cellStyle name="Normal - Style1 24" xfId="40451"/>
    <cellStyle name="Normal - Style1 3" xfId="1376"/>
    <cellStyle name="Normal - Style1 3 2" xfId="1377"/>
    <cellStyle name="Normal - Style1 3 2 2" xfId="42181"/>
    <cellStyle name="Normal - Style1 3 3" xfId="40765"/>
    <cellStyle name="Normal - Style1 4" xfId="1378"/>
    <cellStyle name="Normal - Style1 4 2" xfId="2446"/>
    <cellStyle name="Normal - Style1 4 3" xfId="40764"/>
    <cellStyle name="Normal - Style1 5" xfId="1379"/>
    <cellStyle name="Normal - Style1 5 2" xfId="41519"/>
    <cellStyle name="Normal - Style1 6" xfId="1380"/>
    <cellStyle name="Normal - Style1 6 2" xfId="2447"/>
    <cellStyle name="Normal - Style1 6 3" xfId="42182"/>
    <cellStyle name="Normal - Style1 7" xfId="2448"/>
    <cellStyle name="Normal - Style1 7 2" xfId="42183"/>
    <cellStyle name="Normal - Style1 8" xfId="2449"/>
    <cellStyle name="Normal - Style1 8 2" xfId="42184"/>
    <cellStyle name="Normal - Style1 9" xfId="2450"/>
    <cellStyle name="Normal - Style1 9 2" xfId="42185"/>
    <cellStyle name="Normal - Style1_5.2" xfId="5501"/>
    <cellStyle name="Normal - Style2" xfId="5502"/>
    <cellStyle name="Normal - Style2 2" xfId="42186"/>
    <cellStyle name="Normal - Style2 3" xfId="40644"/>
    <cellStyle name="Normal - Style3" xfId="5503"/>
    <cellStyle name="Normal - Style3 2" xfId="42187"/>
    <cellStyle name="Normal - Style3 3" xfId="40645"/>
    <cellStyle name="Normal - Style4" xfId="5504"/>
    <cellStyle name="Normal - Style4 2" xfId="42188"/>
    <cellStyle name="Normal - Style4 3" xfId="40646"/>
    <cellStyle name="Normal - Style5" xfId="5505"/>
    <cellStyle name="Normal - Style5 2" xfId="42189"/>
    <cellStyle name="Normal - Style5 3" xfId="40647"/>
    <cellStyle name="Normal - Style6" xfId="5506"/>
    <cellStyle name="Normal - Style6 2" xfId="42190"/>
    <cellStyle name="Normal - Style6 3" xfId="40648"/>
    <cellStyle name="Normal - Style7" xfId="5507"/>
    <cellStyle name="Normal - Style7 2" xfId="42191"/>
    <cellStyle name="Normal - Style7 3" xfId="40649"/>
    <cellStyle name="Normal - Style8" xfId="5508"/>
    <cellStyle name="Normal - Style8 2" xfId="42192"/>
    <cellStyle name="Normal - Style8 3" xfId="40650"/>
    <cellStyle name="Normal 1" xfId="1381"/>
    <cellStyle name="Normal 10" xfId="58"/>
    <cellStyle name="Normal 10 10" xfId="7815"/>
    <cellStyle name="Normal 10 10 2" xfId="22529"/>
    <cellStyle name="Normal 10 11" xfId="8059"/>
    <cellStyle name="Normal 10 12" xfId="8484"/>
    <cellStyle name="Normal 10 13" xfId="22528"/>
    <cellStyle name="Normal 10 14" xfId="40453"/>
    <cellStyle name="Normal 10 2" xfId="79"/>
    <cellStyle name="Normal 10 2 10" xfId="22531"/>
    <cellStyle name="Normal 10 2 10 2" xfId="40510"/>
    <cellStyle name="Normal 10 2 11" xfId="22530"/>
    <cellStyle name="Normal 10 2 12" xfId="40454"/>
    <cellStyle name="Normal 10 2 2" xfId="1384"/>
    <cellStyle name="Normal 10 2 2 10" xfId="40517"/>
    <cellStyle name="Normal 10 2 2 2" xfId="5509"/>
    <cellStyle name="Normal 10 2 2 2 2" xfId="22534"/>
    <cellStyle name="Normal 10 2 2 2 2 2" xfId="22535"/>
    <cellStyle name="Normal 10 2 2 2 2 2 2" xfId="22536"/>
    <cellStyle name="Normal 10 2 2 2 2 3" xfId="22537"/>
    <cellStyle name="Normal 10 2 2 2 3" xfId="22538"/>
    <cellStyle name="Normal 10 2 2 2 3 2" xfId="22539"/>
    <cellStyle name="Normal 10 2 2 2 4" xfId="22540"/>
    <cellStyle name="Normal 10 2 2 2 5" xfId="22541"/>
    <cellStyle name="Normal 10 2 2 2 6" xfId="22533"/>
    <cellStyle name="Normal 10 2 2 2 7" xfId="43476"/>
    <cellStyle name="Normal 10 2 2 3" xfId="22542"/>
    <cellStyle name="Normal 10 2 2 3 2" xfId="22543"/>
    <cellStyle name="Normal 10 2 2 3 2 2" xfId="22544"/>
    <cellStyle name="Normal 10 2 2 3 2 2 2" xfId="22545"/>
    <cellStyle name="Normal 10 2 2 3 2 3" xfId="22546"/>
    <cellStyle name="Normal 10 2 2 3 3" xfId="22547"/>
    <cellStyle name="Normal 10 2 2 3 3 2" xfId="22548"/>
    <cellStyle name="Normal 10 2 2 3 4" xfId="22549"/>
    <cellStyle name="Normal 10 2 2 4" xfId="22550"/>
    <cellStyle name="Normal 10 2 2 4 2" xfId="22551"/>
    <cellStyle name="Normal 10 2 2 4 2 2" xfId="22552"/>
    <cellStyle name="Normal 10 2 2 4 3" xfId="22553"/>
    <cellStyle name="Normal 10 2 2 5" xfId="22554"/>
    <cellStyle name="Normal 10 2 2 5 2" xfId="22555"/>
    <cellStyle name="Normal 10 2 2 5 2 2" xfId="22556"/>
    <cellStyle name="Normal 10 2 2 5 3" xfId="22557"/>
    <cellStyle name="Normal 10 2 2 6" xfId="22558"/>
    <cellStyle name="Normal 10 2 2 6 2" xfId="22559"/>
    <cellStyle name="Normal 10 2 2 7" xfId="22560"/>
    <cellStyle name="Normal 10 2 2 7 2" xfId="22561"/>
    <cellStyle name="Normal 10 2 2 8" xfId="22562"/>
    <cellStyle name="Normal 10 2 2 9" xfId="22532"/>
    <cellStyle name="Normal 10 2 3" xfId="1385"/>
    <cellStyle name="Normal 10 2 3 10" xfId="43475"/>
    <cellStyle name="Normal 10 2 3 2" xfId="22564"/>
    <cellStyle name="Normal 10 2 3 2 2" xfId="22565"/>
    <cellStyle name="Normal 10 2 3 2 2 2" xfId="22566"/>
    <cellStyle name="Normal 10 2 3 2 2 2 2" xfId="22567"/>
    <cellStyle name="Normal 10 2 3 2 2 3" xfId="22568"/>
    <cellStyle name="Normal 10 2 3 2 3" xfId="22569"/>
    <cellStyle name="Normal 10 2 3 2 3 2" xfId="22570"/>
    <cellStyle name="Normal 10 2 3 2 4" xfId="22571"/>
    <cellStyle name="Normal 10 2 3 2 5" xfId="22572"/>
    <cellStyle name="Normal 10 2 3 3" xfId="22573"/>
    <cellStyle name="Normal 10 2 3 3 2" xfId="22574"/>
    <cellStyle name="Normal 10 2 3 3 2 2" xfId="22575"/>
    <cellStyle name="Normal 10 2 3 3 2 2 2" xfId="22576"/>
    <cellStyle name="Normal 10 2 3 3 2 3" xfId="22577"/>
    <cellStyle name="Normal 10 2 3 3 3" xfId="22578"/>
    <cellStyle name="Normal 10 2 3 3 3 2" xfId="22579"/>
    <cellStyle name="Normal 10 2 3 3 4" xfId="22580"/>
    <cellStyle name="Normal 10 2 3 3 5" xfId="22581"/>
    <cellStyle name="Normal 10 2 3 4" xfId="22582"/>
    <cellStyle name="Normal 10 2 3 4 2" xfId="22583"/>
    <cellStyle name="Normal 10 2 3 4 2 2" xfId="22584"/>
    <cellStyle name="Normal 10 2 3 4 3" xfId="22585"/>
    <cellStyle name="Normal 10 2 3 5" xfId="22586"/>
    <cellStyle name="Normal 10 2 3 5 2" xfId="22587"/>
    <cellStyle name="Normal 10 2 3 5 2 2" xfId="22588"/>
    <cellStyle name="Normal 10 2 3 5 3" xfId="22589"/>
    <cellStyle name="Normal 10 2 3 6" xfId="22590"/>
    <cellStyle name="Normal 10 2 3 6 2" xfId="22591"/>
    <cellStyle name="Normal 10 2 3 7" xfId="22592"/>
    <cellStyle name="Normal 10 2 3 8" xfId="22593"/>
    <cellStyle name="Normal 10 2 3 9" xfId="22563"/>
    <cellStyle name="Normal 10 2 4" xfId="3116"/>
    <cellStyle name="Normal 10 2 4 2" xfId="22595"/>
    <cellStyle name="Normal 10 2 4 2 2" xfId="22596"/>
    <cellStyle name="Normal 10 2 4 2 2 2" xfId="22597"/>
    <cellStyle name="Normal 10 2 4 2 2 2 2" xfId="22598"/>
    <cellStyle name="Normal 10 2 4 2 2 3" xfId="22599"/>
    <cellStyle name="Normal 10 2 4 2 3" xfId="22600"/>
    <cellStyle name="Normal 10 2 4 2 3 2" xfId="22601"/>
    <cellStyle name="Normal 10 2 4 2 4" xfId="22602"/>
    <cellStyle name="Normal 10 2 4 2 5" xfId="22603"/>
    <cellStyle name="Normal 10 2 4 3" xfId="22604"/>
    <cellStyle name="Normal 10 2 4 3 2" xfId="22605"/>
    <cellStyle name="Normal 10 2 4 3 2 2" xfId="22606"/>
    <cellStyle name="Normal 10 2 4 3 2 2 2" xfId="22607"/>
    <cellStyle name="Normal 10 2 4 3 2 3" xfId="22608"/>
    <cellStyle name="Normal 10 2 4 3 3" xfId="22609"/>
    <cellStyle name="Normal 10 2 4 3 3 2" xfId="22610"/>
    <cellStyle name="Normal 10 2 4 3 4" xfId="22611"/>
    <cellStyle name="Normal 10 2 4 4" xfId="22612"/>
    <cellStyle name="Normal 10 2 4 4 2" xfId="22613"/>
    <cellStyle name="Normal 10 2 4 4 2 2" xfId="22614"/>
    <cellStyle name="Normal 10 2 4 4 3" xfId="22615"/>
    <cellStyle name="Normal 10 2 4 5" xfId="22616"/>
    <cellStyle name="Normal 10 2 4 5 2" xfId="22617"/>
    <cellStyle name="Normal 10 2 4 5 2 2" xfId="22618"/>
    <cellStyle name="Normal 10 2 4 5 3" xfId="22619"/>
    <cellStyle name="Normal 10 2 4 6" xfId="22620"/>
    <cellStyle name="Normal 10 2 4 6 2" xfId="22621"/>
    <cellStyle name="Normal 10 2 4 7" xfId="22622"/>
    <cellStyle name="Normal 10 2 4 8" xfId="22623"/>
    <cellStyle name="Normal 10 2 4 9" xfId="22594"/>
    <cellStyle name="Normal 10 2 5" xfId="1383"/>
    <cellStyle name="Normal 10 2 5 2" xfId="22625"/>
    <cellStyle name="Normal 10 2 5 2 2" xfId="22626"/>
    <cellStyle name="Normal 10 2 5 2 2 2" xfId="22627"/>
    <cellStyle name="Normal 10 2 5 2 2 2 2" xfId="22628"/>
    <cellStyle name="Normal 10 2 5 2 2 3" xfId="22629"/>
    <cellStyle name="Normal 10 2 5 2 3" xfId="22630"/>
    <cellStyle name="Normal 10 2 5 2 3 2" xfId="22631"/>
    <cellStyle name="Normal 10 2 5 2 4" xfId="22632"/>
    <cellStyle name="Normal 10 2 5 3" xfId="22633"/>
    <cellStyle name="Normal 10 2 5 3 2" xfId="22634"/>
    <cellStyle name="Normal 10 2 5 3 2 2" xfId="22635"/>
    <cellStyle name="Normal 10 2 5 3 3" xfId="22636"/>
    <cellStyle name="Normal 10 2 5 4" xfId="22637"/>
    <cellStyle name="Normal 10 2 5 4 2" xfId="22638"/>
    <cellStyle name="Normal 10 2 5 4 2 2" xfId="22639"/>
    <cellStyle name="Normal 10 2 5 4 3" xfId="22640"/>
    <cellStyle name="Normal 10 2 5 5" xfId="22641"/>
    <cellStyle name="Normal 10 2 5 5 2" xfId="22642"/>
    <cellStyle name="Normal 10 2 5 6" xfId="22643"/>
    <cellStyle name="Normal 10 2 5 7" xfId="22644"/>
    <cellStyle name="Normal 10 2 5 8" xfId="22624"/>
    <cellStyle name="Normal 10 2 6" xfId="22645"/>
    <cellStyle name="Normal 10 2 6 2" xfId="22646"/>
    <cellStyle name="Normal 10 2 6 2 2" xfId="22647"/>
    <cellStyle name="Normal 10 2 6 2 2 2" xfId="22648"/>
    <cellStyle name="Normal 10 2 6 2 3" xfId="22649"/>
    <cellStyle name="Normal 10 2 6 3" xfId="22650"/>
    <cellStyle name="Normal 10 2 6 3 2" xfId="22651"/>
    <cellStyle name="Normal 10 2 6 4" xfId="22652"/>
    <cellStyle name="Normal 10 2 6 5" xfId="22653"/>
    <cellStyle name="Normal 10 2 7" xfId="22654"/>
    <cellStyle name="Normal 10 2 7 2" xfId="22655"/>
    <cellStyle name="Normal 10 2 7 2 2" xfId="22656"/>
    <cellStyle name="Normal 10 2 7 3" xfId="22657"/>
    <cellStyle name="Normal 10 2 8" xfId="22658"/>
    <cellStyle name="Normal 10 2 8 2" xfId="22659"/>
    <cellStyle name="Normal 10 2 8 2 2" xfId="22660"/>
    <cellStyle name="Normal 10 2 8 3" xfId="22661"/>
    <cellStyle name="Normal 10 2 9" xfId="22662"/>
    <cellStyle name="Normal 10 3" xfId="87"/>
    <cellStyle name="Normal 10 3 2" xfId="1387"/>
    <cellStyle name="Normal 10 3 2 2" xfId="5510"/>
    <cellStyle name="Normal 10 3 2 3" xfId="8060"/>
    <cellStyle name="Normal 10 3 2 4" xfId="22663"/>
    <cellStyle name="Normal 10 3 3" xfId="1386"/>
    <cellStyle name="Normal 10 3 3 2" xfId="22664"/>
    <cellStyle name="Normal 10 3 4" xfId="22665"/>
    <cellStyle name="Normal 10 3 5" xfId="40875"/>
    <cellStyle name="Normal 10 4" xfId="112"/>
    <cellStyle name="Normal 10 4 2" xfId="1388"/>
    <cellStyle name="Normal 10 4 2 2" xfId="22667"/>
    <cellStyle name="Normal 10 4 2 2 2" xfId="22668"/>
    <cellStyle name="Normal 10 4 2 2 2 2" xfId="22669"/>
    <cellStyle name="Normal 10 4 2 2 3" xfId="22670"/>
    <cellStyle name="Normal 10 4 2 3" xfId="22671"/>
    <cellStyle name="Normal 10 4 2 3 2" xfId="22672"/>
    <cellStyle name="Normal 10 4 2 4" xfId="22673"/>
    <cellStyle name="Normal 10 4 3" xfId="5511"/>
    <cellStyle name="Normal 10 4 3 2" xfId="22675"/>
    <cellStyle name="Normal 10 4 3 2 2" xfId="22676"/>
    <cellStyle name="Normal 10 4 3 2 2 2" xfId="22677"/>
    <cellStyle name="Normal 10 4 3 2 3" xfId="22678"/>
    <cellStyle name="Normal 10 4 3 3" xfId="22679"/>
    <cellStyle name="Normal 10 4 3 3 2" xfId="22680"/>
    <cellStyle name="Normal 10 4 3 4" xfId="22681"/>
    <cellStyle name="Normal 10 4 3 5" xfId="22674"/>
    <cellStyle name="Normal 10 4 4" xfId="22682"/>
    <cellStyle name="Normal 10 4 4 2" xfId="22683"/>
    <cellStyle name="Normal 10 4 4 2 2" xfId="22684"/>
    <cellStyle name="Normal 10 4 4 3" xfId="22685"/>
    <cellStyle name="Normal 10 4 5" xfId="22686"/>
    <cellStyle name="Normal 10 4 5 2" xfId="22687"/>
    <cellStyle name="Normal 10 4 5 2 2" xfId="22688"/>
    <cellStyle name="Normal 10 4 5 3" xfId="22689"/>
    <cellStyle name="Normal 10 4 6" xfId="22690"/>
    <cellStyle name="Normal 10 4 6 2" xfId="22691"/>
    <cellStyle name="Normal 10 4 7" xfId="22692"/>
    <cellStyle name="Normal 10 4 8" xfId="22666"/>
    <cellStyle name="Normal 10 4 9" xfId="41189"/>
    <cellStyle name="Normal 10 5" xfId="1389"/>
    <cellStyle name="Normal 10 5 2" xfId="5512"/>
    <cellStyle name="Normal 10 5 2 2" xfId="22695"/>
    <cellStyle name="Normal 10 5 2 2 2" xfId="22696"/>
    <cellStyle name="Normal 10 5 2 2 2 2" xfId="22697"/>
    <cellStyle name="Normal 10 5 2 2 3" xfId="22698"/>
    <cellStyle name="Normal 10 5 2 3" xfId="22699"/>
    <cellStyle name="Normal 10 5 2 3 2" xfId="22700"/>
    <cellStyle name="Normal 10 5 2 4" xfId="22701"/>
    <cellStyle name="Normal 10 5 2 5" xfId="22702"/>
    <cellStyle name="Normal 10 5 2 6" xfId="22694"/>
    <cellStyle name="Normal 10 5 3" xfId="8061"/>
    <cellStyle name="Normal 10 5 3 2" xfId="22704"/>
    <cellStyle name="Normal 10 5 3 2 2" xfId="22705"/>
    <cellStyle name="Normal 10 5 3 2 2 2" xfId="22706"/>
    <cellStyle name="Normal 10 5 3 2 3" xfId="22707"/>
    <cellStyle name="Normal 10 5 3 3" xfId="22708"/>
    <cellStyle name="Normal 10 5 3 3 2" xfId="22709"/>
    <cellStyle name="Normal 10 5 3 4" xfId="22710"/>
    <cellStyle name="Normal 10 5 3 5" xfId="22703"/>
    <cellStyle name="Normal 10 5 4" xfId="22711"/>
    <cellStyle name="Normal 10 5 4 2" xfId="22712"/>
    <cellStyle name="Normal 10 5 4 2 2" xfId="22713"/>
    <cellStyle name="Normal 10 5 4 3" xfId="22714"/>
    <cellStyle name="Normal 10 5 5" xfId="22715"/>
    <cellStyle name="Normal 10 5 5 2" xfId="22716"/>
    <cellStyle name="Normal 10 5 5 2 2" xfId="22717"/>
    <cellStyle name="Normal 10 5 5 3" xfId="22718"/>
    <cellStyle name="Normal 10 5 6" xfId="22719"/>
    <cellStyle name="Normal 10 5 6 2" xfId="22720"/>
    <cellStyle name="Normal 10 5 7" xfId="22721"/>
    <cellStyle name="Normal 10 5 8" xfId="22693"/>
    <cellStyle name="Normal 10 5 9" xfId="41849"/>
    <cellStyle name="Normal 10 6" xfId="1390"/>
    <cellStyle name="Normal 10 6 2" xfId="5513"/>
    <cellStyle name="Normal 10 6 3" xfId="22722"/>
    <cellStyle name="Normal 10 6 4" xfId="40766"/>
    <cellStyle name="Normal 10 7" xfId="1391"/>
    <cellStyle name="Normal 10 7 2" xfId="5514"/>
    <cellStyle name="Normal 10 7 3" xfId="43406"/>
    <cellStyle name="Normal 10 8" xfId="5515"/>
    <cellStyle name="Normal 10 8 2" xfId="5516"/>
    <cellStyle name="Normal 10 8 2 2" xfId="22725"/>
    <cellStyle name="Normal 10 8 2 2 2" xfId="22726"/>
    <cellStyle name="Normal 10 8 2 3" xfId="22727"/>
    <cellStyle name="Normal 10 8 2 4" xfId="22724"/>
    <cellStyle name="Normal 10 8 3" xfId="22728"/>
    <cellStyle name="Normal 10 8 3 2" xfId="22729"/>
    <cellStyle name="Normal 10 8 3 2 2" xfId="22730"/>
    <cellStyle name="Normal 10 8 3 3" xfId="22731"/>
    <cellStyle name="Normal 10 8 4" xfId="22732"/>
    <cellStyle name="Normal 10 8 4 2" xfId="22733"/>
    <cellStyle name="Normal 10 8 5" xfId="22734"/>
    <cellStyle name="Normal 10 8 6" xfId="22735"/>
    <cellStyle name="Normal 10 8 7" xfId="22723"/>
    <cellStyle name="Normal 10 8 8" xfId="43474"/>
    <cellStyle name="Normal 10 9" xfId="5517"/>
    <cellStyle name="Normal 10 9 2" xfId="5518"/>
    <cellStyle name="Normal 10 9 3" xfId="22736"/>
    <cellStyle name="Normal 10_5" xfId="40455"/>
    <cellStyle name="Normal 100" xfId="5519"/>
    <cellStyle name="Normal 100 2" xfId="41658"/>
    <cellStyle name="Normal 101" xfId="5520"/>
    <cellStyle name="Normal 101 2" xfId="41660"/>
    <cellStyle name="Normal 102" xfId="5521"/>
    <cellStyle name="Normal 102 2" xfId="41689"/>
    <cellStyle name="Normal 103" xfId="5522"/>
    <cellStyle name="Normal 103 2" xfId="41707"/>
    <cellStyle name="Normal 104" xfId="5523"/>
    <cellStyle name="Normal 104 2" xfId="41729"/>
    <cellStyle name="Normal 105" xfId="5524"/>
    <cellStyle name="Normal 105 2" xfId="41765"/>
    <cellStyle name="Normal 105 3" xfId="41273"/>
    <cellStyle name="Normal 106" xfId="5525"/>
    <cellStyle name="Normal 106 2" xfId="41756"/>
    <cellStyle name="Normal 107" xfId="5526"/>
    <cellStyle name="Normal 107 2" xfId="41758"/>
    <cellStyle name="Normal 108" xfId="5527"/>
    <cellStyle name="Normal 108 2" xfId="41759"/>
    <cellStyle name="Normal 109" xfId="5528"/>
    <cellStyle name="Normal 109 2" xfId="41764"/>
    <cellStyle name="Normal 11" xfId="1392"/>
    <cellStyle name="Normal 11 10" xfId="43524"/>
    <cellStyle name="Normal 11 11" xfId="40456"/>
    <cellStyle name="Normal 11 2" xfId="1393"/>
    <cellStyle name="Normal 11 2 2" xfId="1394"/>
    <cellStyle name="Normal 11 2 2 2" xfId="22737"/>
    <cellStyle name="Normal 11 2 2 2 2" xfId="22738"/>
    <cellStyle name="Normal 11 2 2 2 2 2" xfId="22739"/>
    <cellStyle name="Normal 11 2 2 2 3" xfId="22740"/>
    <cellStyle name="Normal 11 2 2 2 4" xfId="22741"/>
    <cellStyle name="Normal 11 2 2 2 5" xfId="42194"/>
    <cellStyle name="Normal 11 2 2 3" xfId="22742"/>
    <cellStyle name="Normal 11 2 2 3 2" xfId="22743"/>
    <cellStyle name="Normal 11 2 2 3 2 2" xfId="22744"/>
    <cellStyle name="Normal 11 2 2 3 3" xfId="22745"/>
    <cellStyle name="Normal 11 2 2 3 4" xfId="22746"/>
    <cellStyle name="Normal 11 2 2 3 5" xfId="42195"/>
    <cellStyle name="Normal 11 2 2 4" xfId="22747"/>
    <cellStyle name="Normal 11 2 2 4 2" xfId="22748"/>
    <cellStyle name="Normal 11 2 2 5" xfId="22749"/>
    <cellStyle name="Normal 11 2 2 6" xfId="42193"/>
    <cellStyle name="Normal 11 2 3" xfId="3117"/>
    <cellStyle name="Normal 11 2 3 2" xfId="8465"/>
    <cellStyle name="Normal 11 2 3 2 2" xfId="22752"/>
    <cellStyle name="Normal 11 2 3 2 2 2" xfId="22753"/>
    <cellStyle name="Normal 11 2 3 2 2 2 2" xfId="22754"/>
    <cellStyle name="Normal 11 2 3 2 2 3" xfId="22755"/>
    <cellStyle name="Normal 11 2 3 2 2 4" xfId="22756"/>
    <cellStyle name="Normal 11 2 3 2 3" xfId="22757"/>
    <cellStyle name="Normal 11 2 3 2 3 2" xfId="22758"/>
    <cellStyle name="Normal 11 2 3 2 4" xfId="22759"/>
    <cellStyle name="Normal 11 2 3 2 5" xfId="22760"/>
    <cellStyle name="Normal 11 2 3 2 6" xfId="22751"/>
    <cellStyle name="Normal 11 2 3 3" xfId="22761"/>
    <cellStyle name="Normal 11 2 3 3 2" xfId="22762"/>
    <cellStyle name="Normal 11 2 3 3 2 2" xfId="22763"/>
    <cellStyle name="Normal 11 2 3 3 3" xfId="22764"/>
    <cellStyle name="Normal 11 2 3 3 4" xfId="22765"/>
    <cellStyle name="Normal 11 2 3 4" xfId="22766"/>
    <cellStyle name="Normal 11 2 3 4 2" xfId="22767"/>
    <cellStyle name="Normal 11 2 3 4 2 2" xfId="22768"/>
    <cellStyle name="Normal 11 2 3 4 3" xfId="22769"/>
    <cellStyle name="Normal 11 2 3 4 4" xfId="22770"/>
    <cellStyle name="Normal 11 2 3 5" xfId="22771"/>
    <cellStyle name="Normal 11 2 3 5 2" xfId="22772"/>
    <cellStyle name="Normal 11 2 3 6" xfId="22773"/>
    <cellStyle name="Normal 11 2 3 7" xfId="22750"/>
    <cellStyle name="Normal 11 2 4" xfId="22774"/>
    <cellStyle name="Normal 11 2 4 2" xfId="22775"/>
    <cellStyle name="Normal 11 2 4 2 2" xfId="22776"/>
    <cellStyle name="Normal 11 2 4 2 2 2" xfId="22777"/>
    <cellStyle name="Normal 11 2 4 2 3" xfId="22778"/>
    <cellStyle name="Normal 11 2 4 2 4" xfId="22779"/>
    <cellStyle name="Normal 11 2 4 3" xfId="22780"/>
    <cellStyle name="Normal 11 2 4 3 2" xfId="22781"/>
    <cellStyle name="Normal 11 2 4 3 2 2" xfId="22782"/>
    <cellStyle name="Normal 11 2 4 3 3" xfId="22783"/>
    <cellStyle name="Normal 11 2 4 3 4" xfId="22784"/>
    <cellStyle name="Normal 11 2 4 4" xfId="22785"/>
    <cellStyle name="Normal 11 2 4 4 2" xfId="22786"/>
    <cellStyle name="Normal 11 2 4 5" xfId="22787"/>
    <cellStyle name="Normal 11 2 4 6" xfId="22788"/>
    <cellStyle name="Normal 11 2 5" xfId="22789"/>
    <cellStyle name="Normal 11 2 5 2" xfId="22790"/>
    <cellStyle name="Normal 11 2 5 2 2" xfId="22791"/>
    <cellStyle name="Normal 11 2 5 3" xfId="22792"/>
    <cellStyle name="Normal 11 2 5 4" xfId="22793"/>
    <cellStyle name="Normal 11 2 6" xfId="22794"/>
    <cellStyle name="Normal 11 2 6 2" xfId="22795"/>
    <cellStyle name="Normal 11 2 6 2 2" xfId="22796"/>
    <cellStyle name="Normal 11 2 6 3" xfId="22797"/>
    <cellStyle name="Normal 11 2 6 4" xfId="22798"/>
    <cellStyle name="Normal 11 2 7" xfId="22799"/>
    <cellStyle name="Normal 11 2 7 2" xfId="22800"/>
    <cellStyle name="Normal 11 2 7 2 2" xfId="22801"/>
    <cellStyle name="Normal 11 2 7 3" xfId="22802"/>
    <cellStyle name="Normal 11 2 7 4" xfId="22803"/>
    <cellStyle name="Normal 11 2 8" xfId="22804"/>
    <cellStyle name="Normal 11 2 9" xfId="40876"/>
    <cellStyle name="Normal 11 2_if consolidated 9-1" xfId="42196"/>
    <cellStyle name="Normal 11 3" xfId="1395"/>
    <cellStyle name="Normal 11 3 2" xfId="2981"/>
    <cellStyle name="Normal 11 3 2 2" xfId="22806"/>
    <cellStyle name="Normal 11 3 2 2 2" xfId="22807"/>
    <cellStyle name="Normal 11 3 2 2 2 2" xfId="22808"/>
    <cellStyle name="Normal 11 3 2 2 3" xfId="22809"/>
    <cellStyle name="Normal 11 3 2 2 4" xfId="22810"/>
    <cellStyle name="Normal 11 3 2 3" xfId="22811"/>
    <cellStyle name="Normal 11 3 2 3 2" xfId="22812"/>
    <cellStyle name="Normal 11 3 2 4" xfId="22813"/>
    <cellStyle name="Normal 11 3 2 5" xfId="22814"/>
    <cellStyle name="Normal 11 3 2 6" xfId="22805"/>
    <cellStyle name="Normal 11 3 2 7" xfId="41521"/>
    <cellStyle name="Normal 11 3 3" xfId="22815"/>
    <cellStyle name="Normal 11 3 3 2" xfId="22816"/>
    <cellStyle name="Normal 11 3 3 2 2" xfId="22817"/>
    <cellStyle name="Normal 11 3 3 3" xfId="22818"/>
    <cellStyle name="Normal 11 3 3 4" xfId="22819"/>
    <cellStyle name="Normal 11 3 3 5" xfId="41375"/>
    <cellStyle name="Normal 11 3 4" xfId="22820"/>
    <cellStyle name="Normal 11 3 4 2" xfId="22821"/>
    <cellStyle name="Normal 11 3 4 2 2" xfId="22822"/>
    <cellStyle name="Normal 11 3 4 3" xfId="22823"/>
    <cellStyle name="Normal 11 3 4 4" xfId="22824"/>
    <cellStyle name="Normal 11 3 5" xfId="22825"/>
    <cellStyle name="Normal 11 3 6" xfId="8501"/>
    <cellStyle name="Normal 11 3 7" xfId="41016"/>
    <cellStyle name="Normal 11 4" xfId="1396"/>
    <cellStyle name="Normal 11 4 2" xfId="1397"/>
    <cellStyle name="Normal 11 4 2 2" xfId="22828"/>
    <cellStyle name="Normal 11 4 2 2 2" xfId="22829"/>
    <cellStyle name="Normal 11 4 2 3" xfId="22830"/>
    <cellStyle name="Normal 11 4 2 4" xfId="22831"/>
    <cellStyle name="Normal 11 4 2 5" xfId="22827"/>
    <cellStyle name="Normal 11 4 3" xfId="22832"/>
    <cellStyle name="Normal 11 4 3 2" xfId="22833"/>
    <cellStyle name="Normal 11 4 3 2 2" xfId="22834"/>
    <cellStyle name="Normal 11 4 3 3" xfId="22835"/>
    <cellStyle name="Normal 11 4 3 4" xfId="22836"/>
    <cellStyle name="Normal 11 4 4" xfId="22837"/>
    <cellStyle name="Normal 11 4 5" xfId="22826"/>
    <cellStyle name="Normal 11 4 6" xfId="41092"/>
    <cellStyle name="Normal 11 5" xfId="1398"/>
    <cellStyle name="Normal 11 5 2" xfId="8062"/>
    <cellStyle name="Normal 11 5 2 2" xfId="22840"/>
    <cellStyle name="Normal 11 5 2 2 2" xfId="22841"/>
    <cellStyle name="Normal 11 5 2 3" xfId="22842"/>
    <cellStyle name="Normal 11 5 2 4" xfId="22843"/>
    <cellStyle name="Normal 11 5 2 5" xfId="22839"/>
    <cellStyle name="Normal 11 5 3" xfId="22844"/>
    <cellStyle name="Normal 11 5 3 2" xfId="22845"/>
    <cellStyle name="Normal 11 5 3 2 2" xfId="22846"/>
    <cellStyle name="Normal 11 5 3 3" xfId="22847"/>
    <cellStyle name="Normal 11 5 3 4" xfId="22848"/>
    <cellStyle name="Normal 11 5 4" xfId="22849"/>
    <cellStyle name="Normal 11 5 5" xfId="22850"/>
    <cellStyle name="Normal 11 5 6" xfId="22851"/>
    <cellStyle name="Normal 11 5 7" xfId="22838"/>
    <cellStyle name="Normal 11 5 8" xfId="41209"/>
    <cellStyle name="Normal 11 6" xfId="1399"/>
    <cellStyle name="Normal 11 6 2" xfId="22853"/>
    <cellStyle name="Normal 11 6 2 2" xfId="22854"/>
    <cellStyle name="Normal 11 6 2 3" xfId="22855"/>
    <cellStyle name="Normal 11 6 3" xfId="22856"/>
    <cellStyle name="Normal 11 6 4" xfId="22857"/>
    <cellStyle name="Normal 11 6 5" xfId="22858"/>
    <cellStyle name="Normal 11 6 6" xfId="22852"/>
    <cellStyle name="Normal 11 6 7" xfId="41520"/>
    <cellStyle name="Normal 11 7" xfId="1400"/>
    <cellStyle name="Normal 11 7 2" xfId="22860"/>
    <cellStyle name="Normal 11 7 2 2" xfId="22861"/>
    <cellStyle name="Normal 11 7 3" xfId="22862"/>
    <cellStyle name="Normal 11 7 4" xfId="22863"/>
    <cellStyle name="Normal 11 7 5" xfId="22859"/>
    <cellStyle name="Normal 11 7 6" xfId="41015"/>
    <cellStyle name="Normal 11 8" xfId="2770"/>
    <cellStyle name="Normal 11 8 2" xfId="22865"/>
    <cellStyle name="Normal 11 8 2 2" xfId="22866"/>
    <cellStyle name="Normal 11 8 3" xfId="22867"/>
    <cellStyle name="Normal 11 8 4" xfId="22868"/>
    <cellStyle name="Normal 11 8 5" xfId="22864"/>
    <cellStyle name="Normal 11 8 6" xfId="40767"/>
    <cellStyle name="Normal 11 9" xfId="22869"/>
    <cellStyle name="Normal 11 9 2" xfId="43477"/>
    <cellStyle name="Normal 11_Accounts 30 June 2011 (OLD)" xfId="22870"/>
    <cellStyle name="Normal 110" xfId="5529"/>
    <cellStyle name="Normal 110 2" xfId="41757"/>
    <cellStyle name="Normal 111" xfId="68"/>
    <cellStyle name="Normal 111 2" xfId="1401"/>
    <cellStyle name="Normal 111 2 2" xfId="43478"/>
    <cellStyle name="Normal 111 3" xfId="40457"/>
    <cellStyle name="Normal 112" xfId="5530"/>
    <cellStyle name="Normal 112 2" xfId="41761"/>
    <cellStyle name="Normal 113" xfId="5531"/>
    <cellStyle name="Normal 113 2" xfId="5532"/>
    <cellStyle name="Normal 113 2 2" xfId="5533"/>
    <cellStyle name="Normal 113 2 2 2" xfId="5534"/>
    <cellStyle name="Normal 113 2 3" xfId="5535"/>
    <cellStyle name="Normal 113 2 4" xfId="5536"/>
    <cellStyle name="Normal 113 3" xfId="5537"/>
    <cellStyle name="Normal 113 3 2" xfId="5538"/>
    <cellStyle name="Normal 113 4" xfId="5539"/>
    <cellStyle name="Normal 113 5" xfId="5540"/>
    <cellStyle name="Normal 113 6" xfId="41760"/>
    <cellStyle name="Normal 114" xfId="5541"/>
    <cellStyle name="Normal 114 2" xfId="5542"/>
    <cellStyle name="Normal 114 2 2" xfId="5543"/>
    <cellStyle name="Normal 114 2 2 2" xfId="5544"/>
    <cellStyle name="Normal 114 2 3" xfId="5545"/>
    <cellStyle name="Normal 114 2 4" xfId="5546"/>
    <cellStyle name="Normal 114 3" xfId="5547"/>
    <cellStyle name="Normal 114 3 2" xfId="5548"/>
    <cellStyle name="Normal 114 4" xfId="5549"/>
    <cellStyle name="Normal 114 5" xfId="5550"/>
    <cellStyle name="Normal 114 6" xfId="41762"/>
    <cellStyle name="Normal 115" xfId="5551"/>
    <cellStyle name="Normal 115 2" xfId="5552"/>
    <cellStyle name="Normal 115 2 2" xfId="5553"/>
    <cellStyle name="Normal 115 2 2 2" xfId="5554"/>
    <cellStyle name="Normal 115 2 2 2 2" xfId="5555"/>
    <cellStyle name="Normal 115 2 2 3" xfId="5556"/>
    <cellStyle name="Normal 115 2 2 4" xfId="5557"/>
    <cellStyle name="Normal 115 2 3" xfId="5558"/>
    <cellStyle name="Normal 115 2 3 2" xfId="5559"/>
    <cellStyle name="Normal 115 2 4" xfId="5560"/>
    <cellStyle name="Normal 115 2 5" xfId="5561"/>
    <cellStyle name="Normal 115 2 6" xfId="40350"/>
    <cellStyle name="Normal 115 3" xfId="5562"/>
    <cellStyle name="Normal 115 3 2" xfId="5563"/>
    <cellStyle name="Normal 115 3 2 2" xfId="5564"/>
    <cellStyle name="Normal 115 3 3" xfId="5565"/>
    <cellStyle name="Normal 115 3 4" xfId="5566"/>
    <cellStyle name="Normal 115 4" xfId="5567"/>
    <cellStyle name="Normal 115 4 2" xfId="5568"/>
    <cellStyle name="Normal 115 5" xfId="5569"/>
    <cellStyle name="Normal 115 6" xfId="5570"/>
    <cellStyle name="Normal 115 7" xfId="40349"/>
    <cellStyle name="Normal 115 8" xfId="41763"/>
    <cellStyle name="Normal 116" xfId="5571"/>
    <cellStyle name="Normal 116 2" xfId="5572"/>
    <cellStyle name="Normal 116 2 2" xfId="5573"/>
    <cellStyle name="Normal 116 2 2 2" xfId="5574"/>
    <cellStyle name="Normal 116 2 3" xfId="5575"/>
    <cellStyle name="Normal 116 2 4" xfId="5576"/>
    <cellStyle name="Normal 116 3" xfId="5577"/>
    <cellStyle name="Normal 116 3 2" xfId="5578"/>
    <cellStyle name="Normal 116 4" xfId="5579"/>
    <cellStyle name="Normal 116 5" xfId="5580"/>
    <cellStyle name="Normal 116 6" xfId="40948"/>
    <cellStyle name="Normal 117" xfId="5581"/>
    <cellStyle name="Normal 117 2" xfId="5582"/>
    <cellStyle name="Normal 117 3" xfId="5583"/>
    <cellStyle name="Normal 117 3 2" xfId="5584"/>
    <cellStyle name="Normal 117 3 2 2" xfId="5585"/>
    <cellStyle name="Normal 117 3 3" xfId="5586"/>
    <cellStyle name="Normal 117 3 4" xfId="5587"/>
    <cellStyle name="Normal 117 4" xfId="5588"/>
    <cellStyle name="Normal 117 4 2" xfId="5589"/>
    <cellStyle name="Normal 117 5" xfId="5590"/>
    <cellStyle name="Normal 117 6" xfId="5591"/>
    <cellStyle name="Normal 117 7" xfId="41769"/>
    <cellStyle name="Normal 118" xfId="5592"/>
    <cellStyle name="Normal 118 2" xfId="5593"/>
    <cellStyle name="Normal 118 2 2" xfId="5594"/>
    <cellStyle name="Normal 118 2 2 2" xfId="5595"/>
    <cellStyle name="Normal 118 2 3" xfId="5596"/>
    <cellStyle name="Normal 118 2 4" xfId="5597"/>
    <cellStyle name="Normal 118 3" xfId="5598"/>
    <cellStyle name="Normal 118 3 2" xfId="5599"/>
    <cellStyle name="Normal 118 4" xfId="5600"/>
    <cellStyle name="Normal 118 5" xfId="5601"/>
    <cellStyle name="Normal 118 6" xfId="41800"/>
    <cellStyle name="Normal 119" xfId="5602"/>
    <cellStyle name="Normal 119 2" xfId="41771"/>
    <cellStyle name="Normal 12" xfId="1402"/>
    <cellStyle name="Normal 12 10" xfId="5603"/>
    <cellStyle name="Normal 12 11" xfId="40458"/>
    <cellStyle name="Normal 12 2" xfId="37"/>
    <cellStyle name="Normal 12 2 2" xfId="1404"/>
    <cellStyle name="Normal 12 2 2 2" xfId="22871"/>
    <cellStyle name="Normal 12 2 2 3" xfId="42197"/>
    <cellStyle name="Normal 12 2 3" xfId="1403"/>
    <cellStyle name="Normal 12 2 4" xfId="40877"/>
    <cellStyle name="Normal 12 3" xfId="1405"/>
    <cellStyle name="Normal 12 3 10" xfId="22873"/>
    <cellStyle name="Normal 12 3 11" xfId="22872"/>
    <cellStyle name="Normal 12 3 12" xfId="41017"/>
    <cellStyle name="Normal 12 3 2" xfId="1406"/>
    <cellStyle name="Normal 12 3 2 2" xfId="5604"/>
    <cellStyle name="Normal 12 3 2 2 2" xfId="5605"/>
    <cellStyle name="Normal 12 3 2 2 2 2" xfId="22877"/>
    <cellStyle name="Normal 12 3 2 2 2 2 2" xfId="22878"/>
    <cellStyle name="Normal 12 3 2 2 2 3" xfId="22879"/>
    <cellStyle name="Normal 12 3 2 2 2 4" xfId="22876"/>
    <cellStyle name="Normal 12 3 2 2 3" xfId="22880"/>
    <cellStyle name="Normal 12 3 2 2 3 2" xfId="22881"/>
    <cellStyle name="Normal 12 3 2 2 4" xfId="22882"/>
    <cellStyle name="Normal 12 3 2 2 5" xfId="22883"/>
    <cellStyle name="Normal 12 3 2 2 6" xfId="22875"/>
    <cellStyle name="Normal 12 3 2 3" xfId="5606"/>
    <cellStyle name="Normal 12 3 2 3 2" xfId="22885"/>
    <cellStyle name="Normal 12 3 2 3 2 2" xfId="22886"/>
    <cellStyle name="Normal 12 3 2 3 2 2 2" xfId="22887"/>
    <cellStyle name="Normal 12 3 2 3 2 3" xfId="22888"/>
    <cellStyle name="Normal 12 3 2 3 3" xfId="22889"/>
    <cellStyle name="Normal 12 3 2 3 3 2" xfId="22890"/>
    <cellStyle name="Normal 12 3 2 3 4" xfId="22891"/>
    <cellStyle name="Normal 12 3 2 3 5" xfId="22884"/>
    <cellStyle name="Normal 12 3 2 4" xfId="5607"/>
    <cellStyle name="Normal 12 3 2 4 2" xfId="22893"/>
    <cellStyle name="Normal 12 3 2 4 2 2" xfId="22894"/>
    <cellStyle name="Normal 12 3 2 4 3" xfId="22895"/>
    <cellStyle name="Normal 12 3 2 4 4" xfId="22892"/>
    <cellStyle name="Normal 12 3 2 5" xfId="8063"/>
    <cellStyle name="Normal 12 3 2 5 2" xfId="22897"/>
    <cellStyle name="Normal 12 3 2 5 2 2" xfId="22898"/>
    <cellStyle name="Normal 12 3 2 5 3" xfId="22899"/>
    <cellStyle name="Normal 12 3 2 5 4" xfId="22896"/>
    <cellStyle name="Normal 12 3 2 6" xfId="22900"/>
    <cellStyle name="Normal 12 3 2 6 2" xfId="22901"/>
    <cellStyle name="Normal 12 3 2 7" xfId="22902"/>
    <cellStyle name="Normal 12 3 2 8" xfId="22903"/>
    <cellStyle name="Normal 12 3 2 9" xfId="22874"/>
    <cellStyle name="Normal 12 3 3" xfId="3118"/>
    <cellStyle name="Normal 12 3 3 2" xfId="5609"/>
    <cellStyle name="Normal 12 3 3 2 2" xfId="22906"/>
    <cellStyle name="Normal 12 3 3 2 2 2" xfId="22907"/>
    <cellStyle name="Normal 12 3 3 2 2 2 2" xfId="22908"/>
    <cellStyle name="Normal 12 3 3 2 2 3" xfId="22909"/>
    <cellStyle name="Normal 12 3 3 2 3" xfId="22910"/>
    <cellStyle name="Normal 12 3 3 2 3 2" xfId="22911"/>
    <cellStyle name="Normal 12 3 3 2 4" xfId="22912"/>
    <cellStyle name="Normal 12 3 3 2 5" xfId="22913"/>
    <cellStyle name="Normal 12 3 3 2 6" xfId="22905"/>
    <cellStyle name="Normal 12 3 3 3" xfId="5608"/>
    <cellStyle name="Normal 12 3 3 3 2" xfId="22915"/>
    <cellStyle name="Normal 12 3 3 3 2 2" xfId="22916"/>
    <cellStyle name="Normal 12 3 3 3 2 2 2" xfId="22917"/>
    <cellStyle name="Normal 12 3 3 3 2 3" xfId="22918"/>
    <cellStyle name="Normal 12 3 3 3 3" xfId="22919"/>
    <cellStyle name="Normal 12 3 3 3 3 2" xfId="22920"/>
    <cellStyle name="Normal 12 3 3 3 4" xfId="22921"/>
    <cellStyle name="Normal 12 3 3 3 5" xfId="22914"/>
    <cellStyle name="Normal 12 3 3 4" xfId="22922"/>
    <cellStyle name="Normal 12 3 3 4 2" xfId="22923"/>
    <cellStyle name="Normal 12 3 3 4 2 2" xfId="22924"/>
    <cellStyle name="Normal 12 3 3 4 3" xfId="22925"/>
    <cellStyle name="Normal 12 3 3 5" xfId="22926"/>
    <cellStyle name="Normal 12 3 3 5 2" xfId="22927"/>
    <cellStyle name="Normal 12 3 3 5 2 2" xfId="22928"/>
    <cellStyle name="Normal 12 3 3 5 3" xfId="22929"/>
    <cellStyle name="Normal 12 3 3 6" xfId="22930"/>
    <cellStyle name="Normal 12 3 3 6 2" xfId="22931"/>
    <cellStyle name="Normal 12 3 3 7" xfId="22932"/>
    <cellStyle name="Normal 12 3 3 8" xfId="22933"/>
    <cellStyle name="Normal 12 3 3 9" xfId="22904"/>
    <cellStyle name="Normal 12 3 4" xfId="5610"/>
    <cellStyle name="Normal 12 3 4 2" xfId="22935"/>
    <cellStyle name="Normal 12 3 4 2 2" xfId="22936"/>
    <cellStyle name="Normal 12 3 4 2 2 2" xfId="22937"/>
    <cellStyle name="Normal 12 3 4 2 2 2 2" xfId="22938"/>
    <cellStyle name="Normal 12 3 4 2 2 3" xfId="22939"/>
    <cellStyle name="Normal 12 3 4 2 3" xfId="22940"/>
    <cellStyle name="Normal 12 3 4 2 3 2" xfId="22941"/>
    <cellStyle name="Normal 12 3 4 2 4" xfId="22942"/>
    <cellStyle name="Normal 12 3 4 3" xfId="22943"/>
    <cellStyle name="Normal 12 3 4 3 2" xfId="22944"/>
    <cellStyle name="Normal 12 3 4 3 2 2" xfId="22945"/>
    <cellStyle name="Normal 12 3 4 3 3" xfId="22946"/>
    <cellStyle name="Normal 12 3 4 4" xfId="22947"/>
    <cellStyle name="Normal 12 3 4 4 2" xfId="22948"/>
    <cellStyle name="Normal 12 3 4 4 2 2" xfId="22949"/>
    <cellStyle name="Normal 12 3 4 4 3" xfId="22950"/>
    <cellStyle name="Normal 12 3 4 5" xfId="22951"/>
    <cellStyle name="Normal 12 3 4 5 2" xfId="22952"/>
    <cellStyle name="Normal 12 3 4 6" xfId="22953"/>
    <cellStyle name="Normal 12 3 4 7" xfId="22954"/>
    <cellStyle name="Normal 12 3 4 8" xfId="22934"/>
    <cellStyle name="Normal 12 3 5" xfId="5611"/>
    <cellStyle name="Normal 12 3 5 2" xfId="22956"/>
    <cellStyle name="Normal 12 3 5 2 2" xfId="22957"/>
    <cellStyle name="Normal 12 3 5 2 2 2" xfId="22958"/>
    <cellStyle name="Normal 12 3 5 2 3" xfId="22959"/>
    <cellStyle name="Normal 12 3 5 3" xfId="22960"/>
    <cellStyle name="Normal 12 3 5 3 2" xfId="22961"/>
    <cellStyle name="Normal 12 3 5 4" xfId="22962"/>
    <cellStyle name="Normal 12 3 5 5" xfId="22963"/>
    <cellStyle name="Normal 12 3 5 6" xfId="22955"/>
    <cellStyle name="Normal 12 3 6" xfId="22964"/>
    <cellStyle name="Normal 12 3 6 2" xfId="22965"/>
    <cellStyle name="Normal 12 3 6 2 2" xfId="22966"/>
    <cellStyle name="Normal 12 3 6 3" xfId="22967"/>
    <cellStyle name="Normal 12 3 7" xfId="22968"/>
    <cellStyle name="Normal 12 3 7 2" xfId="22969"/>
    <cellStyle name="Normal 12 3 7 2 2" xfId="22970"/>
    <cellStyle name="Normal 12 3 7 3" xfId="22971"/>
    <cellStyle name="Normal 12 3 8" xfId="22972"/>
    <cellStyle name="Normal 12 3 8 2" xfId="22973"/>
    <cellStyle name="Normal 12 3 9" xfId="22974"/>
    <cellStyle name="Normal 12 3 9 2" xfId="22975"/>
    <cellStyle name="Normal 12 4" xfId="1407"/>
    <cellStyle name="Normal 12 4 2" xfId="5613"/>
    <cellStyle name="Normal 12 4 2 2" xfId="5614"/>
    <cellStyle name="Normal 12 4 2 3" xfId="22977"/>
    <cellStyle name="Normal 12 4 3" xfId="5615"/>
    <cellStyle name="Normal 12 4 3 2" xfId="22978"/>
    <cellStyle name="Normal 12 4 4" xfId="5616"/>
    <cellStyle name="Normal 12 4 4 2" xfId="22979"/>
    <cellStyle name="Normal 12 4 5" xfId="5612"/>
    <cellStyle name="Normal 12 4 6" xfId="22976"/>
    <cellStyle name="Normal 12 4 7" xfId="41214"/>
    <cellStyle name="Normal 12 5" xfId="1408"/>
    <cellStyle name="Normal 12 5 2" xfId="5617"/>
    <cellStyle name="Normal 12 5 2 2" xfId="22982"/>
    <cellStyle name="Normal 12 5 2 3" xfId="22981"/>
    <cellStyle name="Normal 12 5 3" xfId="8064"/>
    <cellStyle name="Normal 12 5 3 2" xfId="22983"/>
    <cellStyle name="Normal 12 5 4" xfId="22980"/>
    <cellStyle name="Normal 12 5 5" xfId="41523"/>
    <cellStyle name="Normal 12 6" xfId="1409"/>
    <cellStyle name="Normal 12 6 2" xfId="5618"/>
    <cellStyle name="Normal 12 6 2 2" xfId="22985"/>
    <cellStyle name="Normal 12 6 3" xfId="22984"/>
    <cellStyle name="Normal 12 6 4" xfId="41522"/>
    <cellStyle name="Normal 12 7" xfId="1410"/>
    <cellStyle name="Normal 12 7 2" xfId="5619"/>
    <cellStyle name="Normal 12 7 3" xfId="22986"/>
    <cellStyle name="Normal 12 7 4" xfId="41280"/>
    <cellStyle name="Normal 12 8" xfId="1411"/>
    <cellStyle name="Normal 12 8 2" xfId="40768"/>
    <cellStyle name="Normal 12 9" xfId="1412"/>
    <cellStyle name="Normal 12 9 2" xfId="43479"/>
    <cellStyle name="Normal 12_ASMF Accounts - 30 September 2013" xfId="5620"/>
    <cellStyle name="Normal 120" xfId="5621"/>
    <cellStyle name="Normal 120 2" xfId="42633"/>
    <cellStyle name="Normal 120 2 2" xfId="43004"/>
    <cellStyle name="Normal 120 2 2 2" xfId="44853"/>
    <cellStyle name="Normal 120 2 3" xfId="44495"/>
    <cellStyle name="Normal 120 3" xfId="43003"/>
    <cellStyle name="Normal 120 3 2" xfId="44852"/>
    <cellStyle name="Normal 120 4" xfId="44094"/>
    <cellStyle name="Normal 120 5" xfId="42053"/>
    <cellStyle name="Normal 121" xfId="5622"/>
    <cellStyle name="Normal 121 2" xfId="5623"/>
    <cellStyle name="Normal 121 2 2" xfId="5624"/>
    <cellStyle name="Normal 121 2 2 2" xfId="5625"/>
    <cellStyle name="Normal 121 2 3" xfId="5626"/>
    <cellStyle name="Normal 121 2 4" xfId="5627"/>
    <cellStyle name="Normal 121 3" xfId="5628"/>
    <cellStyle name="Normal 121 3 2" xfId="5629"/>
    <cellStyle name="Normal 121 4" xfId="5630"/>
    <cellStyle name="Normal 121 5" xfId="5631"/>
    <cellStyle name="Normal 121 6" xfId="42291"/>
    <cellStyle name="Normal 122" xfId="5632"/>
    <cellStyle name="Normal 122 2" xfId="5633"/>
    <cellStyle name="Normal 122 2 2" xfId="5634"/>
    <cellStyle name="Normal 122 2 2 2" xfId="5635"/>
    <cellStyle name="Normal 122 2 2 2 2" xfId="5636"/>
    <cellStyle name="Normal 122 2 2 3" xfId="5637"/>
    <cellStyle name="Normal 122 2 2 4" xfId="5638"/>
    <cellStyle name="Normal 122 2 3" xfId="5639"/>
    <cellStyle name="Normal 122 2 3 2" xfId="5640"/>
    <cellStyle name="Normal 122 2 4" xfId="5641"/>
    <cellStyle name="Normal 122 2 5" xfId="5642"/>
    <cellStyle name="Normal 122 3" xfId="42294"/>
    <cellStyle name="Normal 123" xfId="5643"/>
    <cellStyle name="Normal 123 2" xfId="5644"/>
    <cellStyle name="Normal 123 2 2" xfId="5645"/>
    <cellStyle name="Normal 123 2 2 2" xfId="5646"/>
    <cellStyle name="Normal 123 2 3" xfId="5647"/>
    <cellStyle name="Normal 123 2 4" xfId="5648"/>
    <cellStyle name="Normal 123 3" xfId="5649"/>
    <cellStyle name="Normal 123 3 2" xfId="5650"/>
    <cellStyle name="Normal 123 4" xfId="5651"/>
    <cellStyle name="Normal 123 5" xfId="5652"/>
    <cellStyle name="Normal 123 6" xfId="42654"/>
    <cellStyle name="Normal 124" xfId="3620"/>
    <cellStyle name="Normal 124 2" xfId="43005"/>
    <cellStyle name="Normal 124 2 2" xfId="44854"/>
    <cellStyle name="Normal 124 3" xfId="44155"/>
    <cellStyle name="Normal 124 4" xfId="42292"/>
    <cellStyle name="Normal 125" xfId="5653"/>
    <cellStyle name="Normal 125 2" xfId="5654"/>
    <cellStyle name="Normal 125 2 2" xfId="44855"/>
    <cellStyle name="Normal 125 2 3" xfId="43006"/>
    <cellStyle name="Normal 125 3" xfId="5655"/>
    <cellStyle name="Normal 125 3 2" xfId="44187"/>
    <cellStyle name="Normal 125 4" xfId="42325"/>
    <cellStyle name="Normal 126" xfId="5656"/>
    <cellStyle name="Normal 126 2" xfId="43007"/>
    <cellStyle name="Normal 126 2 2" xfId="44856"/>
    <cellStyle name="Normal 126 3" xfId="44515"/>
    <cellStyle name="Normal 126 4" xfId="42656"/>
    <cellStyle name="Normal 127" xfId="1413"/>
    <cellStyle name="Normal 127 2" xfId="5657"/>
    <cellStyle name="Normal 128" xfId="1414"/>
    <cellStyle name="Normal 128 2" xfId="5658"/>
    <cellStyle name="Normal 129" xfId="5659"/>
    <cellStyle name="Normal 129 2" xfId="42199"/>
    <cellStyle name="Normal 129 2 2" xfId="42638"/>
    <cellStyle name="Normal 129 2 2 2" xfId="43010"/>
    <cellStyle name="Normal 129 2 2 2 2" xfId="44859"/>
    <cellStyle name="Normal 129 2 2 3" xfId="44499"/>
    <cellStyle name="Normal 129 2 3" xfId="43009"/>
    <cellStyle name="Normal 129 2 3 2" xfId="44858"/>
    <cellStyle name="Normal 129 2 4" xfId="44121"/>
    <cellStyle name="Normal 129 3" xfId="42637"/>
    <cellStyle name="Normal 129 3 2" xfId="43011"/>
    <cellStyle name="Normal 129 3 2 2" xfId="44860"/>
    <cellStyle name="Normal 129 3 3" xfId="44498"/>
    <cellStyle name="Normal 129 4" xfId="43008"/>
    <cellStyle name="Normal 129 4 2" xfId="44857"/>
    <cellStyle name="Normal 129 5" xfId="44120"/>
    <cellStyle name="Normal 129 6" xfId="42198"/>
    <cellStyle name="Normal 13" xfId="59"/>
    <cellStyle name="Normal 13 10" xfId="22988"/>
    <cellStyle name="Normal 13 11" xfId="22987"/>
    <cellStyle name="Normal 13 12" xfId="40459"/>
    <cellStyle name="Normal 13 2" xfId="1416"/>
    <cellStyle name="Normal 13 2 2" xfId="1417"/>
    <cellStyle name="Normal 13 2 2 2" xfId="22991"/>
    <cellStyle name="Normal 13 2 2 2 2" xfId="22992"/>
    <cellStyle name="Normal 13 2 2 2 2 2" xfId="22993"/>
    <cellStyle name="Normal 13 2 2 2 3" xfId="22994"/>
    <cellStyle name="Normal 13 2 2 2 4" xfId="22995"/>
    <cellStyle name="Normal 13 2 2 3" xfId="22996"/>
    <cellStyle name="Normal 13 2 2 3 2" xfId="22997"/>
    <cellStyle name="Normal 13 2 2 3 2 2" xfId="22998"/>
    <cellStyle name="Normal 13 2 2 3 3" xfId="22999"/>
    <cellStyle name="Normal 13 2 2 3 4" xfId="23000"/>
    <cellStyle name="Normal 13 2 2 4" xfId="23001"/>
    <cellStyle name="Normal 13 2 2 4 2" xfId="23002"/>
    <cellStyle name="Normal 13 2 2 5" xfId="23003"/>
    <cellStyle name="Normal 13 2 2 6" xfId="23004"/>
    <cellStyle name="Normal 13 2 2 7" xfId="23005"/>
    <cellStyle name="Normal 13 2 2 8" xfId="22990"/>
    <cellStyle name="Normal 13 2 2 9" xfId="43430"/>
    <cellStyle name="Normal 13 2 3" xfId="5661"/>
    <cellStyle name="Normal 13 2 3 2" xfId="23007"/>
    <cellStyle name="Normal 13 2 3 2 2" xfId="23008"/>
    <cellStyle name="Normal 13 2 3 3" xfId="23009"/>
    <cellStyle name="Normal 13 2 3 4" xfId="23010"/>
    <cellStyle name="Normal 13 2 3 5" xfId="23006"/>
    <cellStyle name="Normal 13 2 4" xfId="23011"/>
    <cellStyle name="Normal 13 2 4 2" xfId="23012"/>
    <cellStyle name="Normal 13 2 4 2 2" xfId="23013"/>
    <cellStyle name="Normal 13 2 4 3" xfId="23014"/>
    <cellStyle name="Normal 13 2 4 4" xfId="23015"/>
    <cellStyle name="Normal 13 2 5" xfId="23016"/>
    <cellStyle name="Normal 13 2 6" xfId="23017"/>
    <cellStyle name="Normal 13 2 7" xfId="22989"/>
    <cellStyle name="Normal 13 2 8" xfId="40385"/>
    <cellStyle name="Normal 13 2 9" xfId="40878"/>
    <cellStyle name="Normal 13 3" xfId="1418"/>
    <cellStyle name="Normal 13 3 2" xfId="3119"/>
    <cellStyle name="Normal 13 3 2 2" xfId="8466"/>
    <cellStyle name="Normal 13 3 2 2 2" xfId="23019"/>
    <cellStyle name="Normal 13 3 2 3" xfId="23018"/>
    <cellStyle name="Normal 13 3 3" xfId="5662"/>
    <cellStyle name="Normal 13 3 3 2" xfId="23021"/>
    <cellStyle name="Normal 13 3 3 2 2" xfId="23022"/>
    <cellStyle name="Normal 13 3 3 2 2 2" xfId="23023"/>
    <cellStyle name="Normal 13 3 3 2 2 2 2" xfId="23024"/>
    <cellStyle name="Normal 13 3 3 2 2 3" xfId="23025"/>
    <cellStyle name="Normal 13 3 3 2 3" xfId="23026"/>
    <cellStyle name="Normal 13 3 3 2 3 2" xfId="23027"/>
    <cellStyle name="Normal 13 3 3 2 4" xfId="23028"/>
    <cellStyle name="Normal 13 3 3 2 5" xfId="23029"/>
    <cellStyle name="Normal 13 3 3 3" xfId="23030"/>
    <cellStyle name="Normal 13 3 3 3 2" xfId="23031"/>
    <cellStyle name="Normal 13 3 3 3 2 2" xfId="23032"/>
    <cellStyle name="Normal 13 3 3 3 2 2 2" xfId="23033"/>
    <cellStyle name="Normal 13 3 3 3 2 3" xfId="23034"/>
    <cellStyle name="Normal 13 3 3 3 3" xfId="23035"/>
    <cellStyle name="Normal 13 3 3 3 3 2" xfId="23036"/>
    <cellStyle name="Normal 13 3 3 3 4" xfId="23037"/>
    <cellStyle name="Normal 13 3 3 4" xfId="23038"/>
    <cellStyle name="Normal 13 3 3 4 2" xfId="23039"/>
    <cellStyle name="Normal 13 3 3 4 2 2" xfId="23040"/>
    <cellStyle name="Normal 13 3 3 4 3" xfId="23041"/>
    <cellStyle name="Normal 13 3 3 5" xfId="23042"/>
    <cellStyle name="Normal 13 3 3 5 2" xfId="23043"/>
    <cellStyle name="Normal 13 3 3 5 2 2" xfId="23044"/>
    <cellStyle name="Normal 13 3 3 5 3" xfId="23045"/>
    <cellStyle name="Normal 13 3 3 6" xfId="23046"/>
    <cellStyle name="Normal 13 3 3 6 2" xfId="23047"/>
    <cellStyle name="Normal 13 3 3 7" xfId="23048"/>
    <cellStyle name="Normal 13 3 3 8" xfId="23049"/>
    <cellStyle name="Normal 13 3 3 9" xfId="23020"/>
    <cellStyle name="Normal 13 3 4" xfId="3172"/>
    <cellStyle name="Normal 13 3 5" xfId="8065"/>
    <cellStyle name="Normal 13 3 6" xfId="41018"/>
    <cellStyle name="Normal 13 4" xfId="1419"/>
    <cellStyle name="Normal 13 4 10" xfId="41215"/>
    <cellStyle name="Normal 13 4 2" xfId="7816"/>
    <cellStyle name="Normal 13 4 2 2" xfId="23052"/>
    <cellStyle name="Normal 13 4 2 2 2" xfId="23053"/>
    <cellStyle name="Normal 13 4 2 2 2 2" xfId="23054"/>
    <cellStyle name="Normal 13 4 2 2 3" xfId="23055"/>
    <cellStyle name="Normal 13 4 2 3" xfId="23056"/>
    <cellStyle name="Normal 13 4 2 3 2" xfId="23057"/>
    <cellStyle name="Normal 13 4 2 4" xfId="23058"/>
    <cellStyle name="Normal 13 4 2 5" xfId="23059"/>
    <cellStyle name="Normal 13 4 2 6" xfId="23051"/>
    <cellStyle name="Normal 13 4 3" xfId="8066"/>
    <cellStyle name="Normal 13 4 3 2" xfId="23061"/>
    <cellStyle name="Normal 13 4 3 2 2" xfId="23062"/>
    <cellStyle name="Normal 13 4 3 2 2 2" xfId="23063"/>
    <cellStyle name="Normal 13 4 3 2 3" xfId="23064"/>
    <cellStyle name="Normal 13 4 3 3" xfId="23065"/>
    <cellStyle name="Normal 13 4 3 3 2" xfId="23066"/>
    <cellStyle name="Normal 13 4 3 4" xfId="23067"/>
    <cellStyle name="Normal 13 4 3 5" xfId="23060"/>
    <cellStyle name="Normal 13 4 4" xfId="23068"/>
    <cellStyle name="Normal 13 4 4 2" xfId="23069"/>
    <cellStyle name="Normal 13 4 4 2 2" xfId="23070"/>
    <cellStyle name="Normal 13 4 4 3" xfId="23071"/>
    <cellStyle name="Normal 13 4 5" xfId="23072"/>
    <cellStyle name="Normal 13 4 5 2" xfId="23073"/>
    <cellStyle name="Normal 13 4 5 2 2" xfId="23074"/>
    <cellStyle name="Normal 13 4 5 3" xfId="23075"/>
    <cellStyle name="Normal 13 4 6" xfId="23076"/>
    <cellStyle name="Normal 13 4 6 2" xfId="23077"/>
    <cellStyle name="Normal 13 4 7" xfId="23078"/>
    <cellStyle name="Normal 13 4 7 2" xfId="23079"/>
    <cellStyle name="Normal 13 4 8" xfId="23080"/>
    <cellStyle name="Normal 13 4 9" xfId="23050"/>
    <cellStyle name="Normal 13 5" xfId="1420"/>
    <cellStyle name="Normal 13 5 2" xfId="23082"/>
    <cellStyle name="Normal 13 5 2 2" xfId="23083"/>
    <cellStyle name="Normal 13 5 2 2 2" xfId="23084"/>
    <cellStyle name="Normal 13 5 2 2 2 2" xfId="23085"/>
    <cellStyle name="Normal 13 5 2 2 3" xfId="23086"/>
    <cellStyle name="Normal 13 5 2 3" xfId="23087"/>
    <cellStyle name="Normal 13 5 2 3 2" xfId="23088"/>
    <cellStyle name="Normal 13 5 2 4" xfId="23089"/>
    <cellStyle name="Normal 13 5 2 5" xfId="23090"/>
    <cellStyle name="Normal 13 5 3" xfId="23091"/>
    <cellStyle name="Normal 13 5 3 2" xfId="23092"/>
    <cellStyle name="Normal 13 5 3 2 2" xfId="23093"/>
    <cellStyle name="Normal 13 5 3 2 2 2" xfId="23094"/>
    <cellStyle name="Normal 13 5 3 2 3" xfId="23095"/>
    <cellStyle name="Normal 13 5 3 3" xfId="23096"/>
    <cellStyle name="Normal 13 5 3 3 2" xfId="23097"/>
    <cellStyle name="Normal 13 5 3 4" xfId="23098"/>
    <cellStyle name="Normal 13 5 4" xfId="23099"/>
    <cellStyle name="Normal 13 5 4 2" xfId="23100"/>
    <cellStyle name="Normal 13 5 4 2 2" xfId="23101"/>
    <cellStyle name="Normal 13 5 4 3" xfId="23102"/>
    <cellStyle name="Normal 13 5 5" xfId="23103"/>
    <cellStyle name="Normal 13 5 5 2" xfId="23104"/>
    <cellStyle name="Normal 13 5 5 2 2" xfId="23105"/>
    <cellStyle name="Normal 13 5 5 3" xfId="23106"/>
    <cellStyle name="Normal 13 5 6" xfId="23107"/>
    <cellStyle name="Normal 13 5 6 2" xfId="23108"/>
    <cellStyle name="Normal 13 5 7" xfId="23109"/>
    <cellStyle name="Normal 13 5 8" xfId="23081"/>
    <cellStyle name="Normal 13 5 9" xfId="41525"/>
    <cellStyle name="Normal 13 6" xfId="1421"/>
    <cellStyle name="Normal 13 6 10" xfId="41524"/>
    <cellStyle name="Normal 13 6 2" xfId="8067"/>
    <cellStyle name="Normal 13 6 2 2" xfId="23112"/>
    <cellStyle name="Normal 13 6 2 2 2" xfId="23113"/>
    <cellStyle name="Normal 13 6 2 2 2 2" xfId="23114"/>
    <cellStyle name="Normal 13 6 2 2 3" xfId="23115"/>
    <cellStyle name="Normal 13 6 2 3" xfId="23116"/>
    <cellStyle name="Normal 13 6 2 3 2" xfId="23117"/>
    <cellStyle name="Normal 13 6 2 4" xfId="23118"/>
    <cellStyle name="Normal 13 6 2 5" xfId="23119"/>
    <cellStyle name="Normal 13 6 2 6" xfId="23111"/>
    <cellStyle name="Normal 13 6 3" xfId="23120"/>
    <cellStyle name="Normal 13 6 3 2" xfId="23121"/>
    <cellStyle name="Normal 13 6 3 2 2" xfId="23122"/>
    <cellStyle name="Normal 13 6 3 2 2 2" xfId="23123"/>
    <cellStyle name="Normal 13 6 3 2 3" xfId="23124"/>
    <cellStyle name="Normal 13 6 3 3" xfId="23125"/>
    <cellStyle name="Normal 13 6 3 3 2" xfId="23126"/>
    <cellStyle name="Normal 13 6 3 4" xfId="23127"/>
    <cellStyle name="Normal 13 6 4" xfId="23128"/>
    <cellStyle name="Normal 13 6 4 2" xfId="23129"/>
    <cellStyle name="Normal 13 6 4 2 2" xfId="23130"/>
    <cellStyle name="Normal 13 6 4 3" xfId="23131"/>
    <cellStyle name="Normal 13 6 5" xfId="23132"/>
    <cellStyle name="Normal 13 6 5 2" xfId="23133"/>
    <cellStyle name="Normal 13 6 5 2 2" xfId="23134"/>
    <cellStyle name="Normal 13 6 5 3" xfId="23135"/>
    <cellStyle name="Normal 13 6 6" xfId="23136"/>
    <cellStyle name="Normal 13 6 6 2" xfId="23137"/>
    <cellStyle name="Normal 13 6 7" xfId="23138"/>
    <cellStyle name="Normal 13 6 8" xfId="23139"/>
    <cellStyle name="Normal 13 6 9" xfId="23110"/>
    <cellStyle name="Normal 13 7" xfId="1422"/>
    <cellStyle name="Normal 13 7 2" xfId="8068"/>
    <cellStyle name="Normal 13 7 2 2" xfId="23142"/>
    <cellStyle name="Normal 13 7 2 2 2" xfId="23143"/>
    <cellStyle name="Normal 13 7 2 2 2 2" xfId="23144"/>
    <cellStyle name="Normal 13 7 2 2 3" xfId="23145"/>
    <cellStyle name="Normal 13 7 2 3" xfId="23146"/>
    <cellStyle name="Normal 13 7 2 3 2" xfId="23147"/>
    <cellStyle name="Normal 13 7 2 4" xfId="23148"/>
    <cellStyle name="Normal 13 7 2 5" xfId="23141"/>
    <cellStyle name="Normal 13 7 3" xfId="23149"/>
    <cellStyle name="Normal 13 7 3 2" xfId="23150"/>
    <cellStyle name="Normal 13 7 3 2 2" xfId="23151"/>
    <cellStyle name="Normal 13 7 3 3" xfId="23152"/>
    <cellStyle name="Normal 13 7 4" xfId="23153"/>
    <cellStyle name="Normal 13 7 4 2" xfId="23154"/>
    <cellStyle name="Normal 13 7 4 2 2" xfId="23155"/>
    <cellStyle name="Normal 13 7 4 3" xfId="23156"/>
    <cellStyle name="Normal 13 7 5" xfId="23157"/>
    <cellStyle name="Normal 13 7 6" xfId="23140"/>
    <cellStyle name="Normal 13 7 7" xfId="41281"/>
    <cellStyle name="Normal 13 8" xfId="2771"/>
    <cellStyle name="Normal 13 8 2" xfId="23159"/>
    <cellStyle name="Normal 13 8 2 2" xfId="23160"/>
    <cellStyle name="Normal 13 8 3" xfId="23161"/>
    <cellStyle name="Normal 13 8 4" xfId="23162"/>
    <cellStyle name="Normal 13 8 5" xfId="23163"/>
    <cellStyle name="Normal 13 8 6" xfId="23158"/>
    <cellStyle name="Normal 13 8 7" xfId="43407"/>
    <cellStyle name="Normal 13 9" xfId="5660"/>
    <cellStyle name="Normal 13 9 2" xfId="23164"/>
    <cellStyle name="Normal 13 9 3" xfId="43480"/>
    <cellStyle name="Normal 130" xfId="5663"/>
    <cellStyle name="Normal 131" xfId="5664"/>
    <cellStyle name="Normal 131 2" xfId="44517"/>
    <cellStyle name="Normal 131 3" xfId="42660"/>
    <cellStyle name="Normal 132" xfId="5665"/>
    <cellStyle name="Normal 132 2" xfId="43481"/>
    <cellStyle name="Normal 132 2 2" xfId="45261"/>
    <cellStyle name="Normal 132 3" xfId="44518"/>
    <cellStyle name="Normal 132 4" xfId="42663"/>
    <cellStyle name="Normal 133" xfId="5666"/>
    <cellStyle name="Normal 133 2" xfId="44519"/>
    <cellStyle name="Normal 133 3" xfId="42665"/>
    <cellStyle name="Normal 134" xfId="5667"/>
    <cellStyle name="Normal 134 2" xfId="43482"/>
    <cellStyle name="Normal 134 2 2" xfId="45262"/>
    <cellStyle name="Normal 134 3" xfId="44520"/>
    <cellStyle name="Normal 134 4" xfId="42667"/>
    <cellStyle name="Normal 135" xfId="1423"/>
    <cellStyle name="Normal 135 2" xfId="5668"/>
    <cellStyle name="Normal 135 2 2" xfId="44522"/>
    <cellStyle name="Normal 135 3" xfId="42669"/>
    <cellStyle name="Normal 136" xfId="5669"/>
    <cellStyle name="Normal 136 2" xfId="44523"/>
    <cellStyle name="Normal 136 3" xfId="42670"/>
    <cellStyle name="Normal 137" xfId="5670"/>
    <cellStyle name="Normal 137 2" xfId="43483"/>
    <cellStyle name="Normal 137 2 2" xfId="45263"/>
    <cellStyle name="Normal 137 3" xfId="44524"/>
    <cellStyle name="Normal 137 4" xfId="42671"/>
    <cellStyle name="Normal 138" xfId="5671"/>
    <cellStyle name="Normal 138 2" xfId="44525"/>
    <cellStyle name="Normal 138 3" xfId="42672"/>
    <cellStyle name="Normal 139" xfId="5672"/>
    <cellStyle name="Normal 139 2" xfId="43484"/>
    <cellStyle name="Normal 139 2 2" xfId="45264"/>
    <cellStyle name="Normal 139 3" xfId="44526"/>
    <cellStyle name="Normal 139 4" xfId="42673"/>
    <cellStyle name="Normal 14" xfId="1424"/>
    <cellStyle name="Normal 14 10" xfId="40949"/>
    <cellStyle name="Normal 14 10 2" xfId="41915"/>
    <cellStyle name="Normal 14 10 2 2" xfId="42496"/>
    <cellStyle name="Normal 14 10 2 2 2" xfId="43015"/>
    <cellStyle name="Normal 14 10 2 2 2 2" xfId="44864"/>
    <cellStyle name="Normal 14 10 2 2 3" xfId="44358"/>
    <cellStyle name="Normal 14 10 2 3" xfId="43014"/>
    <cellStyle name="Normal 14 10 2 3 2" xfId="44863"/>
    <cellStyle name="Normal 14 10 2 4" xfId="43957"/>
    <cellStyle name="Normal 14 10 3" xfId="42330"/>
    <cellStyle name="Normal 14 10 3 2" xfId="43016"/>
    <cellStyle name="Normal 14 10 3 2 2" xfId="44865"/>
    <cellStyle name="Normal 14 10 3 3" xfId="44192"/>
    <cellStyle name="Normal 14 10 4" xfId="43013"/>
    <cellStyle name="Normal 14 10 4 2" xfId="44862"/>
    <cellStyle name="Normal 14 10 5" xfId="43692"/>
    <cellStyle name="Normal 14 11" xfId="41871"/>
    <cellStyle name="Normal 14 12" xfId="42296"/>
    <cellStyle name="Normal 14 12 2" xfId="43017"/>
    <cellStyle name="Normal 14 12 2 2" xfId="44866"/>
    <cellStyle name="Normal 14 12 3" xfId="44158"/>
    <cellStyle name="Normal 14 13" xfId="43012"/>
    <cellStyle name="Normal 14 13 2" xfId="44861"/>
    <cellStyle name="Normal 14 14" xfId="43485"/>
    <cellStyle name="Normal 14 15" xfId="43549"/>
    <cellStyle name="Normal 14 16" xfId="40460"/>
    <cellStyle name="Normal 14 2" xfId="1425"/>
    <cellStyle name="Normal 14 2 10" xfId="23167"/>
    <cellStyle name="Normal 14 2 10 2" xfId="23168"/>
    <cellStyle name="Normal 14 2 11" xfId="23169"/>
    <cellStyle name="Normal 14 2 12" xfId="23170"/>
    <cellStyle name="Normal 14 2 13" xfId="23166"/>
    <cellStyle name="Normal 14 2 14" xfId="40514"/>
    <cellStyle name="Normal 14 2 2" xfId="1426"/>
    <cellStyle name="Normal 14 2 2 10" xfId="43736"/>
    <cellStyle name="Normal 14 2 2 11" xfId="41260"/>
    <cellStyle name="Normal 14 2 2 2" xfId="5674"/>
    <cellStyle name="Normal 14 2 2 2 2" xfId="5675"/>
    <cellStyle name="Normal 14 2 2 2 2 2" xfId="23174"/>
    <cellStyle name="Normal 14 2 2 2 2 2 2" xfId="23175"/>
    <cellStyle name="Normal 14 2 2 2 2 2 2 2" xfId="44870"/>
    <cellStyle name="Normal 14 2 2 2 2 2 2 3" xfId="43021"/>
    <cellStyle name="Normal 14 2 2 2 2 2 3" xfId="44427"/>
    <cellStyle name="Normal 14 2 2 2 2 2 4" xfId="42565"/>
    <cellStyle name="Normal 14 2 2 2 2 3" xfId="23176"/>
    <cellStyle name="Normal 14 2 2 2 2 3 2" xfId="44869"/>
    <cellStyle name="Normal 14 2 2 2 2 3 3" xfId="43020"/>
    <cellStyle name="Normal 14 2 2 2 2 4" xfId="23173"/>
    <cellStyle name="Normal 14 2 2 2 2 4 2" xfId="44026"/>
    <cellStyle name="Normal 14 2 2 2 2 5" xfId="41985"/>
    <cellStyle name="Normal 14 2 2 2 3" xfId="23177"/>
    <cellStyle name="Normal 14 2 2 2 3 2" xfId="23178"/>
    <cellStyle name="Normal 14 2 2 2 3 2 2" xfId="44871"/>
    <cellStyle name="Normal 14 2 2 2 3 2 3" xfId="43022"/>
    <cellStyle name="Normal 14 2 2 2 3 3" xfId="44261"/>
    <cellStyle name="Normal 14 2 2 2 3 4" xfId="42399"/>
    <cellStyle name="Normal 14 2 2 2 4" xfId="23179"/>
    <cellStyle name="Normal 14 2 2 2 4 2" xfId="44868"/>
    <cellStyle name="Normal 14 2 2 2 4 3" xfId="43019"/>
    <cellStyle name="Normal 14 2 2 2 5" xfId="23180"/>
    <cellStyle name="Normal 14 2 2 2 5 2" xfId="43835"/>
    <cellStyle name="Normal 14 2 2 2 6" xfId="23172"/>
    <cellStyle name="Normal 14 2 2 2 7" xfId="41645"/>
    <cellStyle name="Normal 14 2 2 3" xfId="5676"/>
    <cellStyle name="Normal 14 2 2 3 2" xfId="23182"/>
    <cellStyle name="Normal 14 2 2 3 2 2" xfId="23183"/>
    <cellStyle name="Normal 14 2 2 3 2 2 2" xfId="23184"/>
    <cellStyle name="Normal 14 2 2 3 2 2 2 2" xfId="44874"/>
    <cellStyle name="Normal 14 2 2 3 2 2 2 3" xfId="43025"/>
    <cellStyle name="Normal 14 2 2 3 2 2 3" xfId="44450"/>
    <cellStyle name="Normal 14 2 2 3 2 2 4" xfId="42588"/>
    <cellStyle name="Normal 14 2 2 3 2 3" xfId="23185"/>
    <cellStyle name="Normal 14 2 2 3 2 3 2" xfId="44873"/>
    <cellStyle name="Normal 14 2 2 3 2 3 3" xfId="43024"/>
    <cellStyle name="Normal 14 2 2 3 2 4" xfId="44049"/>
    <cellStyle name="Normal 14 2 2 3 2 5" xfId="42008"/>
    <cellStyle name="Normal 14 2 2 3 3" xfId="23186"/>
    <cellStyle name="Normal 14 2 2 3 3 2" xfId="23187"/>
    <cellStyle name="Normal 14 2 2 3 3 2 2" xfId="44875"/>
    <cellStyle name="Normal 14 2 2 3 3 2 3" xfId="43026"/>
    <cellStyle name="Normal 14 2 2 3 3 3" xfId="44284"/>
    <cellStyle name="Normal 14 2 2 3 3 4" xfId="42422"/>
    <cellStyle name="Normal 14 2 2 3 4" xfId="23188"/>
    <cellStyle name="Normal 14 2 2 3 4 2" xfId="44872"/>
    <cellStyle name="Normal 14 2 2 3 4 3" xfId="43023"/>
    <cellStyle name="Normal 14 2 2 3 5" xfId="23189"/>
    <cellStyle name="Normal 14 2 2 3 5 2" xfId="43866"/>
    <cellStyle name="Normal 14 2 2 3 6" xfId="23181"/>
    <cellStyle name="Normal 14 2 2 3 7" xfId="41692"/>
    <cellStyle name="Normal 14 2 2 4" xfId="5677"/>
    <cellStyle name="Normal 14 2 2 4 2" xfId="23191"/>
    <cellStyle name="Normal 14 2 2 4 2 2" xfId="23192"/>
    <cellStyle name="Normal 14 2 2 4 2 2 2" xfId="43029"/>
    <cellStyle name="Normal 14 2 2 4 2 2 2 2" xfId="44878"/>
    <cellStyle name="Normal 14 2 2 4 2 2 3" xfId="44488"/>
    <cellStyle name="Normal 14 2 2 4 2 2 4" xfId="42626"/>
    <cellStyle name="Normal 14 2 2 4 2 3" xfId="43028"/>
    <cellStyle name="Normal 14 2 2 4 2 3 2" xfId="44877"/>
    <cellStyle name="Normal 14 2 2 4 2 4" xfId="44087"/>
    <cellStyle name="Normal 14 2 2 4 2 5" xfId="42046"/>
    <cellStyle name="Normal 14 2 2 4 3" xfId="23193"/>
    <cellStyle name="Normal 14 2 2 4 3 2" xfId="43030"/>
    <cellStyle name="Normal 14 2 2 4 3 2 2" xfId="44879"/>
    <cellStyle name="Normal 14 2 2 4 3 3" xfId="44322"/>
    <cellStyle name="Normal 14 2 2 4 3 4" xfId="42460"/>
    <cellStyle name="Normal 14 2 2 4 4" xfId="23190"/>
    <cellStyle name="Normal 14 2 2 4 4 2" xfId="44876"/>
    <cellStyle name="Normal 14 2 2 4 4 3" xfId="43027"/>
    <cellStyle name="Normal 14 2 2 4 5" xfId="43906"/>
    <cellStyle name="Normal 14 2 2 4 6" xfId="41749"/>
    <cellStyle name="Normal 14 2 2 5" xfId="8069"/>
    <cellStyle name="Normal 14 2 2 5 2" xfId="23195"/>
    <cellStyle name="Normal 14 2 2 5 2 2" xfId="23196"/>
    <cellStyle name="Normal 14 2 2 5 2 2 2" xfId="43033"/>
    <cellStyle name="Normal 14 2 2 5 2 2 2 2" xfId="44882"/>
    <cellStyle name="Normal 14 2 2 5 2 2 3" xfId="44404"/>
    <cellStyle name="Normal 14 2 2 5 2 2 4" xfId="42542"/>
    <cellStyle name="Normal 14 2 2 5 2 3" xfId="43032"/>
    <cellStyle name="Normal 14 2 2 5 2 3 2" xfId="44881"/>
    <cellStyle name="Normal 14 2 2 5 2 4" xfId="44003"/>
    <cellStyle name="Normal 14 2 2 5 2 5" xfId="41962"/>
    <cellStyle name="Normal 14 2 2 5 3" xfId="23197"/>
    <cellStyle name="Normal 14 2 2 5 3 2" xfId="43034"/>
    <cellStyle name="Normal 14 2 2 5 3 2 2" xfId="44883"/>
    <cellStyle name="Normal 14 2 2 5 3 3" xfId="44238"/>
    <cellStyle name="Normal 14 2 2 5 3 4" xfId="42376"/>
    <cellStyle name="Normal 14 2 2 5 4" xfId="23194"/>
    <cellStyle name="Normal 14 2 2 5 4 2" xfId="44880"/>
    <cellStyle name="Normal 14 2 2 5 4 3" xfId="43031"/>
    <cellStyle name="Normal 14 2 2 5 5" xfId="43799"/>
    <cellStyle name="Normal 14 2 2 5 6" xfId="41527"/>
    <cellStyle name="Normal 14 2 2 6" xfId="23198"/>
    <cellStyle name="Normal 14 2 2 6 2" xfId="23199"/>
    <cellStyle name="Normal 14 2 2 6 2 2" xfId="43036"/>
    <cellStyle name="Normal 14 2 2 6 2 2 2" xfId="44885"/>
    <cellStyle name="Normal 14 2 2 6 2 3" xfId="44373"/>
    <cellStyle name="Normal 14 2 2 6 2 4" xfId="42511"/>
    <cellStyle name="Normal 14 2 2 6 3" xfId="43035"/>
    <cellStyle name="Normal 14 2 2 6 3 2" xfId="44884"/>
    <cellStyle name="Normal 14 2 2 6 4" xfId="43972"/>
    <cellStyle name="Normal 14 2 2 6 5" xfId="41931"/>
    <cellStyle name="Normal 14 2 2 7" xfId="23200"/>
    <cellStyle name="Normal 14 2 2 7 2" xfId="42483"/>
    <cellStyle name="Normal 14 2 2 7 2 2" xfId="43038"/>
    <cellStyle name="Normal 14 2 2 7 2 2 2" xfId="44887"/>
    <cellStyle name="Normal 14 2 2 7 2 3" xfId="44345"/>
    <cellStyle name="Normal 14 2 2 7 3" xfId="43037"/>
    <cellStyle name="Normal 14 2 2 7 3 2" xfId="44886"/>
    <cellStyle name="Normal 14 2 2 7 4" xfId="43931"/>
    <cellStyle name="Normal 14 2 2 7 5" xfId="41791"/>
    <cellStyle name="Normal 14 2 2 8" xfId="23201"/>
    <cellStyle name="Normal 14 2 2 8 2" xfId="43039"/>
    <cellStyle name="Normal 14 2 2 8 2 2" xfId="44888"/>
    <cellStyle name="Normal 14 2 2 8 3" xfId="44207"/>
    <cellStyle name="Normal 14 2 2 8 4" xfId="42345"/>
    <cellStyle name="Normal 14 2 2 9" xfId="23171"/>
    <cellStyle name="Normal 14 2 2 9 2" xfId="44867"/>
    <cellStyle name="Normal 14 2 2 9 3" xfId="43018"/>
    <cellStyle name="Normal 14 2 3" xfId="3120"/>
    <cellStyle name="Normal 14 2 3 10" xfId="41720"/>
    <cellStyle name="Normal 14 2 3 2" xfId="5678"/>
    <cellStyle name="Normal 14 2 3 2 2" xfId="23204"/>
    <cellStyle name="Normal 14 2 3 2 2 2" xfId="23205"/>
    <cellStyle name="Normal 14 2 3 2 2 2 2" xfId="23206"/>
    <cellStyle name="Normal 14 2 3 2 2 2 2 2" xfId="44891"/>
    <cellStyle name="Normal 14 2 3 2 2 2 3" xfId="43042"/>
    <cellStyle name="Normal 14 2 3 2 2 3" xfId="23207"/>
    <cellStyle name="Normal 14 2 3 2 2 3 2" xfId="44464"/>
    <cellStyle name="Normal 14 2 3 2 2 4" xfId="42602"/>
    <cellStyle name="Normal 14 2 3 2 3" xfId="23208"/>
    <cellStyle name="Normal 14 2 3 2 3 2" xfId="23209"/>
    <cellStyle name="Normal 14 2 3 2 3 2 2" xfId="44890"/>
    <cellStyle name="Normal 14 2 3 2 3 3" xfId="43041"/>
    <cellStyle name="Normal 14 2 3 2 4" xfId="23210"/>
    <cellStyle name="Normal 14 2 3 2 4 2" xfId="44063"/>
    <cellStyle name="Normal 14 2 3 2 5" xfId="23211"/>
    <cellStyle name="Normal 14 2 3 2 6" xfId="23203"/>
    <cellStyle name="Normal 14 2 3 2 7" xfId="42022"/>
    <cellStyle name="Normal 14 2 3 3" xfId="8467"/>
    <cellStyle name="Normal 14 2 3 3 2" xfId="23213"/>
    <cellStyle name="Normal 14 2 3 3 2 2" xfId="23214"/>
    <cellStyle name="Normal 14 2 3 3 2 2 2" xfId="23215"/>
    <cellStyle name="Normal 14 2 3 3 2 2 3" xfId="44892"/>
    <cellStyle name="Normal 14 2 3 3 2 3" xfId="23216"/>
    <cellStyle name="Normal 14 2 3 3 2 4" xfId="43043"/>
    <cellStyle name="Normal 14 2 3 3 3" xfId="23217"/>
    <cellStyle name="Normal 14 2 3 3 3 2" xfId="23218"/>
    <cellStyle name="Normal 14 2 3 3 3 3" xfId="44298"/>
    <cellStyle name="Normal 14 2 3 3 4" xfId="23219"/>
    <cellStyle name="Normal 14 2 3 3 5" xfId="23212"/>
    <cellStyle name="Normal 14 2 3 3 6" xfId="42436"/>
    <cellStyle name="Normal 14 2 3 4" xfId="23220"/>
    <cellStyle name="Normal 14 2 3 4 2" xfId="23221"/>
    <cellStyle name="Normal 14 2 3 4 2 2" xfId="23222"/>
    <cellStyle name="Normal 14 2 3 4 2 3" xfId="44889"/>
    <cellStyle name="Normal 14 2 3 4 3" xfId="23223"/>
    <cellStyle name="Normal 14 2 3 4 4" xfId="43040"/>
    <cellStyle name="Normal 14 2 3 5" xfId="23224"/>
    <cellStyle name="Normal 14 2 3 5 2" xfId="23225"/>
    <cellStyle name="Normal 14 2 3 5 2 2" xfId="23226"/>
    <cellStyle name="Normal 14 2 3 5 3" xfId="23227"/>
    <cellStyle name="Normal 14 2 3 5 4" xfId="43881"/>
    <cellStyle name="Normal 14 2 3 6" xfId="23228"/>
    <cellStyle name="Normal 14 2 3 6 2" xfId="23229"/>
    <cellStyle name="Normal 14 2 3 7" xfId="23230"/>
    <cellStyle name="Normal 14 2 3 8" xfId="23231"/>
    <cellStyle name="Normal 14 2 3 9" xfId="23202"/>
    <cellStyle name="Normal 14 2 4" xfId="5679"/>
    <cellStyle name="Normal 14 2 4 2" xfId="23233"/>
    <cellStyle name="Normal 14 2 4 3" xfId="23232"/>
    <cellStyle name="Normal 14 2 4 4" xfId="41377"/>
    <cellStyle name="Normal 14 2 5" xfId="5680"/>
    <cellStyle name="Normal 14 2 5 10" xfId="40973"/>
    <cellStyle name="Normal 14 2 5 2" xfId="23235"/>
    <cellStyle name="Normal 14 2 5 2 2" xfId="23236"/>
    <cellStyle name="Normal 14 2 5 2 2 2" xfId="23237"/>
    <cellStyle name="Normal 14 2 5 2 2 2 2" xfId="23238"/>
    <cellStyle name="Normal 14 2 5 2 2 2 2 2" xfId="44895"/>
    <cellStyle name="Normal 14 2 5 2 2 2 3" xfId="43046"/>
    <cellStyle name="Normal 14 2 5 2 2 3" xfId="23239"/>
    <cellStyle name="Normal 14 2 5 2 2 3 2" xfId="44359"/>
    <cellStyle name="Normal 14 2 5 2 2 4" xfId="42497"/>
    <cellStyle name="Normal 14 2 5 2 3" xfId="23240"/>
    <cellStyle name="Normal 14 2 5 2 3 2" xfId="23241"/>
    <cellStyle name="Normal 14 2 5 2 3 2 2" xfId="44894"/>
    <cellStyle name="Normal 14 2 5 2 3 3" xfId="43045"/>
    <cellStyle name="Normal 14 2 5 2 4" xfId="23242"/>
    <cellStyle name="Normal 14 2 5 2 4 2" xfId="43958"/>
    <cellStyle name="Normal 14 2 5 2 5" xfId="23243"/>
    <cellStyle name="Normal 14 2 5 2 6" xfId="41916"/>
    <cellStyle name="Normal 14 2 5 3" xfId="23244"/>
    <cellStyle name="Normal 14 2 5 3 2" xfId="23245"/>
    <cellStyle name="Normal 14 2 5 3 2 2" xfId="23246"/>
    <cellStyle name="Normal 14 2 5 3 2 2 2" xfId="23247"/>
    <cellStyle name="Normal 14 2 5 3 2 2 3" xfId="44896"/>
    <cellStyle name="Normal 14 2 5 3 2 3" xfId="23248"/>
    <cellStyle name="Normal 14 2 5 3 2 4" xfId="43047"/>
    <cellStyle name="Normal 14 2 5 3 3" xfId="23249"/>
    <cellStyle name="Normal 14 2 5 3 3 2" xfId="23250"/>
    <cellStyle name="Normal 14 2 5 3 3 3" xfId="44193"/>
    <cellStyle name="Normal 14 2 5 3 4" xfId="23251"/>
    <cellStyle name="Normal 14 2 5 3 5" xfId="42331"/>
    <cellStyle name="Normal 14 2 5 4" xfId="23252"/>
    <cellStyle name="Normal 14 2 5 4 2" xfId="23253"/>
    <cellStyle name="Normal 14 2 5 4 2 2" xfId="23254"/>
    <cellStyle name="Normal 14 2 5 4 2 3" xfId="44893"/>
    <cellStyle name="Normal 14 2 5 4 3" xfId="23255"/>
    <cellStyle name="Normal 14 2 5 4 4" xfId="43044"/>
    <cellStyle name="Normal 14 2 5 5" xfId="23256"/>
    <cellStyle name="Normal 14 2 5 5 2" xfId="23257"/>
    <cellStyle name="Normal 14 2 5 5 2 2" xfId="23258"/>
    <cellStyle name="Normal 14 2 5 5 3" xfId="23259"/>
    <cellStyle name="Normal 14 2 5 5 4" xfId="43696"/>
    <cellStyle name="Normal 14 2 5 6" xfId="23260"/>
    <cellStyle name="Normal 14 2 5 6 2" xfId="23261"/>
    <cellStyle name="Normal 14 2 5 7" xfId="23262"/>
    <cellStyle name="Normal 14 2 5 8" xfId="23263"/>
    <cellStyle name="Normal 14 2 5 9" xfId="23234"/>
    <cellStyle name="Normal 14 2 6" xfId="23264"/>
    <cellStyle name="Normal 14 2 6 2" xfId="23265"/>
    <cellStyle name="Normal 14 2 6 2 2" xfId="23266"/>
    <cellStyle name="Normal 14 2 6 2 2 2" xfId="23267"/>
    <cellStyle name="Normal 14 2 6 2 2 2 2" xfId="23268"/>
    <cellStyle name="Normal 14 2 6 2 2 3" xfId="23269"/>
    <cellStyle name="Normal 14 2 6 2 3" xfId="23270"/>
    <cellStyle name="Normal 14 2 6 2 3 2" xfId="23271"/>
    <cellStyle name="Normal 14 2 6 2 4" xfId="23272"/>
    <cellStyle name="Normal 14 2 6 3" xfId="23273"/>
    <cellStyle name="Normal 14 2 6 3 2" xfId="23274"/>
    <cellStyle name="Normal 14 2 6 3 2 2" xfId="23275"/>
    <cellStyle name="Normal 14 2 6 3 3" xfId="23276"/>
    <cellStyle name="Normal 14 2 6 4" xfId="23277"/>
    <cellStyle name="Normal 14 2 6 4 2" xfId="23278"/>
    <cellStyle name="Normal 14 2 6 4 2 2" xfId="23279"/>
    <cellStyle name="Normal 14 2 6 4 3" xfId="23280"/>
    <cellStyle name="Normal 14 2 6 5" xfId="23281"/>
    <cellStyle name="Normal 14 2 6 5 2" xfId="23282"/>
    <cellStyle name="Normal 14 2 6 6" xfId="23283"/>
    <cellStyle name="Normal 14 2 6 7" xfId="40879"/>
    <cellStyle name="Normal 14 2 7" xfId="23284"/>
    <cellStyle name="Normal 14 2 7 2" xfId="23285"/>
    <cellStyle name="Normal 14 2 7 2 2" xfId="23286"/>
    <cellStyle name="Normal 14 2 7 2 2 2" xfId="23287"/>
    <cellStyle name="Normal 14 2 7 2 3" xfId="23288"/>
    <cellStyle name="Normal 14 2 7 3" xfId="23289"/>
    <cellStyle name="Normal 14 2 7 3 2" xfId="23290"/>
    <cellStyle name="Normal 14 2 7 4" xfId="23291"/>
    <cellStyle name="Normal 14 2 7 5" xfId="23292"/>
    <cellStyle name="Normal 14 2 8" xfId="23293"/>
    <cellStyle name="Normal 14 2 8 2" xfId="23294"/>
    <cellStyle name="Normal 14 2 8 2 2" xfId="23295"/>
    <cellStyle name="Normal 14 2 8 3" xfId="23296"/>
    <cellStyle name="Normal 14 2 9" xfId="23297"/>
    <cellStyle name="Normal 14 2 9 2" xfId="23298"/>
    <cellStyle name="Normal 14 2 9 2 2" xfId="23299"/>
    <cellStyle name="Normal 14 2 9 3" xfId="23300"/>
    <cellStyle name="Normal 14 3" xfId="1427"/>
    <cellStyle name="Normal 14 3 10" xfId="23302"/>
    <cellStyle name="Normal 14 3 10 2" xfId="44897"/>
    <cellStyle name="Normal 14 3 10 3" xfId="43048"/>
    <cellStyle name="Normal 14 3 11" xfId="23301"/>
    <cellStyle name="Normal 14 3 11 2" xfId="43701"/>
    <cellStyle name="Normal 14 3 12" xfId="41019"/>
    <cellStyle name="Normal 14 3 2" xfId="5681"/>
    <cellStyle name="Normal 14 3 2 10" xfId="41262"/>
    <cellStyle name="Normal 14 3 2 2" xfId="5682"/>
    <cellStyle name="Normal 14 3 2 2 2" xfId="23305"/>
    <cellStyle name="Normal 14 3 2 2 2 2" xfId="23306"/>
    <cellStyle name="Normal 14 3 2 2 2 2 2" xfId="23307"/>
    <cellStyle name="Normal 14 3 2 2 2 2 2 2" xfId="44901"/>
    <cellStyle name="Normal 14 3 2 2 2 2 2 3" xfId="43052"/>
    <cellStyle name="Normal 14 3 2 2 2 2 3" xfId="44428"/>
    <cellStyle name="Normal 14 3 2 2 2 2 4" xfId="42566"/>
    <cellStyle name="Normal 14 3 2 2 2 3" xfId="23308"/>
    <cellStyle name="Normal 14 3 2 2 2 3 2" xfId="44900"/>
    <cellStyle name="Normal 14 3 2 2 2 3 3" xfId="43051"/>
    <cellStyle name="Normal 14 3 2 2 2 4" xfId="44027"/>
    <cellStyle name="Normal 14 3 2 2 2 5" xfId="41986"/>
    <cellStyle name="Normal 14 3 2 2 3" xfId="23309"/>
    <cellStyle name="Normal 14 3 2 2 3 2" xfId="23310"/>
    <cellStyle name="Normal 14 3 2 2 3 2 2" xfId="44902"/>
    <cellStyle name="Normal 14 3 2 2 3 2 3" xfId="43053"/>
    <cellStyle name="Normal 14 3 2 2 3 3" xfId="44262"/>
    <cellStyle name="Normal 14 3 2 2 3 4" xfId="42400"/>
    <cellStyle name="Normal 14 3 2 2 4" xfId="23311"/>
    <cellStyle name="Normal 14 3 2 2 4 2" xfId="44899"/>
    <cellStyle name="Normal 14 3 2 2 4 3" xfId="43050"/>
    <cellStyle name="Normal 14 3 2 2 5" xfId="23312"/>
    <cellStyle name="Normal 14 3 2 2 5 2" xfId="43836"/>
    <cellStyle name="Normal 14 3 2 2 6" xfId="23304"/>
    <cellStyle name="Normal 14 3 2 2 7" xfId="41646"/>
    <cellStyle name="Normal 14 3 2 3" xfId="23313"/>
    <cellStyle name="Normal 14 3 2 3 2" xfId="23314"/>
    <cellStyle name="Normal 14 3 2 3 2 2" xfId="23315"/>
    <cellStyle name="Normal 14 3 2 3 2 2 2" xfId="23316"/>
    <cellStyle name="Normal 14 3 2 3 2 2 2 2" xfId="44904"/>
    <cellStyle name="Normal 14 3 2 3 2 2 3" xfId="43055"/>
    <cellStyle name="Normal 14 3 2 3 2 3" xfId="23317"/>
    <cellStyle name="Normal 14 3 2 3 2 3 2" xfId="44375"/>
    <cellStyle name="Normal 14 3 2 3 2 4" xfId="42513"/>
    <cellStyle name="Normal 14 3 2 3 3" xfId="23318"/>
    <cellStyle name="Normal 14 3 2 3 3 2" xfId="23319"/>
    <cellStyle name="Normal 14 3 2 3 3 2 2" xfId="44903"/>
    <cellStyle name="Normal 14 3 2 3 3 3" xfId="43054"/>
    <cellStyle name="Normal 14 3 2 3 4" xfId="23320"/>
    <cellStyle name="Normal 14 3 2 3 4 2" xfId="43974"/>
    <cellStyle name="Normal 14 3 2 3 5" xfId="41933"/>
    <cellStyle name="Normal 14 3 2 4" xfId="23321"/>
    <cellStyle name="Normal 14 3 2 4 2" xfId="23322"/>
    <cellStyle name="Normal 14 3 2 4 2 2" xfId="23323"/>
    <cellStyle name="Normal 14 3 2 4 2 2 2" xfId="44905"/>
    <cellStyle name="Normal 14 3 2 4 2 3" xfId="43056"/>
    <cellStyle name="Normal 14 3 2 4 3" xfId="23324"/>
    <cellStyle name="Normal 14 3 2 4 3 2" xfId="44209"/>
    <cellStyle name="Normal 14 3 2 4 4" xfId="42347"/>
    <cellStyle name="Normal 14 3 2 5" xfId="23325"/>
    <cellStyle name="Normal 14 3 2 5 2" xfId="23326"/>
    <cellStyle name="Normal 14 3 2 5 2 2" xfId="23327"/>
    <cellStyle name="Normal 14 3 2 5 2 3" xfId="44898"/>
    <cellStyle name="Normal 14 3 2 5 3" xfId="23328"/>
    <cellStyle name="Normal 14 3 2 5 4" xfId="43049"/>
    <cellStyle name="Normal 14 3 2 6" xfId="23329"/>
    <cellStyle name="Normal 14 3 2 6 2" xfId="23330"/>
    <cellStyle name="Normal 14 3 2 6 3" xfId="43738"/>
    <cellStyle name="Normal 14 3 2 7" xfId="23331"/>
    <cellStyle name="Normal 14 3 2 8" xfId="23332"/>
    <cellStyle name="Normal 14 3 2 9" xfId="23303"/>
    <cellStyle name="Normal 14 3 3" xfId="5683"/>
    <cellStyle name="Normal 14 3 3 10" xfId="41693"/>
    <cellStyle name="Normal 14 3 3 2" xfId="23334"/>
    <cellStyle name="Normal 14 3 3 2 2" xfId="23335"/>
    <cellStyle name="Normal 14 3 3 2 2 2" xfId="23336"/>
    <cellStyle name="Normal 14 3 3 2 2 2 2" xfId="23337"/>
    <cellStyle name="Normal 14 3 3 2 2 2 2 2" xfId="44908"/>
    <cellStyle name="Normal 14 3 3 2 2 2 3" xfId="43059"/>
    <cellStyle name="Normal 14 3 3 2 2 3" xfId="23338"/>
    <cellStyle name="Normal 14 3 3 2 2 3 2" xfId="44451"/>
    <cellStyle name="Normal 14 3 3 2 2 4" xfId="42589"/>
    <cellStyle name="Normal 14 3 3 2 3" xfId="23339"/>
    <cellStyle name="Normal 14 3 3 2 3 2" xfId="23340"/>
    <cellStyle name="Normal 14 3 3 2 3 2 2" xfId="44907"/>
    <cellStyle name="Normal 14 3 3 2 3 3" xfId="43058"/>
    <cellStyle name="Normal 14 3 3 2 4" xfId="23341"/>
    <cellStyle name="Normal 14 3 3 2 4 2" xfId="44050"/>
    <cellStyle name="Normal 14 3 3 2 5" xfId="23342"/>
    <cellStyle name="Normal 14 3 3 2 6" xfId="42009"/>
    <cellStyle name="Normal 14 3 3 3" xfId="23343"/>
    <cellStyle name="Normal 14 3 3 3 2" xfId="23344"/>
    <cellStyle name="Normal 14 3 3 3 2 2" xfId="23345"/>
    <cellStyle name="Normal 14 3 3 3 2 2 2" xfId="23346"/>
    <cellStyle name="Normal 14 3 3 3 2 2 3" xfId="44909"/>
    <cellStyle name="Normal 14 3 3 3 2 3" xfId="23347"/>
    <cellStyle name="Normal 14 3 3 3 2 4" xfId="43060"/>
    <cellStyle name="Normal 14 3 3 3 3" xfId="23348"/>
    <cellStyle name="Normal 14 3 3 3 3 2" xfId="23349"/>
    <cellStyle name="Normal 14 3 3 3 3 3" xfId="44285"/>
    <cellStyle name="Normal 14 3 3 3 4" xfId="23350"/>
    <cellStyle name="Normal 14 3 3 3 5" xfId="42423"/>
    <cellStyle name="Normal 14 3 3 4" xfId="23351"/>
    <cellStyle name="Normal 14 3 3 4 2" xfId="23352"/>
    <cellStyle name="Normal 14 3 3 4 2 2" xfId="23353"/>
    <cellStyle name="Normal 14 3 3 4 2 3" xfId="44906"/>
    <cellStyle name="Normal 14 3 3 4 3" xfId="23354"/>
    <cellStyle name="Normal 14 3 3 4 4" xfId="43057"/>
    <cellStyle name="Normal 14 3 3 5" xfId="23355"/>
    <cellStyle name="Normal 14 3 3 5 2" xfId="23356"/>
    <cellStyle name="Normal 14 3 3 5 2 2" xfId="23357"/>
    <cellStyle name="Normal 14 3 3 5 3" xfId="23358"/>
    <cellStyle name="Normal 14 3 3 5 4" xfId="43867"/>
    <cellStyle name="Normal 14 3 3 6" xfId="23359"/>
    <cellStyle name="Normal 14 3 3 6 2" xfId="23360"/>
    <cellStyle name="Normal 14 3 3 7" xfId="23361"/>
    <cellStyle name="Normal 14 3 3 8" xfId="23362"/>
    <cellStyle name="Normal 14 3 3 9" xfId="23333"/>
    <cellStyle name="Normal 14 3 4" xfId="5684"/>
    <cellStyle name="Normal 14 3 4 2" xfId="23364"/>
    <cellStyle name="Normal 14 3 4 2 2" xfId="23365"/>
    <cellStyle name="Normal 14 3 4 2 2 2" xfId="23366"/>
    <cellStyle name="Normal 14 3 4 2 2 2 2" xfId="23367"/>
    <cellStyle name="Normal 14 3 4 2 2 2 2 2" xfId="44912"/>
    <cellStyle name="Normal 14 3 4 2 2 2 3" xfId="43063"/>
    <cellStyle name="Normal 14 3 4 2 2 3" xfId="23368"/>
    <cellStyle name="Normal 14 3 4 2 2 3 2" xfId="44465"/>
    <cellStyle name="Normal 14 3 4 2 2 4" xfId="42603"/>
    <cellStyle name="Normal 14 3 4 2 3" xfId="23369"/>
    <cellStyle name="Normal 14 3 4 2 3 2" xfId="23370"/>
    <cellStyle name="Normal 14 3 4 2 3 2 2" xfId="44911"/>
    <cellStyle name="Normal 14 3 4 2 3 3" xfId="43062"/>
    <cellStyle name="Normal 14 3 4 2 4" xfId="23371"/>
    <cellStyle name="Normal 14 3 4 2 4 2" xfId="44064"/>
    <cellStyle name="Normal 14 3 4 2 5" xfId="42023"/>
    <cellStyle name="Normal 14 3 4 3" xfId="23372"/>
    <cellStyle name="Normal 14 3 4 3 2" xfId="23373"/>
    <cellStyle name="Normal 14 3 4 3 2 2" xfId="23374"/>
    <cellStyle name="Normal 14 3 4 3 2 2 2" xfId="44913"/>
    <cellStyle name="Normal 14 3 4 3 2 3" xfId="43064"/>
    <cellStyle name="Normal 14 3 4 3 3" xfId="23375"/>
    <cellStyle name="Normal 14 3 4 3 3 2" xfId="44299"/>
    <cellStyle name="Normal 14 3 4 3 4" xfId="42437"/>
    <cellStyle name="Normal 14 3 4 4" xfId="23376"/>
    <cellStyle name="Normal 14 3 4 4 2" xfId="23377"/>
    <cellStyle name="Normal 14 3 4 4 2 2" xfId="23378"/>
    <cellStyle name="Normal 14 3 4 4 2 3" xfId="44910"/>
    <cellStyle name="Normal 14 3 4 4 3" xfId="23379"/>
    <cellStyle name="Normal 14 3 4 4 4" xfId="43061"/>
    <cellStyle name="Normal 14 3 4 5" xfId="23380"/>
    <cellStyle name="Normal 14 3 4 5 2" xfId="23381"/>
    <cellStyle name="Normal 14 3 4 5 3" xfId="43882"/>
    <cellStyle name="Normal 14 3 4 6" xfId="23382"/>
    <cellStyle name="Normal 14 3 4 7" xfId="23383"/>
    <cellStyle name="Normal 14 3 4 8" xfId="23363"/>
    <cellStyle name="Normal 14 3 4 9" xfId="41721"/>
    <cellStyle name="Normal 14 3 5" xfId="8070"/>
    <cellStyle name="Normal 14 3 5 2" xfId="23385"/>
    <cellStyle name="Normal 14 3 5 2 2" xfId="23386"/>
    <cellStyle name="Normal 14 3 5 2 2 2" xfId="23387"/>
    <cellStyle name="Normal 14 3 5 2 2 2 2" xfId="44916"/>
    <cellStyle name="Normal 14 3 5 2 2 2 3" xfId="43067"/>
    <cellStyle name="Normal 14 3 5 2 2 3" xfId="44489"/>
    <cellStyle name="Normal 14 3 5 2 2 4" xfId="42627"/>
    <cellStyle name="Normal 14 3 5 2 3" xfId="23388"/>
    <cellStyle name="Normal 14 3 5 2 3 2" xfId="44915"/>
    <cellStyle name="Normal 14 3 5 2 3 3" xfId="43066"/>
    <cellStyle name="Normal 14 3 5 2 4" xfId="44088"/>
    <cellStyle name="Normal 14 3 5 2 5" xfId="42047"/>
    <cellStyle name="Normal 14 3 5 3" xfId="23389"/>
    <cellStyle name="Normal 14 3 5 3 2" xfId="23390"/>
    <cellStyle name="Normal 14 3 5 3 2 2" xfId="44917"/>
    <cellStyle name="Normal 14 3 5 3 2 3" xfId="43068"/>
    <cellStyle name="Normal 14 3 5 3 3" xfId="44323"/>
    <cellStyle name="Normal 14 3 5 3 4" xfId="42461"/>
    <cellStyle name="Normal 14 3 5 4" xfId="23391"/>
    <cellStyle name="Normal 14 3 5 4 2" xfId="44914"/>
    <cellStyle name="Normal 14 3 5 4 3" xfId="43065"/>
    <cellStyle name="Normal 14 3 5 5" xfId="23392"/>
    <cellStyle name="Normal 14 3 5 5 2" xfId="43907"/>
    <cellStyle name="Normal 14 3 5 6" xfId="23384"/>
    <cellStyle name="Normal 14 3 5 7" xfId="41750"/>
    <cellStyle name="Normal 14 3 6" xfId="23393"/>
    <cellStyle name="Normal 14 3 6 2" xfId="23394"/>
    <cellStyle name="Normal 14 3 6 2 2" xfId="23395"/>
    <cellStyle name="Normal 14 3 6 2 2 2" xfId="43071"/>
    <cellStyle name="Normal 14 3 6 2 2 2 2" xfId="44920"/>
    <cellStyle name="Normal 14 3 6 2 2 3" xfId="44405"/>
    <cellStyle name="Normal 14 3 6 2 2 4" xfId="42543"/>
    <cellStyle name="Normal 14 3 6 2 3" xfId="43070"/>
    <cellStyle name="Normal 14 3 6 2 3 2" xfId="44919"/>
    <cellStyle name="Normal 14 3 6 2 4" xfId="44004"/>
    <cellStyle name="Normal 14 3 6 2 5" xfId="41963"/>
    <cellStyle name="Normal 14 3 6 3" xfId="23396"/>
    <cellStyle name="Normal 14 3 6 3 2" xfId="43072"/>
    <cellStyle name="Normal 14 3 6 3 2 2" xfId="44921"/>
    <cellStyle name="Normal 14 3 6 3 3" xfId="44239"/>
    <cellStyle name="Normal 14 3 6 3 4" xfId="42377"/>
    <cellStyle name="Normal 14 3 6 4" xfId="43069"/>
    <cellStyle name="Normal 14 3 6 4 2" xfId="44918"/>
    <cellStyle name="Normal 14 3 6 5" xfId="43800"/>
    <cellStyle name="Normal 14 3 6 6" xfId="41528"/>
    <cellStyle name="Normal 14 3 7" xfId="23397"/>
    <cellStyle name="Normal 14 3 7 2" xfId="23398"/>
    <cellStyle name="Normal 14 3 7 2 2" xfId="23399"/>
    <cellStyle name="Normal 14 3 7 2 2 2" xfId="44923"/>
    <cellStyle name="Normal 14 3 7 2 2 3" xfId="43074"/>
    <cellStyle name="Normal 14 3 7 2 3" xfId="44361"/>
    <cellStyle name="Normal 14 3 7 2 4" xfId="42499"/>
    <cellStyle name="Normal 14 3 7 3" xfId="23400"/>
    <cellStyle name="Normal 14 3 7 3 2" xfId="44922"/>
    <cellStyle name="Normal 14 3 7 3 3" xfId="43073"/>
    <cellStyle name="Normal 14 3 7 4" xfId="43960"/>
    <cellStyle name="Normal 14 3 7 5" xfId="41918"/>
    <cellStyle name="Normal 14 3 8" xfId="23401"/>
    <cellStyle name="Normal 14 3 8 2" xfId="23402"/>
    <cellStyle name="Normal 14 3 8 2 2" xfId="43076"/>
    <cellStyle name="Normal 14 3 8 2 2 2" xfId="44925"/>
    <cellStyle name="Normal 14 3 8 2 3" xfId="44346"/>
    <cellStyle name="Normal 14 3 8 2 4" xfId="42484"/>
    <cellStyle name="Normal 14 3 8 3" xfId="43075"/>
    <cellStyle name="Normal 14 3 8 3 2" xfId="44924"/>
    <cellStyle name="Normal 14 3 8 4" xfId="43932"/>
    <cellStyle name="Normal 14 3 8 5" xfId="41792"/>
    <cellStyle name="Normal 14 3 9" xfId="23403"/>
    <cellStyle name="Normal 14 3 9 2" xfId="23404"/>
    <cellStyle name="Normal 14 3 9 2 2" xfId="44926"/>
    <cellStyle name="Normal 14 3 9 2 3" xfId="43077"/>
    <cellStyle name="Normal 14 3 9 3" xfId="44195"/>
    <cellStyle name="Normal 14 3 9 4" xfId="42333"/>
    <cellStyle name="Normal 14 4" xfId="1428"/>
    <cellStyle name="Normal 14 4 2" xfId="5685"/>
    <cellStyle name="Normal 14 4 2 2" xfId="23407"/>
    <cellStyle name="Normal 14 4 2 3" xfId="23406"/>
    <cellStyle name="Normal 14 4 3" xfId="23405"/>
    <cellStyle name="Normal 14 4 4" xfId="41098"/>
    <cellStyle name="Normal 14 5" xfId="1429"/>
    <cellStyle name="Normal 14 5 2" xfId="8071"/>
    <cellStyle name="Normal 14 5 2 2" xfId="23409"/>
    <cellStyle name="Normal 14 5 3" xfId="23410"/>
    <cellStyle name="Normal 14 5 4" xfId="23411"/>
    <cellStyle name="Normal 14 5 5" xfId="23408"/>
    <cellStyle name="Normal 14 5 6" xfId="41216"/>
    <cellStyle name="Normal 14 6" xfId="1430"/>
    <cellStyle name="Normal 14 6 2" xfId="8072"/>
    <cellStyle name="Normal 14 6 2 2" xfId="41529"/>
    <cellStyle name="Normal 14 6 3" xfId="23412"/>
    <cellStyle name="Normal 14 6 3 2" xfId="42510"/>
    <cellStyle name="Normal 14 6 3 2 2" xfId="43080"/>
    <cellStyle name="Normal 14 6 3 2 2 2" xfId="44929"/>
    <cellStyle name="Normal 14 6 3 2 3" xfId="44372"/>
    <cellStyle name="Normal 14 6 3 3" xfId="43079"/>
    <cellStyle name="Normal 14 6 3 3 2" xfId="44928"/>
    <cellStyle name="Normal 14 6 3 4" xfId="43971"/>
    <cellStyle name="Normal 14 6 3 5" xfId="41930"/>
    <cellStyle name="Normal 14 6 4" xfId="42344"/>
    <cellStyle name="Normal 14 6 4 2" xfId="43081"/>
    <cellStyle name="Normal 14 6 4 2 2" xfId="44930"/>
    <cellStyle name="Normal 14 6 4 3" xfId="44206"/>
    <cellStyle name="Normal 14 6 5" xfId="43078"/>
    <cellStyle name="Normal 14 6 5 2" xfId="44927"/>
    <cellStyle name="Normal 14 6 6" xfId="43735"/>
    <cellStyle name="Normal 14 6 7" xfId="41259"/>
    <cellStyle name="Normal 14 7" xfId="7817"/>
    <cellStyle name="Normal 14 7 10" xfId="41526"/>
    <cellStyle name="Normal 14 7 2" xfId="23413"/>
    <cellStyle name="Normal 14 7 2 2" xfId="41984"/>
    <cellStyle name="Normal 14 7 2 2 2" xfId="42564"/>
    <cellStyle name="Normal 14 7 2 2 2 2" xfId="43085"/>
    <cellStyle name="Normal 14 7 2 2 2 2 2" xfId="44934"/>
    <cellStyle name="Normal 14 7 2 2 2 3" xfId="44426"/>
    <cellStyle name="Normal 14 7 2 2 3" xfId="43084"/>
    <cellStyle name="Normal 14 7 2 2 3 2" xfId="44933"/>
    <cellStyle name="Normal 14 7 2 2 4" xfId="44025"/>
    <cellStyle name="Normal 14 7 2 3" xfId="42398"/>
    <cellStyle name="Normal 14 7 2 3 2" xfId="43086"/>
    <cellStyle name="Normal 14 7 2 3 2 2" xfId="44935"/>
    <cellStyle name="Normal 14 7 2 3 3" xfId="44260"/>
    <cellStyle name="Normal 14 7 2 4" xfId="43083"/>
    <cellStyle name="Normal 14 7 2 4 2" xfId="44932"/>
    <cellStyle name="Normal 14 7 2 5" xfId="43834"/>
    <cellStyle name="Normal 14 7 2 6" xfId="41644"/>
    <cellStyle name="Normal 14 7 3" xfId="41691"/>
    <cellStyle name="Normal 14 7 3 2" xfId="42007"/>
    <cellStyle name="Normal 14 7 3 2 2" xfId="42587"/>
    <cellStyle name="Normal 14 7 3 2 2 2" xfId="43089"/>
    <cellStyle name="Normal 14 7 3 2 2 2 2" xfId="44938"/>
    <cellStyle name="Normal 14 7 3 2 2 3" xfId="44449"/>
    <cellStyle name="Normal 14 7 3 2 3" xfId="43088"/>
    <cellStyle name="Normal 14 7 3 2 3 2" xfId="44937"/>
    <cellStyle name="Normal 14 7 3 2 4" xfId="44048"/>
    <cellStyle name="Normal 14 7 3 3" xfId="42421"/>
    <cellStyle name="Normal 14 7 3 3 2" xfId="43090"/>
    <cellStyle name="Normal 14 7 3 3 2 2" xfId="44939"/>
    <cellStyle name="Normal 14 7 3 3 3" xfId="44283"/>
    <cellStyle name="Normal 14 7 3 4" xfId="43087"/>
    <cellStyle name="Normal 14 7 3 4 2" xfId="44936"/>
    <cellStyle name="Normal 14 7 3 5" xfId="43865"/>
    <cellStyle name="Normal 14 7 4" xfId="41748"/>
    <cellStyle name="Normal 14 7 4 2" xfId="42045"/>
    <cellStyle name="Normal 14 7 4 2 2" xfId="42625"/>
    <cellStyle name="Normal 14 7 4 2 2 2" xfId="43093"/>
    <cellStyle name="Normal 14 7 4 2 2 2 2" xfId="44942"/>
    <cellStyle name="Normal 14 7 4 2 2 3" xfId="44487"/>
    <cellStyle name="Normal 14 7 4 2 3" xfId="43092"/>
    <cellStyle name="Normal 14 7 4 2 3 2" xfId="44941"/>
    <cellStyle name="Normal 14 7 4 2 4" xfId="44086"/>
    <cellStyle name="Normal 14 7 4 3" xfId="42459"/>
    <cellStyle name="Normal 14 7 4 3 2" xfId="43094"/>
    <cellStyle name="Normal 14 7 4 3 2 2" xfId="44943"/>
    <cellStyle name="Normal 14 7 4 3 3" xfId="44321"/>
    <cellStyle name="Normal 14 7 4 4" xfId="43091"/>
    <cellStyle name="Normal 14 7 4 4 2" xfId="44940"/>
    <cellStyle name="Normal 14 7 4 5" xfId="43905"/>
    <cellStyle name="Normal 14 7 5" xfId="41961"/>
    <cellStyle name="Normal 14 7 5 2" xfId="42541"/>
    <cellStyle name="Normal 14 7 5 2 2" xfId="43096"/>
    <cellStyle name="Normal 14 7 5 2 2 2" xfId="44945"/>
    <cellStyle name="Normal 14 7 5 2 3" xfId="44403"/>
    <cellStyle name="Normal 14 7 5 3" xfId="43095"/>
    <cellStyle name="Normal 14 7 5 3 2" xfId="44944"/>
    <cellStyle name="Normal 14 7 5 4" xfId="44002"/>
    <cellStyle name="Normal 14 7 6" xfId="41790"/>
    <cellStyle name="Normal 14 7 6 2" xfId="42482"/>
    <cellStyle name="Normal 14 7 6 2 2" xfId="43098"/>
    <cellStyle name="Normal 14 7 6 2 2 2" xfId="44947"/>
    <cellStyle name="Normal 14 7 6 2 3" xfId="44344"/>
    <cellStyle name="Normal 14 7 6 3" xfId="43097"/>
    <cellStyle name="Normal 14 7 6 3 2" xfId="44946"/>
    <cellStyle name="Normal 14 7 6 4" xfId="43930"/>
    <cellStyle name="Normal 14 7 7" xfId="42375"/>
    <cellStyle name="Normal 14 7 7 2" xfId="43099"/>
    <cellStyle name="Normal 14 7 7 2 2" xfId="44948"/>
    <cellStyle name="Normal 14 7 7 3" xfId="44237"/>
    <cellStyle name="Normal 14 7 8" xfId="43082"/>
    <cellStyle name="Normal 14 7 8 2" xfId="44931"/>
    <cellStyle name="Normal 14 7 9" xfId="43798"/>
    <cellStyle name="Normal 14 8" xfId="5673"/>
    <cellStyle name="Normal 14 8 2" xfId="41282"/>
    <cellStyle name="Normal 14 9" xfId="23165"/>
    <cellStyle name="Normal 14 9 2" xfId="42021"/>
    <cellStyle name="Normal 14 9 2 2" xfId="42601"/>
    <cellStyle name="Normal 14 9 2 2 2" xfId="43102"/>
    <cellStyle name="Normal 14 9 2 2 2 2" xfId="44951"/>
    <cellStyle name="Normal 14 9 2 2 3" xfId="44463"/>
    <cellStyle name="Normal 14 9 2 3" xfId="43101"/>
    <cellStyle name="Normal 14 9 2 3 2" xfId="44950"/>
    <cellStyle name="Normal 14 9 2 4" xfId="44062"/>
    <cellStyle name="Normal 14 9 3" xfId="42435"/>
    <cellStyle name="Normal 14 9 3 2" xfId="43103"/>
    <cellStyle name="Normal 14 9 3 2 2" xfId="44952"/>
    <cellStyle name="Normal 14 9 3 3" xfId="44297"/>
    <cellStyle name="Normal 14 9 4" xfId="43100"/>
    <cellStyle name="Normal 14 9 4 2" xfId="44949"/>
    <cellStyle name="Normal 14 9 5" xfId="43880"/>
    <cellStyle name="Normal 14 9 6" xfId="41719"/>
    <cellStyle name="Normal 140" xfId="5686"/>
    <cellStyle name="Normal 140 2" xfId="43486"/>
    <cellStyle name="Normal 140 2 2" xfId="45265"/>
    <cellStyle name="Normal 140 3" xfId="44527"/>
    <cellStyle name="Normal 140 4" xfId="42674"/>
    <cellStyle name="Normal 141" xfId="5687"/>
    <cellStyle name="Normal 141 2" xfId="43487"/>
    <cellStyle name="Normal 141 2 2" xfId="45266"/>
    <cellStyle name="Normal 141 3" xfId="44528"/>
    <cellStyle name="Normal 141 4" xfId="42675"/>
    <cellStyle name="Normal 142" xfId="5688"/>
    <cellStyle name="Normal 143" xfId="1431"/>
    <cellStyle name="Normal 143 2" xfId="5689"/>
    <cellStyle name="Normal 143 3" xfId="8073"/>
    <cellStyle name="Normal 144" xfId="5690"/>
    <cellStyle name="Normal 145" xfId="5691"/>
    <cellStyle name="Normal 146" xfId="5692"/>
    <cellStyle name="Normal 147" xfId="5693"/>
    <cellStyle name="Normal 148" xfId="5694"/>
    <cellStyle name="Normal 148 2" xfId="45248"/>
    <cellStyle name="Normal 148 3" xfId="43418"/>
    <cellStyle name="Normal 149" xfId="5695"/>
    <cellStyle name="Normal 149 2" xfId="43428"/>
    <cellStyle name="Normal 15" xfId="1432"/>
    <cellStyle name="Normal 15 10" xfId="23414"/>
    <cellStyle name="Normal 15 10 2" xfId="43105"/>
    <cellStyle name="Normal 15 10 2 2" xfId="44954"/>
    <cellStyle name="Normal 15 10 3" xfId="44159"/>
    <cellStyle name="Normal 15 10 4" xfId="42297"/>
    <cellStyle name="Normal 15 11" xfId="43104"/>
    <cellStyle name="Normal 15 11 2" xfId="44953"/>
    <cellStyle name="Normal 15 12" xfId="43488"/>
    <cellStyle name="Normal 15 13" xfId="43550"/>
    <cellStyle name="Normal 15 14" xfId="40461"/>
    <cellStyle name="Normal 15 2" xfId="1433"/>
    <cellStyle name="Normal 15 2 2" xfId="1434"/>
    <cellStyle name="Normal 15 2 2 2" xfId="7842"/>
    <cellStyle name="Normal 15 2 2 2 2" xfId="42201"/>
    <cellStyle name="Normal 15 2 2 2 3" xfId="42200"/>
    <cellStyle name="Normal 15 2 2 3" xfId="42202"/>
    <cellStyle name="Normal 15 2 2 4" xfId="42203"/>
    <cellStyle name="Normal 15 2 2 5" xfId="42204"/>
    <cellStyle name="Normal 15 2 2 6" xfId="42205"/>
    <cellStyle name="Normal 15 2 2 7" xfId="42206"/>
    <cellStyle name="Normal 15 2 2 8" xfId="42207"/>
    <cellStyle name="Normal 15 2 2 9" xfId="41531"/>
    <cellStyle name="Normal 15 2 3" xfId="1435"/>
    <cellStyle name="Normal 15 2 3 2" xfId="41376"/>
    <cellStyle name="Normal 15 2 4" xfId="5697"/>
    <cellStyle name="Normal 15 2 4 2" xfId="41021"/>
    <cellStyle name="Normal 15 2 5" xfId="23415"/>
    <cellStyle name="Normal 15 2 5 2" xfId="40820"/>
    <cellStyle name="Normal 15 2 6" xfId="42321"/>
    <cellStyle name="Normal 15 2 6 2" xfId="43107"/>
    <cellStyle name="Normal 15 2 6 2 2" xfId="44956"/>
    <cellStyle name="Normal 15 2 6 3" xfId="44183"/>
    <cellStyle name="Normal 15 2 7" xfId="43106"/>
    <cellStyle name="Normal 15 2 7 2" xfId="44955"/>
    <cellStyle name="Normal 15 2 8" xfId="43582"/>
    <cellStyle name="Normal 15 2 9" xfId="40519"/>
    <cellStyle name="Normal 15 3" xfId="1436"/>
    <cellStyle name="Normal 15 3 2" xfId="1437"/>
    <cellStyle name="Normal 15 3 2 2" xfId="8074"/>
    <cellStyle name="Normal 15 3 3" xfId="5698"/>
    <cellStyle name="Normal 15 3 4" xfId="41093"/>
    <cellStyle name="Normal 15 4" xfId="1438"/>
    <cellStyle name="Normal 15 4 2" xfId="5699"/>
    <cellStyle name="Normal 15 4 2 2" xfId="5700"/>
    <cellStyle name="Normal 15 4 2 2 2" xfId="23418"/>
    <cellStyle name="Normal 15 4 2 3" xfId="23417"/>
    <cellStyle name="Normal 15 4 3" xfId="5701"/>
    <cellStyle name="Normal 15 4 3 2" xfId="23420"/>
    <cellStyle name="Normal 15 4 3 3" xfId="23419"/>
    <cellStyle name="Normal 15 4 4" xfId="5702"/>
    <cellStyle name="Normal 15 4 4 2" xfId="23421"/>
    <cellStyle name="Normal 15 4 5" xfId="8075"/>
    <cellStyle name="Normal 15 4 5 2" xfId="23422"/>
    <cellStyle name="Normal 15 4 6" xfId="23416"/>
    <cellStyle name="Normal 15 4 7" xfId="41210"/>
    <cellStyle name="Normal 15 5" xfId="1439"/>
    <cellStyle name="Normal 15 5 2" xfId="5703"/>
    <cellStyle name="Normal 15 5 3" xfId="8076"/>
    <cellStyle name="Normal 15 5 4" xfId="23423"/>
    <cellStyle name="Normal 15 5 5" xfId="41532"/>
    <cellStyle name="Normal 15 6" xfId="1440"/>
    <cellStyle name="Normal 15 6 2" xfId="8077"/>
    <cellStyle name="Normal 15 6 3" xfId="23424"/>
    <cellStyle name="Normal 15 6 4" xfId="41530"/>
    <cellStyle name="Normal 15 7" xfId="1441"/>
    <cellStyle name="Normal 15 7 2" xfId="8078"/>
    <cellStyle name="Normal 15 7 3" xfId="41331"/>
    <cellStyle name="Normal 15 8" xfId="2772"/>
    <cellStyle name="Normal 15 8 2" xfId="41020"/>
    <cellStyle name="Normal 15 9" xfId="5696"/>
    <cellStyle name="Normal 15 9 2" xfId="40831"/>
    <cellStyle name="Normal 15_1. AISF Accounts - Dec 2013" xfId="5704"/>
    <cellStyle name="Normal 150" xfId="5705"/>
    <cellStyle name="Normal 150 2" xfId="42639"/>
    <cellStyle name="Normal 150 2 2" xfId="43109"/>
    <cellStyle name="Normal 150 2 2 2" xfId="44958"/>
    <cellStyle name="Normal 150 2 3" xfId="44500"/>
    <cellStyle name="Normal 150 3" xfId="43108"/>
    <cellStyle name="Normal 150 3 2" xfId="44957"/>
    <cellStyle name="Normal 150 4" xfId="44122"/>
    <cellStyle name="Normal 150 5" xfId="42208"/>
    <cellStyle name="Normal 151" xfId="5706"/>
    <cellStyle name="Normal 152" xfId="5707"/>
    <cellStyle name="Normal 153" xfId="5708"/>
    <cellStyle name="Normal 153 2" xfId="42640"/>
    <cellStyle name="Normal 153 2 2" xfId="43111"/>
    <cellStyle name="Normal 153 2 2 2" xfId="44960"/>
    <cellStyle name="Normal 153 2 3" xfId="44501"/>
    <cellStyle name="Normal 153 3" xfId="43110"/>
    <cellStyle name="Normal 153 3 2" xfId="44959"/>
    <cellStyle name="Normal 153 4" xfId="44123"/>
    <cellStyle name="Normal 153 5" xfId="42209"/>
    <cellStyle name="Normal 154" xfId="5709"/>
    <cellStyle name="Normal 155" xfId="5710"/>
    <cellStyle name="Normal 156" xfId="5711"/>
    <cellStyle name="Normal 156 2" xfId="45284"/>
    <cellStyle name="Normal 156 3" xfId="43532"/>
    <cellStyle name="Normal 157" xfId="5712"/>
    <cellStyle name="Normal 157 2" xfId="42641"/>
    <cellStyle name="Normal 157 2 2" xfId="43113"/>
    <cellStyle name="Normal 157 2 2 2" xfId="44962"/>
    <cellStyle name="Normal 157 2 3" xfId="44502"/>
    <cellStyle name="Normal 157 3" xfId="43112"/>
    <cellStyle name="Normal 157 3 2" xfId="44961"/>
    <cellStyle name="Normal 157 4" xfId="44124"/>
    <cellStyle name="Normal 157 5" xfId="42210"/>
    <cellStyle name="Normal 158" xfId="5713"/>
    <cellStyle name="Normal 159" xfId="5714"/>
    <cellStyle name="Normal 159 2" xfId="42642"/>
    <cellStyle name="Normal 159 2 2" xfId="43115"/>
    <cellStyle name="Normal 159 2 2 2" xfId="44964"/>
    <cellStyle name="Normal 159 2 3" xfId="44503"/>
    <cellStyle name="Normal 159 3" xfId="43114"/>
    <cellStyle name="Normal 159 3 2" xfId="44963"/>
    <cellStyle name="Normal 159 4" xfId="44125"/>
    <cellStyle name="Normal 159 5" xfId="42211"/>
    <cellStyle name="Normal 16" xfId="1442"/>
    <cellStyle name="Normal 16 10" xfId="42287"/>
    <cellStyle name="Normal 16 10 2" xfId="42650"/>
    <cellStyle name="Normal 16 10 2 2" xfId="43118"/>
    <cellStyle name="Normal 16 10 2 2 2" xfId="44967"/>
    <cellStyle name="Normal 16 10 2 3" xfId="44511"/>
    <cellStyle name="Normal 16 10 3" xfId="43117"/>
    <cellStyle name="Normal 16 10 3 2" xfId="44966"/>
    <cellStyle name="Normal 16 10 4" xfId="44151"/>
    <cellStyle name="Normal 16 11" xfId="42298"/>
    <cellStyle name="Normal 16 11 2" xfId="43119"/>
    <cellStyle name="Normal 16 11 2 2" xfId="44968"/>
    <cellStyle name="Normal 16 11 3" xfId="44160"/>
    <cellStyle name="Normal 16 12" xfId="43116"/>
    <cellStyle name="Normal 16 12 2" xfId="44965"/>
    <cellStyle name="Normal 16 13" xfId="43489"/>
    <cellStyle name="Normal 16 13 2" xfId="45267"/>
    <cellStyle name="Normal 16 14" xfId="43551"/>
    <cellStyle name="Normal 16 15" xfId="40462"/>
    <cellStyle name="Normal 16 2" xfId="1443"/>
    <cellStyle name="Normal 16 2 10" xfId="41023"/>
    <cellStyle name="Normal 16 2 11" xfId="41911"/>
    <cellStyle name="Normal 16 2 11 2" xfId="42494"/>
    <cellStyle name="Normal 16 2 11 2 2" xfId="43122"/>
    <cellStyle name="Normal 16 2 11 2 2 2" xfId="44971"/>
    <cellStyle name="Normal 16 2 11 2 3" xfId="44356"/>
    <cellStyle name="Normal 16 2 11 3" xfId="43121"/>
    <cellStyle name="Normal 16 2 11 3 2" xfId="44970"/>
    <cellStyle name="Normal 16 2 11 4" xfId="43955"/>
    <cellStyle name="Normal 16 2 12" xfId="41788"/>
    <cellStyle name="Normal 16 2 12 2" xfId="42480"/>
    <cellStyle name="Normal 16 2 12 2 2" xfId="43124"/>
    <cellStyle name="Normal 16 2 12 2 2 2" xfId="44973"/>
    <cellStyle name="Normal 16 2 12 2 3" xfId="44342"/>
    <cellStyle name="Normal 16 2 12 3" xfId="43123"/>
    <cellStyle name="Normal 16 2 12 3 2" xfId="44972"/>
    <cellStyle name="Normal 16 2 12 4" xfId="43928"/>
    <cellStyle name="Normal 16 2 13" xfId="42328"/>
    <cellStyle name="Normal 16 2 13 2" xfId="43125"/>
    <cellStyle name="Normal 16 2 13 2 2" xfId="44974"/>
    <cellStyle name="Normal 16 2 13 3" xfId="44190"/>
    <cellStyle name="Normal 16 2 14" xfId="43120"/>
    <cellStyle name="Normal 16 2 14 2" xfId="44969"/>
    <cellStyle name="Normal 16 2 15" xfId="43687"/>
    <cellStyle name="Normal 16 2 16" xfId="40927"/>
    <cellStyle name="Normal 16 2 2" xfId="1444"/>
    <cellStyle name="Normal 16 2 2 10" xfId="43126"/>
    <cellStyle name="Normal 16 2 2 10 2" xfId="44975"/>
    <cellStyle name="Normal 16 2 2 11" xfId="43716"/>
    <cellStyle name="Normal 16 2 2 12" xfId="41125"/>
    <cellStyle name="Normal 16 2 2 2" xfId="8079"/>
    <cellStyle name="Normal 16 2 2 2 2" xfId="23427"/>
    <cellStyle name="Normal 16 2 2 2 2 2" xfId="41647"/>
    <cellStyle name="Normal 16 2 2 2 2 2 2" xfId="41987"/>
    <cellStyle name="Normal 16 2 2 2 2 2 2 2" xfId="42567"/>
    <cellStyle name="Normal 16 2 2 2 2 2 2 2 2" xfId="43131"/>
    <cellStyle name="Normal 16 2 2 2 2 2 2 2 2 2" xfId="44980"/>
    <cellStyle name="Normal 16 2 2 2 2 2 2 2 3" xfId="44429"/>
    <cellStyle name="Normal 16 2 2 2 2 2 2 3" xfId="43130"/>
    <cellStyle name="Normal 16 2 2 2 2 2 2 3 2" xfId="44979"/>
    <cellStyle name="Normal 16 2 2 2 2 2 2 4" xfId="44028"/>
    <cellStyle name="Normal 16 2 2 2 2 2 3" xfId="42401"/>
    <cellStyle name="Normal 16 2 2 2 2 2 3 2" xfId="43132"/>
    <cellStyle name="Normal 16 2 2 2 2 2 3 2 2" xfId="44981"/>
    <cellStyle name="Normal 16 2 2 2 2 2 3 3" xfId="44263"/>
    <cellStyle name="Normal 16 2 2 2 2 2 4" xfId="43129"/>
    <cellStyle name="Normal 16 2 2 2 2 2 4 2" xfId="44978"/>
    <cellStyle name="Normal 16 2 2 2 2 2 5" xfId="43837"/>
    <cellStyle name="Normal 16 2 2 2 2 3" xfId="41872"/>
    <cellStyle name="Normal 16 2 2 2 2 3 2" xfId="42492"/>
    <cellStyle name="Normal 16 2 2 2 2 3 2 2" xfId="43134"/>
    <cellStyle name="Normal 16 2 2 2 2 3 2 2 2" xfId="44983"/>
    <cellStyle name="Normal 16 2 2 2 2 3 2 3" xfId="44354"/>
    <cellStyle name="Normal 16 2 2 2 2 3 3" xfId="43133"/>
    <cellStyle name="Normal 16 2 2 2 2 3 3 2" xfId="44982"/>
    <cellStyle name="Normal 16 2 2 2 2 3 4" xfId="43949"/>
    <cellStyle name="Normal 16 2 2 2 2 4" xfId="41798"/>
    <cellStyle name="Normal 16 2 2 2 2 4 2" xfId="42490"/>
    <cellStyle name="Normal 16 2 2 2 2 4 2 2" xfId="43136"/>
    <cellStyle name="Normal 16 2 2 2 2 4 2 2 2" xfId="44985"/>
    <cellStyle name="Normal 16 2 2 2 2 4 2 3" xfId="44352"/>
    <cellStyle name="Normal 16 2 2 2 2 4 3" xfId="43135"/>
    <cellStyle name="Normal 16 2 2 2 2 4 3 2" xfId="44984"/>
    <cellStyle name="Normal 16 2 2 2 2 4 4" xfId="43938"/>
    <cellStyle name="Normal 16 2 2 2 2 5" xfId="42326"/>
    <cellStyle name="Normal 16 2 2 2 2 5 2" xfId="43137"/>
    <cellStyle name="Normal 16 2 2 2 2 5 2 2" xfId="44986"/>
    <cellStyle name="Normal 16 2 2 2 2 5 3" xfId="44188"/>
    <cellStyle name="Normal 16 2 2 2 2 6" xfId="43128"/>
    <cellStyle name="Normal 16 2 2 2 2 6 2" xfId="44977"/>
    <cellStyle name="Normal 16 2 2 2 2 7" xfId="43665"/>
    <cellStyle name="Normal 16 2 2 2 2 8" xfId="40824"/>
    <cellStyle name="Normal 16 2 2 2 3" xfId="41938"/>
    <cellStyle name="Normal 16 2 2 2 3 2" xfId="42518"/>
    <cellStyle name="Normal 16 2 2 2 3 2 2" xfId="43139"/>
    <cellStyle name="Normal 16 2 2 2 3 2 2 2" xfId="44988"/>
    <cellStyle name="Normal 16 2 2 2 3 2 3" xfId="44380"/>
    <cellStyle name="Normal 16 2 2 2 3 3" xfId="43138"/>
    <cellStyle name="Normal 16 2 2 2 3 3 2" xfId="44987"/>
    <cellStyle name="Normal 16 2 2 2 3 4" xfId="43979"/>
    <cellStyle name="Normal 16 2 2 2 4" xfId="42352"/>
    <cellStyle name="Normal 16 2 2 2 4 2" xfId="43140"/>
    <cellStyle name="Normal 16 2 2 2 4 2 2" xfId="44989"/>
    <cellStyle name="Normal 16 2 2 2 4 3" xfId="44214"/>
    <cellStyle name="Normal 16 2 2 2 5" xfId="43127"/>
    <cellStyle name="Normal 16 2 2 2 5 2" xfId="44976"/>
    <cellStyle name="Normal 16 2 2 2 6" xfId="43743"/>
    <cellStyle name="Normal 16 2 2 2 7" xfId="41267"/>
    <cellStyle name="Normal 16 2 2 3" xfId="23428"/>
    <cellStyle name="Normal 16 2 2 3 2" xfId="42010"/>
    <cellStyle name="Normal 16 2 2 3 2 2" xfId="42590"/>
    <cellStyle name="Normal 16 2 2 3 2 2 2" xfId="43143"/>
    <cellStyle name="Normal 16 2 2 3 2 2 2 2" xfId="44992"/>
    <cellStyle name="Normal 16 2 2 3 2 2 3" xfId="44452"/>
    <cellStyle name="Normal 16 2 2 3 2 3" xfId="43142"/>
    <cellStyle name="Normal 16 2 2 3 2 3 2" xfId="44991"/>
    <cellStyle name="Normal 16 2 2 3 2 4" xfId="44051"/>
    <cellStyle name="Normal 16 2 2 3 3" xfId="42424"/>
    <cellStyle name="Normal 16 2 2 3 3 2" xfId="43144"/>
    <cellStyle name="Normal 16 2 2 3 3 2 2" xfId="44993"/>
    <cellStyle name="Normal 16 2 2 3 3 3" xfId="44286"/>
    <cellStyle name="Normal 16 2 2 3 4" xfId="43141"/>
    <cellStyle name="Normal 16 2 2 3 4 2" xfId="44990"/>
    <cellStyle name="Normal 16 2 2 3 5" xfId="43868"/>
    <cellStyle name="Normal 16 2 2 3 6" xfId="41695"/>
    <cellStyle name="Normal 16 2 2 4" xfId="23426"/>
    <cellStyle name="Normal 16 2 2 4 2" xfId="42024"/>
    <cellStyle name="Normal 16 2 2 4 2 2" xfId="42604"/>
    <cellStyle name="Normal 16 2 2 4 2 2 2" xfId="43147"/>
    <cellStyle name="Normal 16 2 2 4 2 2 2 2" xfId="44996"/>
    <cellStyle name="Normal 16 2 2 4 2 2 3" xfId="44466"/>
    <cellStyle name="Normal 16 2 2 4 2 3" xfId="43146"/>
    <cellStyle name="Normal 16 2 2 4 2 3 2" xfId="44995"/>
    <cellStyle name="Normal 16 2 2 4 2 4" xfId="44065"/>
    <cellStyle name="Normal 16 2 2 4 3" xfId="42438"/>
    <cellStyle name="Normal 16 2 2 4 3 2" xfId="43148"/>
    <cellStyle name="Normal 16 2 2 4 3 2 2" xfId="44997"/>
    <cellStyle name="Normal 16 2 2 4 3 3" xfId="44300"/>
    <cellStyle name="Normal 16 2 2 4 4" xfId="43145"/>
    <cellStyle name="Normal 16 2 2 4 4 2" xfId="44994"/>
    <cellStyle name="Normal 16 2 2 4 5" xfId="43883"/>
    <cellStyle name="Normal 16 2 2 4 6" xfId="41722"/>
    <cellStyle name="Normal 16 2 2 5" xfId="41751"/>
    <cellStyle name="Normal 16 2 2 5 2" xfId="42048"/>
    <cellStyle name="Normal 16 2 2 5 2 2" xfId="42628"/>
    <cellStyle name="Normal 16 2 2 5 2 2 2" xfId="43151"/>
    <cellStyle name="Normal 16 2 2 5 2 2 2 2" xfId="45000"/>
    <cellStyle name="Normal 16 2 2 5 2 2 3" xfId="44490"/>
    <cellStyle name="Normal 16 2 2 5 2 3" xfId="43150"/>
    <cellStyle name="Normal 16 2 2 5 2 3 2" xfId="44999"/>
    <cellStyle name="Normal 16 2 2 5 2 4" xfId="44089"/>
    <cellStyle name="Normal 16 2 2 5 3" xfId="42462"/>
    <cellStyle name="Normal 16 2 2 5 3 2" xfId="43152"/>
    <cellStyle name="Normal 16 2 2 5 3 2 2" xfId="45001"/>
    <cellStyle name="Normal 16 2 2 5 3 3" xfId="44324"/>
    <cellStyle name="Normal 16 2 2 5 4" xfId="43149"/>
    <cellStyle name="Normal 16 2 2 5 4 2" xfId="44998"/>
    <cellStyle name="Normal 16 2 2 5 5" xfId="43908"/>
    <cellStyle name="Normal 16 2 2 6" xfId="41535"/>
    <cellStyle name="Normal 16 2 2 6 2" xfId="41964"/>
    <cellStyle name="Normal 16 2 2 6 2 2" xfId="42544"/>
    <cellStyle name="Normal 16 2 2 6 2 2 2" xfId="43155"/>
    <cellStyle name="Normal 16 2 2 6 2 2 2 2" xfId="45004"/>
    <cellStyle name="Normal 16 2 2 6 2 2 3" xfId="44406"/>
    <cellStyle name="Normal 16 2 2 6 2 3" xfId="43154"/>
    <cellStyle name="Normal 16 2 2 6 2 3 2" xfId="45003"/>
    <cellStyle name="Normal 16 2 2 6 2 4" xfId="44005"/>
    <cellStyle name="Normal 16 2 2 6 3" xfId="42378"/>
    <cellStyle name="Normal 16 2 2 6 3 2" xfId="43156"/>
    <cellStyle name="Normal 16 2 2 6 3 2 2" xfId="45005"/>
    <cellStyle name="Normal 16 2 2 6 3 3" xfId="44240"/>
    <cellStyle name="Normal 16 2 2 6 4" xfId="43153"/>
    <cellStyle name="Normal 16 2 2 6 4 2" xfId="45002"/>
    <cellStyle name="Normal 16 2 2 6 5" xfId="43801"/>
    <cellStyle name="Normal 16 2 2 7" xfId="41923"/>
    <cellStyle name="Normal 16 2 2 7 2" xfId="42504"/>
    <cellStyle name="Normal 16 2 2 7 2 2" xfId="43158"/>
    <cellStyle name="Normal 16 2 2 7 2 2 2" xfId="45007"/>
    <cellStyle name="Normal 16 2 2 7 2 3" xfId="44366"/>
    <cellStyle name="Normal 16 2 2 7 3" xfId="43157"/>
    <cellStyle name="Normal 16 2 2 7 3 2" xfId="45006"/>
    <cellStyle name="Normal 16 2 2 7 4" xfId="43965"/>
    <cellStyle name="Normal 16 2 2 8" xfId="41793"/>
    <cellStyle name="Normal 16 2 2 8 2" xfId="42485"/>
    <cellStyle name="Normal 16 2 2 8 2 2" xfId="43160"/>
    <cellStyle name="Normal 16 2 2 8 2 2 2" xfId="45009"/>
    <cellStyle name="Normal 16 2 2 8 2 3" xfId="44347"/>
    <cellStyle name="Normal 16 2 2 8 3" xfId="43159"/>
    <cellStyle name="Normal 16 2 2 8 3 2" xfId="45008"/>
    <cellStyle name="Normal 16 2 2 8 4" xfId="43933"/>
    <cellStyle name="Normal 16 2 2 9" xfId="42338"/>
    <cellStyle name="Normal 16 2 2 9 2" xfId="43161"/>
    <cellStyle name="Normal 16 2 2 9 2 2" xfId="45010"/>
    <cellStyle name="Normal 16 2 2 9 3" xfId="44200"/>
    <cellStyle name="Normal 16 2 3" xfId="1445"/>
    <cellStyle name="Normal 16 2 3 10" xfId="43162"/>
    <cellStyle name="Normal 16 2 3 10 2" xfId="45011"/>
    <cellStyle name="Normal 16 2 3 11" xfId="43731"/>
    <cellStyle name="Normal 16 2 3 12" xfId="41243"/>
    <cellStyle name="Normal 16 2 3 2" xfId="23430"/>
    <cellStyle name="Normal 16 2 3 2 2" xfId="41648"/>
    <cellStyle name="Normal 16 2 3 2 2 2" xfId="41988"/>
    <cellStyle name="Normal 16 2 3 2 2 2 2" xfId="42568"/>
    <cellStyle name="Normal 16 2 3 2 2 2 2 2" xfId="43166"/>
    <cellStyle name="Normal 16 2 3 2 2 2 2 2 2" xfId="45015"/>
    <cellStyle name="Normal 16 2 3 2 2 2 2 3" xfId="44430"/>
    <cellStyle name="Normal 16 2 3 2 2 2 3" xfId="43165"/>
    <cellStyle name="Normal 16 2 3 2 2 2 3 2" xfId="45014"/>
    <cellStyle name="Normal 16 2 3 2 2 2 4" xfId="44029"/>
    <cellStyle name="Normal 16 2 3 2 2 3" xfId="42402"/>
    <cellStyle name="Normal 16 2 3 2 2 3 2" xfId="43167"/>
    <cellStyle name="Normal 16 2 3 2 2 3 2 2" xfId="45016"/>
    <cellStyle name="Normal 16 2 3 2 2 3 3" xfId="44264"/>
    <cellStyle name="Normal 16 2 3 2 2 4" xfId="43164"/>
    <cellStyle name="Normal 16 2 3 2 2 4 2" xfId="45013"/>
    <cellStyle name="Normal 16 2 3 2 2 5" xfId="43838"/>
    <cellStyle name="Normal 16 2 3 2 3" xfId="41942"/>
    <cellStyle name="Normal 16 2 3 2 3 2" xfId="42522"/>
    <cellStyle name="Normal 16 2 3 2 3 2 2" xfId="43169"/>
    <cellStyle name="Normal 16 2 3 2 3 2 2 2" xfId="45018"/>
    <cellStyle name="Normal 16 2 3 2 3 2 3" xfId="44384"/>
    <cellStyle name="Normal 16 2 3 2 3 3" xfId="43168"/>
    <cellStyle name="Normal 16 2 3 2 3 3 2" xfId="45017"/>
    <cellStyle name="Normal 16 2 3 2 3 4" xfId="43983"/>
    <cellStyle name="Normal 16 2 3 2 4" xfId="42356"/>
    <cellStyle name="Normal 16 2 3 2 4 2" xfId="43170"/>
    <cellStyle name="Normal 16 2 3 2 4 2 2" xfId="45019"/>
    <cellStyle name="Normal 16 2 3 2 4 3" xfId="44218"/>
    <cellStyle name="Normal 16 2 3 2 5" xfId="43163"/>
    <cellStyle name="Normal 16 2 3 2 5 2" xfId="45012"/>
    <cellStyle name="Normal 16 2 3 2 6" xfId="43747"/>
    <cellStyle name="Normal 16 2 3 2 7" xfId="41271"/>
    <cellStyle name="Normal 16 2 3 3" xfId="23429"/>
    <cellStyle name="Normal 16 2 3 3 2" xfId="42011"/>
    <cellStyle name="Normal 16 2 3 3 2 2" xfId="42591"/>
    <cellStyle name="Normal 16 2 3 3 2 2 2" xfId="43173"/>
    <cellStyle name="Normal 16 2 3 3 2 2 2 2" xfId="45022"/>
    <cellStyle name="Normal 16 2 3 3 2 2 3" xfId="44453"/>
    <cellStyle name="Normal 16 2 3 3 2 3" xfId="43172"/>
    <cellStyle name="Normal 16 2 3 3 2 3 2" xfId="45021"/>
    <cellStyle name="Normal 16 2 3 3 2 4" xfId="44052"/>
    <cellStyle name="Normal 16 2 3 3 3" xfId="42425"/>
    <cellStyle name="Normal 16 2 3 3 3 2" xfId="43174"/>
    <cellStyle name="Normal 16 2 3 3 3 2 2" xfId="45023"/>
    <cellStyle name="Normal 16 2 3 3 3 3" xfId="44287"/>
    <cellStyle name="Normal 16 2 3 3 4" xfId="43171"/>
    <cellStyle name="Normal 16 2 3 3 4 2" xfId="45020"/>
    <cellStyle name="Normal 16 2 3 3 5" xfId="43869"/>
    <cellStyle name="Normal 16 2 3 3 6" xfId="41696"/>
    <cellStyle name="Normal 16 2 3 4" xfId="41723"/>
    <cellStyle name="Normal 16 2 3 4 2" xfId="42025"/>
    <cellStyle name="Normal 16 2 3 4 2 2" xfId="42605"/>
    <cellStyle name="Normal 16 2 3 4 2 2 2" xfId="43177"/>
    <cellStyle name="Normal 16 2 3 4 2 2 2 2" xfId="45026"/>
    <cellStyle name="Normal 16 2 3 4 2 2 3" xfId="44467"/>
    <cellStyle name="Normal 16 2 3 4 2 3" xfId="43176"/>
    <cellStyle name="Normal 16 2 3 4 2 3 2" xfId="45025"/>
    <cellStyle name="Normal 16 2 3 4 2 4" xfId="44066"/>
    <cellStyle name="Normal 16 2 3 4 3" xfId="42439"/>
    <cellStyle name="Normal 16 2 3 4 3 2" xfId="43178"/>
    <cellStyle name="Normal 16 2 3 4 3 2 2" xfId="45027"/>
    <cellStyle name="Normal 16 2 3 4 3 3" xfId="44301"/>
    <cellStyle name="Normal 16 2 3 4 4" xfId="43175"/>
    <cellStyle name="Normal 16 2 3 4 4 2" xfId="45024"/>
    <cellStyle name="Normal 16 2 3 4 5" xfId="43884"/>
    <cellStyle name="Normal 16 2 3 5" xfId="41752"/>
    <cellStyle name="Normal 16 2 3 5 2" xfId="42049"/>
    <cellStyle name="Normal 16 2 3 5 2 2" xfId="42629"/>
    <cellStyle name="Normal 16 2 3 5 2 2 2" xfId="43181"/>
    <cellStyle name="Normal 16 2 3 5 2 2 2 2" xfId="45030"/>
    <cellStyle name="Normal 16 2 3 5 2 2 3" xfId="44491"/>
    <cellStyle name="Normal 16 2 3 5 2 3" xfId="43180"/>
    <cellStyle name="Normal 16 2 3 5 2 3 2" xfId="45029"/>
    <cellStyle name="Normal 16 2 3 5 2 4" xfId="44090"/>
    <cellStyle name="Normal 16 2 3 5 3" xfId="42463"/>
    <cellStyle name="Normal 16 2 3 5 3 2" xfId="43182"/>
    <cellStyle name="Normal 16 2 3 5 3 2 2" xfId="45031"/>
    <cellStyle name="Normal 16 2 3 5 3 3" xfId="44325"/>
    <cellStyle name="Normal 16 2 3 5 4" xfId="43179"/>
    <cellStyle name="Normal 16 2 3 5 4 2" xfId="45028"/>
    <cellStyle name="Normal 16 2 3 5 5" xfId="43909"/>
    <cellStyle name="Normal 16 2 3 6" xfId="41536"/>
    <cellStyle name="Normal 16 2 3 6 2" xfId="41965"/>
    <cellStyle name="Normal 16 2 3 6 2 2" xfId="42545"/>
    <cellStyle name="Normal 16 2 3 6 2 2 2" xfId="43185"/>
    <cellStyle name="Normal 16 2 3 6 2 2 2 2" xfId="45034"/>
    <cellStyle name="Normal 16 2 3 6 2 2 3" xfId="44407"/>
    <cellStyle name="Normal 16 2 3 6 2 3" xfId="43184"/>
    <cellStyle name="Normal 16 2 3 6 2 3 2" xfId="45033"/>
    <cellStyle name="Normal 16 2 3 6 2 4" xfId="44006"/>
    <cellStyle name="Normal 16 2 3 6 3" xfId="42379"/>
    <cellStyle name="Normal 16 2 3 6 3 2" xfId="43186"/>
    <cellStyle name="Normal 16 2 3 6 3 2 2" xfId="45035"/>
    <cellStyle name="Normal 16 2 3 6 3 3" xfId="44241"/>
    <cellStyle name="Normal 16 2 3 6 4" xfId="43183"/>
    <cellStyle name="Normal 16 2 3 6 4 2" xfId="45032"/>
    <cellStyle name="Normal 16 2 3 6 5" xfId="43802"/>
    <cellStyle name="Normal 16 2 3 7" xfId="41928"/>
    <cellStyle name="Normal 16 2 3 7 2" xfId="42508"/>
    <cellStyle name="Normal 16 2 3 7 2 2" xfId="43188"/>
    <cellStyle name="Normal 16 2 3 7 2 2 2" xfId="45037"/>
    <cellStyle name="Normal 16 2 3 7 2 3" xfId="44370"/>
    <cellStyle name="Normal 16 2 3 7 3" xfId="43187"/>
    <cellStyle name="Normal 16 2 3 7 3 2" xfId="45036"/>
    <cellStyle name="Normal 16 2 3 7 4" xfId="43969"/>
    <cellStyle name="Normal 16 2 3 8" xfId="41794"/>
    <cellStyle name="Normal 16 2 3 8 2" xfId="42486"/>
    <cellStyle name="Normal 16 2 3 8 2 2" xfId="43190"/>
    <cellStyle name="Normal 16 2 3 8 2 2 2" xfId="45039"/>
    <cellStyle name="Normal 16 2 3 8 2 3" xfId="44348"/>
    <cellStyle name="Normal 16 2 3 8 3" xfId="43189"/>
    <cellStyle name="Normal 16 2 3 8 3 2" xfId="45038"/>
    <cellStyle name="Normal 16 2 3 8 4" xfId="43934"/>
    <cellStyle name="Normal 16 2 3 9" xfId="42342"/>
    <cellStyle name="Normal 16 2 3 9 2" xfId="43191"/>
    <cellStyle name="Normal 16 2 3 9 2 2" xfId="45040"/>
    <cellStyle name="Normal 16 2 3 9 3" xfId="44204"/>
    <cellStyle name="Normal 16 2 4" xfId="1446"/>
    <cellStyle name="Normal 16 2 4 2" xfId="23431"/>
    <cellStyle name="Normal 16 2 4 3" xfId="41534"/>
    <cellStyle name="Normal 16 2 5" xfId="41397"/>
    <cellStyle name="Normal 16 2 5 2" xfId="41959"/>
    <cellStyle name="Normal 16 2 5 2 2" xfId="42539"/>
    <cellStyle name="Normal 16 2 5 2 2 2" xfId="43194"/>
    <cellStyle name="Normal 16 2 5 2 2 2 2" xfId="45043"/>
    <cellStyle name="Normal 16 2 5 2 2 3" xfId="44401"/>
    <cellStyle name="Normal 16 2 5 2 3" xfId="43193"/>
    <cellStyle name="Normal 16 2 5 2 3 2" xfId="45042"/>
    <cellStyle name="Normal 16 2 5 2 4" xfId="44000"/>
    <cellStyle name="Normal 16 2 5 3" xfId="42373"/>
    <cellStyle name="Normal 16 2 5 3 2" xfId="43195"/>
    <cellStyle name="Normal 16 2 5 3 2 2" xfId="45044"/>
    <cellStyle name="Normal 16 2 5 3 3" xfId="44235"/>
    <cellStyle name="Normal 16 2 5 4" xfId="43192"/>
    <cellStyle name="Normal 16 2 5 4 2" xfId="45041"/>
    <cellStyle name="Normal 16 2 5 5" xfId="43782"/>
    <cellStyle name="Normal 16 2 6" xfId="41642"/>
    <cellStyle name="Normal 16 2 6 2" xfId="41982"/>
    <cellStyle name="Normal 16 2 6 2 2" xfId="42562"/>
    <cellStyle name="Normal 16 2 6 2 2 2" xfId="43198"/>
    <cellStyle name="Normal 16 2 6 2 2 2 2" xfId="45047"/>
    <cellStyle name="Normal 16 2 6 2 2 3" xfId="44424"/>
    <cellStyle name="Normal 16 2 6 2 3" xfId="43197"/>
    <cellStyle name="Normal 16 2 6 2 3 2" xfId="45046"/>
    <cellStyle name="Normal 16 2 6 2 4" xfId="44023"/>
    <cellStyle name="Normal 16 2 6 3" xfId="42396"/>
    <cellStyle name="Normal 16 2 6 3 2" xfId="43199"/>
    <cellStyle name="Normal 16 2 6 3 2 2" xfId="45048"/>
    <cellStyle name="Normal 16 2 6 3 3" xfId="44258"/>
    <cellStyle name="Normal 16 2 6 4" xfId="43196"/>
    <cellStyle name="Normal 16 2 6 4 2" xfId="45045"/>
    <cellStyle name="Normal 16 2 6 5" xfId="43832"/>
    <cellStyle name="Normal 16 2 7" xfId="41682"/>
    <cellStyle name="Normal 16 2 7 2" xfId="42005"/>
    <cellStyle name="Normal 16 2 7 2 2" xfId="42585"/>
    <cellStyle name="Normal 16 2 7 2 2 2" xfId="43202"/>
    <cellStyle name="Normal 16 2 7 2 2 2 2" xfId="45051"/>
    <cellStyle name="Normal 16 2 7 2 2 3" xfId="44447"/>
    <cellStyle name="Normal 16 2 7 2 3" xfId="43201"/>
    <cellStyle name="Normal 16 2 7 2 3 2" xfId="45050"/>
    <cellStyle name="Normal 16 2 7 2 4" xfId="44046"/>
    <cellStyle name="Normal 16 2 7 3" xfId="42419"/>
    <cellStyle name="Normal 16 2 7 3 2" xfId="43203"/>
    <cellStyle name="Normal 16 2 7 3 2 2" xfId="45052"/>
    <cellStyle name="Normal 16 2 7 3 3" xfId="44281"/>
    <cellStyle name="Normal 16 2 7 4" xfId="43200"/>
    <cellStyle name="Normal 16 2 7 4 2" xfId="45049"/>
    <cellStyle name="Normal 16 2 7 5" xfId="43860"/>
    <cellStyle name="Normal 16 2 8" xfId="41746"/>
    <cellStyle name="Normal 16 2 8 2" xfId="42043"/>
    <cellStyle name="Normal 16 2 8 2 2" xfId="42623"/>
    <cellStyle name="Normal 16 2 8 2 2 2" xfId="43206"/>
    <cellStyle name="Normal 16 2 8 2 2 2 2" xfId="45055"/>
    <cellStyle name="Normal 16 2 8 2 2 3" xfId="44485"/>
    <cellStyle name="Normal 16 2 8 2 3" xfId="43205"/>
    <cellStyle name="Normal 16 2 8 2 3 2" xfId="45054"/>
    <cellStyle name="Normal 16 2 8 2 4" xfId="44084"/>
    <cellStyle name="Normal 16 2 8 3" xfId="42457"/>
    <cellStyle name="Normal 16 2 8 3 2" xfId="43207"/>
    <cellStyle name="Normal 16 2 8 3 2 2" xfId="45056"/>
    <cellStyle name="Normal 16 2 8 3 3" xfId="44319"/>
    <cellStyle name="Normal 16 2 8 4" xfId="43204"/>
    <cellStyle name="Normal 16 2 8 4 2" xfId="45053"/>
    <cellStyle name="Normal 16 2 8 5" xfId="43903"/>
    <cellStyle name="Normal 16 2 9" xfId="41274"/>
    <cellStyle name="Normal 16 2 9 2" xfId="41944"/>
    <cellStyle name="Normal 16 2 9 2 2" xfId="42524"/>
    <cellStyle name="Normal 16 2 9 2 2 2" xfId="43210"/>
    <cellStyle name="Normal 16 2 9 2 2 2 2" xfId="45059"/>
    <cellStyle name="Normal 16 2 9 2 2 3" xfId="44386"/>
    <cellStyle name="Normal 16 2 9 2 3" xfId="43209"/>
    <cellStyle name="Normal 16 2 9 2 3 2" xfId="45058"/>
    <cellStyle name="Normal 16 2 9 2 4" xfId="43985"/>
    <cellStyle name="Normal 16 2 9 3" xfId="42358"/>
    <cellStyle name="Normal 16 2 9 3 2" xfId="43211"/>
    <cellStyle name="Normal 16 2 9 3 2 2" xfId="45060"/>
    <cellStyle name="Normal 16 2 9 3 3" xfId="44220"/>
    <cellStyle name="Normal 16 2 9 4" xfId="43208"/>
    <cellStyle name="Normal 16 2 9 4 2" xfId="45057"/>
    <cellStyle name="Normal 16 2 9 5" xfId="43749"/>
    <cellStyle name="Normal 16 3" xfId="1447"/>
    <cellStyle name="Normal 16 3 2" xfId="3121"/>
    <cellStyle name="Normal 16 3 2 2" xfId="42212"/>
    <cellStyle name="Normal 16 3 3" xfId="3623"/>
    <cellStyle name="Normal 16 3 4" xfId="8080"/>
    <cellStyle name="Normal 16 3 5" xfId="23432"/>
    <cellStyle name="Normal 16 3 6" xfId="41102"/>
    <cellStyle name="Normal 16 4" xfId="1448"/>
    <cellStyle name="Normal 16 4 2" xfId="5716"/>
    <cellStyle name="Normal 16 4 3" xfId="8081"/>
    <cellStyle name="Normal 16 4 4" xfId="23433"/>
    <cellStyle name="Normal 16 4 5" xfId="41219"/>
    <cellStyle name="Normal 16 5" xfId="1449"/>
    <cellStyle name="Normal 16 5 2" xfId="7858"/>
    <cellStyle name="Normal 16 5 3" xfId="8082"/>
    <cellStyle name="Normal 16 5 4" xfId="23434"/>
    <cellStyle name="Normal 16 5 5" xfId="41537"/>
    <cellStyle name="Normal 16 6" xfId="1450"/>
    <cellStyle name="Normal 16 6 2" xfId="8083"/>
    <cellStyle name="Normal 16 6 3" xfId="41533"/>
    <cellStyle name="Normal 16 7" xfId="5715"/>
    <cellStyle name="Normal 16 7 2" xfId="41364"/>
    <cellStyle name="Normal 16 8" xfId="23425"/>
    <cellStyle name="Normal 16 8 2" xfId="41022"/>
    <cellStyle name="Normal 16 9" xfId="40891"/>
    <cellStyle name="Normal 16_if consolidated 9-1" xfId="42213"/>
    <cellStyle name="Normal 160" xfId="5717"/>
    <cellStyle name="Normal 160 2" xfId="42643"/>
    <cellStyle name="Normal 160 2 2" xfId="43213"/>
    <cellStyle name="Normal 160 2 2 2" xfId="45062"/>
    <cellStyle name="Normal 160 2 3" xfId="44504"/>
    <cellStyle name="Normal 160 3" xfId="43212"/>
    <cellStyle name="Normal 160 3 2" xfId="45061"/>
    <cellStyle name="Normal 160 4" xfId="44127"/>
    <cellStyle name="Normal 160 5" xfId="42214"/>
    <cellStyle name="Normal 161" xfId="5718"/>
    <cellStyle name="Normal 162" xfId="5719"/>
    <cellStyle name="Normal 162 2" xfId="42644"/>
    <cellStyle name="Normal 162 2 2" xfId="43215"/>
    <cellStyle name="Normal 162 2 2 2" xfId="45064"/>
    <cellStyle name="Normal 162 2 3" xfId="44505"/>
    <cellStyle name="Normal 162 3" xfId="43214"/>
    <cellStyle name="Normal 162 3 2" xfId="45063"/>
    <cellStyle name="Normal 162 4" xfId="44128"/>
    <cellStyle name="Normal 162 5" xfId="42215"/>
    <cellStyle name="Normal 163" xfId="5720"/>
    <cellStyle name="Normal 164" xfId="5721"/>
    <cellStyle name="Normal 165" xfId="5722"/>
    <cellStyle name="Normal 166" xfId="5723"/>
    <cellStyle name="Normal 167" xfId="5724"/>
    <cellStyle name="Normal 168" xfId="5725"/>
    <cellStyle name="Normal 169" xfId="5726"/>
    <cellStyle name="Normal 17" xfId="60"/>
    <cellStyle name="Normal 17 10" xfId="5727"/>
    <cellStyle name="Normal 17 10 2" xfId="43217"/>
    <cellStyle name="Normal 17 10 2 2" xfId="45066"/>
    <cellStyle name="Normal 17 10 3" xfId="44161"/>
    <cellStyle name="Normal 17 10 4" xfId="42299"/>
    <cellStyle name="Normal 17 11" xfId="8485"/>
    <cellStyle name="Normal 17 11 2" xfId="45065"/>
    <cellStyle name="Normal 17 11 3" xfId="43216"/>
    <cellStyle name="Normal 17 12" xfId="43490"/>
    <cellStyle name="Normal 17 12 2" xfId="45268"/>
    <cellStyle name="Normal 17 13" xfId="43552"/>
    <cellStyle name="Normal 17 14" xfId="40463"/>
    <cellStyle name="Normal 17 2" xfId="80"/>
    <cellStyle name="Normal 17 2 2" xfId="1452"/>
    <cellStyle name="Normal 17 2 2 2" xfId="41539"/>
    <cellStyle name="Normal 17 2 3" xfId="5728"/>
    <cellStyle name="Normal 17 2 3 2" xfId="41387"/>
    <cellStyle name="Normal 17 2 4" xfId="41025"/>
    <cellStyle name="Normal 17 3" xfId="88"/>
    <cellStyle name="Normal 17 3 2" xfId="1453"/>
    <cellStyle name="Normal 17 3 3" xfId="5729"/>
    <cellStyle name="Normal 17 3 4" xfId="23435"/>
    <cellStyle name="Normal 17 3 5" xfId="41111"/>
    <cellStyle name="Normal 17 4" xfId="115"/>
    <cellStyle name="Normal 17 4 2" xfId="7843"/>
    <cellStyle name="Normal 17 4 3" xfId="8084"/>
    <cellStyle name="Normal 17 4 4" xfId="23436"/>
    <cellStyle name="Normal 17 4 5" xfId="41229"/>
    <cellStyle name="Normal 17 5" xfId="1455"/>
    <cellStyle name="Normal 17 5 2" xfId="8085"/>
    <cellStyle name="Normal 17 5 3" xfId="41540"/>
    <cellStyle name="Normal 17 6" xfId="1456"/>
    <cellStyle name="Normal 17 6 2" xfId="41538"/>
    <cellStyle name="Normal 17 7" xfId="1457"/>
    <cellStyle name="Normal 17 7 2" xfId="8086"/>
    <cellStyle name="Normal 17 7 3" xfId="41337"/>
    <cellStyle name="Normal 17 8" xfId="2773"/>
    <cellStyle name="Normal 17 8 2" xfId="41024"/>
    <cellStyle name="Normal 17 9" xfId="1451"/>
    <cellStyle name="Normal 17 9 2" xfId="40908"/>
    <cellStyle name="Normal 17_Aif" xfId="42216"/>
    <cellStyle name="Normal 170" xfId="5730"/>
    <cellStyle name="Normal 171" xfId="5731"/>
    <cellStyle name="Normal 172" xfId="5732"/>
    <cellStyle name="Normal 173" xfId="5733"/>
    <cellStyle name="Normal 174" xfId="5734"/>
    <cellStyle name="Normal 175" xfId="5735"/>
    <cellStyle name="Normal 176" xfId="5736"/>
    <cellStyle name="Normal 177" xfId="5737"/>
    <cellStyle name="Normal 178" xfId="5738"/>
    <cellStyle name="Normal 179" xfId="5739"/>
    <cellStyle name="Normal 18" xfId="1458"/>
    <cellStyle name="Normal 18 10" xfId="23438"/>
    <cellStyle name="Normal 18 10 2" xfId="45067"/>
    <cellStyle name="Normal 18 10 3" xfId="43218"/>
    <cellStyle name="Normal 18 11" xfId="23439"/>
    <cellStyle name="Normal 18 11 2" xfId="45278"/>
    <cellStyle name="Normal 18 11 3" xfId="43516"/>
    <cellStyle name="Normal 18 12" xfId="23437"/>
    <cellStyle name="Normal 18 12 2" xfId="43553"/>
    <cellStyle name="Normal 18 13" xfId="40464"/>
    <cellStyle name="Normal 18 2" xfId="1459"/>
    <cellStyle name="Normal 18 2 10" xfId="23441"/>
    <cellStyle name="Normal 18 2 11" xfId="23440"/>
    <cellStyle name="Normal 18 2 12" xfId="41027"/>
    <cellStyle name="Normal 18 2 2" xfId="1460"/>
    <cellStyle name="Normal 18 2 2 10" xfId="41542"/>
    <cellStyle name="Normal 18 2 2 2" xfId="5741"/>
    <cellStyle name="Normal 18 2 2 2 2" xfId="5742"/>
    <cellStyle name="Normal 18 2 2 2 2 2" xfId="23445"/>
    <cellStyle name="Normal 18 2 2 2 2 2 2" xfId="23446"/>
    <cellStyle name="Normal 18 2 2 2 2 3" xfId="23447"/>
    <cellStyle name="Normal 18 2 2 2 2 4" xfId="23444"/>
    <cellStyle name="Normal 18 2 2 2 3" xfId="23448"/>
    <cellStyle name="Normal 18 2 2 2 3 2" xfId="23449"/>
    <cellStyle name="Normal 18 2 2 2 4" xfId="23450"/>
    <cellStyle name="Normal 18 2 2 2 5" xfId="23451"/>
    <cellStyle name="Normal 18 2 2 2 6" xfId="23443"/>
    <cellStyle name="Normal 18 2 2 3" xfId="5743"/>
    <cellStyle name="Normal 18 2 2 3 2" xfId="23453"/>
    <cellStyle name="Normal 18 2 2 3 2 2" xfId="23454"/>
    <cellStyle name="Normal 18 2 2 3 2 2 2" xfId="23455"/>
    <cellStyle name="Normal 18 2 2 3 2 3" xfId="23456"/>
    <cellStyle name="Normal 18 2 2 3 3" xfId="23457"/>
    <cellStyle name="Normal 18 2 2 3 3 2" xfId="23458"/>
    <cellStyle name="Normal 18 2 2 3 4" xfId="23459"/>
    <cellStyle name="Normal 18 2 2 3 5" xfId="23452"/>
    <cellStyle name="Normal 18 2 2 4" xfId="5744"/>
    <cellStyle name="Normal 18 2 2 4 2" xfId="23461"/>
    <cellStyle name="Normal 18 2 2 4 2 2" xfId="23462"/>
    <cellStyle name="Normal 18 2 2 4 3" xfId="23463"/>
    <cellStyle name="Normal 18 2 2 4 4" xfId="23460"/>
    <cellStyle name="Normal 18 2 2 5" xfId="8087"/>
    <cellStyle name="Normal 18 2 2 5 2" xfId="23465"/>
    <cellStyle name="Normal 18 2 2 5 2 2" xfId="23466"/>
    <cellStyle name="Normal 18 2 2 5 3" xfId="23467"/>
    <cellStyle name="Normal 18 2 2 5 4" xfId="23464"/>
    <cellStyle name="Normal 18 2 2 6" xfId="23468"/>
    <cellStyle name="Normal 18 2 2 6 2" xfId="23469"/>
    <cellStyle name="Normal 18 2 2 7" xfId="23470"/>
    <cellStyle name="Normal 18 2 2 8" xfId="23471"/>
    <cellStyle name="Normal 18 2 2 9" xfId="23442"/>
    <cellStyle name="Normal 18 2 3" xfId="5745"/>
    <cellStyle name="Normal 18 2 3 10" xfId="41388"/>
    <cellStyle name="Normal 18 2 3 2" xfId="5746"/>
    <cellStyle name="Normal 18 2 3 2 2" xfId="23474"/>
    <cellStyle name="Normal 18 2 3 2 2 2" xfId="23475"/>
    <cellStyle name="Normal 18 2 3 2 2 2 2" xfId="23476"/>
    <cellStyle name="Normal 18 2 3 2 2 3" xfId="23477"/>
    <cellStyle name="Normal 18 2 3 2 3" xfId="23478"/>
    <cellStyle name="Normal 18 2 3 2 3 2" xfId="23479"/>
    <cellStyle name="Normal 18 2 3 2 4" xfId="23480"/>
    <cellStyle name="Normal 18 2 3 2 5" xfId="23481"/>
    <cellStyle name="Normal 18 2 3 2 6" xfId="23473"/>
    <cellStyle name="Normal 18 2 3 3" xfId="23482"/>
    <cellStyle name="Normal 18 2 3 3 2" xfId="23483"/>
    <cellStyle name="Normal 18 2 3 3 2 2" xfId="23484"/>
    <cellStyle name="Normal 18 2 3 3 2 2 2" xfId="23485"/>
    <cellStyle name="Normal 18 2 3 3 2 3" xfId="23486"/>
    <cellStyle name="Normal 18 2 3 3 3" xfId="23487"/>
    <cellStyle name="Normal 18 2 3 3 3 2" xfId="23488"/>
    <cellStyle name="Normal 18 2 3 3 4" xfId="23489"/>
    <cellStyle name="Normal 18 2 3 4" xfId="23490"/>
    <cellStyle name="Normal 18 2 3 4 2" xfId="23491"/>
    <cellStyle name="Normal 18 2 3 4 2 2" xfId="23492"/>
    <cellStyle name="Normal 18 2 3 4 3" xfId="23493"/>
    <cellStyle name="Normal 18 2 3 5" xfId="23494"/>
    <cellStyle name="Normal 18 2 3 5 2" xfId="23495"/>
    <cellStyle name="Normal 18 2 3 5 2 2" xfId="23496"/>
    <cellStyle name="Normal 18 2 3 5 3" xfId="23497"/>
    <cellStyle name="Normal 18 2 3 6" xfId="23498"/>
    <cellStyle name="Normal 18 2 3 6 2" xfId="23499"/>
    <cellStyle name="Normal 18 2 3 7" xfId="23500"/>
    <cellStyle name="Normal 18 2 3 8" xfId="23501"/>
    <cellStyle name="Normal 18 2 3 9" xfId="23472"/>
    <cellStyle name="Normal 18 2 4" xfId="5747"/>
    <cellStyle name="Normal 18 2 4 2" xfId="23503"/>
    <cellStyle name="Normal 18 2 4 2 2" xfId="23504"/>
    <cellStyle name="Normal 18 2 4 2 2 2" xfId="23505"/>
    <cellStyle name="Normal 18 2 4 2 2 2 2" xfId="23506"/>
    <cellStyle name="Normal 18 2 4 2 2 3" xfId="23507"/>
    <cellStyle name="Normal 18 2 4 2 3" xfId="23508"/>
    <cellStyle name="Normal 18 2 4 2 3 2" xfId="23509"/>
    <cellStyle name="Normal 18 2 4 2 4" xfId="23510"/>
    <cellStyle name="Normal 18 2 4 3" xfId="23511"/>
    <cellStyle name="Normal 18 2 4 3 2" xfId="23512"/>
    <cellStyle name="Normal 18 2 4 3 2 2" xfId="23513"/>
    <cellStyle name="Normal 18 2 4 3 3" xfId="23514"/>
    <cellStyle name="Normal 18 2 4 4" xfId="23515"/>
    <cellStyle name="Normal 18 2 4 4 2" xfId="23516"/>
    <cellStyle name="Normal 18 2 4 4 2 2" xfId="23517"/>
    <cellStyle name="Normal 18 2 4 4 3" xfId="23518"/>
    <cellStyle name="Normal 18 2 4 5" xfId="23519"/>
    <cellStyle name="Normal 18 2 4 5 2" xfId="23520"/>
    <cellStyle name="Normal 18 2 4 6" xfId="23521"/>
    <cellStyle name="Normal 18 2 4 7" xfId="23502"/>
    <cellStyle name="Normal 18 2 5" xfId="5748"/>
    <cellStyle name="Normal 18 2 5 2" xfId="23523"/>
    <cellStyle name="Normal 18 2 5 2 2" xfId="23524"/>
    <cellStyle name="Normal 18 2 5 2 2 2" xfId="23525"/>
    <cellStyle name="Normal 18 2 5 2 3" xfId="23526"/>
    <cellStyle name="Normal 18 2 5 3" xfId="23527"/>
    <cellStyle name="Normal 18 2 5 3 2" xfId="23528"/>
    <cellStyle name="Normal 18 2 5 4" xfId="23529"/>
    <cellStyle name="Normal 18 2 5 5" xfId="23530"/>
    <cellStyle name="Normal 18 2 5 6" xfId="23522"/>
    <cellStyle name="Normal 18 2 6" xfId="23531"/>
    <cellStyle name="Normal 18 2 6 2" xfId="23532"/>
    <cellStyle name="Normal 18 2 6 2 2" xfId="23533"/>
    <cellStyle name="Normal 18 2 6 3" xfId="23534"/>
    <cellStyle name="Normal 18 2 7" xfId="23535"/>
    <cellStyle name="Normal 18 2 7 2" xfId="23536"/>
    <cellStyle name="Normal 18 2 7 2 2" xfId="23537"/>
    <cellStyle name="Normal 18 2 7 3" xfId="23538"/>
    <cellStyle name="Normal 18 2 8" xfId="23539"/>
    <cellStyle name="Normal 18 2 8 2" xfId="23540"/>
    <cellStyle name="Normal 18 2 9" xfId="23541"/>
    <cellStyle name="Normal 18 3" xfId="1461"/>
    <cellStyle name="Normal 18 3 10" xfId="41115"/>
    <cellStyle name="Normal 18 3 2" xfId="5749"/>
    <cellStyle name="Normal 18 3 2 2" xfId="5750"/>
    <cellStyle name="Normal 18 3 2 2 2" xfId="23545"/>
    <cellStyle name="Normal 18 3 2 2 2 2" xfId="23546"/>
    <cellStyle name="Normal 18 3 2 2 3" xfId="23547"/>
    <cellStyle name="Normal 18 3 2 2 4" xfId="23544"/>
    <cellStyle name="Normal 18 3 2 3" xfId="23548"/>
    <cellStyle name="Normal 18 3 2 3 2" xfId="23549"/>
    <cellStyle name="Normal 18 3 2 4" xfId="23550"/>
    <cellStyle name="Normal 18 3 2 5" xfId="23551"/>
    <cellStyle name="Normal 18 3 2 6" xfId="23543"/>
    <cellStyle name="Normal 18 3 3" xfId="5751"/>
    <cellStyle name="Normal 18 3 3 2" xfId="23553"/>
    <cellStyle name="Normal 18 3 3 2 2" xfId="23554"/>
    <cellStyle name="Normal 18 3 3 2 2 2" xfId="23555"/>
    <cellStyle name="Normal 18 3 3 2 3" xfId="23556"/>
    <cellStyle name="Normal 18 3 3 3" xfId="23557"/>
    <cellStyle name="Normal 18 3 3 3 2" xfId="23558"/>
    <cellStyle name="Normal 18 3 3 4" xfId="23559"/>
    <cellStyle name="Normal 18 3 3 5" xfId="23552"/>
    <cellStyle name="Normal 18 3 4" xfId="5752"/>
    <cellStyle name="Normal 18 3 4 2" xfId="23561"/>
    <cellStyle name="Normal 18 3 4 2 2" xfId="23562"/>
    <cellStyle name="Normal 18 3 4 3" xfId="23563"/>
    <cellStyle name="Normal 18 3 4 4" xfId="23560"/>
    <cellStyle name="Normal 18 3 5" xfId="8088"/>
    <cellStyle name="Normal 18 3 5 2" xfId="23565"/>
    <cellStyle name="Normal 18 3 5 2 2" xfId="23566"/>
    <cellStyle name="Normal 18 3 5 3" xfId="23567"/>
    <cellStyle name="Normal 18 3 5 4" xfId="23564"/>
    <cellStyle name="Normal 18 3 6" xfId="23568"/>
    <cellStyle name="Normal 18 3 6 2" xfId="23569"/>
    <cellStyle name="Normal 18 3 7" xfId="23570"/>
    <cellStyle name="Normal 18 3 7 2" xfId="23571"/>
    <cellStyle name="Normal 18 3 8" xfId="23572"/>
    <cellStyle name="Normal 18 3 9" xfId="23542"/>
    <cellStyle name="Normal 18 4" xfId="1462"/>
    <cellStyle name="Normal 18 4 10" xfId="41233"/>
    <cellStyle name="Normal 18 4 2" xfId="5753"/>
    <cellStyle name="Normal 18 4 2 2" xfId="23575"/>
    <cellStyle name="Normal 18 4 2 2 2" xfId="23576"/>
    <cellStyle name="Normal 18 4 2 2 2 2" xfId="23577"/>
    <cellStyle name="Normal 18 4 2 2 3" xfId="23578"/>
    <cellStyle name="Normal 18 4 2 3" xfId="23579"/>
    <cellStyle name="Normal 18 4 2 3 2" xfId="23580"/>
    <cellStyle name="Normal 18 4 2 4" xfId="23581"/>
    <cellStyle name="Normal 18 4 2 5" xfId="23582"/>
    <cellStyle name="Normal 18 4 2 6" xfId="23574"/>
    <cellStyle name="Normal 18 4 3" xfId="23583"/>
    <cellStyle name="Normal 18 4 3 2" xfId="23584"/>
    <cellStyle name="Normal 18 4 3 2 2" xfId="23585"/>
    <cellStyle name="Normal 18 4 3 2 2 2" xfId="23586"/>
    <cellStyle name="Normal 18 4 3 2 3" xfId="23587"/>
    <cellStyle name="Normal 18 4 3 3" xfId="23588"/>
    <cellStyle name="Normal 18 4 3 3 2" xfId="23589"/>
    <cellStyle name="Normal 18 4 3 4" xfId="23590"/>
    <cellStyle name="Normal 18 4 4" xfId="23591"/>
    <cellStyle name="Normal 18 4 4 2" xfId="23592"/>
    <cellStyle name="Normal 18 4 4 2 2" xfId="23593"/>
    <cellStyle name="Normal 18 4 4 3" xfId="23594"/>
    <cellStyle name="Normal 18 4 5" xfId="23595"/>
    <cellStyle name="Normal 18 4 5 2" xfId="23596"/>
    <cellStyle name="Normal 18 4 5 2 2" xfId="23597"/>
    <cellStyle name="Normal 18 4 5 3" xfId="23598"/>
    <cellStyle name="Normal 18 4 6" xfId="23599"/>
    <cellStyle name="Normal 18 4 6 2" xfId="23600"/>
    <cellStyle name="Normal 18 4 7" xfId="23601"/>
    <cellStyle name="Normal 18 4 7 2" xfId="23602"/>
    <cellStyle name="Normal 18 4 8" xfId="23603"/>
    <cellStyle name="Normal 18 4 9" xfId="23573"/>
    <cellStyle name="Normal 18 5" xfId="1463"/>
    <cellStyle name="Normal 18 5 2" xfId="8089"/>
    <cellStyle name="Normal 18 5 2 2" xfId="23606"/>
    <cellStyle name="Normal 18 5 2 2 2" xfId="23607"/>
    <cellStyle name="Normal 18 5 2 2 2 2" xfId="23608"/>
    <cellStyle name="Normal 18 5 2 2 3" xfId="23609"/>
    <cellStyle name="Normal 18 5 2 3" xfId="23610"/>
    <cellStyle name="Normal 18 5 2 3 2" xfId="23611"/>
    <cellStyle name="Normal 18 5 2 4" xfId="23612"/>
    <cellStyle name="Normal 18 5 2 5" xfId="23605"/>
    <cellStyle name="Normal 18 5 3" xfId="23613"/>
    <cellStyle name="Normal 18 5 3 2" xfId="23614"/>
    <cellStyle name="Normal 18 5 3 2 2" xfId="23615"/>
    <cellStyle name="Normal 18 5 3 3" xfId="23616"/>
    <cellStyle name="Normal 18 5 4" xfId="23617"/>
    <cellStyle name="Normal 18 5 4 2" xfId="23618"/>
    <cellStyle name="Normal 18 5 4 2 2" xfId="23619"/>
    <cellStyle name="Normal 18 5 4 3" xfId="23620"/>
    <cellStyle name="Normal 18 5 5" xfId="23621"/>
    <cellStyle name="Normal 18 5 6" xfId="23604"/>
    <cellStyle name="Normal 18 5 7" xfId="41541"/>
    <cellStyle name="Normal 18 6" xfId="1464"/>
    <cellStyle name="Normal 18 6 2" xfId="8090"/>
    <cellStyle name="Normal 18 6 2 2" xfId="23624"/>
    <cellStyle name="Normal 18 6 2 2 2" xfId="23625"/>
    <cellStyle name="Normal 18 6 2 3" xfId="23626"/>
    <cellStyle name="Normal 18 6 2 4" xfId="23623"/>
    <cellStyle name="Normal 18 6 3" xfId="23627"/>
    <cellStyle name="Normal 18 6 3 2" xfId="23628"/>
    <cellStyle name="Normal 18 6 4" xfId="23629"/>
    <cellStyle name="Normal 18 6 5" xfId="23630"/>
    <cellStyle name="Normal 18 6 6" xfId="23622"/>
    <cellStyle name="Normal 18 6 7" xfId="41363"/>
    <cellStyle name="Normal 18 7" xfId="1465"/>
    <cellStyle name="Normal 18 7 2" xfId="23632"/>
    <cellStyle name="Normal 18 7 2 2" xfId="23633"/>
    <cellStyle name="Normal 18 7 3" xfId="23634"/>
    <cellStyle name="Normal 18 7 4" xfId="23631"/>
    <cellStyle name="Normal 18 7 5" xfId="41026"/>
    <cellStyle name="Normal 18 8" xfId="1466"/>
    <cellStyle name="Normal 18 8 2" xfId="8091"/>
    <cellStyle name="Normal 18 8 2 2" xfId="23637"/>
    <cellStyle name="Normal 18 8 2 3" xfId="23636"/>
    <cellStyle name="Normal 18 8 3" xfId="23638"/>
    <cellStyle name="Normal 18 8 4" xfId="23635"/>
    <cellStyle name="Normal 18 8 5" xfId="40912"/>
    <cellStyle name="Normal 18 9" xfId="5740"/>
    <cellStyle name="Normal 18 9 2" xfId="23640"/>
    <cellStyle name="Normal 18 9 2 2" xfId="45068"/>
    <cellStyle name="Normal 18 9 2 3" xfId="43219"/>
    <cellStyle name="Normal 18 9 3" xfId="23639"/>
    <cellStyle name="Normal 18 9 3 2" xfId="44162"/>
    <cellStyle name="Normal 18 9 4" xfId="42300"/>
    <cellStyle name="Normal 18_Aif" xfId="42217"/>
    <cellStyle name="Normal 180" xfId="5754"/>
    <cellStyle name="Normal 181" xfId="5755"/>
    <cellStyle name="Normal 182" xfId="5756"/>
    <cellStyle name="Normal 183" xfId="5757"/>
    <cellStyle name="Normal 184" xfId="5758"/>
    <cellStyle name="Normal 185" xfId="5759"/>
    <cellStyle name="Normal 186" xfId="5760"/>
    <cellStyle name="Normal 187" xfId="5761"/>
    <cellStyle name="Normal 188" xfId="5762"/>
    <cellStyle name="Normal 189" xfId="5763"/>
    <cellStyle name="Normal 19" xfId="1467"/>
    <cellStyle name="Normal 19 10" xfId="43220"/>
    <cellStyle name="Normal 19 10 2" xfId="45069"/>
    <cellStyle name="Normal 19 11" xfId="43520"/>
    <cellStyle name="Normal 19 11 2" xfId="45282"/>
    <cellStyle name="Normal 19 12" xfId="43554"/>
    <cellStyle name="Normal 19 13" xfId="40465"/>
    <cellStyle name="Normal 19 2" xfId="1468"/>
    <cellStyle name="Normal 19 2 2" xfId="5765"/>
    <cellStyle name="Normal 19 2 2 2" xfId="23643"/>
    <cellStyle name="Normal 19 2 2 3" xfId="23642"/>
    <cellStyle name="Normal 19 2 2 4" xfId="41544"/>
    <cellStyle name="Normal 19 2 3" xfId="23644"/>
    <cellStyle name="Normal 19 2 3 2" xfId="41389"/>
    <cellStyle name="Normal 19 2 4" xfId="23641"/>
    <cellStyle name="Normal 19 2 5" xfId="41029"/>
    <cellStyle name="Normal 19 3" xfId="1469"/>
    <cellStyle name="Normal 19 3 2" xfId="5766"/>
    <cellStyle name="Normal 19 3 3" xfId="8092"/>
    <cellStyle name="Normal 19 3 4" xfId="23645"/>
    <cellStyle name="Normal 19 3 5" xfId="41116"/>
    <cellStyle name="Normal 19 4" xfId="1470"/>
    <cellStyle name="Normal 19 4 2" xfId="23646"/>
    <cellStyle name="Normal 19 4 3" xfId="41234"/>
    <cellStyle name="Normal 19 5" xfId="1471"/>
    <cellStyle name="Normal 19 5 2" xfId="41543"/>
    <cellStyle name="Normal 19 6" xfId="1472"/>
    <cellStyle name="Normal 19 6 2" xfId="41330"/>
    <cellStyle name="Normal 19 7" xfId="2774"/>
    <cellStyle name="Normal 19 7 2" xfId="41028"/>
    <cellStyle name="Normal 19 8" xfId="5764"/>
    <cellStyle name="Normal 19 8 2" xfId="40913"/>
    <cellStyle name="Normal 19 9" xfId="42301"/>
    <cellStyle name="Normal 19 9 2" xfId="43221"/>
    <cellStyle name="Normal 19 9 2 2" xfId="45070"/>
    <cellStyle name="Normal 19 9 3" xfId="44163"/>
    <cellStyle name="Normal 190" xfId="5767"/>
    <cellStyle name="Normal 191" xfId="7788"/>
    <cellStyle name="Normal 192" xfId="7874"/>
    <cellStyle name="Normal 193" xfId="7877"/>
    <cellStyle name="Normal 194" xfId="5391"/>
    <cellStyle name="Normal 195" xfId="7879"/>
    <cellStyle name="Normal 196" xfId="8479"/>
    <cellStyle name="Normal 197" xfId="8489"/>
    <cellStyle name="Normal 198" xfId="40377"/>
    <cellStyle name="Normal 199" xfId="40378"/>
    <cellStyle name="Normal 2" xfId="19"/>
    <cellStyle name="Normal 2 10" xfId="1474"/>
    <cellStyle name="Normal 2 10 2" xfId="1475"/>
    <cellStyle name="Normal 2 10 2 2" xfId="42218"/>
    <cellStyle name="Normal 2 10 3" xfId="3167"/>
    <cellStyle name="Normal 2 10 4" xfId="41030"/>
    <cellStyle name="Normal 2 11" xfId="1476"/>
    <cellStyle name="Normal 2 11 10" xfId="23648"/>
    <cellStyle name="Normal 2 11 11" xfId="23649"/>
    <cellStyle name="Normal 2 11 12" xfId="23647"/>
    <cellStyle name="Normal 2 11 13" xfId="41031"/>
    <cellStyle name="Normal 2 11 2" xfId="1477"/>
    <cellStyle name="Normal 2 11 2 2" xfId="23651"/>
    <cellStyle name="Normal 2 11 2 2 2" xfId="23652"/>
    <cellStyle name="Normal 2 11 2 2 2 2" xfId="23653"/>
    <cellStyle name="Normal 2 11 2 2 2 2 2" xfId="23654"/>
    <cellStyle name="Normal 2 11 2 2 2 3" xfId="23655"/>
    <cellStyle name="Normal 2 11 2 2 3" xfId="23656"/>
    <cellStyle name="Normal 2 11 2 2 3 2" xfId="23657"/>
    <cellStyle name="Normal 2 11 2 2 4" xfId="23658"/>
    <cellStyle name="Normal 2 11 2 2 5" xfId="23659"/>
    <cellStyle name="Normal 2 11 2 3" xfId="23660"/>
    <cellStyle name="Normal 2 11 2 3 2" xfId="23661"/>
    <cellStyle name="Normal 2 11 2 3 2 2" xfId="23662"/>
    <cellStyle name="Normal 2 11 2 3 2 2 2" xfId="23663"/>
    <cellStyle name="Normal 2 11 2 3 2 3" xfId="23664"/>
    <cellStyle name="Normal 2 11 2 3 3" xfId="23665"/>
    <cellStyle name="Normal 2 11 2 3 3 2" xfId="23666"/>
    <cellStyle name="Normal 2 11 2 3 4" xfId="23667"/>
    <cellStyle name="Normal 2 11 2 4" xfId="23668"/>
    <cellStyle name="Normal 2 11 2 4 2" xfId="23669"/>
    <cellStyle name="Normal 2 11 2 4 2 2" xfId="23670"/>
    <cellStyle name="Normal 2 11 2 4 3" xfId="23671"/>
    <cellStyle name="Normal 2 11 2 5" xfId="23672"/>
    <cellStyle name="Normal 2 11 2 5 2" xfId="23673"/>
    <cellStyle name="Normal 2 11 2 5 2 2" xfId="23674"/>
    <cellStyle name="Normal 2 11 2 5 3" xfId="23675"/>
    <cellStyle name="Normal 2 11 2 6" xfId="23676"/>
    <cellStyle name="Normal 2 11 2 6 2" xfId="23677"/>
    <cellStyle name="Normal 2 11 2 7" xfId="23678"/>
    <cellStyle name="Normal 2 11 2 7 2" xfId="23679"/>
    <cellStyle name="Normal 2 11 2 8" xfId="23680"/>
    <cellStyle name="Normal 2 11 2 9" xfId="23650"/>
    <cellStyle name="Normal 2 11 3" xfId="1478"/>
    <cellStyle name="Normal 2 11 3 2" xfId="23682"/>
    <cellStyle name="Normal 2 11 3 2 2" xfId="23683"/>
    <cellStyle name="Normal 2 11 3 2 2 2" xfId="23684"/>
    <cellStyle name="Normal 2 11 3 2 2 2 2" xfId="23685"/>
    <cellStyle name="Normal 2 11 3 2 2 3" xfId="23686"/>
    <cellStyle name="Normal 2 11 3 2 3" xfId="23687"/>
    <cellStyle name="Normal 2 11 3 2 3 2" xfId="23688"/>
    <cellStyle name="Normal 2 11 3 2 4" xfId="23689"/>
    <cellStyle name="Normal 2 11 3 2 5" xfId="23690"/>
    <cellStyle name="Normal 2 11 3 3" xfId="23691"/>
    <cellStyle name="Normal 2 11 3 3 2" xfId="23692"/>
    <cellStyle name="Normal 2 11 3 3 2 2" xfId="23693"/>
    <cellStyle name="Normal 2 11 3 3 2 2 2" xfId="23694"/>
    <cellStyle name="Normal 2 11 3 3 2 3" xfId="23695"/>
    <cellStyle name="Normal 2 11 3 3 3" xfId="23696"/>
    <cellStyle name="Normal 2 11 3 3 3 2" xfId="23697"/>
    <cellStyle name="Normal 2 11 3 3 4" xfId="23698"/>
    <cellStyle name="Normal 2 11 3 4" xfId="23699"/>
    <cellStyle name="Normal 2 11 3 4 2" xfId="23700"/>
    <cellStyle name="Normal 2 11 3 4 2 2" xfId="23701"/>
    <cellStyle name="Normal 2 11 3 4 3" xfId="23702"/>
    <cellStyle name="Normal 2 11 3 5" xfId="23703"/>
    <cellStyle name="Normal 2 11 3 5 2" xfId="23704"/>
    <cellStyle name="Normal 2 11 3 5 2 2" xfId="23705"/>
    <cellStyle name="Normal 2 11 3 5 3" xfId="23706"/>
    <cellStyle name="Normal 2 11 3 6" xfId="23707"/>
    <cellStyle name="Normal 2 11 3 6 2" xfId="23708"/>
    <cellStyle name="Normal 2 11 3 7" xfId="23709"/>
    <cellStyle name="Normal 2 11 3 8" xfId="23710"/>
    <cellStyle name="Normal 2 11 3 9" xfId="23681"/>
    <cellStyle name="Normal 2 11 4" xfId="5768"/>
    <cellStyle name="Normal 2 11 4 2" xfId="23712"/>
    <cellStyle name="Normal 2 11 4 2 2" xfId="23713"/>
    <cellStyle name="Normal 2 11 4 2 2 2" xfId="23714"/>
    <cellStyle name="Normal 2 11 4 2 2 2 2" xfId="23715"/>
    <cellStyle name="Normal 2 11 4 2 2 3" xfId="23716"/>
    <cellStyle name="Normal 2 11 4 2 3" xfId="23717"/>
    <cellStyle name="Normal 2 11 4 2 3 2" xfId="23718"/>
    <cellStyle name="Normal 2 11 4 2 4" xfId="23719"/>
    <cellStyle name="Normal 2 11 4 2 5" xfId="23720"/>
    <cellStyle name="Normal 2 11 4 3" xfId="23721"/>
    <cellStyle name="Normal 2 11 4 3 2" xfId="23722"/>
    <cellStyle name="Normal 2 11 4 3 2 2" xfId="23723"/>
    <cellStyle name="Normal 2 11 4 3 2 2 2" xfId="23724"/>
    <cellStyle name="Normal 2 11 4 3 2 3" xfId="23725"/>
    <cellStyle name="Normal 2 11 4 3 3" xfId="23726"/>
    <cellStyle name="Normal 2 11 4 3 3 2" xfId="23727"/>
    <cellStyle name="Normal 2 11 4 3 4" xfId="23728"/>
    <cellStyle name="Normal 2 11 4 4" xfId="23729"/>
    <cellStyle name="Normal 2 11 4 4 2" xfId="23730"/>
    <cellStyle name="Normal 2 11 4 4 2 2" xfId="23731"/>
    <cellStyle name="Normal 2 11 4 4 3" xfId="23732"/>
    <cellStyle name="Normal 2 11 4 5" xfId="23733"/>
    <cellStyle name="Normal 2 11 4 5 2" xfId="23734"/>
    <cellStyle name="Normal 2 11 4 5 2 2" xfId="23735"/>
    <cellStyle name="Normal 2 11 4 5 3" xfId="23736"/>
    <cellStyle name="Normal 2 11 4 6" xfId="23737"/>
    <cellStyle name="Normal 2 11 4 6 2" xfId="23738"/>
    <cellStyle name="Normal 2 11 4 7" xfId="23739"/>
    <cellStyle name="Normal 2 11 4 8" xfId="23740"/>
    <cellStyle name="Normal 2 11 4 9" xfId="23711"/>
    <cellStyle name="Normal 2 11 5" xfId="23741"/>
    <cellStyle name="Normal 2 11 5 2" xfId="23742"/>
    <cellStyle name="Normal 2 11 5 2 2" xfId="23743"/>
    <cellStyle name="Normal 2 11 5 2 2 2" xfId="23744"/>
    <cellStyle name="Normal 2 11 5 2 2 2 2" xfId="23745"/>
    <cellStyle name="Normal 2 11 5 2 2 3" xfId="23746"/>
    <cellStyle name="Normal 2 11 5 2 3" xfId="23747"/>
    <cellStyle name="Normal 2 11 5 2 3 2" xfId="23748"/>
    <cellStyle name="Normal 2 11 5 2 4" xfId="23749"/>
    <cellStyle name="Normal 2 11 5 3" xfId="23750"/>
    <cellStyle name="Normal 2 11 5 3 2" xfId="23751"/>
    <cellStyle name="Normal 2 11 5 3 2 2" xfId="23752"/>
    <cellStyle name="Normal 2 11 5 3 3" xfId="23753"/>
    <cellStyle name="Normal 2 11 5 4" xfId="23754"/>
    <cellStyle name="Normal 2 11 5 4 2" xfId="23755"/>
    <cellStyle name="Normal 2 11 5 4 2 2" xfId="23756"/>
    <cellStyle name="Normal 2 11 5 4 3" xfId="23757"/>
    <cellStyle name="Normal 2 11 5 5" xfId="23758"/>
    <cellStyle name="Normal 2 11 5 5 2" xfId="23759"/>
    <cellStyle name="Normal 2 11 5 6" xfId="23760"/>
    <cellStyle name="Normal 2 11 5 7" xfId="23761"/>
    <cellStyle name="Normal 2 11 6" xfId="23762"/>
    <cellStyle name="Normal 2 11 6 2" xfId="23763"/>
    <cellStyle name="Normal 2 11 6 2 2" xfId="23764"/>
    <cellStyle name="Normal 2 11 6 2 2 2" xfId="23765"/>
    <cellStyle name="Normal 2 11 6 2 3" xfId="23766"/>
    <cellStyle name="Normal 2 11 6 3" xfId="23767"/>
    <cellStyle name="Normal 2 11 6 3 2" xfId="23768"/>
    <cellStyle name="Normal 2 11 6 4" xfId="23769"/>
    <cellStyle name="Normal 2 11 6 5" xfId="23770"/>
    <cellStyle name="Normal 2 11 7" xfId="23771"/>
    <cellStyle name="Normal 2 11 7 2" xfId="23772"/>
    <cellStyle name="Normal 2 11 7 2 2" xfId="23773"/>
    <cellStyle name="Normal 2 11 7 3" xfId="23774"/>
    <cellStyle name="Normal 2 11 8" xfId="23775"/>
    <cellStyle name="Normal 2 11 8 2" xfId="23776"/>
    <cellStyle name="Normal 2 11 8 2 2" xfId="23777"/>
    <cellStyle name="Normal 2 11 8 3" xfId="23778"/>
    <cellStyle name="Normal 2 11 9" xfId="23779"/>
    <cellStyle name="Normal 2 11 9 2" xfId="23780"/>
    <cellStyle name="Normal 2 12" xfId="1479"/>
    <cellStyle name="Normal 2 12 2" xfId="23782"/>
    <cellStyle name="Normal 2 12 3" xfId="23781"/>
    <cellStyle name="Normal 2 12 4" xfId="41190"/>
    <cellStyle name="Normal 2 13" xfId="1480"/>
    <cellStyle name="Normal 2 13 2" xfId="42662"/>
    <cellStyle name="Normal 2 13 3" xfId="41545"/>
    <cellStyle name="Normal 2 14" xfId="1481"/>
    <cellStyle name="Normal 2 14 2" xfId="40677"/>
    <cellStyle name="Normal 2 15" xfId="1482"/>
    <cellStyle name="Normal 2 15 2" xfId="42219"/>
    <cellStyle name="Normal 2 16" xfId="1483"/>
    <cellStyle name="Normal 2 16 2" xfId="42220"/>
    <cellStyle name="Normal 2 17" xfId="1484"/>
    <cellStyle name="Normal 2 17 2" xfId="42221"/>
    <cellStyle name="Normal 2 18" xfId="1485"/>
    <cellStyle name="Normal 2 18 2" xfId="42222"/>
    <cellStyle name="Normal 2 18 2 10" xfId="43517"/>
    <cellStyle name="Normal 2 19" xfId="1486"/>
    <cellStyle name="Normal 2 19 2" xfId="42223"/>
    <cellStyle name="Normal 2 2" xfId="28"/>
    <cellStyle name="Normal 2 2 10" xfId="1488"/>
    <cellStyle name="Normal 2 2 10 2" xfId="42668"/>
    <cellStyle name="Normal 2 2 11" xfId="1489"/>
    <cellStyle name="Normal 2 2 11 2" xfId="43409"/>
    <cellStyle name="Normal 2 2 12" xfId="1490"/>
    <cellStyle name="Normal 2 2 13" xfId="1491"/>
    <cellStyle name="Normal 2 2 14" xfId="1492"/>
    <cellStyle name="Normal 2 2 15" xfId="1493"/>
    <cellStyle name="Normal 2 2 16" xfId="1494"/>
    <cellStyle name="Normal 2 2 17" xfId="1495"/>
    <cellStyle name="Normal 2 2 18" xfId="1496"/>
    <cellStyle name="Normal 2 2 19" xfId="1497"/>
    <cellStyle name="Normal 2 2 2" xfId="30"/>
    <cellStyle name="Normal 2 2 2 10" xfId="43525"/>
    <cellStyle name="Normal 2 2 2 11" xfId="40468"/>
    <cellStyle name="Normal 2 2 2 2" xfId="1499"/>
    <cellStyle name="Normal 2 2 2 2 10" xfId="40469"/>
    <cellStyle name="Normal 2 2 2 2 2" xfId="1500"/>
    <cellStyle name="Normal 2 2 2 2 2 2" xfId="5770"/>
    <cellStyle name="Normal 2 2 2 2 2 2 2" xfId="42224"/>
    <cellStyle name="Normal 2 2 2 2 2 3" xfId="40974"/>
    <cellStyle name="Normal 2 2 2 2 2_if consolidated 9-1" xfId="42225"/>
    <cellStyle name="Normal 2 2 2 2 3" xfId="2775"/>
    <cellStyle name="Normal 2 2 2 2 3 2" xfId="41852"/>
    <cellStyle name="Normal 2 2 2 2 4" xfId="7856"/>
    <cellStyle name="Normal 2 2 2 2 4 2" xfId="42226"/>
    <cellStyle name="Normal 2 2 2 2 4 3" xfId="42227"/>
    <cellStyle name="Normal 2 2 2 2 4 4" xfId="40770"/>
    <cellStyle name="Normal 2 2 2 2 5" xfId="5769"/>
    <cellStyle name="Normal 2 2 2 2 5 2" xfId="42228"/>
    <cellStyle name="Normal 2 2 2 2 6" xfId="43492"/>
    <cellStyle name="Normal 2 2 2 2 7" xfId="43526"/>
    <cellStyle name="Normal 2 2 2 2 8" xfId="43460"/>
    <cellStyle name="Normal 2 2 2 2 9" xfId="43531"/>
    <cellStyle name="Normal 2 2 2 2_if consolidated 9-1" xfId="42229"/>
    <cellStyle name="Normal 2 2 2 3" xfId="1501"/>
    <cellStyle name="Normal 2 2 2 3 2" xfId="5771"/>
    <cellStyle name="Normal 2 2 2 3 2 2" xfId="42230"/>
    <cellStyle name="Normal 2 2 2 3 3" xfId="5772"/>
    <cellStyle name="Normal 2 2 2 3 4" xfId="5773"/>
    <cellStyle name="Normal 2 2 2 3 5" xfId="40771"/>
    <cellStyle name="Normal 2 2 2 4" xfId="1502"/>
    <cellStyle name="Normal 2 2 2 4 2" xfId="5774"/>
    <cellStyle name="Normal 2 2 2 4 2 2" xfId="23784"/>
    <cellStyle name="Normal 2 2 2 4 3" xfId="23785"/>
    <cellStyle name="Normal 2 2 2 4 4" xfId="23783"/>
    <cellStyle name="Normal 2 2 2 4 5" xfId="41851"/>
    <cellStyle name="Normal 2 2 2 5" xfId="5775"/>
    <cellStyle name="Normal 2 2 2 5 2" xfId="42231"/>
    <cellStyle name="Normal 2 2 2 6" xfId="23786"/>
    <cellStyle name="Normal 2 2 2 6 2" xfId="42232"/>
    <cellStyle name="Normal 2 2 2 7" xfId="42233"/>
    <cellStyle name="Normal 2 2 2 8" xfId="43410"/>
    <cellStyle name="Normal 2 2 2 9" xfId="43491"/>
    <cellStyle name="Normal 2 2 2_5.2" xfId="5776"/>
    <cellStyle name="Normal 2 2 20" xfId="1503"/>
    <cellStyle name="Normal 2 2 21" xfId="1504"/>
    <cellStyle name="Normal 2 2 22" xfId="1505"/>
    <cellStyle name="Normal 2 2 23" xfId="1506"/>
    <cellStyle name="Normal 2 2 24" xfId="1507"/>
    <cellStyle name="Normal 2 2 25" xfId="1508"/>
    <cellStyle name="Normal 2 2 26" xfId="1509"/>
    <cellStyle name="Normal 2 2 27" xfId="1510"/>
    <cellStyle name="Normal 2 2 28" xfId="1511"/>
    <cellStyle name="Normal 2 2 29" xfId="1512"/>
    <cellStyle name="Normal 2 2 3" xfId="61"/>
    <cellStyle name="Normal 2 2 3 2" xfId="1514"/>
    <cellStyle name="Normal 2 2 3 2 2" xfId="1515"/>
    <cellStyle name="Normal 2 2 3 2 3" xfId="5777"/>
    <cellStyle name="Normal 2 2 3 3" xfId="1516"/>
    <cellStyle name="Normal 2 2 3 3 2" xfId="5778"/>
    <cellStyle name="Normal 2 2 3 3 3" xfId="23787"/>
    <cellStyle name="Normal 2 2 3 4" xfId="1517"/>
    <cellStyle name="Normal 2 2 3 4 2" xfId="5779"/>
    <cellStyle name="Normal 2 2 3 4 2 2" xfId="23789"/>
    <cellStyle name="Normal 2 2 3 4 3" xfId="23790"/>
    <cellStyle name="Normal 2 2 3 4 4" xfId="23788"/>
    <cellStyle name="Normal 2 2 3 5" xfId="1513"/>
    <cellStyle name="Normal 2 2 3 5 2" xfId="23791"/>
    <cellStyle name="Normal 2 2 3 6" xfId="5780"/>
    <cellStyle name="Normal 2 2 3 7" xfId="5781"/>
    <cellStyle name="Normal 2 2 3 8" xfId="40518"/>
    <cellStyle name="Normal 2 2 3_5.2" xfId="5782"/>
    <cellStyle name="Normal 2 2 30" xfId="1518"/>
    <cellStyle name="Normal 2 2 31" xfId="1519"/>
    <cellStyle name="Normal 2 2 32" xfId="1520"/>
    <cellStyle name="Normal 2 2 32 2" xfId="1521"/>
    <cellStyle name="Normal 2 2 33" xfId="1522"/>
    <cellStyle name="Normal 2 2 33 2" xfId="1523"/>
    <cellStyle name="Normal 2 2 34" xfId="1524"/>
    <cellStyle name="Normal 2 2 35" xfId="1525"/>
    <cellStyle name="Normal 2 2 36" xfId="1526"/>
    <cellStyle name="Normal 2 2 37" xfId="1527"/>
    <cellStyle name="Normal 2 2 38" xfId="1528"/>
    <cellStyle name="Normal 2 2 39" xfId="1529"/>
    <cellStyle name="Normal 2 2 4" xfId="1530"/>
    <cellStyle name="Normal 2 2 4 2" xfId="1531"/>
    <cellStyle name="Normal 2 2 4 2 2" xfId="5783"/>
    <cellStyle name="Normal 2 2 4 3" xfId="1532"/>
    <cellStyle name="Normal 2 2 4 3 2" xfId="7850"/>
    <cellStyle name="Normal 2 2 4 4" xfId="1533"/>
    <cellStyle name="Normal 2 2 4 5" xfId="1534"/>
    <cellStyle name="Normal 2 2 4 6" xfId="40772"/>
    <cellStyle name="Normal 2 2 40" xfId="1535"/>
    <cellStyle name="Normal 2 2 41" xfId="1536"/>
    <cellStyle name="Normal 2 2 42" xfId="1537"/>
    <cellStyle name="Normal 2 2 43" xfId="1538"/>
    <cellStyle name="Normal 2 2 44" xfId="1539"/>
    <cellStyle name="Normal 2 2 45" xfId="3633"/>
    <cellStyle name="Normal 2 2 46" xfId="40467"/>
    <cellStyle name="Normal 2 2 5" xfId="1540"/>
    <cellStyle name="Normal 2 2 5 2" xfId="1541"/>
    <cellStyle name="Normal 2 2 5 2 2" xfId="41191"/>
    <cellStyle name="Normal 2 2 5 3" xfId="5784"/>
    <cellStyle name="Normal 2 2 5 3 2" xfId="41850"/>
    <cellStyle name="Normal 2 2 5 4" xfId="23792"/>
    <cellStyle name="Normal 2 2 5 5" xfId="40769"/>
    <cellStyle name="Normal 2 2 6" xfId="1542"/>
    <cellStyle name="Normal 2 2 6 2" xfId="1543"/>
    <cellStyle name="Normal 2 2 7" xfId="1544"/>
    <cellStyle name="Normal 2 2 7 2" xfId="42661"/>
    <cellStyle name="Normal 2 2 8" xfId="1545"/>
    <cellStyle name="Normal 2 2 8 2" xfId="42664"/>
    <cellStyle name="Normal 2 2 9" xfId="1546"/>
    <cellStyle name="Normal 2 2 9 2" xfId="42666"/>
    <cellStyle name="Normal 2 2__Form 35" xfId="42234"/>
    <cellStyle name="Normal 2 20" xfId="1547"/>
    <cellStyle name="Normal 2 20 2" xfId="43408"/>
    <cellStyle name="Normal 2 21" xfId="1548"/>
    <cellStyle name="Normal 2 22" xfId="1549"/>
    <cellStyle name="Normal 2 22 10" xfId="23793"/>
    <cellStyle name="Normal 2 22 2" xfId="5785"/>
    <cellStyle name="Normal 2 22 2 2" xfId="5786"/>
    <cellStyle name="Normal 2 22 2 2 2" xfId="3627"/>
    <cellStyle name="Normal 2 22 2 2 2 2" xfId="7785"/>
    <cellStyle name="Normal 2 22 2 2 2 3" xfId="7864"/>
    <cellStyle name="Normal 2 22 2 3" xfId="7863"/>
    <cellStyle name="Normal 2 22 2 4" xfId="23794"/>
    <cellStyle name="Normal 2 22 3" xfId="5787"/>
    <cellStyle name="Normal 2 22 3 2" xfId="23795"/>
    <cellStyle name="Normal 2 22 4" xfId="5788"/>
    <cellStyle name="Normal 2 22 5" xfId="3628"/>
    <cellStyle name="Normal 2 22 5 2" xfId="7786"/>
    <cellStyle name="Normal 2 22 5 3" xfId="7865"/>
    <cellStyle name="Normal 2 22 6" xfId="7784"/>
    <cellStyle name="Normal 2 22 7" xfId="7851"/>
    <cellStyle name="Normal 2 22 8" xfId="7878"/>
    <cellStyle name="Normal 2 22 9" xfId="3626"/>
    <cellStyle name="Normal 2 23" xfId="1550"/>
    <cellStyle name="Normal 2 23 2" xfId="23797"/>
    <cellStyle name="Normal 2 23 3" xfId="23798"/>
    <cellStyle name="Normal 2 23 4" xfId="23796"/>
    <cellStyle name="Normal 2 24" xfId="1551"/>
    <cellStyle name="Normal 2 24 2" xfId="23799"/>
    <cellStyle name="Normal 2 25" xfId="1552"/>
    <cellStyle name="Normal 2 25 2" xfId="23800"/>
    <cellStyle name="Normal 2 26" xfId="1553"/>
    <cellStyle name="Normal 2 26 2" xfId="40362"/>
    <cellStyle name="Normal 2 27" xfId="1554"/>
    <cellStyle name="Normal 2 27 2" xfId="40363"/>
    <cellStyle name="Normal 2 28" xfId="1555"/>
    <cellStyle name="Normal 2 28 2" xfId="40366"/>
    <cellStyle name="Normal 2 29" xfId="1556"/>
    <cellStyle name="Normal 2 3" xfId="36"/>
    <cellStyle name="Normal 2 3 10" xfId="40470"/>
    <cellStyle name="Normal 2 3 2" xfId="1558"/>
    <cellStyle name="Normal 2 3 2 2" xfId="1559"/>
    <cellStyle name="Normal 2 3 2 2 2" xfId="23802"/>
    <cellStyle name="Normal 2 3 2 2 3" xfId="23801"/>
    <cellStyle name="Normal 2 3 2 2 4" xfId="41336"/>
    <cellStyle name="Normal 2 3 2 3" xfId="1560"/>
    <cellStyle name="Normal 2 3 2 3 2" xfId="23804"/>
    <cellStyle name="Normal 2 3 2 3 3" xfId="23803"/>
    <cellStyle name="Normal 2 3 2 3 4" xfId="41854"/>
    <cellStyle name="Normal 2 3 2 4" xfId="23805"/>
    <cellStyle name="Normal 2 3 2 5" xfId="23806"/>
    <cellStyle name="Normal 2 3 2 6" xfId="40774"/>
    <cellStyle name="Normal 2 3 3" xfId="1561"/>
    <cellStyle name="Normal 2 3 3 2" xfId="1562"/>
    <cellStyle name="Normal 2 3 3 2 2" xfId="23809"/>
    <cellStyle name="Normal 2 3 3 2 3" xfId="23808"/>
    <cellStyle name="Normal 2 3 3 3" xfId="23807"/>
    <cellStyle name="Normal 2 3 3 4" xfId="41853"/>
    <cellStyle name="Normal 2 3 4" xfId="1563"/>
    <cellStyle name="Normal 2 3 4 2" xfId="23810"/>
    <cellStyle name="Normal 2 3 4 3" xfId="40773"/>
    <cellStyle name="Normal 2 3 5" xfId="1564"/>
    <cellStyle name="Normal 2 3 5 2" xfId="23811"/>
    <cellStyle name="Normal 2 3 6" xfId="1565"/>
    <cellStyle name="Normal 2 3 7" xfId="2451"/>
    <cellStyle name="Normal 2 3 8" xfId="1557"/>
    <cellStyle name="Normal 2 3 9" xfId="8492"/>
    <cellStyle name="Normal 2 3_5.2" xfId="5789"/>
    <cellStyle name="Normal 2 30" xfId="1566"/>
    <cellStyle name="Normal 2 31" xfId="1567"/>
    <cellStyle name="Normal 2 32" xfId="1568"/>
    <cellStyle name="Normal 2 33" xfId="1569"/>
    <cellStyle name="Normal 2 34" xfId="1570"/>
    <cellStyle name="Normal 2 35" xfId="1571"/>
    <cellStyle name="Normal 2 36" xfId="1572"/>
    <cellStyle name="Normal 2 37" xfId="1573"/>
    <cellStyle name="Normal 2 38" xfId="1574"/>
    <cellStyle name="Normal 2 39" xfId="1575"/>
    <cellStyle name="Normal 2 4" xfId="62"/>
    <cellStyle name="Normal 2 4 2" xfId="1577"/>
    <cellStyle name="Normal 2 4 2 2" xfId="1578"/>
    <cellStyle name="Normal 2 4 2 2 2" xfId="42645"/>
    <cellStyle name="Normal 2 4 2 2 2 2" xfId="43223"/>
    <cellStyle name="Normal 2 4 2 2 2 2 2" xfId="45072"/>
    <cellStyle name="Normal 2 4 2 2 2 3" xfId="44506"/>
    <cellStyle name="Normal 2 4 2 2 3" xfId="43222"/>
    <cellStyle name="Normal 2 4 2 2 3 2" xfId="45071"/>
    <cellStyle name="Normal 2 4 2 2 4" xfId="44134"/>
    <cellStyle name="Normal 2 4 2 2 5" xfId="42235"/>
    <cellStyle name="Normal 2 4 2 3" xfId="1579"/>
    <cellStyle name="Normal 2 4 2 4" xfId="40776"/>
    <cellStyle name="Normal 2 4 3" xfId="1580"/>
    <cellStyle name="Normal 2 4 3 2" xfId="1581"/>
    <cellStyle name="Normal 2 4 3 2 2" xfId="23812"/>
    <cellStyle name="Normal 2 4 3 2 2 2" xfId="42647"/>
    <cellStyle name="Normal 2 4 3 2 2 2 2" xfId="43226"/>
    <cellStyle name="Normal 2 4 3 2 2 2 2 2" xfId="45075"/>
    <cellStyle name="Normal 2 4 3 2 2 2 3" xfId="44508"/>
    <cellStyle name="Normal 2 4 3 2 2 3" xfId="43225"/>
    <cellStyle name="Normal 2 4 3 2 2 3 2" xfId="45074"/>
    <cellStyle name="Normal 2 4 3 2 2 4" xfId="44136"/>
    <cellStyle name="Normal 2 4 3 2 2 5" xfId="42237"/>
    <cellStyle name="Normal 2 4 3 2 3" xfId="42646"/>
    <cellStyle name="Normal 2 4 3 2 3 2" xfId="43227"/>
    <cellStyle name="Normal 2 4 3 2 3 2 2" xfId="45076"/>
    <cellStyle name="Normal 2 4 3 2 3 3" xfId="44507"/>
    <cellStyle name="Normal 2 4 3 2 4" xfId="43224"/>
    <cellStyle name="Normal 2 4 3 2 4 2" xfId="45073"/>
    <cellStyle name="Normal 2 4 3 2 5" xfId="44135"/>
    <cellStyle name="Normal 2 4 3 2 6" xfId="42236"/>
    <cellStyle name="Normal 2 4 3 3" xfId="23813"/>
    <cellStyle name="Normal 2 4 3 4" xfId="41192"/>
    <cellStyle name="Normal 2 4 4" xfId="1582"/>
    <cellStyle name="Normal 2 4 4 2" xfId="5792"/>
    <cellStyle name="Normal 2 4 4 2 2" xfId="23815"/>
    <cellStyle name="Normal 2 4 4 2 2 2" xfId="43229"/>
    <cellStyle name="Normal 2 4 4 2 2 2 2" xfId="45078"/>
    <cellStyle name="Normal 2 4 4 2 2 3" xfId="44509"/>
    <cellStyle name="Normal 2 4 4 2 2 4" xfId="42648"/>
    <cellStyle name="Normal 2 4 4 2 3" xfId="43228"/>
    <cellStyle name="Normal 2 4 4 2 3 2" xfId="45077"/>
    <cellStyle name="Normal 2 4 4 2 4" xfId="44137"/>
    <cellStyle name="Normal 2 4 4 2 5" xfId="42238"/>
    <cellStyle name="Normal 2 4 4 3" xfId="5791"/>
    <cellStyle name="Normal 2 4 4 3 2" xfId="23816"/>
    <cellStyle name="Normal 2 4 4 4" xfId="23814"/>
    <cellStyle name="Normal 2 4 4 5" xfId="41855"/>
    <cellStyle name="Normal 2 4 5" xfId="1583"/>
    <cellStyle name="Normal 2 4 5 2" xfId="1584"/>
    <cellStyle name="Normal 2 4 5 2 2" xfId="5794"/>
    <cellStyle name="Normal 2 4 5 3" xfId="5793"/>
    <cellStyle name="Normal 2 4 5 4" xfId="23817"/>
    <cellStyle name="Normal 2 4 5 5" xfId="40775"/>
    <cellStyle name="Normal 2 4 6" xfId="1585"/>
    <cellStyle name="Normal 2 4 6 2" xfId="43493"/>
    <cellStyle name="Normal 2 4 7" xfId="1576"/>
    <cellStyle name="Normal 2 4 8" xfId="5790"/>
    <cellStyle name="Normal 2 4 9" xfId="40471"/>
    <cellStyle name="Normal 2 4_5.2" xfId="5795"/>
    <cellStyle name="Normal 2 40" xfId="1586"/>
    <cellStyle name="Normal 2 41" xfId="1587"/>
    <cellStyle name="Normal 2 42" xfId="1588"/>
    <cellStyle name="Normal 2 43" xfId="1589"/>
    <cellStyle name="Normal 2 44" xfId="1590"/>
    <cellStyle name="Normal 2 45" xfId="1591"/>
    <cellStyle name="Normal 2 46" xfId="1592"/>
    <cellStyle name="Normal 2 47" xfId="1593"/>
    <cellStyle name="Normal 2 48" xfId="1594"/>
    <cellStyle name="Normal 2 49" xfId="5796"/>
    <cellStyle name="Normal 2 5" xfId="1595"/>
    <cellStyle name="Normal 2 5 2" xfId="1596"/>
    <cellStyle name="Normal 2 5 2 2" xfId="1597"/>
    <cellStyle name="Normal 2 5 2 3" xfId="40778"/>
    <cellStyle name="Normal 2 5 3" xfId="1598"/>
    <cellStyle name="Normal 2 5 3 2" xfId="41856"/>
    <cellStyle name="Normal 2 5 4" xfId="40777"/>
    <cellStyle name="Normal 2 5 5" xfId="43494"/>
    <cellStyle name="Normal 2 5 6" xfId="40472"/>
    <cellStyle name="Normal 2 5_5.2" xfId="5797"/>
    <cellStyle name="Normal 2 50" xfId="5798"/>
    <cellStyle name="Normal 2 51" xfId="5799"/>
    <cellStyle name="Normal 2 52" xfId="5800"/>
    <cellStyle name="Normal 2 53" xfId="5801"/>
    <cellStyle name="Normal 2 54" xfId="5802"/>
    <cellStyle name="Normal 2 55" xfId="5803"/>
    <cellStyle name="Normal 2 56" xfId="5804"/>
    <cellStyle name="Normal 2 57" xfId="5805"/>
    <cellStyle name="Normal 2 58" xfId="5806"/>
    <cellStyle name="Normal 2 59" xfId="5807"/>
    <cellStyle name="Normal 2 6" xfId="1599"/>
    <cellStyle name="Normal 2 6 10" xfId="40369"/>
    <cellStyle name="Normal 2 6 11" xfId="40779"/>
    <cellStyle name="Normal 2 6 2" xfId="1600"/>
    <cellStyle name="Normal 2 6 2 2" xfId="1601"/>
    <cellStyle name="Normal 2 6 2 3" xfId="5809"/>
    <cellStyle name="Normal 2 6 2 4" xfId="41378"/>
    <cellStyle name="Normal 2 6 3" xfId="1602"/>
    <cellStyle name="Normal 2 6 3 2" xfId="23818"/>
    <cellStyle name="Normal 2 6 3 2 2" xfId="23819"/>
    <cellStyle name="Normal 2 6 3 2 2 2" xfId="23820"/>
    <cellStyle name="Normal 2 6 3 2 2 2 2" xfId="23821"/>
    <cellStyle name="Normal 2 6 3 2 2 3" xfId="23822"/>
    <cellStyle name="Normal 2 6 3 2 3" xfId="23823"/>
    <cellStyle name="Normal 2 6 3 2 3 2" xfId="23824"/>
    <cellStyle name="Normal 2 6 3 2 4" xfId="23825"/>
    <cellStyle name="Normal 2 6 3 2 5" xfId="23826"/>
    <cellStyle name="Normal 2 6 3 3" xfId="23827"/>
    <cellStyle name="Normal 2 6 3 3 2" xfId="23828"/>
    <cellStyle name="Normal 2 6 3 3 2 2" xfId="23829"/>
    <cellStyle name="Normal 2 6 3 3 2 2 2" xfId="23830"/>
    <cellStyle name="Normal 2 6 3 3 2 3" xfId="23831"/>
    <cellStyle name="Normal 2 6 3 3 3" xfId="23832"/>
    <cellStyle name="Normal 2 6 3 3 3 2" xfId="23833"/>
    <cellStyle name="Normal 2 6 3 3 4" xfId="23834"/>
    <cellStyle name="Normal 2 6 3 4" xfId="23835"/>
    <cellStyle name="Normal 2 6 3 4 2" xfId="23836"/>
    <cellStyle name="Normal 2 6 3 4 2 2" xfId="23837"/>
    <cellStyle name="Normal 2 6 3 4 3" xfId="23838"/>
    <cellStyle name="Normal 2 6 3 5" xfId="23839"/>
    <cellStyle name="Normal 2 6 3 5 2" xfId="23840"/>
    <cellStyle name="Normal 2 6 3 5 2 2" xfId="23841"/>
    <cellStyle name="Normal 2 6 3 5 3" xfId="23842"/>
    <cellStyle name="Normal 2 6 3 6" xfId="23843"/>
    <cellStyle name="Normal 2 6 3 6 2" xfId="23844"/>
    <cellStyle name="Normal 2 6 3 6 2 2" xfId="23845"/>
    <cellStyle name="Normal 2 6 3 6 3" xfId="23846"/>
    <cellStyle name="Normal 2 6 3 7" xfId="23847"/>
    <cellStyle name="Normal 2 6 3 7 2" xfId="23848"/>
    <cellStyle name="Normal 2 6 3 8" xfId="23849"/>
    <cellStyle name="Normal 2 6 3 9" xfId="41335"/>
    <cellStyle name="Normal 2 6 4" xfId="1603"/>
    <cellStyle name="Normal 2 6 4 2" xfId="5810"/>
    <cellStyle name="Normal 2 6 4 2 2" xfId="23851"/>
    <cellStyle name="Normal 2 6 4 3" xfId="23852"/>
    <cellStyle name="Normal 2 6 4 4" xfId="23850"/>
    <cellStyle name="Normal 2 6 5" xfId="1604"/>
    <cellStyle name="Normal 2 6 5 2" xfId="5811"/>
    <cellStyle name="Normal 2 6 5 3" xfId="23853"/>
    <cellStyle name="Normal 2 6 6" xfId="5812"/>
    <cellStyle name="Normal 2 6 7" xfId="5813"/>
    <cellStyle name="Normal 2 6 8" xfId="7818"/>
    <cellStyle name="Normal 2 6 9" xfId="5808"/>
    <cellStyle name="Normal 2 6_5.2" xfId="5814"/>
    <cellStyle name="Normal 2 60" xfId="5815"/>
    <cellStyle name="Normal 2 61" xfId="5816"/>
    <cellStyle name="Normal 2 62" xfId="5817"/>
    <cellStyle name="Normal 2 63" xfId="5818"/>
    <cellStyle name="Normal 2 64" xfId="5819"/>
    <cellStyle name="Normal 2 65" xfId="5820"/>
    <cellStyle name="Normal 2 66" xfId="5821"/>
    <cellStyle name="Normal 2 67" xfId="5822"/>
    <cellStyle name="Normal 2 68" xfId="5823"/>
    <cellStyle name="Normal 2 69" xfId="5824"/>
    <cellStyle name="Normal 2 7" xfId="1605"/>
    <cellStyle name="Normal 2 7 2" xfId="1606"/>
    <cellStyle name="Normal 2 7 2 10" xfId="23854"/>
    <cellStyle name="Normal 2 7 2 11" xfId="41099"/>
    <cellStyle name="Normal 2 7 2 2" xfId="1607"/>
    <cellStyle name="Normal 2 7 2 2 2" xfId="5826"/>
    <cellStyle name="Normal 2 7 2 2 2 2" xfId="5827"/>
    <cellStyle name="Normal 2 7 2 2 2 2 2" xfId="23858"/>
    <cellStyle name="Normal 2 7 2 2 2 2 2 2" xfId="23859"/>
    <cellStyle name="Normal 2 7 2 2 2 2 3" xfId="23860"/>
    <cellStyle name="Normal 2 7 2 2 2 2 4" xfId="23857"/>
    <cellStyle name="Normal 2 7 2 2 2 3" xfId="23861"/>
    <cellStyle name="Normal 2 7 2 2 2 3 2" xfId="23862"/>
    <cellStyle name="Normal 2 7 2 2 2 4" xfId="23863"/>
    <cellStyle name="Normal 2 7 2 2 2 5" xfId="23864"/>
    <cellStyle name="Normal 2 7 2 2 2 6" xfId="23856"/>
    <cellStyle name="Normal 2 7 2 2 3" xfId="5828"/>
    <cellStyle name="Normal 2 7 2 2 3 2" xfId="23866"/>
    <cellStyle name="Normal 2 7 2 2 3 2 2" xfId="23867"/>
    <cellStyle name="Normal 2 7 2 2 3 2 2 2" xfId="23868"/>
    <cellStyle name="Normal 2 7 2 2 3 2 3" xfId="23869"/>
    <cellStyle name="Normal 2 7 2 2 3 3" xfId="23870"/>
    <cellStyle name="Normal 2 7 2 2 3 3 2" xfId="23871"/>
    <cellStyle name="Normal 2 7 2 2 3 4" xfId="23872"/>
    <cellStyle name="Normal 2 7 2 2 3 5" xfId="23865"/>
    <cellStyle name="Normal 2 7 2 2 4" xfId="5829"/>
    <cellStyle name="Normal 2 7 2 2 4 2" xfId="23874"/>
    <cellStyle name="Normal 2 7 2 2 4 2 2" xfId="23875"/>
    <cellStyle name="Normal 2 7 2 2 4 3" xfId="23876"/>
    <cellStyle name="Normal 2 7 2 2 4 4" xfId="23873"/>
    <cellStyle name="Normal 2 7 2 2 5" xfId="5825"/>
    <cellStyle name="Normal 2 7 2 2 5 2" xfId="23878"/>
    <cellStyle name="Normal 2 7 2 2 5 2 2" xfId="23879"/>
    <cellStyle name="Normal 2 7 2 2 5 3" xfId="23880"/>
    <cellStyle name="Normal 2 7 2 2 5 4" xfId="23877"/>
    <cellStyle name="Normal 2 7 2 2 6" xfId="23881"/>
    <cellStyle name="Normal 2 7 2 2 6 2" xfId="23882"/>
    <cellStyle name="Normal 2 7 2 2 7" xfId="23883"/>
    <cellStyle name="Normal 2 7 2 2 8" xfId="23884"/>
    <cellStyle name="Normal 2 7 2 2 9" xfId="23855"/>
    <cellStyle name="Normal 2 7 2 3" xfId="5830"/>
    <cellStyle name="Normal 2 7 2 3 2" xfId="5831"/>
    <cellStyle name="Normal 2 7 2 3 2 2" xfId="5832"/>
    <cellStyle name="Normal 2 7 2 3 2 2 2" xfId="23888"/>
    <cellStyle name="Normal 2 7 2 3 2 2 2 2" xfId="23889"/>
    <cellStyle name="Normal 2 7 2 3 2 2 3" xfId="23890"/>
    <cellStyle name="Normal 2 7 2 3 2 2 4" xfId="23887"/>
    <cellStyle name="Normal 2 7 2 3 2 3" xfId="23891"/>
    <cellStyle name="Normal 2 7 2 3 2 3 2" xfId="23892"/>
    <cellStyle name="Normal 2 7 2 3 2 4" xfId="23893"/>
    <cellStyle name="Normal 2 7 2 3 2 5" xfId="23886"/>
    <cellStyle name="Normal 2 7 2 3 3" xfId="5833"/>
    <cellStyle name="Normal 2 7 2 3 3 2" xfId="23895"/>
    <cellStyle name="Normal 2 7 2 3 3 2 2" xfId="23896"/>
    <cellStyle name="Normal 2 7 2 3 3 3" xfId="23897"/>
    <cellStyle name="Normal 2 7 2 3 3 4" xfId="23894"/>
    <cellStyle name="Normal 2 7 2 3 4" xfId="5834"/>
    <cellStyle name="Normal 2 7 2 3 4 2" xfId="23899"/>
    <cellStyle name="Normal 2 7 2 3 4 2 2" xfId="23900"/>
    <cellStyle name="Normal 2 7 2 3 4 3" xfId="23901"/>
    <cellStyle name="Normal 2 7 2 3 4 4" xfId="23898"/>
    <cellStyle name="Normal 2 7 2 3 5" xfId="23902"/>
    <cellStyle name="Normal 2 7 2 3 5 2" xfId="23903"/>
    <cellStyle name="Normal 2 7 2 3 6" xfId="23904"/>
    <cellStyle name="Normal 2 7 2 3 7" xfId="23905"/>
    <cellStyle name="Normal 2 7 2 3 8" xfId="23885"/>
    <cellStyle name="Normal 2 7 2 4" xfId="5835"/>
    <cellStyle name="Normal 2 7 2 4 2" xfId="23907"/>
    <cellStyle name="Normal 2 7 2 4 2 2" xfId="23908"/>
    <cellStyle name="Normal 2 7 2 4 2 2 2" xfId="23909"/>
    <cellStyle name="Normal 2 7 2 4 2 3" xfId="23910"/>
    <cellStyle name="Normal 2 7 2 4 3" xfId="23911"/>
    <cellStyle name="Normal 2 7 2 4 3 2" xfId="23912"/>
    <cellStyle name="Normal 2 7 2 4 4" xfId="23913"/>
    <cellStyle name="Normal 2 7 2 4 5" xfId="23914"/>
    <cellStyle name="Normal 2 7 2 4 6" xfId="23906"/>
    <cellStyle name="Normal 2 7 2 5" xfId="5836"/>
    <cellStyle name="Normal 2 7 2 5 2" xfId="23916"/>
    <cellStyle name="Normal 2 7 2 5 2 2" xfId="23917"/>
    <cellStyle name="Normal 2 7 2 5 3" xfId="23918"/>
    <cellStyle name="Normal 2 7 2 5 4" xfId="23915"/>
    <cellStyle name="Normal 2 7 2 6" xfId="5837"/>
    <cellStyle name="Normal 2 7 2 6 2" xfId="23920"/>
    <cellStyle name="Normal 2 7 2 6 2 2" xfId="23921"/>
    <cellStyle name="Normal 2 7 2 6 3" xfId="23922"/>
    <cellStyle name="Normal 2 7 2 6 4" xfId="23919"/>
    <cellStyle name="Normal 2 7 2 7" xfId="23923"/>
    <cellStyle name="Normal 2 7 2 7 2" xfId="23924"/>
    <cellStyle name="Normal 2 7 2 8" xfId="23925"/>
    <cellStyle name="Normal 2 7 2 9" xfId="23926"/>
    <cellStyle name="Normal 2 7 3" xfId="1608"/>
    <cellStyle name="Normal 2 7 3 2" xfId="23927"/>
    <cellStyle name="Normal 2 7 3 3" xfId="41217"/>
    <cellStyle name="Normal 2 7 4" xfId="23928"/>
    <cellStyle name="Normal 2 7 4 2" xfId="41546"/>
    <cellStyle name="Normal 2 7 5" xfId="41032"/>
    <cellStyle name="Normal 2 7 6" xfId="40880"/>
    <cellStyle name="Normal 2 70" xfId="5838"/>
    <cellStyle name="Normal 2 71" xfId="5839"/>
    <cellStyle name="Normal 2 72" xfId="5840"/>
    <cellStyle name="Normal 2 73" xfId="5841"/>
    <cellStyle name="Normal 2 74" xfId="5842"/>
    <cellStyle name="Normal 2 75" xfId="5843"/>
    <cellStyle name="Normal 2 76" xfId="5844"/>
    <cellStyle name="Normal 2 77" xfId="40394"/>
    <cellStyle name="Normal 2 78" xfId="40466"/>
    <cellStyle name="Normal 2 8" xfId="63"/>
    <cellStyle name="Normal 2 8 2" xfId="1610"/>
    <cellStyle name="Normal 2 8 2 2" xfId="5845"/>
    <cellStyle name="Normal 2 8 2 3" xfId="43411"/>
    <cellStyle name="Normal 2 8 3" xfId="1611"/>
    <cellStyle name="Normal 2 8 4" xfId="1612"/>
    <cellStyle name="Normal 2 8 5" xfId="1609"/>
    <cellStyle name="Normal 2 8 6" xfId="41033"/>
    <cellStyle name="Normal 2 9" xfId="1613"/>
    <cellStyle name="Normal 2 9 2" xfId="1614"/>
    <cellStyle name="Normal 2 9 2 2" xfId="23930"/>
    <cellStyle name="Normal 2 9 2 2 2" xfId="23931"/>
    <cellStyle name="Normal 2 9 2 2 2 2" xfId="23932"/>
    <cellStyle name="Normal 2 9 2 2 2 2 2" xfId="23933"/>
    <cellStyle name="Normal 2 9 2 2 2 2 2 2" xfId="23934"/>
    <cellStyle name="Normal 2 9 2 2 2 2 3" xfId="23935"/>
    <cellStyle name="Normal 2 9 2 2 2 3" xfId="23936"/>
    <cellStyle name="Normal 2 9 2 2 2 3 2" xfId="23937"/>
    <cellStyle name="Normal 2 9 2 2 2 4" xfId="23938"/>
    <cellStyle name="Normal 2 9 2 2 2 5" xfId="23939"/>
    <cellStyle name="Normal 2 9 2 2 3" xfId="23940"/>
    <cellStyle name="Normal 2 9 2 2 3 2" xfId="23941"/>
    <cellStyle name="Normal 2 9 2 2 3 2 2" xfId="23942"/>
    <cellStyle name="Normal 2 9 2 2 3 2 2 2" xfId="23943"/>
    <cellStyle name="Normal 2 9 2 2 3 2 3" xfId="23944"/>
    <cellStyle name="Normal 2 9 2 2 3 3" xfId="23945"/>
    <cellStyle name="Normal 2 9 2 2 3 3 2" xfId="23946"/>
    <cellStyle name="Normal 2 9 2 2 3 4" xfId="23947"/>
    <cellStyle name="Normal 2 9 2 2 4" xfId="23948"/>
    <cellStyle name="Normal 2 9 2 2 4 2" xfId="23949"/>
    <cellStyle name="Normal 2 9 2 2 4 2 2" xfId="23950"/>
    <cellStyle name="Normal 2 9 2 2 4 3" xfId="23951"/>
    <cellStyle name="Normal 2 9 2 2 5" xfId="23952"/>
    <cellStyle name="Normal 2 9 2 2 5 2" xfId="23953"/>
    <cellStyle name="Normal 2 9 2 2 5 2 2" xfId="23954"/>
    <cellStyle name="Normal 2 9 2 2 5 3" xfId="23955"/>
    <cellStyle name="Normal 2 9 2 2 6" xfId="23956"/>
    <cellStyle name="Normal 2 9 2 2 6 2" xfId="23957"/>
    <cellStyle name="Normal 2 9 2 2 7" xfId="23958"/>
    <cellStyle name="Normal 2 9 2 2 8" xfId="23959"/>
    <cellStyle name="Normal 2 9 2 3" xfId="23960"/>
    <cellStyle name="Normal 2 9 2 4" xfId="23961"/>
    <cellStyle name="Normal 2 9 2 5" xfId="23962"/>
    <cellStyle name="Normal 2 9 2 6" xfId="23929"/>
    <cellStyle name="Normal 2 9 2 7" xfId="43522"/>
    <cellStyle name="Normal 2 9 3" xfId="5846"/>
    <cellStyle name="Normal 2 9 4" xfId="41034"/>
    <cellStyle name="Normal 2__Form 35" xfId="42239"/>
    <cellStyle name="Normal 20" xfId="1615"/>
    <cellStyle name="Normal 20 10" xfId="43230"/>
    <cellStyle name="Normal 20 10 2" xfId="45079"/>
    <cellStyle name="Normal 20 11" xfId="43556"/>
    <cellStyle name="Normal 20 12" xfId="40473"/>
    <cellStyle name="Normal 20 2" xfId="1616"/>
    <cellStyle name="Normal 20 2 2" xfId="41548"/>
    <cellStyle name="Normal 20 2 3" xfId="41390"/>
    <cellStyle name="Normal 20 2 4" xfId="41036"/>
    <cellStyle name="Normal 20 3" xfId="1617"/>
    <cellStyle name="Normal 20 3 2" xfId="5848"/>
    <cellStyle name="Normal 20 3 3" xfId="41117"/>
    <cellStyle name="Normal 20 4" xfId="5849"/>
    <cellStyle name="Normal 20 4 2" xfId="41235"/>
    <cellStyle name="Normal 20 5" xfId="5847"/>
    <cellStyle name="Normal 20 5 2" xfId="41547"/>
    <cellStyle name="Normal 20 6" xfId="41362"/>
    <cellStyle name="Normal 20 7" xfId="41035"/>
    <cellStyle name="Normal 20 8" xfId="40914"/>
    <cellStyle name="Normal 20 9" xfId="42302"/>
    <cellStyle name="Normal 20 9 2" xfId="43231"/>
    <cellStyle name="Normal 20 9 2 2" xfId="45080"/>
    <cellStyle name="Normal 20 9 3" xfId="44164"/>
    <cellStyle name="Normal 200" xfId="40381"/>
    <cellStyle name="Normal 201" xfId="40395"/>
    <cellStyle name="Normal 202" xfId="45338"/>
    <cellStyle name="Normal 203" xfId="45342"/>
    <cellStyle name="Normal 21" xfId="1618"/>
    <cellStyle name="Normal 21 10" xfId="43232"/>
    <cellStyle name="Normal 21 10 2" xfId="45081"/>
    <cellStyle name="Normal 21 11" xfId="43557"/>
    <cellStyle name="Normal 21 12" xfId="40474"/>
    <cellStyle name="Normal 21 2" xfId="1619"/>
    <cellStyle name="Normal 21 2 2" xfId="5851"/>
    <cellStyle name="Normal 21 2 2 2" xfId="41550"/>
    <cellStyle name="Normal 21 2 3" xfId="41391"/>
    <cellStyle name="Normal 21 2 4" xfId="41038"/>
    <cellStyle name="Normal 21 3" xfId="1620"/>
    <cellStyle name="Normal 21 3 2" xfId="5852"/>
    <cellStyle name="Normal 21 3 3" xfId="23963"/>
    <cellStyle name="Normal 21 3 4" xfId="41118"/>
    <cellStyle name="Normal 21 4" xfId="2776"/>
    <cellStyle name="Normal 21 4 2" xfId="7830"/>
    <cellStyle name="Normal 21 4 2 2" xfId="23966"/>
    <cellStyle name="Normal 21 4 2 3" xfId="23965"/>
    <cellStyle name="Normal 21 4 3" xfId="23967"/>
    <cellStyle name="Normal 21 4 4" xfId="23964"/>
    <cellStyle name="Normal 21 4 5" xfId="41236"/>
    <cellStyle name="Normal 21 5" xfId="5850"/>
    <cellStyle name="Normal 21 5 2" xfId="23968"/>
    <cellStyle name="Normal 21 5 3" xfId="41549"/>
    <cellStyle name="Normal 21 6" xfId="41329"/>
    <cellStyle name="Normal 21 66" xfId="40475"/>
    <cellStyle name="Normal 21 66 2" xfId="42304"/>
    <cellStyle name="Normal 21 66 2 2" xfId="43234"/>
    <cellStyle name="Normal 21 66 2 2 2" xfId="45083"/>
    <cellStyle name="Normal 21 66 2 3" xfId="44166"/>
    <cellStyle name="Normal 21 66 3" xfId="43233"/>
    <cellStyle name="Normal 21 66 3 2" xfId="45082"/>
    <cellStyle name="Normal 21 66 4" xfId="43495"/>
    <cellStyle name="Normal 21 66 4 2" xfId="45270"/>
    <cellStyle name="Normal 21 66 5" xfId="43558"/>
    <cellStyle name="Normal 21 7" xfId="41037"/>
    <cellStyle name="Normal 21 8" xfId="40915"/>
    <cellStyle name="Normal 21 9" xfId="42303"/>
    <cellStyle name="Normal 21 9 2" xfId="43235"/>
    <cellStyle name="Normal 21 9 2 2" xfId="45084"/>
    <cellStyle name="Normal 21 9 3" xfId="44165"/>
    <cellStyle name="Normal 22" xfId="1621"/>
    <cellStyle name="Normal 22 10" xfId="23970"/>
    <cellStyle name="Normal 22 10 2" xfId="23971"/>
    <cellStyle name="Normal 22 10 2 2" xfId="45085"/>
    <cellStyle name="Normal 22 10 3" xfId="43236"/>
    <cellStyle name="Normal 22 11" xfId="23972"/>
    <cellStyle name="Normal 22 11 2" xfId="43559"/>
    <cellStyle name="Normal 22 12" xfId="23973"/>
    <cellStyle name="Normal 22 13" xfId="23974"/>
    <cellStyle name="Normal 22 14" xfId="23969"/>
    <cellStyle name="Normal 22 15" xfId="40476"/>
    <cellStyle name="Normal 22 2" xfId="1622"/>
    <cellStyle name="Normal 22 2 10" xfId="23976"/>
    <cellStyle name="Normal 22 2 11" xfId="23977"/>
    <cellStyle name="Normal 22 2 12" xfId="23975"/>
    <cellStyle name="Normal 22 2 13" xfId="41040"/>
    <cellStyle name="Normal 22 2 2" xfId="5854"/>
    <cellStyle name="Normal 22 2 2 10" xfId="23979"/>
    <cellStyle name="Normal 22 2 2 10 2" xfId="23980"/>
    <cellStyle name="Normal 22 2 2 11" xfId="23981"/>
    <cellStyle name="Normal 22 2 2 12" xfId="23982"/>
    <cellStyle name="Normal 22 2 2 13" xfId="23978"/>
    <cellStyle name="Normal 22 2 2 14" xfId="41552"/>
    <cellStyle name="Normal 22 2 2 2" xfId="5855"/>
    <cellStyle name="Normal 22 2 2 2 2" xfId="23984"/>
    <cellStyle name="Normal 22 2 2 2 2 2" xfId="23985"/>
    <cellStyle name="Normal 22 2 2 2 2 2 2" xfId="23986"/>
    <cellStyle name="Normal 22 2 2 2 2 2 2 2" xfId="23987"/>
    <cellStyle name="Normal 22 2 2 2 2 2 3" xfId="23988"/>
    <cellStyle name="Normal 22 2 2 2 2 3" xfId="23989"/>
    <cellStyle name="Normal 22 2 2 2 2 3 2" xfId="23990"/>
    <cellStyle name="Normal 22 2 2 2 2 4" xfId="23991"/>
    <cellStyle name="Normal 22 2 2 2 2 5" xfId="23992"/>
    <cellStyle name="Normal 22 2 2 2 3" xfId="23993"/>
    <cellStyle name="Normal 22 2 2 2 3 2" xfId="23994"/>
    <cellStyle name="Normal 22 2 2 2 3 2 2" xfId="23995"/>
    <cellStyle name="Normal 22 2 2 2 3 2 2 2" xfId="23996"/>
    <cellStyle name="Normal 22 2 2 2 3 2 3" xfId="23997"/>
    <cellStyle name="Normal 22 2 2 2 3 3" xfId="23998"/>
    <cellStyle name="Normal 22 2 2 2 3 3 2" xfId="23999"/>
    <cellStyle name="Normal 22 2 2 2 3 4" xfId="24000"/>
    <cellStyle name="Normal 22 2 2 2 4" xfId="24001"/>
    <cellStyle name="Normal 22 2 2 2 4 2" xfId="24002"/>
    <cellStyle name="Normal 22 2 2 2 4 2 2" xfId="24003"/>
    <cellStyle name="Normal 22 2 2 2 4 3" xfId="24004"/>
    <cellStyle name="Normal 22 2 2 2 5" xfId="24005"/>
    <cellStyle name="Normal 22 2 2 2 5 2" xfId="24006"/>
    <cellStyle name="Normal 22 2 2 2 5 2 2" xfId="24007"/>
    <cellStyle name="Normal 22 2 2 2 5 3" xfId="24008"/>
    <cellStyle name="Normal 22 2 2 2 6" xfId="24009"/>
    <cellStyle name="Normal 22 2 2 2 6 2" xfId="24010"/>
    <cellStyle name="Normal 22 2 2 2 7" xfId="24011"/>
    <cellStyle name="Normal 22 2 2 2 8" xfId="24012"/>
    <cellStyle name="Normal 22 2 2 2 9" xfId="23983"/>
    <cellStyle name="Normal 22 2 2 3" xfId="24013"/>
    <cellStyle name="Normal 22 2 2 3 2" xfId="24014"/>
    <cellStyle name="Normal 22 2 2 3 2 2" xfId="3170"/>
    <cellStyle name="Normal 22 2 2 3 2 2 2" xfId="8477"/>
    <cellStyle name="Normal 22 2 2 3 2 2 2 2" xfId="24017"/>
    <cellStyle name="Normal 22 2 2 3 2 2 2 3" xfId="24016"/>
    <cellStyle name="Normal 22 2 2 3 2 2 3" xfId="24018"/>
    <cellStyle name="Normal 22 2 2 3 2 2 4" xfId="24015"/>
    <cellStyle name="Normal 22 2 2 3 2 3" xfId="24019"/>
    <cellStyle name="Normal 22 2 2 3 2 3 2" xfId="24020"/>
    <cellStyle name="Normal 22 2 2 3 2 4" xfId="24021"/>
    <cellStyle name="Normal 22 2 2 3 2 5" xfId="24022"/>
    <cellStyle name="Normal 22 2 2 3 3" xfId="24023"/>
    <cellStyle name="Normal 22 2 2 3 3 2" xfId="24024"/>
    <cellStyle name="Normal 22 2 2 3 3 2 2" xfId="24025"/>
    <cellStyle name="Normal 22 2 2 3 3 2 2 2" xfId="24026"/>
    <cellStyle name="Normal 22 2 2 3 3 2 3" xfId="24027"/>
    <cellStyle name="Normal 22 2 2 3 3 3" xfId="24028"/>
    <cellStyle name="Normal 22 2 2 3 3 3 2" xfId="24029"/>
    <cellStyle name="Normal 22 2 2 3 3 4" xfId="24030"/>
    <cellStyle name="Normal 22 2 2 3 4" xfId="24031"/>
    <cellStyle name="Normal 22 2 2 3 4 2" xfId="24032"/>
    <cellStyle name="Normal 22 2 2 3 4 2 2" xfId="24033"/>
    <cellStyle name="Normal 22 2 2 3 4 3" xfId="24034"/>
    <cellStyle name="Normal 22 2 2 3 5" xfId="24035"/>
    <cellStyle name="Normal 22 2 2 3 5 2" xfId="24036"/>
    <cellStyle name="Normal 22 2 2 3 5 2 2" xfId="24037"/>
    <cellStyle name="Normal 22 2 2 3 5 3" xfId="24038"/>
    <cellStyle name="Normal 22 2 2 3 6" xfId="24039"/>
    <cellStyle name="Normal 22 2 2 3 6 2" xfId="24040"/>
    <cellStyle name="Normal 22 2 2 3 7" xfId="24041"/>
    <cellStyle name="Normal 22 2 2 3 8" xfId="24042"/>
    <cellStyle name="Normal 22 2 2 4" xfId="24043"/>
    <cellStyle name="Normal 22 2 2 4 2" xfId="24044"/>
    <cellStyle name="Normal 22 2 2 4 2 2" xfId="24045"/>
    <cellStyle name="Normal 22 2 2 4 2 2 2" xfId="24046"/>
    <cellStyle name="Normal 22 2 2 4 2 2 2 2" xfId="24047"/>
    <cellStyle name="Normal 22 2 2 4 2 2 3" xfId="24048"/>
    <cellStyle name="Normal 22 2 2 4 2 3" xfId="24049"/>
    <cellStyle name="Normal 22 2 2 4 2 3 2" xfId="24050"/>
    <cellStyle name="Normal 22 2 2 4 2 4" xfId="24051"/>
    <cellStyle name="Normal 22 2 2 4 2 5" xfId="24052"/>
    <cellStyle name="Normal 22 2 2 4 3" xfId="24053"/>
    <cellStyle name="Normal 22 2 2 4 3 2" xfId="24054"/>
    <cellStyle name="Normal 22 2 2 4 3 2 2" xfId="24055"/>
    <cellStyle name="Normal 22 2 2 4 3 2 2 2" xfId="24056"/>
    <cellStyle name="Normal 22 2 2 4 3 2 3" xfId="24057"/>
    <cellStyle name="Normal 22 2 2 4 3 3" xfId="24058"/>
    <cellStyle name="Normal 22 2 2 4 3 3 2" xfId="24059"/>
    <cellStyle name="Normal 22 2 2 4 3 4" xfId="24060"/>
    <cellStyle name="Normal 22 2 2 4 4" xfId="24061"/>
    <cellStyle name="Normal 22 2 2 4 4 2" xfId="24062"/>
    <cellStyle name="Normal 22 2 2 4 4 2 2" xfId="24063"/>
    <cellStyle name="Normal 22 2 2 4 4 3" xfId="24064"/>
    <cellStyle name="Normal 22 2 2 4 5" xfId="24065"/>
    <cellStyle name="Normal 22 2 2 4 5 2" xfId="24066"/>
    <cellStyle name="Normal 22 2 2 4 5 2 2" xfId="24067"/>
    <cellStyle name="Normal 22 2 2 4 5 3" xfId="24068"/>
    <cellStyle name="Normal 22 2 2 4 6" xfId="24069"/>
    <cellStyle name="Normal 22 2 2 4 6 2" xfId="24070"/>
    <cellStyle name="Normal 22 2 2 4 7" xfId="24071"/>
    <cellStyle name="Normal 22 2 2 4 8" xfId="24072"/>
    <cellStyle name="Normal 22 2 2 5" xfId="24073"/>
    <cellStyle name="Normal 22 2 2 5 2" xfId="24074"/>
    <cellStyle name="Normal 22 2 2 5 2 2" xfId="24075"/>
    <cellStyle name="Normal 22 2 2 5 2 2 2" xfId="24076"/>
    <cellStyle name="Normal 22 2 2 5 2 2 2 2" xfId="24077"/>
    <cellStyle name="Normal 22 2 2 5 2 2 3" xfId="24078"/>
    <cellStyle name="Normal 22 2 2 5 2 3" xfId="24079"/>
    <cellStyle name="Normal 22 2 2 5 2 3 2" xfId="24080"/>
    <cellStyle name="Normal 22 2 2 5 2 4" xfId="24081"/>
    <cellStyle name="Normal 22 2 2 5 2 5" xfId="24082"/>
    <cellStyle name="Normal 22 2 2 5 3" xfId="24083"/>
    <cellStyle name="Normal 22 2 2 5 3 2" xfId="24084"/>
    <cellStyle name="Normal 22 2 2 5 3 2 2" xfId="24085"/>
    <cellStyle name="Normal 22 2 2 5 3 2 2 2" xfId="24086"/>
    <cellStyle name="Normal 22 2 2 5 3 2 3" xfId="24087"/>
    <cellStyle name="Normal 22 2 2 5 3 3" xfId="24088"/>
    <cellStyle name="Normal 22 2 2 5 3 3 2" xfId="24089"/>
    <cellStyle name="Normal 22 2 2 5 3 4" xfId="24090"/>
    <cellStyle name="Normal 22 2 2 5 4" xfId="24091"/>
    <cellStyle name="Normal 22 2 2 5 4 2" xfId="24092"/>
    <cellStyle name="Normal 22 2 2 5 4 2 2" xfId="24093"/>
    <cellStyle name="Normal 22 2 2 5 4 3" xfId="24094"/>
    <cellStyle name="Normal 22 2 2 5 5" xfId="24095"/>
    <cellStyle name="Normal 22 2 2 5 5 2" xfId="24096"/>
    <cellStyle name="Normal 22 2 2 5 5 2 2" xfId="24097"/>
    <cellStyle name="Normal 22 2 2 5 5 3" xfId="24098"/>
    <cellStyle name="Normal 22 2 2 5 6" xfId="24099"/>
    <cellStyle name="Normal 22 2 2 5 6 2" xfId="24100"/>
    <cellStyle name="Normal 22 2 2 5 7" xfId="24101"/>
    <cellStyle name="Normal 22 2 2 5 8" xfId="24102"/>
    <cellStyle name="Normal 22 2 2 6" xfId="24103"/>
    <cellStyle name="Normal 22 2 2 6 2" xfId="24104"/>
    <cellStyle name="Normal 22 2 2 6 2 2" xfId="24105"/>
    <cellStyle name="Normal 22 2 2 6 2 2 2" xfId="24106"/>
    <cellStyle name="Normal 22 2 2 6 2 2 2 2" xfId="24107"/>
    <cellStyle name="Normal 22 2 2 6 2 2 3" xfId="24108"/>
    <cellStyle name="Normal 22 2 2 6 2 3" xfId="24109"/>
    <cellStyle name="Normal 22 2 2 6 2 3 2" xfId="24110"/>
    <cellStyle name="Normal 22 2 2 6 2 4" xfId="24111"/>
    <cellStyle name="Normal 22 2 2 6 3" xfId="24112"/>
    <cellStyle name="Normal 22 2 2 6 3 2" xfId="24113"/>
    <cellStyle name="Normal 22 2 2 6 3 2 2" xfId="24114"/>
    <cellStyle name="Normal 22 2 2 6 3 3" xfId="24115"/>
    <cellStyle name="Normal 22 2 2 6 4" xfId="24116"/>
    <cellStyle name="Normal 22 2 2 6 4 2" xfId="24117"/>
    <cellStyle name="Normal 22 2 2 6 4 2 2" xfId="24118"/>
    <cellStyle name="Normal 22 2 2 6 4 3" xfId="24119"/>
    <cellStyle name="Normal 22 2 2 6 5" xfId="24120"/>
    <cellStyle name="Normal 22 2 2 6 5 2" xfId="24121"/>
    <cellStyle name="Normal 22 2 2 6 6" xfId="24122"/>
    <cellStyle name="Normal 22 2 2 6 7" xfId="24123"/>
    <cellStyle name="Normal 22 2 2 7" xfId="24124"/>
    <cellStyle name="Normal 22 2 2 7 2" xfId="24125"/>
    <cellStyle name="Normal 22 2 2 7 2 2" xfId="24126"/>
    <cellStyle name="Normal 22 2 2 7 2 2 2" xfId="24127"/>
    <cellStyle name="Normal 22 2 2 7 2 3" xfId="24128"/>
    <cellStyle name="Normal 22 2 2 7 3" xfId="24129"/>
    <cellStyle name="Normal 22 2 2 7 3 2" xfId="24130"/>
    <cellStyle name="Normal 22 2 2 7 4" xfId="24131"/>
    <cellStyle name="Normal 22 2 2 7 5" xfId="24132"/>
    <cellStyle name="Normal 22 2 2 8" xfId="24133"/>
    <cellStyle name="Normal 22 2 2 8 2" xfId="24134"/>
    <cellStyle name="Normal 22 2 2 8 2 2" xfId="24135"/>
    <cellStyle name="Normal 22 2 2 8 3" xfId="24136"/>
    <cellStyle name="Normal 22 2 2 9" xfId="24137"/>
    <cellStyle name="Normal 22 2 2 9 2" xfId="24138"/>
    <cellStyle name="Normal 22 2 2 9 2 2" xfId="24139"/>
    <cellStyle name="Normal 22 2 2 9 3" xfId="24140"/>
    <cellStyle name="Normal 22 2 3" xfId="5856"/>
    <cellStyle name="Normal 22 2 3 10" xfId="41392"/>
    <cellStyle name="Normal 22 2 3 2" xfId="24142"/>
    <cellStyle name="Normal 22 2 3 2 2" xfId="24143"/>
    <cellStyle name="Normal 22 2 3 2 2 2" xfId="24144"/>
    <cellStyle name="Normal 22 2 3 2 2 2 2" xfId="24145"/>
    <cellStyle name="Normal 22 2 3 2 2 3" xfId="24146"/>
    <cellStyle name="Normal 22 2 3 2 3" xfId="24147"/>
    <cellStyle name="Normal 22 2 3 2 3 2" xfId="24148"/>
    <cellStyle name="Normal 22 2 3 2 4" xfId="24149"/>
    <cellStyle name="Normal 22 2 3 2 5" xfId="24150"/>
    <cellStyle name="Normal 22 2 3 3" xfId="24151"/>
    <cellStyle name="Normal 22 2 3 3 2" xfId="24152"/>
    <cellStyle name="Normal 22 2 3 3 2 2" xfId="24153"/>
    <cellStyle name="Normal 22 2 3 3 2 2 2" xfId="24154"/>
    <cellStyle name="Normal 22 2 3 3 2 3" xfId="24155"/>
    <cellStyle name="Normal 22 2 3 3 3" xfId="24156"/>
    <cellStyle name="Normal 22 2 3 3 3 2" xfId="24157"/>
    <cellStyle name="Normal 22 2 3 3 4" xfId="24158"/>
    <cellStyle name="Normal 22 2 3 4" xfId="24159"/>
    <cellStyle name="Normal 22 2 3 4 2" xfId="24160"/>
    <cellStyle name="Normal 22 2 3 4 2 2" xfId="24161"/>
    <cellStyle name="Normal 22 2 3 4 3" xfId="24162"/>
    <cellStyle name="Normal 22 2 3 5" xfId="24163"/>
    <cellStyle name="Normal 22 2 3 5 2" xfId="24164"/>
    <cellStyle name="Normal 22 2 3 5 2 2" xfId="24165"/>
    <cellStyle name="Normal 22 2 3 5 3" xfId="24166"/>
    <cellStyle name="Normal 22 2 3 6" xfId="24167"/>
    <cellStyle name="Normal 22 2 3 6 2" xfId="24168"/>
    <cellStyle name="Normal 22 2 3 7" xfId="24169"/>
    <cellStyle name="Normal 22 2 3 8" xfId="24170"/>
    <cellStyle name="Normal 22 2 3 9" xfId="24141"/>
    <cellStyle name="Normal 22 2 4" xfId="5857"/>
    <cellStyle name="Normal 22 2 4 2" xfId="24172"/>
    <cellStyle name="Normal 22 2 4 2 2" xfId="24173"/>
    <cellStyle name="Normal 22 2 4 2 2 2" xfId="24174"/>
    <cellStyle name="Normal 22 2 4 2 2 2 2" xfId="24175"/>
    <cellStyle name="Normal 22 2 4 2 2 3" xfId="24176"/>
    <cellStyle name="Normal 22 2 4 2 3" xfId="24177"/>
    <cellStyle name="Normal 22 2 4 2 3 2" xfId="24178"/>
    <cellStyle name="Normal 22 2 4 2 4" xfId="24179"/>
    <cellStyle name="Normal 22 2 4 2 5" xfId="24180"/>
    <cellStyle name="Normal 22 2 4 3" xfId="24181"/>
    <cellStyle name="Normal 22 2 4 3 2" xfId="24182"/>
    <cellStyle name="Normal 22 2 4 3 2 2" xfId="24183"/>
    <cellStyle name="Normal 22 2 4 3 2 2 2" xfId="24184"/>
    <cellStyle name="Normal 22 2 4 3 2 3" xfId="24185"/>
    <cellStyle name="Normal 22 2 4 3 3" xfId="24186"/>
    <cellStyle name="Normal 22 2 4 3 3 2" xfId="24187"/>
    <cellStyle name="Normal 22 2 4 3 4" xfId="24188"/>
    <cellStyle name="Normal 22 2 4 4" xfId="24189"/>
    <cellStyle name="Normal 22 2 4 4 2" xfId="24190"/>
    <cellStyle name="Normal 22 2 4 4 2 2" xfId="24191"/>
    <cellStyle name="Normal 22 2 4 4 3" xfId="24192"/>
    <cellStyle name="Normal 22 2 4 5" xfId="24193"/>
    <cellStyle name="Normal 22 2 4 5 2" xfId="24194"/>
    <cellStyle name="Normal 22 2 4 5 2 2" xfId="24195"/>
    <cellStyle name="Normal 22 2 4 5 3" xfId="24196"/>
    <cellStyle name="Normal 22 2 4 6" xfId="24197"/>
    <cellStyle name="Normal 22 2 4 6 2" xfId="24198"/>
    <cellStyle name="Normal 22 2 4 7" xfId="24199"/>
    <cellStyle name="Normal 22 2 4 8" xfId="24200"/>
    <cellStyle name="Normal 22 2 4 9" xfId="24171"/>
    <cellStyle name="Normal 22 2 5" xfId="24201"/>
    <cellStyle name="Normal 22 2 5 2" xfId="24202"/>
    <cellStyle name="Normal 22 2 5 2 2" xfId="24203"/>
    <cellStyle name="Normal 22 2 5 2 2 2" xfId="24204"/>
    <cellStyle name="Normal 22 2 5 2 2 2 2" xfId="24205"/>
    <cellStyle name="Normal 22 2 5 2 2 3" xfId="24206"/>
    <cellStyle name="Normal 22 2 5 2 3" xfId="24207"/>
    <cellStyle name="Normal 22 2 5 2 3 2" xfId="24208"/>
    <cellStyle name="Normal 22 2 5 2 4" xfId="24209"/>
    <cellStyle name="Normal 22 2 5 3" xfId="24210"/>
    <cellStyle name="Normal 22 2 5 3 2" xfId="24211"/>
    <cellStyle name="Normal 22 2 5 3 2 2" xfId="24212"/>
    <cellStyle name="Normal 22 2 5 3 3" xfId="24213"/>
    <cellStyle name="Normal 22 2 5 4" xfId="24214"/>
    <cellStyle name="Normal 22 2 5 4 2" xfId="24215"/>
    <cellStyle name="Normal 22 2 5 4 2 2" xfId="24216"/>
    <cellStyle name="Normal 22 2 5 4 3" xfId="24217"/>
    <cellStyle name="Normal 22 2 5 5" xfId="24218"/>
    <cellStyle name="Normal 22 2 5 5 2" xfId="24219"/>
    <cellStyle name="Normal 22 2 5 6" xfId="24220"/>
    <cellStyle name="Normal 22 2 5 7" xfId="24221"/>
    <cellStyle name="Normal 22 2 6" xfId="24222"/>
    <cellStyle name="Normal 22 2 6 2" xfId="24223"/>
    <cellStyle name="Normal 22 2 6 2 2" xfId="24224"/>
    <cellStyle name="Normal 22 2 6 2 2 2" xfId="24225"/>
    <cellStyle name="Normal 22 2 6 2 3" xfId="24226"/>
    <cellStyle name="Normal 22 2 6 3" xfId="24227"/>
    <cellStyle name="Normal 22 2 6 3 2" xfId="24228"/>
    <cellStyle name="Normal 22 2 6 4" xfId="24229"/>
    <cellStyle name="Normal 22 2 6 5" xfId="24230"/>
    <cellStyle name="Normal 22 2 7" xfId="24231"/>
    <cellStyle name="Normal 22 2 7 2" xfId="24232"/>
    <cellStyle name="Normal 22 2 7 2 2" xfId="24233"/>
    <cellStyle name="Normal 22 2 7 3" xfId="24234"/>
    <cellStyle name="Normal 22 2 8" xfId="24235"/>
    <cellStyle name="Normal 22 2 8 2" xfId="24236"/>
    <cellStyle name="Normal 22 2 8 2 2" xfId="24237"/>
    <cellStyle name="Normal 22 2 8 3" xfId="24238"/>
    <cellStyle name="Normal 22 2 9" xfId="24239"/>
    <cellStyle name="Normal 22 2 9 2" xfId="24240"/>
    <cellStyle name="Normal 22 3" xfId="1623"/>
    <cellStyle name="Normal 22 3 10" xfId="41119"/>
    <cellStyle name="Normal 22 3 2" xfId="5858"/>
    <cellStyle name="Normal 22 3 2 2" xfId="5859"/>
    <cellStyle name="Normal 22 3 2 2 2" xfId="24244"/>
    <cellStyle name="Normal 22 3 2 2 2 2" xfId="24245"/>
    <cellStyle name="Normal 22 3 2 2 3" xfId="24246"/>
    <cellStyle name="Normal 22 3 2 2 4" xfId="24243"/>
    <cellStyle name="Normal 22 3 2 3" xfId="24247"/>
    <cellStyle name="Normal 22 3 2 3 2" xfId="24248"/>
    <cellStyle name="Normal 22 3 2 4" xfId="24249"/>
    <cellStyle name="Normal 22 3 2 5" xfId="3171"/>
    <cellStyle name="Normal 22 3 2 5 2" xfId="8478"/>
    <cellStyle name="Normal 22 3 2 5 3" xfId="24250"/>
    <cellStyle name="Normal 22 3 2 6" xfId="24242"/>
    <cellStyle name="Normal 22 3 3" xfId="5860"/>
    <cellStyle name="Normal 22 3 3 2" xfId="24252"/>
    <cellStyle name="Normal 22 3 3 2 2" xfId="24253"/>
    <cellStyle name="Normal 22 3 3 2 2 2" xfId="24254"/>
    <cellStyle name="Normal 22 3 3 2 3" xfId="24255"/>
    <cellStyle name="Normal 22 3 3 3" xfId="24256"/>
    <cellStyle name="Normal 22 3 3 3 2" xfId="24257"/>
    <cellStyle name="Normal 22 3 3 4" xfId="24258"/>
    <cellStyle name="Normal 22 3 3 5" xfId="24251"/>
    <cellStyle name="Normal 22 3 4" xfId="5861"/>
    <cellStyle name="Normal 22 3 4 2" xfId="24260"/>
    <cellStyle name="Normal 22 3 4 2 2" xfId="24261"/>
    <cellStyle name="Normal 22 3 4 3" xfId="24262"/>
    <cellStyle name="Normal 22 3 4 4" xfId="24259"/>
    <cellStyle name="Normal 22 3 5" xfId="24263"/>
    <cellStyle name="Normal 22 3 5 2" xfId="24264"/>
    <cellStyle name="Normal 22 3 5 2 2" xfId="24265"/>
    <cellStyle name="Normal 22 3 5 3" xfId="24266"/>
    <cellStyle name="Normal 22 3 6" xfId="24267"/>
    <cellStyle name="Normal 22 3 6 2" xfId="24268"/>
    <cellStyle name="Normal 22 3 7" xfId="24269"/>
    <cellStyle name="Normal 22 3 7 2" xfId="24270"/>
    <cellStyle name="Normal 22 3 8" xfId="24271"/>
    <cellStyle name="Normal 22 3 9" xfId="24241"/>
    <cellStyle name="Normal 22 4" xfId="2982"/>
    <cellStyle name="Normal 22 4 10" xfId="41237"/>
    <cellStyle name="Normal 22 4 2" xfId="5862"/>
    <cellStyle name="Normal 22 4 2 2" xfId="24274"/>
    <cellStyle name="Normal 22 4 2 2 2" xfId="24275"/>
    <cellStyle name="Normal 22 4 2 2 2 2" xfId="24276"/>
    <cellStyle name="Normal 22 4 2 2 3" xfId="24277"/>
    <cellStyle name="Normal 22 4 2 3" xfId="24278"/>
    <cellStyle name="Normal 22 4 2 3 2" xfId="24279"/>
    <cellStyle name="Normal 22 4 2 4" xfId="24280"/>
    <cellStyle name="Normal 22 4 2 5" xfId="24281"/>
    <cellStyle name="Normal 22 4 2 6" xfId="24273"/>
    <cellStyle name="Normal 22 4 3" xfId="24282"/>
    <cellStyle name="Normal 22 4 3 2" xfId="24283"/>
    <cellStyle name="Normal 22 4 3 2 2" xfId="24284"/>
    <cellStyle name="Normal 22 4 3 2 2 2" xfId="24285"/>
    <cellStyle name="Normal 22 4 3 2 3" xfId="24286"/>
    <cellStyle name="Normal 22 4 3 3" xfId="24287"/>
    <cellStyle name="Normal 22 4 3 3 2" xfId="24288"/>
    <cellStyle name="Normal 22 4 3 4" xfId="24289"/>
    <cellStyle name="Normal 22 4 4" xfId="24290"/>
    <cellStyle name="Normal 22 4 4 2" xfId="24291"/>
    <cellStyle name="Normal 22 4 4 2 2" xfId="24292"/>
    <cellStyle name="Normal 22 4 4 3" xfId="24293"/>
    <cellStyle name="Normal 22 4 5" xfId="24294"/>
    <cellStyle name="Normal 22 4 5 2" xfId="24295"/>
    <cellStyle name="Normal 22 4 5 2 2" xfId="24296"/>
    <cellStyle name="Normal 22 4 5 3" xfId="24297"/>
    <cellStyle name="Normal 22 4 6" xfId="24298"/>
    <cellStyle name="Normal 22 4 6 2" xfId="24299"/>
    <cellStyle name="Normal 22 4 7" xfId="24300"/>
    <cellStyle name="Normal 22 4 8" xfId="24301"/>
    <cellStyle name="Normal 22 4 9" xfId="24272"/>
    <cellStyle name="Normal 22 5" xfId="5863"/>
    <cellStyle name="Normal 22 5 2" xfId="24303"/>
    <cellStyle name="Normal 22 5 2 2" xfId="24304"/>
    <cellStyle name="Normal 22 5 2 2 2" xfId="24305"/>
    <cellStyle name="Normal 22 5 2 2 2 2" xfId="24306"/>
    <cellStyle name="Normal 22 5 2 2 3" xfId="24307"/>
    <cellStyle name="Normal 22 5 2 3" xfId="24308"/>
    <cellStyle name="Normal 22 5 2 3 2" xfId="24309"/>
    <cellStyle name="Normal 22 5 2 4" xfId="24310"/>
    <cellStyle name="Normal 22 5 3" xfId="24311"/>
    <cellStyle name="Normal 22 5 3 2" xfId="24312"/>
    <cellStyle name="Normal 22 5 3 2 2" xfId="24313"/>
    <cellStyle name="Normal 22 5 3 3" xfId="24314"/>
    <cellStyle name="Normal 22 5 4" xfId="24315"/>
    <cellStyle name="Normal 22 5 4 2" xfId="24316"/>
    <cellStyle name="Normal 22 5 4 2 2" xfId="24317"/>
    <cellStyle name="Normal 22 5 4 3" xfId="24318"/>
    <cellStyle name="Normal 22 5 5" xfId="24319"/>
    <cellStyle name="Normal 22 5 5 2" xfId="24320"/>
    <cellStyle name="Normal 22 5 6" xfId="24321"/>
    <cellStyle name="Normal 22 5 7" xfId="24322"/>
    <cellStyle name="Normal 22 5 8" xfId="24302"/>
    <cellStyle name="Normal 22 5 9" xfId="41551"/>
    <cellStyle name="Normal 22 6" xfId="5864"/>
    <cellStyle name="Normal 22 6 2" xfId="24324"/>
    <cellStyle name="Normal 22 6 2 2" xfId="24325"/>
    <cellStyle name="Normal 22 6 2 2 2" xfId="24326"/>
    <cellStyle name="Normal 22 6 2 3" xfId="24327"/>
    <cellStyle name="Normal 22 6 3" xfId="24328"/>
    <cellStyle name="Normal 22 6 3 2" xfId="24329"/>
    <cellStyle name="Normal 22 6 4" xfId="24330"/>
    <cellStyle name="Normal 22 6 5" xfId="24331"/>
    <cellStyle name="Normal 22 6 6" xfId="24323"/>
    <cellStyle name="Normal 22 6 7" xfId="41361"/>
    <cellStyle name="Normal 22 7" xfId="7831"/>
    <cellStyle name="Normal 22 7 2" xfId="24333"/>
    <cellStyle name="Normal 22 7 2 2" xfId="24334"/>
    <cellStyle name="Normal 22 7 3" xfId="24335"/>
    <cellStyle name="Normal 22 7 4" xfId="24332"/>
    <cellStyle name="Normal 22 7 5" xfId="41039"/>
    <cellStyle name="Normal 22 8" xfId="5853"/>
    <cellStyle name="Normal 22 8 2" xfId="24337"/>
    <cellStyle name="Normal 22 8 2 2" xfId="24338"/>
    <cellStyle name="Normal 22 8 3" xfId="24339"/>
    <cellStyle name="Normal 22 8 4" xfId="24336"/>
    <cellStyle name="Normal 22 8 5" xfId="40916"/>
    <cellStyle name="Normal 22 9" xfId="24340"/>
    <cellStyle name="Normal 22 9 2" xfId="43237"/>
    <cellStyle name="Normal 22 9 2 2" xfId="45086"/>
    <cellStyle name="Normal 22 9 3" xfId="44167"/>
    <cellStyle name="Normal 22 9 4" xfId="42305"/>
    <cellStyle name="Normal 23" xfId="1624"/>
    <cellStyle name="Normal 23 10" xfId="24342"/>
    <cellStyle name="Normal 23 10 2" xfId="24343"/>
    <cellStyle name="Normal 23 10 2 2" xfId="24344"/>
    <cellStyle name="Normal 23 10 2 3" xfId="45087"/>
    <cellStyle name="Normal 23 10 3" xfId="24345"/>
    <cellStyle name="Normal 23 10 4" xfId="43238"/>
    <cellStyle name="Normal 23 11" xfId="24346"/>
    <cellStyle name="Normal 23 11 2" xfId="43560"/>
    <cellStyle name="Normal 23 12" xfId="24347"/>
    <cellStyle name="Normal 23 12 2" xfId="24348"/>
    <cellStyle name="Normal 23 13" xfId="24349"/>
    <cellStyle name="Normal 23 14" xfId="24350"/>
    <cellStyle name="Normal 23 15" xfId="24341"/>
    <cellStyle name="Normal 23 16" xfId="40477"/>
    <cellStyle name="Normal 23 2" xfId="1625"/>
    <cellStyle name="Normal 23 2 2" xfId="5866"/>
    <cellStyle name="Normal 23 2 2 2" xfId="24352"/>
    <cellStyle name="Normal 23 2 2 3" xfId="24351"/>
    <cellStyle name="Normal 23 2 2 4" xfId="41554"/>
    <cellStyle name="Normal 23 2 3" xfId="40823"/>
    <cellStyle name="Normal 23 2 4" xfId="41042"/>
    <cellStyle name="Normal 23 3" xfId="1626"/>
    <cellStyle name="Normal 23 3 10" xfId="24354"/>
    <cellStyle name="Normal 23 3 11" xfId="24355"/>
    <cellStyle name="Normal 23 3 12" xfId="24353"/>
    <cellStyle name="Normal 23 3 13" xfId="41122"/>
    <cellStyle name="Normal 23 3 2" xfId="5867"/>
    <cellStyle name="Normal 23 3 2 2" xfId="24357"/>
    <cellStyle name="Normal 23 3 2 2 2" xfId="24358"/>
    <cellStyle name="Normal 23 3 2 2 2 2" xfId="24359"/>
    <cellStyle name="Normal 23 3 2 2 2 2 2" xfId="24360"/>
    <cellStyle name="Normal 23 3 2 2 2 3" xfId="24361"/>
    <cellStyle name="Normal 23 3 2 2 3" xfId="24362"/>
    <cellStyle name="Normal 23 3 2 2 3 2" xfId="24363"/>
    <cellStyle name="Normal 23 3 2 2 4" xfId="24364"/>
    <cellStyle name="Normal 23 3 2 2 5" xfId="24365"/>
    <cellStyle name="Normal 23 3 2 3" xfId="24366"/>
    <cellStyle name="Normal 23 3 2 3 2" xfId="24367"/>
    <cellStyle name="Normal 23 3 2 3 2 2" xfId="24368"/>
    <cellStyle name="Normal 23 3 2 3 2 2 2" xfId="24369"/>
    <cellStyle name="Normal 23 3 2 3 2 3" xfId="24370"/>
    <cellStyle name="Normal 23 3 2 3 3" xfId="24371"/>
    <cellStyle name="Normal 23 3 2 3 3 2" xfId="24372"/>
    <cellStyle name="Normal 23 3 2 3 4" xfId="24373"/>
    <cellStyle name="Normal 23 3 2 4" xfId="24374"/>
    <cellStyle name="Normal 23 3 2 4 2" xfId="24375"/>
    <cellStyle name="Normal 23 3 2 4 2 2" xfId="24376"/>
    <cellStyle name="Normal 23 3 2 4 3" xfId="24377"/>
    <cellStyle name="Normal 23 3 2 5" xfId="24378"/>
    <cellStyle name="Normal 23 3 2 5 2" xfId="24379"/>
    <cellStyle name="Normal 23 3 2 5 2 2" xfId="24380"/>
    <cellStyle name="Normal 23 3 2 5 3" xfId="24381"/>
    <cellStyle name="Normal 23 3 2 6" xfId="24382"/>
    <cellStyle name="Normal 23 3 2 6 2" xfId="24383"/>
    <cellStyle name="Normal 23 3 2 7" xfId="24384"/>
    <cellStyle name="Normal 23 3 2 8" xfId="24385"/>
    <cellStyle name="Normal 23 3 2 9" xfId="24356"/>
    <cellStyle name="Normal 23 3 3" xfId="24386"/>
    <cellStyle name="Normal 23 3 3 2" xfId="24387"/>
    <cellStyle name="Normal 23 3 3 2 2" xfId="24388"/>
    <cellStyle name="Normal 23 3 3 2 2 2" xfId="24389"/>
    <cellStyle name="Normal 23 3 3 2 2 2 2" xfId="24390"/>
    <cellStyle name="Normal 23 3 3 2 2 3" xfId="24391"/>
    <cellStyle name="Normal 23 3 3 2 3" xfId="24392"/>
    <cellStyle name="Normal 23 3 3 2 3 2" xfId="24393"/>
    <cellStyle name="Normal 23 3 3 2 4" xfId="24394"/>
    <cellStyle name="Normal 23 3 3 2 5" xfId="24395"/>
    <cellStyle name="Normal 23 3 3 3" xfId="24396"/>
    <cellStyle name="Normal 23 3 3 3 2" xfId="24397"/>
    <cellStyle name="Normal 23 3 3 3 2 2" xfId="24398"/>
    <cellStyle name="Normal 23 3 3 3 2 2 2" xfId="24399"/>
    <cellStyle name="Normal 23 3 3 3 2 3" xfId="24400"/>
    <cellStyle name="Normal 23 3 3 3 3" xfId="24401"/>
    <cellStyle name="Normal 23 3 3 3 3 2" xfId="24402"/>
    <cellStyle name="Normal 23 3 3 3 4" xfId="24403"/>
    <cellStyle name="Normal 23 3 3 4" xfId="24404"/>
    <cellStyle name="Normal 23 3 3 4 2" xfId="24405"/>
    <cellStyle name="Normal 23 3 3 4 2 2" xfId="24406"/>
    <cellStyle name="Normal 23 3 3 4 3" xfId="24407"/>
    <cellStyle name="Normal 23 3 3 5" xfId="24408"/>
    <cellStyle name="Normal 23 3 3 5 2" xfId="24409"/>
    <cellStyle name="Normal 23 3 3 5 2 2" xfId="24410"/>
    <cellStyle name="Normal 23 3 3 5 3" xfId="24411"/>
    <cellStyle name="Normal 23 3 3 6" xfId="24412"/>
    <cellStyle name="Normal 23 3 3 6 2" xfId="24413"/>
    <cellStyle name="Normal 23 3 3 7" xfId="24414"/>
    <cellStyle name="Normal 23 3 3 8" xfId="24415"/>
    <cellStyle name="Normal 23 3 4" xfId="24416"/>
    <cellStyle name="Normal 23 3 4 2" xfId="24417"/>
    <cellStyle name="Normal 23 3 4 2 2" xfId="24418"/>
    <cellStyle name="Normal 23 3 4 2 2 2" xfId="24419"/>
    <cellStyle name="Normal 23 3 4 2 2 2 2" xfId="24420"/>
    <cellStyle name="Normal 23 3 4 2 2 3" xfId="24421"/>
    <cellStyle name="Normal 23 3 4 2 3" xfId="24422"/>
    <cellStyle name="Normal 23 3 4 2 3 2" xfId="24423"/>
    <cellStyle name="Normal 23 3 4 2 4" xfId="24424"/>
    <cellStyle name="Normal 23 3 4 2 5" xfId="24425"/>
    <cellStyle name="Normal 23 3 4 3" xfId="24426"/>
    <cellStyle name="Normal 23 3 4 3 2" xfId="24427"/>
    <cellStyle name="Normal 23 3 4 3 2 2" xfId="24428"/>
    <cellStyle name="Normal 23 3 4 3 2 2 2" xfId="24429"/>
    <cellStyle name="Normal 23 3 4 3 2 3" xfId="24430"/>
    <cellStyle name="Normal 23 3 4 3 3" xfId="24431"/>
    <cellStyle name="Normal 23 3 4 3 3 2" xfId="24432"/>
    <cellStyle name="Normal 23 3 4 3 4" xfId="24433"/>
    <cellStyle name="Normal 23 3 4 4" xfId="24434"/>
    <cellStyle name="Normal 23 3 4 4 2" xfId="24435"/>
    <cellStyle name="Normal 23 3 4 4 2 2" xfId="24436"/>
    <cellStyle name="Normal 23 3 4 4 3" xfId="24437"/>
    <cellStyle name="Normal 23 3 4 5" xfId="24438"/>
    <cellStyle name="Normal 23 3 4 5 2" xfId="24439"/>
    <cellStyle name="Normal 23 3 4 5 2 2" xfId="24440"/>
    <cellStyle name="Normal 23 3 4 5 3" xfId="24441"/>
    <cellStyle name="Normal 23 3 4 6" xfId="24442"/>
    <cellStyle name="Normal 23 3 4 6 2" xfId="24443"/>
    <cellStyle name="Normal 23 3 4 7" xfId="24444"/>
    <cellStyle name="Normal 23 3 4 8" xfId="24445"/>
    <cellStyle name="Normal 23 3 5" xfId="24446"/>
    <cellStyle name="Normal 23 3 5 2" xfId="24447"/>
    <cellStyle name="Normal 23 3 5 2 2" xfId="24448"/>
    <cellStyle name="Normal 23 3 5 2 2 2" xfId="24449"/>
    <cellStyle name="Normal 23 3 5 2 2 2 2" xfId="24450"/>
    <cellStyle name="Normal 23 3 5 2 2 3" xfId="24451"/>
    <cellStyle name="Normal 23 3 5 2 3" xfId="24452"/>
    <cellStyle name="Normal 23 3 5 2 3 2" xfId="24453"/>
    <cellStyle name="Normal 23 3 5 2 4" xfId="24454"/>
    <cellStyle name="Normal 23 3 5 3" xfId="24455"/>
    <cellStyle name="Normal 23 3 5 3 2" xfId="24456"/>
    <cellStyle name="Normal 23 3 5 3 2 2" xfId="24457"/>
    <cellStyle name="Normal 23 3 5 3 3" xfId="24458"/>
    <cellStyle name="Normal 23 3 5 4" xfId="24459"/>
    <cellStyle name="Normal 23 3 5 4 2" xfId="24460"/>
    <cellStyle name="Normal 23 3 5 4 2 2" xfId="24461"/>
    <cellStyle name="Normal 23 3 5 4 3" xfId="24462"/>
    <cellStyle name="Normal 23 3 5 5" xfId="24463"/>
    <cellStyle name="Normal 23 3 5 5 2" xfId="24464"/>
    <cellStyle name="Normal 23 3 5 6" xfId="24465"/>
    <cellStyle name="Normal 23 3 5 7" xfId="24466"/>
    <cellStyle name="Normal 23 3 6" xfId="24467"/>
    <cellStyle name="Normal 23 3 6 2" xfId="24468"/>
    <cellStyle name="Normal 23 3 6 2 2" xfId="24469"/>
    <cellStyle name="Normal 23 3 6 2 2 2" xfId="24470"/>
    <cellStyle name="Normal 23 3 6 2 3" xfId="24471"/>
    <cellStyle name="Normal 23 3 6 3" xfId="24472"/>
    <cellStyle name="Normal 23 3 6 3 2" xfId="24473"/>
    <cellStyle name="Normal 23 3 6 4" xfId="24474"/>
    <cellStyle name="Normal 23 3 6 5" xfId="24475"/>
    <cellStyle name="Normal 23 3 7" xfId="24476"/>
    <cellStyle name="Normal 23 3 7 2" xfId="24477"/>
    <cellStyle name="Normal 23 3 7 2 2" xfId="24478"/>
    <cellStyle name="Normal 23 3 7 3" xfId="24479"/>
    <cellStyle name="Normal 23 3 8" xfId="24480"/>
    <cellStyle name="Normal 23 3 8 2" xfId="24481"/>
    <cellStyle name="Normal 23 3 8 2 2" xfId="24482"/>
    <cellStyle name="Normal 23 3 8 3" xfId="24483"/>
    <cellStyle name="Normal 23 3 9" xfId="24484"/>
    <cellStyle name="Normal 23 3 9 2" xfId="24485"/>
    <cellStyle name="Normal 23 4" xfId="7832"/>
    <cellStyle name="Normal 23 4 10" xfId="41240"/>
    <cellStyle name="Normal 23 4 2" xfId="24487"/>
    <cellStyle name="Normal 23 4 2 2" xfId="24488"/>
    <cellStyle name="Normal 23 4 2 2 2" xfId="24489"/>
    <cellStyle name="Normal 23 4 2 2 2 2" xfId="24490"/>
    <cellStyle name="Normal 23 4 2 2 3" xfId="24491"/>
    <cellStyle name="Normal 23 4 2 3" xfId="24492"/>
    <cellStyle name="Normal 23 4 2 3 2" xfId="24493"/>
    <cellStyle name="Normal 23 4 2 4" xfId="24494"/>
    <cellStyle name="Normal 23 4 2 5" xfId="24495"/>
    <cellStyle name="Normal 23 4 3" xfId="24496"/>
    <cellStyle name="Normal 23 4 3 2" xfId="24497"/>
    <cellStyle name="Normal 23 4 3 2 2" xfId="24498"/>
    <cellStyle name="Normal 23 4 3 2 2 2" xfId="24499"/>
    <cellStyle name="Normal 23 4 3 2 3" xfId="24500"/>
    <cellStyle name="Normal 23 4 3 3" xfId="24501"/>
    <cellStyle name="Normal 23 4 3 3 2" xfId="24502"/>
    <cellStyle name="Normal 23 4 3 4" xfId="24503"/>
    <cellStyle name="Normal 23 4 4" xfId="24504"/>
    <cellStyle name="Normal 23 4 4 2" xfId="24505"/>
    <cellStyle name="Normal 23 4 4 2 2" xfId="24506"/>
    <cellStyle name="Normal 23 4 4 3" xfId="24507"/>
    <cellStyle name="Normal 23 4 5" xfId="24508"/>
    <cellStyle name="Normal 23 4 5 2" xfId="24509"/>
    <cellStyle name="Normal 23 4 5 2 2" xfId="24510"/>
    <cellStyle name="Normal 23 4 5 3" xfId="24511"/>
    <cellStyle name="Normal 23 4 6" xfId="24512"/>
    <cellStyle name="Normal 23 4 6 2" xfId="24513"/>
    <cellStyle name="Normal 23 4 7" xfId="24514"/>
    <cellStyle name="Normal 23 4 7 2" xfId="24515"/>
    <cellStyle name="Normal 23 4 8" xfId="24516"/>
    <cellStyle name="Normal 23 4 9" xfId="24486"/>
    <cellStyle name="Normal 23 5" xfId="5865"/>
    <cellStyle name="Normal 23 5 10" xfId="41553"/>
    <cellStyle name="Normal 23 5 2" xfId="24518"/>
    <cellStyle name="Normal 23 5 2 2" xfId="24519"/>
    <cellStyle name="Normal 23 5 2 2 2" xfId="24520"/>
    <cellStyle name="Normal 23 5 2 2 2 2" xfId="24521"/>
    <cellStyle name="Normal 23 5 2 2 3" xfId="24522"/>
    <cellStyle name="Normal 23 5 2 3" xfId="24523"/>
    <cellStyle name="Normal 23 5 2 3 2" xfId="24524"/>
    <cellStyle name="Normal 23 5 2 4" xfId="24525"/>
    <cellStyle name="Normal 23 5 2 5" xfId="24526"/>
    <cellStyle name="Normal 23 5 3" xfId="24527"/>
    <cellStyle name="Normal 23 5 3 2" xfId="24528"/>
    <cellStyle name="Normal 23 5 3 2 2" xfId="24529"/>
    <cellStyle name="Normal 23 5 3 2 2 2" xfId="24530"/>
    <cellStyle name="Normal 23 5 3 2 3" xfId="24531"/>
    <cellStyle name="Normal 23 5 3 3" xfId="24532"/>
    <cellStyle name="Normal 23 5 3 3 2" xfId="24533"/>
    <cellStyle name="Normal 23 5 3 4" xfId="24534"/>
    <cellStyle name="Normal 23 5 4" xfId="24535"/>
    <cellStyle name="Normal 23 5 4 2" xfId="24536"/>
    <cellStyle name="Normal 23 5 4 2 2" xfId="24537"/>
    <cellStyle name="Normal 23 5 4 3" xfId="24538"/>
    <cellStyle name="Normal 23 5 5" xfId="24539"/>
    <cellStyle name="Normal 23 5 5 2" xfId="24540"/>
    <cellStyle name="Normal 23 5 5 2 2" xfId="24541"/>
    <cellStyle name="Normal 23 5 5 3" xfId="24542"/>
    <cellStyle name="Normal 23 5 6" xfId="24543"/>
    <cellStyle name="Normal 23 5 6 2" xfId="24544"/>
    <cellStyle name="Normal 23 5 7" xfId="24545"/>
    <cellStyle name="Normal 23 5 8" xfId="24546"/>
    <cellStyle name="Normal 23 5 9" xfId="24517"/>
    <cellStyle name="Normal 23 6" xfId="24547"/>
    <cellStyle name="Normal 23 6 2" xfId="24548"/>
    <cellStyle name="Normal 23 6 2 2" xfId="24549"/>
    <cellStyle name="Normal 23 6 2 2 2" xfId="24550"/>
    <cellStyle name="Normal 23 6 2 2 2 2" xfId="24551"/>
    <cellStyle name="Normal 23 6 2 2 3" xfId="24552"/>
    <cellStyle name="Normal 23 6 2 3" xfId="24553"/>
    <cellStyle name="Normal 23 6 2 3 2" xfId="24554"/>
    <cellStyle name="Normal 23 6 2 4" xfId="24555"/>
    <cellStyle name="Normal 23 6 2 5" xfId="24556"/>
    <cellStyle name="Normal 23 6 3" xfId="24557"/>
    <cellStyle name="Normal 23 6 3 2" xfId="24558"/>
    <cellStyle name="Normal 23 6 3 2 2" xfId="24559"/>
    <cellStyle name="Normal 23 6 3 2 2 2" xfId="24560"/>
    <cellStyle name="Normal 23 6 3 2 3" xfId="24561"/>
    <cellStyle name="Normal 23 6 3 3" xfId="24562"/>
    <cellStyle name="Normal 23 6 3 3 2" xfId="24563"/>
    <cellStyle name="Normal 23 6 3 4" xfId="24564"/>
    <cellStyle name="Normal 23 6 4" xfId="24565"/>
    <cellStyle name="Normal 23 6 4 2" xfId="24566"/>
    <cellStyle name="Normal 23 6 4 2 2" xfId="24567"/>
    <cellStyle name="Normal 23 6 4 3" xfId="24568"/>
    <cellStyle name="Normal 23 6 5" xfId="24569"/>
    <cellStyle name="Normal 23 6 5 2" xfId="24570"/>
    <cellStyle name="Normal 23 6 5 2 2" xfId="24571"/>
    <cellStyle name="Normal 23 6 5 3" xfId="24572"/>
    <cellStyle name="Normal 23 6 6" xfId="24573"/>
    <cellStyle name="Normal 23 6 6 2" xfId="24574"/>
    <cellStyle name="Normal 23 6 7" xfId="24575"/>
    <cellStyle name="Normal 23 6 8" xfId="24576"/>
    <cellStyle name="Normal 23 6 9" xfId="41312"/>
    <cellStyle name="Normal 23 7" xfId="24577"/>
    <cellStyle name="Normal 23 7 2" xfId="24578"/>
    <cellStyle name="Normal 23 7 2 2" xfId="24579"/>
    <cellStyle name="Normal 23 7 2 2 2" xfId="24580"/>
    <cellStyle name="Normal 23 7 2 2 2 2" xfId="24581"/>
    <cellStyle name="Normal 23 7 2 2 3" xfId="24582"/>
    <cellStyle name="Normal 23 7 2 3" xfId="24583"/>
    <cellStyle name="Normal 23 7 2 3 2" xfId="24584"/>
    <cellStyle name="Normal 23 7 2 4" xfId="24585"/>
    <cellStyle name="Normal 23 7 2 5" xfId="24586"/>
    <cellStyle name="Normal 23 7 3" xfId="24587"/>
    <cellStyle name="Normal 23 7 3 2" xfId="24588"/>
    <cellStyle name="Normal 23 7 3 2 2" xfId="24589"/>
    <cellStyle name="Normal 23 7 3 3" xfId="24590"/>
    <cellStyle name="Normal 23 7 4" xfId="24591"/>
    <cellStyle name="Normal 23 7 4 2" xfId="24592"/>
    <cellStyle name="Normal 23 7 4 2 2" xfId="24593"/>
    <cellStyle name="Normal 23 7 4 3" xfId="24594"/>
    <cellStyle name="Normal 23 7 5" xfId="24595"/>
    <cellStyle name="Normal 23 7 5 2" xfId="24596"/>
    <cellStyle name="Normal 23 7 6" xfId="24597"/>
    <cellStyle name="Normal 23 7 7" xfId="24598"/>
    <cellStyle name="Normal 23 7 8" xfId="24599"/>
    <cellStyle name="Normal 23 7 9" xfId="41041"/>
    <cellStyle name="Normal 23 8" xfId="24600"/>
    <cellStyle name="Normal 23 8 2" xfId="24601"/>
    <cellStyle name="Normal 23 8 2 2" xfId="24602"/>
    <cellStyle name="Normal 23 8 2 2 2" xfId="24603"/>
    <cellStyle name="Normal 23 8 2 3" xfId="24604"/>
    <cellStyle name="Normal 23 8 3" xfId="24605"/>
    <cellStyle name="Normal 23 8 3 2" xfId="24606"/>
    <cellStyle name="Normal 23 8 4" xfId="24607"/>
    <cellStyle name="Normal 23 8 5" xfId="24608"/>
    <cellStyle name="Normal 23 8 6" xfId="40923"/>
    <cellStyle name="Normal 23 9" xfId="24609"/>
    <cellStyle name="Normal 23 9 2" xfId="24610"/>
    <cellStyle name="Normal 23 9 2 2" xfId="24611"/>
    <cellStyle name="Normal 23 9 2 2 2" xfId="45088"/>
    <cellStyle name="Normal 23 9 2 3" xfId="43239"/>
    <cellStyle name="Normal 23 9 3" xfId="24612"/>
    <cellStyle name="Normal 23 9 3 2" xfId="44168"/>
    <cellStyle name="Normal 23 9 4" xfId="42306"/>
    <cellStyle name="Normal 24" xfId="1627"/>
    <cellStyle name="Normal 24 10" xfId="40478"/>
    <cellStyle name="Normal 24 2" xfId="1628"/>
    <cellStyle name="Normal 24 2 2" xfId="3122"/>
    <cellStyle name="Normal 24 2 3" xfId="5869"/>
    <cellStyle name="Normal 24 2 4" xfId="41044"/>
    <cellStyle name="Normal 24 3" xfId="1629"/>
    <cellStyle name="Normal 24 3 2" xfId="5870"/>
    <cellStyle name="Normal 24 3 3" xfId="41555"/>
    <cellStyle name="Normal 24 4" xfId="2777"/>
    <cellStyle name="Normal 24 4 2" xfId="7833"/>
    <cellStyle name="Normal 24 4 3" xfId="41043"/>
    <cellStyle name="Normal 24 5" xfId="5868"/>
    <cellStyle name="Normal 24 5 2" xfId="41874"/>
    <cellStyle name="Normal 24 6" xfId="8093"/>
    <cellStyle name="Normal 24 6 2" xfId="40826"/>
    <cellStyle name="Normal 24 7" xfId="42307"/>
    <cellStyle name="Normal 24 7 2" xfId="43241"/>
    <cellStyle name="Normal 24 7 2 2" xfId="45090"/>
    <cellStyle name="Normal 24 7 3" xfId="44169"/>
    <cellStyle name="Normal 24 8" xfId="43240"/>
    <cellStyle name="Normal 24 8 2" xfId="45089"/>
    <cellStyle name="Normal 24 9" xfId="43561"/>
    <cellStyle name="Normal 25" xfId="1630"/>
    <cellStyle name="Normal 25 10" xfId="24614"/>
    <cellStyle name="Normal 25 11" xfId="24615"/>
    <cellStyle name="Normal 25 11 2" xfId="24616"/>
    <cellStyle name="Normal 25 12" xfId="24617"/>
    <cellStyle name="Normal 25 13" xfId="24618"/>
    <cellStyle name="Normal 25 14" xfId="24613"/>
    <cellStyle name="Normal 25 15" xfId="40479"/>
    <cellStyle name="Normal 25 2" xfId="1631"/>
    <cellStyle name="Normal 25 2 10" xfId="24620"/>
    <cellStyle name="Normal 25 2 10 2" xfId="24621"/>
    <cellStyle name="Normal 25 2 11" xfId="24622"/>
    <cellStyle name="Normal 25 2 12" xfId="24623"/>
    <cellStyle name="Normal 25 2 13" xfId="24619"/>
    <cellStyle name="Normal 25 2 14" xfId="41046"/>
    <cellStyle name="Normal 25 2 2" xfId="24624"/>
    <cellStyle name="Normal 25 2 2 10" xfId="24625"/>
    <cellStyle name="Normal 25 2 2 11" xfId="24626"/>
    <cellStyle name="Normal 25 2 2 2" xfId="24627"/>
    <cellStyle name="Normal 25 2 2 2 2" xfId="24628"/>
    <cellStyle name="Normal 25 2 2 2 2 2" xfId="24629"/>
    <cellStyle name="Normal 25 2 2 2 2 2 2" xfId="24630"/>
    <cellStyle name="Normal 25 2 2 2 2 2 2 2" xfId="24631"/>
    <cellStyle name="Normal 25 2 2 2 2 2 3" xfId="24632"/>
    <cellStyle name="Normal 25 2 2 2 2 3" xfId="24633"/>
    <cellStyle name="Normal 25 2 2 2 2 3 2" xfId="24634"/>
    <cellStyle name="Normal 25 2 2 2 2 4" xfId="24635"/>
    <cellStyle name="Normal 25 2 2 2 2 5" xfId="24636"/>
    <cellStyle name="Normal 25 2 2 2 3" xfId="24637"/>
    <cellStyle name="Normal 25 2 2 2 3 2" xfId="24638"/>
    <cellStyle name="Normal 25 2 2 2 3 2 2" xfId="24639"/>
    <cellStyle name="Normal 25 2 2 2 3 2 2 2" xfId="24640"/>
    <cellStyle name="Normal 25 2 2 2 3 2 3" xfId="24641"/>
    <cellStyle name="Normal 25 2 2 2 3 3" xfId="24642"/>
    <cellStyle name="Normal 25 2 2 2 3 3 2" xfId="24643"/>
    <cellStyle name="Normal 25 2 2 2 3 4" xfId="24644"/>
    <cellStyle name="Normal 25 2 2 2 4" xfId="24645"/>
    <cellStyle name="Normal 25 2 2 2 4 2" xfId="24646"/>
    <cellStyle name="Normal 25 2 2 2 4 2 2" xfId="24647"/>
    <cellStyle name="Normal 25 2 2 2 4 3" xfId="24648"/>
    <cellStyle name="Normal 25 2 2 2 5" xfId="24649"/>
    <cellStyle name="Normal 25 2 2 2 5 2" xfId="24650"/>
    <cellStyle name="Normal 25 2 2 2 5 2 2" xfId="24651"/>
    <cellStyle name="Normal 25 2 2 2 5 3" xfId="24652"/>
    <cellStyle name="Normal 25 2 2 2 6" xfId="24653"/>
    <cellStyle name="Normal 25 2 2 2 6 2" xfId="24654"/>
    <cellStyle name="Normal 25 2 2 2 7" xfId="24655"/>
    <cellStyle name="Normal 25 2 2 2 8" xfId="24656"/>
    <cellStyle name="Normal 25 2 2 3" xfId="24657"/>
    <cellStyle name="Normal 25 2 2 3 2" xfId="24658"/>
    <cellStyle name="Normal 25 2 2 3 2 2" xfId="24659"/>
    <cellStyle name="Normal 25 2 2 3 2 2 2" xfId="24660"/>
    <cellStyle name="Normal 25 2 2 3 2 2 2 2" xfId="24661"/>
    <cellStyle name="Normal 25 2 2 3 2 2 3" xfId="24662"/>
    <cellStyle name="Normal 25 2 2 3 2 3" xfId="24663"/>
    <cellStyle name="Normal 25 2 2 3 2 3 2" xfId="24664"/>
    <cellStyle name="Normal 25 2 2 3 2 4" xfId="24665"/>
    <cellStyle name="Normal 25 2 2 3 2 5" xfId="24666"/>
    <cellStyle name="Normal 25 2 2 3 3" xfId="24667"/>
    <cellStyle name="Normal 25 2 2 3 3 2" xfId="24668"/>
    <cellStyle name="Normal 25 2 2 3 3 2 2" xfId="24669"/>
    <cellStyle name="Normal 25 2 2 3 3 2 2 2" xfId="24670"/>
    <cellStyle name="Normal 25 2 2 3 3 2 3" xfId="24671"/>
    <cellStyle name="Normal 25 2 2 3 3 3" xfId="24672"/>
    <cellStyle name="Normal 25 2 2 3 3 3 2" xfId="24673"/>
    <cellStyle name="Normal 25 2 2 3 3 4" xfId="24674"/>
    <cellStyle name="Normal 25 2 2 3 4" xfId="24675"/>
    <cellStyle name="Normal 25 2 2 3 4 2" xfId="24676"/>
    <cellStyle name="Normal 25 2 2 3 4 2 2" xfId="24677"/>
    <cellStyle name="Normal 25 2 2 3 4 3" xfId="24678"/>
    <cellStyle name="Normal 25 2 2 3 5" xfId="24679"/>
    <cellStyle name="Normal 25 2 2 3 5 2" xfId="24680"/>
    <cellStyle name="Normal 25 2 2 3 5 2 2" xfId="24681"/>
    <cellStyle name="Normal 25 2 2 3 5 3" xfId="24682"/>
    <cellStyle name="Normal 25 2 2 3 6" xfId="24683"/>
    <cellStyle name="Normal 25 2 2 3 6 2" xfId="24684"/>
    <cellStyle name="Normal 25 2 2 3 7" xfId="24685"/>
    <cellStyle name="Normal 25 2 2 3 8" xfId="24686"/>
    <cellStyle name="Normal 25 2 2 4" xfId="24687"/>
    <cellStyle name="Normal 25 2 2 4 2" xfId="24688"/>
    <cellStyle name="Normal 25 2 2 4 2 2" xfId="24689"/>
    <cellStyle name="Normal 25 2 2 4 2 2 2" xfId="24690"/>
    <cellStyle name="Normal 25 2 2 4 2 2 2 2" xfId="24691"/>
    <cellStyle name="Normal 25 2 2 4 2 2 3" xfId="24692"/>
    <cellStyle name="Normal 25 2 2 4 2 3" xfId="24693"/>
    <cellStyle name="Normal 25 2 2 4 2 3 2" xfId="24694"/>
    <cellStyle name="Normal 25 2 2 4 2 4" xfId="24695"/>
    <cellStyle name="Normal 25 2 2 4 2 5" xfId="24696"/>
    <cellStyle name="Normal 25 2 2 4 3" xfId="24697"/>
    <cellStyle name="Normal 25 2 2 4 3 2" xfId="24698"/>
    <cellStyle name="Normal 25 2 2 4 3 2 2" xfId="24699"/>
    <cellStyle name="Normal 25 2 2 4 3 2 2 2" xfId="24700"/>
    <cellStyle name="Normal 25 2 2 4 3 2 3" xfId="24701"/>
    <cellStyle name="Normal 25 2 2 4 3 3" xfId="24702"/>
    <cellStyle name="Normal 25 2 2 4 3 3 2" xfId="24703"/>
    <cellStyle name="Normal 25 2 2 4 3 4" xfId="24704"/>
    <cellStyle name="Normal 25 2 2 4 4" xfId="24705"/>
    <cellStyle name="Normal 25 2 2 4 4 2" xfId="24706"/>
    <cellStyle name="Normal 25 2 2 4 4 2 2" xfId="24707"/>
    <cellStyle name="Normal 25 2 2 4 4 3" xfId="24708"/>
    <cellStyle name="Normal 25 2 2 4 5" xfId="24709"/>
    <cellStyle name="Normal 25 2 2 4 5 2" xfId="24710"/>
    <cellStyle name="Normal 25 2 2 4 5 2 2" xfId="24711"/>
    <cellStyle name="Normal 25 2 2 4 5 3" xfId="24712"/>
    <cellStyle name="Normal 25 2 2 4 6" xfId="24713"/>
    <cellStyle name="Normal 25 2 2 4 6 2" xfId="24714"/>
    <cellStyle name="Normal 25 2 2 4 7" xfId="24715"/>
    <cellStyle name="Normal 25 2 2 4 8" xfId="24716"/>
    <cellStyle name="Normal 25 2 2 5" xfId="24717"/>
    <cellStyle name="Normal 25 2 2 5 2" xfId="24718"/>
    <cellStyle name="Normal 25 2 2 5 2 2" xfId="24719"/>
    <cellStyle name="Normal 25 2 2 5 2 2 2" xfId="24720"/>
    <cellStyle name="Normal 25 2 2 5 2 2 2 2" xfId="24721"/>
    <cellStyle name="Normal 25 2 2 5 2 2 3" xfId="24722"/>
    <cellStyle name="Normal 25 2 2 5 2 3" xfId="24723"/>
    <cellStyle name="Normal 25 2 2 5 2 3 2" xfId="24724"/>
    <cellStyle name="Normal 25 2 2 5 2 4" xfId="24725"/>
    <cellStyle name="Normal 25 2 2 5 3" xfId="24726"/>
    <cellStyle name="Normal 25 2 2 5 3 2" xfId="24727"/>
    <cellStyle name="Normal 25 2 2 5 3 2 2" xfId="24728"/>
    <cellStyle name="Normal 25 2 2 5 3 3" xfId="24729"/>
    <cellStyle name="Normal 25 2 2 5 4" xfId="24730"/>
    <cellStyle name="Normal 25 2 2 5 4 2" xfId="24731"/>
    <cellStyle name="Normal 25 2 2 5 4 2 2" xfId="24732"/>
    <cellStyle name="Normal 25 2 2 5 4 3" xfId="24733"/>
    <cellStyle name="Normal 25 2 2 5 5" xfId="24734"/>
    <cellStyle name="Normal 25 2 2 5 5 2" xfId="24735"/>
    <cellStyle name="Normal 25 2 2 5 6" xfId="24736"/>
    <cellStyle name="Normal 25 2 2 5 7" xfId="24737"/>
    <cellStyle name="Normal 25 2 2 6" xfId="24738"/>
    <cellStyle name="Normal 25 2 2 6 2" xfId="24739"/>
    <cellStyle name="Normal 25 2 2 6 2 2" xfId="24740"/>
    <cellStyle name="Normal 25 2 2 6 2 2 2" xfId="24741"/>
    <cellStyle name="Normal 25 2 2 6 2 3" xfId="24742"/>
    <cellStyle name="Normal 25 2 2 6 3" xfId="24743"/>
    <cellStyle name="Normal 25 2 2 6 3 2" xfId="24744"/>
    <cellStyle name="Normal 25 2 2 6 4" xfId="24745"/>
    <cellStyle name="Normal 25 2 2 6 5" xfId="24746"/>
    <cellStyle name="Normal 25 2 2 7" xfId="24747"/>
    <cellStyle name="Normal 25 2 2 7 2" xfId="24748"/>
    <cellStyle name="Normal 25 2 2 7 2 2" xfId="24749"/>
    <cellStyle name="Normal 25 2 2 7 3" xfId="24750"/>
    <cellStyle name="Normal 25 2 2 8" xfId="24751"/>
    <cellStyle name="Normal 25 2 2 8 2" xfId="24752"/>
    <cellStyle name="Normal 25 2 2 8 2 2" xfId="24753"/>
    <cellStyle name="Normal 25 2 2 8 3" xfId="24754"/>
    <cellStyle name="Normal 25 2 2 9" xfId="24755"/>
    <cellStyle name="Normal 25 2 2 9 2" xfId="24756"/>
    <cellStyle name="Normal 25 2 3" xfId="24757"/>
    <cellStyle name="Normal 25 2 3 2" xfId="24758"/>
    <cellStyle name="Normal 25 2 3 2 2" xfId="24759"/>
    <cellStyle name="Normal 25 2 3 2 2 2" xfId="24760"/>
    <cellStyle name="Normal 25 2 3 2 2 2 2" xfId="24761"/>
    <cellStyle name="Normal 25 2 3 2 2 3" xfId="24762"/>
    <cellStyle name="Normal 25 2 3 2 3" xfId="24763"/>
    <cellStyle name="Normal 25 2 3 2 3 2" xfId="24764"/>
    <cellStyle name="Normal 25 2 3 2 4" xfId="24765"/>
    <cellStyle name="Normal 25 2 3 2 5" xfId="24766"/>
    <cellStyle name="Normal 25 2 3 3" xfId="24767"/>
    <cellStyle name="Normal 25 2 3 3 2" xfId="24768"/>
    <cellStyle name="Normal 25 2 3 3 2 2" xfId="24769"/>
    <cellStyle name="Normal 25 2 3 3 2 2 2" xfId="24770"/>
    <cellStyle name="Normal 25 2 3 3 2 3" xfId="24771"/>
    <cellStyle name="Normal 25 2 3 3 3" xfId="24772"/>
    <cellStyle name="Normal 25 2 3 3 3 2" xfId="24773"/>
    <cellStyle name="Normal 25 2 3 3 4" xfId="24774"/>
    <cellStyle name="Normal 25 2 3 4" xfId="24775"/>
    <cellStyle name="Normal 25 2 3 4 2" xfId="24776"/>
    <cellStyle name="Normal 25 2 3 4 2 2" xfId="24777"/>
    <cellStyle name="Normal 25 2 3 4 3" xfId="24778"/>
    <cellStyle name="Normal 25 2 3 5" xfId="24779"/>
    <cellStyle name="Normal 25 2 3 5 2" xfId="24780"/>
    <cellStyle name="Normal 25 2 3 5 2 2" xfId="24781"/>
    <cellStyle name="Normal 25 2 3 5 3" xfId="24782"/>
    <cellStyle name="Normal 25 2 3 6" xfId="24783"/>
    <cellStyle name="Normal 25 2 3 6 2" xfId="24784"/>
    <cellStyle name="Normal 25 2 3 7" xfId="24785"/>
    <cellStyle name="Normal 25 2 3 8" xfId="24786"/>
    <cellStyle name="Normal 25 2 4" xfId="24787"/>
    <cellStyle name="Normal 25 2 4 2" xfId="24788"/>
    <cellStyle name="Normal 25 2 4 2 2" xfId="24789"/>
    <cellStyle name="Normal 25 2 4 2 2 2" xfId="24790"/>
    <cellStyle name="Normal 25 2 4 2 2 2 2" xfId="24791"/>
    <cellStyle name="Normal 25 2 4 2 2 3" xfId="24792"/>
    <cellStyle name="Normal 25 2 4 2 3" xfId="24793"/>
    <cellStyle name="Normal 25 2 4 2 3 2" xfId="24794"/>
    <cellStyle name="Normal 25 2 4 2 4" xfId="24795"/>
    <cellStyle name="Normal 25 2 4 2 5" xfId="24796"/>
    <cellStyle name="Normal 25 2 4 3" xfId="24797"/>
    <cellStyle name="Normal 25 2 4 3 2" xfId="24798"/>
    <cellStyle name="Normal 25 2 4 3 2 2" xfId="24799"/>
    <cellStyle name="Normal 25 2 4 3 2 2 2" xfId="24800"/>
    <cellStyle name="Normal 25 2 4 3 2 3" xfId="24801"/>
    <cellStyle name="Normal 25 2 4 3 3" xfId="24802"/>
    <cellStyle name="Normal 25 2 4 3 3 2" xfId="24803"/>
    <cellStyle name="Normal 25 2 4 3 4" xfId="24804"/>
    <cellStyle name="Normal 25 2 4 4" xfId="24805"/>
    <cellStyle name="Normal 25 2 4 4 2" xfId="24806"/>
    <cellStyle name="Normal 25 2 4 4 2 2" xfId="24807"/>
    <cellStyle name="Normal 25 2 4 4 3" xfId="24808"/>
    <cellStyle name="Normal 25 2 4 5" xfId="24809"/>
    <cellStyle name="Normal 25 2 4 5 2" xfId="24810"/>
    <cellStyle name="Normal 25 2 4 5 2 2" xfId="24811"/>
    <cellStyle name="Normal 25 2 4 5 3" xfId="24812"/>
    <cellStyle name="Normal 25 2 4 6" xfId="24813"/>
    <cellStyle name="Normal 25 2 4 6 2" xfId="24814"/>
    <cellStyle name="Normal 25 2 4 7" xfId="24815"/>
    <cellStyle name="Normal 25 2 4 8" xfId="24816"/>
    <cellStyle name="Normal 25 2 5" xfId="24817"/>
    <cellStyle name="Normal 25 2 5 2" xfId="24818"/>
    <cellStyle name="Normal 25 2 5 2 2" xfId="24819"/>
    <cellStyle name="Normal 25 2 5 2 2 2" xfId="24820"/>
    <cellStyle name="Normal 25 2 5 2 2 2 2" xfId="24821"/>
    <cellStyle name="Normal 25 2 5 2 2 3" xfId="24822"/>
    <cellStyle name="Normal 25 2 5 2 3" xfId="24823"/>
    <cellStyle name="Normal 25 2 5 2 3 2" xfId="24824"/>
    <cellStyle name="Normal 25 2 5 2 4" xfId="24825"/>
    <cellStyle name="Normal 25 2 5 2 5" xfId="24826"/>
    <cellStyle name="Normal 25 2 5 3" xfId="24827"/>
    <cellStyle name="Normal 25 2 5 3 2" xfId="24828"/>
    <cellStyle name="Normal 25 2 5 3 2 2" xfId="24829"/>
    <cellStyle name="Normal 25 2 5 3 2 2 2" xfId="24830"/>
    <cellStyle name="Normal 25 2 5 3 2 3" xfId="24831"/>
    <cellStyle name="Normal 25 2 5 3 3" xfId="24832"/>
    <cellStyle name="Normal 25 2 5 3 3 2" xfId="24833"/>
    <cellStyle name="Normal 25 2 5 3 4" xfId="24834"/>
    <cellStyle name="Normal 25 2 5 4" xfId="24835"/>
    <cellStyle name="Normal 25 2 5 4 2" xfId="24836"/>
    <cellStyle name="Normal 25 2 5 4 2 2" xfId="24837"/>
    <cellStyle name="Normal 25 2 5 4 3" xfId="24838"/>
    <cellStyle name="Normal 25 2 5 5" xfId="24839"/>
    <cellStyle name="Normal 25 2 5 5 2" xfId="24840"/>
    <cellStyle name="Normal 25 2 5 5 2 2" xfId="24841"/>
    <cellStyle name="Normal 25 2 5 5 3" xfId="24842"/>
    <cellStyle name="Normal 25 2 5 6" xfId="24843"/>
    <cellStyle name="Normal 25 2 5 6 2" xfId="24844"/>
    <cellStyle name="Normal 25 2 5 7" xfId="24845"/>
    <cellStyle name="Normal 25 2 5 8" xfId="24846"/>
    <cellStyle name="Normal 25 2 6" xfId="24847"/>
    <cellStyle name="Normal 25 2 6 2" xfId="24848"/>
    <cellStyle name="Normal 25 2 6 2 2" xfId="24849"/>
    <cellStyle name="Normal 25 2 6 2 2 2" xfId="24850"/>
    <cellStyle name="Normal 25 2 6 2 2 2 2" xfId="24851"/>
    <cellStyle name="Normal 25 2 6 2 2 3" xfId="24852"/>
    <cellStyle name="Normal 25 2 6 2 3" xfId="24853"/>
    <cellStyle name="Normal 25 2 6 2 3 2" xfId="24854"/>
    <cellStyle name="Normal 25 2 6 2 4" xfId="24855"/>
    <cellStyle name="Normal 25 2 6 3" xfId="24856"/>
    <cellStyle name="Normal 25 2 6 3 2" xfId="24857"/>
    <cellStyle name="Normal 25 2 6 3 2 2" xfId="24858"/>
    <cellStyle name="Normal 25 2 6 3 3" xfId="24859"/>
    <cellStyle name="Normal 25 2 6 4" xfId="24860"/>
    <cellStyle name="Normal 25 2 6 4 2" xfId="24861"/>
    <cellStyle name="Normal 25 2 6 4 2 2" xfId="24862"/>
    <cellStyle name="Normal 25 2 6 4 3" xfId="24863"/>
    <cellStyle name="Normal 25 2 6 5" xfId="24864"/>
    <cellStyle name="Normal 25 2 6 5 2" xfId="24865"/>
    <cellStyle name="Normal 25 2 6 6" xfId="24866"/>
    <cellStyle name="Normal 25 2 6 7" xfId="24867"/>
    <cellStyle name="Normal 25 2 7" xfId="24868"/>
    <cellStyle name="Normal 25 2 7 2" xfId="24869"/>
    <cellStyle name="Normal 25 2 7 2 2" xfId="24870"/>
    <cellStyle name="Normal 25 2 7 2 2 2" xfId="24871"/>
    <cellStyle name="Normal 25 2 7 2 3" xfId="24872"/>
    <cellStyle name="Normal 25 2 7 3" xfId="24873"/>
    <cellStyle name="Normal 25 2 7 3 2" xfId="24874"/>
    <cellStyle name="Normal 25 2 7 4" xfId="24875"/>
    <cellStyle name="Normal 25 2 7 5" xfId="24876"/>
    <cellStyle name="Normal 25 2 8" xfId="24877"/>
    <cellStyle name="Normal 25 2 8 2" xfId="24878"/>
    <cellStyle name="Normal 25 2 8 2 2" xfId="24879"/>
    <cellStyle name="Normal 25 2 8 3" xfId="24880"/>
    <cellStyle name="Normal 25 2 9" xfId="24881"/>
    <cellStyle name="Normal 25 2 9 2" xfId="24882"/>
    <cellStyle name="Normal 25 2 9 2 2" xfId="24883"/>
    <cellStyle name="Normal 25 2 9 3" xfId="24884"/>
    <cellStyle name="Normal 25 3" xfId="1632"/>
    <cellStyle name="Normal 25 3 10" xfId="41556"/>
    <cellStyle name="Normal 25 3 2" xfId="24886"/>
    <cellStyle name="Normal 25 3 2 2" xfId="24887"/>
    <cellStyle name="Normal 25 3 2 2 2" xfId="24888"/>
    <cellStyle name="Normal 25 3 2 2 2 2" xfId="24889"/>
    <cellStyle name="Normal 25 3 2 2 3" xfId="24890"/>
    <cellStyle name="Normal 25 3 2 3" xfId="24891"/>
    <cellStyle name="Normal 25 3 2 3 2" xfId="24892"/>
    <cellStyle name="Normal 25 3 2 4" xfId="24893"/>
    <cellStyle name="Normal 25 3 3" xfId="24894"/>
    <cellStyle name="Normal 25 3 3 2" xfId="24895"/>
    <cellStyle name="Normal 25 3 3 2 2" xfId="24896"/>
    <cellStyle name="Normal 25 3 3 2 2 2" xfId="24897"/>
    <cellStyle name="Normal 25 3 3 2 3" xfId="24898"/>
    <cellStyle name="Normal 25 3 3 3" xfId="24899"/>
    <cellStyle name="Normal 25 3 3 3 2" xfId="24900"/>
    <cellStyle name="Normal 25 3 3 4" xfId="24901"/>
    <cellStyle name="Normal 25 3 4" xfId="24902"/>
    <cellStyle name="Normal 25 3 4 2" xfId="24903"/>
    <cellStyle name="Normal 25 3 4 2 2" xfId="24904"/>
    <cellStyle name="Normal 25 3 4 3" xfId="24905"/>
    <cellStyle name="Normal 25 3 5" xfId="24906"/>
    <cellStyle name="Normal 25 3 5 2" xfId="24907"/>
    <cellStyle name="Normal 25 3 5 2 2" xfId="24908"/>
    <cellStyle name="Normal 25 3 5 3" xfId="24909"/>
    <cellStyle name="Normal 25 3 6" xfId="24910"/>
    <cellStyle name="Normal 25 3 6 2" xfId="24911"/>
    <cellStyle name="Normal 25 3 7" xfId="24912"/>
    <cellStyle name="Normal 25 3 8" xfId="24913"/>
    <cellStyle name="Normal 25 3 9" xfId="24885"/>
    <cellStyle name="Normal 25 4" xfId="2920"/>
    <cellStyle name="Normal 25 4 10" xfId="41045"/>
    <cellStyle name="Normal 25 4 2" xfId="24915"/>
    <cellStyle name="Normal 25 4 2 2" xfId="24916"/>
    <cellStyle name="Normal 25 4 2 2 2" xfId="24917"/>
    <cellStyle name="Normal 25 4 2 2 2 2" xfId="24918"/>
    <cellStyle name="Normal 25 4 2 2 3" xfId="24919"/>
    <cellStyle name="Normal 25 4 2 3" xfId="24920"/>
    <cellStyle name="Normal 25 4 2 3 2" xfId="24921"/>
    <cellStyle name="Normal 25 4 2 4" xfId="24922"/>
    <cellStyle name="Normal 25 4 2 5" xfId="24923"/>
    <cellStyle name="Normal 25 4 3" xfId="24924"/>
    <cellStyle name="Normal 25 4 3 2" xfId="24925"/>
    <cellStyle name="Normal 25 4 3 2 2" xfId="24926"/>
    <cellStyle name="Normal 25 4 3 2 2 2" xfId="24927"/>
    <cellStyle name="Normal 25 4 3 2 3" xfId="24928"/>
    <cellStyle name="Normal 25 4 3 3" xfId="24929"/>
    <cellStyle name="Normal 25 4 3 3 2" xfId="24930"/>
    <cellStyle name="Normal 25 4 3 4" xfId="24931"/>
    <cellStyle name="Normal 25 4 4" xfId="24932"/>
    <cellStyle name="Normal 25 4 4 2" xfId="24933"/>
    <cellStyle name="Normal 25 4 4 2 2" xfId="24934"/>
    <cellStyle name="Normal 25 4 4 3" xfId="24935"/>
    <cellStyle name="Normal 25 4 5" xfId="24936"/>
    <cellStyle name="Normal 25 4 5 2" xfId="24937"/>
    <cellStyle name="Normal 25 4 5 2 2" xfId="24938"/>
    <cellStyle name="Normal 25 4 5 3" xfId="24939"/>
    <cellStyle name="Normal 25 4 6" xfId="24940"/>
    <cellStyle name="Normal 25 4 6 2" xfId="24941"/>
    <cellStyle name="Normal 25 4 7" xfId="24942"/>
    <cellStyle name="Normal 25 4 8" xfId="24943"/>
    <cellStyle name="Normal 25 4 9" xfId="24914"/>
    <cellStyle name="Normal 25 5" xfId="5871"/>
    <cellStyle name="Normal 25 5 10" xfId="41876"/>
    <cellStyle name="Normal 25 5 2" xfId="24945"/>
    <cellStyle name="Normal 25 5 2 2" xfId="24946"/>
    <cellStyle name="Normal 25 5 2 2 2" xfId="24947"/>
    <cellStyle name="Normal 25 5 2 2 2 2" xfId="24948"/>
    <cellStyle name="Normal 25 5 2 2 3" xfId="24949"/>
    <cellStyle name="Normal 25 5 2 3" xfId="24950"/>
    <cellStyle name="Normal 25 5 2 3 2" xfId="24951"/>
    <cellStyle name="Normal 25 5 2 4" xfId="24952"/>
    <cellStyle name="Normal 25 5 2 5" xfId="24953"/>
    <cellStyle name="Normal 25 5 3" xfId="24954"/>
    <cellStyle name="Normal 25 5 3 2" xfId="24955"/>
    <cellStyle name="Normal 25 5 3 2 2" xfId="24956"/>
    <cellStyle name="Normal 25 5 3 2 2 2" xfId="24957"/>
    <cellStyle name="Normal 25 5 3 2 3" xfId="24958"/>
    <cellStyle name="Normal 25 5 3 3" xfId="24959"/>
    <cellStyle name="Normal 25 5 3 3 2" xfId="24960"/>
    <cellStyle name="Normal 25 5 3 4" xfId="24961"/>
    <cellStyle name="Normal 25 5 4" xfId="24962"/>
    <cellStyle name="Normal 25 5 4 2" xfId="24963"/>
    <cellStyle name="Normal 25 5 4 2 2" xfId="24964"/>
    <cellStyle name="Normal 25 5 4 3" xfId="24965"/>
    <cellStyle name="Normal 25 5 5" xfId="24966"/>
    <cellStyle name="Normal 25 5 5 2" xfId="24967"/>
    <cellStyle name="Normal 25 5 5 2 2" xfId="24968"/>
    <cellStyle name="Normal 25 5 5 3" xfId="24969"/>
    <cellStyle name="Normal 25 5 6" xfId="24970"/>
    <cellStyle name="Normal 25 5 6 2" xfId="24971"/>
    <cellStyle name="Normal 25 5 7" xfId="24972"/>
    <cellStyle name="Normal 25 5 8" xfId="24973"/>
    <cellStyle name="Normal 25 5 9" xfId="24944"/>
    <cellStyle name="Normal 25 6" xfId="24974"/>
    <cellStyle name="Normal 25 6 2" xfId="24975"/>
    <cellStyle name="Normal 25 6 2 2" xfId="24976"/>
    <cellStyle name="Normal 25 6 2 2 2" xfId="24977"/>
    <cellStyle name="Normal 25 6 2 2 2 2" xfId="24978"/>
    <cellStyle name="Normal 25 6 2 2 3" xfId="24979"/>
    <cellStyle name="Normal 25 6 2 3" xfId="24980"/>
    <cellStyle name="Normal 25 6 2 3 2" xfId="24981"/>
    <cellStyle name="Normal 25 6 2 4" xfId="24982"/>
    <cellStyle name="Normal 25 6 3" xfId="24983"/>
    <cellStyle name="Normal 25 6 3 2" xfId="24984"/>
    <cellStyle name="Normal 25 6 3 2 2" xfId="24985"/>
    <cellStyle name="Normal 25 6 3 3" xfId="24986"/>
    <cellStyle name="Normal 25 6 4" xfId="24987"/>
    <cellStyle name="Normal 25 6 4 2" xfId="24988"/>
    <cellStyle name="Normal 25 6 4 2 2" xfId="24989"/>
    <cellStyle name="Normal 25 6 4 3" xfId="24990"/>
    <cellStyle name="Normal 25 6 5" xfId="24991"/>
    <cellStyle name="Normal 25 6 5 2" xfId="24992"/>
    <cellStyle name="Normal 25 6 6" xfId="24993"/>
    <cellStyle name="Normal 25 6 7" xfId="24994"/>
    <cellStyle name="Normal 25 6 8" xfId="40829"/>
    <cellStyle name="Normal 25 7" xfId="24995"/>
    <cellStyle name="Normal 25 7 2" xfId="24996"/>
    <cellStyle name="Normal 25 7 2 2" xfId="24997"/>
    <cellStyle name="Normal 25 7 2 2 2" xfId="24998"/>
    <cellStyle name="Normal 25 7 2 2 3" xfId="45092"/>
    <cellStyle name="Normal 25 7 2 3" xfId="24999"/>
    <cellStyle name="Normal 25 7 2 4" xfId="43243"/>
    <cellStyle name="Normal 25 7 3" xfId="25000"/>
    <cellStyle name="Normal 25 7 3 2" xfId="25001"/>
    <cellStyle name="Normal 25 7 3 3" xfId="44170"/>
    <cellStyle name="Normal 25 7 4" xfId="25002"/>
    <cellStyle name="Normal 25 7 5" xfId="25003"/>
    <cellStyle name="Normal 25 7 6" xfId="42308"/>
    <cellStyle name="Normal 25 8" xfId="25004"/>
    <cellStyle name="Normal 25 8 2" xfId="25005"/>
    <cellStyle name="Normal 25 8 2 2" xfId="25006"/>
    <cellStyle name="Normal 25 8 2 3" xfId="45091"/>
    <cellStyle name="Normal 25 8 3" xfId="25007"/>
    <cellStyle name="Normal 25 8 4" xfId="43242"/>
    <cellStyle name="Normal 25 9" xfId="25008"/>
    <cellStyle name="Normal 25 9 2" xfId="25009"/>
    <cellStyle name="Normal 25 9 2 2" xfId="25010"/>
    <cellStyle name="Normal 25 9 3" xfId="25011"/>
    <cellStyle name="Normal 25 9 4" xfId="43562"/>
    <cellStyle name="Normal 257" xfId="43427"/>
    <cellStyle name="Normal 26" xfId="34"/>
    <cellStyle name="Normal 26 2" xfId="1634"/>
    <cellStyle name="Normal 26 2 2" xfId="5873"/>
    <cellStyle name="Normal 26 2 3" xfId="41557"/>
    <cellStyle name="Normal 26 3" xfId="1635"/>
    <cellStyle name="Normal 26 3 2" xfId="5874"/>
    <cellStyle name="Normal 26 3 3" xfId="41047"/>
    <cellStyle name="Normal 26 4" xfId="2778"/>
    <cellStyle name="Normal 26 4 2" xfId="7834"/>
    <cellStyle name="Normal 26 4 2 2" xfId="45094"/>
    <cellStyle name="Normal 26 4 2 3" xfId="43245"/>
    <cellStyle name="Normal 26 4 3" xfId="44171"/>
    <cellStyle name="Normal 26 4 4" xfId="42309"/>
    <cellStyle name="Normal 26 5" xfId="5872"/>
    <cellStyle name="Normal 26 5 2" xfId="45093"/>
    <cellStyle name="Normal 26 5 3" xfId="43244"/>
    <cellStyle name="Normal 26 6" xfId="43563"/>
    <cellStyle name="Normal 26 7" xfId="40480"/>
    <cellStyle name="Normal 27" xfId="1636"/>
    <cellStyle name="Normal 27 10" xfId="40481"/>
    <cellStyle name="Normal 27 2" xfId="1637"/>
    <cellStyle name="Normal 27 2 2" xfId="7835"/>
    <cellStyle name="Normal 27 2 3" xfId="8094"/>
    <cellStyle name="Normal 27 2 4" xfId="25013"/>
    <cellStyle name="Normal 27 2 5" xfId="41558"/>
    <cellStyle name="Normal 27 3" xfId="1638"/>
    <cellStyle name="Normal 27 3 2" xfId="1639"/>
    <cellStyle name="Normal 27 3 2 2" xfId="8096"/>
    <cellStyle name="Normal 27 3 2 3" xfId="25015"/>
    <cellStyle name="Normal 27 3 3" xfId="1640"/>
    <cellStyle name="Normal 27 3 3 2" xfId="8097"/>
    <cellStyle name="Normal 27 3 3 3" xfId="25016"/>
    <cellStyle name="Normal 27 3 4" xfId="8095"/>
    <cellStyle name="Normal 27 3 4 2" xfId="25017"/>
    <cellStyle name="Normal 27 3 5" xfId="25014"/>
    <cellStyle name="Normal 27 3 6" xfId="41348"/>
    <cellStyle name="Normal 27 4" xfId="1641"/>
    <cellStyle name="Normal 27 4 2" xfId="41048"/>
    <cellStyle name="Normal 27 5" xfId="1642"/>
    <cellStyle name="Normal 27 5 2" xfId="43247"/>
    <cellStyle name="Normal 27 5 2 2" xfId="45096"/>
    <cellStyle name="Normal 27 5 3" xfId="44172"/>
    <cellStyle name="Normal 27 5 4" xfId="42310"/>
    <cellStyle name="Normal 27 6" xfId="1643"/>
    <cellStyle name="Normal 27 6 2" xfId="45095"/>
    <cellStyle name="Normal 27 6 3" xfId="43246"/>
    <cellStyle name="Normal 27 7" xfId="3027"/>
    <cellStyle name="Normal 27 7 2" xfId="43564"/>
    <cellStyle name="Normal 27 8" xfId="5875"/>
    <cellStyle name="Normal 27 9" xfId="25012"/>
    <cellStyle name="Normal 28" xfId="1644"/>
    <cellStyle name="Normal 28 2" xfId="1645"/>
    <cellStyle name="Normal 28 2 2" xfId="5877"/>
    <cellStyle name="Normal 28 2 2 2" xfId="25019"/>
    <cellStyle name="Normal 28 2 2 3" xfId="25018"/>
    <cellStyle name="Normal 28 2 3" xfId="41559"/>
    <cellStyle name="Normal 28 3" xfId="5878"/>
    <cellStyle name="Normal 28 3 2" xfId="41371"/>
    <cellStyle name="Normal 28 4" xfId="7836"/>
    <cellStyle name="Normal 28 4 2" xfId="41049"/>
    <cellStyle name="Normal 28 5" xfId="5876"/>
    <cellStyle name="Normal 28 5 2" xfId="43249"/>
    <cellStyle name="Normal 28 5 2 2" xfId="45098"/>
    <cellStyle name="Normal 28 5 3" xfId="44173"/>
    <cellStyle name="Normal 28 5 4" xfId="42311"/>
    <cellStyle name="Normal 28 6" xfId="43248"/>
    <cellStyle name="Normal 28 6 2" xfId="45097"/>
    <cellStyle name="Normal 28 7" xfId="43565"/>
    <cellStyle name="Normal 28 8" xfId="40482"/>
    <cellStyle name="Normal 29" xfId="1646"/>
    <cellStyle name="Normal 29 10" xfId="25021"/>
    <cellStyle name="Normal 29 11" xfId="25022"/>
    <cellStyle name="Normal 29 12" xfId="25020"/>
    <cellStyle name="Normal 29 13" xfId="40483"/>
    <cellStyle name="Normal 29 2" xfId="1647"/>
    <cellStyle name="Normal 29 2 10" xfId="41560"/>
    <cellStyle name="Normal 29 2 2" xfId="25024"/>
    <cellStyle name="Normal 29 2 2 2" xfId="25025"/>
    <cellStyle name="Normal 29 2 2 2 2" xfId="25026"/>
    <cellStyle name="Normal 29 2 2 2 2 2" xfId="25027"/>
    <cellStyle name="Normal 29 2 2 2 3" xfId="25028"/>
    <cellStyle name="Normal 29 2 2 3" xfId="25029"/>
    <cellStyle name="Normal 29 2 2 3 2" xfId="25030"/>
    <cellStyle name="Normal 29 2 2 4" xfId="25031"/>
    <cellStyle name="Normal 29 2 2 5" xfId="25032"/>
    <cellStyle name="Normal 29 2 3" xfId="25033"/>
    <cellStyle name="Normal 29 2 3 2" xfId="25034"/>
    <cellStyle name="Normal 29 2 3 2 2" xfId="25035"/>
    <cellStyle name="Normal 29 2 3 2 2 2" xfId="25036"/>
    <cellStyle name="Normal 29 2 3 2 3" xfId="25037"/>
    <cellStyle name="Normal 29 2 3 3" xfId="25038"/>
    <cellStyle name="Normal 29 2 3 3 2" xfId="25039"/>
    <cellStyle name="Normal 29 2 3 4" xfId="25040"/>
    <cellStyle name="Normal 29 2 4" xfId="25041"/>
    <cellStyle name="Normal 29 2 4 2" xfId="25042"/>
    <cellStyle name="Normal 29 2 4 2 2" xfId="25043"/>
    <cellStyle name="Normal 29 2 4 3" xfId="25044"/>
    <cellStyle name="Normal 29 2 5" xfId="25045"/>
    <cellStyle name="Normal 29 2 5 2" xfId="25046"/>
    <cellStyle name="Normal 29 2 5 2 2" xfId="25047"/>
    <cellStyle name="Normal 29 2 5 3" xfId="25048"/>
    <cellStyle name="Normal 29 2 6" xfId="25049"/>
    <cellStyle name="Normal 29 2 6 2" xfId="25050"/>
    <cellStyle name="Normal 29 2 7" xfId="25051"/>
    <cellStyle name="Normal 29 2 7 2" xfId="25052"/>
    <cellStyle name="Normal 29 2 8" xfId="25053"/>
    <cellStyle name="Normal 29 2 9" xfId="25023"/>
    <cellStyle name="Normal 29 3" xfId="3153"/>
    <cellStyle name="Normal 29 3 10" xfId="41372"/>
    <cellStyle name="Normal 29 3 2" xfId="25055"/>
    <cellStyle name="Normal 29 3 2 2" xfId="25056"/>
    <cellStyle name="Normal 29 3 2 2 2" xfId="25057"/>
    <cellStyle name="Normal 29 3 2 2 2 2" xfId="25058"/>
    <cellStyle name="Normal 29 3 2 2 3" xfId="25059"/>
    <cellStyle name="Normal 29 3 2 3" xfId="25060"/>
    <cellStyle name="Normal 29 3 2 3 2" xfId="25061"/>
    <cellStyle name="Normal 29 3 2 4" xfId="25062"/>
    <cellStyle name="Normal 29 3 2 5" xfId="25063"/>
    <cellStyle name="Normal 29 3 3" xfId="25064"/>
    <cellStyle name="Normal 29 3 3 2" xfId="25065"/>
    <cellStyle name="Normal 29 3 3 2 2" xfId="25066"/>
    <cellStyle name="Normal 29 3 3 2 2 2" xfId="25067"/>
    <cellStyle name="Normal 29 3 3 2 3" xfId="25068"/>
    <cellStyle name="Normal 29 3 3 3" xfId="25069"/>
    <cellStyle name="Normal 29 3 3 3 2" xfId="25070"/>
    <cellStyle name="Normal 29 3 3 4" xfId="25071"/>
    <cellStyle name="Normal 29 3 4" xfId="25072"/>
    <cellStyle name="Normal 29 3 4 2" xfId="25073"/>
    <cellStyle name="Normal 29 3 4 2 2" xfId="25074"/>
    <cellStyle name="Normal 29 3 4 3" xfId="25075"/>
    <cellStyle name="Normal 29 3 5" xfId="25076"/>
    <cellStyle name="Normal 29 3 5 2" xfId="25077"/>
    <cellStyle name="Normal 29 3 5 2 2" xfId="25078"/>
    <cellStyle name="Normal 29 3 5 3" xfId="25079"/>
    <cellStyle name="Normal 29 3 6" xfId="25080"/>
    <cellStyle name="Normal 29 3 6 2" xfId="25081"/>
    <cellStyle name="Normal 29 3 7" xfId="25082"/>
    <cellStyle name="Normal 29 3 8" xfId="25083"/>
    <cellStyle name="Normal 29 3 9" xfId="25054"/>
    <cellStyle name="Normal 29 4" xfId="5879"/>
    <cellStyle name="Normal 29 4 10" xfId="41050"/>
    <cellStyle name="Normal 29 4 2" xfId="25085"/>
    <cellStyle name="Normal 29 4 2 2" xfId="25086"/>
    <cellStyle name="Normal 29 4 2 2 2" xfId="25087"/>
    <cellStyle name="Normal 29 4 2 2 2 2" xfId="25088"/>
    <cellStyle name="Normal 29 4 2 2 3" xfId="25089"/>
    <cellStyle name="Normal 29 4 2 3" xfId="25090"/>
    <cellStyle name="Normal 29 4 2 3 2" xfId="25091"/>
    <cellStyle name="Normal 29 4 2 4" xfId="25092"/>
    <cellStyle name="Normal 29 4 2 5" xfId="25093"/>
    <cellStyle name="Normal 29 4 3" xfId="25094"/>
    <cellStyle name="Normal 29 4 3 2" xfId="25095"/>
    <cellStyle name="Normal 29 4 3 2 2" xfId="25096"/>
    <cellStyle name="Normal 29 4 3 2 2 2" xfId="25097"/>
    <cellStyle name="Normal 29 4 3 2 3" xfId="25098"/>
    <cellStyle name="Normal 29 4 3 3" xfId="25099"/>
    <cellStyle name="Normal 29 4 3 3 2" xfId="25100"/>
    <cellStyle name="Normal 29 4 3 4" xfId="25101"/>
    <cellStyle name="Normal 29 4 4" xfId="25102"/>
    <cellStyle name="Normal 29 4 4 2" xfId="25103"/>
    <cellStyle name="Normal 29 4 4 2 2" xfId="25104"/>
    <cellStyle name="Normal 29 4 4 3" xfId="25105"/>
    <cellStyle name="Normal 29 4 5" xfId="25106"/>
    <cellStyle name="Normal 29 4 5 2" xfId="25107"/>
    <cellStyle name="Normal 29 4 5 2 2" xfId="25108"/>
    <cellStyle name="Normal 29 4 5 3" xfId="25109"/>
    <cellStyle name="Normal 29 4 6" xfId="25110"/>
    <cellStyle name="Normal 29 4 6 2" xfId="25111"/>
    <cellStyle name="Normal 29 4 7" xfId="25112"/>
    <cellStyle name="Normal 29 4 8" xfId="25113"/>
    <cellStyle name="Normal 29 4 9" xfId="25084"/>
    <cellStyle name="Normal 29 5" xfId="25114"/>
    <cellStyle name="Normal 29 5 2" xfId="25115"/>
    <cellStyle name="Normal 29 5 2 2" xfId="25116"/>
    <cellStyle name="Normal 29 5 2 2 2" xfId="25117"/>
    <cellStyle name="Normal 29 5 2 2 2 2" xfId="25118"/>
    <cellStyle name="Normal 29 5 2 2 3" xfId="25119"/>
    <cellStyle name="Normal 29 5 2 3" xfId="25120"/>
    <cellStyle name="Normal 29 5 2 3 2" xfId="25121"/>
    <cellStyle name="Normal 29 5 2 4" xfId="25122"/>
    <cellStyle name="Normal 29 5 3" xfId="25123"/>
    <cellStyle name="Normal 29 5 3 2" xfId="25124"/>
    <cellStyle name="Normal 29 5 3 2 2" xfId="25125"/>
    <cellStyle name="Normal 29 5 3 3" xfId="25126"/>
    <cellStyle name="Normal 29 5 4" xfId="25127"/>
    <cellStyle name="Normal 29 5 4 2" xfId="25128"/>
    <cellStyle name="Normal 29 5 4 2 2" xfId="25129"/>
    <cellStyle name="Normal 29 5 4 3" xfId="25130"/>
    <cellStyle name="Normal 29 5 5" xfId="25131"/>
    <cellStyle name="Normal 29 5 5 2" xfId="25132"/>
    <cellStyle name="Normal 29 5 6" xfId="25133"/>
    <cellStyle name="Normal 29 5 7" xfId="25134"/>
    <cellStyle name="Normal 29 5 8" xfId="40822"/>
    <cellStyle name="Normal 29 6" xfId="25135"/>
    <cellStyle name="Normal 29 6 2" xfId="25136"/>
    <cellStyle name="Normal 29 6 2 2" xfId="25137"/>
    <cellStyle name="Normal 29 6 2 2 2" xfId="25138"/>
    <cellStyle name="Normal 29 6 2 2 3" xfId="45100"/>
    <cellStyle name="Normal 29 6 2 3" xfId="25139"/>
    <cellStyle name="Normal 29 6 2 4" xfId="43251"/>
    <cellStyle name="Normal 29 6 3" xfId="25140"/>
    <cellStyle name="Normal 29 6 3 2" xfId="25141"/>
    <cellStyle name="Normal 29 6 3 3" xfId="44174"/>
    <cellStyle name="Normal 29 6 4" xfId="25142"/>
    <cellStyle name="Normal 29 6 5" xfId="25143"/>
    <cellStyle name="Normal 29 6 6" xfId="42312"/>
    <cellStyle name="Normal 29 7" xfId="25144"/>
    <cellStyle name="Normal 29 7 2" xfId="25145"/>
    <cellStyle name="Normal 29 7 2 2" xfId="25146"/>
    <cellStyle name="Normal 29 7 2 3" xfId="45099"/>
    <cellStyle name="Normal 29 7 3" xfId="25147"/>
    <cellStyle name="Normal 29 7 4" xfId="43250"/>
    <cellStyle name="Normal 29 8" xfId="25148"/>
    <cellStyle name="Normal 29 8 2" xfId="25149"/>
    <cellStyle name="Normal 29 8 2 2" xfId="25150"/>
    <cellStyle name="Normal 29 8 3" xfId="25151"/>
    <cellStyle name="Normal 29 8 4" xfId="43566"/>
    <cellStyle name="Normal 29 9" xfId="25152"/>
    <cellStyle name="Normal 29 9 2" xfId="25153"/>
    <cellStyle name="Normal 3" xfId="23"/>
    <cellStyle name="Normal 3 10" xfId="1649"/>
    <cellStyle name="Normal 3 10 2" xfId="25155"/>
    <cellStyle name="Normal 3 10 2 2" xfId="25156"/>
    <cellStyle name="Normal 3 10 3" xfId="25157"/>
    <cellStyle name="Normal 3 10 4" xfId="25158"/>
    <cellStyle name="Normal 3 10 5" xfId="25159"/>
    <cellStyle name="Normal 3 10 6" xfId="25154"/>
    <cellStyle name="Normal 3 11" xfId="1648"/>
    <cellStyle name="Normal 3 11 2" xfId="5880"/>
    <cellStyle name="Normal 3 11 2 2" xfId="25162"/>
    <cellStyle name="Normal 3 11 2 3" xfId="25161"/>
    <cellStyle name="Normal 3 11 3" xfId="25163"/>
    <cellStyle name="Normal 3 11 4" xfId="25164"/>
    <cellStyle name="Normal 3 11 5" xfId="8500"/>
    <cellStyle name="Normal 3 11 6" xfId="25160"/>
    <cellStyle name="Normal 3 12" xfId="5881"/>
    <cellStyle name="Normal 3 12 2" xfId="25166"/>
    <cellStyle name="Normal 3 12 2 2" xfId="25167"/>
    <cellStyle name="Normal 3 12 3" xfId="25168"/>
    <cellStyle name="Normal 3 12 4" xfId="25165"/>
    <cellStyle name="Normal 3 13" xfId="5882"/>
    <cellStyle name="Normal 3 13 2" xfId="25170"/>
    <cellStyle name="Normal 3 13 3" xfId="25169"/>
    <cellStyle name="Normal 3 14" xfId="5883"/>
    <cellStyle name="Normal 3 14 2" xfId="25172"/>
    <cellStyle name="Normal 3 14 3" xfId="25171"/>
    <cellStyle name="Normal 3 15" xfId="5884"/>
    <cellStyle name="Normal 3 16" xfId="5885"/>
    <cellStyle name="Normal 3 17" xfId="5886"/>
    <cellStyle name="Normal 3 18" xfId="5887"/>
    <cellStyle name="Normal 3 19" xfId="5888"/>
    <cellStyle name="Normal 3 2" xfId="64"/>
    <cellStyle name="Normal 3 2 10" xfId="43496"/>
    <cellStyle name="Normal 3 2 10 2" xfId="45271"/>
    <cellStyle name="Normal 3 2 11" xfId="43567"/>
    <cellStyle name="Normal 3 2 12" xfId="40485"/>
    <cellStyle name="Normal 3 2 2" xfId="1651"/>
    <cellStyle name="Normal 3 2 2 2" xfId="1652"/>
    <cellStyle name="Normal 3 2 2 2 2" xfId="2984"/>
    <cellStyle name="Normal 3 2 2 2 2 2" xfId="25174"/>
    <cellStyle name="Normal 3 2 2 2 3" xfId="25175"/>
    <cellStyle name="Normal 3 2 2 2 4" xfId="25173"/>
    <cellStyle name="Normal 3 2 2 2 5" xfId="40782"/>
    <cellStyle name="Normal 3 2 2 3" xfId="1653"/>
    <cellStyle name="Normal 3 2 2 3 2" xfId="43254"/>
    <cellStyle name="Normal 3 2 2 3 2 2" xfId="45103"/>
    <cellStyle name="Normal 3 2 2 3 3" xfId="44181"/>
    <cellStyle name="Normal 3 2 2 3 4" xfId="42319"/>
    <cellStyle name="Normal 3 2 2 4" xfId="1654"/>
    <cellStyle name="Normal 3 2 2 4 2" xfId="45102"/>
    <cellStyle name="Normal 3 2 2 4 3" xfId="43253"/>
    <cellStyle name="Normal 3 2 2 5" xfId="43426"/>
    <cellStyle name="Normal 3 2 2 6" xfId="43579"/>
    <cellStyle name="Normal 3 2 2 7" xfId="40512"/>
    <cellStyle name="Normal 3 2 3" xfId="1655"/>
    <cellStyle name="Normal 3 2 3 2" xfId="1656"/>
    <cellStyle name="Normal 3 2 3 3" xfId="25176"/>
    <cellStyle name="Normal 3 2 3 4" xfId="41193"/>
    <cellStyle name="Normal 3 2 30" xfId="1657"/>
    <cellStyle name="Normal 3 2 4" xfId="1658"/>
    <cellStyle name="Normal 3 2 4 2" xfId="41562"/>
    <cellStyle name="Normal 3 2 5" xfId="2985"/>
    <cellStyle name="Normal 3 2 5 2" xfId="25178"/>
    <cellStyle name="Normal 3 2 5 3" xfId="25177"/>
    <cellStyle name="Normal 3 2 5 4" xfId="40781"/>
    <cellStyle name="Normal 3 2 6" xfId="2983"/>
    <cellStyle name="Normal 3 2 6 2" xfId="3622"/>
    <cellStyle name="Normal 3 2 6 2 2" xfId="43256"/>
    <cellStyle name="Normal 3 2 6 2 2 2" xfId="45105"/>
    <cellStyle name="Normal 3 2 6 2 3" xfId="44512"/>
    <cellStyle name="Normal 3 2 6 2 4" xfId="42651"/>
    <cellStyle name="Normal 3 2 6 3" xfId="43255"/>
    <cellStyle name="Normal 3 2 6 3 2" xfId="45104"/>
    <cellStyle name="Normal 3 2 6 4" xfId="44152"/>
    <cellStyle name="Normal 3 2 6 5" xfId="42288"/>
    <cellStyle name="Normal 3 2 7" xfId="1650"/>
    <cellStyle name="Normal 3 2 7 2" xfId="5890"/>
    <cellStyle name="Normal 3 2 7 2 2" xfId="45106"/>
    <cellStyle name="Normal 3 2 7 2 3" xfId="43257"/>
    <cellStyle name="Normal 3 2 7 3" xfId="25179"/>
    <cellStyle name="Normal 3 2 7 3 2" xfId="44175"/>
    <cellStyle name="Normal 3 2 7 4" xfId="42313"/>
    <cellStyle name="Normal 3 2 8" xfId="5889"/>
    <cellStyle name="Normal 3 2 8 2" xfId="45101"/>
    <cellStyle name="Normal 3 2 8 3" xfId="43252"/>
    <cellStyle name="Normal 3 2 9" xfId="43413"/>
    <cellStyle name="Normal 3 2_5.2" xfId="5891"/>
    <cellStyle name="Normal 3 20" xfId="5892"/>
    <cellStyle name="Normal 3 21" xfId="5893"/>
    <cellStyle name="Normal 3 22" xfId="5894"/>
    <cellStyle name="Normal 3 23" xfId="5895"/>
    <cellStyle name="Normal 3 24" xfId="5896"/>
    <cellStyle name="Normal 3 25" xfId="5897"/>
    <cellStyle name="Normal 3 26" xfId="5898"/>
    <cellStyle name="Normal 3 27" xfId="5899"/>
    <cellStyle name="Normal 3 28" xfId="5900"/>
    <cellStyle name="Normal 3 29" xfId="5901"/>
    <cellStyle name="Normal 3 3" xfId="81"/>
    <cellStyle name="Normal 3 3 2" xfId="1660"/>
    <cellStyle name="Normal 3 3 2 2" xfId="1661"/>
    <cellStyle name="Normal 3 3 2 2 2" xfId="5905"/>
    <cellStyle name="Normal 3 3 2 2 2 2" xfId="5906"/>
    <cellStyle name="Normal 3 3 2 2 2 2 2" xfId="25183"/>
    <cellStyle name="Normal 3 3 2 2 2 3" xfId="25182"/>
    <cellStyle name="Normal 3 3 2 2 3" xfId="5907"/>
    <cellStyle name="Normal 3 3 2 2 3 2" xfId="25184"/>
    <cellStyle name="Normal 3 3 2 2 4" xfId="5908"/>
    <cellStyle name="Normal 3 3 2 2 4 2" xfId="25185"/>
    <cellStyle name="Normal 3 3 2 2 5" xfId="5904"/>
    <cellStyle name="Normal 3 3 2 2 6" xfId="25181"/>
    <cellStyle name="Normal 3 3 2 3" xfId="5909"/>
    <cellStyle name="Normal 3 3 2 3 2" xfId="5910"/>
    <cellStyle name="Normal 3 3 2 3 2 2" xfId="25188"/>
    <cellStyle name="Normal 3 3 2 3 2 3" xfId="25187"/>
    <cellStyle name="Normal 3 3 2 3 3" xfId="25189"/>
    <cellStyle name="Normal 3 3 2 3 4" xfId="25190"/>
    <cellStyle name="Normal 3 3 2 3 5" xfId="25186"/>
    <cellStyle name="Normal 3 3 2 4" xfId="5911"/>
    <cellStyle name="Normal 3 3 2 4 2" xfId="25191"/>
    <cellStyle name="Normal 3 3 2 5" xfId="5912"/>
    <cellStyle name="Normal 3 3 2 6" xfId="5903"/>
    <cellStyle name="Normal 3 3 2 7" xfId="25180"/>
    <cellStyle name="Normal 3 3 2 8" xfId="40784"/>
    <cellStyle name="Normal 3 3 3" xfId="1662"/>
    <cellStyle name="Normal 3 3 3 10" xfId="41857"/>
    <cellStyle name="Normal 3 3 3 2" xfId="25193"/>
    <cellStyle name="Normal 3 3 3 2 2" xfId="25194"/>
    <cellStyle name="Normal 3 3 3 2 2 2" xfId="25195"/>
    <cellStyle name="Normal 3 3 3 2 2 2 2" xfId="25196"/>
    <cellStyle name="Normal 3 3 3 2 2 3" xfId="25197"/>
    <cellStyle name="Normal 3 3 3 2 3" xfId="25198"/>
    <cellStyle name="Normal 3 3 3 2 3 2" xfId="25199"/>
    <cellStyle name="Normal 3 3 3 2 4" xfId="25200"/>
    <cellStyle name="Normal 3 3 3 2 5" xfId="25201"/>
    <cellStyle name="Normal 3 3 3 3" xfId="25202"/>
    <cellStyle name="Normal 3 3 3 3 2" xfId="25203"/>
    <cellStyle name="Normal 3 3 3 3 2 2" xfId="25204"/>
    <cellStyle name="Normal 3 3 3 3 2 2 2" xfId="25205"/>
    <cellStyle name="Normal 3 3 3 3 2 3" xfId="25206"/>
    <cellStyle name="Normal 3 3 3 3 3" xfId="25207"/>
    <cellStyle name="Normal 3 3 3 3 3 2" xfId="25208"/>
    <cellStyle name="Normal 3 3 3 3 4" xfId="25209"/>
    <cellStyle name="Normal 3 3 3 4" xfId="25210"/>
    <cellStyle name="Normal 3 3 3 4 2" xfId="25211"/>
    <cellStyle name="Normal 3 3 3 4 2 2" xfId="25212"/>
    <cellStyle name="Normal 3 3 3 4 3" xfId="25213"/>
    <cellStyle name="Normal 3 3 3 5" xfId="25214"/>
    <cellStyle name="Normal 3 3 3 5 2" xfId="25215"/>
    <cellStyle name="Normal 3 3 3 5 2 2" xfId="25216"/>
    <cellStyle name="Normal 3 3 3 5 3" xfId="25217"/>
    <cellStyle name="Normal 3 3 3 6" xfId="25218"/>
    <cellStyle name="Normal 3 3 3 6 2" xfId="25219"/>
    <cellStyle name="Normal 3 3 3 7" xfId="25220"/>
    <cellStyle name="Normal 3 3 3 8" xfId="25221"/>
    <cellStyle name="Normal 3 3 3 9" xfId="25192"/>
    <cellStyle name="Normal 3 3 4" xfId="1663"/>
    <cellStyle name="Normal 3 3 4 2" xfId="7867"/>
    <cellStyle name="Normal 3 3 4 2 2" xfId="25224"/>
    <cellStyle name="Normal 3 3 4 2 3" xfId="25223"/>
    <cellStyle name="Normal 3 3 4 3" xfId="25225"/>
    <cellStyle name="Normal 3 3 4 4" xfId="25226"/>
    <cellStyle name="Normal 3 3 4 5" xfId="25222"/>
    <cellStyle name="Normal 3 3 4 6" xfId="40783"/>
    <cellStyle name="Normal 3 3 5" xfId="1664"/>
    <cellStyle name="Normal 3 3 5 2" xfId="43497"/>
    <cellStyle name="Normal 3 3 6" xfId="1665"/>
    <cellStyle name="Normal 3 3 7" xfId="1659"/>
    <cellStyle name="Normal 3 3 8" xfId="5902"/>
    <cellStyle name="Normal 3 3 9" xfId="40486"/>
    <cellStyle name="Normal 3 30" xfId="5913"/>
    <cellStyle name="Normal 3 31" xfId="5914"/>
    <cellStyle name="Normal 3 32" xfId="3632"/>
    <cellStyle name="Normal 3 33" xfId="8486"/>
    <cellStyle name="Normal 3 34" xfId="8495"/>
    <cellStyle name="Normal 3 35" xfId="40484"/>
    <cellStyle name="Normal 3 4" xfId="89"/>
    <cellStyle name="Normal 3 4 10" xfId="25228"/>
    <cellStyle name="Normal 3 4 11" xfId="25229"/>
    <cellStyle name="Normal 3 4 12" xfId="25227"/>
    <cellStyle name="Normal 3 4 13" xfId="40780"/>
    <cellStyle name="Normal 3 4 2" xfId="1667"/>
    <cellStyle name="Normal 3 4 2 10" xfId="25231"/>
    <cellStyle name="Normal 3 4 2 11" xfId="25230"/>
    <cellStyle name="Normal 3 4 2 12" xfId="41563"/>
    <cellStyle name="Normal 3 4 2 2" xfId="5915"/>
    <cellStyle name="Normal 3 4 2 2 2" xfId="25233"/>
    <cellStyle name="Normal 3 4 2 2 2 2" xfId="25234"/>
    <cellStyle name="Normal 3 4 2 2 2 2 2" xfId="25235"/>
    <cellStyle name="Normal 3 4 2 2 2 2 2 2" xfId="25236"/>
    <cellStyle name="Normal 3 4 2 2 2 2 3" xfId="25237"/>
    <cellStyle name="Normal 3 4 2 2 2 3" xfId="25238"/>
    <cellStyle name="Normal 3 4 2 2 2 3 2" xfId="25239"/>
    <cellStyle name="Normal 3 4 2 2 2 4" xfId="25240"/>
    <cellStyle name="Normal 3 4 2 2 2 5" xfId="25241"/>
    <cellStyle name="Normal 3 4 2 2 3" xfId="25242"/>
    <cellStyle name="Normal 3 4 2 2 3 2" xfId="25243"/>
    <cellStyle name="Normal 3 4 2 2 3 2 2" xfId="25244"/>
    <cellStyle name="Normal 3 4 2 2 3 2 2 2" xfId="25245"/>
    <cellStyle name="Normal 3 4 2 2 3 2 3" xfId="25246"/>
    <cellStyle name="Normal 3 4 2 2 3 3" xfId="25247"/>
    <cellStyle name="Normal 3 4 2 2 3 3 2" xfId="25248"/>
    <cellStyle name="Normal 3 4 2 2 3 4" xfId="25249"/>
    <cellStyle name="Normal 3 4 2 2 4" xfId="25250"/>
    <cellStyle name="Normal 3 4 2 2 4 2" xfId="25251"/>
    <cellStyle name="Normal 3 4 2 2 4 2 2" xfId="25252"/>
    <cellStyle name="Normal 3 4 2 2 4 3" xfId="25253"/>
    <cellStyle name="Normal 3 4 2 2 5" xfId="25254"/>
    <cellStyle name="Normal 3 4 2 2 5 2" xfId="25255"/>
    <cellStyle name="Normal 3 4 2 2 5 2 2" xfId="25256"/>
    <cellStyle name="Normal 3 4 2 2 5 3" xfId="25257"/>
    <cellStyle name="Normal 3 4 2 2 6" xfId="25258"/>
    <cellStyle name="Normal 3 4 2 2 6 2" xfId="25259"/>
    <cellStyle name="Normal 3 4 2 2 7" xfId="25260"/>
    <cellStyle name="Normal 3 4 2 2 8" xfId="25261"/>
    <cellStyle name="Normal 3 4 2 2 9" xfId="25232"/>
    <cellStyle name="Normal 3 4 2 3" xfId="25262"/>
    <cellStyle name="Normal 3 4 2 3 2" xfId="25263"/>
    <cellStyle name="Normal 3 4 2 3 2 2" xfId="25264"/>
    <cellStyle name="Normal 3 4 2 3 2 2 2" xfId="25265"/>
    <cellStyle name="Normal 3 4 2 3 2 2 2 2" xfId="25266"/>
    <cellStyle name="Normal 3 4 2 3 2 2 3" xfId="25267"/>
    <cellStyle name="Normal 3 4 2 3 2 3" xfId="25268"/>
    <cellStyle name="Normal 3 4 2 3 2 3 2" xfId="25269"/>
    <cellStyle name="Normal 3 4 2 3 2 4" xfId="25270"/>
    <cellStyle name="Normal 3 4 2 3 2 5" xfId="25271"/>
    <cellStyle name="Normal 3 4 2 3 3" xfId="25272"/>
    <cellStyle name="Normal 3 4 2 3 3 2" xfId="25273"/>
    <cellStyle name="Normal 3 4 2 3 3 2 2" xfId="25274"/>
    <cellStyle name="Normal 3 4 2 3 3 2 2 2" xfId="25275"/>
    <cellStyle name="Normal 3 4 2 3 3 2 3" xfId="25276"/>
    <cellStyle name="Normal 3 4 2 3 3 3" xfId="25277"/>
    <cellStyle name="Normal 3 4 2 3 3 3 2" xfId="25278"/>
    <cellStyle name="Normal 3 4 2 3 3 4" xfId="25279"/>
    <cellStyle name="Normal 3 4 2 3 4" xfId="25280"/>
    <cellStyle name="Normal 3 4 2 3 4 2" xfId="25281"/>
    <cellStyle name="Normal 3 4 2 3 4 2 2" xfId="25282"/>
    <cellStyle name="Normal 3 4 2 3 4 3" xfId="25283"/>
    <cellStyle name="Normal 3 4 2 3 5" xfId="25284"/>
    <cellStyle name="Normal 3 4 2 3 5 2" xfId="25285"/>
    <cellStyle name="Normal 3 4 2 3 5 2 2" xfId="25286"/>
    <cellStyle name="Normal 3 4 2 3 5 3" xfId="25287"/>
    <cellStyle name="Normal 3 4 2 3 6" xfId="25288"/>
    <cellStyle name="Normal 3 4 2 3 6 2" xfId="25289"/>
    <cellStyle name="Normal 3 4 2 3 7" xfId="25290"/>
    <cellStyle name="Normal 3 4 2 3 8" xfId="25291"/>
    <cellStyle name="Normal 3 4 2 4" xfId="25292"/>
    <cellStyle name="Normal 3 4 2 4 2" xfId="25293"/>
    <cellStyle name="Normal 3 4 2 4 2 2" xfId="25294"/>
    <cellStyle name="Normal 3 4 2 4 2 2 2" xfId="25295"/>
    <cellStyle name="Normal 3 4 2 4 2 2 2 2" xfId="25296"/>
    <cellStyle name="Normal 3 4 2 4 2 2 3" xfId="25297"/>
    <cellStyle name="Normal 3 4 2 4 2 3" xfId="25298"/>
    <cellStyle name="Normal 3 4 2 4 2 3 2" xfId="25299"/>
    <cellStyle name="Normal 3 4 2 4 2 4" xfId="25300"/>
    <cellStyle name="Normal 3 4 2 4 3" xfId="25301"/>
    <cellStyle name="Normal 3 4 2 4 3 2" xfId="25302"/>
    <cellStyle name="Normal 3 4 2 4 3 2 2" xfId="25303"/>
    <cellStyle name="Normal 3 4 2 4 3 3" xfId="25304"/>
    <cellStyle name="Normal 3 4 2 4 4" xfId="25305"/>
    <cellStyle name="Normal 3 4 2 4 4 2" xfId="25306"/>
    <cellStyle name="Normal 3 4 2 4 4 2 2" xfId="25307"/>
    <cellStyle name="Normal 3 4 2 4 4 3" xfId="25308"/>
    <cellStyle name="Normal 3 4 2 4 5" xfId="25309"/>
    <cellStyle name="Normal 3 4 2 4 5 2" xfId="25310"/>
    <cellStyle name="Normal 3 4 2 4 6" xfId="25311"/>
    <cellStyle name="Normal 3 4 2 4 7" xfId="25312"/>
    <cellStyle name="Normal 3 4 2 5" xfId="25313"/>
    <cellStyle name="Normal 3 4 2 5 2" xfId="25314"/>
    <cellStyle name="Normal 3 4 2 5 2 2" xfId="25315"/>
    <cellStyle name="Normal 3 4 2 5 2 2 2" xfId="25316"/>
    <cellStyle name="Normal 3 4 2 5 2 3" xfId="25317"/>
    <cellStyle name="Normal 3 4 2 5 3" xfId="25318"/>
    <cellStyle name="Normal 3 4 2 5 3 2" xfId="25319"/>
    <cellStyle name="Normal 3 4 2 5 4" xfId="25320"/>
    <cellStyle name="Normal 3 4 2 5 5" xfId="25321"/>
    <cellStyle name="Normal 3 4 2 6" xfId="25322"/>
    <cellStyle name="Normal 3 4 2 6 2" xfId="25323"/>
    <cellStyle name="Normal 3 4 2 6 2 2" xfId="25324"/>
    <cellStyle name="Normal 3 4 2 6 3" xfId="25325"/>
    <cellStyle name="Normal 3 4 2 7" xfId="25326"/>
    <cellStyle name="Normal 3 4 2 7 2" xfId="25327"/>
    <cellStyle name="Normal 3 4 2 7 2 2" xfId="25328"/>
    <cellStyle name="Normal 3 4 2 7 3" xfId="25329"/>
    <cellStyle name="Normal 3 4 2 8" xfId="25330"/>
    <cellStyle name="Normal 3 4 2 8 2" xfId="25331"/>
    <cellStyle name="Normal 3 4 2 9" xfId="25332"/>
    <cellStyle name="Normal 3 4 2 9 2" xfId="25333"/>
    <cellStyle name="Normal 3 4 3" xfId="1668"/>
    <cellStyle name="Normal 3 4 3 10" xfId="41373"/>
    <cellStyle name="Normal 3 4 3 2" xfId="25335"/>
    <cellStyle name="Normal 3 4 3 2 2" xfId="25336"/>
    <cellStyle name="Normal 3 4 3 2 2 2" xfId="25337"/>
    <cellStyle name="Normal 3 4 3 2 2 2 2" xfId="25338"/>
    <cellStyle name="Normal 3 4 3 2 2 3" xfId="25339"/>
    <cellStyle name="Normal 3 4 3 2 3" xfId="25340"/>
    <cellStyle name="Normal 3 4 3 2 3 2" xfId="25341"/>
    <cellStyle name="Normal 3 4 3 2 4" xfId="25342"/>
    <cellStyle name="Normal 3 4 3 2 5" xfId="25343"/>
    <cellStyle name="Normal 3 4 3 3" xfId="25344"/>
    <cellStyle name="Normal 3 4 3 3 2" xfId="25345"/>
    <cellStyle name="Normal 3 4 3 3 2 2" xfId="25346"/>
    <cellStyle name="Normal 3 4 3 3 2 2 2" xfId="25347"/>
    <cellStyle name="Normal 3 4 3 3 2 3" xfId="25348"/>
    <cellStyle name="Normal 3 4 3 3 3" xfId="25349"/>
    <cellStyle name="Normal 3 4 3 3 3 2" xfId="25350"/>
    <cellStyle name="Normal 3 4 3 3 4" xfId="25351"/>
    <cellStyle name="Normal 3 4 3 4" xfId="25352"/>
    <cellStyle name="Normal 3 4 3 4 2" xfId="25353"/>
    <cellStyle name="Normal 3 4 3 4 2 2" xfId="25354"/>
    <cellStyle name="Normal 3 4 3 4 3" xfId="25355"/>
    <cellStyle name="Normal 3 4 3 5" xfId="25356"/>
    <cellStyle name="Normal 3 4 3 5 2" xfId="25357"/>
    <cellStyle name="Normal 3 4 3 5 2 2" xfId="25358"/>
    <cellStyle name="Normal 3 4 3 5 3" xfId="25359"/>
    <cellStyle name="Normal 3 4 3 6" xfId="25360"/>
    <cellStyle name="Normal 3 4 3 6 2" xfId="25361"/>
    <cellStyle name="Normal 3 4 3 7" xfId="25362"/>
    <cellStyle name="Normal 3 4 3 8" xfId="25363"/>
    <cellStyle name="Normal 3 4 3 9" xfId="25334"/>
    <cellStyle name="Normal 3 4 4" xfId="1666"/>
    <cellStyle name="Normal 3 4 4 2" xfId="25365"/>
    <cellStyle name="Normal 3 4 4 2 2" xfId="25366"/>
    <cellStyle name="Normal 3 4 4 2 2 2" xfId="25367"/>
    <cellStyle name="Normal 3 4 4 2 2 2 2" xfId="25368"/>
    <cellStyle name="Normal 3 4 4 2 2 3" xfId="25369"/>
    <cellStyle name="Normal 3 4 4 2 3" xfId="25370"/>
    <cellStyle name="Normal 3 4 4 2 3 2" xfId="25371"/>
    <cellStyle name="Normal 3 4 4 2 4" xfId="25372"/>
    <cellStyle name="Normal 3 4 4 2 5" xfId="25373"/>
    <cellStyle name="Normal 3 4 4 3" xfId="25374"/>
    <cellStyle name="Normal 3 4 4 3 2" xfId="25375"/>
    <cellStyle name="Normal 3 4 4 3 2 2" xfId="25376"/>
    <cellStyle name="Normal 3 4 4 3 2 2 2" xfId="25377"/>
    <cellStyle name="Normal 3 4 4 3 2 3" xfId="25378"/>
    <cellStyle name="Normal 3 4 4 3 3" xfId="25379"/>
    <cellStyle name="Normal 3 4 4 3 3 2" xfId="25380"/>
    <cellStyle name="Normal 3 4 4 3 4" xfId="25381"/>
    <cellStyle name="Normal 3 4 4 4" xfId="25382"/>
    <cellStyle name="Normal 3 4 4 4 2" xfId="25383"/>
    <cellStyle name="Normal 3 4 4 4 2 2" xfId="25384"/>
    <cellStyle name="Normal 3 4 4 4 3" xfId="25385"/>
    <cellStyle name="Normal 3 4 4 5" xfId="25386"/>
    <cellStyle name="Normal 3 4 4 5 2" xfId="25387"/>
    <cellStyle name="Normal 3 4 4 5 2 2" xfId="25388"/>
    <cellStyle name="Normal 3 4 4 5 3" xfId="25389"/>
    <cellStyle name="Normal 3 4 4 6" xfId="25390"/>
    <cellStyle name="Normal 3 4 4 6 2" xfId="25391"/>
    <cellStyle name="Normal 3 4 4 7" xfId="25392"/>
    <cellStyle name="Normal 3 4 4 8" xfId="25393"/>
    <cellStyle name="Normal 3 4 4 9" xfId="25364"/>
    <cellStyle name="Normal 3 4 5" xfId="25394"/>
    <cellStyle name="Normal 3 4 5 2" xfId="25395"/>
    <cellStyle name="Normal 3 4 5 2 2" xfId="25396"/>
    <cellStyle name="Normal 3 4 5 2 2 2" xfId="25397"/>
    <cellStyle name="Normal 3 4 5 2 2 2 2" xfId="25398"/>
    <cellStyle name="Normal 3 4 5 2 2 3" xfId="25399"/>
    <cellStyle name="Normal 3 4 5 2 3" xfId="25400"/>
    <cellStyle name="Normal 3 4 5 2 3 2" xfId="25401"/>
    <cellStyle name="Normal 3 4 5 2 4" xfId="25402"/>
    <cellStyle name="Normal 3 4 5 2 5" xfId="25403"/>
    <cellStyle name="Normal 3 4 5 3" xfId="25404"/>
    <cellStyle name="Normal 3 4 5 3 2" xfId="25405"/>
    <cellStyle name="Normal 3 4 5 3 2 2" xfId="25406"/>
    <cellStyle name="Normal 3 4 5 3 2 2 2" xfId="25407"/>
    <cellStyle name="Normal 3 4 5 3 2 3" xfId="25408"/>
    <cellStyle name="Normal 3 4 5 3 3" xfId="25409"/>
    <cellStyle name="Normal 3 4 5 3 3 2" xfId="25410"/>
    <cellStyle name="Normal 3 4 5 3 4" xfId="25411"/>
    <cellStyle name="Normal 3 4 5 4" xfId="25412"/>
    <cellStyle name="Normal 3 4 5 4 2" xfId="25413"/>
    <cellStyle name="Normal 3 4 5 4 2 2" xfId="25414"/>
    <cellStyle name="Normal 3 4 5 4 3" xfId="25415"/>
    <cellStyle name="Normal 3 4 5 5" xfId="25416"/>
    <cellStyle name="Normal 3 4 5 5 2" xfId="25417"/>
    <cellStyle name="Normal 3 4 5 5 2 2" xfId="25418"/>
    <cellStyle name="Normal 3 4 5 5 3" xfId="25419"/>
    <cellStyle name="Normal 3 4 5 6" xfId="25420"/>
    <cellStyle name="Normal 3 4 5 6 2" xfId="25421"/>
    <cellStyle name="Normal 3 4 5 7" xfId="25422"/>
    <cellStyle name="Normal 3 4 5 8" xfId="25423"/>
    <cellStyle name="Normal 3 4 6" xfId="25424"/>
    <cellStyle name="Normal 3 4 6 2" xfId="25425"/>
    <cellStyle name="Normal 3 4 6 2 2" xfId="25426"/>
    <cellStyle name="Normal 3 4 6 2 2 2" xfId="25427"/>
    <cellStyle name="Normal 3 4 6 2 2 2 2" xfId="25428"/>
    <cellStyle name="Normal 3 4 6 2 2 3" xfId="25429"/>
    <cellStyle name="Normal 3 4 6 2 3" xfId="25430"/>
    <cellStyle name="Normal 3 4 6 2 3 2" xfId="25431"/>
    <cellStyle name="Normal 3 4 6 2 4" xfId="25432"/>
    <cellStyle name="Normal 3 4 6 3" xfId="25433"/>
    <cellStyle name="Normal 3 4 6 3 2" xfId="25434"/>
    <cellStyle name="Normal 3 4 6 3 2 2" xfId="25435"/>
    <cellStyle name="Normal 3 4 6 3 3" xfId="25436"/>
    <cellStyle name="Normal 3 4 6 4" xfId="25437"/>
    <cellStyle name="Normal 3 4 6 4 2" xfId="25438"/>
    <cellStyle name="Normal 3 4 6 4 2 2" xfId="25439"/>
    <cellStyle name="Normal 3 4 6 4 3" xfId="25440"/>
    <cellStyle name="Normal 3 4 6 5" xfId="25441"/>
    <cellStyle name="Normal 3 4 6 5 2" xfId="25442"/>
    <cellStyle name="Normal 3 4 6 6" xfId="25443"/>
    <cellStyle name="Normal 3 4 6 7" xfId="25444"/>
    <cellStyle name="Normal 3 4 7" xfId="25445"/>
    <cellStyle name="Normal 3 4 7 2" xfId="25446"/>
    <cellStyle name="Normal 3 4 7 2 2" xfId="25447"/>
    <cellStyle name="Normal 3 4 7 2 2 2" xfId="25448"/>
    <cellStyle name="Normal 3 4 7 2 3" xfId="25449"/>
    <cellStyle name="Normal 3 4 7 3" xfId="25450"/>
    <cellStyle name="Normal 3 4 7 3 2" xfId="25451"/>
    <cellStyle name="Normal 3 4 7 4" xfId="25452"/>
    <cellStyle name="Normal 3 4 7 5" xfId="25453"/>
    <cellStyle name="Normal 3 4 8" xfId="25454"/>
    <cellStyle name="Normal 3 4 8 2" xfId="25455"/>
    <cellStyle name="Normal 3 4 8 2 2" xfId="25456"/>
    <cellStyle name="Normal 3 4 8 3" xfId="25457"/>
    <cellStyle name="Normal 3 4 9" xfId="25458"/>
    <cellStyle name="Normal 3 4 9 2" xfId="25459"/>
    <cellStyle name="Normal 3 4 9 2 2" xfId="25460"/>
    <cellStyle name="Normal 3 4 9 3" xfId="25461"/>
    <cellStyle name="Normal 3 5" xfId="122"/>
    <cellStyle name="Normal 3 5 2" xfId="1669"/>
    <cellStyle name="Normal 3 5 2 2" xfId="25464"/>
    <cellStyle name="Normal 3 5 2 3" xfId="25465"/>
    <cellStyle name="Normal 3 5 2 4" xfId="25463"/>
    <cellStyle name="Normal 3 5 3" xfId="25466"/>
    <cellStyle name="Normal 3 5 3 2" xfId="25467"/>
    <cellStyle name="Normal 3 5 4" xfId="25462"/>
    <cellStyle name="Normal 3 5 5" xfId="40828"/>
    <cellStyle name="Normal 3 6" xfId="1670"/>
    <cellStyle name="Normal 3 6 2" xfId="5917"/>
    <cellStyle name="Normal 3 6 2 2" xfId="5918"/>
    <cellStyle name="Normal 3 6 2 2 2" xfId="5919"/>
    <cellStyle name="Normal 3 6 2 2 2 2" xfId="25471"/>
    <cellStyle name="Normal 3 6 2 2 3" xfId="25470"/>
    <cellStyle name="Normal 3 6 2 3" xfId="5920"/>
    <cellStyle name="Normal 3 6 2 3 2" xfId="25472"/>
    <cellStyle name="Normal 3 6 2 4" xfId="5921"/>
    <cellStyle name="Normal 3 6 2 4 2" xfId="25473"/>
    <cellStyle name="Normal 3 6 2 5" xfId="25469"/>
    <cellStyle name="Normal 3 6 2 6" xfId="41561"/>
    <cellStyle name="Normal 3 6 3" xfId="5922"/>
    <cellStyle name="Normal 3 6 3 2" xfId="5923"/>
    <cellStyle name="Normal 3 6 3 2 2" xfId="25476"/>
    <cellStyle name="Normal 3 6 3 2 3" xfId="25475"/>
    <cellStyle name="Normal 3 6 3 3" xfId="25477"/>
    <cellStyle name="Normal 3 6 3 4" xfId="25478"/>
    <cellStyle name="Normal 3 6 3 5" xfId="25474"/>
    <cellStyle name="Normal 3 6 3 6" xfId="41875"/>
    <cellStyle name="Normal 3 6 4" xfId="5924"/>
    <cellStyle name="Normal 3 6 4 2" xfId="25480"/>
    <cellStyle name="Normal 3 6 4 3" xfId="25481"/>
    <cellStyle name="Normal 3 6 4 4" xfId="25482"/>
    <cellStyle name="Normal 3 6 4 5" xfId="25479"/>
    <cellStyle name="Normal 3 6 5" xfId="5925"/>
    <cellStyle name="Normal 3 6 5 2" xfId="25484"/>
    <cellStyle name="Normal 3 6 5 3" xfId="25483"/>
    <cellStyle name="Normal 3 6 6" xfId="5916"/>
    <cellStyle name="Normal 3 6 6 2" xfId="25485"/>
    <cellStyle name="Normal 3 6 7" xfId="25468"/>
    <cellStyle name="Normal 3 6 8" xfId="40827"/>
    <cellStyle name="Normal 3 7" xfId="1671"/>
    <cellStyle name="Normal 3 7 2" xfId="25487"/>
    <cellStyle name="Normal 3 7 2 2" xfId="25488"/>
    <cellStyle name="Normal 3 7 2 2 2" xfId="25489"/>
    <cellStyle name="Normal 3 7 2 3" xfId="25490"/>
    <cellStyle name="Normal 3 7 2 4" xfId="25491"/>
    <cellStyle name="Normal 3 7 3" xfId="25492"/>
    <cellStyle name="Normal 3 7 3 2" xfId="25493"/>
    <cellStyle name="Normal 3 7 3 2 2" xfId="25494"/>
    <cellStyle name="Normal 3 7 3 3" xfId="25495"/>
    <cellStyle name="Normal 3 7 3 4" xfId="25496"/>
    <cellStyle name="Normal 3 7 4" xfId="25497"/>
    <cellStyle name="Normal 3 7 4 2" xfId="25498"/>
    <cellStyle name="Normal 3 7 5" xfId="25499"/>
    <cellStyle name="Normal 3 7 6" xfId="25500"/>
    <cellStyle name="Normal 3 7 7" xfId="25486"/>
    <cellStyle name="Normal 3 7 8" xfId="40950"/>
    <cellStyle name="Normal 3 8" xfId="1672"/>
    <cellStyle name="Normal 3 8 2" xfId="25502"/>
    <cellStyle name="Normal 3 8 2 2" xfId="25503"/>
    <cellStyle name="Normal 3 8 2 2 2" xfId="25504"/>
    <cellStyle name="Normal 3 8 2 3" xfId="25505"/>
    <cellStyle name="Normal 3 8 2 4" xfId="25506"/>
    <cellStyle name="Normal 3 8 3" xfId="25507"/>
    <cellStyle name="Normal 3 8 3 2" xfId="25508"/>
    <cellStyle name="Normal 3 8 3 2 2" xfId="25509"/>
    <cellStyle name="Normal 3 8 3 3" xfId="25510"/>
    <cellStyle name="Normal 3 8 3 4" xfId="25511"/>
    <cellStyle name="Normal 3 8 4" xfId="25512"/>
    <cellStyle name="Normal 3 8 4 2" xfId="25513"/>
    <cellStyle name="Normal 3 8 5" xfId="25514"/>
    <cellStyle name="Normal 3 8 6" xfId="25515"/>
    <cellStyle name="Normal 3 8 7" xfId="25501"/>
    <cellStyle name="Normal 3 8 8" xfId="43412"/>
    <cellStyle name="Normal 3 9" xfId="1673"/>
    <cellStyle name="Normal 3 9 2" xfId="25517"/>
    <cellStyle name="Normal 3 9 2 2" xfId="25518"/>
    <cellStyle name="Normal 3 9 2 3" xfId="25519"/>
    <cellStyle name="Normal 3 9 3" xfId="25520"/>
    <cellStyle name="Normal 3 9 4" xfId="25521"/>
    <cellStyle name="Normal 3 9 5" xfId="25522"/>
    <cellStyle name="Normal 3 9 6" xfId="25516"/>
    <cellStyle name="Normal 3_2. Local IRS,CCS, FX Options" xfId="42240"/>
    <cellStyle name="Normal 30" xfId="1674"/>
    <cellStyle name="Normal 30 2" xfId="1675"/>
    <cellStyle name="Normal 30 2 2" xfId="7837"/>
    <cellStyle name="Normal 30 2 3" xfId="8098"/>
    <cellStyle name="Normal 30 2 4" xfId="25523"/>
    <cellStyle name="Normal 30 2 5" xfId="41051"/>
    <cellStyle name="Normal 30 3" xfId="1676"/>
    <cellStyle name="Normal 30 3 2" xfId="43259"/>
    <cellStyle name="Normal 30 3 2 2" xfId="45108"/>
    <cellStyle name="Normal 30 3 3" xfId="44176"/>
    <cellStyle name="Normal 30 3 4" xfId="42314"/>
    <cellStyle name="Normal 30 4" xfId="5926"/>
    <cellStyle name="Normal 30 4 2" xfId="45107"/>
    <cellStyle name="Normal 30 4 3" xfId="43258"/>
    <cellStyle name="Normal 30 5" xfId="43568"/>
    <cellStyle name="Normal 30 6" xfId="40487"/>
    <cellStyle name="Normal 31" xfId="1677"/>
    <cellStyle name="Normal 31 2" xfId="1678"/>
    <cellStyle name="Normal 31 2 2" xfId="7838"/>
    <cellStyle name="Normal 31 2 2 2" xfId="25526"/>
    <cellStyle name="Normal 31 2 2 3" xfId="25525"/>
    <cellStyle name="Normal 31 2 3" xfId="8099"/>
    <cellStyle name="Normal 31 2 4" xfId="25524"/>
    <cellStyle name="Normal 31 2 5" xfId="41052"/>
    <cellStyle name="Normal 31 3" xfId="1679"/>
    <cellStyle name="Normal 31 3 2" xfId="8100"/>
    <cellStyle name="Normal 31 3 2 2" xfId="45110"/>
    <cellStyle name="Normal 31 3 2 3" xfId="43261"/>
    <cellStyle name="Normal 31 3 3" xfId="25527"/>
    <cellStyle name="Normal 31 3 3 2" xfId="44177"/>
    <cellStyle name="Normal 31 3 4" xfId="42315"/>
    <cellStyle name="Normal 31 4" xfId="1680"/>
    <cellStyle name="Normal 31 4 2" xfId="45109"/>
    <cellStyle name="Normal 31 4 3" xfId="43260"/>
    <cellStyle name="Normal 31 5" xfId="1681"/>
    <cellStyle name="Normal 31 5 2" xfId="43569"/>
    <cellStyle name="Normal 31 6" xfId="5927"/>
    <cellStyle name="Normal 31 7" xfId="40488"/>
    <cellStyle name="Normal 32" xfId="1682"/>
    <cellStyle name="Normal 32 2" xfId="1683"/>
    <cellStyle name="Normal 32 2 2" xfId="25528"/>
    <cellStyle name="Normal 32 2 3" xfId="41053"/>
    <cellStyle name="Normal 32 3" xfId="5928"/>
    <cellStyle name="Normal 32 3 2" xfId="25529"/>
    <cellStyle name="Normal 32 3 2 2" xfId="45112"/>
    <cellStyle name="Normal 32 3 2 3" xfId="43263"/>
    <cellStyle name="Normal 32 3 3" xfId="44178"/>
    <cellStyle name="Normal 32 3 4" xfId="42316"/>
    <cellStyle name="Normal 32 4" xfId="43262"/>
    <cellStyle name="Normal 32 4 2" xfId="45111"/>
    <cellStyle name="Normal 32 5" xfId="43570"/>
    <cellStyle name="Normal 32 6" xfId="40489"/>
    <cellStyle name="Normal 33" xfId="1684"/>
    <cellStyle name="Normal 33 10" xfId="25531"/>
    <cellStyle name="Normal 33 11" xfId="25532"/>
    <cellStyle name="Normal 33 12" xfId="25530"/>
    <cellStyle name="Normal 33 13" xfId="40490"/>
    <cellStyle name="Normal 33 2" xfId="1685"/>
    <cellStyle name="Normal 33 2 10" xfId="41054"/>
    <cellStyle name="Normal 33 2 2" xfId="7839"/>
    <cellStyle name="Normal 33 2 2 2" xfId="25535"/>
    <cellStyle name="Normal 33 2 2 2 2" xfId="25536"/>
    <cellStyle name="Normal 33 2 2 2 2 2" xfId="25537"/>
    <cellStyle name="Normal 33 2 2 2 3" xfId="25538"/>
    <cellStyle name="Normal 33 2 2 3" xfId="25539"/>
    <cellStyle name="Normal 33 2 2 3 2" xfId="25540"/>
    <cellStyle name="Normal 33 2 2 4" xfId="25541"/>
    <cellStyle name="Normal 33 2 2 5" xfId="25542"/>
    <cellStyle name="Normal 33 2 2 6" xfId="25534"/>
    <cellStyle name="Normal 33 2 3" xfId="8101"/>
    <cellStyle name="Normal 33 2 3 2" xfId="25544"/>
    <cellStyle name="Normal 33 2 3 2 2" xfId="25545"/>
    <cellStyle name="Normal 33 2 3 2 2 2" xfId="25546"/>
    <cellStyle name="Normal 33 2 3 2 3" xfId="25547"/>
    <cellStyle name="Normal 33 2 3 3" xfId="25548"/>
    <cellStyle name="Normal 33 2 3 3 2" xfId="25549"/>
    <cellStyle name="Normal 33 2 3 4" xfId="25550"/>
    <cellStyle name="Normal 33 2 3 5" xfId="25543"/>
    <cellStyle name="Normal 33 2 4" xfId="25551"/>
    <cellStyle name="Normal 33 2 4 2" xfId="25552"/>
    <cellStyle name="Normal 33 2 4 2 2" xfId="25553"/>
    <cellStyle name="Normal 33 2 4 3" xfId="25554"/>
    <cellStyle name="Normal 33 2 5" xfId="25555"/>
    <cellStyle name="Normal 33 2 5 2" xfId="25556"/>
    <cellStyle name="Normal 33 2 5 2 2" xfId="25557"/>
    <cellStyle name="Normal 33 2 5 3" xfId="25558"/>
    <cellStyle name="Normal 33 2 6" xfId="25559"/>
    <cellStyle name="Normal 33 2 6 2" xfId="25560"/>
    <cellStyle name="Normal 33 2 7" xfId="25561"/>
    <cellStyle name="Normal 33 2 8" xfId="25562"/>
    <cellStyle name="Normal 33 2 9" xfId="25533"/>
    <cellStyle name="Normal 33 3" xfId="1686"/>
    <cellStyle name="Normal 33 3 10" xfId="42317"/>
    <cellStyle name="Normal 33 3 2" xfId="25564"/>
    <cellStyle name="Normal 33 3 2 2" xfId="25565"/>
    <cellStyle name="Normal 33 3 2 2 2" xfId="25566"/>
    <cellStyle name="Normal 33 3 2 2 2 2" xfId="25567"/>
    <cellStyle name="Normal 33 3 2 2 3" xfId="25568"/>
    <cellStyle name="Normal 33 3 2 2 4" xfId="45114"/>
    <cellStyle name="Normal 33 3 2 3" xfId="25569"/>
    <cellStyle name="Normal 33 3 2 3 2" xfId="25570"/>
    <cellStyle name="Normal 33 3 2 4" xfId="25571"/>
    <cellStyle name="Normal 33 3 2 5" xfId="25572"/>
    <cellStyle name="Normal 33 3 2 6" xfId="43265"/>
    <cellStyle name="Normal 33 3 3" xfId="25573"/>
    <cellStyle name="Normal 33 3 3 2" xfId="25574"/>
    <cellStyle name="Normal 33 3 3 2 2" xfId="25575"/>
    <cellStyle name="Normal 33 3 3 2 2 2" xfId="25576"/>
    <cellStyle name="Normal 33 3 3 2 3" xfId="25577"/>
    <cellStyle name="Normal 33 3 3 3" xfId="25578"/>
    <cellStyle name="Normal 33 3 3 3 2" xfId="25579"/>
    <cellStyle name="Normal 33 3 3 4" xfId="25580"/>
    <cellStyle name="Normal 33 3 3 5" xfId="44179"/>
    <cellStyle name="Normal 33 3 4" xfId="25581"/>
    <cellStyle name="Normal 33 3 4 2" xfId="25582"/>
    <cellStyle name="Normal 33 3 4 2 2" xfId="25583"/>
    <cellStyle name="Normal 33 3 4 3" xfId="25584"/>
    <cellStyle name="Normal 33 3 5" xfId="25585"/>
    <cellStyle name="Normal 33 3 5 2" xfId="25586"/>
    <cellStyle name="Normal 33 3 5 2 2" xfId="25587"/>
    <cellStyle name="Normal 33 3 5 3" xfId="25588"/>
    <cellStyle name="Normal 33 3 6" xfId="25589"/>
    <cellStyle name="Normal 33 3 6 2" xfId="25590"/>
    <cellStyle name="Normal 33 3 7" xfId="25591"/>
    <cellStyle name="Normal 33 3 8" xfId="25592"/>
    <cellStyle name="Normal 33 3 9" xfId="25563"/>
    <cellStyle name="Normal 33 4" xfId="3013"/>
    <cellStyle name="Normal 33 4 10" xfId="43264"/>
    <cellStyle name="Normal 33 4 2" xfId="25594"/>
    <cellStyle name="Normal 33 4 2 2" xfId="25595"/>
    <cellStyle name="Normal 33 4 2 2 2" xfId="25596"/>
    <cellStyle name="Normal 33 4 2 2 2 2" xfId="25597"/>
    <cellStyle name="Normal 33 4 2 2 3" xfId="25598"/>
    <cellStyle name="Normal 33 4 2 3" xfId="25599"/>
    <cellStyle name="Normal 33 4 2 3 2" xfId="25600"/>
    <cellStyle name="Normal 33 4 2 4" xfId="25601"/>
    <cellStyle name="Normal 33 4 2 5" xfId="25602"/>
    <cellStyle name="Normal 33 4 2 6" xfId="45113"/>
    <cellStyle name="Normal 33 4 3" xfId="25603"/>
    <cellStyle name="Normal 33 4 3 2" xfId="25604"/>
    <cellStyle name="Normal 33 4 3 2 2" xfId="25605"/>
    <cellStyle name="Normal 33 4 3 2 2 2" xfId="25606"/>
    <cellStyle name="Normal 33 4 3 2 3" xfId="25607"/>
    <cellStyle name="Normal 33 4 3 3" xfId="25608"/>
    <cellStyle name="Normal 33 4 3 3 2" xfId="25609"/>
    <cellStyle name="Normal 33 4 3 4" xfId="25610"/>
    <cellStyle name="Normal 33 4 4" xfId="25611"/>
    <cellStyle name="Normal 33 4 4 2" xfId="25612"/>
    <cellStyle name="Normal 33 4 4 2 2" xfId="25613"/>
    <cellStyle name="Normal 33 4 4 3" xfId="25614"/>
    <cellStyle name="Normal 33 4 5" xfId="25615"/>
    <cellStyle name="Normal 33 4 5 2" xfId="25616"/>
    <cellStyle name="Normal 33 4 5 2 2" xfId="25617"/>
    <cellStyle name="Normal 33 4 5 3" xfId="25618"/>
    <cellStyle name="Normal 33 4 6" xfId="25619"/>
    <cellStyle name="Normal 33 4 6 2" xfId="25620"/>
    <cellStyle name="Normal 33 4 7" xfId="25621"/>
    <cellStyle name="Normal 33 4 8" xfId="25622"/>
    <cellStyle name="Normal 33 4 9" xfId="25593"/>
    <cellStyle name="Normal 33 5" xfId="5929"/>
    <cellStyle name="Normal 33 5 2" xfId="25624"/>
    <cellStyle name="Normal 33 5 2 2" xfId="25625"/>
    <cellStyle name="Normal 33 5 2 2 2" xfId="25626"/>
    <cellStyle name="Normal 33 5 2 2 2 2" xfId="25627"/>
    <cellStyle name="Normal 33 5 2 2 3" xfId="25628"/>
    <cellStyle name="Normal 33 5 2 3" xfId="25629"/>
    <cellStyle name="Normal 33 5 2 3 2" xfId="25630"/>
    <cellStyle name="Normal 33 5 2 4" xfId="25631"/>
    <cellStyle name="Normal 33 5 3" xfId="25632"/>
    <cellStyle name="Normal 33 5 3 2" xfId="25633"/>
    <cellStyle name="Normal 33 5 3 2 2" xfId="25634"/>
    <cellStyle name="Normal 33 5 3 3" xfId="25635"/>
    <cellStyle name="Normal 33 5 4" xfId="25636"/>
    <cellStyle name="Normal 33 5 4 2" xfId="25637"/>
    <cellStyle name="Normal 33 5 4 2 2" xfId="25638"/>
    <cellStyle name="Normal 33 5 4 3" xfId="25639"/>
    <cellStyle name="Normal 33 5 5" xfId="25640"/>
    <cellStyle name="Normal 33 5 5 2" xfId="25641"/>
    <cellStyle name="Normal 33 5 6" xfId="25642"/>
    <cellStyle name="Normal 33 5 7" xfId="25643"/>
    <cellStyle name="Normal 33 5 8" xfId="25623"/>
    <cellStyle name="Normal 33 5 9" xfId="43571"/>
    <cellStyle name="Normal 33 6" xfId="25644"/>
    <cellStyle name="Normal 33 6 2" xfId="25645"/>
    <cellStyle name="Normal 33 6 2 2" xfId="25646"/>
    <cellStyle name="Normal 33 6 2 2 2" xfId="25647"/>
    <cellStyle name="Normal 33 6 2 3" xfId="25648"/>
    <cellStyle name="Normal 33 6 3" xfId="25649"/>
    <cellStyle name="Normal 33 6 3 2" xfId="25650"/>
    <cellStyle name="Normal 33 6 4" xfId="25651"/>
    <cellStyle name="Normal 33 6 5" xfId="25652"/>
    <cellStyle name="Normal 33 7" xfId="25653"/>
    <cellStyle name="Normal 33 7 2" xfId="25654"/>
    <cellStyle name="Normal 33 7 2 2" xfId="25655"/>
    <cellStyle name="Normal 33 7 3" xfId="25656"/>
    <cellStyle name="Normal 33 7 4" xfId="25657"/>
    <cellStyle name="Normal 33 7 5" xfId="25658"/>
    <cellStyle name="Normal 33 8" xfId="25659"/>
    <cellStyle name="Normal 33 8 2" xfId="25660"/>
    <cellStyle name="Normal 33 8 2 2" xfId="25661"/>
    <cellStyle name="Normal 33 8 3" xfId="25662"/>
    <cellStyle name="Normal 33 9" xfId="25663"/>
    <cellStyle name="Normal 33 9 2" xfId="25664"/>
    <cellStyle name="Normal 34" xfId="1687"/>
    <cellStyle name="Normal 34 10" xfId="25665"/>
    <cellStyle name="Normal 34 11" xfId="40651"/>
    <cellStyle name="Normal 34 2" xfId="1688"/>
    <cellStyle name="Normal 34 2 10" xfId="41055"/>
    <cellStyle name="Normal 34 2 2" xfId="5931"/>
    <cellStyle name="Normal 34 2 2 2" xfId="25668"/>
    <cellStyle name="Normal 34 2 2 2 2" xfId="25669"/>
    <cellStyle name="Normal 34 2 2 2 2 2" xfId="25670"/>
    <cellStyle name="Normal 34 2 2 2 3" xfId="25671"/>
    <cellStyle name="Normal 34 2 2 3" xfId="25672"/>
    <cellStyle name="Normal 34 2 2 3 2" xfId="25673"/>
    <cellStyle name="Normal 34 2 2 4" xfId="25674"/>
    <cellStyle name="Normal 34 2 2 5" xfId="25675"/>
    <cellStyle name="Normal 34 2 2 6" xfId="25667"/>
    <cellStyle name="Normal 34 2 3" xfId="25676"/>
    <cellStyle name="Normal 34 2 3 2" xfId="25677"/>
    <cellStyle name="Normal 34 2 3 2 2" xfId="25678"/>
    <cellStyle name="Normal 34 2 3 2 2 2" xfId="25679"/>
    <cellStyle name="Normal 34 2 3 2 3" xfId="25680"/>
    <cellStyle name="Normal 34 2 3 3" xfId="25681"/>
    <cellStyle name="Normal 34 2 3 3 2" xfId="25682"/>
    <cellStyle name="Normal 34 2 3 4" xfId="25683"/>
    <cellStyle name="Normal 34 2 4" xfId="25684"/>
    <cellStyle name="Normal 34 2 4 2" xfId="25685"/>
    <cellStyle name="Normal 34 2 4 2 2" xfId="25686"/>
    <cellStyle name="Normal 34 2 4 3" xfId="25687"/>
    <cellStyle name="Normal 34 2 5" xfId="25688"/>
    <cellStyle name="Normal 34 2 5 2" xfId="25689"/>
    <cellStyle name="Normal 34 2 5 2 2" xfId="25690"/>
    <cellStyle name="Normal 34 2 5 3" xfId="25691"/>
    <cellStyle name="Normal 34 2 6" xfId="25692"/>
    <cellStyle name="Normal 34 2 6 2" xfId="25693"/>
    <cellStyle name="Normal 34 2 7" xfId="25694"/>
    <cellStyle name="Normal 34 2 8" xfId="25695"/>
    <cellStyle name="Normal 34 2 9" xfId="25666"/>
    <cellStyle name="Normal 34 3" xfId="1689"/>
    <cellStyle name="Normal 34 3 2" xfId="3259"/>
    <cellStyle name="Normal 34 3 2 2" xfId="25698"/>
    <cellStyle name="Normal 34 3 2 2 2" xfId="25699"/>
    <cellStyle name="Normal 34 3 2 2 2 2" xfId="25700"/>
    <cellStyle name="Normal 34 3 2 2 3" xfId="25701"/>
    <cellStyle name="Normal 34 3 2 3" xfId="25702"/>
    <cellStyle name="Normal 34 3 2 3 2" xfId="25703"/>
    <cellStyle name="Normal 34 3 2 4" xfId="25704"/>
    <cellStyle name="Normal 34 3 2 5" xfId="25697"/>
    <cellStyle name="Normal 34 3 3" xfId="8102"/>
    <cellStyle name="Normal 34 3 3 2" xfId="25706"/>
    <cellStyle name="Normal 34 3 3 2 2" xfId="25707"/>
    <cellStyle name="Normal 34 3 3 3" xfId="25708"/>
    <cellStyle name="Normal 34 3 3 4" xfId="25705"/>
    <cellStyle name="Normal 34 3 4" xfId="25709"/>
    <cellStyle name="Normal 34 3 4 2" xfId="25710"/>
    <cellStyle name="Normal 34 3 4 2 2" xfId="25711"/>
    <cellStyle name="Normal 34 3 4 3" xfId="25712"/>
    <cellStyle name="Normal 34 3 5" xfId="25713"/>
    <cellStyle name="Normal 34 3 5 2" xfId="25714"/>
    <cellStyle name="Normal 34 3 6" xfId="25715"/>
    <cellStyle name="Normal 34 3 7" xfId="25716"/>
    <cellStyle name="Normal 34 3 8" xfId="25696"/>
    <cellStyle name="Normal 34 4" xfId="3149"/>
    <cellStyle name="Normal 34 4 2" xfId="7859"/>
    <cellStyle name="Normal 34 4 2 2" xfId="25719"/>
    <cellStyle name="Normal 34 4 2 2 2" xfId="25720"/>
    <cellStyle name="Normal 34 4 2 3" xfId="25721"/>
    <cellStyle name="Normal 34 4 2 4" xfId="25718"/>
    <cellStyle name="Normal 34 4 3" xfId="25722"/>
    <cellStyle name="Normal 34 4 3 2" xfId="25723"/>
    <cellStyle name="Normal 34 4 4" xfId="25724"/>
    <cellStyle name="Normal 34 4 5" xfId="25725"/>
    <cellStyle name="Normal 34 4 6" xfId="25717"/>
    <cellStyle name="Normal 34 5" xfId="5930"/>
    <cellStyle name="Normal 34 5 2" xfId="25727"/>
    <cellStyle name="Normal 34 5 2 2" xfId="25728"/>
    <cellStyle name="Normal 34 5 3" xfId="25729"/>
    <cellStyle name="Normal 34 5 4" xfId="25730"/>
    <cellStyle name="Normal 34 5 5" xfId="25731"/>
    <cellStyle name="Normal 34 5 6" xfId="25726"/>
    <cellStyle name="Normal 34 6" xfId="25732"/>
    <cellStyle name="Normal 34 6 2" xfId="25733"/>
    <cellStyle name="Normal 34 6 2 2" xfId="25734"/>
    <cellStyle name="Normal 34 6 3" xfId="25735"/>
    <cellStyle name="Normal 34 7" xfId="25736"/>
    <cellStyle name="Normal 34 7 2" xfId="25737"/>
    <cellStyle name="Normal 34 8" xfId="25738"/>
    <cellStyle name="Normal 34 8 2" xfId="25739"/>
    <cellStyle name="Normal 34 9" xfId="25740"/>
    <cellStyle name="Normal 35" xfId="1690"/>
    <cellStyle name="Normal 35 10" xfId="40652"/>
    <cellStyle name="Normal 35 2" xfId="1691"/>
    <cellStyle name="Normal 35 2 2" xfId="5933"/>
    <cellStyle name="Normal 35 2 2 2" xfId="41989"/>
    <cellStyle name="Normal 35 2 2 2 2" xfId="42569"/>
    <cellStyle name="Normal 35 2 2 2 2 2" xfId="43269"/>
    <cellStyle name="Normal 35 2 2 2 2 2 2" xfId="45118"/>
    <cellStyle name="Normal 35 2 2 2 2 3" xfId="44431"/>
    <cellStyle name="Normal 35 2 2 2 3" xfId="43268"/>
    <cellStyle name="Normal 35 2 2 2 3 2" xfId="45117"/>
    <cellStyle name="Normal 35 2 2 2 4" xfId="44030"/>
    <cellStyle name="Normal 35 2 2 3" xfId="42403"/>
    <cellStyle name="Normal 35 2 2 3 2" xfId="43270"/>
    <cellStyle name="Normal 35 2 2 3 2 2" xfId="45119"/>
    <cellStyle name="Normal 35 2 2 3 3" xfId="44265"/>
    <cellStyle name="Normal 35 2 2 4" xfId="43267"/>
    <cellStyle name="Normal 35 2 2 4 2" xfId="45116"/>
    <cellStyle name="Normal 35 2 2 5" xfId="43839"/>
    <cellStyle name="Normal 35 2 2 6" xfId="41649"/>
    <cellStyle name="Normal 35 2 3" xfId="8103"/>
    <cellStyle name="Normal 35 2 3 2" xfId="42514"/>
    <cellStyle name="Normal 35 2 3 2 2" xfId="43272"/>
    <cellStyle name="Normal 35 2 3 2 2 2" xfId="45121"/>
    <cellStyle name="Normal 35 2 3 2 3" xfId="44376"/>
    <cellStyle name="Normal 35 2 3 3" xfId="43271"/>
    <cellStyle name="Normal 35 2 3 3 2" xfId="45120"/>
    <cellStyle name="Normal 35 2 3 4" xfId="43975"/>
    <cellStyle name="Normal 35 2 3 5" xfId="41934"/>
    <cellStyle name="Normal 35 2 4" xfId="42348"/>
    <cellStyle name="Normal 35 2 4 2" xfId="43273"/>
    <cellStyle name="Normal 35 2 4 2 2" xfId="45122"/>
    <cellStyle name="Normal 35 2 4 3" xfId="44210"/>
    <cellStyle name="Normal 35 2 5" xfId="43266"/>
    <cellStyle name="Normal 35 2 5 2" xfId="45115"/>
    <cellStyle name="Normal 35 2 6" xfId="43739"/>
    <cellStyle name="Normal 35 2 7" xfId="41263"/>
    <cellStyle name="Normal 35 3" xfId="1692"/>
    <cellStyle name="Normal 35 3 2" xfId="5934"/>
    <cellStyle name="Normal 35 3 2 2" xfId="42592"/>
    <cellStyle name="Normal 35 3 2 2 2" xfId="43276"/>
    <cellStyle name="Normal 35 3 2 2 2 2" xfId="45125"/>
    <cellStyle name="Normal 35 3 2 2 3" xfId="44454"/>
    <cellStyle name="Normal 35 3 2 3" xfId="43275"/>
    <cellStyle name="Normal 35 3 2 3 2" xfId="45124"/>
    <cellStyle name="Normal 35 3 2 4" xfId="44053"/>
    <cellStyle name="Normal 35 3 2 5" xfId="42012"/>
    <cellStyle name="Normal 35 3 3" xfId="8104"/>
    <cellStyle name="Normal 35 3 3 2" xfId="43277"/>
    <cellStyle name="Normal 35 3 3 2 2" xfId="45126"/>
    <cellStyle name="Normal 35 3 3 3" xfId="44288"/>
    <cellStyle name="Normal 35 3 3 4" xfId="42426"/>
    <cellStyle name="Normal 35 3 4" xfId="43274"/>
    <cellStyle name="Normal 35 3 4 2" xfId="45123"/>
    <cellStyle name="Normal 35 3 5" xfId="43870"/>
    <cellStyle name="Normal 35 3 6" xfId="41697"/>
    <cellStyle name="Normal 35 4" xfId="1693"/>
    <cellStyle name="Normal 35 4 2" xfId="5935"/>
    <cellStyle name="Normal 35 4 2 2" xfId="42606"/>
    <cellStyle name="Normal 35 4 2 2 2" xfId="43280"/>
    <cellStyle name="Normal 35 4 2 2 2 2" xfId="45129"/>
    <cellStyle name="Normal 35 4 2 2 3" xfId="44468"/>
    <cellStyle name="Normal 35 4 2 3" xfId="43279"/>
    <cellStyle name="Normal 35 4 2 3 2" xfId="45128"/>
    <cellStyle name="Normal 35 4 2 4" xfId="44067"/>
    <cellStyle name="Normal 35 4 2 5" xfId="42026"/>
    <cellStyle name="Normal 35 4 3" xfId="42440"/>
    <cellStyle name="Normal 35 4 3 2" xfId="43281"/>
    <cellStyle name="Normal 35 4 3 2 2" xfId="45130"/>
    <cellStyle name="Normal 35 4 3 3" xfId="44302"/>
    <cellStyle name="Normal 35 4 4" xfId="43278"/>
    <cellStyle name="Normal 35 4 4 2" xfId="45127"/>
    <cellStyle name="Normal 35 4 5" xfId="43885"/>
    <cellStyle name="Normal 35 4 6" xfId="41724"/>
    <cellStyle name="Normal 35 5" xfId="5936"/>
    <cellStyle name="Normal 35 5 2" xfId="42050"/>
    <cellStyle name="Normal 35 5 2 2" xfId="42630"/>
    <cellStyle name="Normal 35 5 2 2 2" xfId="43284"/>
    <cellStyle name="Normal 35 5 2 2 2 2" xfId="45133"/>
    <cellStyle name="Normal 35 5 2 2 3" xfId="44492"/>
    <cellStyle name="Normal 35 5 2 3" xfId="43283"/>
    <cellStyle name="Normal 35 5 2 3 2" xfId="45132"/>
    <cellStyle name="Normal 35 5 2 4" xfId="44091"/>
    <cellStyle name="Normal 35 5 3" xfId="42464"/>
    <cellStyle name="Normal 35 5 3 2" xfId="43285"/>
    <cellStyle name="Normal 35 5 3 2 2" xfId="45134"/>
    <cellStyle name="Normal 35 5 3 3" xfId="44326"/>
    <cellStyle name="Normal 35 5 4" xfId="43282"/>
    <cellStyle name="Normal 35 5 4 2" xfId="45131"/>
    <cellStyle name="Normal 35 5 5" xfId="43910"/>
    <cellStyle name="Normal 35 5 6" xfId="41753"/>
    <cellStyle name="Normal 35 6" xfId="7860"/>
    <cellStyle name="Normal 35 6 2" xfId="41966"/>
    <cellStyle name="Normal 35 6 2 2" xfId="42546"/>
    <cellStyle name="Normal 35 6 2 2 2" xfId="43288"/>
    <cellStyle name="Normal 35 6 2 2 2 2" xfId="45137"/>
    <cellStyle name="Normal 35 6 2 2 3" xfId="44408"/>
    <cellStyle name="Normal 35 6 2 3" xfId="43287"/>
    <cellStyle name="Normal 35 6 2 3 2" xfId="45136"/>
    <cellStyle name="Normal 35 6 2 4" xfId="44007"/>
    <cellStyle name="Normal 35 6 3" xfId="42380"/>
    <cellStyle name="Normal 35 6 3 2" xfId="43289"/>
    <cellStyle name="Normal 35 6 3 2 2" xfId="45138"/>
    <cellStyle name="Normal 35 6 3 3" xfId="44242"/>
    <cellStyle name="Normal 35 6 4" xfId="43286"/>
    <cellStyle name="Normal 35 6 4 2" xfId="45135"/>
    <cellStyle name="Normal 35 6 5" xfId="43807"/>
    <cellStyle name="Normal 35 6 6" xfId="41564"/>
    <cellStyle name="Normal 35 7" xfId="5932"/>
    <cellStyle name="Normal 35 7 2" xfId="42500"/>
    <cellStyle name="Normal 35 7 2 2" xfId="43291"/>
    <cellStyle name="Normal 35 7 2 2 2" xfId="45140"/>
    <cellStyle name="Normal 35 7 2 3" xfId="44362"/>
    <cellStyle name="Normal 35 7 3" xfId="43290"/>
    <cellStyle name="Normal 35 7 3 2" xfId="45139"/>
    <cellStyle name="Normal 35 7 4" xfId="43961"/>
    <cellStyle name="Normal 35 7 5" xfId="41919"/>
    <cellStyle name="Normal 35 8" xfId="41795"/>
    <cellStyle name="Normal 35 8 2" xfId="42487"/>
    <cellStyle name="Normal 35 8 2 2" xfId="43293"/>
    <cellStyle name="Normal 35 8 2 2 2" xfId="45142"/>
    <cellStyle name="Normal 35 8 2 3" xfId="44349"/>
    <cellStyle name="Normal 35 8 3" xfId="43292"/>
    <cellStyle name="Normal 35 8 3 2" xfId="45141"/>
    <cellStyle name="Normal 35 8 4" xfId="43935"/>
    <cellStyle name="Normal 35 9" xfId="41056"/>
    <cellStyle name="Normal 35 9 2" xfId="42334"/>
    <cellStyle name="Normal 35 9 2 2" xfId="43295"/>
    <cellStyle name="Normal 35 9 2 2 2" xfId="45144"/>
    <cellStyle name="Normal 35 9 2 3" xfId="44196"/>
    <cellStyle name="Normal 35 9 3" xfId="43294"/>
    <cellStyle name="Normal 35 9 3 2" xfId="45143"/>
    <cellStyle name="Normal 35 9 4" xfId="43705"/>
    <cellStyle name="Normal 36" xfId="1694"/>
    <cellStyle name="Normal 36 2" xfId="1695"/>
    <cellStyle name="Normal 36 2 2" xfId="5938"/>
    <cellStyle name="Normal 36 2 2 2" xfId="25743"/>
    <cellStyle name="Normal 36 2 2 3" xfId="25742"/>
    <cellStyle name="Normal 36 2 3" xfId="25744"/>
    <cellStyle name="Normal 36 2 4" xfId="25745"/>
    <cellStyle name="Normal 36 2 5" xfId="25746"/>
    <cellStyle name="Normal 36 2 6" xfId="25741"/>
    <cellStyle name="Normal 36 2 7" xfId="41086"/>
    <cellStyle name="Normal 36 3" xfId="1696"/>
    <cellStyle name="Normal 36 3 2" xfId="8106"/>
    <cellStyle name="Normal 36 4" xfId="5937"/>
    <cellStyle name="Normal 36 5" xfId="8105"/>
    <cellStyle name="Normal 36 6" xfId="40653"/>
    <cellStyle name="Normal 37" xfId="1697"/>
    <cellStyle name="Normal 37 2" xfId="1698"/>
    <cellStyle name="Normal 37 2 2" xfId="5940"/>
    <cellStyle name="Normal 37 2 2 2" xfId="25750"/>
    <cellStyle name="Normal 37 2 2 3" xfId="25749"/>
    <cellStyle name="Normal 37 2 3" xfId="8108"/>
    <cellStyle name="Normal 37 2 4" xfId="25748"/>
    <cellStyle name="Normal 37 2 5" xfId="41101"/>
    <cellStyle name="Normal 37 3" xfId="1699"/>
    <cellStyle name="Normal 37 3 2" xfId="25752"/>
    <cellStyle name="Normal 37 3 2 2" xfId="25753"/>
    <cellStyle name="Normal 37 3 2 2 2" xfId="25754"/>
    <cellStyle name="Normal 37 3 2 2 2 2" xfId="25755"/>
    <cellStyle name="Normal 37 3 2 2 3" xfId="25756"/>
    <cellStyle name="Normal 37 3 2 3" xfId="25757"/>
    <cellStyle name="Normal 37 3 2 3 2" xfId="25758"/>
    <cellStyle name="Normal 37 3 2 4" xfId="25759"/>
    <cellStyle name="Normal 37 3 3" xfId="25760"/>
    <cellStyle name="Normal 37 3 3 2" xfId="25761"/>
    <cellStyle name="Normal 37 3 3 2 2" xfId="25762"/>
    <cellStyle name="Normal 37 3 3 3" xfId="25763"/>
    <cellStyle name="Normal 37 3 4" xfId="25764"/>
    <cellStyle name="Normal 37 3 4 2" xfId="25765"/>
    <cellStyle name="Normal 37 3 5" xfId="25766"/>
    <cellStyle name="Normal 37 3 6" xfId="25767"/>
    <cellStyle name="Normal 37 3 7" xfId="25751"/>
    <cellStyle name="Normal 37 4" xfId="2979"/>
    <cellStyle name="Normal 37 4 2" xfId="25768"/>
    <cellStyle name="Normal 37 5" xfId="5939"/>
    <cellStyle name="Normal 37 5 2" xfId="25770"/>
    <cellStyle name="Normal 37 5 3" xfId="25769"/>
    <cellStyle name="Normal 37 6" xfId="8107"/>
    <cellStyle name="Normal 37 6 2" xfId="25771"/>
    <cellStyle name="Normal 37 7" xfId="25772"/>
    <cellStyle name="Normal 37 8" xfId="25747"/>
    <cellStyle name="Normal 37 9" xfId="40654"/>
    <cellStyle name="Normal 38" xfId="1700"/>
    <cellStyle name="Normal 38 2" xfId="1701"/>
    <cellStyle name="Normal 38 2 2" xfId="5942"/>
    <cellStyle name="Normal 38 2 2 2" xfId="25775"/>
    <cellStyle name="Normal 38 2 2 3" xfId="25774"/>
    <cellStyle name="Normal 38 2 3" xfId="25776"/>
    <cellStyle name="Normal 38 2 4" xfId="25773"/>
    <cellStyle name="Normal 38 3" xfId="1702"/>
    <cellStyle name="Normal 38 3 2" xfId="5943"/>
    <cellStyle name="Normal 38 4" xfId="2779"/>
    <cellStyle name="Normal 38 4 2" xfId="5944"/>
    <cellStyle name="Normal 38 5" xfId="5945"/>
    <cellStyle name="Normal 38 6" xfId="5941"/>
    <cellStyle name="Normal 38 7" xfId="40655"/>
    <cellStyle name="Normal 39" xfId="1703"/>
    <cellStyle name="Normal 39 2" xfId="1704"/>
    <cellStyle name="Normal 39 2 2" xfId="3631"/>
    <cellStyle name="Normal 39 2 3" xfId="25778"/>
    <cellStyle name="Normal 39 3" xfId="1705"/>
    <cellStyle name="Normal 39 3 2" xfId="8110"/>
    <cellStyle name="Normal 39 3 3" xfId="25779"/>
    <cellStyle name="Normal 39 4" xfId="1706"/>
    <cellStyle name="Normal 39 5" xfId="3157"/>
    <cellStyle name="Normal 39 6" xfId="5946"/>
    <cellStyle name="Normal 39 7" xfId="8109"/>
    <cellStyle name="Normal 39 8" xfId="25777"/>
    <cellStyle name="Normal 39 9" xfId="40656"/>
    <cellStyle name="Normal 4" xfId="25"/>
    <cellStyle name="Normal 4 10" xfId="2453"/>
    <cellStyle name="Normal 4 11" xfId="2454"/>
    <cellStyle name="Normal 4 12" xfId="2455"/>
    <cellStyle name="Normal 4 13" xfId="2456"/>
    <cellStyle name="Normal 4 14" xfId="2457"/>
    <cellStyle name="Normal 4 15" xfId="2458"/>
    <cellStyle name="Normal 4 16" xfId="2459"/>
    <cellStyle name="Normal 4 17" xfId="2460"/>
    <cellStyle name="Normal 4 18" xfId="2461"/>
    <cellStyle name="Normal 4 19" xfId="2462"/>
    <cellStyle name="Normal 4 2" xfId="1708"/>
    <cellStyle name="Normal 4 2 2" xfId="1709"/>
    <cellStyle name="Normal 4 2 2 10" xfId="25781"/>
    <cellStyle name="Normal 4 2 2 11" xfId="25782"/>
    <cellStyle name="Normal 4 2 2 12" xfId="25780"/>
    <cellStyle name="Normal 4 2 2 13" xfId="40976"/>
    <cellStyle name="Normal 4 2 2 2" xfId="1710"/>
    <cellStyle name="Normal 4 2 2 2 10" xfId="40389"/>
    <cellStyle name="Normal 4 2 2 2 2" xfId="25784"/>
    <cellStyle name="Normal 4 2 2 2 2 2" xfId="25785"/>
    <cellStyle name="Normal 4 2 2 2 2 2 2" xfId="25786"/>
    <cellStyle name="Normal 4 2 2 2 2 2 2 2" xfId="25787"/>
    <cellStyle name="Normal 4 2 2 2 2 2 3" xfId="25788"/>
    <cellStyle name="Normal 4 2 2 2 2 3" xfId="25789"/>
    <cellStyle name="Normal 4 2 2 2 2 3 2" xfId="25790"/>
    <cellStyle name="Normal 4 2 2 2 2 4" xfId="25791"/>
    <cellStyle name="Normal 4 2 2 2 2 5" xfId="25792"/>
    <cellStyle name="Normal 4 2 2 2 3" xfId="25793"/>
    <cellStyle name="Normal 4 2 2 2 3 2" xfId="25794"/>
    <cellStyle name="Normal 4 2 2 2 3 2 2" xfId="25795"/>
    <cellStyle name="Normal 4 2 2 2 3 2 2 2" xfId="25796"/>
    <cellStyle name="Normal 4 2 2 2 3 2 3" xfId="25797"/>
    <cellStyle name="Normal 4 2 2 2 3 3" xfId="25798"/>
    <cellStyle name="Normal 4 2 2 2 3 3 2" xfId="25799"/>
    <cellStyle name="Normal 4 2 2 2 3 4" xfId="25800"/>
    <cellStyle name="Normal 4 2 2 2 4" xfId="25801"/>
    <cellStyle name="Normal 4 2 2 2 4 2" xfId="25802"/>
    <cellStyle name="Normal 4 2 2 2 4 2 2" xfId="25803"/>
    <cellStyle name="Normal 4 2 2 2 4 3" xfId="25804"/>
    <cellStyle name="Normal 4 2 2 2 5" xfId="25805"/>
    <cellStyle name="Normal 4 2 2 2 5 2" xfId="25806"/>
    <cellStyle name="Normal 4 2 2 2 5 2 2" xfId="25807"/>
    <cellStyle name="Normal 4 2 2 2 5 3" xfId="25808"/>
    <cellStyle name="Normal 4 2 2 2 6" xfId="25809"/>
    <cellStyle name="Normal 4 2 2 2 6 2" xfId="25810"/>
    <cellStyle name="Normal 4 2 2 2 7" xfId="25811"/>
    <cellStyle name="Normal 4 2 2 2 7 2" xfId="25812"/>
    <cellStyle name="Normal 4 2 2 2 8" xfId="25813"/>
    <cellStyle name="Normal 4 2 2 2 9" xfId="25783"/>
    <cellStyle name="Normal 4 2 2 3" xfId="2987"/>
    <cellStyle name="Normal 4 2 2 3 2" xfId="25815"/>
    <cellStyle name="Normal 4 2 2 3 2 2" xfId="25816"/>
    <cellStyle name="Normal 4 2 2 3 2 2 2" xfId="25817"/>
    <cellStyle name="Normal 4 2 2 3 2 2 2 2" xfId="25818"/>
    <cellStyle name="Normal 4 2 2 3 2 2 3" xfId="25819"/>
    <cellStyle name="Normal 4 2 2 3 2 3" xfId="25820"/>
    <cellStyle name="Normal 4 2 2 3 2 3 2" xfId="25821"/>
    <cellStyle name="Normal 4 2 2 3 2 4" xfId="25822"/>
    <cellStyle name="Normal 4 2 2 3 2 5" xfId="25823"/>
    <cellStyle name="Normal 4 2 2 3 3" xfId="25824"/>
    <cellStyle name="Normal 4 2 2 3 3 2" xfId="25825"/>
    <cellStyle name="Normal 4 2 2 3 3 2 2" xfId="25826"/>
    <cellStyle name="Normal 4 2 2 3 3 2 2 2" xfId="25827"/>
    <cellStyle name="Normal 4 2 2 3 3 2 3" xfId="25828"/>
    <cellStyle name="Normal 4 2 2 3 3 3" xfId="25829"/>
    <cellStyle name="Normal 4 2 2 3 3 3 2" xfId="25830"/>
    <cellStyle name="Normal 4 2 2 3 3 4" xfId="25831"/>
    <cellStyle name="Normal 4 2 2 3 4" xfId="25832"/>
    <cellStyle name="Normal 4 2 2 3 4 2" xfId="25833"/>
    <cellStyle name="Normal 4 2 2 3 4 2 2" xfId="25834"/>
    <cellStyle name="Normal 4 2 2 3 4 3" xfId="25835"/>
    <cellStyle name="Normal 4 2 2 3 5" xfId="25836"/>
    <cellStyle name="Normal 4 2 2 3 5 2" xfId="25837"/>
    <cellStyle name="Normal 4 2 2 3 5 2 2" xfId="25838"/>
    <cellStyle name="Normal 4 2 2 3 5 3" xfId="25839"/>
    <cellStyle name="Normal 4 2 2 3 6" xfId="25840"/>
    <cellStyle name="Normal 4 2 2 3 6 2" xfId="25841"/>
    <cellStyle name="Normal 4 2 2 3 7" xfId="25842"/>
    <cellStyle name="Normal 4 2 2 3 8" xfId="25843"/>
    <cellStyle name="Normal 4 2 2 3 9" xfId="25814"/>
    <cellStyle name="Normal 4 2 2 4" xfId="25844"/>
    <cellStyle name="Normal 4 2 2 4 2" xfId="25845"/>
    <cellStyle name="Normal 4 2 2 4 2 2" xfId="25846"/>
    <cellStyle name="Normal 4 2 2 4 2 2 2" xfId="25847"/>
    <cellStyle name="Normal 4 2 2 4 2 2 2 2" xfId="25848"/>
    <cellStyle name="Normal 4 2 2 4 2 2 3" xfId="25849"/>
    <cellStyle name="Normal 4 2 2 4 2 3" xfId="25850"/>
    <cellStyle name="Normal 4 2 2 4 2 3 2" xfId="25851"/>
    <cellStyle name="Normal 4 2 2 4 2 4" xfId="25852"/>
    <cellStyle name="Normal 4 2 2 4 2 5" xfId="25853"/>
    <cellStyle name="Normal 4 2 2 4 3" xfId="25854"/>
    <cellStyle name="Normal 4 2 2 4 3 2" xfId="25855"/>
    <cellStyle name="Normal 4 2 2 4 3 2 2" xfId="25856"/>
    <cellStyle name="Normal 4 2 2 4 3 2 2 2" xfId="25857"/>
    <cellStyle name="Normal 4 2 2 4 3 2 3" xfId="25858"/>
    <cellStyle name="Normal 4 2 2 4 3 3" xfId="25859"/>
    <cellStyle name="Normal 4 2 2 4 3 3 2" xfId="25860"/>
    <cellStyle name="Normal 4 2 2 4 3 4" xfId="25861"/>
    <cellStyle name="Normal 4 2 2 4 4" xfId="25862"/>
    <cellStyle name="Normal 4 2 2 4 4 2" xfId="25863"/>
    <cellStyle name="Normal 4 2 2 4 4 2 2" xfId="25864"/>
    <cellStyle name="Normal 4 2 2 4 4 3" xfId="25865"/>
    <cellStyle name="Normal 4 2 2 4 5" xfId="25866"/>
    <cellStyle name="Normal 4 2 2 4 5 2" xfId="25867"/>
    <cellStyle name="Normal 4 2 2 4 5 2 2" xfId="25868"/>
    <cellStyle name="Normal 4 2 2 4 5 3" xfId="25869"/>
    <cellStyle name="Normal 4 2 2 4 6" xfId="25870"/>
    <cellStyle name="Normal 4 2 2 4 6 2" xfId="25871"/>
    <cellStyle name="Normal 4 2 2 4 7" xfId="25872"/>
    <cellStyle name="Normal 4 2 2 4 8" xfId="25873"/>
    <cellStyle name="Normal 4 2 2 5" xfId="25874"/>
    <cellStyle name="Normal 4 2 2 5 2" xfId="25875"/>
    <cellStyle name="Normal 4 2 2 5 2 2" xfId="25876"/>
    <cellStyle name="Normal 4 2 2 5 2 2 2" xfId="25877"/>
    <cellStyle name="Normal 4 2 2 5 2 2 2 2" xfId="25878"/>
    <cellStyle name="Normal 4 2 2 5 2 2 3" xfId="25879"/>
    <cellStyle name="Normal 4 2 2 5 2 3" xfId="25880"/>
    <cellStyle name="Normal 4 2 2 5 2 3 2" xfId="25881"/>
    <cellStyle name="Normal 4 2 2 5 2 4" xfId="25882"/>
    <cellStyle name="Normal 4 2 2 5 3" xfId="25883"/>
    <cellStyle name="Normal 4 2 2 5 3 2" xfId="25884"/>
    <cellStyle name="Normal 4 2 2 5 3 2 2" xfId="25885"/>
    <cellStyle name="Normal 4 2 2 5 3 3" xfId="25886"/>
    <cellStyle name="Normal 4 2 2 5 4" xfId="25887"/>
    <cellStyle name="Normal 4 2 2 5 4 2" xfId="25888"/>
    <cellStyle name="Normal 4 2 2 5 4 2 2" xfId="25889"/>
    <cellStyle name="Normal 4 2 2 5 4 3" xfId="25890"/>
    <cellStyle name="Normal 4 2 2 5 5" xfId="25891"/>
    <cellStyle name="Normal 4 2 2 5 5 2" xfId="25892"/>
    <cellStyle name="Normal 4 2 2 5 6" xfId="25893"/>
    <cellStyle name="Normal 4 2 2 5 7" xfId="25894"/>
    <cellStyle name="Normal 4 2 2 6" xfId="25895"/>
    <cellStyle name="Normal 4 2 2 6 2" xfId="25896"/>
    <cellStyle name="Normal 4 2 2 6 2 2" xfId="25897"/>
    <cellStyle name="Normal 4 2 2 6 2 2 2" xfId="25898"/>
    <cellStyle name="Normal 4 2 2 6 2 3" xfId="25899"/>
    <cellStyle name="Normal 4 2 2 6 3" xfId="25900"/>
    <cellStyle name="Normal 4 2 2 6 3 2" xfId="25901"/>
    <cellStyle name="Normal 4 2 2 6 4" xfId="25902"/>
    <cellStyle name="Normal 4 2 2 6 5" xfId="25903"/>
    <cellStyle name="Normal 4 2 2 7" xfId="25904"/>
    <cellStyle name="Normal 4 2 2 7 2" xfId="25905"/>
    <cellStyle name="Normal 4 2 2 7 2 2" xfId="25906"/>
    <cellStyle name="Normal 4 2 2 7 3" xfId="25907"/>
    <cellStyle name="Normal 4 2 2 8" xfId="25908"/>
    <cellStyle name="Normal 4 2 2 8 2" xfId="25909"/>
    <cellStyle name="Normal 4 2 2 8 2 2" xfId="25910"/>
    <cellStyle name="Normal 4 2 2 8 3" xfId="25911"/>
    <cellStyle name="Normal 4 2 2 9" xfId="25912"/>
    <cellStyle name="Normal 4 2 2 9 2" xfId="25913"/>
    <cellStyle name="Normal 4 2 3" xfId="2988"/>
    <cellStyle name="Normal 4 2 3 2" xfId="25915"/>
    <cellStyle name="Normal 4 2 3 3" xfId="25914"/>
    <cellStyle name="Normal 4 2 3 4" xfId="41195"/>
    <cellStyle name="Normal 4 2 4" xfId="2989"/>
    <cellStyle name="Normal 4 2 4 2" xfId="43498"/>
    <cellStyle name="Normal 4 2 5" xfId="2990"/>
    <cellStyle name="Normal 4 2 6" xfId="2986"/>
    <cellStyle name="Normal 4 2 6 2" xfId="25916"/>
    <cellStyle name="Normal 4 2 7" xfId="8493"/>
    <cellStyle name="Normal 4 2 8" xfId="40492"/>
    <cellStyle name="Normal 4 2_5.2" xfId="5948"/>
    <cellStyle name="Normal 4 20" xfId="2463"/>
    <cellStyle name="Normal 4 20 2" xfId="5949"/>
    <cellStyle name="Normal 4 21" xfId="2464"/>
    <cellStyle name="Normal 4 21 2" xfId="5950"/>
    <cellStyle name="Normal 4 22" xfId="2452"/>
    <cellStyle name="Normal 4 22 2" xfId="5951"/>
    <cellStyle name="Normal 4 22 3" xfId="8294"/>
    <cellStyle name="Normal 4 22 4" xfId="25917"/>
    <cellStyle name="Normal 4 23" xfId="1707"/>
    <cellStyle name="Normal 4 23 2" xfId="5952"/>
    <cellStyle name="Normal 4 23 2 2" xfId="25920"/>
    <cellStyle name="Normal 4 23 2 2 2" xfId="25921"/>
    <cellStyle name="Normal 4 23 2 2 2 2" xfId="25922"/>
    <cellStyle name="Normal 4 23 2 2 3" xfId="25923"/>
    <cellStyle name="Normal 4 23 2 3" xfId="25924"/>
    <cellStyle name="Normal 4 23 2 3 2" xfId="25925"/>
    <cellStyle name="Normal 4 23 2 4" xfId="25926"/>
    <cellStyle name="Normal 4 23 2 5" xfId="25927"/>
    <cellStyle name="Normal 4 23 2 6" xfId="25919"/>
    <cellStyle name="Normal 4 23 3" xfId="25928"/>
    <cellStyle name="Normal 4 23 3 2" xfId="25929"/>
    <cellStyle name="Normal 4 23 3 2 2" xfId="25930"/>
    <cellStyle name="Normal 4 23 3 2 2 2" xfId="25931"/>
    <cellStyle name="Normal 4 23 3 2 3" xfId="25932"/>
    <cellStyle name="Normal 4 23 3 3" xfId="25933"/>
    <cellStyle name="Normal 4 23 3 3 2" xfId="25934"/>
    <cellStyle name="Normal 4 23 3 4" xfId="25935"/>
    <cellStyle name="Normal 4 23 4" xfId="25936"/>
    <cellStyle name="Normal 4 23 4 2" xfId="25937"/>
    <cellStyle name="Normal 4 23 4 2 2" xfId="25938"/>
    <cellStyle name="Normal 4 23 4 3" xfId="25939"/>
    <cellStyle name="Normal 4 23 5" xfId="25940"/>
    <cellStyle name="Normal 4 23 5 2" xfId="25941"/>
    <cellStyle name="Normal 4 23 5 2 2" xfId="25942"/>
    <cellStyle name="Normal 4 23 5 3" xfId="25943"/>
    <cellStyle name="Normal 4 23 6" xfId="25944"/>
    <cellStyle name="Normal 4 23 6 2" xfId="25945"/>
    <cellStyle name="Normal 4 23 7" xfId="25946"/>
    <cellStyle name="Normal 4 23 8" xfId="25918"/>
    <cellStyle name="Normal 4 24" xfId="5953"/>
    <cellStyle name="Normal 4 24 2" xfId="25948"/>
    <cellStyle name="Normal 4 24 2 2" xfId="25949"/>
    <cellStyle name="Normal 4 24 2 2 2" xfId="25950"/>
    <cellStyle name="Normal 4 24 2 2 2 2" xfId="25951"/>
    <cellStyle name="Normal 4 24 2 2 3" xfId="25952"/>
    <cellStyle name="Normal 4 24 2 3" xfId="25953"/>
    <cellStyle name="Normal 4 24 2 3 2" xfId="25954"/>
    <cellStyle name="Normal 4 24 2 4" xfId="25955"/>
    <cellStyle name="Normal 4 24 2 5" xfId="25956"/>
    <cellStyle name="Normal 4 24 3" xfId="25957"/>
    <cellStyle name="Normal 4 24 3 2" xfId="25958"/>
    <cellStyle name="Normal 4 24 3 2 2" xfId="25959"/>
    <cellStyle name="Normal 4 24 3 2 2 2" xfId="25960"/>
    <cellStyle name="Normal 4 24 3 2 3" xfId="25961"/>
    <cellStyle name="Normal 4 24 3 3" xfId="25962"/>
    <cellStyle name="Normal 4 24 3 3 2" xfId="25963"/>
    <cellStyle name="Normal 4 24 3 4" xfId="25964"/>
    <cellStyle name="Normal 4 24 4" xfId="25965"/>
    <cellStyle name="Normal 4 24 4 2" xfId="25966"/>
    <cellStyle name="Normal 4 24 4 2 2" xfId="25967"/>
    <cellStyle name="Normal 4 24 4 3" xfId="25968"/>
    <cellStyle name="Normal 4 24 5" xfId="25969"/>
    <cellStyle name="Normal 4 24 5 2" xfId="25970"/>
    <cellStyle name="Normal 4 24 5 2 2" xfId="25971"/>
    <cellStyle name="Normal 4 24 5 3" xfId="25972"/>
    <cellStyle name="Normal 4 24 6" xfId="25973"/>
    <cellStyle name="Normal 4 24 6 2" xfId="25974"/>
    <cellStyle name="Normal 4 24 7" xfId="25975"/>
    <cellStyle name="Normal 4 24 8" xfId="25976"/>
    <cellStyle name="Normal 4 24 9" xfId="25947"/>
    <cellStyle name="Normal 4 25" xfId="5954"/>
    <cellStyle name="Normal 4 25 2" xfId="25978"/>
    <cellStyle name="Normal 4 25 2 2" xfId="25979"/>
    <cellStyle name="Normal 4 25 2 2 2" xfId="25980"/>
    <cellStyle name="Normal 4 25 2 3" xfId="25981"/>
    <cellStyle name="Normal 4 25 3" xfId="25982"/>
    <cellStyle name="Normal 4 25 3 2" xfId="25983"/>
    <cellStyle name="Normal 4 25 3 2 2" xfId="25984"/>
    <cellStyle name="Normal 4 25 3 3" xfId="25985"/>
    <cellStyle name="Normal 4 25 4" xfId="25986"/>
    <cellStyle name="Normal 4 25 4 2" xfId="25987"/>
    <cellStyle name="Normal 4 25 5" xfId="25988"/>
    <cellStyle name="Normal 4 25 6" xfId="25989"/>
    <cellStyle name="Normal 4 25 7" xfId="25977"/>
    <cellStyle name="Normal 4 26" xfId="5955"/>
    <cellStyle name="Normal 4 26 2" xfId="25990"/>
    <cellStyle name="Normal 4 27" xfId="1711"/>
    <cellStyle name="Normal 4 27 2" xfId="5956"/>
    <cellStyle name="Normal 4 27 3" xfId="25991"/>
    <cellStyle name="Normal 4 28" xfId="5957"/>
    <cellStyle name="Normal 4 29" xfId="5958"/>
    <cellStyle name="Normal 4 3" xfId="1712"/>
    <cellStyle name="Normal 4 3 2" xfId="1713"/>
    <cellStyle name="Normal 4 3 2 2" xfId="5959"/>
    <cellStyle name="Normal 4 3 2 3" xfId="40975"/>
    <cellStyle name="Normal 4 3 3" xfId="1714"/>
    <cellStyle name="Normal 4 3 3 2" xfId="41859"/>
    <cellStyle name="Normal 4 3 4" xfId="1715"/>
    <cellStyle name="Normal 4 3 4 2" xfId="43422"/>
    <cellStyle name="Normal 4 3 5" xfId="1716"/>
    <cellStyle name="Normal 4 3 6" xfId="40785"/>
    <cellStyle name="Normal 4 30" xfId="7819"/>
    <cellStyle name="Normal 4 31" xfId="5947"/>
    <cellStyle name="Normal 4 32" xfId="8491"/>
    <cellStyle name="Normal 4 33" xfId="40387"/>
    <cellStyle name="Normal 4 34" xfId="40491"/>
    <cellStyle name="Normal 4 4" xfId="1717"/>
    <cellStyle name="Normal 4 4 2" xfId="1718"/>
    <cellStyle name="Normal 4 4 2 2" xfId="42241"/>
    <cellStyle name="Normal 4 4 3" xfId="2465"/>
    <cellStyle name="Normal 4 4 4" xfId="41194"/>
    <cellStyle name="Normal 4 5" xfId="1719"/>
    <cellStyle name="Normal 4 5 2" xfId="2466"/>
    <cellStyle name="Normal 4 5 3" xfId="41565"/>
    <cellStyle name="Normal 4 6" xfId="1720"/>
    <cellStyle name="Normal 4 6 2" xfId="2467"/>
    <cellStyle name="Normal 4 6 3" xfId="8111"/>
    <cellStyle name="Normal 4 6 4" xfId="41858"/>
    <cellStyle name="Normal 4 7" xfId="2468"/>
    <cellStyle name="Normal 4 7 2" xfId="43414"/>
    <cellStyle name="Normal 4 8" xfId="2469"/>
    <cellStyle name="Normal 4 9" xfId="2470"/>
    <cellStyle name="Normal 4_1. AISF Accounts - Dec 2013" xfId="5960"/>
    <cellStyle name="Normal 40" xfId="1721"/>
    <cellStyle name="Normal 40 2" xfId="1722"/>
    <cellStyle name="Normal 40 2 2" xfId="25992"/>
    <cellStyle name="Normal 40 3" xfId="1723"/>
    <cellStyle name="Normal 40 3 2" xfId="8113"/>
    <cellStyle name="Normal 40 3 2 2" xfId="25994"/>
    <cellStyle name="Normal 40 3 3" xfId="25995"/>
    <cellStyle name="Normal 40 3 4" xfId="25993"/>
    <cellStyle name="Normal 40 4" xfId="3012"/>
    <cellStyle name="Normal 40 4 2" xfId="25997"/>
    <cellStyle name="Normal 40 4 3" xfId="25996"/>
    <cellStyle name="Normal 40 5" xfId="5961"/>
    <cellStyle name="Normal 40 5 2" xfId="25998"/>
    <cellStyle name="Normal 40 6" xfId="8112"/>
    <cellStyle name="Normal 40 6 2" xfId="8497"/>
    <cellStyle name="Normal 40 7" xfId="40657"/>
    <cellStyle name="Normal 41" xfId="1724"/>
    <cellStyle name="Normal 41 2" xfId="1725"/>
    <cellStyle name="Normal 41 2 2" xfId="5963"/>
    <cellStyle name="Normal 41 2 3" xfId="26000"/>
    <cellStyle name="Normal 41 3" xfId="1726"/>
    <cellStyle name="Normal 41 3 2" xfId="8115"/>
    <cellStyle name="Normal 41 3 3" xfId="26001"/>
    <cellStyle name="Normal 41 4" xfId="3155"/>
    <cellStyle name="Normal 41 5" xfId="5962"/>
    <cellStyle name="Normal 41 6" xfId="8114"/>
    <cellStyle name="Normal 41 7" xfId="25999"/>
    <cellStyle name="Normal 41 8" xfId="40658"/>
    <cellStyle name="Normal 42" xfId="1727"/>
    <cellStyle name="Normal 42 2" xfId="3152"/>
    <cellStyle name="Normal 42 2 2" xfId="26003"/>
    <cellStyle name="Normal 42 3" xfId="5964"/>
    <cellStyle name="Normal 42 4" xfId="26002"/>
    <cellStyle name="Normal 42 5" xfId="40659"/>
    <cellStyle name="Normal 43" xfId="1728"/>
    <cellStyle name="Normal 43 2" xfId="1729"/>
    <cellStyle name="Normal 43 2 2" xfId="8117"/>
    <cellStyle name="Normal 43 2 3" xfId="26005"/>
    <cellStyle name="Normal 43 3" xfId="3164"/>
    <cellStyle name="Normal 43 4" xfId="5965"/>
    <cellStyle name="Normal 43 5" xfId="8116"/>
    <cellStyle name="Normal 43 6" xfId="26004"/>
    <cellStyle name="Normal 43 7" xfId="40660"/>
    <cellStyle name="Normal 44" xfId="1730"/>
    <cellStyle name="Normal 44 2" xfId="1731"/>
    <cellStyle name="Normal 44 2 2" xfId="8119"/>
    <cellStyle name="Normal 44 2 3" xfId="26007"/>
    <cellStyle name="Normal 44 3" xfId="3168"/>
    <cellStyle name="Normal 44 4" xfId="5966"/>
    <cellStyle name="Normal 44 5" xfId="8118"/>
    <cellStyle name="Normal 44 6" xfId="26006"/>
    <cellStyle name="Normal 44 7" xfId="40661"/>
    <cellStyle name="Normal 45" xfId="1732"/>
    <cellStyle name="Normal 45 2" xfId="1733"/>
    <cellStyle name="Normal 45 2 2" xfId="5968"/>
    <cellStyle name="Normal 45 2 3" xfId="8121"/>
    <cellStyle name="Normal 45 3" xfId="2780"/>
    <cellStyle name="Normal 45 3 2" xfId="5969"/>
    <cellStyle name="Normal 45 4" xfId="5970"/>
    <cellStyle name="Normal 45 5" xfId="5967"/>
    <cellStyle name="Normal 45 6" xfId="8120"/>
    <cellStyle name="Normal 45 7" xfId="40662"/>
    <cellStyle name="Normal 46" xfId="1734"/>
    <cellStyle name="Normal 46 2" xfId="1735"/>
    <cellStyle name="Normal 46 2 2" xfId="5972"/>
    <cellStyle name="Normal 46 2 2 2" xfId="26010"/>
    <cellStyle name="Normal 46 2 2 3" xfId="26009"/>
    <cellStyle name="Normal 46 2 3" xfId="8123"/>
    <cellStyle name="Normal 46 2 3 2" xfId="26011"/>
    <cellStyle name="Normal 46 2 4" xfId="26008"/>
    <cellStyle name="Normal 46 2 5" xfId="41141"/>
    <cellStyle name="Normal 46 3" xfId="1736"/>
    <cellStyle name="Normal 46 3 2" xfId="5973"/>
    <cellStyle name="Normal 46 4" xfId="2781"/>
    <cellStyle name="Normal 46 4 2" xfId="5974"/>
    <cellStyle name="Normal 46 5" xfId="5971"/>
    <cellStyle name="Normal 46 6" xfId="8122"/>
    <cellStyle name="Normal 46 7" xfId="40663"/>
    <cellStyle name="Normal 47" xfId="1737"/>
    <cellStyle name="Normal 47 2" xfId="1738"/>
    <cellStyle name="Normal 47 2 2" xfId="5976"/>
    <cellStyle name="Normal 47 2 3" xfId="8125"/>
    <cellStyle name="Normal 47 2 4" xfId="26012"/>
    <cellStyle name="Normal 47 2 5" xfId="41090"/>
    <cellStyle name="Normal 47 3" xfId="1739"/>
    <cellStyle name="Normal 47 4" xfId="5975"/>
    <cellStyle name="Normal 47 5" xfId="8124"/>
    <cellStyle name="Normal 47 6" xfId="40664"/>
    <cellStyle name="Normal 48" xfId="1740"/>
    <cellStyle name="Normal 48 10" xfId="43296"/>
    <cellStyle name="Normal 48 10 2" xfId="45145"/>
    <cellStyle name="Normal 48 11" xfId="43712"/>
    <cellStyle name="Normal 48 12" xfId="41096"/>
    <cellStyle name="Normal 48 2" xfId="1741"/>
    <cellStyle name="Normal 48 2 2" xfId="5978"/>
    <cellStyle name="Normal 48 2 2 2" xfId="41990"/>
    <cellStyle name="Normal 48 2 2 2 2" xfId="42570"/>
    <cellStyle name="Normal 48 2 2 2 2 2" xfId="43300"/>
    <cellStyle name="Normal 48 2 2 2 2 2 2" xfId="45149"/>
    <cellStyle name="Normal 48 2 2 2 2 3" xfId="44432"/>
    <cellStyle name="Normal 48 2 2 2 3" xfId="43299"/>
    <cellStyle name="Normal 48 2 2 2 3 2" xfId="45148"/>
    <cellStyle name="Normal 48 2 2 2 4" xfId="44031"/>
    <cellStyle name="Normal 48 2 2 3" xfId="42404"/>
    <cellStyle name="Normal 48 2 2 3 2" xfId="43301"/>
    <cellStyle name="Normal 48 2 2 3 2 2" xfId="45150"/>
    <cellStyle name="Normal 48 2 2 3 3" xfId="44266"/>
    <cellStyle name="Normal 48 2 2 4" xfId="43298"/>
    <cellStyle name="Normal 48 2 2 4 2" xfId="45147"/>
    <cellStyle name="Normal 48 2 2 5" xfId="43840"/>
    <cellStyle name="Normal 48 2 2 6" xfId="41650"/>
    <cellStyle name="Normal 48 2 3" xfId="8127"/>
    <cellStyle name="Normal 48 2 3 2" xfId="42517"/>
    <cellStyle name="Normal 48 2 3 2 2" xfId="43303"/>
    <cellStyle name="Normal 48 2 3 2 2 2" xfId="45152"/>
    <cellStyle name="Normal 48 2 3 2 3" xfId="44379"/>
    <cellStyle name="Normal 48 2 3 3" xfId="43302"/>
    <cellStyle name="Normal 48 2 3 3 2" xfId="45151"/>
    <cellStyle name="Normal 48 2 3 4" xfId="43978"/>
    <cellStyle name="Normal 48 2 3 5" xfId="41937"/>
    <cellStyle name="Normal 48 2 4" xfId="26014"/>
    <cellStyle name="Normal 48 2 4 2" xfId="43304"/>
    <cellStyle name="Normal 48 2 4 2 2" xfId="45153"/>
    <cellStyle name="Normal 48 2 4 3" xfId="44213"/>
    <cellStyle name="Normal 48 2 4 4" xfId="42351"/>
    <cellStyle name="Normal 48 2 5" xfId="43297"/>
    <cellStyle name="Normal 48 2 5 2" xfId="45146"/>
    <cellStyle name="Normal 48 2 6" xfId="43742"/>
    <cellStyle name="Normal 48 2 7" xfId="41266"/>
    <cellStyle name="Normal 48 3" xfId="1742"/>
    <cellStyle name="Normal 48 3 2" xfId="26015"/>
    <cellStyle name="Normal 48 3 2 2" xfId="42593"/>
    <cellStyle name="Normal 48 3 2 2 2" xfId="43307"/>
    <cellStyle name="Normal 48 3 2 2 2 2" xfId="45156"/>
    <cellStyle name="Normal 48 3 2 2 3" xfId="44455"/>
    <cellStyle name="Normal 48 3 2 3" xfId="43306"/>
    <cellStyle name="Normal 48 3 2 3 2" xfId="45155"/>
    <cellStyle name="Normal 48 3 2 4" xfId="44054"/>
    <cellStyle name="Normal 48 3 2 5" xfId="42013"/>
    <cellStyle name="Normal 48 3 3" xfId="42427"/>
    <cellStyle name="Normal 48 3 3 2" xfId="43308"/>
    <cellStyle name="Normal 48 3 3 2 2" xfId="45157"/>
    <cellStyle name="Normal 48 3 3 3" xfId="44289"/>
    <cellStyle name="Normal 48 3 4" xfId="43305"/>
    <cellStyle name="Normal 48 3 4 2" xfId="45154"/>
    <cellStyle name="Normal 48 3 5" xfId="43871"/>
    <cellStyle name="Normal 48 3 6" xfId="41698"/>
    <cellStyle name="Normal 48 4" xfId="5977"/>
    <cellStyle name="Normal 48 4 2" xfId="42027"/>
    <cellStyle name="Normal 48 4 2 2" xfId="42607"/>
    <cellStyle name="Normal 48 4 2 2 2" xfId="43311"/>
    <cellStyle name="Normal 48 4 2 2 2 2" xfId="45160"/>
    <cellStyle name="Normal 48 4 2 2 3" xfId="44469"/>
    <cellStyle name="Normal 48 4 2 3" xfId="43310"/>
    <cellStyle name="Normal 48 4 2 3 2" xfId="45159"/>
    <cellStyle name="Normal 48 4 2 4" xfId="44068"/>
    <cellStyle name="Normal 48 4 3" xfId="42441"/>
    <cellStyle name="Normal 48 4 3 2" xfId="43312"/>
    <cellStyle name="Normal 48 4 3 2 2" xfId="45161"/>
    <cellStyle name="Normal 48 4 3 3" xfId="44303"/>
    <cellStyle name="Normal 48 4 4" xfId="43309"/>
    <cellStyle name="Normal 48 4 4 2" xfId="45158"/>
    <cellStyle name="Normal 48 4 5" xfId="43886"/>
    <cellStyle name="Normal 48 4 6" xfId="41725"/>
    <cellStyle name="Normal 48 5" xfId="8126"/>
    <cellStyle name="Normal 48 5 2" xfId="42051"/>
    <cellStyle name="Normal 48 5 2 2" xfId="42631"/>
    <cellStyle name="Normal 48 5 2 2 2" xfId="43315"/>
    <cellStyle name="Normal 48 5 2 2 2 2" xfId="45164"/>
    <cellStyle name="Normal 48 5 2 2 3" xfId="44493"/>
    <cellStyle name="Normal 48 5 2 3" xfId="43314"/>
    <cellStyle name="Normal 48 5 2 3 2" xfId="45163"/>
    <cellStyle name="Normal 48 5 2 4" xfId="44092"/>
    <cellStyle name="Normal 48 5 3" xfId="42465"/>
    <cellStyle name="Normal 48 5 3 2" xfId="43316"/>
    <cellStyle name="Normal 48 5 3 2 2" xfId="45165"/>
    <cellStyle name="Normal 48 5 3 3" xfId="44327"/>
    <cellStyle name="Normal 48 5 4" xfId="43313"/>
    <cellStyle name="Normal 48 5 4 2" xfId="45162"/>
    <cellStyle name="Normal 48 5 5" xfId="43911"/>
    <cellStyle name="Normal 48 5 6" xfId="41754"/>
    <cellStyle name="Normal 48 6" xfId="26013"/>
    <cellStyle name="Normal 48 6 2" xfId="41967"/>
    <cellStyle name="Normal 48 6 2 2" xfId="42547"/>
    <cellStyle name="Normal 48 6 2 2 2" xfId="43319"/>
    <cellStyle name="Normal 48 6 2 2 2 2" xfId="45168"/>
    <cellStyle name="Normal 48 6 2 2 3" xfId="44409"/>
    <cellStyle name="Normal 48 6 2 3" xfId="43318"/>
    <cellStyle name="Normal 48 6 2 3 2" xfId="45167"/>
    <cellStyle name="Normal 48 6 2 4" xfId="44008"/>
    <cellStyle name="Normal 48 6 3" xfId="42381"/>
    <cellStyle name="Normal 48 6 3 2" xfId="43320"/>
    <cellStyle name="Normal 48 6 3 2 2" xfId="45169"/>
    <cellStyle name="Normal 48 6 3 3" xfId="44243"/>
    <cellStyle name="Normal 48 6 4" xfId="43317"/>
    <cellStyle name="Normal 48 6 4 2" xfId="45166"/>
    <cellStyle name="Normal 48 6 5" xfId="43808"/>
    <cellStyle name="Normal 48 6 6" xfId="41566"/>
    <cellStyle name="Normal 48 7" xfId="41922"/>
    <cellStyle name="Normal 48 7 2" xfId="42503"/>
    <cellStyle name="Normal 48 7 2 2" xfId="43322"/>
    <cellStyle name="Normal 48 7 2 2 2" xfId="45171"/>
    <cellStyle name="Normal 48 7 2 3" xfId="44365"/>
    <cellStyle name="Normal 48 7 3" xfId="43321"/>
    <cellStyle name="Normal 48 7 3 2" xfId="45170"/>
    <cellStyle name="Normal 48 7 4" xfId="43964"/>
    <cellStyle name="Normal 48 8" xfId="41796"/>
    <cellStyle name="Normal 48 8 2" xfId="42488"/>
    <cellStyle name="Normal 48 8 2 2" xfId="43324"/>
    <cellStyle name="Normal 48 8 2 2 2" xfId="45173"/>
    <cellStyle name="Normal 48 8 2 3" xfId="44350"/>
    <cellStyle name="Normal 48 8 3" xfId="43323"/>
    <cellStyle name="Normal 48 8 3 2" xfId="45172"/>
    <cellStyle name="Normal 48 8 4" xfId="43936"/>
    <cellStyle name="Normal 48 9" xfId="42337"/>
    <cellStyle name="Normal 48 9 2" xfId="43325"/>
    <cellStyle name="Normal 48 9 2 2" xfId="45174"/>
    <cellStyle name="Normal 48 9 3" xfId="44199"/>
    <cellStyle name="Normal 49" xfId="1743"/>
    <cellStyle name="Normal 49 10" xfId="43326"/>
    <cellStyle name="Normal 49 10 2" xfId="45175"/>
    <cellStyle name="Normal 49 11" xfId="43721"/>
    <cellStyle name="Normal 49 12" xfId="41152"/>
    <cellStyle name="Normal 49 2" xfId="1744"/>
    <cellStyle name="Normal 49 2 2" xfId="5980"/>
    <cellStyle name="Normal 49 2 2 2" xfId="41991"/>
    <cellStyle name="Normal 49 2 2 2 2" xfId="42571"/>
    <cellStyle name="Normal 49 2 2 2 2 2" xfId="43330"/>
    <cellStyle name="Normal 49 2 2 2 2 2 2" xfId="45179"/>
    <cellStyle name="Normal 49 2 2 2 2 3" xfId="44433"/>
    <cellStyle name="Normal 49 2 2 2 3" xfId="43329"/>
    <cellStyle name="Normal 49 2 2 2 3 2" xfId="45178"/>
    <cellStyle name="Normal 49 2 2 2 4" xfId="44032"/>
    <cellStyle name="Normal 49 2 2 3" xfId="42405"/>
    <cellStyle name="Normal 49 2 2 3 2" xfId="43331"/>
    <cellStyle name="Normal 49 2 2 3 2 2" xfId="45180"/>
    <cellStyle name="Normal 49 2 2 3 3" xfId="44267"/>
    <cellStyle name="Normal 49 2 2 4" xfId="43328"/>
    <cellStyle name="Normal 49 2 2 4 2" xfId="45177"/>
    <cellStyle name="Normal 49 2 2 5" xfId="43841"/>
    <cellStyle name="Normal 49 2 2 6" xfId="41651"/>
    <cellStyle name="Normal 49 2 3" xfId="8129"/>
    <cellStyle name="Normal 49 2 3 2" xfId="42521"/>
    <cellStyle name="Normal 49 2 3 2 2" xfId="43333"/>
    <cellStyle name="Normal 49 2 3 2 2 2" xfId="45182"/>
    <cellStyle name="Normal 49 2 3 2 3" xfId="44383"/>
    <cellStyle name="Normal 49 2 3 3" xfId="43332"/>
    <cellStyle name="Normal 49 2 3 3 2" xfId="45181"/>
    <cellStyle name="Normal 49 2 3 4" xfId="43982"/>
    <cellStyle name="Normal 49 2 3 5" xfId="41941"/>
    <cellStyle name="Normal 49 2 4" xfId="42355"/>
    <cellStyle name="Normal 49 2 4 2" xfId="43334"/>
    <cellStyle name="Normal 49 2 4 2 2" xfId="45183"/>
    <cellStyle name="Normal 49 2 4 3" xfId="44217"/>
    <cellStyle name="Normal 49 2 5" xfId="43327"/>
    <cellStyle name="Normal 49 2 5 2" xfId="45176"/>
    <cellStyle name="Normal 49 2 6" xfId="43746"/>
    <cellStyle name="Normal 49 2 7" xfId="41270"/>
    <cellStyle name="Normal 49 3" xfId="5979"/>
    <cellStyle name="Normal 49 3 2" xfId="42014"/>
    <cellStyle name="Normal 49 3 2 2" xfId="42594"/>
    <cellStyle name="Normal 49 3 2 2 2" xfId="43337"/>
    <cellStyle name="Normal 49 3 2 2 2 2" xfId="45186"/>
    <cellStyle name="Normal 49 3 2 2 3" xfId="44456"/>
    <cellStyle name="Normal 49 3 2 3" xfId="43336"/>
    <cellStyle name="Normal 49 3 2 3 2" xfId="45185"/>
    <cellStyle name="Normal 49 3 2 4" xfId="44055"/>
    <cellStyle name="Normal 49 3 3" xfId="42428"/>
    <cellStyle name="Normal 49 3 3 2" xfId="43338"/>
    <cellStyle name="Normal 49 3 3 2 2" xfId="45187"/>
    <cellStyle name="Normal 49 3 3 3" xfId="44290"/>
    <cellStyle name="Normal 49 3 4" xfId="43335"/>
    <cellStyle name="Normal 49 3 4 2" xfId="45184"/>
    <cellStyle name="Normal 49 3 5" xfId="43872"/>
    <cellStyle name="Normal 49 3 6" xfId="41699"/>
    <cellStyle name="Normal 49 4" xfId="8128"/>
    <cellStyle name="Normal 49 4 2" xfId="42028"/>
    <cellStyle name="Normal 49 4 2 2" xfId="42608"/>
    <cellStyle name="Normal 49 4 2 2 2" xfId="43341"/>
    <cellStyle name="Normal 49 4 2 2 2 2" xfId="45190"/>
    <cellStyle name="Normal 49 4 2 2 3" xfId="44470"/>
    <cellStyle name="Normal 49 4 2 3" xfId="43340"/>
    <cellStyle name="Normal 49 4 2 3 2" xfId="45189"/>
    <cellStyle name="Normal 49 4 2 4" xfId="44069"/>
    <cellStyle name="Normal 49 4 3" xfId="42442"/>
    <cellStyle name="Normal 49 4 3 2" xfId="43342"/>
    <cellStyle name="Normal 49 4 3 2 2" xfId="45191"/>
    <cellStyle name="Normal 49 4 3 3" xfId="44304"/>
    <cellStyle name="Normal 49 4 4" xfId="43339"/>
    <cellStyle name="Normal 49 4 4 2" xfId="45188"/>
    <cellStyle name="Normal 49 4 5" xfId="43887"/>
    <cellStyle name="Normal 49 4 6" xfId="41726"/>
    <cellStyle name="Normal 49 5" xfId="26016"/>
    <cellStyle name="Normal 49 5 2" xfId="42052"/>
    <cellStyle name="Normal 49 5 2 2" xfId="42632"/>
    <cellStyle name="Normal 49 5 2 2 2" xfId="43345"/>
    <cellStyle name="Normal 49 5 2 2 2 2" xfId="45194"/>
    <cellStyle name="Normal 49 5 2 2 3" xfId="44494"/>
    <cellStyle name="Normal 49 5 2 3" xfId="43344"/>
    <cellStyle name="Normal 49 5 2 3 2" xfId="45193"/>
    <cellStyle name="Normal 49 5 2 4" xfId="44093"/>
    <cellStyle name="Normal 49 5 3" xfId="42466"/>
    <cellStyle name="Normal 49 5 3 2" xfId="43346"/>
    <cellStyle name="Normal 49 5 3 2 2" xfId="45195"/>
    <cellStyle name="Normal 49 5 3 3" xfId="44328"/>
    <cellStyle name="Normal 49 5 4" xfId="43343"/>
    <cellStyle name="Normal 49 5 4 2" xfId="45192"/>
    <cellStyle name="Normal 49 5 5" xfId="43912"/>
    <cellStyle name="Normal 49 5 6" xfId="41755"/>
    <cellStyle name="Normal 49 6" xfId="41567"/>
    <cellStyle name="Normal 49 6 2" xfId="41968"/>
    <cellStyle name="Normal 49 6 2 2" xfId="42548"/>
    <cellStyle name="Normal 49 6 2 2 2" xfId="43349"/>
    <cellStyle name="Normal 49 6 2 2 2 2" xfId="45198"/>
    <cellStyle name="Normal 49 6 2 2 3" xfId="44410"/>
    <cellStyle name="Normal 49 6 2 3" xfId="43348"/>
    <cellStyle name="Normal 49 6 2 3 2" xfId="45197"/>
    <cellStyle name="Normal 49 6 2 4" xfId="44009"/>
    <cellStyle name="Normal 49 6 3" xfId="42382"/>
    <cellStyle name="Normal 49 6 3 2" xfId="43350"/>
    <cellStyle name="Normal 49 6 3 2 2" xfId="45199"/>
    <cellStyle name="Normal 49 6 3 3" xfId="44244"/>
    <cellStyle name="Normal 49 6 4" xfId="43347"/>
    <cellStyle name="Normal 49 6 4 2" xfId="45196"/>
    <cellStyle name="Normal 49 6 5" xfId="43809"/>
    <cellStyle name="Normal 49 7" xfId="41926"/>
    <cellStyle name="Normal 49 7 2" xfId="42507"/>
    <cellStyle name="Normal 49 7 2 2" xfId="43352"/>
    <cellStyle name="Normal 49 7 2 2 2" xfId="45201"/>
    <cellStyle name="Normal 49 7 2 3" xfId="44369"/>
    <cellStyle name="Normal 49 7 3" xfId="43351"/>
    <cellStyle name="Normal 49 7 3 2" xfId="45200"/>
    <cellStyle name="Normal 49 7 4" xfId="43968"/>
    <cellStyle name="Normal 49 8" xfId="41797"/>
    <cellStyle name="Normal 49 8 2" xfId="42489"/>
    <cellStyle name="Normal 49 8 2 2" xfId="43354"/>
    <cellStyle name="Normal 49 8 2 2 2" xfId="45203"/>
    <cellStyle name="Normal 49 8 2 3" xfId="44351"/>
    <cellStyle name="Normal 49 8 3" xfId="43353"/>
    <cellStyle name="Normal 49 8 3 2" xfId="45202"/>
    <cellStyle name="Normal 49 8 4" xfId="43937"/>
    <cellStyle name="Normal 49 9" xfId="42341"/>
    <cellStyle name="Normal 49 9 2" xfId="43355"/>
    <cellStyle name="Normal 49 9 2 2" xfId="45204"/>
    <cellStyle name="Normal 49 9 3" xfId="44203"/>
    <cellStyle name="Normal 5" xfId="1745"/>
    <cellStyle name="Normal 5 10" xfId="1746"/>
    <cellStyle name="Normal 5 10 2" xfId="5982"/>
    <cellStyle name="Normal 5 11" xfId="2991"/>
    <cellStyle name="Normal 5 11 2" xfId="26018"/>
    <cellStyle name="Normal 5 11 3" xfId="26017"/>
    <cellStyle name="Normal 5 12" xfId="5981"/>
    <cellStyle name="Normal 5 12 2" xfId="26019"/>
    <cellStyle name="Normal 5 13" xfId="26020"/>
    <cellStyle name="Normal 5 14" xfId="40493"/>
    <cellStyle name="Normal 5 2" xfId="1747"/>
    <cellStyle name="Normal 5 2 2" xfId="1748"/>
    <cellStyle name="Normal 5 2 2 2" xfId="2993"/>
    <cellStyle name="Normal 5 2 2 2 2" xfId="5984"/>
    <cellStyle name="Normal 5 2 2 2 2 2" xfId="5985"/>
    <cellStyle name="Normal 5 2 2 2 2 2 2" xfId="5986"/>
    <cellStyle name="Normal 5 2 2 2 2 3" xfId="5987"/>
    <cellStyle name="Normal 5 2 2 2 2 4" xfId="5988"/>
    <cellStyle name="Normal 5 2 2 2 2 5" xfId="26022"/>
    <cellStyle name="Normal 5 2 2 2 2 6" xfId="43501"/>
    <cellStyle name="Normal 5 2 2 2 3" xfId="5989"/>
    <cellStyle name="Normal 5 2 2 2 3 2" xfId="5990"/>
    <cellStyle name="Normal 5 2 2 2 3 3" xfId="26023"/>
    <cellStyle name="Normal 5 2 2 2 4" xfId="5991"/>
    <cellStyle name="Normal 5 2 2 2 5" xfId="5992"/>
    <cellStyle name="Normal 5 2 2 2 6" xfId="5983"/>
    <cellStyle name="Normal 5 2 2 2 7" xfId="40496"/>
    <cellStyle name="Normal 5 2 2 3" xfId="26024"/>
    <cellStyle name="Normal 5 2 2 3 2" xfId="42658"/>
    <cellStyle name="Normal 5 2 2 4" xfId="26021"/>
    <cellStyle name="Normal 5 2 2 5" xfId="40495"/>
    <cellStyle name="Normal 5 2 3" xfId="2994"/>
    <cellStyle name="Normal 5 2 3 2" xfId="26026"/>
    <cellStyle name="Normal 5 2 3 2 2" xfId="26027"/>
    <cellStyle name="Normal 5 2 3 2 3" xfId="41197"/>
    <cellStyle name="Normal 5 2 3 3" xfId="26028"/>
    <cellStyle name="Normal 5 2 3 3 2" xfId="43358"/>
    <cellStyle name="Normal 5 2 3 3 2 2" xfId="45207"/>
    <cellStyle name="Normal 5 2 3 3 3" xfId="44182"/>
    <cellStyle name="Normal 5 2 3 3 4" xfId="42320"/>
    <cellStyle name="Normal 5 2 3 4" xfId="26025"/>
    <cellStyle name="Normal 5 2 3 4 2" xfId="45206"/>
    <cellStyle name="Normal 5 2 3 4 3" xfId="43357"/>
    <cellStyle name="Normal 5 2 3 5" xfId="43580"/>
    <cellStyle name="Normal 5 2 3 6" xfId="40513"/>
    <cellStyle name="Normal 5 2 4" xfId="2995"/>
    <cellStyle name="Normal 5 2 4 2" xfId="26030"/>
    <cellStyle name="Normal 5 2 4 2 2" xfId="43360"/>
    <cellStyle name="Normal 5 2 4 2 2 2" xfId="45209"/>
    <cellStyle name="Normal 5 2 4 2 3" xfId="44514"/>
    <cellStyle name="Normal 5 2 4 2 4" xfId="42653"/>
    <cellStyle name="Normal 5 2 4 3" xfId="26029"/>
    <cellStyle name="Normal 5 2 4 3 2" xfId="45208"/>
    <cellStyle name="Normal 5 2 4 3 3" xfId="43359"/>
    <cellStyle name="Normal 5 2 4 4" xfId="44154"/>
    <cellStyle name="Normal 5 2 4 5" xfId="42290"/>
    <cellStyle name="Normal 5 2 5" xfId="2996"/>
    <cellStyle name="Normal 5 2 5 2" xfId="43361"/>
    <cellStyle name="Normal 5 2 5 2 2" xfId="45210"/>
    <cellStyle name="Normal 5 2 5 3" xfId="44180"/>
    <cellStyle name="Normal 5 2 5 4" xfId="42318"/>
    <cellStyle name="Normal 5 2 6" xfId="2992"/>
    <cellStyle name="Normal 5 2 6 2" xfId="26031"/>
    <cellStyle name="Normal 5 2 6 2 2" xfId="45205"/>
    <cellStyle name="Normal 5 2 6 3" xfId="43356"/>
    <cellStyle name="Normal 5 2 7" xfId="2782"/>
    <cellStyle name="Normal 5 2 7 2" xfId="45273"/>
    <cellStyle name="Normal 5 2 7 3" xfId="43500"/>
    <cellStyle name="Normal 5 2 8" xfId="43572"/>
    <cellStyle name="Normal 5 2 9" xfId="40494"/>
    <cellStyle name="Normal 5 2_5.2" xfId="5993"/>
    <cellStyle name="Normal 5 3" xfId="1749"/>
    <cellStyle name="Normal 5 3 2" xfId="1750"/>
    <cellStyle name="Normal 5 3 2 2" xfId="5995"/>
    <cellStyle name="Normal 5 3 2 3" xfId="40786"/>
    <cellStyle name="Normal 5 3 3" xfId="1751"/>
    <cellStyle name="Normal 5 3 3 2" xfId="5997"/>
    <cellStyle name="Normal 5 3 3 2 2" xfId="5998"/>
    <cellStyle name="Normal 5 3 3 3" xfId="5999"/>
    <cellStyle name="Normal 5 3 3 4" xfId="6000"/>
    <cellStyle name="Normal 5 3 3 5" xfId="5996"/>
    <cellStyle name="Normal 5 3 3 6" xfId="26032"/>
    <cellStyle name="Normal 5 3 3 7" xfId="42659"/>
    <cellStyle name="Normal 5 3 4" xfId="2997"/>
    <cellStyle name="Normal 5 3 4 2" xfId="6002"/>
    <cellStyle name="Normal 5 3 4 3" xfId="6001"/>
    <cellStyle name="Normal 5 3 5" xfId="6003"/>
    <cellStyle name="Normal 5 3 6" xfId="6004"/>
    <cellStyle name="Normal 5 3 7" xfId="5994"/>
    <cellStyle name="Normal 5 3 8" xfId="40665"/>
    <cellStyle name="Normal 5 31" xfId="1752"/>
    <cellStyle name="Normal 5 4" xfId="1753"/>
    <cellStyle name="Normal 5 4 10" xfId="26033"/>
    <cellStyle name="Normal 5 4 11" xfId="40666"/>
    <cellStyle name="Normal 5 4 2" xfId="1754"/>
    <cellStyle name="Normal 5 4 2 10" xfId="40881"/>
    <cellStyle name="Normal 5 4 2 2" xfId="26035"/>
    <cellStyle name="Normal 5 4 2 2 2" xfId="26036"/>
    <cellStyle name="Normal 5 4 2 2 2 2" xfId="26037"/>
    <cellStyle name="Normal 5 4 2 2 2 2 2" xfId="26038"/>
    <cellStyle name="Normal 5 4 2 2 2 3" xfId="26039"/>
    <cellStyle name="Normal 5 4 2 2 3" xfId="26040"/>
    <cellStyle name="Normal 5 4 2 2 3 2" xfId="26041"/>
    <cellStyle name="Normal 5 4 2 2 4" xfId="26042"/>
    <cellStyle name="Normal 5 4 2 2 5" xfId="26043"/>
    <cellStyle name="Normal 5 4 2 3" xfId="26044"/>
    <cellStyle name="Normal 5 4 2 3 2" xfId="26045"/>
    <cellStyle name="Normal 5 4 2 3 2 2" xfId="26046"/>
    <cellStyle name="Normal 5 4 2 3 2 2 2" xfId="26047"/>
    <cellStyle name="Normal 5 4 2 3 2 3" xfId="26048"/>
    <cellStyle name="Normal 5 4 2 3 3" xfId="26049"/>
    <cellStyle name="Normal 5 4 2 3 3 2" xfId="26050"/>
    <cellStyle name="Normal 5 4 2 3 4" xfId="26051"/>
    <cellStyle name="Normal 5 4 2 4" xfId="26052"/>
    <cellStyle name="Normal 5 4 2 4 2" xfId="26053"/>
    <cellStyle name="Normal 5 4 2 4 2 2" xfId="26054"/>
    <cellStyle name="Normal 5 4 2 4 3" xfId="26055"/>
    <cellStyle name="Normal 5 4 2 5" xfId="26056"/>
    <cellStyle name="Normal 5 4 2 5 2" xfId="26057"/>
    <cellStyle name="Normal 5 4 2 5 2 2" xfId="26058"/>
    <cellStyle name="Normal 5 4 2 5 3" xfId="26059"/>
    <cellStyle name="Normal 5 4 2 6" xfId="26060"/>
    <cellStyle name="Normal 5 4 2 6 2" xfId="26061"/>
    <cellStyle name="Normal 5 4 2 7" xfId="26062"/>
    <cellStyle name="Normal 5 4 2 8" xfId="26063"/>
    <cellStyle name="Normal 5 4 2 9" xfId="26034"/>
    <cellStyle name="Normal 5 4 3" xfId="6005"/>
    <cellStyle name="Normal 5 4 3 2" xfId="26065"/>
    <cellStyle name="Normal 5 4 3 2 2" xfId="26066"/>
    <cellStyle name="Normal 5 4 3 2 2 2" xfId="26067"/>
    <cellStyle name="Normal 5 4 3 2 2 2 2" xfId="26068"/>
    <cellStyle name="Normal 5 4 3 2 2 3" xfId="26069"/>
    <cellStyle name="Normal 5 4 3 2 3" xfId="26070"/>
    <cellStyle name="Normal 5 4 3 2 3 2" xfId="26071"/>
    <cellStyle name="Normal 5 4 3 2 4" xfId="26072"/>
    <cellStyle name="Normal 5 4 3 2 5" xfId="26073"/>
    <cellStyle name="Normal 5 4 3 3" xfId="26074"/>
    <cellStyle name="Normal 5 4 3 3 2" xfId="26075"/>
    <cellStyle name="Normal 5 4 3 3 2 2" xfId="26076"/>
    <cellStyle name="Normal 5 4 3 3 2 2 2" xfId="26077"/>
    <cellStyle name="Normal 5 4 3 3 2 3" xfId="26078"/>
    <cellStyle name="Normal 5 4 3 3 3" xfId="26079"/>
    <cellStyle name="Normal 5 4 3 3 3 2" xfId="26080"/>
    <cellStyle name="Normal 5 4 3 3 4" xfId="26081"/>
    <cellStyle name="Normal 5 4 3 4" xfId="26082"/>
    <cellStyle name="Normal 5 4 3 4 2" xfId="26083"/>
    <cellStyle name="Normal 5 4 3 4 2 2" xfId="26084"/>
    <cellStyle name="Normal 5 4 3 4 3" xfId="26085"/>
    <cellStyle name="Normal 5 4 3 5" xfId="26086"/>
    <cellStyle name="Normal 5 4 3 5 2" xfId="26087"/>
    <cellStyle name="Normal 5 4 3 5 2 2" xfId="26088"/>
    <cellStyle name="Normal 5 4 3 5 3" xfId="26089"/>
    <cellStyle name="Normal 5 4 3 6" xfId="26090"/>
    <cellStyle name="Normal 5 4 3 6 2" xfId="26091"/>
    <cellStyle name="Normal 5 4 3 7" xfId="26092"/>
    <cellStyle name="Normal 5 4 3 8" xfId="26093"/>
    <cellStyle name="Normal 5 4 3 9" xfId="26064"/>
    <cellStyle name="Normal 5 4 4" xfId="26094"/>
    <cellStyle name="Normal 5 4 4 2" xfId="26095"/>
    <cellStyle name="Normal 5 4 4 2 2" xfId="26096"/>
    <cellStyle name="Normal 5 4 4 2 2 2" xfId="26097"/>
    <cellStyle name="Normal 5 4 4 2 2 2 2" xfId="26098"/>
    <cellStyle name="Normal 5 4 4 2 2 3" xfId="26099"/>
    <cellStyle name="Normal 5 4 4 2 3" xfId="26100"/>
    <cellStyle name="Normal 5 4 4 2 3 2" xfId="26101"/>
    <cellStyle name="Normal 5 4 4 2 4" xfId="26102"/>
    <cellStyle name="Normal 5 4 4 3" xfId="26103"/>
    <cellStyle name="Normal 5 4 4 3 2" xfId="26104"/>
    <cellStyle name="Normal 5 4 4 3 2 2" xfId="26105"/>
    <cellStyle name="Normal 5 4 4 3 3" xfId="26106"/>
    <cellStyle name="Normal 5 4 4 4" xfId="26107"/>
    <cellStyle name="Normal 5 4 4 4 2" xfId="26108"/>
    <cellStyle name="Normal 5 4 4 4 2 2" xfId="26109"/>
    <cellStyle name="Normal 5 4 4 4 3" xfId="26110"/>
    <cellStyle name="Normal 5 4 4 5" xfId="26111"/>
    <cellStyle name="Normal 5 4 4 5 2" xfId="26112"/>
    <cellStyle name="Normal 5 4 4 6" xfId="26113"/>
    <cellStyle name="Normal 5 4 4 7" xfId="26114"/>
    <cellStyle name="Normal 5 4 5" xfId="26115"/>
    <cellStyle name="Normal 5 4 5 2" xfId="26116"/>
    <cellStyle name="Normal 5 4 5 2 2" xfId="26117"/>
    <cellStyle name="Normal 5 4 5 2 2 2" xfId="26118"/>
    <cellStyle name="Normal 5 4 5 2 3" xfId="26119"/>
    <cellStyle name="Normal 5 4 5 3" xfId="26120"/>
    <cellStyle name="Normal 5 4 5 3 2" xfId="26121"/>
    <cellStyle name="Normal 5 4 5 4" xfId="26122"/>
    <cellStyle name="Normal 5 4 5 5" xfId="26123"/>
    <cellStyle name="Normal 5 4 6" xfId="26124"/>
    <cellStyle name="Normal 5 4 6 2" xfId="26125"/>
    <cellStyle name="Normal 5 4 6 2 2" xfId="26126"/>
    <cellStyle name="Normal 5 4 6 3" xfId="26127"/>
    <cellStyle name="Normal 5 4 7" xfId="26128"/>
    <cellStyle name="Normal 5 4 7 2" xfId="26129"/>
    <cellStyle name="Normal 5 4 7 2 2" xfId="26130"/>
    <cellStyle name="Normal 5 4 7 3" xfId="26131"/>
    <cellStyle name="Normal 5 4 8" xfId="26132"/>
    <cellStyle name="Normal 5 4 8 2" xfId="26133"/>
    <cellStyle name="Normal 5 4 9" xfId="26134"/>
    <cellStyle name="Normal 5 5" xfId="1755"/>
    <cellStyle name="Normal 5 5 2" xfId="2998"/>
    <cellStyle name="Normal 5 5 3" xfId="26135"/>
    <cellStyle name="Normal 5 5 4" xfId="41196"/>
    <cellStyle name="Normal 5 6" xfId="1756"/>
    <cellStyle name="Normal 5 6 2" xfId="3123"/>
    <cellStyle name="Normal 5 6 3" xfId="41569"/>
    <cellStyle name="Normal 5 7" xfId="3124"/>
    <cellStyle name="Normal 5 7 2" xfId="6006"/>
    <cellStyle name="Normal 5 7 3" xfId="41568"/>
    <cellStyle name="Normal 5 8" xfId="3125"/>
    <cellStyle name="Normal 5 8 2" xfId="6007"/>
    <cellStyle name="Normal 5 8 2 2" xfId="43363"/>
    <cellStyle name="Normal 5 8 2 2 2" xfId="45212"/>
    <cellStyle name="Normal 5 8 2 3" xfId="44513"/>
    <cellStyle name="Normal 5 8 2 4" xfId="42652"/>
    <cellStyle name="Normal 5 8 3" xfId="43362"/>
    <cellStyle name="Normal 5 8 3 2" xfId="45211"/>
    <cellStyle name="Normal 5 8 4" xfId="44153"/>
    <cellStyle name="Normal 5 8 5" xfId="42289"/>
    <cellStyle name="Normal 5 9" xfId="3126"/>
    <cellStyle name="Normal 5 9 2" xfId="6009"/>
    <cellStyle name="Normal 5 9 2 2" xfId="45272"/>
    <cellStyle name="Normal 5 9 3" xfId="6008"/>
    <cellStyle name="Normal 5 9 4" xfId="43499"/>
    <cellStyle name="Normal 5_1. SBP QRC 30 Sep 10 (Trial 22oct) Final" xfId="42242"/>
    <cellStyle name="Normal 50" xfId="1757"/>
    <cellStyle name="Normal 50 2" xfId="1758"/>
    <cellStyle name="Normal 50 2 2" xfId="6011"/>
    <cellStyle name="Normal 50 2 3" xfId="8131"/>
    <cellStyle name="Normal 50 2 4" xfId="26136"/>
    <cellStyle name="Normal 50 3" xfId="1759"/>
    <cellStyle name="Normal 50 4" xfId="6010"/>
    <cellStyle name="Normal 50 5" xfId="8130"/>
    <cellStyle name="Normal 50 6" xfId="41144"/>
    <cellStyle name="Normal 51" xfId="1760"/>
    <cellStyle name="Normal 51 2" xfId="1761"/>
    <cellStyle name="Normal 51 2 2" xfId="6013"/>
    <cellStyle name="Normal 51 2 3" xfId="8133"/>
    <cellStyle name="Normal 51 2 4" xfId="26137"/>
    <cellStyle name="Normal 51 3" xfId="1762"/>
    <cellStyle name="Normal 51 4" xfId="6012"/>
    <cellStyle name="Normal 51 5" xfId="8132"/>
    <cellStyle name="Normal 51 6" xfId="41148"/>
    <cellStyle name="Normal 52" xfId="1763"/>
    <cellStyle name="Normal 52 2" xfId="1764"/>
    <cellStyle name="Normal 52 2 2" xfId="7844"/>
    <cellStyle name="Normal 52 2 3" xfId="8135"/>
    <cellStyle name="Normal 52 2 4" xfId="26138"/>
    <cellStyle name="Normal 52 3" xfId="1765"/>
    <cellStyle name="Normal 52 4" xfId="6014"/>
    <cellStyle name="Normal 52 5" xfId="8134"/>
    <cellStyle name="Normal 52 6" xfId="41097"/>
    <cellStyle name="Normal 53" xfId="1766"/>
    <cellStyle name="Normal 53 2" xfId="1767"/>
    <cellStyle name="Normal 53 2 2" xfId="7840"/>
    <cellStyle name="Normal 53 2 2 2" xfId="26141"/>
    <cellStyle name="Normal 53 2 2 3" xfId="26140"/>
    <cellStyle name="Normal 53 2 3" xfId="8137"/>
    <cellStyle name="Normal 53 2 3 2" xfId="26142"/>
    <cellStyle name="Normal 53 2 4" xfId="26139"/>
    <cellStyle name="Normal 53 3" xfId="1768"/>
    <cellStyle name="Normal 53 4" xfId="6015"/>
    <cellStyle name="Normal 53 5" xfId="8136"/>
    <cellStyle name="Normal 53 6" xfId="41157"/>
    <cellStyle name="Normal 54" xfId="1769"/>
    <cellStyle name="Normal 54 2" xfId="1770"/>
    <cellStyle name="Normal 54 2 2" xfId="7841"/>
    <cellStyle name="Normal 54 2 3" xfId="8139"/>
    <cellStyle name="Normal 54 3" xfId="1771"/>
    <cellStyle name="Normal 54 4" xfId="6016"/>
    <cellStyle name="Normal 54 5" xfId="8138"/>
    <cellStyle name="Normal 54 6" xfId="41091"/>
    <cellStyle name="Normal 55" xfId="1772"/>
    <cellStyle name="Normal 55 2" xfId="1773"/>
    <cellStyle name="Normal 55 2 2" xfId="6018"/>
    <cellStyle name="Normal 55 2 3" xfId="8141"/>
    <cellStyle name="Normal 55 3" xfId="3175"/>
    <cellStyle name="Normal 55 4" xfId="6017"/>
    <cellStyle name="Normal 55 5" xfId="8140"/>
    <cellStyle name="Normal 55 6" xfId="26143"/>
    <cellStyle name="Normal 55 7" xfId="41156"/>
    <cellStyle name="Normal 56" xfId="1774"/>
    <cellStyle name="Normal 56 2" xfId="1775"/>
    <cellStyle name="Normal 56 2 2" xfId="6020"/>
    <cellStyle name="Normal 56 2 3" xfId="8143"/>
    <cellStyle name="Normal 56 3" xfId="1776"/>
    <cellStyle name="Normal 56 4" xfId="6019"/>
    <cellStyle name="Normal 56 5" xfId="8142"/>
    <cellStyle name="Normal 56 6" xfId="41146"/>
    <cellStyle name="Normal 57" xfId="1777"/>
    <cellStyle name="Normal 57 2" xfId="1778"/>
    <cellStyle name="Normal 57 2 2" xfId="6022"/>
    <cellStyle name="Normal 57 2 3" xfId="8145"/>
    <cellStyle name="Normal 57 3" xfId="1779"/>
    <cellStyle name="Normal 57 4" xfId="6021"/>
    <cellStyle name="Normal 57 5" xfId="8144"/>
    <cellStyle name="Normal 57 6" xfId="41161"/>
    <cellStyle name="Normal 58" xfId="1780"/>
    <cellStyle name="Normal 58 2" xfId="1781"/>
    <cellStyle name="Normal 58 2 2" xfId="6024"/>
    <cellStyle name="Normal 58 2 3" xfId="8147"/>
    <cellStyle name="Normal 58 3" xfId="6023"/>
    <cellStyle name="Normal 58 4" xfId="8146"/>
    <cellStyle name="Normal 58 5" xfId="26144"/>
    <cellStyle name="Normal 58 6" xfId="41159"/>
    <cellStyle name="Normal 59" xfId="1782"/>
    <cellStyle name="Normal 59 2" xfId="1783"/>
    <cellStyle name="Normal 59 2 2" xfId="6026"/>
    <cellStyle name="Normal 59 3" xfId="6025"/>
    <cellStyle name="Normal 59 4" xfId="41088"/>
    <cellStyle name="Normal 6" xfId="1784"/>
    <cellStyle name="Normal 6 10" xfId="3127"/>
    <cellStyle name="Normal 6 10 2" xfId="8468"/>
    <cellStyle name="Normal 6 10 2 2" xfId="26148"/>
    <cellStyle name="Normal 6 10 2 2 2" xfId="26149"/>
    <cellStyle name="Normal 6 10 2 2 2 2" xfId="26150"/>
    <cellStyle name="Normal 6 10 2 2 3" xfId="26151"/>
    <cellStyle name="Normal 6 10 2 2 4" xfId="26152"/>
    <cellStyle name="Normal 6 10 2 3" xfId="26153"/>
    <cellStyle name="Normal 6 10 2 3 2" xfId="26154"/>
    <cellStyle name="Normal 6 10 2 4" xfId="26155"/>
    <cellStyle name="Normal 6 10 2 5" xfId="26156"/>
    <cellStyle name="Normal 6 10 2 6" xfId="26147"/>
    <cellStyle name="Normal 6 10 3" xfId="26157"/>
    <cellStyle name="Normal 6 10 3 2" xfId="26158"/>
    <cellStyle name="Normal 6 10 3 2 2" xfId="26159"/>
    <cellStyle name="Normal 6 10 3 3" xfId="26160"/>
    <cellStyle name="Normal 6 10 3 4" xfId="26161"/>
    <cellStyle name="Normal 6 10 4" xfId="26162"/>
    <cellStyle name="Normal 6 10 4 2" xfId="26163"/>
    <cellStyle name="Normal 6 10 4 2 2" xfId="26164"/>
    <cellStyle name="Normal 6 10 4 3" xfId="26165"/>
    <cellStyle name="Normal 6 10 4 4" xfId="26166"/>
    <cellStyle name="Normal 6 10 5" xfId="26167"/>
    <cellStyle name="Normal 6 10 5 2" xfId="26168"/>
    <cellStyle name="Normal 6 10 6" xfId="26169"/>
    <cellStyle name="Normal 6 10 7" xfId="26170"/>
    <cellStyle name="Normal 6 10 8" xfId="26146"/>
    <cellStyle name="Normal 6 10 9" xfId="43502"/>
    <cellStyle name="Normal 6 11" xfId="2999"/>
    <cellStyle name="Normal 6 12" xfId="26171"/>
    <cellStyle name="Normal 6 13" xfId="26172"/>
    <cellStyle name="Normal 6 14" xfId="26173"/>
    <cellStyle name="Normal 6 15" xfId="26145"/>
    <cellStyle name="Normal 6 16" xfId="40497"/>
    <cellStyle name="Normal 6 2" xfId="75"/>
    <cellStyle name="Normal 6 2 2" xfId="1786"/>
    <cellStyle name="Normal 6 2 2 2" xfId="1787"/>
    <cellStyle name="Normal 6 2 2 2 2" xfId="26176"/>
    <cellStyle name="Normal 6 2 2 2 3" xfId="26177"/>
    <cellStyle name="Normal 6 2 2 2 4" xfId="26175"/>
    <cellStyle name="Normal 6 2 2 3" xfId="3000"/>
    <cellStyle name="Normal 6 2 2 3 2" xfId="26179"/>
    <cellStyle name="Normal 6 2 2 3 3" xfId="26180"/>
    <cellStyle name="Normal 6 2 2 3 4" xfId="26181"/>
    <cellStyle name="Normal 6 2 2 3 5" xfId="26178"/>
    <cellStyle name="Normal 6 2 2 4" xfId="26182"/>
    <cellStyle name="Normal 6 2 2 5" xfId="26174"/>
    <cellStyle name="Normal 6 2 2 6" xfId="40789"/>
    <cellStyle name="Normal 6 2 3" xfId="1788"/>
    <cellStyle name="Normal 6 2 3 2" xfId="6028"/>
    <cellStyle name="Normal 6 2 3 2 2" xfId="6029"/>
    <cellStyle name="Normal 6 2 3 2 2 2" xfId="6030"/>
    <cellStyle name="Normal 6 2 3 2 3" xfId="6031"/>
    <cellStyle name="Normal 6 2 3 2 4" xfId="6032"/>
    <cellStyle name="Normal 6 2 3 2 5" xfId="26184"/>
    <cellStyle name="Normal 6 2 3 3" xfId="6033"/>
    <cellStyle name="Normal 6 2 3 3 2" xfId="6034"/>
    <cellStyle name="Normal 6 2 3 3 3" xfId="26185"/>
    <cellStyle name="Normal 6 2 3 4" xfId="6035"/>
    <cellStyle name="Normal 6 2 3 4 2" xfId="26186"/>
    <cellStyle name="Normal 6 2 3 5" xfId="6036"/>
    <cellStyle name="Normal 6 2 3 6" xfId="6027"/>
    <cellStyle name="Normal 6 2 3 7" xfId="26183"/>
    <cellStyle name="Normal 6 2 3 8" xfId="41199"/>
    <cellStyle name="Normal 6 2 4" xfId="1789"/>
    <cellStyle name="Normal 6 2 4 2" xfId="6037"/>
    <cellStyle name="Normal 6 2 4 2 2" xfId="26187"/>
    <cellStyle name="Normal 6 2 4 3" xfId="41860"/>
    <cellStyle name="Normal 6 2 5" xfId="1790"/>
    <cellStyle name="Normal 6 2 5 2" xfId="26188"/>
    <cellStyle name="Normal 6 2 5 3" xfId="40788"/>
    <cellStyle name="Normal 6 2 6" xfId="1791"/>
    <cellStyle name="Normal 6 2 6 2" xfId="26189"/>
    <cellStyle name="Normal 6 2 6 3" xfId="43415"/>
    <cellStyle name="Normal 6 2 7" xfId="1792"/>
    <cellStyle name="Normal 6 2 8" xfId="40498"/>
    <cellStyle name="Normal 6 2_Accounts 2010 after RAJ" xfId="2471"/>
    <cellStyle name="Normal 6 3" xfId="1793"/>
    <cellStyle name="Normal 6 3 10" xfId="40790"/>
    <cellStyle name="Normal 6 3 2" xfId="1794"/>
    <cellStyle name="Normal 6 3 2 2" xfId="1795"/>
    <cellStyle name="Normal 6 3 2 3" xfId="26192"/>
    <cellStyle name="Normal 6 3 2 4" xfId="26193"/>
    <cellStyle name="Normal 6 3 2 5" xfId="26191"/>
    <cellStyle name="Normal 6 3 3" xfId="1796"/>
    <cellStyle name="Normal 6 3 3 2" xfId="26194"/>
    <cellStyle name="Normal 6 3 3 3" xfId="26195"/>
    <cellStyle name="Normal 6 3 3 3 2" xfId="26196"/>
    <cellStyle name="Normal 6 3 3 3 2 2" xfId="26197"/>
    <cellStyle name="Normal 6 3 3 3 2 2 2" xfId="26198"/>
    <cellStyle name="Normal 6 3 3 3 2 2 2 2" xfId="26199"/>
    <cellStyle name="Normal 6 3 3 3 2 2 3" xfId="26200"/>
    <cellStyle name="Normal 6 3 3 3 2 3" xfId="26201"/>
    <cellStyle name="Normal 6 3 3 3 2 3 2" xfId="26202"/>
    <cellStyle name="Normal 6 3 3 3 2 4" xfId="26203"/>
    <cellStyle name="Normal 6 3 3 3 2 5" xfId="26204"/>
    <cellStyle name="Normal 6 3 3 3 3" xfId="26205"/>
    <cellStyle name="Normal 6 3 3 3 3 2" xfId="26206"/>
    <cellStyle name="Normal 6 3 3 3 3 2 2" xfId="26207"/>
    <cellStyle name="Normal 6 3 3 3 3 2 2 2" xfId="26208"/>
    <cellStyle name="Normal 6 3 3 3 3 2 3" xfId="26209"/>
    <cellStyle name="Normal 6 3 3 3 3 3" xfId="26210"/>
    <cellStyle name="Normal 6 3 3 3 3 3 2" xfId="26211"/>
    <cellStyle name="Normal 6 3 3 3 3 4" xfId="26212"/>
    <cellStyle name="Normal 6 3 3 3 4" xfId="26213"/>
    <cellStyle name="Normal 6 3 3 3 4 2" xfId="26214"/>
    <cellStyle name="Normal 6 3 3 3 4 2 2" xfId="26215"/>
    <cellStyle name="Normal 6 3 3 3 4 3" xfId="26216"/>
    <cellStyle name="Normal 6 3 3 3 5" xfId="26217"/>
    <cellStyle name="Normal 6 3 3 3 5 2" xfId="26218"/>
    <cellStyle name="Normal 6 3 3 3 5 2 2" xfId="26219"/>
    <cellStyle name="Normal 6 3 3 3 5 3" xfId="26220"/>
    <cellStyle name="Normal 6 3 3 3 6" xfId="26221"/>
    <cellStyle name="Normal 6 3 3 3 6 2" xfId="26222"/>
    <cellStyle name="Normal 6 3 3 3 7" xfId="26223"/>
    <cellStyle name="Normal 6 3 3 3 8" xfId="26224"/>
    <cellStyle name="Normal 6 3 4" xfId="1797"/>
    <cellStyle name="Normal 6 3 4 2" xfId="26226"/>
    <cellStyle name="Normal 6 3 4 2 2" xfId="26227"/>
    <cellStyle name="Normal 6 3 4 2 2 2" xfId="26228"/>
    <cellStyle name="Normal 6 3 4 2 2 2 2" xfId="26229"/>
    <cellStyle name="Normal 6 3 4 2 2 3" xfId="26230"/>
    <cellStyle name="Normal 6 3 4 2 3" xfId="26231"/>
    <cellStyle name="Normal 6 3 4 2 3 2" xfId="26232"/>
    <cellStyle name="Normal 6 3 4 2 4" xfId="26233"/>
    <cellStyle name="Normal 6 3 4 2 5" xfId="26234"/>
    <cellStyle name="Normal 6 3 4 3" xfId="26235"/>
    <cellStyle name="Normal 6 3 4 3 2" xfId="26236"/>
    <cellStyle name="Normal 6 3 4 3 2 2" xfId="26237"/>
    <cellStyle name="Normal 6 3 4 3 2 2 2" xfId="26238"/>
    <cellStyle name="Normal 6 3 4 3 2 3" xfId="26239"/>
    <cellStyle name="Normal 6 3 4 3 3" xfId="26240"/>
    <cellStyle name="Normal 6 3 4 3 3 2" xfId="26241"/>
    <cellStyle name="Normal 6 3 4 3 4" xfId="26242"/>
    <cellStyle name="Normal 6 3 4 4" xfId="26243"/>
    <cellStyle name="Normal 6 3 4 4 2" xfId="26244"/>
    <cellStyle name="Normal 6 3 4 4 2 2" xfId="26245"/>
    <cellStyle name="Normal 6 3 4 4 3" xfId="26246"/>
    <cellStyle name="Normal 6 3 4 5" xfId="26247"/>
    <cellStyle name="Normal 6 3 4 5 2" xfId="26248"/>
    <cellStyle name="Normal 6 3 4 5 2 2" xfId="26249"/>
    <cellStyle name="Normal 6 3 4 5 3" xfId="26250"/>
    <cellStyle name="Normal 6 3 4 6" xfId="26251"/>
    <cellStyle name="Normal 6 3 4 6 2" xfId="26252"/>
    <cellStyle name="Normal 6 3 4 7" xfId="26253"/>
    <cellStyle name="Normal 6 3 4 8" xfId="26254"/>
    <cellStyle name="Normal 6 3 4 9" xfId="26225"/>
    <cellStyle name="Normal 6 3 5" xfId="26255"/>
    <cellStyle name="Normal 6 3 5 2" xfId="26256"/>
    <cellStyle name="Normal 6 3 5 2 2" xfId="26257"/>
    <cellStyle name="Normal 6 3 5 2 2 2" xfId="26258"/>
    <cellStyle name="Normal 6 3 5 2 2 2 2" xfId="26259"/>
    <cellStyle name="Normal 6 3 5 2 2 3" xfId="26260"/>
    <cellStyle name="Normal 6 3 5 2 3" xfId="26261"/>
    <cellStyle name="Normal 6 3 5 2 3 2" xfId="26262"/>
    <cellStyle name="Normal 6 3 5 2 4" xfId="26263"/>
    <cellStyle name="Normal 6 3 5 2 5" xfId="26264"/>
    <cellStyle name="Normal 6 3 5 3" xfId="26265"/>
    <cellStyle name="Normal 6 3 5 3 2" xfId="26266"/>
    <cellStyle name="Normal 6 3 5 3 2 2" xfId="26267"/>
    <cellStyle name="Normal 6 3 5 3 2 2 2" xfId="26268"/>
    <cellStyle name="Normal 6 3 5 3 2 3" xfId="26269"/>
    <cellStyle name="Normal 6 3 5 3 3" xfId="26270"/>
    <cellStyle name="Normal 6 3 5 3 3 2" xfId="26271"/>
    <cellStyle name="Normal 6 3 5 3 4" xfId="26272"/>
    <cellStyle name="Normal 6 3 5 4" xfId="26273"/>
    <cellStyle name="Normal 6 3 5 4 2" xfId="26274"/>
    <cellStyle name="Normal 6 3 5 4 2 2" xfId="26275"/>
    <cellStyle name="Normal 6 3 5 4 3" xfId="26276"/>
    <cellStyle name="Normal 6 3 5 5" xfId="26277"/>
    <cellStyle name="Normal 6 3 5 5 2" xfId="26278"/>
    <cellStyle name="Normal 6 3 5 5 2 2" xfId="26279"/>
    <cellStyle name="Normal 6 3 5 5 3" xfId="26280"/>
    <cellStyle name="Normal 6 3 5 6" xfId="26281"/>
    <cellStyle name="Normal 6 3 5 6 2" xfId="26282"/>
    <cellStyle name="Normal 6 3 5 7" xfId="26283"/>
    <cellStyle name="Normal 6 3 5 8" xfId="26284"/>
    <cellStyle name="Normal 6 3 6" xfId="26285"/>
    <cellStyle name="Normal 6 3 6 2" xfId="26286"/>
    <cellStyle name="Normal 6 3 6 2 2" xfId="26287"/>
    <cellStyle name="Normal 6 3 6 2 2 2" xfId="26288"/>
    <cellStyle name="Normal 6 3 6 2 3" xfId="26289"/>
    <cellStyle name="Normal 6 3 6 3" xfId="26290"/>
    <cellStyle name="Normal 6 3 6 3 2" xfId="26291"/>
    <cellStyle name="Normal 6 3 6 3 2 2" xfId="26292"/>
    <cellStyle name="Normal 6 3 6 3 3" xfId="26293"/>
    <cellStyle name="Normal 6 3 6 4" xfId="26294"/>
    <cellStyle name="Normal 6 3 6 4 2" xfId="26295"/>
    <cellStyle name="Normal 6 3 6 5" xfId="26296"/>
    <cellStyle name="Normal 6 3 6 6" xfId="26297"/>
    <cellStyle name="Normal 6 3 7" xfId="26298"/>
    <cellStyle name="Normal 6 3 8" xfId="26299"/>
    <cellStyle name="Normal 6 3 9" xfId="26190"/>
    <cellStyle name="Normal 6 4" xfId="1798"/>
    <cellStyle name="Normal 6 4 10" xfId="26301"/>
    <cellStyle name="Normal 6 4 11" xfId="26302"/>
    <cellStyle name="Normal 6 4 12" xfId="26300"/>
    <cellStyle name="Normal 6 4 13" xfId="40882"/>
    <cellStyle name="Normal 6 4 2" xfId="1799"/>
    <cellStyle name="Normal 6 4 2 2" xfId="6039"/>
    <cellStyle name="Normal 6 4 2 2 2" xfId="26305"/>
    <cellStyle name="Normal 6 4 2 2 2 2" xfId="26306"/>
    <cellStyle name="Normal 6 4 2 2 2 2 2" xfId="26307"/>
    <cellStyle name="Normal 6 4 2 2 2 3" xfId="26308"/>
    <cellStyle name="Normal 6 4 2 2 2 4" xfId="26309"/>
    <cellStyle name="Normal 6 4 2 2 3" xfId="26310"/>
    <cellStyle name="Normal 6 4 2 2 3 2" xfId="26311"/>
    <cellStyle name="Normal 6 4 2 2 4" xfId="26312"/>
    <cellStyle name="Normal 6 4 2 2 5" xfId="26313"/>
    <cellStyle name="Normal 6 4 2 2 6" xfId="26304"/>
    <cellStyle name="Normal 6 4 2 3" xfId="26314"/>
    <cellStyle name="Normal 6 4 2 3 2" xfId="26315"/>
    <cellStyle name="Normal 6 4 2 3 2 2" xfId="26316"/>
    <cellStyle name="Normal 6 4 2 3 2 2 2" xfId="26317"/>
    <cellStyle name="Normal 6 4 2 3 2 3" xfId="26318"/>
    <cellStyle name="Normal 6 4 2 3 3" xfId="26319"/>
    <cellStyle name="Normal 6 4 2 3 3 2" xfId="26320"/>
    <cellStyle name="Normal 6 4 2 3 4" xfId="26321"/>
    <cellStyle name="Normal 6 4 2 3 5" xfId="26322"/>
    <cellStyle name="Normal 6 4 2 4" xfId="26323"/>
    <cellStyle name="Normal 6 4 2 4 2" xfId="26324"/>
    <cellStyle name="Normal 6 4 2 4 2 2" xfId="26325"/>
    <cellStyle name="Normal 6 4 2 4 3" xfId="26326"/>
    <cellStyle name="Normal 6 4 2 4 4" xfId="26327"/>
    <cellStyle name="Normal 6 4 2 5" xfId="26328"/>
    <cellStyle name="Normal 6 4 2 5 2" xfId="26329"/>
    <cellStyle name="Normal 6 4 2 5 2 2" xfId="26330"/>
    <cellStyle name="Normal 6 4 2 5 3" xfId="26331"/>
    <cellStyle name="Normal 6 4 2 6" xfId="26332"/>
    <cellStyle name="Normal 6 4 2 6 2" xfId="26333"/>
    <cellStyle name="Normal 6 4 2 7" xfId="26334"/>
    <cellStyle name="Normal 6 4 2 8" xfId="26335"/>
    <cellStyle name="Normal 6 4 2 9" xfId="26303"/>
    <cellStyle name="Normal 6 4 3" xfId="6038"/>
    <cellStyle name="Normal 6 4 3 2" xfId="26337"/>
    <cellStyle name="Normal 6 4 3 2 2" xfId="26338"/>
    <cellStyle name="Normal 6 4 3 2 2 2" xfId="26339"/>
    <cellStyle name="Normal 6 4 3 2 2 2 2" xfId="26340"/>
    <cellStyle name="Normal 6 4 3 2 2 3" xfId="26341"/>
    <cellStyle name="Normal 6 4 3 2 3" xfId="26342"/>
    <cellStyle name="Normal 6 4 3 2 3 2" xfId="26343"/>
    <cellStyle name="Normal 6 4 3 2 4" xfId="26344"/>
    <cellStyle name="Normal 6 4 3 2 5" xfId="26345"/>
    <cellStyle name="Normal 6 4 3 3" xfId="26346"/>
    <cellStyle name="Normal 6 4 3 3 2" xfId="26347"/>
    <cellStyle name="Normal 6 4 3 3 2 2" xfId="26348"/>
    <cellStyle name="Normal 6 4 3 3 2 2 2" xfId="26349"/>
    <cellStyle name="Normal 6 4 3 3 2 3" xfId="26350"/>
    <cellStyle name="Normal 6 4 3 3 3" xfId="26351"/>
    <cellStyle name="Normal 6 4 3 3 3 2" xfId="26352"/>
    <cellStyle name="Normal 6 4 3 3 4" xfId="26353"/>
    <cellStyle name="Normal 6 4 3 4" xfId="26354"/>
    <cellStyle name="Normal 6 4 3 4 2" xfId="26355"/>
    <cellStyle name="Normal 6 4 3 4 2 2" xfId="26356"/>
    <cellStyle name="Normal 6 4 3 4 3" xfId="26357"/>
    <cellStyle name="Normal 6 4 3 5" xfId="26358"/>
    <cellStyle name="Normal 6 4 3 5 2" xfId="26359"/>
    <cellStyle name="Normal 6 4 3 5 2 2" xfId="26360"/>
    <cellStyle name="Normal 6 4 3 5 3" xfId="26361"/>
    <cellStyle name="Normal 6 4 3 6" xfId="26362"/>
    <cellStyle name="Normal 6 4 3 6 2" xfId="26363"/>
    <cellStyle name="Normal 6 4 3 7" xfId="26364"/>
    <cellStyle name="Normal 6 4 3 8" xfId="26365"/>
    <cellStyle name="Normal 6 4 3 9" xfId="26336"/>
    <cellStyle name="Normal 6 4 4" xfId="26366"/>
    <cellStyle name="Normal 6 4 4 2" xfId="26367"/>
    <cellStyle name="Normal 6 4 4 2 2" xfId="26368"/>
    <cellStyle name="Normal 6 4 4 2 2 2" xfId="26369"/>
    <cellStyle name="Normal 6 4 4 2 2 2 2" xfId="26370"/>
    <cellStyle name="Normal 6 4 4 2 2 3" xfId="26371"/>
    <cellStyle name="Normal 6 4 4 2 3" xfId="26372"/>
    <cellStyle name="Normal 6 4 4 2 3 2" xfId="26373"/>
    <cellStyle name="Normal 6 4 4 2 4" xfId="26374"/>
    <cellStyle name="Normal 6 4 4 2 5" xfId="26375"/>
    <cellStyle name="Normal 6 4 4 3" xfId="26376"/>
    <cellStyle name="Normal 6 4 4 3 2" xfId="26377"/>
    <cellStyle name="Normal 6 4 4 3 2 2" xfId="26378"/>
    <cellStyle name="Normal 6 4 4 3 2 2 2" xfId="26379"/>
    <cellStyle name="Normal 6 4 4 3 2 3" xfId="26380"/>
    <cellStyle name="Normal 6 4 4 3 3" xfId="26381"/>
    <cellStyle name="Normal 6 4 4 3 3 2" xfId="26382"/>
    <cellStyle name="Normal 6 4 4 3 4" xfId="26383"/>
    <cellStyle name="Normal 6 4 4 4" xfId="26384"/>
    <cellStyle name="Normal 6 4 4 4 2" xfId="26385"/>
    <cellStyle name="Normal 6 4 4 4 2 2" xfId="26386"/>
    <cellStyle name="Normal 6 4 4 4 3" xfId="26387"/>
    <cellStyle name="Normal 6 4 4 5" xfId="26388"/>
    <cellStyle name="Normal 6 4 4 5 2" xfId="26389"/>
    <cellStyle name="Normal 6 4 4 5 2 2" xfId="26390"/>
    <cellStyle name="Normal 6 4 4 5 3" xfId="26391"/>
    <cellStyle name="Normal 6 4 4 6" xfId="26392"/>
    <cellStyle name="Normal 6 4 4 6 2" xfId="26393"/>
    <cellStyle name="Normal 6 4 4 7" xfId="26394"/>
    <cellStyle name="Normal 6 4 4 8" xfId="26395"/>
    <cellStyle name="Normal 6 4 5" xfId="26396"/>
    <cellStyle name="Normal 6 4 5 2" xfId="26397"/>
    <cellStyle name="Normal 6 4 5 2 2" xfId="26398"/>
    <cellStyle name="Normal 6 4 5 2 2 2" xfId="26399"/>
    <cellStyle name="Normal 6 4 5 2 2 2 2" xfId="26400"/>
    <cellStyle name="Normal 6 4 5 2 2 3" xfId="26401"/>
    <cellStyle name="Normal 6 4 5 2 3" xfId="26402"/>
    <cellStyle name="Normal 6 4 5 2 3 2" xfId="26403"/>
    <cellStyle name="Normal 6 4 5 2 4" xfId="26404"/>
    <cellStyle name="Normal 6 4 5 3" xfId="26405"/>
    <cellStyle name="Normal 6 4 5 3 2" xfId="26406"/>
    <cellStyle name="Normal 6 4 5 3 2 2" xfId="26407"/>
    <cellStyle name="Normal 6 4 5 3 3" xfId="26408"/>
    <cellStyle name="Normal 6 4 5 4" xfId="26409"/>
    <cellStyle name="Normal 6 4 5 4 2" xfId="26410"/>
    <cellStyle name="Normal 6 4 5 4 2 2" xfId="26411"/>
    <cellStyle name="Normal 6 4 5 4 3" xfId="26412"/>
    <cellStyle name="Normal 6 4 5 5" xfId="26413"/>
    <cellStyle name="Normal 6 4 5 5 2" xfId="26414"/>
    <cellStyle name="Normal 6 4 5 6" xfId="26415"/>
    <cellStyle name="Normal 6 4 5 7" xfId="26416"/>
    <cellStyle name="Normal 6 4 6" xfId="26417"/>
    <cellStyle name="Normal 6 4 6 2" xfId="26418"/>
    <cellStyle name="Normal 6 4 6 2 2" xfId="26419"/>
    <cellStyle name="Normal 6 4 6 2 2 2" xfId="26420"/>
    <cellStyle name="Normal 6 4 6 2 3" xfId="26421"/>
    <cellStyle name="Normal 6 4 6 3" xfId="26422"/>
    <cellStyle name="Normal 6 4 6 3 2" xfId="26423"/>
    <cellStyle name="Normal 6 4 6 4" xfId="26424"/>
    <cellStyle name="Normal 6 4 6 5" xfId="26425"/>
    <cellStyle name="Normal 6 4 7" xfId="26426"/>
    <cellStyle name="Normal 6 4 7 2" xfId="26427"/>
    <cellStyle name="Normal 6 4 7 2 2" xfId="26428"/>
    <cellStyle name="Normal 6 4 7 3" xfId="26429"/>
    <cellStyle name="Normal 6 4 8" xfId="26430"/>
    <cellStyle name="Normal 6 4 8 2" xfId="26431"/>
    <cellStyle name="Normal 6 4 8 2 2" xfId="26432"/>
    <cellStyle name="Normal 6 4 8 3" xfId="26433"/>
    <cellStyle name="Normal 6 4 9" xfId="26434"/>
    <cellStyle name="Normal 6 4 9 2" xfId="26435"/>
    <cellStyle name="Normal 6 5" xfId="1800"/>
    <cellStyle name="Normal 6 5 2" xfId="3001"/>
    <cellStyle name="Normal 6 5 2 2" xfId="26438"/>
    <cellStyle name="Normal 6 5 2 2 2" xfId="26439"/>
    <cellStyle name="Normal 6 5 2 2 2 2" xfId="26440"/>
    <cellStyle name="Normal 6 5 2 2 2 2 2" xfId="26441"/>
    <cellStyle name="Normal 6 5 2 2 2 3" xfId="26442"/>
    <cellStyle name="Normal 6 5 2 2 3" xfId="26443"/>
    <cellStyle name="Normal 6 5 2 2 3 2" xfId="26444"/>
    <cellStyle name="Normal 6 5 2 2 4" xfId="26445"/>
    <cellStyle name="Normal 6 5 2 2 5" xfId="26446"/>
    <cellStyle name="Normal 6 5 2 3" xfId="26447"/>
    <cellStyle name="Normal 6 5 2 3 2" xfId="26448"/>
    <cellStyle name="Normal 6 5 2 3 2 2" xfId="26449"/>
    <cellStyle name="Normal 6 5 2 3 2 2 2" xfId="26450"/>
    <cellStyle name="Normal 6 5 2 3 2 3" xfId="26451"/>
    <cellStyle name="Normal 6 5 2 3 3" xfId="26452"/>
    <cellStyle name="Normal 6 5 2 3 3 2" xfId="26453"/>
    <cellStyle name="Normal 6 5 2 3 4" xfId="26454"/>
    <cellStyle name="Normal 6 5 2 4" xfId="26455"/>
    <cellStyle name="Normal 6 5 2 4 2" xfId="26456"/>
    <cellStyle name="Normal 6 5 2 4 2 2" xfId="26457"/>
    <cellStyle name="Normal 6 5 2 4 3" xfId="26458"/>
    <cellStyle name="Normal 6 5 2 5" xfId="26459"/>
    <cellStyle name="Normal 6 5 2 5 2" xfId="26460"/>
    <cellStyle name="Normal 6 5 2 5 2 2" xfId="26461"/>
    <cellStyle name="Normal 6 5 2 5 3" xfId="26462"/>
    <cellStyle name="Normal 6 5 2 6" xfId="26463"/>
    <cellStyle name="Normal 6 5 2 6 2" xfId="26464"/>
    <cellStyle name="Normal 6 5 2 7" xfId="26465"/>
    <cellStyle name="Normal 6 5 2 8" xfId="26466"/>
    <cellStyle name="Normal 6 5 2 9" xfId="26437"/>
    <cellStyle name="Normal 6 5 3" xfId="6040"/>
    <cellStyle name="Normal 6 5 3 2" xfId="26467"/>
    <cellStyle name="Normal 6 5 4" xfId="26436"/>
    <cellStyle name="Normal 6 5 5" xfId="41198"/>
    <cellStyle name="Normal 6 6" xfId="1801"/>
    <cellStyle name="Normal 6 6 2" xfId="3128"/>
    <cellStyle name="Normal 6 6 2 2" xfId="8469"/>
    <cellStyle name="Normal 6 6 2 2 2" xfId="26471"/>
    <cellStyle name="Normal 6 6 2 2 2 2" xfId="26472"/>
    <cellStyle name="Normal 6 6 2 2 3" xfId="26473"/>
    <cellStyle name="Normal 6 6 2 2 4" xfId="26474"/>
    <cellStyle name="Normal 6 6 2 2 5" xfId="26470"/>
    <cellStyle name="Normal 6 6 2 3" xfId="26475"/>
    <cellStyle name="Normal 6 6 2 3 2" xfId="26476"/>
    <cellStyle name="Normal 6 6 2 4" xfId="26477"/>
    <cellStyle name="Normal 6 6 2 5" xfId="26478"/>
    <cellStyle name="Normal 6 6 2 6" xfId="26469"/>
    <cellStyle name="Normal 6 6 3" xfId="6041"/>
    <cellStyle name="Normal 6 6 3 2" xfId="26480"/>
    <cellStyle name="Normal 6 6 3 2 2" xfId="26481"/>
    <cellStyle name="Normal 6 6 3 3" xfId="26482"/>
    <cellStyle name="Normal 6 6 3 4" xfId="26483"/>
    <cellStyle name="Normal 6 6 3 5" xfId="26479"/>
    <cellStyle name="Normal 6 6 4" xfId="8148"/>
    <cellStyle name="Normal 6 6 4 2" xfId="26485"/>
    <cellStyle name="Normal 6 6 4 2 2" xfId="26486"/>
    <cellStyle name="Normal 6 6 4 3" xfId="26487"/>
    <cellStyle name="Normal 6 6 4 4" xfId="26488"/>
    <cellStyle name="Normal 6 6 4 5" xfId="26484"/>
    <cellStyle name="Normal 6 6 5" xfId="26489"/>
    <cellStyle name="Normal 6 6 6" xfId="26468"/>
    <cellStyle name="Normal 6 6 7" xfId="41570"/>
    <cellStyle name="Normal 6 7" xfId="1802"/>
    <cellStyle name="Normal 6 7 2" xfId="3129"/>
    <cellStyle name="Normal 6 7 2 2" xfId="8470"/>
    <cellStyle name="Normal 6 7 2 2 2" xfId="26492"/>
    <cellStyle name="Normal 6 7 2 2 2 2" xfId="26493"/>
    <cellStyle name="Normal 6 7 2 2 3" xfId="26494"/>
    <cellStyle name="Normal 6 7 2 2 4" xfId="26495"/>
    <cellStyle name="Normal 6 7 2 2 5" xfId="26491"/>
    <cellStyle name="Normal 6 7 2 3" xfId="26496"/>
    <cellStyle name="Normal 6 7 2 3 2" xfId="26497"/>
    <cellStyle name="Normal 6 7 2 4" xfId="26498"/>
    <cellStyle name="Normal 6 7 2 5" xfId="26499"/>
    <cellStyle name="Normal 6 7 2 6" xfId="26490"/>
    <cellStyle name="Normal 6 7 3" xfId="6042"/>
    <cellStyle name="Normal 6 7 3 2" xfId="26501"/>
    <cellStyle name="Normal 6 7 3 2 2" xfId="26502"/>
    <cellStyle name="Normal 6 7 3 3" xfId="26503"/>
    <cellStyle name="Normal 6 7 3 4" xfId="26504"/>
    <cellStyle name="Normal 6 7 3 5" xfId="26500"/>
    <cellStyle name="Normal 6 7 4" xfId="26505"/>
    <cellStyle name="Normal 6 7 4 2" xfId="26506"/>
    <cellStyle name="Normal 6 7 4 2 2" xfId="26507"/>
    <cellStyle name="Normal 6 7 4 3" xfId="26508"/>
    <cellStyle name="Normal 6 7 4 4" xfId="26509"/>
    <cellStyle name="Normal 6 7 5" xfId="26510"/>
    <cellStyle name="Normal 6 7 6" xfId="41709"/>
    <cellStyle name="Normal 6 8" xfId="1803"/>
    <cellStyle name="Normal 6 8 2" xfId="3130"/>
    <cellStyle name="Normal 6 8 2 2" xfId="8471"/>
    <cellStyle name="Normal 6 8 2 2 2" xfId="26514"/>
    <cellStyle name="Normal 6 8 2 2 2 2" xfId="26515"/>
    <cellStyle name="Normal 6 8 2 2 3" xfId="26516"/>
    <cellStyle name="Normal 6 8 2 2 4" xfId="26517"/>
    <cellStyle name="Normal 6 8 2 2 5" xfId="26513"/>
    <cellStyle name="Normal 6 8 2 3" xfId="26518"/>
    <cellStyle name="Normal 6 8 2 3 2" xfId="26519"/>
    <cellStyle name="Normal 6 8 2 4" xfId="26520"/>
    <cellStyle name="Normal 6 8 2 5" xfId="26521"/>
    <cellStyle name="Normal 6 8 2 6" xfId="26512"/>
    <cellStyle name="Normal 6 8 3" xfId="26522"/>
    <cellStyle name="Normal 6 8 3 2" xfId="26523"/>
    <cellStyle name="Normal 6 8 3 2 2" xfId="26524"/>
    <cellStyle name="Normal 6 8 3 3" xfId="26525"/>
    <cellStyle name="Normal 6 8 3 4" xfId="26526"/>
    <cellStyle name="Normal 6 8 4" xfId="26527"/>
    <cellStyle name="Normal 6 8 4 2" xfId="26528"/>
    <cellStyle name="Normal 6 8 4 3" xfId="26529"/>
    <cellStyle name="Normal 6 8 5" xfId="26530"/>
    <cellStyle name="Normal 6 8 5 2" xfId="26531"/>
    <cellStyle name="Normal 6 8 6" xfId="26532"/>
    <cellStyle name="Normal 6 8 7" xfId="26533"/>
    <cellStyle name="Normal 6 8 8" xfId="26511"/>
    <cellStyle name="Normal 6 8 9" xfId="40981"/>
    <cellStyle name="Normal 6 9" xfId="1804"/>
    <cellStyle name="Normal 6 9 2" xfId="3131"/>
    <cellStyle name="Normal 6 9 2 2" xfId="8472"/>
    <cellStyle name="Normal 6 9 2 2 2" xfId="26537"/>
    <cellStyle name="Normal 6 9 2 2 2 2" xfId="26538"/>
    <cellStyle name="Normal 6 9 2 2 3" xfId="26539"/>
    <cellStyle name="Normal 6 9 2 2 4" xfId="26540"/>
    <cellStyle name="Normal 6 9 2 2 5" xfId="26536"/>
    <cellStyle name="Normal 6 9 2 3" xfId="26541"/>
    <cellStyle name="Normal 6 9 2 3 2" xfId="26542"/>
    <cellStyle name="Normal 6 9 2 4" xfId="26543"/>
    <cellStyle name="Normal 6 9 2 5" xfId="26544"/>
    <cellStyle name="Normal 6 9 2 6" xfId="26535"/>
    <cellStyle name="Normal 6 9 3" xfId="26545"/>
    <cellStyle name="Normal 6 9 3 2" xfId="26546"/>
    <cellStyle name="Normal 6 9 3 2 2" xfId="26547"/>
    <cellStyle name="Normal 6 9 3 3" xfId="26548"/>
    <cellStyle name="Normal 6 9 3 4" xfId="26549"/>
    <cellStyle name="Normal 6 9 4" xfId="26550"/>
    <cellStyle name="Normal 6 9 4 2" xfId="26551"/>
    <cellStyle name="Normal 6 9 4 2 2" xfId="26552"/>
    <cellStyle name="Normal 6 9 4 3" xfId="26553"/>
    <cellStyle name="Normal 6 9 4 4" xfId="26554"/>
    <cellStyle name="Normal 6 9 5" xfId="26555"/>
    <cellStyle name="Normal 6 9 5 2" xfId="26556"/>
    <cellStyle name="Normal 6 9 6" xfId="26557"/>
    <cellStyle name="Normal 6 9 7" xfId="26558"/>
    <cellStyle name="Normal 6 9 8" xfId="26534"/>
    <cellStyle name="Normal 6 9 9" xfId="40787"/>
    <cellStyle name="Normal 6_5.2" xfId="6043"/>
    <cellStyle name="Normal 60" xfId="1805"/>
    <cellStyle name="Normal 60 2" xfId="1806"/>
    <cellStyle name="Normal 60 2 2" xfId="6045"/>
    <cellStyle name="Normal 60 3" xfId="6044"/>
    <cellStyle name="Normal 60 4" xfId="41154"/>
    <cellStyle name="Normal 61" xfId="1807"/>
    <cellStyle name="Normal 61 2" xfId="6047"/>
    <cellStyle name="Normal 61 3" xfId="6046"/>
    <cellStyle name="Normal 61 4" xfId="26559"/>
    <cellStyle name="Normal 61 5" xfId="41142"/>
    <cellStyle name="Normal 62" xfId="1808"/>
    <cellStyle name="Normal 62 2" xfId="6048"/>
    <cellStyle name="Normal 62 3" xfId="26560"/>
    <cellStyle name="Normal 62 4" xfId="41089"/>
    <cellStyle name="Normal 63" xfId="1809"/>
    <cellStyle name="Normal 63 2" xfId="6049"/>
    <cellStyle name="Normal 63 3" xfId="26561"/>
    <cellStyle name="Normal 63 4" xfId="41158"/>
    <cellStyle name="Normal 64" xfId="1810"/>
    <cellStyle name="Normal 64 2" xfId="6050"/>
    <cellStyle name="Normal 64 2 2" xfId="26564"/>
    <cellStyle name="Normal 64 2 3" xfId="26563"/>
    <cellStyle name="Normal 64 3" xfId="26565"/>
    <cellStyle name="Normal 64 4" xfId="26562"/>
    <cellStyle name="Normal 64 5" xfId="41143"/>
    <cellStyle name="Normal 65" xfId="1811"/>
    <cellStyle name="Normal 65 2" xfId="6051"/>
    <cellStyle name="Normal 65 2 2" xfId="26568"/>
    <cellStyle name="Normal 65 2 3" xfId="26567"/>
    <cellStyle name="Normal 65 3" xfId="26569"/>
    <cellStyle name="Normal 65 4" xfId="26566"/>
    <cellStyle name="Normal 65 5" xfId="41150"/>
    <cellStyle name="Normal 66" xfId="1812"/>
    <cellStyle name="Normal 66 2" xfId="6052"/>
    <cellStyle name="Normal 66 2 2" xfId="26572"/>
    <cellStyle name="Normal 66 2 3" xfId="26571"/>
    <cellStyle name="Normal 66 3" xfId="26573"/>
    <cellStyle name="Normal 66 4" xfId="26570"/>
    <cellStyle name="Normal 66 5" xfId="41153"/>
    <cellStyle name="Normal 67" xfId="1813"/>
    <cellStyle name="Normal 67 2" xfId="6053"/>
    <cellStyle name="Normal 67 3" xfId="26574"/>
    <cellStyle name="Normal 67 4" xfId="41151"/>
    <cellStyle name="Normal 68" xfId="1814"/>
    <cellStyle name="Normal 68 2" xfId="6054"/>
    <cellStyle name="Normal 68 3" xfId="26575"/>
    <cellStyle name="Normal 68 4" xfId="41160"/>
    <cellStyle name="Normal 69" xfId="1815"/>
    <cellStyle name="Normal 69 2" xfId="6055"/>
    <cellStyle name="Normal 69 3" xfId="26576"/>
    <cellStyle name="Normal 69 4" xfId="41095"/>
    <cellStyle name="Normal 7" xfId="1816"/>
    <cellStyle name="Normal 7 10" xfId="40499"/>
    <cellStyle name="Normal 7 2" xfId="1817"/>
    <cellStyle name="Normal 7 2 2" xfId="1818"/>
    <cellStyle name="Normal 7 2 2 2" xfId="3624"/>
    <cellStyle name="Normal 7 2 2 2 2" xfId="26578"/>
    <cellStyle name="Normal 7 2 2 2 2 2" xfId="26579"/>
    <cellStyle name="Normal 7 2 2 2 2 2 2" xfId="26580"/>
    <cellStyle name="Normal 7 2 2 2 2 2 2 2" xfId="26581"/>
    <cellStyle name="Normal 7 2 2 2 2 2 3" xfId="26582"/>
    <cellStyle name="Normal 7 2 2 2 2 2 4" xfId="26583"/>
    <cellStyle name="Normal 7 2 2 2 2 3" xfId="26584"/>
    <cellStyle name="Normal 7 2 2 2 2 3 2" xfId="26585"/>
    <cellStyle name="Normal 7 2 2 2 2 4" xfId="26586"/>
    <cellStyle name="Normal 7 2 2 2 2 5" xfId="26587"/>
    <cellStyle name="Normal 7 2 2 2 3" xfId="26588"/>
    <cellStyle name="Normal 7 2 2 2 3 2" xfId="26589"/>
    <cellStyle name="Normal 7 2 2 2 3 2 2" xfId="26590"/>
    <cellStyle name="Normal 7 2 2 2 3 2 2 2" xfId="26591"/>
    <cellStyle name="Normal 7 2 2 2 3 2 3" xfId="26592"/>
    <cellStyle name="Normal 7 2 2 2 3 3" xfId="26593"/>
    <cellStyle name="Normal 7 2 2 2 3 3 2" xfId="26594"/>
    <cellStyle name="Normal 7 2 2 2 3 4" xfId="26595"/>
    <cellStyle name="Normal 7 2 2 2 4" xfId="26596"/>
    <cellStyle name="Normal 7 2 2 2 4 2" xfId="26597"/>
    <cellStyle name="Normal 7 2 2 2 4 2 2" xfId="26598"/>
    <cellStyle name="Normal 7 2 2 2 4 3" xfId="26599"/>
    <cellStyle name="Normal 7 2 2 2 5" xfId="26600"/>
    <cellStyle name="Normal 7 2 2 2 5 2" xfId="26601"/>
    <cellStyle name="Normal 7 2 2 2 5 2 2" xfId="26602"/>
    <cellStyle name="Normal 7 2 2 2 5 3" xfId="26603"/>
    <cellStyle name="Normal 7 2 2 2 6" xfId="26604"/>
    <cellStyle name="Normal 7 2 2 2 6 2" xfId="26605"/>
    <cellStyle name="Normal 7 2 2 2 7" xfId="26606"/>
    <cellStyle name="Normal 7 2 2 2 8" xfId="26607"/>
    <cellStyle name="Normal 7 2 2 2 9" xfId="26577"/>
    <cellStyle name="Normal 7 2 2 3" xfId="8149"/>
    <cellStyle name="Normal 7 2 3" xfId="1819"/>
    <cellStyle name="Normal 7 2 3 2" xfId="6058"/>
    <cellStyle name="Normal 7 2 3 2 2" xfId="26610"/>
    <cellStyle name="Normal 7 2 3 2 2 2" xfId="26611"/>
    <cellStyle name="Normal 7 2 3 2 2 2 2" xfId="26612"/>
    <cellStyle name="Normal 7 2 3 2 2 3" xfId="26613"/>
    <cellStyle name="Normal 7 2 3 2 3" xfId="26614"/>
    <cellStyle name="Normal 7 2 3 2 3 2" xfId="26615"/>
    <cellStyle name="Normal 7 2 3 2 4" xfId="26616"/>
    <cellStyle name="Normal 7 2 3 2 5" xfId="26617"/>
    <cellStyle name="Normal 7 2 3 2 6" xfId="26609"/>
    <cellStyle name="Normal 7 2 3 3" xfId="8150"/>
    <cellStyle name="Normal 7 2 3 3 2" xfId="26619"/>
    <cellStyle name="Normal 7 2 3 3 2 2" xfId="26620"/>
    <cellStyle name="Normal 7 2 3 3 2 2 2" xfId="26621"/>
    <cellStyle name="Normal 7 2 3 3 2 3" xfId="26622"/>
    <cellStyle name="Normal 7 2 3 3 3" xfId="26623"/>
    <cellStyle name="Normal 7 2 3 3 3 2" xfId="26624"/>
    <cellStyle name="Normal 7 2 3 3 4" xfId="26625"/>
    <cellStyle name="Normal 7 2 3 3 5" xfId="26618"/>
    <cellStyle name="Normal 7 2 3 4" xfId="26626"/>
    <cellStyle name="Normal 7 2 3 4 2" xfId="26627"/>
    <cellStyle name="Normal 7 2 3 4 2 2" xfId="26628"/>
    <cellStyle name="Normal 7 2 3 4 3" xfId="26629"/>
    <cellStyle name="Normal 7 2 3 5" xfId="26630"/>
    <cellStyle name="Normal 7 2 3 5 2" xfId="26631"/>
    <cellStyle name="Normal 7 2 3 5 2 2" xfId="26632"/>
    <cellStyle name="Normal 7 2 3 5 3" xfId="26633"/>
    <cellStyle name="Normal 7 2 3 6" xfId="26634"/>
    <cellStyle name="Normal 7 2 3 6 2" xfId="26635"/>
    <cellStyle name="Normal 7 2 3 7" xfId="26636"/>
    <cellStyle name="Normal 7 2 3 8" xfId="26637"/>
    <cellStyle name="Normal 7 2 3 9" xfId="26608"/>
    <cellStyle name="Normal 7 2 4" xfId="1820"/>
    <cellStyle name="Normal 7 2 5" xfId="3003"/>
    <cellStyle name="Normal 7 2 6" xfId="6057"/>
    <cellStyle name="Normal 7 2 7" xfId="40791"/>
    <cellStyle name="Normal 7 3" xfId="1821"/>
    <cellStyle name="Normal 7 3 2" xfId="1822"/>
    <cellStyle name="Normal 7 3 2 2" xfId="6060"/>
    <cellStyle name="Normal 7 3 2 2 2" xfId="6061"/>
    <cellStyle name="Normal 7 3 2 2 2 2" xfId="6062"/>
    <cellStyle name="Normal 7 3 2 2 3" xfId="6063"/>
    <cellStyle name="Normal 7 3 2 2 4" xfId="6064"/>
    <cellStyle name="Normal 7 3 2 3" xfId="6065"/>
    <cellStyle name="Normal 7 3 2 3 2" xfId="6066"/>
    <cellStyle name="Normal 7 3 2 4" xfId="6067"/>
    <cellStyle name="Normal 7 3 2 5" xfId="6068"/>
    <cellStyle name="Normal 7 3 2 6" xfId="6059"/>
    <cellStyle name="Normal 7 3 2 7" xfId="8151"/>
    <cellStyle name="Normal 7 3 3" xfId="3004"/>
    <cellStyle name="Normal 7 3 3 2" xfId="6070"/>
    <cellStyle name="Normal 7 3 3 2 2" xfId="6071"/>
    <cellStyle name="Normal 7 3 3 3" xfId="6072"/>
    <cellStyle name="Normal 7 3 3 4" xfId="6073"/>
    <cellStyle name="Normal 7 3 3 5" xfId="6069"/>
    <cellStyle name="Normal 7 3 4" xfId="40883"/>
    <cellStyle name="Normal 7 4" xfId="1823"/>
    <cellStyle name="Normal 7 4 2" xfId="3005"/>
    <cellStyle name="Normal 7 4 2 2" xfId="6075"/>
    <cellStyle name="Normal 7 4 3" xfId="6074"/>
    <cellStyle name="Normal 7 4 4" xfId="8152"/>
    <cellStyle name="Normal 7 4 5" xfId="41200"/>
    <cellStyle name="Normal 7 5" xfId="1824"/>
    <cellStyle name="Normal 7 5 2" xfId="3006"/>
    <cellStyle name="Normal 7 5 2 2" xfId="26639"/>
    <cellStyle name="Normal 7 5 3" xfId="6076"/>
    <cellStyle name="Normal 7 5 3 2" xfId="26640"/>
    <cellStyle name="Normal 7 5 4" xfId="26638"/>
    <cellStyle name="Normal 7 5 5" xfId="41571"/>
    <cellStyle name="Normal 7 6" xfId="1825"/>
    <cellStyle name="Normal 7 6 2" xfId="3002"/>
    <cellStyle name="Normal 7 6 3" xfId="26641"/>
    <cellStyle name="Normal 7 6 4" xfId="41710"/>
    <cellStyle name="Normal 7 7" xfId="1826"/>
    <cellStyle name="Normal 7 7 2" xfId="6078"/>
    <cellStyle name="Normal 7 7 3" xfId="6077"/>
    <cellStyle name="Normal 7 7 4" xfId="40678"/>
    <cellStyle name="Normal 7 8" xfId="1827"/>
    <cellStyle name="Normal 7 8 2" xfId="7820"/>
    <cellStyle name="Normal 7 8 3" xfId="43503"/>
    <cellStyle name="Normal 7 9" xfId="6056"/>
    <cellStyle name="Normal 7_1. SBP QRC 30 Sep 10 (Trial 22oct) Final" xfId="42243"/>
    <cellStyle name="Normal 70" xfId="1828"/>
    <cellStyle name="Normal 70 2" xfId="6079"/>
    <cellStyle name="Normal 70 3" xfId="26642"/>
    <cellStyle name="Normal 70 4" xfId="41145"/>
    <cellStyle name="Normal 71" xfId="1829"/>
    <cellStyle name="Normal 71 2" xfId="6080"/>
    <cellStyle name="Normal 71 3" xfId="26643"/>
    <cellStyle name="Normal 71 4" xfId="41155"/>
    <cellStyle name="Normal 72" xfId="1830"/>
    <cellStyle name="Normal 72 2" xfId="6081"/>
    <cellStyle name="Normal 72 3" xfId="26644"/>
    <cellStyle name="Normal 72 4" xfId="41149"/>
    <cellStyle name="Normal 73" xfId="43"/>
    <cellStyle name="Normal 73 2" xfId="6082"/>
    <cellStyle name="Normal 73 3" xfId="26645"/>
    <cellStyle name="Normal 73 4" xfId="41162"/>
    <cellStyle name="Normal 74" xfId="1832"/>
    <cellStyle name="Normal 74 2" xfId="6083"/>
    <cellStyle name="Normal 74 3" xfId="26646"/>
    <cellStyle name="Normal 74 4" xfId="40818"/>
    <cellStyle name="Normal 75" xfId="1833"/>
    <cellStyle name="Normal 75 2" xfId="6084"/>
    <cellStyle name="Normal 75 3" xfId="26647"/>
    <cellStyle name="Normal 75 4" xfId="41572"/>
    <cellStyle name="Normal 76" xfId="1834"/>
    <cellStyle name="Normal 76 2" xfId="6085"/>
    <cellStyle name="Normal 76 3" xfId="26648"/>
    <cellStyle name="Normal 76 4" xfId="41573"/>
    <cellStyle name="Normal 77" xfId="2387"/>
    <cellStyle name="Normal 77 2" xfId="6086"/>
    <cellStyle name="Normal 77 3" xfId="26649"/>
    <cellStyle name="Normal 77 4" xfId="41574"/>
    <cellStyle name="Normal 78" xfId="131"/>
    <cellStyle name="Normal 78 2" xfId="6087"/>
    <cellStyle name="Normal 78 3" xfId="26650"/>
    <cellStyle name="Normal 78 4" xfId="41575"/>
    <cellStyle name="Normal 79" xfId="2251"/>
    <cellStyle name="Normal 79 2" xfId="6088"/>
    <cellStyle name="Normal 79 3" xfId="26651"/>
    <cellStyle name="Normal 79 4" xfId="41576"/>
    <cellStyle name="Normal 8" xfId="1835"/>
    <cellStyle name="Normal 8 10" xfId="26652"/>
    <cellStyle name="Normal 8 10 2" xfId="43504"/>
    <cellStyle name="Normal 8 11" xfId="40500"/>
    <cellStyle name="Normal 8 2" xfId="1836"/>
    <cellStyle name="Normal 8 2 2" xfId="1837"/>
    <cellStyle name="Normal 8 2 2 10" xfId="26653"/>
    <cellStyle name="Normal 8 2 2 11" xfId="40977"/>
    <cellStyle name="Normal 8 2 2 2" xfId="6090"/>
    <cellStyle name="Normal 8 2 2 2 2" xfId="26654"/>
    <cellStyle name="Normal 8 2 2 3" xfId="26655"/>
    <cellStyle name="Normal 8 2 2 3 2" xfId="26656"/>
    <cellStyle name="Normal 8 2 2 3 2 2" xfId="26657"/>
    <cellStyle name="Normal 8 2 2 3 2 2 2" xfId="26658"/>
    <cellStyle name="Normal 8 2 2 3 2 2 2 2" xfId="26659"/>
    <cellStyle name="Normal 8 2 2 3 2 2 3" xfId="26660"/>
    <cellStyle name="Normal 8 2 2 3 2 3" xfId="26661"/>
    <cellStyle name="Normal 8 2 2 3 2 3 2" xfId="26662"/>
    <cellStyle name="Normal 8 2 2 3 2 4" xfId="26663"/>
    <cellStyle name="Normal 8 2 2 3 3" xfId="26664"/>
    <cellStyle name="Normal 8 2 2 3 3 2" xfId="26665"/>
    <cellStyle name="Normal 8 2 2 3 3 2 2" xfId="26666"/>
    <cellStyle name="Normal 8 2 2 3 3 3" xfId="26667"/>
    <cellStyle name="Normal 8 2 2 3 4" xfId="26668"/>
    <cellStyle name="Normal 8 2 2 3 4 2" xfId="26669"/>
    <cellStyle name="Normal 8 2 2 3 4 2 2" xfId="26670"/>
    <cellStyle name="Normal 8 2 2 3 4 3" xfId="26671"/>
    <cellStyle name="Normal 8 2 2 3 5" xfId="26672"/>
    <cellStyle name="Normal 8 2 2 3 5 2" xfId="26673"/>
    <cellStyle name="Normal 8 2 2 3 6" xfId="26674"/>
    <cellStyle name="Normal 8 2 2 3 7" xfId="26675"/>
    <cellStyle name="Normal 8 2 2 4" xfId="26676"/>
    <cellStyle name="Normal 8 2 2 4 2" xfId="26677"/>
    <cellStyle name="Normal 8 2 2 4 2 2" xfId="26678"/>
    <cellStyle name="Normal 8 2 2 4 2 2 2" xfId="26679"/>
    <cellStyle name="Normal 8 2 2 4 2 3" xfId="26680"/>
    <cellStyle name="Normal 8 2 2 4 3" xfId="26681"/>
    <cellStyle name="Normal 8 2 2 4 3 2" xfId="26682"/>
    <cellStyle name="Normal 8 2 2 4 4" xfId="26683"/>
    <cellStyle name="Normal 8 2 2 4 5" xfId="26684"/>
    <cellStyle name="Normal 8 2 2 5" xfId="26685"/>
    <cellStyle name="Normal 8 2 2 5 2" xfId="26686"/>
    <cellStyle name="Normal 8 2 2 5 2 2" xfId="26687"/>
    <cellStyle name="Normal 8 2 2 5 3" xfId="26688"/>
    <cellStyle name="Normal 8 2 2 6" xfId="26689"/>
    <cellStyle name="Normal 8 2 2 6 2" xfId="26690"/>
    <cellStyle name="Normal 8 2 2 6 2 2" xfId="26691"/>
    <cellStyle name="Normal 8 2 2 6 3" xfId="26692"/>
    <cellStyle name="Normal 8 2 2 7" xfId="26693"/>
    <cellStyle name="Normal 8 2 2 7 2" xfId="26694"/>
    <cellStyle name="Normal 8 2 2 8" xfId="26695"/>
    <cellStyle name="Normal 8 2 2 9" xfId="26696"/>
    <cellStyle name="Normal 8 2 3" xfId="6091"/>
    <cellStyle name="Normal 8 2 3 2" xfId="6092"/>
    <cellStyle name="Normal 8 2 3 2 2" xfId="6093"/>
    <cellStyle name="Normal 8 2 3 3" xfId="6094"/>
    <cellStyle name="Normal 8 2 3 4" xfId="6095"/>
    <cellStyle name="Normal 8 2 3 5" xfId="26697"/>
    <cellStyle name="Normal 8 2 3 6" xfId="41202"/>
    <cellStyle name="Normal 8 2 4" xfId="6096"/>
    <cellStyle name="Normal 8 2 4 2" xfId="6097"/>
    <cellStyle name="Normal 8 2 4 2 2" xfId="6098"/>
    <cellStyle name="Normal 8 2 4 2 3" xfId="26699"/>
    <cellStyle name="Normal 8 2 4 3" xfId="6099"/>
    <cellStyle name="Normal 8 2 4 3 2" xfId="26700"/>
    <cellStyle name="Normal 8 2 4 4" xfId="6100"/>
    <cellStyle name="Normal 8 2 4 5" xfId="26698"/>
    <cellStyle name="Normal 8 2 5" xfId="6101"/>
    <cellStyle name="Normal 8 2 6" xfId="6102"/>
    <cellStyle name="Normal 8 2 7" xfId="6103"/>
    <cellStyle name="Normal 8 2 8" xfId="40515"/>
    <cellStyle name="Normal 8 24" xfId="6104"/>
    <cellStyle name="Normal 8 24 2" xfId="6105"/>
    <cellStyle name="Normal 8 24 2 2" xfId="6106"/>
    <cellStyle name="Normal 8 24 2 2 2" xfId="6107"/>
    <cellStyle name="Normal 8 24 2 3" xfId="6108"/>
    <cellStyle name="Normal 8 24 2 4" xfId="6109"/>
    <cellStyle name="Normal 8 24 3" xfId="6110"/>
    <cellStyle name="Normal 8 24 3 2" xfId="6111"/>
    <cellStyle name="Normal 8 24 4" xfId="6112"/>
    <cellStyle name="Normal 8 24 5" xfId="6113"/>
    <cellStyle name="Normal 8 3" xfId="1838"/>
    <cellStyle name="Normal 8 3 2" xfId="1839"/>
    <cellStyle name="Normal 8 3 2 2" xfId="26702"/>
    <cellStyle name="Normal 8 3 3" xfId="3008"/>
    <cellStyle name="Normal 8 3 3 2" xfId="26704"/>
    <cellStyle name="Normal 8 3 3 2 2" xfId="26705"/>
    <cellStyle name="Normal 8 3 3 2 2 2" xfId="26706"/>
    <cellStyle name="Normal 8 3 3 2 2 2 2" xfId="26707"/>
    <cellStyle name="Normal 8 3 3 2 2 3" xfId="26708"/>
    <cellStyle name="Normal 8 3 3 2 3" xfId="26709"/>
    <cellStyle name="Normal 8 3 3 2 3 2" xfId="26710"/>
    <cellStyle name="Normal 8 3 3 2 4" xfId="26711"/>
    <cellStyle name="Normal 8 3 3 2 5" xfId="26712"/>
    <cellStyle name="Normal 8 3 3 3" xfId="26713"/>
    <cellStyle name="Normal 8 3 3 3 2" xfId="26714"/>
    <cellStyle name="Normal 8 3 3 3 2 2" xfId="26715"/>
    <cellStyle name="Normal 8 3 3 3 2 2 2" xfId="26716"/>
    <cellStyle name="Normal 8 3 3 3 2 3" xfId="26717"/>
    <cellStyle name="Normal 8 3 3 3 3" xfId="26718"/>
    <cellStyle name="Normal 8 3 3 3 3 2" xfId="26719"/>
    <cellStyle name="Normal 8 3 3 3 4" xfId="26720"/>
    <cellStyle name="Normal 8 3 3 4" xfId="26721"/>
    <cellStyle name="Normal 8 3 3 4 2" xfId="26722"/>
    <cellStyle name="Normal 8 3 3 4 2 2" xfId="26723"/>
    <cellStyle name="Normal 8 3 3 4 3" xfId="26724"/>
    <cellStyle name="Normal 8 3 3 5" xfId="26725"/>
    <cellStyle name="Normal 8 3 3 5 2" xfId="26726"/>
    <cellStyle name="Normal 8 3 3 5 2 2" xfId="26727"/>
    <cellStyle name="Normal 8 3 3 5 3" xfId="26728"/>
    <cellStyle name="Normal 8 3 3 6" xfId="26729"/>
    <cellStyle name="Normal 8 3 3 6 2" xfId="26730"/>
    <cellStyle name="Normal 8 3 3 7" xfId="26731"/>
    <cellStyle name="Normal 8 3 3 8" xfId="26732"/>
    <cellStyle name="Normal 8 3 3 9" xfId="26703"/>
    <cellStyle name="Normal 8 3 4" xfId="8153"/>
    <cellStyle name="Normal 8 3 4 2" xfId="26734"/>
    <cellStyle name="Normal 8 3 4 3" xfId="26733"/>
    <cellStyle name="Normal 8 3 5" xfId="26701"/>
    <cellStyle name="Normal 8 3 6" xfId="40793"/>
    <cellStyle name="Normal 8 4" xfId="1840"/>
    <cellStyle name="Normal 8 4 2" xfId="6114"/>
    <cellStyle name="Normal 8 4 2 2" xfId="26736"/>
    <cellStyle name="Normal 8 4 2 2 2" xfId="26737"/>
    <cellStyle name="Normal 8 4 2 2 2 2" xfId="26738"/>
    <cellStyle name="Normal 8 4 2 2 3" xfId="26739"/>
    <cellStyle name="Normal 8 4 2 3" xfId="26740"/>
    <cellStyle name="Normal 8 4 2 3 2" xfId="26741"/>
    <cellStyle name="Normal 8 4 2 4" xfId="26742"/>
    <cellStyle name="Normal 8 4 2 5" xfId="26743"/>
    <cellStyle name="Normal 8 4 2 6" xfId="26735"/>
    <cellStyle name="Normal 8 4 3" xfId="26744"/>
    <cellStyle name="Normal 8 4 3 2" xfId="26745"/>
    <cellStyle name="Normal 8 4 3 2 2" xfId="26746"/>
    <cellStyle name="Normal 8 4 3 2 2 2" xfId="26747"/>
    <cellStyle name="Normal 8 4 3 2 3" xfId="26748"/>
    <cellStyle name="Normal 8 4 3 3" xfId="26749"/>
    <cellStyle name="Normal 8 4 3 3 2" xfId="26750"/>
    <cellStyle name="Normal 8 4 3 4" xfId="26751"/>
    <cellStyle name="Normal 8 4 4" xfId="26752"/>
    <cellStyle name="Normal 8 4 4 2" xfId="26753"/>
    <cellStyle name="Normal 8 4 4 2 2" xfId="26754"/>
    <cellStyle name="Normal 8 4 4 3" xfId="26755"/>
    <cellStyle name="Normal 8 4 5" xfId="26756"/>
    <cellStyle name="Normal 8 4 5 2" xfId="26757"/>
    <cellStyle name="Normal 8 4 5 2 2" xfId="26758"/>
    <cellStyle name="Normal 8 4 5 3" xfId="26759"/>
    <cellStyle name="Normal 8 4 6" xfId="26760"/>
    <cellStyle name="Normal 8 4 6 2" xfId="26761"/>
    <cellStyle name="Normal 8 4 7" xfId="26762"/>
    <cellStyle name="Normal 8 4 7 2" xfId="26763"/>
    <cellStyle name="Normal 8 4 8" xfId="41057"/>
    <cellStyle name="Normal 8 5" xfId="3009"/>
    <cellStyle name="Normal 8 5 10" xfId="41201"/>
    <cellStyle name="Normal 8 5 2" xfId="6115"/>
    <cellStyle name="Normal 8 5 2 2" xfId="26766"/>
    <cellStyle name="Normal 8 5 2 2 2" xfId="26767"/>
    <cellStyle name="Normal 8 5 2 2 2 2" xfId="26768"/>
    <cellStyle name="Normal 8 5 2 2 3" xfId="26769"/>
    <cellStyle name="Normal 8 5 2 3" xfId="26770"/>
    <cellStyle name="Normal 8 5 2 3 2" xfId="26771"/>
    <cellStyle name="Normal 8 5 2 4" xfId="26772"/>
    <cellStyle name="Normal 8 5 2 5" xfId="26773"/>
    <cellStyle name="Normal 8 5 2 6" xfId="26765"/>
    <cellStyle name="Normal 8 5 3" xfId="26774"/>
    <cellStyle name="Normal 8 5 3 2" xfId="26775"/>
    <cellStyle name="Normal 8 5 3 2 2" xfId="26776"/>
    <cellStyle name="Normal 8 5 3 2 2 2" xfId="26777"/>
    <cellStyle name="Normal 8 5 3 2 3" xfId="26778"/>
    <cellStyle name="Normal 8 5 3 3" xfId="26779"/>
    <cellStyle name="Normal 8 5 3 3 2" xfId="26780"/>
    <cellStyle name="Normal 8 5 3 4" xfId="26781"/>
    <cellStyle name="Normal 8 5 4" xfId="26782"/>
    <cellStyle name="Normal 8 5 4 2" xfId="26783"/>
    <cellStyle name="Normal 8 5 4 2 2" xfId="26784"/>
    <cellStyle name="Normal 8 5 4 3" xfId="26785"/>
    <cellStyle name="Normal 8 5 5" xfId="26786"/>
    <cellStyle name="Normal 8 5 5 2" xfId="26787"/>
    <cellStyle name="Normal 8 5 5 2 2" xfId="26788"/>
    <cellStyle name="Normal 8 5 5 3" xfId="26789"/>
    <cellStyle name="Normal 8 5 6" xfId="26790"/>
    <cellStyle name="Normal 8 5 6 2" xfId="26791"/>
    <cellStyle name="Normal 8 5 7" xfId="26792"/>
    <cellStyle name="Normal 8 5 7 2" xfId="26793"/>
    <cellStyle name="Normal 8 5 8" xfId="26794"/>
    <cellStyle name="Normal 8 5 9" xfId="26764"/>
    <cellStyle name="Normal 8 6" xfId="6116"/>
    <cellStyle name="Normal 8 6 2" xfId="6117"/>
    <cellStyle name="Normal 8 6 2 2" xfId="6118"/>
    <cellStyle name="Normal 8 6 2 2 2" xfId="6119"/>
    <cellStyle name="Normal 8 6 2 3" xfId="6120"/>
    <cellStyle name="Normal 8 6 2 4" xfId="6121"/>
    <cellStyle name="Normal 8 6 3" xfId="6122"/>
    <cellStyle name="Normal 8 6 3 2" xfId="6123"/>
    <cellStyle name="Normal 8 6 4" xfId="6124"/>
    <cellStyle name="Normal 8 6 5" xfId="6125"/>
    <cellStyle name="Normal 8 6 6" xfId="26795"/>
    <cellStyle name="Normal 8 6 7" xfId="41577"/>
    <cellStyle name="Normal 8 7" xfId="6089"/>
    <cellStyle name="Normal 8 7 2" xfId="26797"/>
    <cellStyle name="Normal 8 7 2 2" xfId="26798"/>
    <cellStyle name="Normal 8 7 2 2 2" xfId="26799"/>
    <cellStyle name="Normal 8 7 2 3" xfId="26800"/>
    <cellStyle name="Normal 8 7 3" xfId="26801"/>
    <cellStyle name="Normal 8 7 3 2" xfId="26802"/>
    <cellStyle name="Normal 8 7 3 2 2" xfId="26803"/>
    <cellStyle name="Normal 8 7 3 3" xfId="26804"/>
    <cellStyle name="Normal 8 7 4" xfId="26805"/>
    <cellStyle name="Normal 8 7 5" xfId="26796"/>
    <cellStyle name="Normal 8 7 6" xfId="40951"/>
    <cellStyle name="Normal 8 8" xfId="26806"/>
    <cellStyle name="Normal 8 8 2" xfId="41861"/>
    <cellStyle name="Normal 8 9" xfId="26807"/>
    <cellStyle name="Normal 8 9 2" xfId="40792"/>
    <cellStyle name="Normal 8_5.2" xfId="6126"/>
    <cellStyle name="Normal 80" xfId="4837"/>
    <cellStyle name="Normal 80 2" xfId="6127"/>
    <cellStyle name="Normal 80 2 2" xfId="26810"/>
    <cellStyle name="Normal 80 2 3" xfId="26809"/>
    <cellStyle name="Normal 80 3" xfId="26811"/>
    <cellStyle name="Normal 80 4" xfId="26808"/>
    <cellStyle name="Normal 80 5" xfId="41578"/>
    <cellStyle name="Normal 81" xfId="6128"/>
    <cellStyle name="Normal 81 2" xfId="26813"/>
    <cellStyle name="Normal 81 2 2" xfId="26814"/>
    <cellStyle name="Normal 81 3" xfId="26815"/>
    <cellStyle name="Normal 81 4" xfId="26812"/>
    <cellStyle name="Normal 81 5" xfId="41579"/>
    <cellStyle name="Normal 82" xfId="6129"/>
    <cellStyle name="Normal 82 2" xfId="8498"/>
    <cellStyle name="Normal 82 3" xfId="26816"/>
    <cellStyle name="Normal 82 4" xfId="41580"/>
    <cellStyle name="Normal 83" xfId="3173"/>
    <cellStyle name="Normal 83 2" xfId="6130"/>
    <cellStyle name="Normal 83 3" xfId="26817"/>
    <cellStyle name="Normal 83 4" xfId="41581"/>
    <cellStyle name="Normal 84" xfId="6131"/>
    <cellStyle name="Normal 84 2" xfId="26818"/>
    <cellStyle name="Normal 84 3" xfId="41582"/>
    <cellStyle name="Normal 85" xfId="6132"/>
    <cellStyle name="Normal 85 2" xfId="26819"/>
    <cellStyle name="Normal 85 3" xfId="41583"/>
    <cellStyle name="Normal 86" xfId="6133"/>
    <cellStyle name="Normal 86 2" xfId="26820"/>
    <cellStyle name="Normal 86 3" xfId="41584"/>
    <cellStyle name="Normal 87" xfId="6134"/>
    <cellStyle name="Normal 87 2" xfId="40359"/>
    <cellStyle name="Normal 87 3" xfId="41400"/>
    <cellStyle name="Normal 88" xfId="6135"/>
    <cellStyle name="Normal 88 2" xfId="40365"/>
    <cellStyle name="Normal 88 3" xfId="41621"/>
    <cellStyle name="Normal 89" xfId="6136"/>
    <cellStyle name="Normal 89 2" xfId="40367"/>
    <cellStyle name="Normal 89 3" xfId="41622"/>
    <cellStyle name="Normal 9" xfId="65"/>
    <cellStyle name="Normal 9 10" xfId="7821"/>
    <cellStyle name="Normal 9 11" xfId="8154"/>
    <cellStyle name="Normal 9 12" xfId="8487"/>
    <cellStyle name="Normal 9 13" xfId="40501"/>
    <cellStyle name="Normal 9 2" xfId="82"/>
    <cellStyle name="Normal 9 2 2" xfId="1843"/>
    <cellStyle name="Normal 9 2 2 10" xfId="26821"/>
    <cellStyle name="Normal 9 2 2 11" xfId="41379"/>
    <cellStyle name="Normal 9 2 2 2" xfId="6138"/>
    <cellStyle name="Normal 9 2 2 2 2" xfId="26823"/>
    <cellStyle name="Normal 9 2 2 2 2 2" xfId="26824"/>
    <cellStyle name="Normal 9 2 2 2 2 2 2" xfId="26825"/>
    <cellStyle name="Normal 9 2 2 2 2 2 2 2" xfId="26826"/>
    <cellStyle name="Normal 9 2 2 2 2 2 3" xfId="26827"/>
    <cellStyle name="Normal 9 2 2 2 2 3" xfId="26828"/>
    <cellStyle name="Normal 9 2 2 2 2 3 2" xfId="26829"/>
    <cellStyle name="Normal 9 2 2 2 2 4" xfId="26830"/>
    <cellStyle name="Normal 9 2 2 2 2 5" xfId="26831"/>
    <cellStyle name="Normal 9 2 2 2 3" xfId="26832"/>
    <cellStyle name="Normal 9 2 2 2 3 2" xfId="26833"/>
    <cellStyle name="Normal 9 2 2 2 3 2 2" xfId="26834"/>
    <cellStyle name="Normal 9 2 2 2 3 2 2 2" xfId="26835"/>
    <cellStyle name="Normal 9 2 2 2 3 2 3" xfId="26836"/>
    <cellStyle name="Normal 9 2 2 2 3 3" xfId="26837"/>
    <cellStyle name="Normal 9 2 2 2 3 3 2" xfId="26838"/>
    <cellStyle name="Normal 9 2 2 2 3 4" xfId="26839"/>
    <cellStyle name="Normal 9 2 2 2 4" xfId="26840"/>
    <cellStyle name="Normal 9 2 2 2 4 2" xfId="26841"/>
    <cellStyle name="Normal 9 2 2 2 4 2 2" xfId="26842"/>
    <cellStyle name="Normal 9 2 2 2 4 3" xfId="26843"/>
    <cellStyle name="Normal 9 2 2 2 5" xfId="26844"/>
    <cellStyle name="Normal 9 2 2 2 5 2" xfId="26845"/>
    <cellStyle name="Normal 9 2 2 2 5 2 2" xfId="26846"/>
    <cellStyle name="Normal 9 2 2 2 5 3" xfId="26847"/>
    <cellStyle name="Normal 9 2 2 2 6" xfId="26848"/>
    <cellStyle name="Normal 9 2 2 2 6 2" xfId="26849"/>
    <cellStyle name="Normal 9 2 2 2 7" xfId="26850"/>
    <cellStyle name="Normal 9 2 2 2 8" xfId="26851"/>
    <cellStyle name="Normal 9 2 2 2 9" xfId="26822"/>
    <cellStyle name="Normal 9 2 2 3" xfId="8155"/>
    <cellStyle name="Normal 9 2 2 3 2" xfId="26853"/>
    <cellStyle name="Normal 9 2 2 3 2 2" xfId="26854"/>
    <cellStyle name="Normal 9 2 2 3 2 2 2" xfId="26855"/>
    <cellStyle name="Normal 9 2 2 3 2 2 2 2" xfId="26856"/>
    <cellStyle name="Normal 9 2 2 3 2 2 3" xfId="26857"/>
    <cellStyle name="Normal 9 2 2 3 2 3" xfId="26858"/>
    <cellStyle name="Normal 9 2 2 3 2 3 2" xfId="26859"/>
    <cellStyle name="Normal 9 2 2 3 2 4" xfId="26860"/>
    <cellStyle name="Normal 9 2 2 3 2 5" xfId="26861"/>
    <cellStyle name="Normal 9 2 2 3 3" xfId="26862"/>
    <cellStyle name="Normal 9 2 2 3 3 2" xfId="26863"/>
    <cellStyle name="Normal 9 2 2 3 3 2 2" xfId="26864"/>
    <cellStyle name="Normal 9 2 2 3 3 2 2 2" xfId="26865"/>
    <cellStyle name="Normal 9 2 2 3 3 2 3" xfId="26866"/>
    <cellStyle name="Normal 9 2 2 3 3 3" xfId="26867"/>
    <cellStyle name="Normal 9 2 2 3 3 3 2" xfId="26868"/>
    <cellStyle name="Normal 9 2 2 3 3 4" xfId="26869"/>
    <cellStyle name="Normal 9 2 2 3 4" xfId="26870"/>
    <cellStyle name="Normal 9 2 2 3 4 2" xfId="26871"/>
    <cellStyle name="Normal 9 2 2 3 4 2 2" xfId="26872"/>
    <cellStyle name="Normal 9 2 2 3 4 3" xfId="26873"/>
    <cellStyle name="Normal 9 2 2 3 5" xfId="26874"/>
    <cellStyle name="Normal 9 2 2 3 5 2" xfId="26875"/>
    <cellStyle name="Normal 9 2 2 3 5 2 2" xfId="26876"/>
    <cellStyle name="Normal 9 2 2 3 5 3" xfId="26877"/>
    <cellStyle name="Normal 9 2 2 3 6" xfId="26878"/>
    <cellStyle name="Normal 9 2 2 3 6 2" xfId="26879"/>
    <cellStyle name="Normal 9 2 2 3 7" xfId="26880"/>
    <cellStyle name="Normal 9 2 2 3 8" xfId="26881"/>
    <cellStyle name="Normal 9 2 2 3 9" xfId="26852"/>
    <cellStyle name="Normal 9 2 2 4" xfId="26882"/>
    <cellStyle name="Normal 9 2 2 4 2" xfId="26883"/>
    <cellStyle name="Normal 9 2 2 4 2 2" xfId="26884"/>
    <cellStyle name="Normal 9 2 2 4 2 2 2" xfId="26885"/>
    <cellStyle name="Normal 9 2 2 4 2 2 2 2" xfId="26886"/>
    <cellStyle name="Normal 9 2 2 4 2 2 3" xfId="26887"/>
    <cellStyle name="Normal 9 2 2 4 2 3" xfId="26888"/>
    <cellStyle name="Normal 9 2 2 4 2 3 2" xfId="26889"/>
    <cellStyle name="Normal 9 2 2 4 2 4" xfId="26890"/>
    <cellStyle name="Normal 9 2 2 4 3" xfId="26891"/>
    <cellStyle name="Normal 9 2 2 4 3 2" xfId="26892"/>
    <cellStyle name="Normal 9 2 2 4 3 2 2" xfId="26893"/>
    <cellStyle name="Normal 9 2 2 4 3 3" xfId="26894"/>
    <cellStyle name="Normal 9 2 2 4 4" xfId="26895"/>
    <cellStyle name="Normal 9 2 2 4 4 2" xfId="26896"/>
    <cellStyle name="Normal 9 2 2 4 4 2 2" xfId="26897"/>
    <cellStyle name="Normal 9 2 2 4 4 3" xfId="26898"/>
    <cellStyle name="Normal 9 2 2 4 5" xfId="26899"/>
    <cellStyle name="Normal 9 2 2 4 5 2" xfId="26900"/>
    <cellStyle name="Normal 9 2 2 4 6" xfId="26901"/>
    <cellStyle name="Normal 9 2 2 4 7" xfId="26902"/>
    <cellStyle name="Normal 9 2 2 5" xfId="26903"/>
    <cellStyle name="Normal 9 2 2 5 2" xfId="26904"/>
    <cellStyle name="Normal 9 2 2 5 2 2" xfId="26905"/>
    <cellStyle name="Normal 9 2 2 5 2 2 2" xfId="26906"/>
    <cellStyle name="Normal 9 2 2 5 2 3" xfId="26907"/>
    <cellStyle name="Normal 9 2 2 5 3" xfId="26908"/>
    <cellStyle name="Normal 9 2 2 5 3 2" xfId="26909"/>
    <cellStyle name="Normal 9 2 2 5 4" xfId="26910"/>
    <cellStyle name="Normal 9 2 2 5 5" xfId="26911"/>
    <cellStyle name="Normal 9 2 2 6" xfId="26912"/>
    <cellStyle name="Normal 9 2 2 6 2" xfId="26913"/>
    <cellStyle name="Normal 9 2 2 6 2 2" xfId="26914"/>
    <cellStyle name="Normal 9 2 2 6 3" xfId="26915"/>
    <cellStyle name="Normal 9 2 2 7" xfId="26916"/>
    <cellStyle name="Normal 9 2 2 7 2" xfId="26917"/>
    <cellStyle name="Normal 9 2 2 7 2 2" xfId="26918"/>
    <cellStyle name="Normal 9 2 2 7 3" xfId="26919"/>
    <cellStyle name="Normal 9 2 2 8" xfId="26920"/>
    <cellStyle name="Normal 9 2 2 8 2" xfId="26921"/>
    <cellStyle name="Normal 9 2 2 9" xfId="26922"/>
    <cellStyle name="Normal 9 2 2 9 2" xfId="26923"/>
    <cellStyle name="Normal 9 2 3" xfId="1844"/>
    <cellStyle name="Normal 9 2 3 2" xfId="8156"/>
    <cellStyle name="Normal 9 2 3 2 2" xfId="26925"/>
    <cellStyle name="Normal 9 2 3 2 2 2" xfId="43366"/>
    <cellStyle name="Normal 9 2 3 2 2 2 2" xfId="45215"/>
    <cellStyle name="Normal 9 2 3 2 2 3" xfId="44400"/>
    <cellStyle name="Normal 9 2 3 2 2 4" xfId="42538"/>
    <cellStyle name="Normal 9 2 3 2 3" xfId="43365"/>
    <cellStyle name="Normal 9 2 3 2 3 2" xfId="45214"/>
    <cellStyle name="Normal 9 2 3 2 4" xfId="43999"/>
    <cellStyle name="Normal 9 2 3 2 5" xfId="41958"/>
    <cellStyle name="Normal 9 2 3 3" xfId="26926"/>
    <cellStyle name="Normal 9 2 3 3 2" xfId="43367"/>
    <cellStyle name="Normal 9 2 3 3 2 2" xfId="45216"/>
    <cellStyle name="Normal 9 2 3 3 3" xfId="44234"/>
    <cellStyle name="Normal 9 2 3 3 4" xfId="42372"/>
    <cellStyle name="Normal 9 2 3 4" xfId="26927"/>
    <cellStyle name="Normal 9 2 3 4 2" xfId="45213"/>
    <cellStyle name="Normal 9 2 3 4 3" xfId="43364"/>
    <cellStyle name="Normal 9 2 3 5" xfId="26924"/>
    <cellStyle name="Normal 9 2 3 5 2" xfId="43764"/>
    <cellStyle name="Normal 9 2 3 6" xfId="41324"/>
    <cellStyle name="Normal 9 2 4" xfId="1845"/>
    <cellStyle name="Normal 9 2 4 2" xfId="8157"/>
    <cellStyle name="Normal 9 2 4 2 2" xfId="42561"/>
    <cellStyle name="Normal 9 2 4 2 2 2" xfId="43370"/>
    <cellStyle name="Normal 9 2 4 2 2 2 2" xfId="45219"/>
    <cellStyle name="Normal 9 2 4 2 2 3" xfId="44423"/>
    <cellStyle name="Normal 9 2 4 2 3" xfId="43369"/>
    <cellStyle name="Normal 9 2 4 2 3 2" xfId="45218"/>
    <cellStyle name="Normal 9 2 4 2 4" xfId="44022"/>
    <cellStyle name="Normal 9 2 4 2 5" xfId="41981"/>
    <cellStyle name="Normal 9 2 4 3" xfId="42395"/>
    <cellStyle name="Normal 9 2 4 3 2" xfId="43371"/>
    <cellStyle name="Normal 9 2 4 3 2 2" xfId="45220"/>
    <cellStyle name="Normal 9 2 4 3 3" xfId="44257"/>
    <cellStyle name="Normal 9 2 4 4" xfId="43368"/>
    <cellStyle name="Normal 9 2 4 4 2" xfId="45217"/>
    <cellStyle name="Normal 9 2 4 5" xfId="43831"/>
    <cellStyle name="Normal 9 2 4 6" xfId="41641"/>
    <cellStyle name="Normal 9 2 5" xfId="3010"/>
    <cellStyle name="Normal 9 2 5 2" xfId="42004"/>
    <cellStyle name="Normal 9 2 5 2 2" xfId="42584"/>
    <cellStyle name="Normal 9 2 5 2 2 2" xfId="43374"/>
    <cellStyle name="Normal 9 2 5 2 2 2 2" xfId="45223"/>
    <cellStyle name="Normal 9 2 5 2 2 3" xfId="44446"/>
    <cellStyle name="Normal 9 2 5 2 3" xfId="43373"/>
    <cellStyle name="Normal 9 2 5 2 3 2" xfId="45222"/>
    <cellStyle name="Normal 9 2 5 2 4" xfId="44045"/>
    <cellStyle name="Normal 9 2 5 3" xfId="42418"/>
    <cellStyle name="Normal 9 2 5 3 2" xfId="43375"/>
    <cellStyle name="Normal 9 2 5 3 2 2" xfId="45224"/>
    <cellStyle name="Normal 9 2 5 3 3" xfId="44280"/>
    <cellStyle name="Normal 9 2 5 4" xfId="43372"/>
    <cellStyle name="Normal 9 2 5 4 2" xfId="45221"/>
    <cellStyle name="Normal 9 2 5 5" xfId="43858"/>
    <cellStyle name="Normal 9 2 5 6" xfId="41677"/>
    <cellStyle name="Normal 9 2 6" xfId="1842"/>
    <cellStyle name="Normal 9 2 6 2" xfId="42042"/>
    <cellStyle name="Normal 9 2 6 2 2" xfId="42622"/>
    <cellStyle name="Normal 9 2 6 2 2 2" xfId="43378"/>
    <cellStyle name="Normal 9 2 6 2 2 2 2" xfId="45227"/>
    <cellStyle name="Normal 9 2 6 2 2 3" xfId="44484"/>
    <cellStyle name="Normal 9 2 6 2 3" xfId="43377"/>
    <cellStyle name="Normal 9 2 6 2 3 2" xfId="45226"/>
    <cellStyle name="Normal 9 2 6 2 4" xfId="44083"/>
    <cellStyle name="Normal 9 2 6 3" xfId="42456"/>
    <cellStyle name="Normal 9 2 6 3 2" xfId="43379"/>
    <cellStyle name="Normal 9 2 6 3 2 2" xfId="45228"/>
    <cellStyle name="Normal 9 2 6 3 3" xfId="44318"/>
    <cellStyle name="Normal 9 2 6 4" xfId="43376"/>
    <cellStyle name="Normal 9 2 6 4 2" xfId="45225"/>
    <cellStyle name="Normal 9 2 6 5" xfId="43902"/>
    <cellStyle name="Normal 9 2 6 6" xfId="41745"/>
    <cellStyle name="Normal 9 2 7" xfId="6137"/>
    <cellStyle name="Normal 9 2 7 2" xfId="42479"/>
    <cellStyle name="Normal 9 2 7 2 2" xfId="43381"/>
    <cellStyle name="Normal 9 2 7 2 2 2" xfId="45230"/>
    <cellStyle name="Normal 9 2 7 2 3" xfId="44341"/>
    <cellStyle name="Normal 9 2 7 3" xfId="43380"/>
    <cellStyle name="Normal 9 2 7 3 2" xfId="45229"/>
    <cellStyle name="Normal 9 2 7 4" xfId="43927"/>
    <cellStyle name="Normal 9 2 7 5" xfId="41787"/>
    <cellStyle name="Normal 9 2 8" xfId="42244"/>
    <cellStyle name="Normal 9 2 9" xfId="40794"/>
    <cellStyle name="Normal 9 3" xfId="90"/>
    <cellStyle name="Normal 9 3 2" xfId="1847"/>
    <cellStyle name="Normal 9 3 2 2" xfId="8159"/>
    <cellStyle name="Normal 9 3 3" xfId="1846"/>
    <cellStyle name="Normal 9 3 4" xfId="6139"/>
    <cellStyle name="Normal 9 3 5" xfId="8158"/>
    <cellStyle name="Normal 9 3 6" xfId="26928"/>
    <cellStyle name="Normal 9 3 7" xfId="40884"/>
    <cellStyle name="Normal 9 4" xfId="123"/>
    <cellStyle name="Normal 9 4 2" xfId="6140"/>
    <cellStyle name="Normal 9 4 2 2" xfId="26931"/>
    <cellStyle name="Normal 9 4 2 3" xfId="26930"/>
    <cellStyle name="Normal 9 4 3" xfId="8160"/>
    <cellStyle name="Normal 9 4 4" xfId="26929"/>
    <cellStyle name="Normal 9 4 5" xfId="41862"/>
    <cellStyle name="Normal 9 5" xfId="1849"/>
    <cellStyle name="Normal 9 5 2" xfId="6141"/>
    <cellStyle name="Normal 9 5 2 2" xfId="26933"/>
    <cellStyle name="Normal 9 5 3" xfId="26934"/>
    <cellStyle name="Normal 9 5 4" xfId="26932"/>
    <cellStyle name="Normal 9 6" xfId="1850"/>
    <cellStyle name="Normal 9 6 2" xfId="6142"/>
    <cellStyle name="Normal 9 6 2 2" xfId="6143"/>
    <cellStyle name="Normal 9 6 2 3" xfId="26936"/>
    <cellStyle name="Normal 9 6 3" xfId="6144"/>
    <cellStyle name="Normal 9 6 3 2" xfId="26937"/>
    <cellStyle name="Normal 9 6 4" xfId="6145"/>
    <cellStyle name="Normal 9 6 5" xfId="8161"/>
    <cellStyle name="Normal 9 6 6" xfId="26935"/>
    <cellStyle name="Normal 9 7" xfId="1851"/>
    <cellStyle name="Normal 9 7 2" xfId="6147"/>
    <cellStyle name="Normal 9 7 2 2" xfId="26939"/>
    <cellStyle name="Normal 9 7 3" xfId="6146"/>
    <cellStyle name="Normal 9 7 3 2" xfId="26940"/>
    <cellStyle name="Normal 9 7 4" xfId="26938"/>
    <cellStyle name="Normal 9 8" xfId="6148"/>
    <cellStyle name="Normal 9 8 2" xfId="26942"/>
    <cellStyle name="Normal 9 8 3" xfId="26943"/>
    <cellStyle name="Normal 9 8 4" xfId="26944"/>
    <cellStyle name="Normal 9 8 5" xfId="26941"/>
    <cellStyle name="Normal 9 9" xfId="6149"/>
    <cellStyle name="Normal 9 9 2" xfId="26945"/>
    <cellStyle name="Normal 90" xfId="6150"/>
    <cellStyle name="Normal 90 2" xfId="40819"/>
    <cellStyle name="Normal 91" xfId="6151"/>
    <cellStyle name="Normal 91 2" xfId="41623"/>
    <cellStyle name="Normal 92" xfId="6152"/>
    <cellStyle name="Normal 92 2" xfId="41624"/>
    <cellStyle name="Normal 93" xfId="6153"/>
    <cellStyle name="Normal 93 2" xfId="41276"/>
    <cellStyle name="Normal 94" xfId="6154"/>
    <cellStyle name="Normal 94 2" xfId="42245"/>
    <cellStyle name="Normal 94 3" xfId="43505"/>
    <cellStyle name="Normal 94 4" xfId="41625"/>
    <cellStyle name="Normal 95" xfId="6155"/>
    <cellStyle name="Normal 95 2" xfId="41652"/>
    <cellStyle name="Normal 96" xfId="6156"/>
    <cellStyle name="Normal 96 2" xfId="41679"/>
    <cellStyle name="Normal 97" xfId="6157"/>
    <cellStyle name="Normal 97 2" xfId="41681"/>
    <cellStyle name="Normal 98" xfId="6158"/>
    <cellStyle name="Normal 98 2" xfId="41706"/>
    <cellStyle name="Normal 99" xfId="6159"/>
    <cellStyle name="Normal 99 2" xfId="41687"/>
    <cellStyle name="Normal_AGIF-Re-INITIALLED" xfId="40370"/>
    <cellStyle name="Normal_Annual Accounts June 2010(client provided)" xfId="40392"/>
    <cellStyle name="Normal_as at June 29, 2010" xfId="32"/>
    <cellStyle name="Normal_DSF Dec 2007 (11.1.08)" xfId="33"/>
    <cellStyle name="Normal_DSF Dec 2007 (11.1.08) 2" xfId="45340"/>
    <cellStyle name="Normal_FBGF financials June 2010" xfId="40388"/>
    <cellStyle name="Normal_FIGF Accounts Dec 31, 09 3" xfId="40386"/>
    <cellStyle name="Normal_Final Accounts 2009" xfId="40390"/>
    <cellStyle name="Normal_IGI IIF interim 2009 Accounts (Final)" xfId="40374"/>
    <cellStyle name="Normal_Portfolio 2" xfId="40391"/>
    <cellStyle name="Normal_Worksheet in   PGF 2005 final" xfId="21"/>
    <cellStyle name="Normal_Worksheet in   PGF 2005 final 2" xfId="40383"/>
    <cellStyle name="Normal1" xfId="1855"/>
    <cellStyle name="Note 10" xfId="2783"/>
    <cellStyle name="Note 10 10" xfId="6160"/>
    <cellStyle name="Note 10 10 2" xfId="26946"/>
    <cellStyle name="Note 10 11" xfId="8358"/>
    <cellStyle name="Note 10 2" xfId="6161"/>
    <cellStyle name="Note 10 2 2" xfId="6162"/>
    <cellStyle name="Note 10 2 2 10" xfId="26948"/>
    <cellStyle name="Note 10 2 2 2" xfId="26949"/>
    <cellStyle name="Note 10 2 2 2 2" xfId="26950"/>
    <cellStyle name="Note 10 2 2 2 3" xfId="26951"/>
    <cellStyle name="Note 10 2 2 3" xfId="26952"/>
    <cellStyle name="Note 10 2 2 3 2" xfId="26953"/>
    <cellStyle name="Note 10 2 2 4" xfId="26954"/>
    <cellStyle name="Note 10 2 2 4 2" xfId="26955"/>
    <cellStyle name="Note 10 2 2 5" xfId="26956"/>
    <cellStyle name="Note 10 2 2 6" xfId="26957"/>
    <cellStyle name="Note 10 2 2 7" xfId="26958"/>
    <cellStyle name="Note 10 2 2 8" xfId="26959"/>
    <cellStyle name="Note 10 2 2 9" xfId="26960"/>
    <cellStyle name="Note 10 2 3" xfId="6163"/>
    <cellStyle name="Note 10 2 3 2" xfId="26962"/>
    <cellStyle name="Note 10 2 3 2 2" xfId="26963"/>
    <cellStyle name="Note 10 2 3 2 3" xfId="26964"/>
    <cellStyle name="Note 10 2 3 3" xfId="26965"/>
    <cellStyle name="Note 10 2 3 3 2" xfId="26966"/>
    <cellStyle name="Note 10 2 3 4" xfId="26967"/>
    <cellStyle name="Note 10 2 3 5" xfId="26968"/>
    <cellStyle name="Note 10 2 3 6" xfId="26969"/>
    <cellStyle name="Note 10 2 3 7" xfId="26961"/>
    <cellStyle name="Note 10 2 4" xfId="6164"/>
    <cellStyle name="Note 10 2 4 2" xfId="6165"/>
    <cellStyle name="Note 10 2 4 2 2" xfId="26971"/>
    <cellStyle name="Note 10 2 4 3" xfId="26972"/>
    <cellStyle name="Note 10 2 4 4" xfId="26970"/>
    <cellStyle name="Note 10 2 5" xfId="6166"/>
    <cellStyle name="Note 10 2 5 2" xfId="6167"/>
    <cellStyle name="Note 10 2 5 3" xfId="26973"/>
    <cellStyle name="Note 10 2 6" xfId="6168"/>
    <cellStyle name="Note 10 2 6 2" xfId="26974"/>
    <cellStyle name="Note 10 2 7" xfId="6169"/>
    <cellStyle name="Note 10 2 7 2" xfId="26975"/>
    <cellStyle name="Note 10 2 8" xfId="26947"/>
    <cellStyle name="Note 10 3" xfId="6170"/>
    <cellStyle name="Note 10 3 2" xfId="6171"/>
    <cellStyle name="Note 10 3 2 10" xfId="26977"/>
    <cellStyle name="Note 10 3 2 2" xfId="26978"/>
    <cellStyle name="Note 10 3 2 2 2" xfId="26979"/>
    <cellStyle name="Note 10 3 2 3" xfId="26980"/>
    <cellStyle name="Note 10 3 2 3 2" xfId="26981"/>
    <cellStyle name="Note 10 3 2 4" xfId="26982"/>
    <cellStyle name="Note 10 3 2 4 2" xfId="26983"/>
    <cellStyle name="Note 10 3 2 5" xfId="26984"/>
    <cellStyle name="Note 10 3 2 6" xfId="26985"/>
    <cellStyle name="Note 10 3 2 7" xfId="26986"/>
    <cellStyle name="Note 10 3 2 8" xfId="26987"/>
    <cellStyle name="Note 10 3 2 9" xfId="26988"/>
    <cellStyle name="Note 10 3 3" xfId="26989"/>
    <cellStyle name="Note 10 3 3 2" xfId="26990"/>
    <cellStyle name="Note 10 3 3 2 2" xfId="26991"/>
    <cellStyle name="Note 10 3 3 3" xfId="26992"/>
    <cellStyle name="Note 10 3 3 3 2" xfId="26993"/>
    <cellStyle name="Note 10 3 3 4" xfId="26994"/>
    <cellStyle name="Note 10 3 3 5" xfId="26995"/>
    <cellStyle name="Note 10 3 3 6" xfId="26996"/>
    <cellStyle name="Note 10 3 4" xfId="26997"/>
    <cellStyle name="Note 10 3 4 2" xfId="26998"/>
    <cellStyle name="Note 10 3 5" xfId="26999"/>
    <cellStyle name="Note 10 3 6" xfId="27000"/>
    <cellStyle name="Note 10 3 7" xfId="27001"/>
    <cellStyle name="Note 10 3 8" xfId="26976"/>
    <cellStyle name="Note 10 4" xfId="6172"/>
    <cellStyle name="Note 10 4 10" xfId="27002"/>
    <cellStyle name="Note 10 4 2" xfId="27003"/>
    <cellStyle name="Note 10 4 2 2" xfId="27004"/>
    <cellStyle name="Note 10 4 2 3" xfId="27005"/>
    <cellStyle name="Note 10 4 3" xfId="27006"/>
    <cellStyle name="Note 10 4 3 2" xfId="27007"/>
    <cellStyle name="Note 10 4 4" xfId="27008"/>
    <cellStyle name="Note 10 4 4 2" xfId="27009"/>
    <cellStyle name="Note 10 4 5" xfId="27010"/>
    <cellStyle name="Note 10 4 6" xfId="27011"/>
    <cellStyle name="Note 10 4 7" xfId="27012"/>
    <cellStyle name="Note 10 4 8" xfId="27013"/>
    <cellStyle name="Note 10 4 9" xfId="27014"/>
    <cellStyle name="Note 10 5" xfId="6173"/>
    <cellStyle name="Note 10 5 10" xfId="27015"/>
    <cellStyle name="Note 10 5 2" xfId="27016"/>
    <cellStyle name="Note 10 5 2 2" xfId="27017"/>
    <cellStyle name="Note 10 5 2 3" xfId="27018"/>
    <cellStyle name="Note 10 5 3" xfId="27019"/>
    <cellStyle name="Note 10 5 3 2" xfId="27020"/>
    <cellStyle name="Note 10 5 4" xfId="27021"/>
    <cellStyle name="Note 10 5 4 2" xfId="27022"/>
    <cellStyle name="Note 10 5 5" xfId="27023"/>
    <cellStyle name="Note 10 5 6" xfId="27024"/>
    <cellStyle name="Note 10 5 7" xfId="27025"/>
    <cellStyle name="Note 10 5 8" xfId="27026"/>
    <cellStyle name="Note 10 5 9" xfId="27027"/>
    <cellStyle name="Note 10 6" xfId="6174"/>
    <cellStyle name="Note 10 6 2" xfId="6175"/>
    <cellStyle name="Note 10 6 2 2" xfId="27030"/>
    <cellStyle name="Note 10 6 2 3" xfId="27029"/>
    <cellStyle name="Note 10 6 3" xfId="27031"/>
    <cellStyle name="Note 10 6 3 2" xfId="27032"/>
    <cellStyle name="Note 10 6 4" xfId="27033"/>
    <cellStyle name="Note 10 6 5" xfId="27034"/>
    <cellStyle name="Note 10 6 6" xfId="27035"/>
    <cellStyle name="Note 10 6 7" xfId="27028"/>
    <cellStyle name="Note 10 7" xfId="6176"/>
    <cellStyle name="Note 10 7 2" xfId="6177"/>
    <cellStyle name="Note 10 7 2 2" xfId="27037"/>
    <cellStyle name="Note 10 7 3" xfId="27036"/>
    <cellStyle name="Note 10 8" xfId="6178"/>
    <cellStyle name="Note 10 8 2" xfId="27038"/>
    <cellStyle name="Note 10 9" xfId="6179"/>
    <cellStyle name="Note 10 9 2" xfId="27039"/>
    <cellStyle name="Note 11" xfId="2784"/>
    <cellStyle name="Note 11 10" xfId="6180"/>
    <cellStyle name="Note 11 10 2" xfId="27040"/>
    <cellStyle name="Note 11 11" xfId="8359"/>
    <cellStyle name="Note 11 2" xfId="6181"/>
    <cellStyle name="Note 11 2 2" xfId="6182"/>
    <cellStyle name="Note 11 2 2 10" xfId="27042"/>
    <cellStyle name="Note 11 2 2 2" xfId="27043"/>
    <cellStyle name="Note 11 2 2 2 2" xfId="27044"/>
    <cellStyle name="Note 11 2 2 2 3" xfId="27045"/>
    <cellStyle name="Note 11 2 2 3" xfId="27046"/>
    <cellStyle name="Note 11 2 2 3 2" xfId="27047"/>
    <cellStyle name="Note 11 2 2 4" xfId="27048"/>
    <cellStyle name="Note 11 2 2 4 2" xfId="27049"/>
    <cellStyle name="Note 11 2 2 5" xfId="27050"/>
    <cellStyle name="Note 11 2 2 6" xfId="27051"/>
    <cellStyle name="Note 11 2 2 7" xfId="27052"/>
    <cellStyle name="Note 11 2 2 8" xfId="27053"/>
    <cellStyle name="Note 11 2 2 9" xfId="27054"/>
    <cellStyle name="Note 11 2 3" xfId="6183"/>
    <cellStyle name="Note 11 2 3 2" xfId="27056"/>
    <cellStyle name="Note 11 2 3 2 2" xfId="27057"/>
    <cellStyle name="Note 11 2 3 2 3" xfId="27058"/>
    <cellStyle name="Note 11 2 3 3" xfId="27059"/>
    <cellStyle name="Note 11 2 3 3 2" xfId="27060"/>
    <cellStyle name="Note 11 2 3 4" xfId="27061"/>
    <cellStyle name="Note 11 2 3 5" xfId="27062"/>
    <cellStyle name="Note 11 2 3 6" xfId="27063"/>
    <cellStyle name="Note 11 2 3 7" xfId="27055"/>
    <cellStyle name="Note 11 2 4" xfId="6184"/>
    <cellStyle name="Note 11 2 4 2" xfId="6185"/>
    <cellStyle name="Note 11 2 4 2 2" xfId="27065"/>
    <cellStyle name="Note 11 2 4 3" xfId="27066"/>
    <cellStyle name="Note 11 2 4 4" xfId="27064"/>
    <cellStyle name="Note 11 2 5" xfId="6186"/>
    <cellStyle name="Note 11 2 5 2" xfId="6187"/>
    <cellStyle name="Note 11 2 5 3" xfId="27067"/>
    <cellStyle name="Note 11 2 6" xfId="6188"/>
    <cellStyle name="Note 11 2 6 2" xfId="27068"/>
    <cellStyle name="Note 11 2 7" xfId="6189"/>
    <cellStyle name="Note 11 2 7 2" xfId="27069"/>
    <cellStyle name="Note 11 2 8" xfId="27041"/>
    <cellStyle name="Note 11 3" xfId="6190"/>
    <cellStyle name="Note 11 3 2" xfId="6191"/>
    <cellStyle name="Note 11 3 2 10" xfId="27071"/>
    <cellStyle name="Note 11 3 2 2" xfId="27072"/>
    <cellStyle name="Note 11 3 2 2 2" xfId="27073"/>
    <cellStyle name="Note 11 3 2 3" xfId="27074"/>
    <cellStyle name="Note 11 3 2 3 2" xfId="27075"/>
    <cellStyle name="Note 11 3 2 4" xfId="27076"/>
    <cellStyle name="Note 11 3 2 4 2" xfId="27077"/>
    <cellStyle name="Note 11 3 2 5" xfId="27078"/>
    <cellStyle name="Note 11 3 2 6" xfId="27079"/>
    <cellStyle name="Note 11 3 2 7" xfId="27080"/>
    <cellStyle name="Note 11 3 2 8" xfId="27081"/>
    <cellStyle name="Note 11 3 2 9" xfId="27082"/>
    <cellStyle name="Note 11 3 3" xfId="27083"/>
    <cellStyle name="Note 11 3 3 2" xfId="27084"/>
    <cellStyle name="Note 11 3 3 2 2" xfId="27085"/>
    <cellStyle name="Note 11 3 3 3" xfId="27086"/>
    <cellStyle name="Note 11 3 3 3 2" xfId="27087"/>
    <cellStyle name="Note 11 3 3 4" xfId="27088"/>
    <cellStyle name="Note 11 3 3 5" xfId="27089"/>
    <cellStyle name="Note 11 3 3 6" xfId="27090"/>
    <cellStyle name="Note 11 3 4" xfId="27091"/>
    <cellStyle name="Note 11 3 4 2" xfId="27092"/>
    <cellStyle name="Note 11 3 5" xfId="27093"/>
    <cellStyle name="Note 11 3 6" xfId="27094"/>
    <cellStyle name="Note 11 3 7" xfId="27095"/>
    <cellStyle name="Note 11 3 8" xfId="27070"/>
    <cellStyle name="Note 11 4" xfId="6192"/>
    <cellStyle name="Note 11 4 10" xfId="27096"/>
    <cellStyle name="Note 11 4 2" xfId="27097"/>
    <cellStyle name="Note 11 4 2 2" xfId="27098"/>
    <cellStyle name="Note 11 4 2 3" xfId="27099"/>
    <cellStyle name="Note 11 4 3" xfId="27100"/>
    <cellStyle name="Note 11 4 3 2" xfId="27101"/>
    <cellStyle name="Note 11 4 4" xfId="27102"/>
    <cellStyle name="Note 11 4 4 2" xfId="27103"/>
    <cellStyle name="Note 11 4 5" xfId="27104"/>
    <cellStyle name="Note 11 4 6" xfId="27105"/>
    <cellStyle name="Note 11 4 7" xfId="27106"/>
    <cellStyle name="Note 11 4 8" xfId="27107"/>
    <cellStyle name="Note 11 4 9" xfId="27108"/>
    <cellStyle name="Note 11 5" xfId="6193"/>
    <cellStyle name="Note 11 5 10" xfId="27109"/>
    <cellStyle name="Note 11 5 2" xfId="27110"/>
    <cellStyle name="Note 11 5 2 2" xfId="27111"/>
    <cellStyle name="Note 11 5 2 3" xfId="27112"/>
    <cellStyle name="Note 11 5 3" xfId="27113"/>
    <cellStyle name="Note 11 5 3 2" xfId="27114"/>
    <cellStyle name="Note 11 5 4" xfId="27115"/>
    <cellStyle name="Note 11 5 4 2" xfId="27116"/>
    <cellStyle name="Note 11 5 5" xfId="27117"/>
    <cellStyle name="Note 11 5 6" xfId="27118"/>
    <cellStyle name="Note 11 5 7" xfId="27119"/>
    <cellStyle name="Note 11 5 8" xfId="27120"/>
    <cellStyle name="Note 11 5 9" xfId="27121"/>
    <cellStyle name="Note 11 6" xfId="6194"/>
    <cellStyle name="Note 11 6 2" xfId="6195"/>
    <cellStyle name="Note 11 6 2 2" xfId="27124"/>
    <cellStyle name="Note 11 6 2 3" xfId="27123"/>
    <cellStyle name="Note 11 6 3" xfId="27125"/>
    <cellStyle name="Note 11 6 3 2" xfId="27126"/>
    <cellStyle name="Note 11 6 4" xfId="27127"/>
    <cellStyle name="Note 11 6 5" xfId="27128"/>
    <cellStyle name="Note 11 6 6" xfId="27129"/>
    <cellStyle name="Note 11 6 7" xfId="27122"/>
    <cellStyle name="Note 11 7" xfId="6196"/>
    <cellStyle name="Note 11 7 2" xfId="6197"/>
    <cellStyle name="Note 11 7 2 2" xfId="27131"/>
    <cellStyle name="Note 11 7 3" xfId="27130"/>
    <cellStyle name="Note 11 8" xfId="6198"/>
    <cellStyle name="Note 11 8 2" xfId="27132"/>
    <cellStyle name="Note 11 9" xfId="6199"/>
    <cellStyle name="Note 11 9 2" xfId="27133"/>
    <cellStyle name="Note 12" xfId="2785"/>
    <cellStyle name="Note 12 10" xfId="6200"/>
    <cellStyle name="Note 12 10 2" xfId="27134"/>
    <cellStyle name="Note 12 11" xfId="8360"/>
    <cellStyle name="Note 12 2" xfId="6201"/>
    <cellStyle name="Note 12 2 2" xfId="6202"/>
    <cellStyle name="Note 12 2 2 10" xfId="27136"/>
    <cellStyle name="Note 12 2 2 2" xfId="27137"/>
    <cellStyle name="Note 12 2 2 2 2" xfId="27138"/>
    <cellStyle name="Note 12 2 2 2 3" xfId="27139"/>
    <cellStyle name="Note 12 2 2 3" xfId="27140"/>
    <cellStyle name="Note 12 2 2 3 2" xfId="27141"/>
    <cellStyle name="Note 12 2 2 4" xfId="27142"/>
    <cellStyle name="Note 12 2 2 4 2" xfId="27143"/>
    <cellStyle name="Note 12 2 2 5" xfId="27144"/>
    <cellStyle name="Note 12 2 2 6" xfId="27145"/>
    <cellStyle name="Note 12 2 2 7" xfId="27146"/>
    <cellStyle name="Note 12 2 2 8" xfId="27147"/>
    <cellStyle name="Note 12 2 2 9" xfId="27148"/>
    <cellStyle name="Note 12 2 3" xfId="6203"/>
    <cellStyle name="Note 12 2 3 2" xfId="27150"/>
    <cellStyle name="Note 12 2 3 2 2" xfId="27151"/>
    <cellStyle name="Note 12 2 3 2 3" xfId="27152"/>
    <cellStyle name="Note 12 2 3 3" xfId="27153"/>
    <cellStyle name="Note 12 2 3 3 2" xfId="27154"/>
    <cellStyle name="Note 12 2 3 4" xfId="27155"/>
    <cellStyle name="Note 12 2 3 5" xfId="27156"/>
    <cellStyle name="Note 12 2 3 6" xfId="27157"/>
    <cellStyle name="Note 12 2 3 7" xfId="27149"/>
    <cellStyle name="Note 12 2 4" xfId="6204"/>
    <cellStyle name="Note 12 2 4 2" xfId="6205"/>
    <cellStyle name="Note 12 2 4 2 2" xfId="27159"/>
    <cellStyle name="Note 12 2 4 3" xfId="27160"/>
    <cellStyle name="Note 12 2 4 4" xfId="27158"/>
    <cellStyle name="Note 12 2 5" xfId="6206"/>
    <cellStyle name="Note 12 2 5 2" xfId="6207"/>
    <cellStyle name="Note 12 2 5 3" xfId="27161"/>
    <cellStyle name="Note 12 2 6" xfId="6208"/>
    <cellStyle name="Note 12 2 6 2" xfId="27162"/>
    <cellStyle name="Note 12 2 7" xfId="6209"/>
    <cellStyle name="Note 12 2 7 2" xfId="27163"/>
    <cellStyle name="Note 12 2 8" xfId="27135"/>
    <cellStyle name="Note 12 3" xfId="6210"/>
    <cellStyle name="Note 12 3 2" xfId="6211"/>
    <cellStyle name="Note 12 3 2 10" xfId="27165"/>
    <cellStyle name="Note 12 3 2 2" xfId="27166"/>
    <cellStyle name="Note 12 3 2 2 2" xfId="27167"/>
    <cellStyle name="Note 12 3 2 3" xfId="27168"/>
    <cellStyle name="Note 12 3 2 3 2" xfId="27169"/>
    <cellStyle name="Note 12 3 2 4" xfId="27170"/>
    <cellStyle name="Note 12 3 2 4 2" xfId="27171"/>
    <cellStyle name="Note 12 3 2 5" xfId="27172"/>
    <cellStyle name="Note 12 3 2 6" xfId="27173"/>
    <cellStyle name="Note 12 3 2 7" xfId="27174"/>
    <cellStyle name="Note 12 3 2 8" xfId="27175"/>
    <cellStyle name="Note 12 3 2 9" xfId="27176"/>
    <cellStyle name="Note 12 3 3" xfId="27177"/>
    <cellStyle name="Note 12 3 3 2" xfId="27178"/>
    <cellStyle name="Note 12 3 3 2 2" xfId="27179"/>
    <cellStyle name="Note 12 3 3 3" xfId="27180"/>
    <cellStyle name="Note 12 3 3 3 2" xfId="27181"/>
    <cellStyle name="Note 12 3 3 4" xfId="27182"/>
    <cellStyle name="Note 12 3 3 5" xfId="27183"/>
    <cellStyle name="Note 12 3 3 6" xfId="27184"/>
    <cellStyle name="Note 12 3 4" xfId="27185"/>
    <cellStyle name="Note 12 3 4 2" xfId="27186"/>
    <cellStyle name="Note 12 3 5" xfId="27187"/>
    <cellStyle name="Note 12 3 6" xfId="27188"/>
    <cellStyle name="Note 12 3 7" xfId="27189"/>
    <cellStyle name="Note 12 3 8" xfId="27164"/>
    <cellStyle name="Note 12 4" xfId="6212"/>
    <cellStyle name="Note 12 4 10" xfId="27190"/>
    <cellStyle name="Note 12 4 2" xfId="27191"/>
    <cellStyle name="Note 12 4 2 2" xfId="27192"/>
    <cellStyle name="Note 12 4 2 3" xfId="27193"/>
    <cellStyle name="Note 12 4 3" xfId="27194"/>
    <cellStyle name="Note 12 4 3 2" xfId="27195"/>
    <cellStyle name="Note 12 4 4" xfId="27196"/>
    <cellStyle name="Note 12 4 4 2" xfId="27197"/>
    <cellStyle name="Note 12 4 5" xfId="27198"/>
    <cellStyle name="Note 12 4 6" xfId="27199"/>
    <cellStyle name="Note 12 4 7" xfId="27200"/>
    <cellStyle name="Note 12 4 8" xfId="27201"/>
    <cellStyle name="Note 12 4 9" xfId="27202"/>
    <cellStyle name="Note 12 5" xfId="6213"/>
    <cellStyle name="Note 12 5 10" xfId="27203"/>
    <cellStyle name="Note 12 5 2" xfId="27204"/>
    <cellStyle name="Note 12 5 2 2" xfId="27205"/>
    <cellStyle name="Note 12 5 2 3" xfId="27206"/>
    <cellStyle name="Note 12 5 3" xfId="27207"/>
    <cellStyle name="Note 12 5 3 2" xfId="27208"/>
    <cellStyle name="Note 12 5 4" xfId="27209"/>
    <cellStyle name="Note 12 5 4 2" xfId="27210"/>
    <cellStyle name="Note 12 5 5" xfId="27211"/>
    <cellStyle name="Note 12 5 6" xfId="27212"/>
    <cellStyle name="Note 12 5 7" xfId="27213"/>
    <cellStyle name="Note 12 5 8" xfId="27214"/>
    <cellStyle name="Note 12 5 9" xfId="27215"/>
    <cellStyle name="Note 12 6" xfId="6214"/>
    <cellStyle name="Note 12 6 2" xfId="6215"/>
    <cellStyle name="Note 12 6 2 2" xfId="27218"/>
    <cellStyle name="Note 12 6 2 3" xfId="27217"/>
    <cellStyle name="Note 12 6 3" xfId="27219"/>
    <cellStyle name="Note 12 6 3 2" xfId="27220"/>
    <cellStyle name="Note 12 6 4" xfId="27221"/>
    <cellStyle name="Note 12 6 5" xfId="27222"/>
    <cellStyle name="Note 12 6 6" xfId="27223"/>
    <cellStyle name="Note 12 6 7" xfId="27216"/>
    <cellStyle name="Note 12 7" xfId="6216"/>
    <cellStyle name="Note 12 7 2" xfId="6217"/>
    <cellStyle name="Note 12 7 2 2" xfId="27225"/>
    <cellStyle name="Note 12 7 3" xfId="27224"/>
    <cellStyle name="Note 12 8" xfId="6218"/>
    <cellStyle name="Note 12 8 2" xfId="27226"/>
    <cellStyle name="Note 12 9" xfId="6219"/>
    <cellStyle name="Note 12 9 2" xfId="27227"/>
    <cellStyle name="Note 13" xfId="2786"/>
    <cellStyle name="Note 13 10" xfId="6220"/>
    <cellStyle name="Note 13 10 2" xfId="27228"/>
    <cellStyle name="Note 13 11" xfId="8361"/>
    <cellStyle name="Note 13 2" xfId="6221"/>
    <cellStyle name="Note 13 2 2" xfId="6222"/>
    <cellStyle name="Note 13 2 2 10" xfId="27230"/>
    <cellStyle name="Note 13 2 2 2" xfId="27231"/>
    <cellStyle name="Note 13 2 2 2 2" xfId="27232"/>
    <cellStyle name="Note 13 2 2 2 3" xfId="27233"/>
    <cellStyle name="Note 13 2 2 3" xfId="27234"/>
    <cellStyle name="Note 13 2 2 3 2" xfId="27235"/>
    <cellStyle name="Note 13 2 2 4" xfId="27236"/>
    <cellStyle name="Note 13 2 2 4 2" xfId="27237"/>
    <cellStyle name="Note 13 2 2 5" xfId="27238"/>
    <cellStyle name="Note 13 2 2 6" xfId="27239"/>
    <cellStyle name="Note 13 2 2 7" xfId="27240"/>
    <cellStyle name="Note 13 2 2 8" xfId="27241"/>
    <cellStyle name="Note 13 2 2 9" xfId="27242"/>
    <cellStyle name="Note 13 2 3" xfId="6223"/>
    <cellStyle name="Note 13 2 3 2" xfId="27244"/>
    <cellStyle name="Note 13 2 3 2 2" xfId="27245"/>
    <cellStyle name="Note 13 2 3 2 3" xfId="27246"/>
    <cellStyle name="Note 13 2 3 3" xfId="27247"/>
    <cellStyle name="Note 13 2 3 3 2" xfId="27248"/>
    <cellStyle name="Note 13 2 3 4" xfId="27249"/>
    <cellStyle name="Note 13 2 3 5" xfId="27250"/>
    <cellStyle name="Note 13 2 3 6" xfId="27251"/>
    <cellStyle name="Note 13 2 3 7" xfId="27243"/>
    <cellStyle name="Note 13 2 4" xfId="6224"/>
    <cellStyle name="Note 13 2 4 2" xfId="6225"/>
    <cellStyle name="Note 13 2 4 2 2" xfId="27253"/>
    <cellStyle name="Note 13 2 4 3" xfId="27254"/>
    <cellStyle name="Note 13 2 4 4" xfId="27252"/>
    <cellStyle name="Note 13 2 5" xfId="6226"/>
    <cellStyle name="Note 13 2 5 2" xfId="6227"/>
    <cellStyle name="Note 13 2 5 3" xfId="27255"/>
    <cellStyle name="Note 13 2 6" xfId="6228"/>
    <cellStyle name="Note 13 2 6 2" xfId="27256"/>
    <cellStyle name="Note 13 2 7" xfId="6229"/>
    <cellStyle name="Note 13 2 7 2" xfId="27257"/>
    <cellStyle name="Note 13 2 8" xfId="27229"/>
    <cellStyle name="Note 13 3" xfId="6230"/>
    <cellStyle name="Note 13 3 2" xfId="6231"/>
    <cellStyle name="Note 13 3 2 10" xfId="27259"/>
    <cellStyle name="Note 13 3 2 2" xfId="27260"/>
    <cellStyle name="Note 13 3 2 2 2" xfId="27261"/>
    <cellStyle name="Note 13 3 2 3" xfId="27262"/>
    <cellStyle name="Note 13 3 2 3 2" xfId="27263"/>
    <cellStyle name="Note 13 3 2 4" xfId="27264"/>
    <cellStyle name="Note 13 3 2 4 2" xfId="27265"/>
    <cellStyle name="Note 13 3 2 5" xfId="27266"/>
    <cellStyle name="Note 13 3 2 6" xfId="27267"/>
    <cellStyle name="Note 13 3 2 7" xfId="27268"/>
    <cellStyle name="Note 13 3 2 8" xfId="27269"/>
    <cellStyle name="Note 13 3 2 9" xfId="27270"/>
    <cellStyle name="Note 13 3 3" xfId="27271"/>
    <cellStyle name="Note 13 3 3 2" xfId="27272"/>
    <cellStyle name="Note 13 3 3 2 2" xfId="27273"/>
    <cellStyle name="Note 13 3 3 3" xfId="27274"/>
    <cellStyle name="Note 13 3 3 3 2" xfId="27275"/>
    <cellStyle name="Note 13 3 3 4" xfId="27276"/>
    <cellStyle name="Note 13 3 3 5" xfId="27277"/>
    <cellStyle name="Note 13 3 3 6" xfId="27278"/>
    <cellStyle name="Note 13 3 4" xfId="27279"/>
    <cellStyle name="Note 13 3 4 2" xfId="27280"/>
    <cellStyle name="Note 13 3 5" xfId="27281"/>
    <cellStyle name="Note 13 3 6" xfId="27282"/>
    <cellStyle name="Note 13 3 7" xfId="27283"/>
    <cellStyle name="Note 13 3 8" xfId="27258"/>
    <cellStyle name="Note 13 4" xfId="6232"/>
    <cellStyle name="Note 13 4 10" xfId="27284"/>
    <cellStyle name="Note 13 4 2" xfId="27285"/>
    <cellStyle name="Note 13 4 2 2" xfId="27286"/>
    <cellStyle name="Note 13 4 2 3" xfId="27287"/>
    <cellStyle name="Note 13 4 3" xfId="27288"/>
    <cellStyle name="Note 13 4 3 2" xfId="27289"/>
    <cellStyle name="Note 13 4 4" xfId="27290"/>
    <cellStyle name="Note 13 4 4 2" xfId="27291"/>
    <cellStyle name="Note 13 4 5" xfId="27292"/>
    <cellStyle name="Note 13 4 6" xfId="27293"/>
    <cellStyle name="Note 13 4 7" xfId="27294"/>
    <cellStyle name="Note 13 4 8" xfId="27295"/>
    <cellStyle name="Note 13 4 9" xfId="27296"/>
    <cellStyle name="Note 13 5" xfId="6233"/>
    <cellStyle name="Note 13 5 10" xfId="27297"/>
    <cellStyle name="Note 13 5 2" xfId="27298"/>
    <cellStyle name="Note 13 5 2 2" xfId="27299"/>
    <cellStyle name="Note 13 5 2 3" xfId="27300"/>
    <cellStyle name="Note 13 5 3" xfId="27301"/>
    <cellStyle name="Note 13 5 3 2" xfId="27302"/>
    <cellStyle name="Note 13 5 4" xfId="27303"/>
    <cellStyle name="Note 13 5 4 2" xfId="27304"/>
    <cellStyle name="Note 13 5 5" xfId="27305"/>
    <cellStyle name="Note 13 5 6" xfId="27306"/>
    <cellStyle name="Note 13 5 7" xfId="27307"/>
    <cellStyle name="Note 13 5 8" xfId="27308"/>
    <cellStyle name="Note 13 5 9" xfId="27309"/>
    <cellStyle name="Note 13 6" xfId="6234"/>
    <cellStyle name="Note 13 6 2" xfId="6235"/>
    <cellStyle name="Note 13 6 2 2" xfId="27312"/>
    <cellStyle name="Note 13 6 2 3" xfId="27311"/>
    <cellStyle name="Note 13 6 3" xfId="27313"/>
    <cellStyle name="Note 13 6 3 2" xfId="27314"/>
    <cellStyle name="Note 13 6 4" xfId="27315"/>
    <cellStyle name="Note 13 6 5" xfId="27316"/>
    <cellStyle name="Note 13 6 6" xfId="27317"/>
    <cellStyle name="Note 13 6 7" xfId="27310"/>
    <cellStyle name="Note 13 7" xfId="6236"/>
    <cellStyle name="Note 13 7 2" xfId="6237"/>
    <cellStyle name="Note 13 7 2 2" xfId="27319"/>
    <cellStyle name="Note 13 7 3" xfId="27318"/>
    <cellStyle name="Note 13 8" xfId="6238"/>
    <cellStyle name="Note 13 8 2" xfId="27320"/>
    <cellStyle name="Note 13 9" xfId="6239"/>
    <cellStyle name="Note 13 9 2" xfId="27321"/>
    <cellStyle name="Note 14" xfId="2787"/>
    <cellStyle name="Note 14 10" xfId="6240"/>
    <cellStyle name="Note 14 10 2" xfId="27322"/>
    <cellStyle name="Note 14 11" xfId="8362"/>
    <cellStyle name="Note 14 2" xfId="6241"/>
    <cellStyle name="Note 14 2 2" xfId="6242"/>
    <cellStyle name="Note 14 2 2 10" xfId="27324"/>
    <cellStyle name="Note 14 2 2 2" xfId="27325"/>
    <cellStyle name="Note 14 2 2 2 2" xfId="27326"/>
    <cellStyle name="Note 14 2 2 2 3" xfId="27327"/>
    <cellStyle name="Note 14 2 2 3" xfId="27328"/>
    <cellStyle name="Note 14 2 2 3 2" xfId="27329"/>
    <cellStyle name="Note 14 2 2 4" xfId="27330"/>
    <cellStyle name="Note 14 2 2 4 2" xfId="27331"/>
    <cellStyle name="Note 14 2 2 5" xfId="27332"/>
    <cellStyle name="Note 14 2 2 6" xfId="27333"/>
    <cellStyle name="Note 14 2 2 7" xfId="27334"/>
    <cellStyle name="Note 14 2 2 8" xfId="27335"/>
    <cellStyle name="Note 14 2 2 9" xfId="27336"/>
    <cellStyle name="Note 14 2 3" xfId="6243"/>
    <cellStyle name="Note 14 2 3 2" xfId="27338"/>
    <cellStyle name="Note 14 2 3 2 2" xfId="27339"/>
    <cellStyle name="Note 14 2 3 2 3" xfId="27340"/>
    <cellStyle name="Note 14 2 3 3" xfId="27341"/>
    <cellStyle name="Note 14 2 3 3 2" xfId="27342"/>
    <cellStyle name="Note 14 2 3 4" xfId="27343"/>
    <cellStyle name="Note 14 2 3 5" xfId="27344"/>
    <cellStyle name="Note 14 2 3 6" xfId="27345"/>
    <cellStyle name="Note 14 2 3 7" xfId="27337"/>
    <cellStyle name="Note 14 2 4" xfId="6244"/>
    <cellStyle name="Note 14 2 4 2" xfId="6245"/>
    <cellStyle name="Note 14 2 4 2 2" xfId="27347"/>
    <cellStyle name="Note 14 2 4 3" xfId="27348"/>
    <cellStyle name="Note 14 2 4 4" xfId="27346"/>
    <cellStyle name="Note 14 2 5" xfId="6246"/>
    <cellStyle name="Note 14 2 5 2" xfId="6247"/>
    <cellStyle name="Note 14 2 5 3" xfId="27349"/>
    <cellStyle name="Note 14 2 6" xfId="6248"/>
    <cellStyle name="Note 14 2 6 2" xfId="27350"/>
    <cellStyle name="Note 14 2 7" xfId="6249"/>
    <cellStyle name="Note 14 2 7 2" xfId="27351"/>
    <cellStyle name="Note 14 2 8" xfId="27323"/>
    <cellStyle name="Note 14 3" xfId="6250"/>
    <cellStyle name="Note 14 3 2" xfId="6251"/>
    <cellStyle name="Note 14 3 2 10" xfId="27353"/>
    <cellStyle name="Note 14 3 2 2" xfId="27354"/>
    <cellStyle name="Note 14 3 2 2 2" xfId="27355"/>
    <cellStyle name="Note 14 3 2 3" xfId="27356"/>
    <cellStyle name="Note 14 3 2 3 2" xfId="27357"/>
    <cellStyle name="Note 14 3 2 4" xfId="27358"/>
    <cellStyle name="Note 14 3 2 4 2" xfId="27359"/>
    <cellStyle name="Note 14 3 2 5" xfId="27360"/>
    <cellStyle name="Note 14 3 2 6" xfId="27361"/>
    <cellStyle name="Note 14 3 2 7" xfId="27362"/>
    <cellStyle name="Note 14 3 2 8" xfId="27363"/>
    <cellStyle name="Note 14 3 2 9" xfId="27364"/>
    <cellStyle name="Note 14 3 3" xfId="27365"/>
    <cellStyle name="Note 14 3 3 2" xfId="27366"/>
    <cellStyle name="Note 14 3 3 2 2" xfId="27367"/>
    <cellStyle name="Note 14 3 3 3" xfId="27368"/>
    <cellStyle name="Note 14 3 3 3 2" xfId="27369"/>
    <cellStyle name="Note 14 3 3 4" xfId="27370"/>
    <cellStyle name="Note 14 3 3 5" xfId="27371"/>
    <cellStyle name="Note 14 3 3 6" xfId="27372"/>
    <cellStyle name="Note 14 3 4" xfId="27373"/>
    <cellStyle name="Note 14 3 4 2" xfId="27374"/>
    <cellStyle name="Note 14 3 5" xfId="27375"/>
    <cellStyle name="Note 14 3 6" xfId="27376"/>
    <cellStyle name="Note 14 3 7" xfId="27377"/>
    <cellStyle name="Note 14 3 8" xfId="27352"/>
    <cellStyle name="Note 14 4" xfId="6252"/>
    <cellStyle name="Note 14 4 10" xfId="27378"/>
    <cellStyle name="Note 14 4 2" xfId="27379"/>
    <cellStyle name="Note 14 4 2 2" xfId="27380"/>
    <cellStyle name="Note 14 4 2 3" xfId="27381"/>
    <cellStyle name="Note 14 4 3" xfId="27382"/>
    <cellStyle name="Note 14 4 3 2" xfId="27383"/>
    <cellStyle name="Note 14 4 4" xfId="27384"/>
    <cellStyle name="Note 14 4 4 2" xfId="27385"/>
    <cellStyle name="Note 14 4 5" xfId="27386"/>
    <cellStyle name="Note 14 4 6" xfId="27387"/>
    <cellStyle name="Note 14 4 7" xfId="27388"/>
    <cellStyle name="Note 14 4 8" xfId="27389"/>
    <cellStyle name="Note 14 4 9" xfId="27390"/>
    <cellStyle name="Note 14 5" xfId="6253"/>
    <cellStyle name="Note 14 5 10" xfId="27391"/>
    <cellStyle name="Note 14 5 2" xfId="27392"/>
    <cellStyle name="Note 14 5 2 2" xfId="27393"/>
    <cellStyle name="Note 14 5 2 3" xfId="27394"/>
    <cellStyle name="Note 14 5 3" xfId="27395"/>
    <cellStyle name="Note 14 5 3 2" xfId="27396"/>
    <cellStyle name="Note 14 5 4" xfId="27397"/>
    <cellStyle name="Note 14 5 4 2" xfId="27398"/>
    <cellStyle name="Note 14 5 5" xfId="27399"/>
    <cellStyle name="Note 14 5 6" xfId="27400"/>
    <cellStyle name="Note 14 5 7" xfId="27401"/>
    <cellStyle name="Note 14 5 8" xfId="27402"/>
    <cellStyle name="Note 14 5 9" xfId="27403"/>
    <cellStyle name="Note 14 6" xfId="6254"/>
    <cellStyle name="Note 14 6 2" xfId="6255"/>
    <cellStyle name="Note 14 6 2 2" xfId="27406"/>
    <cellStyle name="Note 14 6 2 3" xfId="27405"/>
    <cellStyle name="Note 14 6 3" xfId="27407"/>
    <cellStyle name="Note 14 6 3 2" xfId="27408"/>
    <cellStyle name="Note 14 6 4" xfId="27409"/>
    <cellStyle name="Note 14 6 5" xfId="27410"/>
    <cellStyle name="Note 14 6 6" xfId="27411"/>
    <cellStyle name="Note 14 6 7" xfId="27404"/>
    <cellStyle name="Note 14 7" xfId="6256"/>
    <cellStyle name="Note 14 7 2" xfId="6257"/>
    <cellStyle name="Note 14 7 2 2" xfId="27413"/>
    <cellStyle name="Note 14 7 3" xfId="27412"/>
    <cellStyle name="Note 14 8" xfId="6258"/>
    <cellStyle name="Note 14 8 2" xfId="27414"/>
    <cellStyle name="Note 14 9" xfId="6259"/>
    <cellStyle name="Note 14 9 2" xfId="27415"/>
    <cellStyle name="Note 15" xfId="2788"/>
    <cellStyle name="Note 15 10" xfId="6260"/>
    <cellStyle name="Note 15 10 2" xfId="27416"/>
    <cellStyle name="Note 15 11" xfId="8363"/>
    <cellStyle name="Note 15 2" xfId="6261"/>
    <cellStyle name="Note 15 2 2" xfId="6262"/>
    <cellStyle name="Note 15 2 2 10" xfId="27418"/>
    <cellStyle name="Note 15 2 2 2" xfId="27419"/>
    <cellStyle name="Note 15 2 2 2 2" xfId="27420"/>
    <cellStyle name="Note 15 2 2 2 3" xfId="27421"/>
    <cellStyle name="Note 15 2 2 3" xfId="27422"/>
    <cellStyle name="Note 15 2 2 3 2" xfId="27423"/>
    <cellStyle name="Note 15 2 2 4" xfId="27424"/>
    <cellStyle name="Note 15 2 2 4 2" xfId="27425"/>
    <cellStyle name="Note 15 2 2 5" xfId="27426"/>
    <cellStyle name="Note 15 2 2 6" xfId="27427"/>
    <cellStyle name="Note 15 2 2 7" xfId="27428"/>
    <cellStyle name="Note 15 2 2 8" xfId="27429"/>
    <cellStyle name="Note 15 2 2 9" xfId="27430"/>
    <cellStyle name="Note 15 2 3" xfId="6263"/>
    <cellStyle name="Note 15 2 3 2" xfId="27432"/>
    <cellStyle name="Note 15 2 3 2 2" xfId="27433"/>
    <cellStyle name="Note 15 2 3 2 3" xfId="27434"/>
    <cellStyle name="Note 15 2 3 3" xfId="27435"/>
    <cellStyle name="Note 15 2 3 3 2" xfId="27436"/>
    <cellStyle name="Note 15 2 3 4" xfId="27437"/>
    <cellStyle name="Note 15 2 3 5" xfId="27438"/>
    <cellStyle name="Note 15 2 3 6" xfId="27439"/>
    <cellStyle name="Note 15 2 3 7" xfId="27431"/>
    <cellStyle name="Note 15 2 4" xfId="6264"/>
    <cellStyle name="Note 15 2 4 2" xfId="6265"/>
    <cellStyle name="Note 15 2 4 2 2" xfId="27441"/>
    <cellStyle name="Note 15 2 4 3" xfId="27442"/>
    <cellStyle name="Note 15 2 4 4" xfId="27440"/>
    <cellStyle name="Note 15 2 5" xfId="6266"/>
    <cellStyle name="Note 15 2 5 2" xfId="6267"/>
    <cellStyle name="Note 15 2 5 3" xfId="27443"/>
    <cellStyle name="Note 15 2 6" xfId="6268"/>
    <cellStyle name="Note 15 2 6 2" xfId="27444"/>
    <cellStyle name="Note 15 2 7" xfId="6269"/>
    <cellStyle name="Note 15 2 7 2" xfId="27445"/>
    <cellStyle name="Note 15 2 8" xfId="27417"/>
    <cellStyle name="Note 15 3" xfId="6270"/>
    <cellStyle name="Note 15 3 2" xfId="6271"/>
    <cellStyle name="Note 15 3 2 10" xfId="27447"/>
    <cellStyle name="Note 15 3 2 2" xfId="27448"/>
    <cellStyle name="Note 15 3 2 2 2" xfId="27449"/>
    <cellStyle name="Note 15 3 2 3" xfId="27450"/>
    <cellStyle name="Note 15 3 2 3 2" xfId="27451"/>
    <cellStyle name="Note 15 3 2 4" xfId="27452"/>
    <cellStyle name="Note 15 3 2 4 2" xfId="27453"/>
    <cellStyle name="Note 15 3 2 5" xfId="27454"/>
    <cellStyle name="Note 15 3 2 6" xfId="27455"/>
    <cellStyle name="Note 15 3 2 7" xfId="27456"/>
    <cellStyle name="Note 15 3 2 8" xfId="27457"/>
    <cellStyle name="Note 15 3 2 9" xfId="27458"/>
    <cellStyle name="Note 15 3 3" xfId="27459"/>
    <cellStyle name="Note 15 3 3 2" xfId="27460"/>
    <cellStyle name="Note 15 3 3 2 2" xfId="27461"/>
    <cellStyle name="Note 15 3 3 3" xfId="27462"/>
    <cellStyle name="Note 15 3 3 3 2" xfId="27463"/>
    <cellStyle name="Note 15 3 3 4" xfId="27464"/>
    <cellStyle name="Note 15 3 3 5" xfId="27465"/>
    <cellStyle name="Note 15 3 3 6" xfId="27466"/>
    <cellStyle name="Note 15 3 4" xfId="27467"/>
    <cellStyle name="Note 15 3 4 2" xfId="27468"/>
    <cellStyle name="Note 15 3 5" xfId="27469"/>
    <cellStyle name="Note 15 3 6" xfId="27470"/>
    <cellStyle name="Note 15 3 7" xfId="27471"/>
    <cellStyle name="Note 15 3 8" xfId="27446"/>
    <cellStyle name="Note 15 4" xfId="6272"/>
    <cellStyle name="Note 15 4 10" xfId="27472"/>
    <cellStyle name="Note 15 4 2" xfId="27473"/>
    <cellStyle name="Note 15 4 2 2" xfId="27474"/>
    <cellStyle name="Note 15 4 2 3" xfId="27475"/>
    <cellStyle name="Note 15 4 3" xfId="27476"/>
    <cellStyle name="Note 15 4 3 2" xfId="27477"/>
    <cellStyle name="Note 15 4 4" xfId="27478"/>
    <cellStyle name="Note 15 4 4 2" xfId="27479"/>
    <cellStyle name="Note 15 4 5" xfId="27480"/>
    <cellStyle name="Note 15 4 6" xfId="27481"/>
    <cellStyle name="Note 15 4 7" xfId="27482"/>
    <cellStyle name="Note 15 4 8" xfId="27483"/>
    <cellStyle name="Note 15 4 9" xfId="27484"/>
    <cellStyle name="Note 15 5" xfId="6273"/>
    <cellStyle name="Note 15 5 10" xfId="27485"/>
    <cellStyle name="Note 15 5 2" xfId="27486"/>
    <cellStyle name="Note 15 5 2 2" xfId="27487"/>
    <cellStyle name="Note 15 5 2 3" xfId="27488"/>
    <cellStyle name="Note 15 5 3" xfId="27489"/>
    <cellStyle name="Note 15 5 3 2" xfId="27490"/>
    <cellStyle name="Note 15 5 4" xfId="27491"/>
    <cellStyle name="Note 15 5 4 2" xfId="27492"/>
    <cellStyle name="Note 15 5 5" xfId="27493"/>
    <cellStyle name="Note 15 5 6" xfId="27494"/>
    <cellStyle name="Note 15 5 7" xfId="27495"/>
    <cellStyle name="Note 15 5 8" xfId="27496"/>
    <cellStyle name="Note 15 5 9" xfId="27497"/>
    <cellStyle name="Note 15 6" xfId="6274"/>
    <cellStyle name="Note 15 6 2" xfId="6275"/>
    <cellStyle name="Note 15 6 2 2" xfId="27500"/>
    <cellStyle name="Note 15 6 2 3" xfId="27499"/>
    <cellStyle name="Note 15 6 3" xfId="27501"/>
    <cellStyle name="Note 15 6 3 2" xfId="27502"/>
    <cellStyle name="Note 15 6 4" xfId="27503"/>
    <cellStyle name="Note 15 6 5" xfId="27504"/>
    <cellStyle name="Note 15 6 6" xfId="27505"/>
    <cellStyle name="Note 15 6 7" xfId="27498"/>
    <cellStyle name="Note 15 7" xfId="6276"/>
    <cellStyle name="Note 15 7 2" xfId="6277"/>
    <cellStyle name="Note 15 7 2 2" xfId="27507"/>
    <cellStyle name="Note 15 7 3" xfId="27506"/>
    <cellStyle name="Note 15 8" xfId="6278"/>
    <cellStyle name="Note 15 8 2" xfId="27508"/>
    <cellStyle name="Note 15 9" xfId="6279"/>
    <cellStyle name="Note 15 9 2" xfId="27509"/>
    <cellStyle name="Note 16" xfId="2789"/>
    <cellStyle name="Note 16 10" xfId="6280"/>
    <cellStyle name="Note 16 10 2" xfId="27510"/>
    <cellStyle name="Note 16 11" xfId="8364"/>
    <cellStyle name="Note 16 2" xfId="6281"/>
    <cellStyle name="Note 16 2 2" xfId="6282"/>
    <cellStyle name="Note 16 2 2 10" xfId="27512"/>
    <cellStyle name="Note 16 2 2 2" xfId="27513"/>
    <cellStyle name="Note 16 2 2 2 2" xfId="27514"/>
    <cellStyle name="Note 16 2 2 2 3" xfId="27515"/>
    <cellStyle name="Note 16 2 2 3" xfId="27516"/>
    <cellStyle name="Note 16 2 2 3 2" xfId="27517"/>
    <cellStyle name="Note 16 2 2 4" xfId="27518"/>
    <cellStyle name="Note 16 2 2 4 2" xfId="27519"/>
    <cellStyle name="Note 16 2 2 5" xfId="27520"/>
    <cellStyle name="Note 16 2 2 6" xfId="27521"/>
    <cellStyle name="Note 16 2 2 7" xfId="27522"/>
    <cellStyle name="Note 16 2 2 8" xfId="27523"/>
    <cellStyle name="Note 16 2 2 9" xfId="27524"/>
    <cellStyle name="Note 16 2 3" xfId="6283"/>
    <cellStyle name="Note 16 2 3 2" xfId="27526"/>
    <cellStyle name="Note 16 2 3 2 2" xfId="27527"/>
    <cellStyle name="Note 16 2 3 2 3" xfId="27528"/>
    <cellStyle name="Note 16 2 3 3" xfId="27529"/>
    <cellStyle name="Note 16 2 3 3 2" xfId="27530"/>
    <cellStyle name="Note 16 2 3 4" xfId="27531"/>
    <cellStyle name="Note 16 2 3 5" xfId="27532"/>
    <cellStyle name="Note 16 2 3 6" xfId="27533"/>
    <cellStyle name="Note 16 2 3 7" xfId="27525"/>
    <cellStyle name="Note 16 2 4" xfId="6284"/>
    <cellStyle name="Note 16 2 4 2" xfId="6285"/>
    <cellStyle name="Note 16 2 4 2 2" xfId="27535"/>
    <cellStyle name="Note 16 2 4 3" xfId="27536"/>
    <cellStyle name="Note 16 2 4 4" xfId="27534"/>
    <cellStyle name="Note 16 2 5" xfId="6286"/>
    <cellStyle name="Note 16 2 5 2" xfId="6287"/>
    <cellStyle name="Note 16 2 5 3" xfId="27537"/>
    <cellStyle name="Note 16 2 6" xfId="6288"/>
    <cellStyle name="Note 16 2 6 2" xfId="27538"/>
    <cellStyle name="Note 16 2 7" xfId="6289"/>
    <cellStyle name="Note 16 2 7 2" xfId="27539"/>
    <cellStyle name="Note 16 2 8" xfId="27511"/>
    <cellStyle name="Note 16 3" xfId="6290"/>
    <cellStyle name="Note 16 3 2" xfId="6291"/>
    <cellStyle name="Note 16 3 2 10" xfId="27541"/>
    <cellStyle name="Note 16 3 2 2" xfId="27542"/>
    <cellStyle name="Note 16 3 2 2 2" xfId="27543"/>
    <cellStyle name="Note 16 3 2 3" xfId="27544"/>
    <cellStyle name="Note 16 3 2 3 2" xfId="27545"/>
    <cellStyle name="Note 16 3 2 4" xfId="27546"/>
    <cellStyle name="Note 16 3 2 4 2" xfId="27547"/>
    <cellStyle name="Note 16 3 2 5" xfId="27548"/>
    <cellStyle name="Note 16 3 2 6" xfId="27549"/>
    <cellStyle name="Note 16 3 2 7" xfId="27550"/>
    <cellStyle name="Note 16 3 2 8" xfId="27551"/>
    <cellStyle name="Note 16 3 2 9" xfId="27552"/>
    <cellStyle name="Note 16 3 3" xfId="27553"/>
    <cellStyle name="Note 16 3 3 2" xfId="27554"/>
    <cellStyle name="Note 16 3 3 2 2" xfId="27555"/>
    <cellStyle name="Note 16 3 3 3" xfId="27556"/>
    <cellStyle name="Note 16 3 3 3 2" xfId="27557"/>
    <cellStyle name="Note 16 3 3 4" xfId="27558"/>
    <cellStyle name="Note 16 3 3 5" xfId="27559"/>
    <cellStyle name="Note 16 3 3 6" xfId="27560"/>
    <cellStyle name="Note 16 3 4" xfId="27561"/>
    <cellStyle name="Note 16 3 4 2" xfId="27562"/>
    <cellStyle name="Note 16 3 5" xfId="27563"/>
    <cellStyle name="Note 16 3 6" xfId="27564"/>
    <cellStyle name="Note 16 3 7" xfId="27565"/>
    <cellStyle name="Note 16 3 8" xfId="27540"/>
    <cellStyle name="Note 16 4" xfId="6292"/>
    <cellStyle name="Note 16 4 10" xfId="27566"/>
    <cellStyle name="Note 16 4 2" xfId="27567"/>
    <cellStyle name="Note 16 4 2 2" xfId="27568"/>
    <cellStyle name="Note 16 4 2 3" xfId="27569"/>
    <cellStyle name="Note 16 4 3" xfId="27570"/>
    <cellStyle name="Note 16 4 3 2" xfId="27571"/>
    <cellStyle name="Note 16 4 4" xfId="27572"/>
    <cellStyle name="Note 16 4 4 2" xfId="27573"/>
    <cellStyle name="Note 16 4 5" xfId="27574"/>
    <cellStyle name="Note 16 4 6" xfId="27575"/>
    <cellStyle name="Note 16 4 7" xfId="27576"/>
    <cellStyle name="Note 16 4 8" xfId="27577"/>
    <cellStyle name="Note 16 4 9" xfId="27578"/>
    <cellStyle name="Note 16 5" xfId="6293"/>
    <cellStyle name="Note 16 5 10" xfId="27579"/>
    <cellStyle name="Note 16 5 2" xfId="27580"/>
    <cellStyle name="Note 16 5 2 2" xfId="27581"/>
    <cellStyle name="Note 16 5 2 3" xfId="27582"/>
    <cellStyle name="Note 16 5 3" xfId="27583"/>
    <cellStyle name="Note 16 5 3 2" xfId="27584"/>
    <cellStyle name="Note 16 5 4" xfId="27585"/>
    <cellStyle name="Note 16 5 4 2" xfId="27586"/>
    <cellStyle name="Note 16 5 5" xfId="27587"/>
    <cellStyle name="Note 16 5 6" xfId="27588"/>
    <cellStyle name="Note 16 5 7" xfId="27589"/>
    <cellStyle name="Note 16 5 8" xfId="27590"/>
    <cellStyle name="Note 16 5 9" xfId="27591"/>
    <cellStyle name="Note 16 6" xfId="6294"/>
    <cellStyle name="Note 16 6 2" xfId="6295"/>
    <cellStyle name="Note 16 6 2 2" xfId="27594"/>
    <cellStyle name="Note 16 6 2 3" xfId="27593"/>
    <cellStyle name="Note 16 6 3" xfId="27595"/>
    <cellStyle name="Note 16 6 3 2" xfId="27596"/>
    <cellStyle name="Note 16 6 4" xfId="27597"/>
    <cellStyle name="Note 16 6 5" xfId="27598"/>
    <cellStyle name="Note 16 6 6" xfId="27599"/>
    <cellStyle name="Note 16 6 7" xfId="27592"/>
    <cellStyle name="Note 16 7" xfId="6296"/>
    <cellStyle name="Note 16 7 2" xfId="6297"/>
    <cellStyle name="Note 16 7 2 2" xfId="27601"/>
    <cellStyle name="Note 16 7 3" xfId="27600"/>
    <cellStyle name="Note 16 8" xfId="6298"/>
    <cellStyle name="Note 16 8 2" xfId="27602"/>
    <cellStyle name="Note 16 9" xfId="6299"/>
    <cellStyle name="Note 16 9 2" xfId="27603"/>
    <cellStyle name="Note 17" xfId="2790"/>
    <cellStyle name="Note 17 10" xfId="6300"/>
    <cellStyle name="Note 17 10 2" xfId="27604"/>
    <cellStyle name="Note 17 11" xfId="8365"/>
    <cellStyle name="Note 17 2" xfId="6301"/>
    <cellStyle name="Note 17 2 2" xfId="6302"/>
    <cellStyle name="Note 17 2 2 10" xfId="27606"/>
    <cellStyle name="Note 17 2 2 2" xfId="27607"/>
    <cellStyle name="Note 17 2 2 2 2" xfId="27608"/>
    <cellStyle name="Note 17 2 2 2 3" xfId="27609"/>
    <cellStyle name="Note 17 2 2 3" xfId="27610"/>
    <cellStyle name="Note 17 2 2 3 2" xfId="27611"/>
    <cellStyle name="Note 17 2 2 4" xfId="27612"/>
    <cellStyle name="Note 17 2 2 4 2" xfId="27613"/>
    <cellStyle name="Note 17 2 2 5" xfId="27614"/>
    <cellStyle name="Note 17 2 2 6" xfId="27615"/>
    <cellStyle name="Note 17 2 2 7" xfId="27616"/>
    <cellStyle name="Note 17 2 2 8" xfId="27617"/>
    <cellStyle name="Note 17 2 2 9" xfId="27618"/>
    <cellStyle name="Note 17 2 3" xfId="6303"/>
    <cellStyle name="Note 17 2 3 2" xfId="27620"/>
    <cellStyle name="Note 17 2 3 2 2" xfId="27621"/>
    <cellStyle name="Note 17 2 3 2 3" xfId="27622"/>
    <cellStyle name="Note 17 2 3 3" xfId="27623"/>
    <cellStyle name="Note 17 2 3 3 2" xfId="27624"/>
    <cellStyle name="Note 17 2 3 4" xfId="27625"/>
    <cellStyle name="Note 17 2 3 5" xfId="27626"/>
    <cellStyle name="Note 17 2 3 6" xfId="27627"/>
    <cellStyle name="Note 17 2 3 7" xfId="27619"/>
    <cellStyle name="Note 17 2 4" xfId="6304"/>
    <cellStyle name="Note 17 2 4 2" xfId="6305"/>
    <cellStyle name="Note 17 2 4 2 2" xfId="27629"/>
    <cellStyle name="Note 17 2 4 3" xfId="27630"/>
    <cellStyle name="Note 17 2 4 4" xfId="27628"/>
    <cellStyle name="Note 17 2 5" xfId="6306"/>
    <cellStyle name="Note 17 2 5 2" xfId="6307"/>
    <cellStyle name="Note 17 2 5 3" xfId="27631"/>
    <cellStyle name="Note 17 2 6" xfId="6308"/>
    <cellStyle name="Note 17 2 6 2" xfId="27632"/>
    <cellStyle name="Note 17 2 7" xfId="6309"/>
    <cellStyle name="Note 17 2 7 2" xfId="27633"/>
    <cellStyle name="Note 17 2 8" xfId="27605"/>
    <cellStyle name="Note 17 3" xfId="6310"/>
    <cellStyle name="Note 17 3 2" xfId="6311"/>
    <cellStyle name="Note 17 3 2 10" xfId="27635"/>
    <cellStyle name="Note 17 3 2 2" xfId="27636"/>
    <cellStyle name="Note 17 3 2 2 2" xfId="27637"/>
    <cellStyle name="Note 17 3 2 3" xfId="27638"/>
    <cellStyle name="Note 17 3 2 3 2" xfId="27639"/>
    <cellStyle name="Note 17 3 2 4" xfId="27640"/>
    <cellStyle name="Note 17 3 2 4 2" xfId="27641"/>
    <cellStyle name="Note 17 3 2 5" xfId="27642"/>
    <cellStyle name="Note 17 3 2 6" xfId="27643"/>
    <cellStyle name="Note 17 3 2 7" xfId="27644"/>
    <cellStyle name="Note 17 3 2 8" xfId="27645"/>
    <cellStyle name="Note 17 3 2 9" xfId="27646"/>
    <cellStyle name="Note 17 3 3" xfId="27647"/>
    <cellStyle name="Note 17 3 3 2" xfId="27648"/>
    <cellStyle name="Note 17 3 3 2 2" xfId="27649"/>
    <cellStyle name="Note 17 3 3 3" xfId="27650"/>
    <cellStyle name="Note 17 3 3 3 2" xfId="27651"/>
    <cellStyle name="Note 17 3 3 4" xfId="27652"/>
    <cellStyle name="Note 17 3 3 5" xfId="27653"/>
    <cellStyle name="Note 17 3 3 6" xfId="27654"/>
    <cellStyle name="Note 17 3 4" xfId="27655"/>
    <cellStyle name="Note 17 3 4 2" xfId="27656"/>
    <cellStyle name="Note 17 3 5" xfId="27657"/>
    <cellStyle name="Note 17 3 6" xfId="27658"/>
    <cellStyle name="Note 17 3 7" xfId="27659"/>
    <cellStyle name="Note 17 3 8" xfId="27634"/>
    <cellStyle name="Note 17 4" xfId="6312"/>
    <cellStyle name="Note 17 4 10" xfId="27660"/>
    <cellStyle name="Note 17 4 2" xfId="27661"/>
    <cellStyle name="Note 17 4 2 2" xfId="27662"/>
    <cellStyle name="Note 17 4 2 3" xfId="27663"/>
    <cellStyle name="Note 17 4 3" xfId="27664"/>
    <cellStyle name="Note 17 4 3 2" xfId="27665"/>
    <cellStyle name="Note 17 4 4" xfId="27666"/>
    <cellStyle name="Note 17 4 4 2" xfId="27667"/>
    <cellStyle name="Note 17 4 5" xfId="27668"/>
    <cellStyle name="Note 17 4 6" xfId="27669"/>
    <cellStyle name="Note 17 4 7" xfId="27670"/>
    <cellStyle name="Note 17 4 8" xfId="27671"/>
    <cellStyle name="Note 17 4 9" xfId="27672"/>
    <cellStyle name="Note 17 5" xfId="6313"/>
    <cellStyle name="Note 17 5 10" xfId="27673"/>
    <cellStyle name="Note 17 5 2" xfId="27674"/>
    <cellStyle name="Note 17 5 2 2" xfId="27675"/>
    <cellStyle name="Note 17 5 2 3" xfId="27676"/>
    <cellStyle name="Note 17 5 3" xfId="27677"/>
    <cellStyle name="Note 17 5 3 2" xfId="27678"/>
    <cellStyle name="Note 17 5 4" xfId="27679"/>
    <cellStyle name="Note 17 5 4 2" xfId="27680"/>
    <cellStyle name="Note 17 5 5" xfId="27681"/>
    <cellStyle name="Note 17 5 6" xfId="27682"/>
    <cellStyle name="Note 17 5 7" xfId="27683"/>
    <cellStyle name="Note 17 5 8" xfId="27684"/>
    <cellStyle name="Note 17 5 9" xfId="27685"/>
    <cellStyle name="Note 17 6" xfId="6314"/>
    <cellStyle name="Note 17 6 2" xfId="6315"/>
    <cellStyle name="Note 17 6 2 2" xfId="27688"/>
    <cellStyle name="Note 17 6 2 3" xfId="27687"/>
    <cellStyle name="Note 17 6 3" xfId="27689"/>
    <cellStyle name="Note 17 6 3 2" xfId="27690"/>
    <cellStyle name="Note 17 6 4" xfId="27691"/>
    <cellStyle name="Note 17 6 5" xfId="27692"/>
    <cellStyle name="Note 17 6 6" xfId="27693"/>
    <cellStyle name="Note 17 6 7" xfId="27686"/>
    <cellStyle name="Note 17 7" xfId="6316"/>
    <cellStyle name="Note 17 7 2" xfId="6317"/>
    <cellStyle name="Note 17 7 2 2" xfId="27695"/>
    <cellStyle name="Note 17 7 3" xfId="27694"/>
    <cellStyle name="Note 17 8" xfId="6318"/>
    <cellStyle name="Note 17 8 2" xfId="27696"/>
    <cellStyle name="Note 17 9" xfId="6319"/>
    <cellStyle name="Note 17 9 2" xfId="27697"/>
    <cellStyle name="Note 18" xfId="2791"/>
    <cellStyle name="Note 18 10" xfId="27698"/>
    <cellStyle name="Note 18 2" xfId="6320"/>
    <cellStyle name="Note 18 2 2" xfId="27700"/>
    <cellStyle name="Note 18 2 2 2" xfId="27701"/>
    <cellStyle name="Note 18 2 2 2 2" xfId="27702"/>
    <cellStyle name="Note 18 2 2 2 3" xfId="27703"/>
    <cellStyle name="Note 18 2 2 3" xfId="27704"/>
    <cellStyle name="Note 18 2 2 3 2" xfId="27705"/>
    <cellStyle name="Note 18 2 2 4" xfId="27706"/>
    <cellStyle name="Note 18 2 2 4 2" xfId="27707"/>
    <cellStyle name="Note 18 2 2 5" xfId="27708"/>
    <cellStyle name="Note 18 2 2 6" xfId="27709"/>
    <cellStyle name="Note 18 2 2 7" xfId="27710"/>
    <cellStyle name="Note 18 2 2 8" xfId="27711"/>
    <cellStyle name="Note 18 2 2 9" xfId="27712"/>
    <cellStyle name="Note 18 2 3" xfId="27713"/>
    <cellStyle name="Note 18 2 3 2" xfId="27714"/>
    <cellStyle name="Note 18 2 3 2 2" xfId="27715"/>
    <cellStyle name="Note 18 2 3 2 3" xfId="27716"/>
    <cellStyle name="Note 18 2 3 3" xfId="27717"/>
    <cellStyle name="Note 18 2 3 3 2" xfId="27718"/>
    <cellStyle name="Note 18 2 3 4" xfId="27719"/>
    <cellStyle name="Note 18 2 3 5" xfId="27720"/>
    <cellStyle name="Note 18 2 3 6" xfId="27721"/>
    <cellStyle name="Note 18 2 4" xfId="27722"/>
    <cellStyle name="Note 18 2 4 2" xfId="27723"/>
    <cellStyle name="Note 18 2 4 3" xfId="27724"/>
    <cellStyle name="Note 18 2 5" xfId="27725"/>
    <cellStyle name="Note 18 2 6" xfId="27726"/>
    <cellStyle name="Note 18 2 7" xfId="27727"/>
    <cellStyle name="Note 18 2 8" xfId="27699"/>
    <cellStyle name="Note 18 3" xfId="6321"/>
    <cellStyle name="Note 18 3 2" xfId="27729"/>
    <cellStyle name="Note 18 3 2 2" xfId="27730"/>
    <cellStyle name="Note 18 3 2 2 2" xfId="27731"/>
    <cellStyle name="Note 18 3 2 3" xfId="27732"/>
    <cellStyle name="Note 18 3 2 3 2" xfId="27733"/>
    <cellStyle name="Note 18 3 2 4" xfId="27734"/>
    <cellStyle name="Note 18 3 2 4 2" xfId="27735"/>
    <cellStyle name="Note 18 3 2 5" xfId="27736"/>
    <cellStyle name="Note 18 3 2 6" xfId="27737"/>
    <cellStyle name="Note 18 3 2 7" xfId="27738"/>
    <cellStyle name="Note 18 3 2 8" xfId="27739"/>
    <cellStyle name="Note 18 3 2 9" xfId="27740"/>
    <cellStyle name="Note 18 3 3" xfId="27741"/>
    <cellStyle name="Note 18 3 3 2" xfId="27742"/>
    <cellStyle name="Note 18 3 3 2 2" xfId="27743"/>
    <cellStyle name="Note 18 3 3 3" xfId="27744"/>
    <cellStyle name="Note 18 3 3 3 2" xfId="27745"/>
    <cellStyle name="Note 18 3 3 4" xfId="27746"/>
    <cellStyle name="Note 18 3 3 5" xfId="27747"/>
    <cellStyle name="Note 18 3 3 6" xfId="27748"/>
    <cellStyle name="Note 18 3 4" xfId="27749"/>
    <cellStyle name="Note 18 3 4 2" xfId="27750"/>
    <cellStyle name="Note 18 3 5" xfId="27751"/>
    <cellStyle name="Note 18 3 6" xfId="27752"/>
    <cellStyle name="Note 18 3 7" xfId="27753"/>
    <cellStyle name="Note 18 3 8" xfId="27728"/>
    <cellStyle name="Note 18 4" xfId="6322"/>
    <cellStyle name="Note 18 4 10" xfId="27754"/>
    <cellStyle name="Note 18 4 2" xfId="6323"/>
    <cellStyle name="Note 18 4 2 2" xfId="27756"/>
    <cellStyle name="Note 18 4 2 3" xfId="27757"/>
    <cellStyle name="Note 18 4 2 4" xfId="27755"/>
    <cellStyle name="Note 18 4 3" xfId="27758"/>
    <cellStyle name="Note 18 4 3 2" xfId="27759"/>
    <cellStyle name="Note 18 4 4" xfId="27760"/>
    <cellStyle name="Note 18 4 4 2" xfId="27761"/>
    <cellStyle name="Note 18 4 5" xfId="27762"/>
    <cellStyle name="Note 18 4 6" xfId="27763"/>
    <cellStyle name="Note 18 4 7" xfId="27764"/>
    <cellStyle name="Note 18 4 8" xfId="27765"/>
    <cellStyle name="Note 18 4 9" xfId="27766"/>
    <cellStyle name="Note 18 5" xfId="6324"/>
    <cellStyle name="Note 18 5 10" xfId="27767"/>
    <cellStyle name="Note 18 5 2" xfId="6325"/>
    <cellStyle name="Note 18 5 2 2" xfId="27769"/>
    <cellStyle name="Note 18 5 2 3" xfId="27770"/>
    <cellStyle name="Note 18 5 2 4" xfId="27768"/>
    <cellStyle name="Note 18 5 3" xfId="27771"/>
    <cellStyle name="Note 18 5 3 2" xfId="27772"/>
    <cellStyle name="Note 18 5 4" xfId="27773"/>
    <cellStyle name="Note 18 5 4 2" xfId="27774"/>
    <cellStyle name="Note 18 5 5" xfId="27775"/>
    <cellStyle name="Note 18 5 6" xfId="27776"/>
    <cellStyle name="Note 18 5 7" xfId="27777"/>
    <cellStyle name="Note 18 5 8" xfId="27778"/>
    <cellStyle name="Note 18 5 9" xfId="27779"/>
    <cellStyle name="Note 18 6" xfId="6326"/>
    <cellStyle name="Note 18 6 2" xfId="27781"/>
    <cellStyle name="Note 18 6 2 2" xfId="27782"/>
    <cellStyle name="Note 18 6 3" xfId="27783"/>
    <cellStyle name="Note 18 6 3 2" xfId="27784"/>
    <cellStyle name="Note 18 6 4" xfId="27785"/>
    <cellStyle name="Note 18 6 5" xfId="27786"/>
    <cellStyle name="Note 18 6 6" xfId="27787"/>
    <cellStyle name="Note 18 6 7" xfId="27780"/>
    <cellStyle name="Note 18 7" xfId="6327"/>
    <cellStyle name="Note 18 7 2" xfId="27789"/>
    <cellStyle name="Note 18 7 3" xfId="27788"/>
    <cellStyle name="Note 18 8" xfId="8366"/>
    <cellStyle name="Note 18 9" xfId="27790"/>
    <cellStyle name="Note 19" xfId="2792"/>
    <cellStyle name="Note 19 10" xfId="27791"/>
    <cellStyle name="Note 19 2" xfId="6328"/>
    <cellStyle name="Note 19 2 2" xfId="27793"/>
    <cellStyle name="Note 19 2 2 2" xfId="27794"/>
    <cellStyle name="Note 19 2 2 2 2" xfId="27795"/>
    <cellStyle name="Note 19 2 2 2 3" xfId="27796"/>
    <cellStyle name="Note 19 2 2 3" xfId="27797"/>
    <cellStyle name="Note 19 2 2 3 2" xfId="27798"/>
    <cellStyle name="Note 19 2 2 4" xfId="27799"/>
    <cellStyle name="Note 19 2 2 4 2" xfId="27800"/>
    <cellStyle name="Note 19 2 2 5" xfId="27801"/>
    <cellStyle name="Note 19 2 2 6" xfId="27802"/>
    <cellStyle name="Note 19 2 2 7" xfId="27803"/>
    <cellStyle name="Note 19 2 2 8" xfId="27804"/>
    <cellStyle name="Note 19 2 2 9" xfId="27805"/>
    <cellStyle name="Note 19 2 3" xfId="27806"/>
    <cellStyle name="Note 19 2 3 2" xfId="27807"/>
    <cellStyle name="Note 19 2 3 2 2" xfId="27808"/>
    <cellStyle name="Note 19 2 3 2 3" xfId="27809"/>
    <cellStyle name="Note 19 2 3 3" xfId="27810"/>
    <cellStyle name="Note 19 2 3 3 2" xfId="27811"/>
    <cellStyle name="Note 19 2 3 4" xfId="27812"/>
    <cellStyle name="Note 19 2 3 5" xfId="27813"/>
    <cellStyle name="Note 19 2 3 6" xfId="27814"/>
    <cellStyle name="Note 19 2 4" xfId="27815"/>
    <cellStyle name="Note 19 2 4 2" xfId="27816"/>
    <cellStyle name="Note 19 2 4 3" xfId="27817"/>
    <cellStyle name="Note 19 2 5" xfId="27818"/>
    <cellStyle name="Note 19 2 6" xfId="27819"/>
    <cellStyle name="Note 19 2 7" xfId="27820"/>
    <cellStyle name="Note 19 2 8" xfId="27792"/>
    <cellStyle name="Note 19 3" xfId="6329"/>
    <cellStyle name="Note 19 3 2" xfId="27822"/>
    <cellStyle name="Note 19 3 2 2" xfId="27823"/>
    <cellStyle name="Note 19 3 2 2 2" xfId="27824"/>
    <cellStyle name="Note 19 3 2 3" xfId="27825"/>
    <cellStyle name="Note 19 3 2 3 2" xfId="27826"/>
    <cellStyle name="Note 19 3 2 4" xfId="27827"/>
    <cellStyle name="Note 19 3 2 4 2" xfId="27828"/>
    <cellStyle name="Note 19 3 2 5" xfId="27829"/>
    <cellStyle name="Note 19 3 2 6" xfId="27830"/>
    <cellStyle name="Note 19 3 2 7" xfId="27831"/>
    <cellStyle name="Note 19 3 2 8" xfId="27832"/>
    <cellStyle name="Note 19 3 2 9" xfId="27833"/>
    <cellStyle name="Note 19 3 3" xfId="27834"/>
    <cellStyle name="Note 19 3 3 2" xfId="27835"/>
    <cellStyle name="Note 19 3 3 2 2" xfId="27836"/>
    <cellStyle name="Note 19 3 3 3" xfId="27837"/>
    <cellStyle name="Note 19 3 3 3 2" xfId="27838"/>
    <cellStyle name="Note 19 3 3 4" xfId="27839"/>
    <cellStyle name="Note 19 3 3 5" xfId="27840"/>
    <cellStyle name="Note 19 3 3 6" xfId="27841"/>
    <cellStyle name="Note 19 3 4" xfId="27842"/>
    <cellStyle name="Note 19 3 4 2" xfId="27843"/>
    <cellStyle name="Note 19 3 5" xfId="27844"/>
    <cellStyle name="Note 19 3 6" xfId="27845"/>
    <cellStyle name="Note 19 3 7" xfId="27846"/>
    <cellStyle name="Note 19 3 8" xfId="27821"/>
    <cellStyle name="Note 19 4" xfId="6330"/>
    <cellStyle name="Note 19 4 10" xfId="27847"/>
    <cellStyle name="Note 19 4 2" xfId="6331"/>
    <cellStyle name="Note 19 4 2 2" xfId="27849"/>
    <cellStyle name="Note 19 4 2 3" xfId="27850"/>
    <cellStyle name="Note 19 4 2 4" xfId="27848"/>
    <cellStyle name="Note 19 4 3" xfId="27851"/>
    <cellStyle name="Note 19 4 3 2" xfId="27852"/>
    <cellStyle name="Note 19 4 4" xfId="27853"/>
    <cellStyle name="Note 19 4 4 2" xfId="27854"/>
    <cellStyle name="Note 19 4 5" xfId="27855"/>
    <cellStyle name="Note 19 4 6" xfId="27856"/>
    <cellStyle name="Note 19 4 7" xfId="27857"/>
    <cellStyle name="Note 19 4 8" xfId="27858"/>
    <cellStyle name="Note 19 4 9" xfId="27859"/>
    <cellStyle name="Note 19 5" xfId="6332"/>
    <cellStyle name="Note 19 5 10" xfId="27860"/>
    <cellStyle name="Note 19 5 2" xfId="6333"/>
    <cellStyle name="Note 19 5 2 2" xfId="27862"/>
    <cellStyle name="Note 19 5 2 3" xfId="27863"/>
    <cellStyle name="Note 19 5 2 4" xfId="27861"/>
    <cellStyle name="Note 19 5 3" xfId="27864"/>
    <cellStyle name="Note 19 5 3 2" xfId="27865"/>
    <cellStyle name="Note 19 5 4" xfId="27866"/>
    <cellStyle name="Note 19 5 4 2" xfId="27867"/>
    <cellStyle name="Note 19 5 5" xfId="27868"/>
    <cellStyle name="Note 19 5 6" xfId="27869"/>
    <cellStyle name="Note 19 5 7" xfId="27870"/>
    <cellStyle name="Note 19 5 8" xfId="27871"/>
    <cellStyle name="Note 19 5 9" xfId="27872"/>
    <cellStyle name="Note 19 6" xfId="6334"/>
    <cellStyle name="Note 19 6 2" xfId="27874"/>
    <cellStyle name="Note 19 6 2 2" xfId="27875"/>
    <cellStyle name="Note 19 6 3" xfId="27876"/>
    <cellStyle name="Note 19 6 3 2" xfId="27877"/>
    <cellStyle name="Note 19 6 4" xfId="27878"/>
    <cellStyle name="Note 19 6 5" xfId="27879"/>
    <cellStyle name="Note 19 6 6" xfId="27880"/>
    <cellStyle name="Note 19 6 7" xfId="27873"/>
    <cellStyle name="Note 19 7" xfId="6335"/>
    <cellStyle name="Note 19 7 2" xfId="27882"/>
    <cellStyle name="Note 19 7 3" xfId="27881"/>
    <cellStyle name="Note 19 8" xfId="8367"/>
    <cellStyle name="Note 19 9" xfId="27883"/>
    <cellStyle name="Note 2" xfId="1857"/>
    <cellStyle name="Note 2 10" xfId="27884"/>
    <cellStyle name="Note 2 11" xfId="27885"/>
    <cellStyle name="Note 2 12" xfId="40521"/>
    <cellStyle name="Note 2 2" xfId="1858"/>
    <cellStyle name="Note 2 2 10" xfId="27887"/>
    <cellStyle name="Note 2 2 11" xfId="27886"/>
    <cellStyle name="Note 2 2 12" xfId="40667"/>
    <cellStyle name="Note 2 2 2" xfId="1859"/>
    <cellStyle name="Note 2 2 2 2" xfId="6337"/>
    <cellStyle name="Note 2 2 2 2 10" xfId="27889"/>
    <cellStyle name="Note 2 2 2 2 11" xfId="43672"/>
    <cellStyle name="Note 2 2 2 2 2" xfId="27890"/>
    <cellStyle name="Note 2 2 2 2 2 2" xfId="27891"/>
    <cellStyle name="Note 2 2 2 2 2 3" xfId="27892"/>
    <cellStyle name="Note 2 2 2 2 2 4" xfId="27893"/>
    <cellStyle name="Note 2 2 2 2 3" xfId="27894"/>
    <cellStyle name="Note 2 2 2 2 3 2" xfId="27895"/>
    <cellStyle name="Note 2 2 2 2 4" xfId="27896"/>
    <cellStyle name="Note 2 2 2 2 4 2" xfId="27897"/>
    <cellStyle name="Note 2 2 2 2 5" xfId="27898"/>
    <cellStyle name="Note 2 2 2 2 6" xfId="27899"/>
    <cellStyle name="Note 2 2 2 2 7" xfId="27900"/>
    <cellStyle name="Note 2 2 2 2 8" xfId="27901"/>
    <cellStyle name="Note 2 2 2 2 9" xfId="27902"/>
    <cellStyle name="Note 2 2 2 2 9 2" xfId="27903"/>
    <cellStyle name="Note 2 2 2 3" xfId="8165"/>
    <cellStyle name="Note 2 2 2 3 2" xfId="27905"/>
    <cellStyle name="Note 2 2 2 3 2 2" xfId="27906"/>
    <cellStyle name="Note 2 2 2 3 3" xfId="27907"/>
    <cellStyle name="Note 2 2 2 3 3 2" xfId="27908"/>
    <cellStyle name="Note 2 2 2 3 4" xfId="27909"/>
    <cellStyle name="Note 2 2 2 3 5" xfId="27910"/>
    <cellStyle name="Note 2 2 2 3 6" xfId="27911"/>
    <cellStyle name="Note 2 2 2 3 7" xfId="27904"/>
    <cellStyle name="Note 2 2 2 3 8" xfId="44133"/>
    <cellStyle name="Note 2 2 2 4" xfId="27912"/>
    <cellStyle name="Note 2 2 2 4 2" xfId="27913"/>
    <cellStyle name="Note 2 2 2 4 3" xfId="45308"/>
    <cellStyle name="Note 2 2 2 5" xfId="27914"/>
    <cellStyle name="Note 2 2 2 6" xfId="27915"/>
    <cellStyle name="Note 2 2 2 7" xfId="27916"/>
    <cellStyle name="Note 2 2 2 7 2" xfId="27917"/>
    <cellStyle name="Note 2 2 2 8" xfId="27888"/>
    <cellStyle name="Note 2 2 2 9" xfId="40885"/>
    <cellStyle name="Note 2 2 3" xfId="6338"/>
    <cellStyle name="Note 2 2 3 2" xfId="27919"/>
    <cellStyle name="Note 2 2 3 2 2" xfId="27920"/>
    <cellStyle name="Note 2 2 3 2 2 2" xfId="27921"/>
    <cellStyle name="Note 2 2 3 2 3" xfId="27922"/>
    <cellStyle name="Note 2 2 3 2 3 2" xfId="27923"/>
    <cellStyle name="Note 2 2 3 2 4" xfId="27924"/>
    <cellStyle name="Note 2 2 3 2 4 2" xfId="27925"/>
    <cellStyle name="Note 2 2 3 2 5" xfId="27926"/>
    <cellStyle name="Note 2 2 3 2 6" xfId="27927"/>
    <cellStyle name="Note 2 2 3 2 7" xfId="27928"/>
    <cellStyle name="Note 2 2 3 2 8" xfId="27929"/>
    <cellStyle name="Note 2 2 3 2 9" xfId="27930"/>
    <cellStyle name="Note 2 2 3 3" xfId="27931"/>
    <cellStyle name="Note 2 2 3 3 2" xfId="27932"/>
    <cellStyle name="Note 2 2 3 3 2 2" xfId="27933"/>
    <cellStyle name="Note 2 2 3 3 3" xfId="27934"/>
    <cellStyle name="Note 2 2 3 3 3 2" xfId="27935"/>
    <cellStyle name="Note 2 2 3 3 4" xfId="27936"/>
    <cellStyle name="Note 2 2 3 3 5" xfId="27937"/>
    <cellStyle name="Note 2 2 3 3 6" xfId="27938"/>
    <cellStyle name="Note 2 2 3 4" xfId="27939"/>
    <cellStyle name="Note 2 2 3 4 2" xfId="27940"/>
    <cellStyle name="Note 2 2 3 5" xfId="27941"/>
    <cellStyle name="Note 2 2 3 6" xfId="27942"/>
    <cellStyle name="Note 2 2 3 7" xfId="27943"/>
    <cellStyle name="Note 2 2 3 7 2" xfId="27944"/>
    <cellStyle name="Note 2 2 3 8" xfId="27918"/>
    <cellStyle name="Note 2 2 4" xfId="6339"/>
    <cellStyle name="Note 2 2 4 10" xfId="27945"/>
    <cellStyle name="Note 2 2 4 2" xfId="6340"/>
    <cellStyle name="Note 2 2 4 2 2" xfId="27947"/>
    <cellStyle name="Note 2 2 4 2 3" xfId="27948"/>
    <cellStyle name="Note 2 2 4 2 4" xfId="27949"/>
    <cellStyle name="Note 2 2 4 2 5" xfId="27946"/>
    <cellStyle name="Note 2 2 4 3" xfId="27950"/>
    <cellStyle name="Note 2 2 4 3 2" xfId="27951"/>
    <cellStyle name="Note 2 2 4 4" xfId="27952"/>
    <cellStyle name="Note 2 2 4 4 2" xfId="27953"/>
    <cellStyle name="Note 2 2 4 5" xfId="27954"/>
    <cellStyle name="Note 2 2 4 6" xfId="27955"/>
    <cellStyle name="Note 2 2 4 7" xfId="27956"/>
    <cellStyle name="Note 2 2 4 8" xfId="27957"/>
    <cellStyle name="Note 2 2 4 9" xfId="27958"/>
    <cellStyle name="Note 2 2 4 9 2" xfId="27959"/>
    <cellStyle name="Note 2 2 5" xfId="6341"/>
    <cellStyle name="Note 2 2 5 10" xfId="27960"/>
    <cellStyle name="Note 2 2 5 2" xfId="6342"/>
    <cellStyle name="Note 2 2 5 2 2" xfId="27962"/>
    <cellStyle name="Note 2 2 5 2 3" xfId="27961"/>
    <cellStyle name="Note 2 2 5 3" xfId="27963"/>
    <cellStyle name="Note 2 2 5 3 2" xfId="27964"/>
    <cellStyle name="Note 2 2 5 4" xfId="27965"/>
    <cellStyle name="Note 2 2 5 4 2" xfId="27966"/>
    <cellStyle name="Note 2 2 5 5" xfId="27967"/>
    <cellStyle name="Note 2 2 5 6" xfId="27968"/>
    <cellStyle name="Note 2 2 5 7" xfId="27969"/>
    <cellStyle name="Note 2 2 5 8" xfId="27970"/>
    <cellStyle name="Note 2 2 5 9" xfId="27971"/>
    <cellStyle name="Note 2 2 6" xfId="6343"/>
    <cellStyle name="Note 2 2 6 2" xfId="27973"/>
    <cellStyle name="Note 2 2 6 2 2" xfId="27974"/>
    <cellStyle name="Note 2 2 6 3" xfId="27975"/>
    <cellStyle name="Note 2 2 6 3 2" xfId="27976"/>
    <cellStyle name="Note 2 2 6 4" xfId="27977"/>
    <cellStyle name="Note 2 2 6 5" xfId="27978"/>
    <cellStyle name="Note 2 2 6 6" xfId="27979"/>
    <cellStyle name="Note 2 2 6 7" xfId="27972"/>
    <cellStyle name="Note 2 2 7" xfId="6344"/>
    <cellStyle name="Note 2 2 7 2" xfId="27981"/>
    <cellStyle name="Note 2 2 7 3" xfId="27980"/>
    <cellStyle name="Note 2 2 8" xfId="6336"/>
    <cellStyle name="Note 2 2 8 2" xfId="27982"/>
    <cellStyle name="Note 2 2 9" xfId="8164"/>
    <cellStyle name="Note 2 2 9 2" xfId="27983"/>
    <cellStyle name="Note 2 3" xfId="1860"/>
    <cellStyle name="Note 2 3 2" xfId="1861"/>
    <cellStyle name="Note 2 3 2 10" xfId="41586"/>
    <cellStyle name="Note 2 3 2 2" xfId="8167"/>
    <cellStyle name="Note 2 3 2 2 2" xfId="27984"/>
    <cellStyle name="Note 2 3 2 2 3" xfId="27985"/>
    <cellStyle name="Note 2 3 2 2 4" xfId="27986"/>
    <cellStyle name="Note 2 3 2 2 5" xfId="43811"/>
    <cellStyle name="Note 2 3 2 3" xfId="27987"/>
    <cellStyle name="Note 2 3 2 3 2" xfId="27988"/>
    <cellStyle name="Note 2 3 2 3 3" xfId="45257"/>
    <cellStyle name="Note 2 3 2 4" xfId="27989"/>
    <cellStyle name="Note 2 3 2 4 2" xfId="27990"/>
    <cellStyle name="Note 2 3 2 4 3" xfId="45321"/>
    <cellStyle name="Note 2 3 2 5" xfId="27991"/>
    <cellStyle name="Note 2 3 2 6" xfId="27992"/>
    <cellStyle name="Note 2 3 2 7" xfId="27993"/>
    <cellStyle name="Note 2 3 2 8" xfId="27994"/>
    <cellStyle name="Note 2 3 2 9" xfId="27995"/>
    <cellStyle name="Note 2 3 2 9 2" xfId="27996"/>
    <cellStyle name="Note 2 3 3" xfId="8166"/>
    <cellStyle name="Note 2 3 3 2" xfId="27998"/>
    <cellStyle name="Note 2 3 3 2 2" xfId="27999"/>
    <cellStyle name="Note 2 3 3 2 3" xfId="28000"/>
    <cellStyle name="Note 2 3 3 2 4" xfId="28001"/>
    <cellStyle name="Note 2 3 3 3" xfId="28002"/>
    <cellStyle name="Note 2 3 3 3 2" xfId="28003"/>
    <cellStyle name="Note 2 3 3 4" xfId="28004"/>
    <cellStyle name="Note 2 3 3 5" xfId="28005"/>
    <cellStyle name="Note 2 3 3 6" xfId="28006"/>
    <cellStyle name="Note 2 3 3 7" xfId="28007"/>
    <cellStyle name="Note 2 3 3 8" xfId="27997"/>
    <cellStyle name="Note 2 3 4" xfId="28008"/>
    <cellStyle name="Note 2 3 4 2" xfId="28009"/>
    <cellStyle name="Note 2 3 4 3" xfId="28010"/>
    <cellStyle name="Note 2 3 4 4" xfId="28011"/>
    <cellStyle name="Note 2 3 5" xfId="28012"/>
    <cellStyle name="Note 2 3 6" xfId="28013"/>
    <cellStyle name="Note 2 3 7" xfId="28014"/>
    <cellStyle name="Note 2 3 7 2" xfId="28015"/>
    <cellStyle name="Note 2 3 8" xfId="40668"/>
    <cellStyle name="Note 2 4" xfId="1862"/>
    <cellStyle name="Note 2 4 2" xfId="1863"/>
    <cellStyle name="Note 2 4 2 2" xfId="8169"/>
    <cellStyle name="Note 2 4 2 2 2" xfId="28016"/>
    <cellStyle name="Note 2 4 2 3" xfId="28017"/>
    <cellStyle name="Note 2 4 2 3 2" xfId="28018"/>
    <cellStyle name="Note 2 4 2 4" xfId="28019"/>
    <cellStyle name="Note 2 4 2 4 2" xfId="28020"/>
    <cellStyle name="Note 2 4 2 5" xfId="28021"/>
    <cellStyle name="Note 2 4 2 6" xfId="28022"/>
    <cellStyle name="Note 2 4 2 7" xfId="28023"/>
    <cellStyle name="Note 2 4 2 8" xfId="28024"/>
    <cellStyle name="Note 2 4 2 9" xfId="28025"/>
    <cellStyle name="Note 2 4 3" xfId="8168"/>
    <cellStyle name="Note 2 4 3 2" xfId="28026"/>
    <cellStyle name="Note 2 4 3 2 2" xfId="28027"/>
    <cellStyle name="Note 2 4 3 3" xfId="28028"/>
    <cellStyle name="Note 2 4 3 3 2" xfId="28029"/>
    <cellStyle name="Note 2 4 3 4" xfId="28030"/>
    <cellStyle name="Note 2 4 3 5" xfId="28031"/>
    <cellStyle name="Note 2 4 3 6" xfId="28032"/>
    <cellStyle name="Note 2 4 4" xfId="28033"/>
    <cellStyle name="Note 2 4 4 2" xfId="28034"/>
    <cellStyle name="Note 2 4 5" xfId="28035"/>
    <cellStyle name="Note 2 4 6" xfId="28036"/>
    <cellStyle name="Note 2 4 7" xfId="28037"/>
    <cellStyle name="Note 2 4 7 2" xfId="28038"/>
    <cellStyle name="Note 2 4 8" xfId="41325"/>
    <cellStyle name="Note 2 5" xfId="1864"/>
    <cellStyle name="Note 2 5 10" xfId="28040"/>
    <cellStyle name="Note 2 5 11" xfId="28039"/>
    <cellStyle name="Note 2 5 12" xfId="40795"/>
    <cellStyle name="Note 2 5 2" xfId="1865"/>
    <cellStyle name="Note 2 5 2 2" xfId="8171"/>
    <cellStyle name="Note 2 5 2 3" xfId="28041"/>
    <cellStyle name="Note 2 5 2 4" xfId="28042"/>
    <cellStyle name="Note 2 5 2 5" xfId="43658"/>
    <cellStyle name="Note 2 5 3" xfId="8170"/>
    <cellStyle name="Note 2 5 3 2" xfId="28043"/>
    <cellStyle name="Note 2 5 3 3" xfId="43806"/>
    <cellStyle name="Note 2 5 4" xfId="28044"/>
    <cellStyle name="Note 2 5 4 2" xfId="28045"/>
    <cellStyle name="Note 2 5 4 3" xfId="45310"/>
    <cellStyle name="Note 2 5 5" xfId="28046"/>
    <cellStyle name="Note 2 5 6" xfId="28047"/>
    <cellStyle name="Note 2 5 7" xfId="28048"/>
    <cellStyle name="Note 2 5 8" xfId="28049"/>
    <cellStyle name="Note 2 5 9" xfId="28050"/>
    <cellStyle name="Note 2 5 9 2" xfId="28051"/>
    <cellStyle name="Note 2 6" xfId="1866"/>
    <cellStyle name="Note 2 6 10" xfId="28052"/>
    <cellStyle name="Note 2 6 11" xfId="42323"/>
    <cellStyle name="Note 2 6 2" xfId="6346"/>
    <cellStyle name="Note 2 6 2 2" xfId="28054"/>
    <cellStyle name="Note 2 6 2 2 2" xfId="45232"/>
    <cellStyle name="Note 2 6 2 3" xfId="28055"/>
    <cellStyle name="Note 2 6 2 4" xfId="28056"/>
    <cellStyle name="Note 2 6 2 5" xfId="28053"/>
    <cellStyle name="Note 2 6 2 6" xfId="43383"/>
    <cellStyle name="Note 2 6 3" xfId="6345"/>
    <cellStyle name="Note 2 6 3 2" xfId="28058"/>
    <cellStyle name="Note 2 6 3 3" xfId="28057"/>
    <cellStyle name="Note 2 6 3 4" xfId="44185"/>
    <cellStyle name="Note 2 6 4" xfId="8172"/>
    <cellStyle name="Note 2 6 4 2" xfId="28060"/>
    <cellStyle name="Note 2 6 4 3" xfId="28059"/>
    <cellStyle name="Note 2 6 5" xfId="28061"/>
    <cellStyle name="Note 2 6 6" xfId="28062"/>
    <cellStyle name="Note 2 6 7" xfId="28063"/>
    <cellStyle name="Note 2 6 8" xfId="28064"/>
    <cellStyle name="Note 2 6 9" xfId="28065"/>
    <cellStyle name="Note 2 6 9 2" xfId="28066"/>
    <cellStyle name="Note 2 7" xfId="1867"/>
    <cellStyle name="Note 2 7 2" xfId="8173"/>
    <cellStyle name="Note 2 7 2 2" xfId="28067"/>
    <cellStyle name="Note 2 7 2 3" xfId="45231"/>
    <cellStyle name="Note 2 7 3" xfId="28068"/>
    <cellStyle name="Note 2 7 3 2" xfId="28069"/>
    <cellStyle name="Note 2 7 4" xfId="28070"/>
    <cellStyle name="Note 2 7 5" xfId="28071"/>
    <cellStyle name="Note 2 7 6" xfId="28072"/>
    <cellStyle name="Note 2 7 7" xfId="43382"/>
    <cellStyle name="Note 2 8" xfId="1868"/>
    <cellStyle name="Note 2 8 2" xfId="6347"/>
    <cellStyle name="Note 2 8 2 2" xfId="28074"/>
    <cellStyle name="Note 2 8 3" xfId="8174"/>
    <cellStyle name="Note 2 8 4" xfId="28073"/>
    <cellStyle name="Note 2 8 5" xfId="43584"/>
    <cellStyle name="Note 2 9" xfId="8163"/>
    <cellStyle name="Note 20" xfId="2793"/>
    <cellStyle name="Note 20 10" xfId="28075"/>
    <cellStyle name="Note 20 2" xfId="6348"/>
    <cellStyle name="Note 20 2 2" xfId="28077"/>
    <cellStyle name="Note 20 2 2 2" xfId="28078"/>
    <cellStyle name="Note 20 2 2 2 2" xfId="28079"/>
    <cellStyle name="Note 20 2 2 2 3" xfId="28080"/>
    <cellStyle name="Note 20 2 2 3" xfId="28081"/>
    <cellStyle name="Note 20 2 2 3 2" xfId="28082"/>
    <cellStyle name="Note 20 2 2 4" xfId="28083"/>
    <cellStyle name="Note 20 2 2 4 2" xfId="28084"/>
    <cellStyle name="Note 20 2 2 5" xfId="28085"/>
    <cellStyle name="Note 20 2 2 6" xfId="28086"/>
    <cellStyle name="Note 20 2 2 7" xfId="28087"/>
    <cellStyle name="Note 20 2 2 8" xfId="28088"/>
    <cellStyle name="Note 20 2 2 9" xfId="28089"/>
    <cellStyle name="Note 20 2 3" xfId="28090"/>
    <cellStyle name="Note 20 2 3 2" xfId="28091"/>
    <cellStyle name="Note 20 2 3 2 2" xfId="28092"/>
    <cellStyle name="Note 20 2 3 2 3" xfId="28093"/>
    <cellStyle name="Note 20 2 3 3" xfId="28094"/>
    <cellStyle name="Note 20 2 3 3 2" xfId="28095"/>
    <cellStyle name="Note 20 2 3 4" xfId="28096"/>
    <cellStyle name="Note 20 2 3 5" xfId="28097"/>
    <cellStyle name="Note 20 2 3 6" xfId="28098"/>
    <cellStyle name="Note 20 2 4" xfId="28099"/>
    <cellStyle name="Note 20 2 4 2" xfId="28100"/>
    <cellStyle name="Note 20 2 4 3" xfId="28101"/>
    <cellStyle name="Note 20 2 5" xfId="28102"/>
    <cellStyle name="Note 20 2 6" xfId="28103"/>
    <cellStyle name="Note 20 2 7" xfId="28104"/>
    <cellStyle name="Note 20 2 8" xfId="28076"/>
    <cellStyle name="Note 20 3" xfId="6349"/>
    <cellStyle name="Note 20 3 2" xfId="28106"/>
    <cellStyle name="Note 20 3 2 2" xfId="28107"/>
    <cellStyle name="Note 20 3 2 2 2" xfId="28108"/>
    <cellStyle name="Note 20 3 2 3" xfId="28109"/>
    <cellStyle name="Note 20 3 2 3 2" xfId="28110"/>
    <cellStyle name="Note 20 3 2 4" xfId="28111"/>
    <cellStyle name="Note 20 3 2 4 2" xfId="28112"/>
    <cellStyle name="Note 20 3 2 5" xfId="28113"/>
    <cellStyle name="Note 20 3 2 6" xfId="28114"/>
    <cellStyle name="Note 20 3 2 7" xfId="28115"/>
    <cellStyle name="Note 20 3 2 8" xfId="28116"/>
    <cellStyle name="Note 20 3 2 9" xfId="28117"/>
    <cellStyle name="Note 20 3 3" xfId="28118"/>
    <cellStyle name="Note 20 3 3 2" xfId="28119"/>
    <cellStyle name="Note 20 3 3 2 2" xfId="28120"/>
    <cellStyle name="Note 20 3 3 3" xfId="28121"/>
    <cellStyle name="Note 20 3 3 3 2" xfId="28122"/>
    <cellStyle name="Note 20 3 3 4" xfId="28123"/>
    <cellStyle name="Note 20 3 3 5" xfId="28124"/>
    <cellStyle name="Note 20 3 3 6" xfId="28125"/>
    <cellStyle name="Note 20 3 4" xfId="28126"/>
    <cellStyle name="Note 20 3 4 2" xfId="28127"/>
    <cellStyle name="Note 20 3 5" xfId="28128"/>
    <cellStyle name="Note 20 3 6" xfId="28129"/>
    <cellStyle name="Note 20 3 7" xfId="28130"/>
    <cellStyle name="Note 20 3 8" xfId="28105"/>
    <cellStyle name="Note 20 4" xfId="6350"/>
    <cellStyle name="Note 20 4 10" xfId="28131"/>
    <cellStyle name="Note 20 4 2" xfId="6351"/>
    <cellStyle name="Note 20 4 2 2" xfId="28133"/>
    <cellStyle name="Note 20 4 2 3" xfId="28134"/>
    <cellStyle name="Note 20 4 2 4" xfId="28132"/>
    <cellStyle name="Note 20 4 3" xfId="28135"/>
    <cellStyle name="Note 20 4 3 2" xfId="28136"/>
    <cellStyle name="Note 20 4 4" xfId="28137"/>
    <cellStyle name="Note 20 4 4 2" xfId="28138"/>
    <cellStyle name="Note 20 4 5" xfId="28139"/>
    <cellStyle name="Note 20 4 6" xfId="28140"/>
    <cellStyle name="Note 20 4 7" xfId="28141"/>
    <cellStyle name="Note 20 4 8" xfId="28142"/>
    <cellStyle name="Note 20 4 9" xfId="28143"/>
    <cellStyle name="Note 20 5" xfId="6352"/>
    <cellStyle name="Note 20 5 10" xfId="28144"/>
    <cellStyle name="Note 20 5 2" xfId="6353"/>
    <cellStyle name="Note 20 5 2 2" xfId="28146"/>
    <cellStyle name="Note 20 5 2 3" xfId="28147"/>
    <cellStyle name="Note 20 5 2 4" xfId="28145"/>
    <cellStyle name="Note 20 5 3" xfId="28148"/>
    <cellStyle name="Note 20 5 3 2" xfId="28149"/>
    <cellStyle name="Note 20 5 4" xfId="28150"/>
    <cellStyle name="Note 20 5 4 2" xfId="28151"/>
    <cellStyle name="Note 20 5 5" xfId="28152"/>
    <cellStyle name="Note 20 5 6" xfId="28153"/>
    <cellStyle name="Note 20 5 7" xfId="28154"/>
    <cellStyle name="Note 20 5 8" xfId="28155"/>
    <cellStyle name="Note 20 5 9" xfId="28156"/>
    <cellStyle name="Note 20 6" xfId="6354"/>
    <cellStyle name="Note 20 6 2" xfId="28158"/>
    <cellStyle name="Note 20 6 2 2" xfId="28159"/>
    <cellStyle name="Note 20 6 3" xfId="28160"/>
    <cellStyle name="Note 20 6 3 2" xfId="28161"/>
    <cellStyle name="Note 20 6 4" xfId="28162"/>
    <cellStyle name="Note 20 6 5" xfId="28163"/>
    <cellStyle name="Note 20 6 6" xfId="28164"/>
    <cellStyle name="Note 20 6 7" xfId="28157"/>
    <cellStyle name="Note 20 7" xfId="6355"/>
    <cellStyle name="Note 20 7 2" xfId="28166"/>
    <cellStyle name="Note 20 7 3" xfId="28165"/>
    <cellStyle name="Note 20 8" xfId="8368"/>
    <cellStyle name="Note 20 9" xfId="28167"/>
    <cellStyle name="Note 21" xfId="2794"/>
    <cellStyle name="Note 21 10" xfId="28168"/>
    <cellStyle name="Note 21 2" xfId="6356"/>
    <cellStyle name="Note 21 2 2" xfId="28170"/>
    <cellStyle name="Note 21 2 2 2" xfId="28171"/>
    <cellStyle name="Note 21 2 2 2 2" xfId="28172"/>
    <cellStyle name="Note 21 2 2 2 3" xfId="28173"/>
    <cellStyle name="Note 21 2 2 3" xfId="28174"/>
    <cellStyle name="Note 21 2 2 3 2" xfId="28175"/>
    <cellStyle name="Note 21 2 2 4" xfId="28176"/>
    <cellStyle name="Note 21 2 2 4 2" xfId="28177"/>
    <cellStyle name="Note 21 2 2 5" xfId="28178"/>
    <cellStyle name="Note 21 2 2 6" xfId="28179"/>
    <cellStyle name="Note 21 2 2 7" xfId="28180"/>
    <cellStyle name="Note 21 2 2 8" xfId="28181"/>
    <cellStyle name="Note 21 2 2 9" xfId="28182"/>
    <cellStyle name="Note 21 2 3" xfId="28183"/>
    <cellStyle name="Note 21 2 3 2" xfId="28184"/>
    <cellStyle name="Note 21 2 3 2 2" xfId="28185"/>
    <cellStyle name="Note 21 2 3 2 3" xfId="28186"/>
    <cellStyle name="Note 21 2 3 3" xfId="28187"/>
    <cellStyle name="Note 21 2 3 3 2" xfId="28188"/>
    <cellStyle name="Note 21 2 3 4" xfId="28189"/>
    <cellStyle name="Note 21 2 3 5" xfId="28190"/>
    <cellStyle name="Note 21 2 3 6" xfId="28191"/>
    <cellStyle name="Note 21 2 4" xfId="28192"/>
    <cellStyle name="Note 21 2 4 2" xfId="28193"/>
    <cellStyle name="Note 21 2 4 3" xfId="28194"/>
    <cellStyle name="Note 21 2 5" xfId="28195"/>
    <cellStyle name="Note 21 2 6" xfId="28196"/>
    <cellStyle name="Note 21 2 7" xfId="28197"/>
    <cellStyle name="Note 21 2 8" xfId="28169"/>
    <cellStyle name="Note 21 3" xfId="6357"/>
    <cellStyle name="Note 21 3 2" xfId="28199"/>
    <cellStyle name="Note 21 3 2 2" xfId="28200"/>
    <cellStyle name="Note 21 3 2 2 2" xfId="28201"/>
    <cellStyle name="Note 21 3 2 3" xfId="28202"/>
    <cellStyle name="Note 21 3 2 3 2" xfId="28203"/>
    <cellStyle name="Note 21 3 2 4" xfId="28204"/>
    <cellStyle name="Note 21 3 2 4 2" xfId="28205"/>
    <cellStyle name="Note 21 3 2 5" xfId="28206"/>
    <cellStyle name="Note 21 3 2 6" xfId="28207"/>
    <cellStyle name="Note 21 3 2 7" xfId="28208"/>
    <cellStyle name="Note 21 3 2 8" xfId="28209"/>
    <cellStyle name="Note 21 3 2 9" xfId="28210"/>
    <cellStyle name="Note 21 3 3" xfId="28211"/>
    <cellStyle name="Note 21 3 3 2" xfId="28212"/>
    <cellStyle name="Note 21 3 3 2 2" xfId="28213"/>
    <cellStyle name="Note 21 3 3 3" xfId="28214"/>
    <cellStyle name="Note 21 3 3 3 2" xfId="28215"/>
    <cellStyle name="Note 21 3 3 4" xfId="28216"/>
    <cellStyle name="Note 21 3 3 5" xfId="28217"/>
    <cellStyle name="Note 21 3 3 6" xfId="28218"/>
    <cellStyle name="Note 21 3 4" xfId="28219"/>
    <cellStyle name="Note 21 3 4 2" xfId="28220"/>
    <cellStyle name="Note 21 3 5" xfId="28221"/>
    <cellStyle name="Note 21 3 6" xfId="28222"/>
    <cellStyle name="Note 21 3 7" xfId="28223"/>
    <cellStyle name="Note 21 3 8" xfId="28198"/>
    <cellStyle name="Note 21 4" xfId="6358"/>
    <cellStyle name="Note 21 4 10" xfId="28224"/>
    <cellStyle name="Note 21 4 2" xfId="6359"/>
    <cellStyle name="Note 21 4 2 2" xfId="28226"/>
    <cellStyle name="Note 21 4 2 3" xfId="28227"/>
    <cellStyle name="Note 21 4 2 4" xfId="28225"/>
    <cellStyle name="Note 21 4 3" xfId="28228"/>
    <cellStyle name="Note 21 4 3 2" xfId="28229"/>
    <cellStyle name="Note 21 4 4" xfId="28230"/>
    <cellStyle name="Note 21 4 4 2" xfId="28231"/>
    <cellStyle name="Note 21 4 5" xfId="28232"/>
    <cellStyle name="Note 21 4 6" xfId="28233"/>
    <cellStyle name="Note 21 4 7" xfId="28234"/>
    <cellStyle name="Note 21 4 8" xfId="28235"/>
    <cellStyle name="Note 21 4 9" xfId="28236"/>
    <cellStyle name="Note 21 5" xfId="6360"/>
    <cellStyle name="Note 21 5 10" xfId="28237"/>
    <cellStyle name="Note 21 5 2" xfId="6361"/>
    <cellStyle name="Note 21 5 2 2" xfId="28239"/>
    <cellStyle name="Note 21 5 2 3" xfId="28240"/>
    <cellStyle name="Note 21 5 2 4" xfId="28238"/>
    <cellStyle name="Note 21 5 3" xfId="28241"/>
    <cellStyle name="Note 21 5 3 2" xfId="28242"/>
    <cellStyle name="Note 21 5 4" xfId="28243"/>
    <cellStyle name="Note 21 5 4 2" xfId="28244"/>
    <cellStyle name="Note 21 5 5" xfId="28245"/>
    <cellStyle name="Note 21 5 6" xfId="28246"/>
    <cellStyle name="Note 21 5 7" xfId="28247"/>
    <cellStyle name="Note 21 5 8" xfId="28248"/>
    <cellStyle name="Note 21 5 9" xfId="28249"/>
    <cellStyle name="Note 21 6" xfId="6362"/>
    <cellStyle name="Note 21 6 2" xfId="28251"/>
    <cellStyle name="Note 21 6 2 2" xfId="28252"/>
    <cellStyle name="Note 21 6 3" xfId="28253"/>
    <cellStyle name="Note 21 6 3 2" xfId="28254"/>
    <cellStyle name="Note 21 6 4" xfId="28255"/>
    <cellStyle name="Note 21 6 5" xfId="28256"/>
    <cellStyle name="Note 21 6 6" xfId="28257"/>
    <cellStyle name="Note 21 6 7" xfId="28250"/>
    <cellStyle name="Note 21 7" xfId="6363"/>
    <cellStyle name="Note 21 7 2" xfId="28259"/>
    <cellStyle name="Note 21 7 3" xfId="28258"/>
    <cellStyle name="Note 21 8" xfId="8369"/>
    <cellStyle name="Note 21 9" xfId="28260"/>
    <cellStyle name="Note 22" xfId="2795"/>
    <cellStyle name="Note 22 10" xfId="28261"/>
    <cellStyle name="Note 22 2" xfId="6364"/>
    <cellStyle name="Note 22 2 2" xfId="28263"/>
    <cellStyle name="Note 22 2 2 2" xfId="28264"/>
    <cellStyle name="Note 22 2 2 2 2" xfId="28265"/>
    <cellStyle name="Note 22 2 2 2 3" xfId="28266"/>
    <cellStyle name="Note 22 2 2 3" xfId="28267"/>
    <cellStyle name="Note 22 2 2 3 2" xfId="28268"/>
    <cellStyle name="Note 22 2 2 4" xfId="28269"/>
    <cellStyle name="Note 22 2 2 4 2" xfId="28270"/>
    <cellStyle name="Note 22 2 2 5" xfId="28271"/>
    <cellStyle name="Note 22 2 2 6" xfId="28272"/>
    <cellStyle name="Note 22 2 2 7" xfId="28273"/>
    <cellStyle name="Note 22 2 2 8" xfId="28274"/>
    <cellStyle name="Note 22 2 2 9" xfId="28275"/>
    <cellStyle name="Note 22 2 3" xfId="28276"/>
    <cellStyle name="Note 22 2 3 2" xfId="28277"/>
    <cellStyle name="Note 22 2 3 2 2" xfId="28278"/>
    <cellStyle name="Note 22 2 3 2 3" xfId="28279"/>
    <cellStyle name="Note 22 2 3 3" xfId="28280"/>
    <cellStyle name="Note 22 2 3 3 2" xfId="28281"/>
    <cellStyle name="Note 22 2 3 4" xfId="28282"/>
    <cellStyle name="Note 22 2 3 5" xfId="28283"/>
    <cellStyle name="Note 22 2 3 6" xfId="28284"/>
    <cellStyle name="Note 22 2 4" xfId="28285"/>
    <cellStyle name="Note 22 2 4 2" xfId="28286"/>
    <cellStyle name="Note 22 2 4 3" xfId="28287"/>
    <cellStyle name="Note 22 2 5" xfId="28288"/>
    <cellStyle name="Note 22 2 6" xfId="28289"/>
    <cellStyle name="Note 22 2 7" xfId="28290"/>
    <cellStyle name="Note 22 2 8" xfId="28262"/>
    <cellStyle name="Note 22 3" xfId="6365"/>
    <cellStyle name="Note 22 3 2" xfId="28292"/>
    <cellStyle name="Note 22 3 2 2" xfId="28293"/>
    <cellStyle name="Note 22 3 2 2 2" xfId="28294"/>
    <cellStyle name="Note 22 3 2 3" xfId="28295"/>
    <cellStyle name="Note 22 3 2 3 2" xfId="28296"/>
    <cellStyle name="Note 22 3 2 4" xfId="28297"/>
    <cellStyle name="Note 22 3 2 4 2" xfId="28298"/>
    <cellStyle name="Note 22 3 2 5" xfId="28299"/>
    <cellStyle name="Note 22 3 2 6" xfId="28300"/>
    <cellStyle name="Note 22 3 2 7" xfId="28301"/>
    <cellStyle name="Note 22 3 2 8" xfId="28302"/>
    <cellStyle name="Note 22 3 2 9" xfId="28303"/>
    <cellStyle name="Note 22 3 3" xfId="28304"/>
    <cellStyle name="Note 22 3 3 2" xfId="28305"/>
    <cellStyle name="Note 22 3 3 2 2" xfId="28306"/>
    <cellStyle name="Note 22 3 3 3" xfId="28307"/>
    <cellStyle name="Note 22 3 3 3 2" xfId="28308"/>
    <cellStyle name="Note 22 3 3 4" xfId="28309"/>
    <cellStyle name="Note 22 3 3 5" xfId="28310"/>
    <cellStyle name="Note 22 3 3 6" xfId="28311"/>
    <cellStyle name="Note 22 3 4" xfId="28312"/>
    <cellStyle name="Note 22 3 4 2" xfId="28313"/>
    <cellStyle name="Note 22 3 5" xfId="28314"/>
    <cellStyle name="Note 22 3 6" xfId="28315"/>
    <cellStyle name="Note 22 3 7" xfId="28316"/>
    <cellStyle name="Note 22 3 8" xfId="28291"/>
    <cellStyle name="Note 22 4" xfId="6366"/>
    <cellStyle name="Note 22 4 10" xfId="28317"/>
    <cellStyle name="Note 22 4 2" xfId="6367"/>
    <cellStyle name="Note 22 4 2 2" xfId="28319"/>
    <cellStyle name="Note 22 4 2 3" xfId="28320"/>
    <cellStyle name="Note 22 4 2 4" xfId="28318"/>
    <cellStyle name="Note 22 4 3" xfId="28321"/>
    <cellStyle name="Note 22 4 3 2" xfId="28322"/>
    <cellStyle name="Note 22 4 4" xfId="28323"/>
    <cellStyle name="Note 22 4 4 2" xfId="28324"/>
    <cellStyle name="Note 22 4 5" xfId="28325"/>
    <cellStyle name="Note 22 4 6" xfId="28326"/>
    <cellStyle name="Note 22 4 7" xfId="28327"/>
    <cellStyle name="Note 22 4 8" xfId="28328"/>
    <cellStyle name="Note 22 4 9" xfId="28329"/>
    <cellStyle name="Note 22 5" xfId="6368"/>
    <cellStyle name="Note 22 5 10" xfId="28330"/>
    <cellStyle name="Note 22 5 2" xfId="6369"/>
    <cellStyle name="Note 22 5 2 2" xfId="28332"/>
    <cellStyle name="Note 22 5 2 3" xfId="28333"/>
    <cellStyle name="Note 22 5 2 4" xfId="28331"/>
    <cellStyle name="Note 22 5 3" xfId="28334"/>
    <cellStyle name="Note 22 5 3 2" xfId="28335"/>
    <cellStyle name="Note 22 5 4" xfId="28336"/>
    <cellStyle name="Note 22 5 4 2" xfId="28337"/>
    <cellStyle name="Note 22 5 5" xfId="28338"/>
    <cellStyle name="Note 22 5 6" xfId="28339"/>
    <cellStyle name="Note 22 5 7" xfId="28340"/>
    <cellStyle name="Note 22 5 8" xfId="28341"/>
    <cellStyle name="Note 22 5 9" xfId="28342"/>
    <cellStyle name="Note 22 6" xfId="6370"/>
    <cellStyle name="Note 22 6 2" xfId="28344"/>
    <cellStyle name="Note 22 6 2 2" xfId="28345"/>
    <cellStyle name="Note 22 6 3" xfId="28346"/>
    <cellStyle name="Note 22 6 3 2" xfId="28347"/>
    <cellStyle name="Note 22 6 4" xfId="28348"/>
    <cellStyle name="Note 22 6 5" xfId="28349"/>
    <cellStyle name="Note 22 6 6" xfId="28350"/>
    <cellStyle name="Note 22 6 7" xfId="28343"/>
    <cellStyle name="Note 22 7" xfId="6371"/>
    <cellStyle name="Note 22 7 2" xfId="28352"/>
    <cellStyle name="Note 22 7 3" xfId="28351"/>
    <cellStyle name="Note 22 8" xfId="8370"/>
    <cellStyle name="Note 22 9" xfId="28353"/>
    <cellStyle name="Note 23" xfId="2796"/>
    <cellStyle name="Note 23 10" xfId="28354"/>
    <cellStyle name="Note 23 2" xfId="6372"/>
    <cellStyle name="Note 23 2 2" xfId="28356"/>
    <cellStyle name="Note 23 2 2 2" xfId="28357"/>
    <cellStyle name="Note 23 2 2 2 2" xfId="28358"/>
    <cellStyle name="Note 23 2 2 2 3" xfId="28359"/>
    <cellStyle name="Note 23 2 2 3" xfId="28360"/>
    <cellStyle name="Note 23 2 2 3 2" xfId="28361"/>
    <cellStyle name="Note 23 2 2 4" xfId="28362"/>
    <cellStyle name="Note 23 2 2 4 2" xfId="28363"/>
    <cellStyle name="Note 23 2 2 5" xfId="28364"/>
    <cellStyle name="Note 23 2 2 6" xfId="28365"/>
    <cellStyle name="Note 23 2 2 7" xfId="28366"/>
    <cellStyle name="Note 23 2 2 8" xfId="28367"/>
    <cellStyle name="Note 23 2 2 9" xfId="28368"/>
    <cellStyle name="Note 23 2 3" xfId="28369"/>
    <cellStyle name="Note 23 2 3 2" xfId="28370"/>
    <cellStyle name="Note 23 2 3 2 2" xfId="28371"/>
    <cellStyle name="Note 23 2 3 2 3" xfId="28372"/>
    <cellStyle name="Note 23 2 3 3" xfId="28373"/>
    <cellStyle name="Note 23 2 3 3 2" xfId="28374"/>
    <cellStyle name="Note 23 2 3 4" xfId="28375"/>
    <cellStyle name="Note 23 2 3 5" xfId="28376"/>
    <cellStyle name="Note 23 2 3 6" xfId="28377"/>
    <cellStyle name="Note 23 2 4" xfId="28378"/>
    <cellStyle name="Note 23 2 4 2" xfId="28379"/>
    <cellStyle name="Note 23 2 4 3" xfId="28380"/>
    <cellStyle name="Note 23 2 5" xfId="28381"/>
    <cellStyle name="Note 23 2 6" xfId="28382"/>
    <cellStyle name="Note 23 2 7" xfId="28383"/>
    <cellStyle name="Note 23 2 8" xfId="28355"/>
    <cellStyle name="Note 23 3" xfId="6373"/>
    <cellStyle name="Note 23 3 2" xfId="28385"/>
    <cellStyle name="Note 23 3 2 2" xfId="28386"/>
    <cellStyle name="Note 23 3 2 2 2" xfId="28387"/>
    <cellStyle name="Note 23 3 2 3" xfId="28388"/>
    <cellStyle name="Note 23 3 2 3 2" xfId="28389"/>
    <cellStyle name="Note 23 3 2 4" xfId="28390"/>
    <cellStyle name="Note 23 3 2 4 2" xfId="28391"/>
    <cellStyle name="Note 23 3 2 5" xfId="28392"/>
    <cellStyle name="Note 23 3 2 6" xfId="28393"/>
    <cellStyle name="Note 23 3 2 7" xfId="28394"/>
    <cellStyle name="Note 23 3 2 8" xfId="28395"/>
    <cellStyle name="Note 23 3 2 9" xfId="28396"/>
    <cellStyle name="Note 23 3 3" xfId="28397"/>
    <cellStyle name="Note 23 3 3 2" xfId="28398"/>
    <cellStyle name="Note 23 3 3 2 2" xfId="28399"/>
    <cellStyle name="Note 23 3 3 3" xfId="28400"/>
    <cellStyle name="Note 23 3 3 3 2" xfId="28401"/>
    <cellStyle name="Note 23 3 3 4" xfId="28402"/>
    <cellStyle name="Note 23 3 3 5" xfId="28403"/>
    <cellStyle name="Note 23 3 3 6" xfId="28404"/>
    <cellStyle name="Note 23 3 4" xfId="28405"/>
    <cellStyle name="Note 23 3 4 2" xfId="28406"/>
    <cellStyle name="Note 23 3 5" xfId="28407"/>
    <cellStyle name="Note 23 3 6" xfId="28408"/>
    <cellStyle name="Note 23 3 7" xfId="28409"/>
    <cellStyle name="Note 23 3 8" xfId="28384"/>
    <cellStyle name="Note 23 4" xfId="6374"/>
    <cellStyle name="Note 23 4 10" xfId="28410"/>
    <cellStyle name="Note 23 4 2" xfId="6375"/>
    <cellStyle name="Note 23 4 2 2" xfId="28412"/>
    <cellStyle name="Note 23 4 2 3" xfId="28413"/>
    <cellStyle name="Note 23 4 2 4" xfId="28411"/>
    <cellStyle name="Note 23 4 3" xfId="28414"/>
    <cellStyle name="Note 23 4 3 2" xfId="28415"/>
    <cellStyle name="Note 23 4 4" xfId="28416"/>
    <cellStyle name="Note 23 4 4 2" xfId="28417"/>
    <cellStyle name="Note 23 4 5" xfId="28418"/>
    <cellStyle name="Note 23 4 6" xfId="28419"/>
    <cellStyle name="Note 23 4 7" xfId="28420"/>
    <cellStyle name="Note 23 4 8" xfId="28421"/>
    <cellStyle name="Note 23 4 9" xfId="28422"/>
    <cellStyle name="Note 23 5" xfId="6376"/>
    <cellStyle name="Note 23 5 10" xfId="28423"/>
    <cellStyle name="Note 23 5 2" xfId="6377"/>
    <cellStyle name="Note 23 5 2 2" xfId="28425"/>
    <cellStyle name="Note 23 5 2 3" xfId="28426"/>
    <cellStyle name="Note 23 5 2 4" xfId="28424"/>
    <cellStyle name="Note 23 5 3" xfId="28427"/>
    <cellStyle name="Note 23 5 3 2" xfId="28428"/>
    <cellStyle name="Note 23 5 4" xfId="28429"/>
    <cellStyle name="Note 23 5 4 2" xfId="28430"/>
    <cellStyle name="Note 23 5 5" xfId="28431"/>
    <cellStyle name="Note 23 5 6" xfId="28432"/>
    <cellStyle name="Note 23 5 7" xfId="28433"/>
    <cellStyle name="Note 23 5 8" xfId="28434"/>
    <cellStyle name="Note 23 5 9" xfId="28435"/>
    <cellStyle name="Note 23 6" xfId="6378"/>
    <cellStyle name="Note 23 6 2" xfId="28437"/>
    <cellStyle name="Note 23 6 2 2" xfId="28438"/>
    <cellStyle name="Note 23 6 3" xfId="28439"/>
    <cellStyle name="Note 23 6 3 2" xfId="28440"/>
    <cellStyle name="Note 23 6 4" xfId="28441"/>
    <cellStyle name="Note 23 6 5" xfId="28442"/>
    <cellStyle name="Note 23 6 6" xfId="28443"/>
    <cellStyle name="Note 23 6 7" xfId="28436"/>
    <cellStyle name="Note 23 7" xfId="6379"/>
    <cellStyle name="Note 23 7 2" xfId="28445"/>
    <cellStyle name="Note 23 7 3" xfId="28444"/>
    <cellStyle name="Note 23 8" xfId="8371"/>
    <cellStyle name="Note 23 9" xfId="28446"/>
    <cellStyle name="Note 24" xfId="2797"/>
    <cellStyle name="Note 24 10" xfId="28447"/>
    <cellStyle name="Note 24 2" xfId="6380"/>
    <cellStyle name="Note 24 2 2" xfId="28449"/>
    <cellStyle name="Note 24 2 2 2" xfId="28450"/>
    <cellStyle name="Note 24 2 2 2 2" xfId="28451"/>
    <cellStyle name="Note 24 2 2 2 3" xfId="28452"/>
    <cellStyle name="Note 24 2 2 3" xfId="28453"/>
    <cellStyle name="Note 24 2 2 3 2" xfId="28454"/>
    <cellStyle name="Note 24 2 2 4" xfId="28455"/>
    <cellStyle name="Note 24 2 2 4 2" xfId="28456"/>
    <cellStyle name="Note 24 2 2 5" xfId="28457"/>
    <cellStyle name="Note 24 2 2 6" xfId="28458"/>
    <cellStyle name="Note 24 2 2 7" xfId="28459"/>
    <cellStyle name="Note 24 2 2 8" xfId="28460"/>
    <cellStyle name="Note 24 2 2 9" xfId="28461"/>
    <cellStyle name="Note 24 2 3" xfId="28462"/>
    <cellStyle name="Note 24 2 3 2" xfId="28463"/>
    <cellStyle name="Note 24 2 3 2 2" xfId="28464"/>
    <cellStyle name="Note 24 2 3 2 3" xfId="28465"/>
    <cellStyle name="Note 24 2 3 3" xfId="28466"/>
    <cellStyle name="Note 24 2 3 3 2" xfId="28467"/>
    <cellStyle name="Note 24 2 3 4" xfId="28468"/>
    <cellStyle name="Note 24 2 3 5" xfId="28469"/>
    <cellStyle name="Note 24 2 3 6" xfId="28470"/>
    <cellStyle name="Note 24 2 4" xfId="28471"/>
    <cellStyle name="Note 24 2 4 2" xfId="28472"/>
    <cellStyle name="Note 24 2 4 3" xfId="28473"/>
    <cellStyle name="Note 24 2 5" xfId="28474"/>
    <cellStyle name="Note 24 2 6" xfId="28475"/>
    <cellStyle name="Note 24 2 7" xfId="28476"/>
    <cellStyle name="Note 24 2 8" xfId="28448"/>
    <cellStyle name="Note 24 3" xfId="6381"/>
    <cellStyle name="Note 24 3 2" xfId="28478"/>
    <cellStyle name="Note 24 3 2 2" xfId="28479"/>
    <cellStyle name="Note 24 3 2 2 2" xfId="28480"/>
    <cellStyle name="Note 24 3 2 3" xfId="28481"/>
    <cellStyle name="Note 24 3 2 3 2" xfId="28482"/>
    <cellStyle name="Note 24 3 2 4" xfId="28483"/>
    <cellStyle name="Note 24 3 2 4 2" xfId="28484"/>
    <cellStyle name="Note 24 3 2 5" xfId="28485"/>
    <cellStyle name="Note 24 3 2 6" xfId="28486"/>
    <cellStyle name="Note 24 3 2 7" xfId="28487"/>
    <cellStyle name="Note 24 3 2 8" xfId="28488"/>
    <cellStyle name="Note 24 3 2 9" xfId="28489"/>
    <cellStyle name="Note 24 3 3" xfId="28490"/>
    <cellStyle name="Note 24 3 3 2" xfId="28491"/>
    <cellStyle name="Note 24 3 3 2 2" xfId="28492"/>
    <cellStyle name="Note 24 3 3 3" xfId="28493"/>
    <cellStyle name="Note 24 3 3 3 2" xfId="28494"/>
    <cellStyle name="Note 24 3 3 4" xfId="28495"/>
    <cellStyle name="Note 24 3 3 5" xfId="28496"/>
    <cellStyle name="Note 24 3 3 6" xfId="28497"/>
    <cellStyle name="Note 24 3 4" xfId="28498"/>
    <cellStyle name="Note 24 3 4 2" xfId="28499"/>
    <cellStyle name="Note 24 3 5" xfId="28500"/>
    <cellStyle name="Note 24 3 6" xfId="28501"/>
    <cellStyle name="Note 24 3 7" xfId="28502"/>
    <cellStyle name="Note 24 3 8" xfId="28477"/>
    <cellStyle name="Note 24 4" xfId="6382"/>
    <cellStyle name="Note 24 4 10" xfId="28503"/>
    <cellStyle name="Note 24 4 2" xfId="6383"/>
    <cellStyle name="Note 24 4 2 2" xfId="28505"/>
    <cellStyle name="Note 24 4 2 3" xfId="28506"/>
    <cellStyle name="Note 24 4 2 4" xfId="28504"/>
    <cellStyle name="Note 24 4 3" xfId="28507"/>
    <cellStyle name="Note 24 4 3 2" xfId="28508"/>
    <cellStyle name="Note 24 4 4" xfId="28509"/>
    <cellStyle name="Note 24 4 4 2" xfId="28510"/>
    <cellStyle name="Note 24 4 5" xfId="28511"/>
    <cellStyle name="Note 24 4 6" xfId="28512"/>
    <cellStyle name="Note 24 4 7" xfId="28513"/>
    <cellStyle name="Note 24 4 8" xfId="28514"/>
    <cellStyle name="Note 24 4 9" xfId="28515"/>
    <cellStyle name="Note 24 5" xfId="6384"/>
    <cellStyle name="Note 24 5 10" xfId="28516"/>
    <cellStyle name="Note 24 5 2" xfId="6385"/>
    <cellStyle name="Note 24 5 2 2" xfId="28518"/>
    <cellStyle name="Note 24 5 2 3" xfId="28519"/>
    <cellStyle name="Note 24 5 2 4" xfId="28517"/>
    <cellStyle name="Note 24 5 3" xfId="28520"/>
    <cellStyle name="Note 24 5 3 2" xfId="28521"/>
    <cellStyle name="Note 24 5 4" xfId="28522"/>
    <cellStyle name="Note 24 5 4 2" xfId="28523"/>
    <cellStyle name="Note 24 5 5" xfId="28524"/>
    <cellStyle name="Note 24 5 6" xfId="28525"/>
    <cellStyle name="Note 24 5 7" xfId="28526"/>
    <cellStyle name="Note 24 5 8" xfId="28527"/>
    <cellStyle name="Note 24 5 9" xfId="28528"/>
    <cellStyle name="Note 24 6" xfId="6386"/>
    <cellStyle name="Note 24 6 2" xfId="28530"/>
    <cellStyle name="Note 24 6 2 2" xfId="28531"/>
    <cellStyle name="Note 24 6 3" xfId="28532"/>
    <cellStyle name="Note 24 6 3 2" xfId="28533"/>
    <cellStyle name="Note 24 6 4" xfId="28534"/>
    <cellStyle name="Note 24 6 5" xfId="28535"/>
    <cellStyle name="Note 24 6 6" xfId="28536"/>
    <cellStyle name="Note 24 6 7" xfId="28529"/>
    <cellStyle name="Note 24 7" xfId="6387"/>
    <cellStyle name="Note 24 7 2" xfId="28538"/>
    <cellStyle name="Note 24 7 3" xfId="28537"/>
    <cellStyle name="Note 24 8" xfId="8372"/>
    <cellStyle name="Note 24 9" xfId="28539"/>
    <cellStyle name="Note 25" xfId="2798"/>
    <cellStyle name="Note 25 10" xfId="28540"/>
    <cellStyle name="Note 25 2" xfId="6388"/>
    <cellStyle name="Note 25 2 2" xfId="28542"/>
    <cellStyle name="Note 25 2 2 2" xfId="28543"/>
    <cellStyle name="Note 25 2 2 2 2" xfId="28544"/>
    <cellStyle name="Note 25 2 2 2 3" xfId="28545"/>
    <cellStyle name="Note 25 2 2 3" xfId="28546"/>
    <cellStyle name="Note 25 2 2 3 2" xfId="28547"/>
    <cellStyle name="Note 25 2 2 4" xfId="28548"/>
    <cellStyle name="Note 25 2 2 4 2" xfId="28549"/>
    <cellStyle name="Note 25 2 2 5" xfId="28550"/>
    <cellStyle name="Note 25 2 2 6" xfId="28551"/>
    <cellStyle name="Note 25 2 2 7" xfId="28552"/>
    <cellStyle name="Note 25 2 2 8" xfId="28553"/>
    <cellStyle name="Note 25 2 2 9" xfId="28554"/>
    <cellStyle name="Note 25 2 3" xfId="28555"/>
    <cellStyle name="Note 25 2 3 2" xfId="28556"/>
    <cellStyle name="Note 25 2 3 2 2" xfId="28557"/>
    <cellStyle name="Note 25 2 3 2 3" xfId="28558"/>
    <cellStyle name="Note 25 2 3 3" xfId="28559"/>
    <cellStyle name="Note 25 2 3 3 2" xfId="28560"/>
    <cellStyle name="Note 25 2 3 4" xfId="28561"/>
    <cellStyle name="Note 25 2 3 5" xfId="28562"/>
    <cellStyle name="Note 25 2 3 6" xfId="28563"/>
    <cellStyle name="Note 25 2 4" xfId="28564"/>
    <cellStyle name="Note 25 2 4 2" xfId="28565"/>
    <cellStyle name="Note 25 2 4 3" xfId="28566"/>
    <cellStyle name="Note 25 2 5" xfId="28567"/>
    <cellStyle name="Note 25 2 6" xfId="28568"/>
    <cellStyle name="Note 25 2 7" xfId="28569"/>
    <cellStyle name="Note 25 2 8" xfId="28541"/>
    <cellStyle name="Note 25 3" xfId="6389"/>
    <cellStyle name="Note 25 3 2" xfId="28571"/>
    <cellStyle name="Note 25 3 2 2" xfId="28572"/>
    <cellStyle name="Note 25 3 2 2 2" xfId="28573"/>
    <cellStyle name="Note 25 3 2 3" xfId="28574"/>
    <cellStyle name="Note 25 3 2 3 2" xfId="28575"/>
    <cellStyle name="Note 25 3 2 4" xfId="28576"/>
    <cellStyle name="Note 25 3 2 4 2" xfId="28577"/>
    <cellStyle name="Note 25 3 2 5" xfId="28578"/>
    <cellStyle name="Note 25 3 2 6" xfId="28579"/>
    <cellStyle name="Note 25 3 2 7" xfId="28580"/>
    <cellStyle name="Note 25 3 2 8" xfId="28581"/>
    <cellStyle name="Note 25 3 2 9" xfId="28582"/>
    <cellStyle name="Note 25 3 3" xfId="28583"/>
    <cellStyle name="Note 25 3 3 2" xfId="28584"/>
    <cellStyle name="Note 25 3 3 2 2" xfId="28585"/>
    <cellStyle name="Note 25 3 3 3" xfId="28586"/>
    <cellStyle name="Note 25 3 3 3 2" xfId="28587"/>
    <cellStyle name="Note 25 3 3 4" xfId="28588"/>
    <cellStyle name="Note 25 3 3 5" xfId="28589"/>
    <cellStyle name="Note 25 3 3 6" xfId="28590"/>
    <cellStyle name="Note 25 3 4" xfId="28591"/>
    <cellStyle name="Note 25 3 4 2" xfId="28592"/>
    <cellStyle name="Note 25 3 5" xfId="28593"/>
    <cellStyle name="Note 25 3 6" xfId="28594"/>
    <cellStyle name="Note 25 3 7" xfId="28595"/>
    <cellStyle name="Note 25 3 8" xfId="28570"/>
    <cellStyle name="Note 25 4" xfId="6390"/>
    <cellStyle name="Note 25 4 10" xfId="28596"/>
    <cellStyle name="Note 25 4 2" xfId="6391"/>
    <cellStyle name="Note 25 4 2 2" xfId="28598"/>
    <cellStyle name="Note 25 4 2 3" xfId="28599"/>
    <cellStyle name="Note 25 4 2 4" xfId="28597"/>
    <cellStyle name="Note 25 4 3" xfId="28600"/>
    <cellStyle name="Note 25 4 3 2" xfId="28601"/>
    <cellStyle name="Note 25 4 4" xfId="28602"/>
    <cellStyle name="Note 25 4 4 2" xfId="28603"/>
    <cellStyle name="Note 25 4 5" xfId="28604"/>
    <cellStyle name="Note 25 4 6" xfId="28605"/>
    <cellStyle name="Note 25 4 7" xfId="28606"/>
    <cellStyle name="Note 25 4 8" xfId="28607"/>
    <cellStyle name="Note 25 4 9" xfId="28608"/>
    <cellStyle name="Note 25 5" xfId="6392"/>
    <cellStyle name="Note 25 5 10" xfId="28609"/>
    <cellStyle name="Note 25 5 2" xfId="6393"/>
    <cellStyle name="Note 25 5 2 2" xfId="28611"/>
    <cellStyle name="Note 25 5 2 3" xfId="28612"/>
    <cellStyle name="Note 25 5 2 4" xfId="28610"/>
    <cellStyle name="Note 25 5 3" xfId="28613"/>
    <cellStyle name="Note 25 5 3 2" xfId="28614"/>
    <cellStyle name="Note 25 5 4" xfId="28615"/>
    <cellStyle name="Note 25 5 4 2" xfId="28616"/>
    <cellStyle name="Note 25 5 5" xfId="28617"/>
    <cellStyle name="Note 25 5 6" xfId="28618"/>
    <cellStyle name="Note 25 5 7" xfId="28619"/>
    <cellStyle name="Note 25 5 8" xfId="28620"/>
    <cellStyle name="Note 25 5 9" xfId="28621"/>
    <cellStyle name="Note 25 6" xfId="6394"/>
    <cellStyle name="Note 25 6 2" xfId="28623"/>
    <cellStyle name="Note 25 6 2 2" xfId="28624"/>
    <cellStyle name="Note 25 6 3" xfId="28625"/>
    <cellStyle name="Note 25 6 3 2" xfId="28626"/>
    <cellStyle name="Note 25 6 4" xfId="28627"/>
    <cellStyle name="Note 25 6 5" xfId="28628"/>
    <cellStyle name="Note 25 6 6" xfId="28629"/>
    <cellStyle name="Note 25 6 7" xfId="28622"/>
    <cellStyle name="Note 25 7" xfId="6395"/>
    <cellStyle name="Note 25 7 2" xfId="28631"/>
    <cellStyle name="Note 25 7 3" xfId="28630"/>
    <cellStyle name="Note 25 8" xfId="8373"/>
    <cellStyle name="Note 25 9" xfId="28632"/>
    <cellStyle name="Note 26" xfId="2799"/>
    <cellStyle name="Note 26 10" xfId="28633"/>
    <cellStyle name="Note 26 2" xfId="6396"/>
    <cellStyle name="Note 26 2 2" xfId="28635"/>
    <cellStyle name="Note 26 2 2 2" xfId="28636"/>
    <cellStyle name="Note 26 2 2 2 2" xfId="28637"/>
    <cellStyle name="Note 26 2 2 2 3" xfId="28638"/>
    <cellStyle name="Note 26 2 2 3" xfId="28639"/>
    <cellStyle name="Note 26 2 2 3 2" xfId="28640"/>
    <cellStyle name="Note 26 2 2 4" xfId="28641"/>
    <cellStyle name="Note 26 2 2 4 2" xfId="28642"/>
    <cellStyle name="Note 26 2 2 5" xfId="28643"/>
    <cellStyle name="Note 26 2 2 6" xfId="28644"/>
    <cellStyle name="Note 26 2 2 7" xfId="28645"/>
    <cellStyle name="Note 26 2 2 8" xfId="28646"/>
    <cellStyle name="Note 26 2 2 9" xfId="28647"/>
    <cellStyle name="Note 26 2 3" xfId="28648"/>
    <cellStyle name="Note 26 2 3 2" xfId="28649"/>
    <cellStyle name="Note 26 2 3 2 2" xfId="28650"/>
    <cellStyle name="Note 26 2 3 2 3" xfId="28651"/>
    <cellStyle name="Note 26 2 3 3" xfId="28652"/>
    <cellStyle name="Note 26 2 3 3 2" xfId="28653"/>
    <cellStyle name="Note 26 2 3 4" xfId="28654"/>
    <cellStyle name="Note 26 2 3 5" xfId="28655"/>
    <cellStyle name="Note 26 2 3 6" xfId="28656"/>
    <cellStyle name="Note 26 2 4" xfId="28657"/>
    <cellStyle name="Note 26 2 4 2" xfId="28658"/>
    <cellStyle name="Note 26 2 4 3" xfId="28659"/>
    <cellStyle name="Note 26 2 5" xfId="28660"/>
    <cellStyle name="Note 26 2 6" xfId="28661"/>
    <cellStyle name="Note 26 2 7" xfId="28662"/>
    <cellStyle name="Note 26 2 8" xfId="28634"/>
    <cellStyle name="Note 26 3" xfId="6397"/>
    <cellStyle name="Note 26 3 2" xfId="28664"/>
    <cellStyle name="Note 26 3 2 2" xfId="28665"/>
    <cellStyle name="Note 26 3 2 2 2" xfId="28666"/>
    <cellStyle name="Note 26 3 2 3" xfId="28667"/>
    <cellStyle name="Note 26 3 2 3 2" xfId="28668"/>
    <cellStyle name="Note 26 3 2 4" xfId="28669"/>
    <cellStyle name="Note 26 3 2 4 2" xfId="28670"/>
    <cellStyle name="Note 26 3 2 5" xfId="28671"/>
    <cellStyle name="Note 26 3 2 6" xfId="28672"/>
    <cellStyle name="Note 26 3 2 7" xfId="28673"/>
    <cellStyle name="Note 26 3 2 8" xfId="28674"/>
    <cellStyle name="Note 26 3 2 9" xfId="28675"/>
    <cellStyle name="Note 26 3 3" xfId="28676"/>
    <cellStyle name="Note 26 3 3 2" xfId="28677"/>
    <cellStyle name="Note 26 3 3 2 2" xfId="28678"/>
    <cellStyle name="Note 26 3 3 3" xfId="28679"/>
    <cellStyle name="Note 26 3 3 3 2" xfId="28680"/>
    <cellStyle name="Note 26 3 3 4" xfId="28681"/>
    <cellStyle name="Note 26 3 3 5" xfId="28682"/>
    <cellStyle name="Note 26 3 3 6" xfId="28683"/>
    <cellStyle name="Note 26 3 4" xfId="28684"/>
    <cellStyle name="Note 26 3 4 2" xfId="28685"/>
    <cellStyle name="Note 26 3 5" xfId="28686"/>
    <cellStyle name="Note 26 3 6" xfId="28687"/>
    <cellStyle name="Note 26 3 7" xfId="28688"/>
    <cellStyle name="Note 26 3 8" xfId="28663"/>
    <cellStyle name="Note 26 4" xfId="6398"/>
    <cellStyle name="Note 26 4 10" xfId="28689"/>
    <cellStyle name="Note 26 4 2" xfId="6399"/>
    <cellStyle name="Note 26 4 2 2" xfId="28691"/>
    <cellStyle name="Note 26 4 2 3" xfId="28692"/>
    <cellStyle name="Note 26 4 2 4" xfId="28690"/>
    <cellStyle name="Note 26 4 3" xfId="28693"/>
    <cellStyle name="Note 26 4 3 2" xfId="28694"/>
    <cellStyle name="Note 26 4 4" xfId="28695"/>
    <cellStyle name="Note 26 4 4 2" xfId="28696"/>
    <cellStyle name="Note 26 4 5" xfId="28697"/>
    <cellStyle name="Note 26 4 6" xfId="28698"/>
    <cellStyle name="Note 26 4 7" xfId="28699"/>
    <cellStyle name="Note 26 4 8" xfId="28700"/>
    <cellStyle name="Note 26 4 9" xfId="28701"/>
    <cellStyle name="Note 26 5" xfId="6400"/>
    <cellStyle name="Note 26 5 10" xfId="28702"/>
    <cellStyle name="Note 26 5 2" xfId="6401"/>
    <cellStyle name="Note 26 5 2 2" xfId="28704"/>
    <cellStyle name="Note 26 5 2 3" xfId="28705"/>
    <cellStyle name="Note 26 5 2 4" xfId="28703"/>
    <cellStyle name="Note 26 5 3" xfId="28706"/>
    <cellStyle name="Note 26 5 3 2" xfId="28707"/>
    <cellStyle name="Note 26 5 4" xfId="28708"/>
    <cellStyle name="Note 26 5 4 2" xfId="28709"/>
    <cellStyle name="Note 26 5 5" xfId="28710"/>
    <cellStyle name="Note 26 5 6" xfId="28711"/>
    <cellStyle name="Note 26 5 7" xfId="28712"/>
    <cellStyle name="Note 26 5 8" xfId="28713"/>
    <cellStyle name="Note 26 5 9" xfId="28714"/>
    <cellStyle name="Note 26 6" xfId="6402"/>
    <cellStyle name="Note 26 6 2" xfId="28716"/>
    <cellStyle name="Note 26 6 2 2" xfId="28717"/>
    <cellStyle name="Note 26 6 3" xfId="28718"/>
    <cellStyle name="Note 26 6 3 2" xfId="28719"/>
    <cellStyle name="Note 26 6 4" xfId="28720"/>
    <cellStyle name="Note 26 6 5" xfId="28721"/>
    <cellStyle name="Note 26 6 6" xfId="28722"/>
    <cellStyle name="Note 26 6 7" xfId="28715"/>
    <cellStyle name="Note 26 7" xfId="6403"/>
    <cellStyle name="Note 26 7 2" xfId="28724"/>
    <cellStyle name="Note 26 7 3" xfId="28723"/>
    <cellStyle name="Note 26 8" xfId="8374"/>
    <cellStyle name="Note 26 9" xfId="28725"/>
    <cellStyle name="Note 27" xfId="2800"/>
    <cellStyle name="Note 27 10" xfId="28726"/>
    <cellStyle name="Note 27 2" xfId="6404"/>
    <cellStyle name="Note 27 2 2" xfId="28728"/>
    <cellStyle name="Note 27 2 2 2" xfId="28729"/>
    <cellStyle name="Note 27 2 2 2 2" xfId="28730"/>
    <cellStyle name="Note 27 2 2 2 3" xfId="28731"/>
    <cellStyle name="Note 27 2 2 3" xfId="28732"/>
    <cellStyle name="Note 27 2 2 3 2" xfId="28733"/>
    <cellStyle name="Note 27 2 2 4" xfId="28734"/>
    <cellStyle name="Note 27 2 2 4 2" xfId="28735"/>
    <cellStyle name="Note 27 2 2 5" xfId="28736"/>
    <cellStyle name="Note 27 2 2 6" xfId="28737"/>
    <cellStyle name="Note 27 2 2 7" xfId="28738"/>
    <cellStyle name="Note 27 2 2 8" xfId="28739"/>
    <cellStyle name="Note 27 2 2 9" xfId="28740"/>
    <cellStyle name="Note 27 2 3" xfId="28741"/>
    <cellStyle name="Note 27 2 3 2" xfId="28742"/>
    <cellStyle name="Note 27 2 3 2 2" xfId="28743"/>
    <cellStyle name="Note 27 2 3 2 3" xfId="28744"/>
    <cellStyle name="Note 27 2 3 3" xfId="28745"/>
    <cellStyle name="Note 27 2 3 3 2" xfId="28746"/>
    <cellStyle name="Note 27 2 3 4" xfId="28747"/>
    <cellStyle name="Note 27 2 3 5" xfId="28748"/>
    <cellStyle name="Note 27 2 3 6" xfId="28749"/>
    <cellStyle name="Note 27 2 4" xfId="28750"/>
    <cellStyle name="Note 27 2 4 2" xfId="28751"/>
    <cellStyle name="Note 27 2 4 3" xfId="28752"/>
    <cellStyle name="Note 27 2 5" xfId="28753"/>
    <cellStyle name="Note 27 2 6" xfId="28754"/>
    <cellStyle name="Note 27 2 7" xfId="28755"/>
    <cellStyle name="Note 27 2 8" xfId="28727"/>
    <cellStyle name="Note 27 3" xfId="6405"/>
    <cellStyle name="Note 27 3 2" xfId="28757"/>
    <cellStyle name="Note 27 3 2 2" xfId="28758"/>
    <cellStyle name="Note 27 3 2 2 2" xfId="28759"/>
    <cellStyle name="Note 27 3 2 3" xfId="28760"/>
    <cellStyle name="Note 27 3 2 3 2" xfId="28761"/>
    <cellStyle name="Note 27 3 2 4" xfId="28762"/>
    <cellStyle name="Note 27 3 2 4 2" xfId="28763"/>
    <cellStyle name="Note 27 3 2 5" xfId="28764"/>
    <cellStyle name="Note 27 3 2 6" xfId="28765"/>
    <cellStyle name="Note 27 3 2 7" xfId="28766"/>
    <cellStyle name="Note 27 3 2 8" xfId="28767"/>
    <cellStyle name="Note 27 3 2 9" xfId="28768"/>
    <cellStyle name="Note 27 3 3" xfId="28769"/>
    <cellStyle name="Note 27 3 3 2" xfId="28770"/>
    <cellStyle name="Note 27 3 3 2 2" xfId="28771"/>
    <cellStyle name="Note 27 3 3 3" xfId="28772"/>
    <cellStyle name="Note 27 3 3 3 2" xfId="28773"/>
    <cellStyle name="Note 27 3 3 4" xfId="28774"/>
    <cellStyle name="Note 27 3 3 5" xfId="28775"/>
    <cellStyle name="Note 27 3 3 6" xfId="28776"/>
    <cellStyle name="Note 27 3 4" xfId="28777"/>
    <cellStyle name="Note 27 3 4 2" xfId="28778"/>
    <cellStyle name="Note 27 3 5" xfId="28779"/>
    <cellStyle name="Note 27 3 6" xfId="28780"/>
    <cellStyle name="Note 27 3 7" xfId="28781"/>
    <cellStyle name="Note 27 3 8" xfId="28756"/>
    <cellStyle name="Note 27 4" xfId="6406"/>
    <cellStyle name="Note 27 4 10" xfId="28782"/>
    <cellStyle name="Note 27 4 2" xfId="6407"/>
    <cellStyle name="Note 27 4 2 2" xfId="28784"/>
    <cellStyle name="Note 27 4 2 3" xfId="28785"/>
    <cellStyle name="Note 27 4 2 4" xfId="28783"/>
    <cellStyle name="Note 27 4 3" xfId="28786"/>
    <cellStyle name="Note 27 4 3 2" xfId="28787"/>
    <cellStyle name="Note 27 4 4" xfId="28788"/>
    <cellStyle name="Note 27 4 4 2" xfId="28789"/>
    <cellStyle name="Note 27 4 5" xfId="28790"/>
    <cellStyle name="Note 27 4 6" xfId="28791"/>
    <cellStyle name="Note 27 4 7" xfId="28792"/>
    <cellStyle name="Note 27 4 8" xfId="28793"/>
    <cellStyle name="Note 27 4 9" xfId="28794"/>
    <cellStyle name="Note 27 5" xfId="6408"/>
    <cellStyle name="Note 27 5 10" xfId="28795"/>
    <cellStyle name="Note 27 5 2" xfId="6409"/>
    <cellStyle name="Note 27 5 2 2" xfId="28797"/>
    <cellStyle name="Note 27 5 2 3" xfId="28798"/>
    <cellStyle name="Note 27 5 2 4" xfId="28796"/>
    <cellStyle name="Note 27 5 3" xfId="28799"/>
    <cellStyle name="Note 27 5 3 2" xfId="28800"/>
    <cellStyle name="Note 27 5 4" xfId="28801"/>
    <cellStyle name="Note 27 5 4 2" xfId="28802"/>
    <cellStyle name="Note 27 5 5" xfId="28803"/>
    <cellStyle name="Note 27 5 6" xfId="28804"/>
    <cellStyle name="Note 27 5 7" xfId="28805"/>
    <cellStyle name="Note 27 5 8" xfId="28806"/>
    <cellStyle name="Note 27 5 9" xfId="28807"/>
    <cellStyle name="Note 27 6" xfId="6410"/>
    <cellStyle name="Note 27 6 2" xfId="28809"/>
    <cellStyle name="Note 27 6 2 2" xfId="28810"/>
    <cellStyle name="Note 27 6 3" xfId="28811"/>
    <cellStyle name="Note 27 6 3 2" xfId="28812"/>
    <cellStyle name="Note 27 6 4" xfId="28813"/>
    <cellStyle name="Note 27 6 5" xfId="28814"/>
    <cellStyle name="Note 27 6 6" xfId="28815"/>
    <cellStyle name="Note 27 6 7" xfId="28808"/>
    <cellStyle name="Note 27 7" xfId="6411"/>
    <cellStyle name="Note 27 7 2" xfId="28817"/>
    <cellStyle name="Note 27 7 3" xfId="28816"/>
    <cellStyle name="Note 27 8" xfId="8375"/>
    <cellStyle name="Note 27 9" xfId="28818"/>
    <cellStyle name="Note 28" xfId="2801"/>
    <cellStyle name="Note 28 10" xfId="28819"/>
    <cellStyle name="Note 28 2" xfId="6412"/>
    <cellStyle name="Note 28 2 2" xfId="28821"/>
    <cellStyle name="Note 28 2 2 2" xfId="28822"/>
    <cellStyle name="Note 28 2 2 2 2" xfId="28823"/>
    <cellStyle name="Note 28 2 2 2 3" xfId="28824"/>
    <cellStyle name="Note 28 2 2 3" xfId="28825"/>
    <cellStyle name="Note 28 2 2 3 2" xfId="28826"/>
    <cellStyle name="Note 28 2 2 4" xfId="28827"/>
    <cellStyle name="Note 28 2 2 4 2" xfId="28828"/>
    <cellStyle name="Note 28 2 2 5" xfId="28829"/>
    <cellStyle name="Note 28 2 2 6" xfId="28830"/>
    <cellStyle name="Note 28 2 2 7" xfId="28831"/>
    <cellStyle name="Note 28 2 2 8" xfId="28832"/>
    <cellStyle name="Note 28 2 2 9" xfId="28833"/>
    <cellStyle name="Note 28 2 3" xfId="28834"/>
    <cellStyle name="Note 28 2 3 2" xfId="28835"/>
    <cellStyle name="Note 28 2 3 2 2" xfId="28836"/>
    <cellStyle name="Note 28 2 3 2 3" xfId="28837"/>
    <cellStyle name="Note 28 2 3 3" xfId="28838"/>
    <cellStyle name="Note 28 2 3 3 2" xfId="28839"/>
    <cellStyle name="Note 28 2 3 4" xfId="28840"/>
    <cellStyle name="Note 28 2 3 5" xfId="28841"/>
    <cellStyle name="Note 28 2 3 6" xfId="28842"/>
    <cellStyle name="Note 28 2 4" xfId="28843"/>
    <cellStyle name="Note 28 2 4 2" xfId="28844"/>
    <cellStyle name="Note 28 2 4 3" xfId="28845"/>
    <cellStyle name="Note 28 2 5" xfId="28846"/>
    <cellStyle name="Note 28 2 6" xfId="28847"/>
    <cellStyle name="Note 28 2 7" xfId="28848"/>
    <cellStyle name="Note 28 2 8" xfId="28820"/>
    <cellStyle name="Note 28 3" xfId="6413"/>
    <cellStyle name="Note 28 3 2" xfId="28850"/>
    <cellStyle name="Note 28 3 2 2" xfId="28851"/>
    <cellStyle name="Note 28 3 2 2 2" xfId="28852"/>
    <cellStyle name="Note 28 3 2 3" xfId="28853"/>
    <cellStyle name="Note 28 3 2 3 2" xfId="28854"/>
    <cellStyle name="Note 28 3 2 4" xfId="28855"/>
    <cellStyle name="Note 28 3 2 4 2" xfId="28856"/>
    <cellStyle name="Note 28 3 2 5" xfId="28857"/>
    <cellStyle name="Note 28 3 2 6" xfId="28858"/>
    <cellStyle name="Note 28 3 2 7" xfId="28859"/>
    <cellStyle name="Note 28 3 2 8" xfId="28860"/>
    <cellStyle name="Note 28 3 2 9" xfId="28861"/>
    <cellStyle name="Note 28 3 3" xfId="28862"/>
    <cellStyle name="Note 28 3 3 2" xfId="28863"/>
    <cellStyle name="Note 28 3 3 2 2" xfId="28864"/>
    <cellStyle name="Note 28 3 3 3" xfId="28865"/>
    <cellStyle name="Note 28 3 3 3 2" xfId="28866"/>
    <cellStyle name="Note 28 3 3 4" xfId="28867"/>
    <cellStyle name="Note 28 3 3 5" xfId="28868"/>
    <cellStyle name="Note 28 3 3 6" xfId="28869"/>
    <cellStyle name="Note 28 3 4" xfId="28870"/>
    <cellStyle name="Note 28 3 4 2" xfId="28871"/>
    <cellStyle name="Note 28 3 5" xfId="28872"/>
    <cellStyle name="Note 28 3 6" xfId="28873"/>
    <cellStyle name="Note 28 3 7" xfId="28874"/>
    <cellStyle name="Note 28 3 8" xfId="28849"/>
    <cellStyle name="Note 28 4" xfId="6414"/>
    <cellStyle name="Note 28 4 10" xfId="28875"/>
    <cellStyle name="Note 28 4 2" xfId="6415"/>
    <cellStyle name="Note 28 4 2 2" xfId="28877"/>
    <cellStyle name="Note 28 4 2 3" xfId="28878"/>
    <cellStyle name="Note 28 4 2 4" xfId="28876"/>
    <cellStyle name="Note 28 4 3" xfId="28879"/>
    <cellStyle name="Note 28 4 3 2" xfId="28880"/>
    <cellStyle name="Note 28 4 4" xfId="28881"/>
    <cellStyle name="Note 28 4 4 2" xfId="28882"/>
    <cellStyle name="Note 28 4 5" xfId="28883"/>
    <cellStyle name="Note 28 4 6" xfId="28884"/>
    <cellStyle name="Note 28 4 7" xfId="28885"/>
    <cellStyle name="Note 28 4 8" xfId="28886"/>
    <cellStyle name="Note 28 4 9" xfId="28887"/>
    <cellStyle name="Note 28 5" xfId="6416"/>
    <cellStyle name="Note 28 5 10" xfId="28888"/>
    <cellStyle name="Note 28 5 2" xfId="6417"/>
    <cellStyle name="Note 28 5 2 2" xfId="28890"/>
    <cellStyle name="Note 28 5 2 3" xfId="28891"/>
    <cellStyle name="Note 28 5 2 4" xfId="28889"/>
    <cellStyle name="Note 28 5 3" xfId="28892"/>
    <cellStyle name="Note 28 5 3 2" xfId="28893"/>
    <cellStyle name="Note 28 5 4" xfId="28894"/>
    <cellStyle name="Note 28 5 4 2" xfId="28895"/>
    <cellStyle name="Note 28 5 5" xfId="28896"/>
    <cellStyle name="Note 28 5 6" xfId="28897"/>
    <cellStyle name="Note 28 5 7" xfId="28898"/>
    <cellStyle name="Note 28 5 8" xfId="28899"/>
    <cellStyle name="Note 28 5 9" xfId="28900"/>
    <cellStyle name="Note 28 6" xfId="6418"/>
    <cellStyle name="Note 28 6 2" xfId="28902"/>
    <cellStyle name="Note 28 6 2 2" xfId="28903"/>
    <cellStyle name="Note 28 6 3" xfId="28904"/>
    <cellStyle name="Note 28 6 3 2" xfId="28905"/>
    <cellStyle name="Note 28 6 4" xfId="28906"/>
    <cellStyle name="Note 28 6 5" xfId="28907"/>
    <cellStyle name="Note 28 6 6" xfId="28908"/>
    <cellStyle name="Note 28 6 7" xfId="28901"/>
    <cellStyle name="Note 28 7" xfId="6419"/>
    <cellStyle name="Note 28 7 2" xfId="28910"/>
    <cellStyle name="Note 28 7 3" xfId="28909"/>
    <cellStyle name="Note 28 8" xfId="8376"/>
    <cellStyle name="Note 28 9" xfId="28911"/>
    <cellStyle name="Note 29" xfId="2802"/>
    <cellStyle name="Note 29 10" xfId="28912"/>
    <cellStyle name="Note 29 2" xfId="6420"/>
    <cellStyle name="Note 29 2 2" xfId="28914"/>
    <cellStyle name="Note 29 2 2 2" xfId="28915"/>
    <cellStyle name="Note 29 2 2 2 2" xfId="28916"/>
    <cellStyle name="Note 29 2 2 2 3" xfId="28917"/>
    <cellStyle name="Note 29 2 2 3" xfId="28918"/>
    <cellStyle name="Note 29 2 2 3 2" xfId="28919"/>
    <cellStyle name="Note 29 2 2 4" xfId="28920"/>
    <cellStyle name="Note 29 2 2 4 2" xfId="28921"/>
    <cellStyle name="Note 29 2 2 5" xfId="28922"/>
    <cellStyle name="Note 29 2 2 6" xfId="28923"/>
    <cellStyle name="Note 29 2 2 7" xfId="28924"/>
    <cellStyle name="Note 29 2 2 8" xfId="28925"/>
    <cellStyle name="Note 29 2 2 9" xfId="28926"/>
    <cellStyle name="Note 29 2 3" xfId="28927"/>
    <cellStyle name="Note 29 2 3 2" xfId="28928"/>
    <cellStyle name="Note 29 2 3 2 2" xfId="28929"/>
    <cellStyle name="Note 29 2 3 2 3" xfId="28930"/>
    <cellStyle name="Note 29 2 3 3" xfId="28931"/>
    <cellStyle name="Note 29 2 3 3 2" xfId="28932"/>
    <cellStyle name="Note 29 2 3 4" xfId="28933"/>
    <cellStyle name="Note 29 2 3 5" xfId="28934"/>
    <cellStyle name="Note 29 2 3 6" xfId="28935"/>
    <cellStyle name="Note 29 2 4" xfId="28936"/>
    <cellStyle name="Note 29 2 4 2" xfId="28937"/>
    <cellStyle name="Note 29 2 4 3" xfId="28938"/>
    <cellStyle name="Note 29 2 5" xfId="28939"/>
    <cellStyle name="Note 29 2 6" xfId="28940"/>
    <cellStyle name="Note 29 2 7" xfId="28941"/>
    <cellStyle name="Note 29 2 8" xfId="28913"/>
    <cellStyle name="Note 29 3" xfId="6421"/>
    <cellStyle name="Note 29 3 2" xfId="28943"/>
    <cellStyle name="Note 29 3 2 2" xfId="28944"/>
    <cellStyle name="Note 29 3 2 2 2" xfId="28945"/>
    <cellStyle name="Note 29 3 2 3" xfId="28946"/>
    <cellStyle name="Note 29 3 2 3 2" xfId="28947"/>
    <cellStyle name="Note 29 3 2 4" xfId="28948"/>
    <cellStyle name="Note 29 3 2 4 2" xfId="28949"/>
    <cellStyle name="Note 29 3 2 5" xfId="28950"/>
    <cellStyle name="Note 29 3 2 6" xfId="28951"/>
    <cellStyle name="Note 29 3 2 7" xfId="28952"/>
    <cellStyle name="Note 29 3 2 8" xfId="28953"/>
    <cellStyle name="Note 29 3 2 9" xfId="28954"/>
    <cellStyle name="Note 29 3 3" xfId="28955"/>
    <cellStyle name="Note 29 3 3 2" xfId="28956"/>
    <cellStyle name="Note 29 3 3 2 2" xfId="28957"/>
    <cellStyle name="Note 29 3 3 3" xfId="28958"/>
    <cellStyle name="Note 29 3 3 3 2" xfId="28959"/>
    <cellStyle name="Note 29 3 3 4" xfId="28960"/>
    <cellStyle name="Note 29 3 3 5" xfId="28961"/>
    <cellStyle name="Note 29 3 3 6" xfId="28962"/>
    <cellStyle name="Note 29 3 4" xfId="28963"/>
    <cellStyle name="Note 29 3 4 2" xfId="28964"/>
    <cellStyle name="Note 29 3 5" xfId="28965"/>
    <cellStyle name="Note 29 3 6" xfId="28966"/>
    <cellStyle name="Note 29 3 7" xfId="28967"/>
    <cellStyle name="Note 29 3 8" xfId="28942"/>
    <cellStyle name="Note 29 4" xfId="6422"/>
    <cellStyle name="Note 29 4 10" xfId="28968"/>
    <cellStyle name="Note 29 4 2" xfId="6423"/>
    <cellStyle name="Note 29 4 2 2" xfId="28970"/>
    <cellStyle name="Note 29 4 2 3" xfId="28971"/>
    <cellStyle name="Note 29 4 2 4" xfId="28969"/>
    <cellStyle name="Note 29 4 3" xfId="28972"/>
    <cellStyle name="Note 29 4 3 2" xfId="28973"/>
    <cellStyle name="Note 29 4 4" xfId="28974"/>
    <cellStyle name="Note 29 4 4 2" xfId="28975"/>
    <cellStyle name="Note 29 4 5" xfId="28976"/>
    <cellStyle name="Note 29 4 6" xfId="28977"/>
    <cellStyle name="Note 29 4 7" xfId="28978"/>
    <cellStyle name="Note 29 4 8" xfId="28979"/>
    <cellStyle name="Note 29 4 9" xfId="28980"/>
    <cellStyle name="Note 29 5" xfId="6424"/>
    <cellStyle name="Note 29 5 10" xfId="28981"/>
    <cellStyle name="Note 29 5 2" xfId="6425"/>
    <cellStyle name="Note 29 5 2 2" xfId="28983"/>
    <cellStyle name="Note 29 5 2 3" xfId="28984"/>
    <cellStyle name="Note 29 5 2 4" xfId="28982"/>
    <cellStyle name="Note 29 5 3" xfId="28985"/>
    <cellStyle name="Note 29 5 3 2" xfId="28986"/>
    <cellStyle name="Note 29 5 4" xfId="28987"/>
    <cellStyle name="Note 29 5 4 2" xfId="28988"/>
    <cellStyle name="Note 29 5 5" xfId="28989"/>
    <cellStyle name="Note 29 5 6" xfId="28990"/>
    <cellStyle name="Note 29 5 7" xfId="28991"/>
    <cellStyle name="Note 29 5 8" xfId="28992"/>
    <cellStyle name="Note 29 5 9" xfId="28993"/>
    <cellStyle name="Note 29 6" xfId="6426"/>
    <cellStyle name="Note 29 6 2" xfId="28995"/>
    <cellStyle name="Note 29 6 2 2" xfId="28996"/>
    <cellStyle name="Note 29 6 3" xfId="28997"/>
    <cellStyle name="Note 29 6 3 2" xfId="28998"/>
    <cellStyle name="Note 29 6 4" xfId="28999"/>
    <cellStyle name="Note 29 6 5" xfId="29000"/>
    <cellStyle name="Note 29 6 6" xfId="29001"/>
    <cellStyle name="Note 29 6 7" xfId="28994"/>
    <cellStyle name="Note 29 7" xfId="6427"/>
    <cellStyle name="Note 29 7 2" xfId="29003"/>
    <cellStyle name="Note 29 7 3" xfId="29002"/>
    <cellStyle name="Note 29 8" xfId="8377"/>
    <cellStyle name="Note 29 9" xfId="29004"/>
    <cellStyle name="Note 3" xfId="1869"/>
    <cellStyle name="Note 3 10" xfId="29005"/>
    <cellStyle name="Note 3 11" xfId="29006"/>
    <cellStyle name="Note 3 12" xfId="40669"/>
    <cellStyle name="Note 3 2" xfId="1870"/>
    <cellStyle name="Note 3 2 10" xfId="29008"/>
    <cellStyle name="Note 3 2 11" xfId="29007"/>
    <cellStyle name="Note 3 2 12" xfId="41326"/>
    <cellStyle name="Note 3 2 2" xfId="1871"/>
    <cellStyle name="Note 3 2 2 2" xfId="6429"/>
    <cellStyle name="Note 3 2 2 2 10" xfId="29010"/>
    <cellStyle name="Note 3 2 2 2 2" xfId="29011"/>
    <cellStyle name="Note 3 2 2 2 2 2" xfId="29012"/>
    <cellStyle name="Note 3 2 2 2 3" xfId="29013"/>
    <cellStyle name="Note 3 2 2 2 3 2" xfId="29014"/>
    <cellStyle name="Note 3 2 2 2 4" xfId="29015"/>
    <cellStyle name="Note 3 2 2 2 4 2" xfId="29016"/>
    <cellStyle name="Note 3 2 2 2 5" xfId="29017"/>
    <cellStyle name="Note 3 2 2 2 6" xfId="29018"/>
    <cellStyle name="Note 3 2 2 2 7" xfId="29019"/>
    <cellStyle name="Note 3 2 2 2 8" xfId="29020"/>
    <cellStyle name="Note 3 2 2 2 9" xfId="29021"/>
    <cellStyle name="Note 3 2 2 3" xfId="8177"/>
    <cellStyle name="Note 3 2 2 3 2" xfId="29023"/>
    <cellStyle name="Note 3 2 2 3 2 2" xfId="29024"/>
    <cellStyle name="Note 3 2 2 3 3" xfId="29025"/>
    <cellStyle name="Note 3 2 2 3 3 2" xfId="29026"/>
    <cellStyle name="Note 3 2 2 3 4" xfId="29027"/>
    <cellStyle name="Note 3 2 2 3 5" xfId="29028"/>
    <cellStyle name="Note 3 2 2 3 6" xfId="29029"/>
    <cellStyle name="Note 3 2 2 3 7" xfId="29022"/>
    <cellStyle name="Note 3 2 2 4" xfId="29030"/>
    <cellStyle name="Note 3 2 2 4 2" xfId="29031"/>
    <cellStyle name="Note 3 2 2 5" xfId="29032"/>
    <cellStyle name="Note 3 2 2 6" xfId="29033"/>
    <cellStyle name="Note 3 2 2 7" xfId="29034"/>
    <cellStyle name="Note 3 2 2 7 2" xfId="29035"/>
    <cellStyle name="Note 3 2 2 8" xfId="29009"/>
    <cellStyle name="Note 3 2 2 9" xfId="43765"/>
    <cellStyle name="Note 3 2 3" xfId="6430"/>
    <cellStyle name="Note 3 2 3 2" xfId="29037"/>
    <cellStyle name="Note 3 2 3 2 2" xfId="29038"/>
    <cellStyle name="Note 3 2 3 2 2 2" xfId="29039"/>
    <cellStyle name="Note 3 2 3 2 3" xfId="29040"/>
    <cellStyle name="Note 3 2 3 2 3 2" xfId="29041"/>
    <cellStyle name="Note 3 2 3 2 4" xfId="29042"/>
    <cellStyle name="Note 3 2 3 2 4 2" xfId="29043"/>
    <cellStyle name="Note 3 2 3 2 5" xfId="29044"/>
    <cellStyle name="Note 3 2 3 2 6" xfId="29045"/>
    <cellStyle name="Note 3 2 3 2 7" xfId="29046"/>
    <cellStyle name="Note 3 2 3 2 8" xfId="29047"/>
    <cellStyle name="Note 3 2 3 2 9" xfId="29048"/>
    <cellStyle name="Note 3 2 3 3" xfId="29049"/>
    <cellStyle name="Note 3 2 3 3 2" xfId="29050"/>
    <cellStyle name="Note 3 2 3 3 2 2" xfId="29051"/>
    <cellStyle name="Note 3 2 3 3 3" xfId="29052"/>
    <cellStyle name="Note 3 2 3 3 3 2" xfId="29053"/>
    <cellStyle name="Note 3 2 3 3 4" xfId="29054"/>
    <cellStyle name="Note 3 2 3 3 5" xfId="29055"/>
    <cellStyle name="Note 3 2 3 3 6" xfId="29056"/>
    <cellStyle name="Note 3 2 3 4" xfId="29057"/>
    <cellStyle name="Note 3 2 3 4 2" xfId="29058"/>
    <cellStyle name="Note 3 2 3 5" xfId="29059"/>
    <cellStyle name="Note 3 2 3 6" xfId="29060"/>
    <cellStyle name="Note 3 2 3 7" xfId="29061"/>
    <cellStyle name="Note 3 2 3 7 2" xfId="29062"/>
    <cellStyle name="Note 3 2 3 8" xfId="29036"/>
    <cellStyle name="Note 3 2 3 9" xfId="43651"/>
    <cellStyle name="Note 3 2 4" xfId="6431"/>
    <cellStyle name="Note 3 2 4 10" xfId="29063"/>
    <cellStyle name="Note 3 2 4 11" xfId="45329"/>
    <cellStyle name="Note 3 2 4 2" xfId="6432"/>
    <cellStyle name="Note 3 2 4 2 2" xfId="29065"/>
    <cellStyle name="Note 3 2 4 2 3" xfId="29064"/>
    <cellStyle name="Note 3 2 4 3" xfId="29066"/>
    <cellStyle name="Note 3 2 4 3 2" xfId="29067"/>
    <cellStyle name="Note 3 2 4 4" xfId="29068"/>
    <cellStyle name="Note 3 2 4 4 2" xfId="29069"/>
    <cellStyle name="Note 3 2 4 5" xfId="29070"/>
    <cellStyle name="Note 3 2 4 6" xfId="29071"/>
    <cellStyle name="Note 3 2 4 7" xfId="29072"/>
    <cellStyle name="Note 3 2 4 8" xfId="29073"/>
    <cellStyle name="Note 3 2 4 9" xfId="29074"/>
    <cellStyle name="Note 3 2 5" xfId="6433"/>
    <cellStyle name="Note 3 2 5 10" xfId="29075"/>
    <cellStyle name="Note 3 2 5 2" xfId="6434"/>
    <cellStyle name="Note 3 2 5 2 2" xfId="29077"/>
    <cellStyle name="Note 3 2 5 2 3" xfId="29076"/>
    <cellStyle name="Note 3 2 5 3" xfId="29078"/>
    <cellStyle name="Note 3 2 5 3 2" xfId="29079"/>
    <cellStyle name="Note 3 2 5 4" xfId="29080"/>
    <cellStyle name="Note 3 2 5 4 2" xfId="29081"/>
    <cellStyle name="Note 3 2 5 5" xfId="29082"/>
    <cellStyle name="Note 3 2 5 6" xfId="29083"/>
    <cellStyle name="Note 3 2 5 7" xfId="29084"/>
    <cellStyle name="Note 3 2 5 8" xfId="29085"/>
    <cellStyle name="Note 3 2 5 9" xfId="29086"/>
    <cellStyle name="Note 3 2 6" xfId="6435"/>
    <cellStyle name="Note 3 2 6 2" xfId="29088"/>
    <cellStyle name="Note 3 2 6 2 2" xfId="29089"/>
    <cellStyle name="Note 3 2 6 3" xfId="29090"/>
    <cellStyle name="Note 3 2 6 3 2" xfId="29091"/>
    <cellStyle name="Note 3 2 6 4" xfId="29092"/>
    <cellStyle name="Note 3 2 6 5" xfId="29093"/>
    <cellStyle name="Note 3 2 6 6" xfId="29094"/>
    <cellStyle name="Note 3 2 6 7" xfId="29087"/>
    <cellStyle name="Note 3 2 7" xfId="6436"/>
    <cellStyle name="Note 3 2 7 2" xfId="29096"/>
    <cellStyle name="Note 3 2 7 3" xfId="29095"/>
    <cellStyle name="Note 3 2 8" xfId="6428"/>
    <cellStyle name="Note 3 2 8 2" xfId="29097"/>
    <cellStyle name="Note 3 2 9" xfId="8176"/>
    <cellStyle name="Note 3 2 9 2" xfId="29098"/>
    <cellStyle name="Note 3 3" xfId="1872"/>
    <cellStyle name="Note 3 3 10" xfId="43636"/>
    <cellStyle name="Note 3 3 2" xfId="1873"/>
    <cellStyle name="Note 3 3 2 2" xfId="8179"/>
    <cellStyle name="Note 3 3 2 2 2" xfId="29100"/>
    <cellStyle name="Note 3 3 2 3" xfId="29101"/>
    <cellStyle name="Note 3 3 2 3 2" xfId="29102"/>
    <cellStyle name="Note 3 3 2 4" xfId="29103"/>
    <cellStyle name="Note 3 3 2 4 2" xfId="29104"/>
    <cellStyle name="Note 3 3 2 5" xfId="29105"/>
    <cellStyle name="Note 3 3 2 6" xfId="29106"/>
    <cellStyle name="Note 3 3 2 7" xfId="29107"/>
    <cellStyle name="Note 3 3 2 8" xfId="29108"/>
    <cellStyle name="Note 3 3 2 9" xfId="29109"/>
    <cellStyle name="Note 3 3 3" xfId="8178"/>
    <cellStyle name="Note 3 3 3 2" xfId="29110"/>
    <cellStyle name="Note 3 3 3 2 2" xfId="29111"/>
    <cellStyle name="Note 3 3 3 3" xfId="29112"/>
    <cellStyle name="Note 3 3 3 3 2" xfId="29113"/>
    <cellStyle name="Note 3 3 3 4" xfId="29114"/>
    <cellStyle name="Note 3 3 3 5" xfId="29115"/>
    <cellStyle name="Note 3 3 3 6" xfId="29116"/>
    <cellStyle name="Note 3 3 4" xfId="29117"/>
    <cellStyle name="Note 3 3 4 2" xfId="29118"/>
    <cellStyle name="Note 3 3 5" xfId="29119"/>
    <cellStyle name="Note 3 3 6" xfId="29120"/>
    <cellStyle name="Note 3 3 7" xfId="29121"/>
    <cellStyle name="Note 3 3 7 2" xfId="29122"/>
    <cellStyle name="Note 3 3 8" xfId="29123"/>
    <cellStyle name="Note 3 3 9" xfId="29099"/>
    <cellStyle name="Note 3 4" xfId="1874"/>
    <cellStyle name="Note 3 4 2" xfId="1875"/>
    <cellStyle name="Note 3 4 2 2" xfId="8181"/>
    <cellStyle name="Note 3 4 2 2 2" xfId="29124"/>
    <cellStyle name="Note 3 4 2 3" xfId="29125"/>
    <cellStyle name="Note 3 4 2 3 2" xfId="29126"/>
    <cellStyle name="Note 3 4 2 4" xfId="29127"/>
    <cellStyle name="Note 3 4 2 4 2" xfId="29128"/>
    <cellStyle name="Note 3 4 2 5" xfId="29129"/>
    <cellStyle name="Note 3 4 2 6" xfId="29130"/>
    <cellStyle name="Note 3 4 2 7" xfId="29131"/>
    <cellStyle name="Note 3 4 2 8" xfId="29132"/>
    <cellStyle name="Note 3 4 2 9" xfId="29133"/>
    <cellStyle name="Note 3 4 3" xfId="8180"/>
    <cellStyle name="Note 3 4 3 2" xfId="29134"/>
    <cellStyle name="Note 3 4 3 2 2" xfId="29135"/>
    <cellStyle name="Note 3 4 3 3" xfId="29136"/>
    <cellStyle name="Note 3 4 3 3 2" xfId="29137"/>
    <cellStyle name="Note 3 4 3 4" xfId="29138"/>
    <cellStyle name="Note 3 4 3 5" xfId="29139"/>
    <cellStyle name="Note 3 4 3 6" xfId="29140"/>
    <cellStyle name="Note 3 4 4" xfId="29141"/>
    <cellStyle name="Note 3 4 4 2" xfId="29142"/>
    <cellStyle name="Note 3 4 5" xfId="29143"/>
    <cellStyle name="Note 3 4 6" xfId="29144"/>
    <cellStyle name="Note 3 4 7" xfId="29145"/>
    <cellStyle name="Note 3 4 8" xfId="43574"/>
    <cellStyle name="Note 3 5" xfId="1876"/>
    <cellStyle name="Note 3 5 10" xfId="29147"/>
    <cellStyle name="Note 3 5 11" xfId="29146"/>
    <cellStyle name="Note 3 5 12" xfId="45298"/>
    <cellStyle name="Note 3 5 2" xfId="1877"/>
    <cellStyle name="Note 3 5 2 2" xfId="8183"/>
    <cellStyle name="Note 3 5 2 3" xfId="29148"/>
    <cellStyle name="Note 3 5 3" xfId="8182"/>
    <cellStyle name="Note 3 5 3 2" xfId="29149"/>
    <cellStyle name="Note 3 5 4" xfId="29150"/>
    <cellStyle name="Note 3 5 4 2" xfId="29151"/>
    <cellStyle name="Note 3 5 5" xfId="29152"/>
    <cellStyle name="Note 3 5 6" xfId="29153"/>
    <cellStyle name="Note 3 5 7" xfId="29154"/>
    <cellStyle name="Note 3 5 8" xfId="29155"/>
    <cellStyle name="Note 3 5 9" xfId="29156"/>
    <cellStyle name="Note 3 5 9 2" xfId="29157"/>
    <cellStyle name="Note 3 6" xfId="1878"/>
    <cellStyle name="Note 3 6 10" xfId="29158"/>
    <cellStyle name="Note 3 6 2" xfId="6438"/>
    <cellStyle name="Note 3 6 2 2" xfId="29160"/>
    <cellStyle name="Note 3 6 2 3" xfId="29161"/>
    <cellStyle name="Note 3 6 2 4" xfId="29159"/>
    <cellStyle name="Note 3 6 3" xfId="6437"/>
    <cellStyle name="Note 3 6 3 2" xfId="29163"/>
    <cellStyle name="Note 3 6 3 3" xfId="29162"/>
    <cellStyle name="Note 3 6 4" xfId="8184"/>
    <cellStyle name="Note 3 6 4 2" xfId="29165"/>
    <cellStyle name="Note 3 6 4 3" xfId="29164"/>
    <cellStyle name="Note 3 6 5" xfId="29166"/>
    <cellStyle name="Note 3 6 6" xfId="29167"/>
    <cellStyle name="Note 3 6 7" xfId="29168"/>
    <cellStyle name="Note 3 6 8" xfId="29169"/>
    <cellStyle name="Note 3 6 9" xfId="29170"/>
    <cellStyle name="Note 3 7" xfId="1879"/>
    <cellStyle name="Note 3 7 2" xfId="8185"/>
    <cellStyle name="Note 3 7 2 2" xfId="29171"/>
    <cellStyle name="Note 3 7 3" xfId="29172"/>
    <cellStyle name="Note 3 7 3 2" xfId="29173"/>
    <cellStyle name="Note 3 7 4" xfId="29174"/>
    <cellStyle name="Note 3 7 5" xfId="29175"/>
    <cellStyle name="Note 3 7 6" xfId="29176"/>
    <cellStyle name="Note 3 8" xfId="1880"/>
    <cellStyle name="Note 3 8 2" xfId="6439"/>
    <cellStyle name="Note 3 8 2 2" xfId="29178"/>
    <cellStyle name="Note 3 8 3" xfId="8186"/>
    <cellStyle name="Note 3 8 4" xfId="29177"/>
    <cellStyle name="Note 3 9" xfId="8175"/>
    <cellStyle name="Note 30" xfId="2803"/>
    <cellStyle name="Note 30 10" xfId="29179"/>
    <cellStyle name="Note 30 2" xfId="6440"/>
    <cellStyle name="Note 30 2 2" xfId="29181"/>
    <cellStyle name="Note 30 2 2 2" xfId="29182"/>
    <cellStyle name="Note 30 2 2 2 2" xfId="29183"/>
    <cellStyle name="Note 30 2 2 2 3" xfId="29184"/>
    <cellStyle name="Note 30 2 2 3" xfId="29185"/>
    <cellStyle name="Note 30 2 2 3 2" xfId="29186"/>
    <cellStyle name="Note 30 2 2 4" xfId="29187"/>
    <cellStyle name="Note 30 2 2 4 2" xfId="29188"/>
    <cellStyle name="Note 30 2 2 5" xfId="29189"/>
    <cellStyle name="Note 30 2 2 6" xfId="29190"/>
    <cellStyle name="Note 30 2 2 7" xfId="29191"/>
    <cellStyle name="Note 30 2 2 8" xfId="29192"/>
    <cellStyle name="Note 30 2 2 9" xfId="29193"/>
    <cellStyle name="Note 30 2 3" xfId="29194"/>
    <cellStyle name="Note 30 2 3 2" xfId="29195"/>
    <cellStyle name="Note 30 2 3 2 2" xfId="29196"/>
    <cellStyle name="Note 30 2 3 2 3" xfId="29197"/>
    <cellStyle name="Note 30 2 3 3" xfId="29198"/>
    <cellStyle name="Note 30 2 3 3 2" xfId="29199"/>
    <cellStyle name="Note 30 2 3 4" xfId="29200"/>
    <cellStyle name="Note 30 2 3 5" xfId="29201"/>
    <cellStyle name="Note 30 2 3 6" xfId="29202"/>
    <cellStyle name="Note 30 2 4" xfId="29203"/>
    <cellStyle name="Note 30 2 4 2" xfId="29204"/>
    <cellStyle name="Note 30 2 4 3" xfId="29205"/>
    <cellStyle name="Note 30 2 5" xfId="29206"/>
    <cellStyle name="Note 30 2 6" xfId="29207"/>
    <cellStyle name="Note 30 2 7" xfId="29208"/>
    <cellStyle name="Note 30 2 8" xfId="29180"/>
    <cellStyle name="Note 30 3" xfId="6441"/>
    <cellStyle name="Note 30 3 2" xfId="29210"/>
    <cellStyle name="Note 30 3 2 2" xfId="29211"/>
    <cellStyle name="Note 30 3 2 2 2" xfId="29212"/>
    <cellStyle name="Note 30 3 2 3" xfId="29213"/>
    <cellStyle name="Note 30 3 2 3 2" xfId="29214"/>
    <cellStyle name="Note 30 3 2 4" xfId="29215"/>
    <cellStyle name="Note 30 3 2 4 2" xfId="29216"/>
    <cellStyle name="Note 30 3 2 5" xfId="29217"/>
    <cellStyle name="Note 30 3 2 6" xfId="29218"/>
    <cellStyle name="Note 30 3 2 7" xfId="29219"/>
    <cellStyle name="Note 30 3 2 8" xfId="29220"/>
    <cellStyle name="Note 30 3 2 9" xfId="29221"/>
    <cellStyle name="Note 30 3 3" xfId="29222"/>
    <cellStyle name="Note 30 3 3 2" xfId="29223"/>
    <cellStyle name="Note 30 3 3 2 2" xfId="29224"/>
    <cellStyle name="Note 30 3 3 3" xfId="29225"/>
    <cellStyle name="Note 30 3 3 3 2" xfId="29226"/>
    <cellStyle name="Note 30 3 3 4" xfId="29227"/>
    <cellStyle name="Note 30 3 3 5" xfId="29228"/>
    <cellStyle name="Note 30 3 3 6" xfId="29229"/>
    <cellStyle name="Note 30 3 4" xfId="29230"/>
    <cellStyle name="Note 30 3 4 2" xfId="29231"/>
    <cellStyle name="Note 30 3 5" xfId="29232"/>
    <cellStyle name="Note 30 3 6" xfId="29233"/>
    <cellStyle name="Note 30 3 7" xfId="29234"/>
    <cellStyle name="Note 30 3 8" xfId="29209"/>
    <cellStyle name="Note 30 4" xfId="6442"/>
    <cellStyle name="Note 30 4 10" xfId="29235"/>
    <cellStyle name="Note 30 4 2" xfId="6443"/>
    <cellStyle name="Note 30 4 2 2" xfId="29237"/>
    <cellStyle name="Note 30 4 2 3" xfId="29238"/>
    <cellStyle name="Note 30 4 2 4" xfId="29236"/>
    <cellStyle name="Note 30 4 3" xfId="29239"/>
    <cellStyle name="Note 30 4 3 2" xfId="29240"/>
    <cellStyle name="Note 30 4 4" xfId="29241"/>
    <cellStyle name="Note 30 4 4 2" xfId="29242"/>
    <cellStyle name="Note 30 4 5" xfId="29243"/>
    <cellStyle name="Note 30 4 6" xfId="29244"/>
    <cellStyle name="Note 30 4 7" xfId="29245"/>
    <cellStyle name="Note 30 4 8" xfId="29246"/>
    <cellStyle name="Note 30 4 9" xfId="29247"/>
    <cellStyle name="Note 30 5" xfId="6444"/>
    <cellStyle name="Note 30 5 10" xfId="29248"/>
    <cellStyle name="Note 30 5 2" xfId="6445"/>
    <cellStyle name="Note 30 5 2 2" xfId="29250"/>
    <cellStyle name="Note 30 5 2 3" xfId="29251"/>
    <cellStyle name="Note 30 5 2 4" xfId="29249"/>
    <cellStyle name="Note 30 5 3" xfId="29252"/>
    <cellStyle name="Note 30 5 3 2" xfId="29253"/>
    <cellStyle name="Note 30 5 4" xfId="29254"/>
    <cellStyle name="Note 30 5 4 2" xfId="29255"/>
    <cellStyle name="Note 30 5 5" xfId="29256"/>
    <cellStyle name="Note 30 5 6" xfId="29257"/>
    <cellStyle name="Note 30 5 7" xfId="29258"/>
    <cellStyle name="Note 30 5 8" xfId="29259"/>
    <cellStyle name="Note 30 5 9" xfId="29260"/>
    <cellStyle name="Note 30 6" xfId="6446"/>
    <cellStyle name="Note 30 6 2" xfId="29262"/>
    <cellStyle name="Note 30 6 2 2" xfId="29263"/>
    <cellStyle name="Note 30 6 3" xfId="29264"/>
    <cellStyle name="Note 30 6 3 2" xfId="29265"/>
    <cellStyle name="Note 30 6 4" xfId="29266"/>
    <cellStyle name="Note 30 6 5" xfId="29267"/>
    <cellStyle name="Note 30 6 6" xfId="29268"/>
    <cellStyle name="Note 30 6 7" xfId="29261"/>
    <cellStyle name="Note 30 7" xfId="6447"/>
    <cellStyle name="Note 30 7 2" xfId="29270"/>
    <cellStyle name="Note 30 7 3" xfId="29269"/>
    <cellStyle name="Note 30 8" xfId="8378"/>
    <cellStyle name="Note 30 9" xfId="29271"/>
    <cellStyle name="Note 31" xfId="2804"/>
    <cellStyle name="Note 31 10" xfId="29272"/>
    <cellStyle name="Note 31 2" xfId="6448"/>
    <cellStyle name="Note 31 2 2" xfId="29274"/>
    <cellStyle name="Note 31 2 2 2" xfId="29275"/>
    <cellStyle name="Note 31 2 2 2 2" xfId="29276"/>
    <cellStyle name="Note 31 2 2 2 3" xfId="29277"/>
    <cellStyle name="Note 31 2 2 3" xfId="29278"/>
    <cellStyle name="Note 31 2 2 3 2" xfId="29279"/>
    <cellStyle name="Note 31 2 2 4" xfId="29280"/>
    <cellStyle name="Note 31 2 2 4 2" xfId="29281"/>
    <cellStyle name="Note 31 2 2 5" xfId="29282"/>
    <cellStyle name="Note 31 2 2 6" xfId="29283"/>
    <cellStyle name="Note 31 2 2 7" xfId="29284"/>
    <cellStyle name="Note 31 2 2 8" xfId="29285"/>
    <cellStyle name="Note 31 2 2 9" xfId="29286"/>
    <cellStyle name="Note 31 2 3" xfId="29287"/>
    <cellStyle name="Note 31 2 3 2" xfId="29288"/>
    <cellStyle name="Note 31 2 3 2 2" xfId="29289"/>
    <cellStyle name="Note 31 2 3 2 3" xfId="29290"/>
    <cellStyle name="Note 31 2 3 3" xfId="29291"/>
    <cellStyle name="Note 31 2 3 3 2" xfId="29292"/>
    <cellStyle name="Note 31 2 3 4" xfId="29293"/>
    <cellStyle name="Note 31 2 3 5" xfId="29294"/>
    <cellStyle name="Note 31 2 3 6" xfId="29295"/>
    <cellStyle name="Note 31 2 4" xfId="29296"/>
    <cellStyle name="Note 31 2 4 2" xfId="29297"/>
    <cellStyle name="Note 31 2 4 3" xfId="29298"/>
    <cellStyle name="Note 31 2 5" xfId="29299"/>
    <cellStyle name="Note 31 2 6" xfId="29300"/>
    <cellStyle name="Note 31 2 7" xfId="29301"/>
    <cellStyle name="Note 31 2 8" xfId="29273"/>
    <cellStyle name="Note 31 3" xfId="6449"/>
    <cellStyle name="Note 31 3 2" xfId="29303"/>
    <cellStyle name="Note 31 3 2 2" xfId="29304"/>
    <cellStyle name="Note 31 3 2 2 2" xfId="29305"/>
    <cellStyle name="Note 31 3 2 3" xfId="29306"/>
    <cellStyle name="Note 31 3 2 3 2" xfId="29307"/>
    <cellStyle name="Note 31 3 2 4" xfId="29308"/>
    <cellStyle name="Note 31 3 2 4 2" xfId="29309"/>
    <cellStyle name="Note 31 3 2 5" xfId="29310"/>
    <cellStyle name="Note 31 3 2 6" xfId="29311"/>
    <cellStyle name="Note 31 3 2 7" xfId="29312"/>
    <cellStyle name="Note 31 3 2 8" xfId="29313"/>
    <cellStyle name="Note 31 3 2 9" xfId="29314"/>
    <cellStyle name="Note 31 3 3" xfId="29315"/>
    <cellStyle name="Note 31 3 3 2" xfId="29316"/>
    <cellStyle name="Note 31 3 3 2 2" xfId="29317"/>
    <cellStyle name="Note 31 3 3 3" xfId="29318"/>
    <cellStyle name="Note 31 3 3 3 2" xfId="29319"/>
    <cellStyle name="Note 31 3 3 4" xfId="29320"/>
    <cellStyle name="Note 31 3 3 5" xfId="29321"/>
    <cellStyle name="Note 31 3 3 6" xfId="29322"/>
    <cellStyle name="Note 31 3 4" xfId="29323"/>
    <cellStyle name="Note 31 3 4 2" xfId="29324"/>
    <cellStyle name="Note 31 3 5" xfId="29325"/>
    <cellStyle name="Note 31 3 6" xfId="29326"/>
    <cellStyle name="Note 31 3 7" xfId="29327"/>
    <cellStyle name="Note 31 3 8" xfId="29302"/>
    <cellStyle name="Note 31 4" xfId="6450"/>
    <cellStyle name="Note 31 4 10" xfId="29328"/>
    <cellStyle name="Note 31 4 2" xfId="6451"/>
    <cellStyle name="Note 31 4 2 2" xfId="29330"/>
    <cellStyle name="Note 31 4 2 3" xfId="29331"/>
    <cellStyle name="Note 31 4 2 4" xfId="29329"/>
    <cellStyle name="Note 31 4 3" xfId="29332"/>
    <cellStyle name="Note 31 4 3 2" xfId="29333"/>
    <cellStyle name="Note 31 4 4" xfId="29334"/>
    <cellStyle name="Note 31 4 4 2" xfId="29335"/>
    <cellStyle name="Note 31 4 5" xfId="29336"/>
    <cellStyle name="Note 31 4 6" xfId="29337"/>
    <cellStyle name="Note 31 4 7" xfId="29338"/>
    <cellStyle name="Note 31 4 8" xfId="29339"/>
    <cellStyle name="Note 31 4 9" xfId="29340"/>
    <cellStyle name="Note 31 5" xfId="6452"/>
    <cellStyle name="Note 31 5 10" xfId="29341"/>
    <cellStyle name="Note 31 5 2" xfId="6453"/>
    <cellStyle name="Note 31 5 2 2" xfId="29343"/>
    <cellStyle name="Note 31 5 2 3" xfId="29344"/>
    <cellStyle name="Note 31 5 2 4" xfId="29342"/>
    <cellStyle name="Note 31 5 3" xfId="29345"/>
    <cellStyle name="Note 31 5 3 2" xfId="29346"/>
    <cellStyle name="Note 31 5 4" xfId="29347"/>
    <cellStyle name="Note 31 5 4 2" xfId="29348"/>
    <cellStyle name="Note 31 5 5" xfId="29349"/>
    <cellStyle name="Note 31 5 6" xfId="29350"/>
    <cellStyle name="Note 31 5 7" xfId="29351"/>
    <cellStyle name="Note 31 5 8" xfId="29352"/>
    <cellStyle name="Note 31 5 9" xfId="29353"/>
    <cellStyle name="Note 31 6" xfId="6454"/>
    <cellStyle name="Note 31 6 2" xfId="29355"/>
    <cellStyle name="Note 31 6 2 2" xfId="29356"/>
    <cellStyle name="Note 31 6 3" xfId="29357"/>
    <cellStyle name="Note 31 6 3 2" xfId="29358"/>
    <cellStyle name="Note 31 6 4" xfId="29359"/>
    <cellStyle name="Note 31 6 5" xfId="29360"/>
    <cellStyle name="Note 31 6 6" xfId="29361"/>
    <cellStyle name="Note 31 6 7" xfId="29354"/>
    <cellStyle name="Note 31 7" xfId="6455"/>
    <cellStyle name="Note 31 7 2" xfId="29363"/>
    <cellStyle name="Note 31 7 3" xfId="29362"/>
    <cellStyle name="Note 31 8" xfId="8379"/>
    <cellStyle name="Note 31 9" xfId="29364"/>
    <cellStyle name="Note 32" xfId="2805"/>
    <cellStyle name="Note 32 10" xfId="29365"/>
    <cellStyle name="Note 32 2" xfId="6456"/>
    <cellStyle name="Note 32 2 2" xfId="29367"/>
    <cellStyle name="Note 32 2 2 2" xfId="29368"/>
    <cellStyle name="Note 32 2 2 2 2" xfId="29369"/>
    <cellStyle name="Note 32 2 2 2 3" xfId="29370"/>
    <cellStyle name="Note 32 2 2 3" xfId="29371"/>
    <cellStyle name="Note 32 2 2 3 2" xfId="29372"/>
    <cellStyle name="Note 32 2 2 4" xfId="29373"/>
    <cellStyle name="Note 32 2 2 4 2" xfId="29374"/>
    <cellStyle name="Note 32 2 2 5" xfId="29375"/>
    <cellStyle name="Note 32 2 2 6" xfId="29376"/>
    <cellStyle name="Note 32 2 2 7" xfId="29377"/>
    <cellStyle name="Note 32 2 2 8" xfId="29378"/>
    <cellStyle name="Note 32 2 2 9" xfId="29379"/>
    <cellStyle name="Note 32 2 3" xfId="29380"/>
    <cellStyle name="Note 32 2 3 2" xfId="29381"/>
    <cellStyle name="Note 32 2 3 2 2" xfId="29382"/>
    <cellStyle name="Note 32 2 3 2 3" xfId="29383"/>
    <cellStyle name="Note 32 2 3 3" xfId="29384"/>
    <cellStyle name="Note 32 2 3 3 2" xfId="29385"/>
    <cellStyle name="Note 32 2 3 4" xfId="29386"/>
    <cellStyle name="Note 32 2 3 5" xfId="29387"/>
    <cellStyle name="Note 32 2 3 6" xfId="29388"/>
    <cellStyle name="Note 32 2 4" xfId="29389"/>
    <cellStyle name="Note 32 2 4 2" xfId="29390"/>
    <cellStyle name="Note 32 2 4 3" xfId="29391"/>
    <cellStyle name="Note 32 2 5" xfId="29392"/>
    <cellStyle name="Note 32 2 6" xfId="29393"/>
    <cellStyle name="Note 32 2 7" xfId="29394"/>
    <cellStyle name="Note 32 2 8" xfId="29366"/>
    <cellStyle name="Note 32 3" xfId="6457"/>
    <cellStyle name="Note 32 3 2" xfId="29396"/>
    <cellStyle name="Note 32 3 2 2" xfId="29397"/>
    <cellStyle name="Note 32 3 2 2 2" xfId="29398"/>
    <cellStyle name="Note 32 3 2 3" xfId="29399"/>
    <cellStyle name="Note 32 3 2 3 2" xfId="29400"/>
    <cellStyle name="Note 32 3 2 4" xfId="29401"/>
    <cellStyle name="Note 32 3 2 4 2" xfId="29402"/>
    <cellStyle name="Note 32 3 2 5" xfId="29403"/>
    <cellStyle name="Note 32 3 2 6" xfId="29404"/>
    <cellStyle name="Note 32 3 2 7" xfId="29405"/>
    <cellStyle name="Note 32 3 2 8" xfId="29406"/>
    <cellStyle name="Note 32 3 2 9" xfId="29407"/>
    <cellStyle name="Note 32 3 3" xfId="29408"/>
    <cellStyle name="Note 32 3 3 2" xfId="29409"/>
    <cellStyle name="Note 32 3 3 2 2" xfId="29410"/>
    <cellStyle name="Note 32 3 3 3" xfId="29411"/>
    <cellStyle name="Note 32 3 3 3 2" xfId="29412"/>
    <cellStyle name="Note 32 3 3 4" xfId="29413"/>
    <cellStyle name="Note 32 3 3 5" xfId="29414"/>
    <cellStyle name="Note 32 3 3 6" xfId="29415"/>
    <cellStyle name="Note 32 3 4" xfId="29416"/>
    <cellStyle name="Note 32 3 4 2" xfId="29417"/>
    <cellStyle name="Note 32 3 5" xfId="29418"/>
    <cellStyle name="Note 32 3 6" xfId="29419"/>
    <cellStyle name="Note 32 3 7" xfId="29420"/>
    <cellStyle name="Note 32 3 8" xfId="29395"/>
    <cellStyle name="Note 32 4" xfId="6458"/>
    <cellStyle name="Note 32 4 10" xfId="29421"/>
    <cellStyle name="Note 32 4 2" xfId="6459"/>
    <cellStyle name="Note 32 4 2 2" xfId="29423"/>
    <cellStyle name="Note 32 4 2 3" xfId="29424"/>
    <cellStyle name="Note 32 4 2 4" xfId="29422"/>
    <cellStyle name="Note 32 4 3" xfId="29425"/>
    <cellStyle name="Note 32 4 3 2" xfId="29426"/>
    <cellStyle name="Note 32 4 4" xfId="29427"/>
    <cellStyle name="Note 32 4 4 2" xfId="29428"/>
    <cellStyle name="Note 32 4 5" xfId="29429"/>
    <cellStyle name="Note 32 4 6" xfId="29430"/>
    <cellStyle name="Note 32 4 7" xfId="29431"/>
    <cellStyle name="Note 32 4 8" xfId="29432"/>
    <cellStyle name="Note 32 4 9" xfId="29433"/>
    <cellStyle name="Note 32 5" xfId="6460"/>
    <cellStyle name="Note 32 5 10" xfId="29434"/>
    <cellStyle name="Note 32 5 2" xfId="6461"/>
    <cellStyle name="Note 32 5 2 2" xfId="29436"/>
    <cellStyle name="Note 32 5 2 3" xfId="29437"/>
    <cellStyle name="Note 32 5 2 4" xfId="29435"/>
    <cellStyle name="Note 32 5 3" xfId="29438"/>
    <cellStyle name="Note 32 5 3 2" xfId="29439"/>
    <cellStyle name="Note 32 5 4" xfId="29440"/>
    <cellStyle name="Note 32 5 4 2" xfId="29441"/>
    <cellStyle name="Note 32 5 5" xfId="29442"/>
    <cellStyle name="Note 32 5 6" xfId="29443"/>
    <cellStyle name="Note 32 5 7" xfId="29444"/>
    <cellStyle name="Note 32 5 8" xfId="29445"/>
    <cellStyle name="Note 32 5 9" xfId="29446"/>
    <cellStyle name="Note 32 6" xfId="6462"/>
    <cellStyle name="Note 32 6 2" xfId="29448"/>
    <cellStyle name="Note 32 6 2 2" xfId="29449"/>
    <cellStyle name="Note 32 6 3" xfId="29450"/>
    <cellStyle name="Note 32 6 3 2" xfId="29451"/>
    <cellStyle name="Note 32 6 4" xfId="29452"/>
    <cellStyle name="Note 32 6 5" xfId="29453"/>
    <cellStyle name="Note 32 6 6" xfId="29454"/>
    <cellStyle name="Note 32 6 7" xfId="29447"/>
    <cellStyle name="Note 32 7" xfId="6463"/>
    <cellStyle name="Note 32 7 2" xfId="29456"/>
    <cellStyle name="Note 32 7 3" xfId="29455"/>
    <cellStyle name="Note 32 8" xfId="8380"/>
    <cellStyle name="Note 32 9" xfId="29457"/>
    <cellStyle name="Note 33" xfId="2806"/>
    <cellStyle name="Note 33 10" xfId="29458"/>
    <cellStyle name="Note 33 2" xfId="6464"/>
    <cellStyle name="Note 33 2 2" xfId="29460"/>
    <cellStyle name="Note 33 2 2 2" xfId="29461"/>
    <cellStyle name="Note 33 2 2 2 2" xfId="29462"/>
    <cellStyle name="Note 33 2 2 2 3" xfId="29463"/>
    <cellStyle name="Note 33 2 2 3" xfId="29464"/>
    <cellStyle name="Note 33 2 2 3 2" xfId="29465"/>
    <cellStyle name="Note 33 2 2 4" xfId="29466"/>
    <cellStyle name="Note 33 2 2 4 2" xfId="29467"/>
    <cellStyle name="Note 33 2 2 5" xfId="29468"/>
    <cellStyle name="Note 33 2 2 6" xfId="29469"/>
    <cellStyle name="Note 33 2 2 7" xfId="29470"/>
    <cellStyle name="Note 33 2 2 8" xfId="29471"/>
    <cellStyle name="Note 33 2 2 9" xfId="29472"/>
    <cellStyle name="Note 33 2 3" xfId="29473"/>
    <cellStyle name="Note 33 2 3 2" xfId="29474"/>
    <cellStyle name="Note 33 2 3 2 2" xfId="29475"/>
    <cellStyle name="Note 33 2 3 2 3" xfId="29476"/>
    <cellStyle name="Note 33 2 3 3" xfId="29477"/>
    <cellStyle name="Note 33 2 3 3 2" xfId="29478"/>
    <cellStyle name="Note 33 2 3 4" xfId="29479"/>
    <cellStyle name="Note 33 2 3 5" xfId="29480"/>
    <cellStyle name="Note 33 2 3 6" xfId="29481"/>
    <cellStyle name="Note 33 2 4" xfId="29482"/>
    <cellStyle name="Note 33 2 4 2" xfId="29483"/>
    <cellStyle name="Note 33 2 4 3" xfId="29484"/>
    <cellStyle name="Note 33 2 5" xfId="29485"/>
    <cellStyle name="Note 33 2 6" xfId="29486"/>
    <cellStyle name="Note 33 2 7" xfId="29487"/>
    <cellStyle name="Note 33 2 8" xfId="29459"/>
    <cellStyle name="Note 33 3" xfId="6465"/>
    <cellStyle name="Note 33 3 2" xfId="29489"/>
    <cellStyle name="Note 33 3 2 2" xfId="29490"/>
    <cellStyle name="Note 33 3 2 2 2" xfId="29491"/>
    <cellStyle name="Note 33 3 2 3" xfId="29492"/>
    <cellStyle name="Note 33 3 2 3 2" xfId="29493"/>
    <cellStyle name="Note 33 3 2 4" xfId="29494"/>
    <cellStyle name="Note 33 3 2 4 2" xfId="29495"/>
    <cellStyle name="Note 33 3 2 5" xfId="29496"/>
    <cellStyle name="Note 33 3 2 6" xfId="29497"/>
    <cellStyle name="Note 33 3 2 7" xfId="29498"/>
    <cellStyle name="Note 33 3 2 8" xfId="29499"/>
    <cellStyle name="Note 33 3 2 9" xfId="29500"/>
    <cellStyle name="Note 33 3 3" xfId="29501"/>
    <cellStyle name="Note 33 3 3 2" xfId="29502"/>
    <cellStyle name="Note 33 3 3 2 2" xfId="29503"/>
    <cellStyle name="Note 33 3 3 3" xfId="29504"/>
    <cellStyle name="Note 33 3 3 3 2" xfId="29505"/>
    <cellStyle name="Note 33 3 3 4" xfId="29506"/>
    <cellStyle name="Note 33 3 3 5" xfId="29507"/>
    <cellStyle name="Note 33 3 3 6" xfId="29508"/>
    <cellStyle name="Note 33 3 4" xfId="29509"/>
    <cellStyle name="Note 33 3 4 2" xfId="29510"/>
    <cellStyle name="Note 33 3 5" xfId="29511"/>
    <cellStyle name="Note 33 3 6" xfId="29512"/>
    <cellStyle name="Note 33 3 7" xfId="29513"/>
    <cellStyle name="Note 33 3 8" xfId="29488"/>
    <cellStyle name="Note 33 4" xfId="6466"/>
    <cellStyle name="Note 33 4 10" xfId="29514"/>
    <cellStyle name="Note 33 4 2" xfId="6467"/>
    <cellStyle name="Note 33 4 2 2" xfId="29516"/>
    <cellStyle name="Note 33 4 2 3" xfId="29517"/>
    <cellStyle name="Note 33 4 2 4" xfId="29515"/>
    <cellStyle name="Note 33 4 3" xfId="29518"/>
    <cellStyle name="Note 33 4 3 2" xfId="29519"/>
    <cellStyle name="Note 33 4 4" xfId="29520"/>
    <cellStyle name="Note 33 4 4 2" xfId="29521"/>
    <cellStyle name="Note 33 4 5" xfId="29522"/>
    <cellStyle name="Note 33 4 6" xfId="29523"/>
    <cellStyle name="Note 33 4 7" xfId="29524"/>
    <cellStyle name="Note 33 4 8" xfId="29525"/>
    <cellStyle name="Note 33 4 9" xfId="29526"/>
    <cellStyle name="Note 33 5" xfId="6468"/>
    <cellStyle name="Note 33 5 10" xfId="29527"/>
    <cellStyle name="Note 33 5 2" xfId="6469"/>
    <cellStyle name="Note 33 5 2 2" xfId="29529"/>
    <cellStyle name="Note 33 5 2 3" xfId="29530"/>
    <cellStyle name="Note 33 5 2 4" xfId="29528"/>
    <cellStyle name="Note 33 5 3" xfId="29531"/>
    <cellStyle name="Note 33 5 3 2" xfId="29532"/>
    <cellStyle name="Note 33 5 4" xfId="29533"/>
    <cellStyle name="Note 33 5 4 2" xfId="29534"/>
    <cellStyle name="Note 33 5 5" xfId="29535"/>
    <cellStyle name="Note 33 5 6" xfId="29536"/>
    <cellStyle name="Note 33 5 7" xfId="29537"/>
    <cellStyle name="Note 33 5 8" xfId="29538"/>
    <cellStyle name="Note 33 5 9" xfId="29539"/>
    <cellStyle name="Note 33 6" xfId="6470"/>
    <cellStyle name="Note 33 6 2" xfId="29541"/>
    <cellStyle name="Note 33 6 2 2" xfId="29542"/>
    <cellStyle name="Note 33 6 3" xfId="29543"/>
    <cellStyle name="Note 33 6 3 2" xfId="29544"/>
    <cellStyle name="Note 33 6 4" xfId="29545"/>
    <cellStyle name="Note 33 6 5" xfId="29546"/>
    <cellStyle name="Note 33 6 6" xfId="29547"/>
    <cellStyle name="Note 33 6 7" xfId="29540"/>
    <cellStyle name="Note 33 7" xfId="6471"/>
    <cellStyle name="Note 33 7 2" xfId="29549"/>
    <cellStyle name="Note 33 7 3" xfId="29548"/>
    <cellStyle name="Note 33 8" xfId="8381"/>
    <cellStyle name="Note 33 9" xfId="29550"/>
    <cellStyle name="Note 34" xfId="2807"/>
    <cellStyle name="Note 34 10" xfId="29551"/>
    <cellStyle name="Note 34 2" xfId="6472"/>
    <cellStyle name="Note 34 2 2" xfId="29553"/>
    <cellStyle name="Note 34 2 2 2" xfId="29554"/>
    <cellStyle name="Note 34 2 2 2 2" xfId="29555"/>
    <cellStyle name="Note 34 2 2 2 3" xfId="29556"/>
    <cellStyle name="Note 34 2 2 3" xfId="29557"/>
    <cellStyle name="Note 34 2 2 3 2" xfId="29558"/>
    <cellStyle name="Note 34 2 2 4" xfId="29559"/>
    <cellStyle name="Note 34 2 2 4 2" xfId="29560"/>
    <cellStyle name="Note 34 2 2 5" xfId="29561"/>
    <cellStyle name="Note 34 2 2 6" xfId="29562"/>
    <cellStyle name="Note 34 2 2 7" xfId="29563"/>
    <cellStyle name="Note 34 2 2 8" xfId="29564"/>
    <cellStyle name="Note 34 2 2 9" xfId="29565"/>
    <cellStyle name="Note 34 2 3" xfId="29566"/>
    <cellStyle name="Note 34 2 3 2" xfId="29567"/>
    <cellStyle name="Note 34 2 3 2 2" xfId="29568"/>
    <cellStyle name="Note 34 2 3 2 3" xfId="29569"/>
    <cellStyle name="Note 34 2 3 3" xfId="29570"/>
    <cellStyle name="Note 34 2 3 3 2" xfId="29571"/>
    <cellStyle name="Note 34 2 3 4" xfId="29572"/>
    <cellStyle name="Note 34 2 3 5" xfId="29573"/>
    <cellStyle name="Note 34 2 3 6" xfId="29574"/>
    <cellStyle name="Note 34 2 4" xfId="29575"/>
    <cellStyle name="Note 34 2 4 2" xfId="29576"/>
    <cellStyle name="Note 34 2 4 3" xfId="29577"/>
    <cellStyle name="Note 34 2 5" xfId="29578"/>
    <cellStyle name="Note 34 2 6" xfId="29579"/>
    <cellStyle name="Note 34 2 7" xfId="29580"/>
    <cellStyle name="Note 34 2 8" xfId="29552"/>
    <cellStyle name="Note 34 3" xfId="6473"/>
    <cellStyle name="Note 34 3 2" xfId="29582"/>
    <cellStyle name="Note 34 3 2 2" xfId="29583"/>
    <cellStyle name="Note 34 3 2 2 2" xfId="29584"/>
    <cellStyle name="Note 34 3 2 3" xfId="29585"/>
    <cellStyle name="Note 34 3 2 3 2" xfId="29586"/>
    <cellStyle name="Note 34 3 2 4" xfId="29587"/>
    <cellStyle name="Note 34 3 2 4 2" xfId="29588"/>
    <cellStyle name="Note 34 3 2 5" xfId="29589"/>
    <cellStyle name="Note 34 3 2 6" xfId="29590"/>
    <cellStyle name="Note 34 3 2 7" xfId="29591"/>
    <cellStyle name="Note 34 3 2 8" xfId="29592"/>
    <cellStyle name="Note 34 3 2 9" xfId="29593"/>
    <cellStyle name="Note 34 3 3" xfId="29594"/>
    <cellStyle name="Note 34 3 3 2" xfId="29595"/>
    <cellStyle name="Note 34 3 3 2 2" xfId="29596"/>
    <cellStyle name="Note 34 3 3 3" xfId="29597"/>
    <cellStyle name="Note 34 3 3 3 2" xfId="29598"/>
    <cellStyle name="Note 34 3 3 4" xfId="29599"/>
    <cellStyle name="Note 34 3 3 5" xfId="29600"/>
    <cellStyle name="Note 34 3 3 6" xfId="29601"/>
    <cellStyle name="Note 34 3 4" xfId="29602"/>
    <cellStyle name="Note 34 3 4 2" xfId="29603"/>
    <cellStyle name="Note 34 3 5" xfId="29604"/>
    <cellStyle name="Note 34 3 6" xfId="29605"/>
    <cellStyle name="Note 34 3 7" xfId="29606"/>
    <cellStyle name="Note 34 3 8" xfId="29581"/>
    <cellStyle name="Note 34 4" xfId="6474"/>
    <cellStyle name="Note 34 4 10" xfId="29607"/>
    <cellStyle name="Note 34 4 2" xfId="6475"/>
    <cellStyle name="Note 34 4 2 2" xfId="29609"/>
    <cellStyle name="Note 34 4 2 3" xfId="29610"/>
    <cellStyle name="Note 34 4 2 4" xfId="29608"/>
    <cellStyle name="Note 34 4 3" xfId="29611"/>
    <cellStyle name="Note 34 4 3 2" xfId="29612"/>
    <cellStyle name="Note 34 4 4" xfId="29613"/>
    <cellStyle name="Note 34 4 4 2" xfId="29614"/>
    <cellStyle name="Note 34 4 5" xfId="29615"/>
    <cellStyle name="Note 34 4 6" xfId="29616"/>
    <cellStyle name="Note 34 4 7" xfId="29617"/>
    <cellStyle name="Note 34 4 8" xfId="29618"/>
    <cellStyle name="Note 34 4 9" xfId="29619"/>
    <cellStyle name="Note 34 5" xfId="6476"/>
    <cellStyle name="Note 34 5 10" xfId="29620"/>
    <cellStyle name="Note 34 5 2" xfId="6477"/>
    <cellStyle name="Note 34 5 2 2" xfId="29622"/>
    <cellStyle name="Note 34 5 2 3" xfId="29623"/>
    <cellStyle name="Note 34 5 2 4" xfId="29621"/>
    <cellStyle name="Note 34 5 3" xfId="29624"/>
    <cellStyle name="Note 34 5 3 2" xfId="29625"/>
    <cellStyle name="Note 34 5 4" xfId="29626"/>
    <cellStyle name="Note 34 5 4 2" xfId="29627"/>
    <cellStyle name="Note 34 5 5" xfId="29628"/>
    <cellStyle name="Note 34 5 6" xfId="29629"/>
    <cellStyle name="Note 34 5 7" xfId="29630"/>
    <cellStyle name="Note 34 5 8" xfId="29631"/>
    <cellStyle name="Note 34 5 9" xfId="29632"/>
    <cellStyle name="Note 34 6" xfId="6478"/>
    <cellStyle name="Note 34 6 2" xfId="29634"/>
    <cellStyle name="Note 34 6 2 2" xfId="29635"/>
    <cellStyle name="Note 34 6 3" xfId="29636"/>
    <cellStyle name="Note 34 6 3 2" xfId="29637"/>
    <cellStyle name="Note 34 6 4" xfId="29638"/>
    <cellStyle name="Note 34 6 5" xfId="29639"/>
    <cellStyle name="Note 34 6 6" xfId="29640"/>
    <cellStyle name="Note 34 6 7" xfId="29633"/>
    <cellStyle name="Note 34 7" xfId="6479"/>
    <cellStyle name="Note 34 7 2" xfId="29642"/>
    <cellStyle name="Note 34 7 3" xfId="29641"/>
    <cellStyle name="Note 34 8" xfId="8382"/>
    <cellStyle name="Note 34 9" xfId="29643"/>
    <cellStyle name="Note 35" xfId="2808"/>
    <cellStyle name="Note 35 10" xfId="29644"/>
    <cellStyle name="Note 35 2" xfId="6480"/>
    <cellStyle name="Note 35 2 2" xfId="29646"/>
    <cellStyle name="Note 35 2 2 2" xfId="29647"/>
    <cellStyle name="Note 35 2 2 2 2" xfId="29648"/>
    <cellStyle name="Note 35 2 2 2 3" xfId="29649"/>
    <cellStyle name="Note 35 2 2 3" xfId="29650"/>
    <cellStyle name="Note 35 2 2 3 2" xfId="29651"/>
    <cellStyle name="Note 35 2 2 4" xfId="29652"/>
    <cellStyle name="Note 35 2 2 4 2" xfId="29653"/>
    <cellStyle name="Note 35 2 2 5" xfId="29654"/>
    <cellStyle name="Note 35 2 2 6" xfId="29655"/>
    <cellStyle name="Note 35 2 2 7" xfId="29656"/>
    <cellStyle name="Note 35 2 2 8" xfId="29657"/>
    <cellStyle name="Note 35 2 2 9" xfId="29658"/>
    <cellStyle name="Note 35 2 3" xfId="29659"/>
    <cellStyle name="Note 35 2 3 2" xfId="29660"/>
    <cellStyle name="Note 35 2 3 2 2" xfId="29661"/>
    <cellStyle name="Note 35 2 3 2 3" xfId="29662"/>
    <cellStyle name="Note 35 2 3 3" xfId="29663"/>
    <cellStyle name="Note 35 2 3 3 2" xfId="29664"/>
    <cellStyle name="Note 35 2 3 4" xfId="29665"/>
    <cellStyle name="Note 35 2 3 5" xfId="29666"/>
    <cellStyle name="Note 35 2 3 6" xfId="29667"/>
    <cellStyle name="Note 35 2 4" xfId="29668"/>
    <cellStyle name="Note 35 2 4 2" xfId="29669"/>
    <cellStyle name="Note 35 2 4 3" xfId="29670"/>
    <cellStyle name="Note 35 2 5" xfId="29671"/>
    <cellStyle name="Note 35 2 6" xfId="29672"/>
    <cellStyle name="Note 35 2 7" xfId="29673"/>
    <cellStyle name="Note 35 2 8" xfId="29645"/>
    <cellStyle name="Note 35 3" xfId="6481"/>
    <cellStyle name="Note 35 3 2" xfId="29675"/>
    <cellStyle name="Note 35 3 2 2" xfId="29676"/>
    <cellStyle name="Note 35 3 2 2 2" xfId="29677"/>
    <cellStyle name="Note 35 3 2 3" xfId="29678"/>
    <cellStyle name="Note 35 3 2 3 2" xfId="29679"/>
    <cellStyle name="Note 35 3 2 4" xfId="29680"/>
    <cellStyle name="Note 35 3 2 4 2" xfId="29681"/>
    <cellStyle name="Note 35 3 2 5" xfId="29682"/>
    <cellStyle name="Note 35 3 2 6" xfId="29683"/>
    <cellStyle name="Note 35 3 2 7" xfId="29684"/>
    <cellStyle name="Note 35 3 2 8" xfId="29685"/>
    <cellStyle name="Note 35 3 2 9" xfId="29686"/>
    <cellStyle name="Note 35 3 3" xfId="29687"/>
    <cellStyle name="Note 35 3 3 2" xfId="29688"/>
    <cellStyle name="Note 35 3 3 2 2" xfId="29689"/>
    <cellStyle name="Note 35 3 3 3" xfId="29690"/>
    <cellStyle name="Note 35 3 3 3 2" xfId="29691"/>
    <cellStyle name="Note 35 3 3 4" xfId="29692"/>
    <cellStyle name="Note 35 3 3 5" xfId="29693"/>
    <cellStyle name="Note 35 3 3 6" xfId="29694"/>
    <cellStyle name="Note 35 3 4" xfId="29695"/>
    <cellStyle name="Note 35 3 4 2" xfId="29696"/>
    <cellStyle name="Note 35 3 5" xfId="29697"/>
    <cellStyle name="Note 35 3 6" xfId="29698"/>
    <cellStyle name="Note 35 3 7" xfId="29699"/>
    <cellStyle name="Note 35 3 8" xfId="29674"/>
    <cellStyle name="Note 35 4" xfId="6482"/>
    <cellStyle name="Note 35 4 10" xfId="29700"/>
    <cellStyle name="Note 35 4 2" xfId="6483"/>
    <cellStyle name="Note 35 4 2 2" xfId="29702"/>
    <cellStyle name="Note 35 4 2 3" xfId="29703"/>
    <cellStyle name="Note 35 4 2 4" xfId="29701"/>
    <cellStyle name="Note 35 4 3" xfId="29704"/>
    <cellStyle name="Note 35 4 3 2" xfId="29705"/>
    <cellStyle name="Note 35 4 4" xfId="29706"/>
    <cellStyle name="Note 35 4 4 2" xfId="29707"/>
    <cellStyle name="Note 35 4 5" xfId="29708"/>
    <cellStyle name="Note 35 4 6" xfId="29709"/>
    <cellStyle name="Note 35 4 7" xfId="29710"/>
    <cellStyle name="Note 35 4 8" xfId="29711"/>
    <cellStyle name="Note 35 4 9" xfId="29712"/>
    <cellStyle name="Note 35 5" xfId="6484"/>
    <cellStyle name="Note 35 5 10" xfId="29713"/>
    <cellStyle name="Note 35 5 2" xfId="6485"/>
    <cellStyle name="Note 35 5 2 2" xfId="29715"/>
    <cellStyle name="Note 35 5 2 3" xfId="29716"/>
    <cellStyle name="Note 35 5 2 4" xfId="29714"/>
    <cellStyle name="Note 35 5 3" xfId="29717"/>
    <cellStyle name="Note 35 5 3 2" xfId="29718"/>
    <cellStyle name="Note 35 5 4" xfId="29719"/>
    <cellStyle name="Note 35 5 4 2" xfId="29720"/>
    <cellStyle name="Note 35 5 5" xfId="29721"/>
    <cellStyle name="Note 35 5 6" xfId="29722"/>
    <cellStyle name="Note 35 5 7" xfId="29723"/>
    <cellStyle name="Note 35 5 8" xfId="29724"/>
    <cellStyle name="Note 35 5 9" xfId="29725"/>
    <cellStyle name="Note 35 6" xfId="6486"/>
    <cellStyle name="Note 35 6 2" xfId="29727"/>
    <cellStyle name="Note 35 6 2 2" xfId="29728"/>
    <cellStyle name="Note 35 6 3" xfId="29729"/>
    <cellStyle name="Note 35 6 3 2" xfId="29730"/>
    <cellStyle name="Note 35 6 4" xfId="29731"/>
    <cellStyle name="Note 35 6 5" xfId="29732"/>
    <cellStyle name="Note 35 6 6" xfId="29733"/>
    <cellStyle name="Note 35 6 7" xfId="29726"/>
    <cellStyle name="Note 35 7" xfId="6487"/>
    <cellStyle name="Note 35 7 2" xfId="29735"/>
    <cellStyle name="Note 35 7 3" xfId="29734"/>
    <cellStyle name="Note 35 8" xfId="8383"/>
    <cellStyle name="Note 35 9" xfId="29736"/>
    <cellStyle name="Note 36" xfId="2809"/>
    <cellStyle name="Note 36 10" xfId="29737"/>
    <cellStyle name="Note 36 2" xfId="6488"/>
    <cellStyle name="Note 36 2 2" xfId="29739"/>
    <cellStyle name="Note 36 2 2 2" xfId="29740"/>
    <cellStyle name="Note 36 2 2 2 2" xfId="29741"/>
    <cellStyle name="Note 36 2 2 2 3" xfId="29742"/>
    <cellStyle name="Note 36 2 2 3" xfId="29743"/>
    <cellStyle name="Note 36 2 2 3 2" xfId="29744"/>
    <cellStyle name="Note 36 2 2 4" xfId="29745"/>
    <cellStyle name="Note 36 2 2 4 2" xfId="29746"/>
    <cellStyle name="Note 36 2 2 5" xfId="29747"/>
    <cellStyle name="Note 36 2 2 6" xfId="29748"/>
    <cellStyle name="Note 36 2 2 7" xfId="29749"/>
    <cellStyle name="Note 36 2 2 8" xfId="29750"/>
    <cellStyle name="Note 36 2 2 9" xfId="29751"/>
    <cellStyle name="Note 36 2 3" xfId="29752"/>
    <cellStyle name="Note 36 2 3 2" xfId="29753"/>
    <cellStyle name="Note 36 2 3 2 2" xfId="29754"/>
    <cellStyle name="Note 36 2 3 2 3" xfId="29755"/>
    <cellStyle name="Note 36 2 3 3" xfId="29756"/>
    <cellStyle name="Note 36 2 3 3 2" xfId="29757"/>
    <cellStyle name="Note 36 2 3 4" xfId="29758"/>
    <cellStyle name="Note 36 2 3 5" xfId="29759"/>
    <cellStyle name="Note 36 2 3 6" xfId="29760"/>
    <cellStyle name="Note 36 2 4" xfId="29761"/>
    <cellStyle name="Note 36 2 4 2" xfId="29762"/>
    <cellStyle name="Note 36 2 4 3" xfId="29763"/>
    <cellStyle name="Note 36 2 5" xfId="29764"/>
    <cellStyle name="Note 36 2 6" xfId="29765"/>
    <cellStyle name="Note 36 2 7" xfId="29766"/>
    <cellStyle name="Note 36 2 8" xfId="29738"/>
    <cellStyle name="Note 36 3" xfId="6489"/>
    <cellStyle name="Note 36 3 2" xfId="29768"/>
    <cellStyle name="Note 36 3 2 2" xfId="29769"/>
    <cellStyle name="Note 36 3 2 2 2" xfId="29770"/>
    <cellStyle name="Note 36 3 2 3" xfId="29771"/>
    <cellStyle name="Note 36 3 2 3 2" xfId="29772"/>
    <cellStyle name="Note 36 3 2 4" xfId="29773"/>
    <cellStyle name="Note 36 3 2 4 2" xfId="29774"/>
    <cellStyle name="Note 36 3 2 5" xfId="29775"/>
    <cellStyle name="Note 36 3 2 6" xfId="29776"/>
    <cellStyle name="Note 36 3 2 7" xfId="29777"/>
    <cellStyle name="Note 36 3 2 8" xfId="29778"/>
    <cellStyle name="Note 36 3 2 9" xfId="29779"/>
    <cellStyle name="Note 36 3 3" xfId="29780"/>
    <cellStyle name="Note 36 3 3 2" xfId="29781"/>
    <cellStyle name="Note 36 3 3 2 2" xfId="29782"/>
    <cellStyle name="Note 36 3 3 3" xfId="29783"/>
    <cellStyle name="Note 36 3 3 3 2" xfId="29784"/>
    <cellStyle name="Note 36 3 3 4" xfId="29785"/>
    <cellStyle name="Note 36 3 3 5" xfId="29786"/>
    <cellStyle name="Note 36 3 3 6" xfId="29787"/>
    <cellStyle name="Note 36 3 4" xfId="29788"/>
    <cellStyle name="Note 36 3 4 2" xfId="29789"/>
    <cellStyle name="Note 36 3 5" xfId="29790"/>
    <cellStyle name="Note 36 3 6" xfId="29791"/>
    <cellStyle name="Note 36 3 7" xfId="29792"/>
    <cellStyle name="Note 36 3 8" xfId="29767"/>
    <cellStyle name="Note 36 4" xfId="6490"/>
    <cellStyle name="Note 36 4 10" xfId="29793"/>
    <cellStyle name="Note 36 4 2" xfId="6491"/>
    <cellStyle name="Note 36 4 2 2" xfId="29795"/>
    <cellStyle name="Note 36 4 2 3" xfId="29796"/>
    <cellStyle name="Note 36 4 2 4" xfId="29794"/>
    <cellStyle name="Note 36 4 3" xfId="29797"/>
    <cellStyle name="Note 36 4 3 2" xfId="29798"/>
    <cellStyle name="Note 36 4 4" xfId="29799"/>
    <cellStyle name="Note 36 4 4 2" xfId="29800"/>
    <cellStyle name="Note 36 4 5" xfId="29801"/>
    <cellStyle name="Note 36 4 6" xfId="29802"/>
    <cellStyle name="Note 36 4 7" xfId="29803"/>
    <cellStyle name="Note 36 4 8" xfId="29804"/>
    <cellStyle name="Note 36 4 9" xfId="29805"/>
    <cellStyle name="Note 36 5" xfId="6492"/>
    <cellStyle name="Note 36 5 10" xfId="29806"/>
    <cellStyle name="Note 36 5 2" xfId="6493"/>
    <cellStyle name="Note 36 5 2 2" xfId="29808"/>
    <cellStyle name="Note 36 5 2 3" xfId="29809"/>
    <cellStyle name="Note 36 5 2 4" xfId="29807"/>
    <cellStyle name="Note 36 5 3" xfId="29810"/>
    <cellStyle name="Note 36 5 3 2" xfId="29811"/>
    <cellStyle name="Note 36 5 4" xfId="29812"/>
    <cellStyle name="Note 36 5 4 2" xfId="29813"/>
    <cellStyle name="Note 36 5 5" xfId="29814"/>
    <cellStyle name="Note 36 5 6" xfId="29815"/>
    <cellStyle name="Note 36 5 7" xfId="29816"/>
    <cellStyle name="Note 36 5 8" xfId="29817"/>
    <cellStyle name="Note 36 5 9" xfId="29818"/>
    <cellStyle name="Note 36 6" xfId="6494"/>
    <cellStyle name="Note 36 6 2" xfId="29820"/>
    <cellStyle name="Note 36 6 2 2" xfId="29821"/>
    <cellStyle name="Note 36 6 3" xfId="29822"/>
    <cellStyle name="Note 36 6 3 2" xfId="29823"/>
    <cellStyle name="Note 36 6 4" xfId="29824"/>
    <cellStyle name="Note 36 6 5" xfId="29825"/>
    <cellStyle name="Note 36 6 6" xfId="29826"/>
    <cellStyle name="Note 36 6 7" xfId="29819"/>
    <cellStyle name="Note 36 7" xfId="6495"/>
    <cellStyle name="Note 36 7 2" xfId="29828"/>
    <cellStyle name="Note 36 7 3" xfId="29827"/>
    <cellStyle name="Note 36 8" xfId="8384"/>
    <cellStyle name="Note 36 9" xfId="29829"/>
    <cellStyle name="Note 37" xfId="2810"/>
    <cellStyle name="Note 37 10" xfId="29830"/>
    <cellStyle name="Note 37 2" xfId="6496"/>
    <cellStyle name="Note 37 2 2" xfId="29832"/>
    <cellStyle name="Note 37 2 2 2" xfId="29833"/>
    <cellStyle name="Note 37 2 2 2 2" xfId="29834"/>
    <cellStyle name="Note 37 2 2 2 3" xfId="29835"/>
    <cellStyle name="Note 37 2 2 3" xfId="29836"/>
    <cellStyle name="Note 37 2 2 3 2" xfId="29837"/>
    <cellStyle name="Note 37 2 2 4" xfId="29838"/>
    <cellStyle name="Note 37 2 2 4 2" xfId="29839"/>
    <cellStyle name="Note 37 2 2 5" xfId="29840"/>
    <cellStyle name="Note 37 2 2 6" xfId="29841"/>
    <cellStyle name="Note 37 2 2 7" xfId="29842"/>
    <cellStyle name="Note 37 2 2 8" xfId="29843"/>
    <cellStyle name="Note 37 2 2 9" xfId="29844"/>
    <cellStyle name="Note 37 2 3" xfId="29845"/>
    <cellStyle name="Note 37 2 3 2" xfId="29846"/>
    <cellStyle name="Note 37 2 3 2 2" xfId="29847"/>
    <cellStyle name="Note 37 2 3 2 3" xfId="29848"/>
    <cellStyle name="Note 37 2 3 3" xfId="29849"/>
    <cellStyle name="Note 37 2 3 3 2" xfId="29850"/>
    <cellStyle name="Note 37 2 3 4" xfId="29851"/>
    <cellStyle name="Note 37 2 3 5" xfId="29852"/>
    <cellStyle name="Note 37 2 3 6" xfId="29853"/>
    <cellStyle name="Note 37 2 4" xfId="29854"/>
    <cellStyle name="Note 37 2 4 2" xfId="29855"/>
    <cellStyle name="Note 37 2 4 3" xfId="29856"/>
    <cellStyle name="Note 37 2 5" xfId="29857"/>
    <cellStyle name="Note 37 2 6" xfId="29858"/>
    <cellStyle name="Note 37 2 7" xfId="29859"/>
    <cellStyle name="Note 37 2 8" xfId="29831"/>
    <cellStyle name="Note 37 3" xfId="6497"/>
    <cellStyle name="Note 37 3 2" xfId="29861"/>
    <cellStyle name="Note 37 3 2 2" xfId="29862"/>
    <cellStyle name="Note 37 3 2 2 2" xfId="29863"/>
    <cellStyle name="Note 37 3 2 3" xfId="29864"/>
    <cellStyle name="Note 37 3 2 3 2" xfId="29865"/>
    <cellStyle name="Note 37 3 2 4" xfId="29866"/>
    <cellStyle name="Note 37 3 2 4 2" xfId="29867"/>
    <cellStyle name="Note 37 3 2 5" xfId="29868"/>
    <cellStyle name="Note 37 3 2 6" xfId="29869"/>
    <cellStyle name="Note 37 3 2 7" xfId="29870"/>
    <cellStyle name="Note 37 3 2 8" xfId="29871"/>
    <cellStyle name="Note 37 3 2 9" xfId="29872"/>
    <cellStyle name="Note 37 3 3" xfId="29873"/>
    <cellStyle name="Note 37 3 3 2" xfId="29874"/>
    <cellStyle name="Note 37 3 3 2 2" xfId="29875"/>
    <cellStyle name="Note 37 3 3 3" xfId="29876"/>
    <cellStyle name="Note 37 3 3 3 2" xfId="29877"/>
    <cellStyle name="Note 37 3 3 4" xfId="29878"/>
    <cellStyle name="Note 37 3 3 5" xfId="29879"/>
    <cellStyle name="Note 37 3 3 6" xfId="29880"/>
    <cellStyle name="Note 37 3 4" xfId="29881"/>
    <cellStyle name="Note 37 3 4 2" xfId="29882"/>
    <cellStyle name="Note 37 3 5" xfId="29883"/>
    <cellStyle name="Note 37 3 6" xfId="29884"/>
    <cellStyle name="Note 37 3 7" xfId="29885"/>
    <cellStyle name="Note 37 3 8" xfId="29860"/>
    <cellStyle name="Note 37 4" xfId="6498"/>
    <cellStyle name="Note 37 4 10" xfId="29886"/>
    <cellStyle name="Note 37 4 2" xfId="6499"/>
    <cellStyle name="Note 37 4 2 2" xfId="29888"/>
    <cellStyle name="Note 37 4 2 3" xfId="29889"/>
    <cellStyle name="Note 37 4 2 4" xfId="29887"/>
    <cellStyle name="Note 37 4 3" xfId="29890"/>
    <cellStyle name="Note 37 4 3 2" xfId="29891"/>
    <cellStyle name="Note 37 4 4" xfId="29892"/>
    <cellStyle name="Note 37 4 4 2" xfId="29893"/>
    <cellStyle name="Note 37 4 5" xfId="29894"/>
    <cellStyle name="Note 37 4 6" xfId="29895"/>
    <cellStyle name="Note 37 4 7" xfId="29896"/>
    <cellStyle name="Note 37 4 8" xfId="29897"/>
    <cellStyle name="Note 37 4 9" xfId="29898"/>
    <cellStyle name="Note 37 5" xfId="6500"/>
    <cellStyle name="Note 37 5 10" xfId="29899"/>
    <cellStyle name="Note 37 5 2" xfId="6501"/>
    <cellStyle name="Note 37 5 2 2" xfId="29901"/>
    <cellStyle name="Note 37 5 2 3" xfId="29902"/>
    <cellStyle name="Note 37 5 2 4" xfId="29900"/>
    <cellStyle name="Note 37 5 3" xfId="29903"/>
    <cellStyle name="Note 37 5 3 2" xfId="29904"/>
    <cellStyle name="Note 37 5 4" xfId="29905"/>
    <cellStyle name="Note 37 5 4 2" xfId="29906"/>
    <cellStyle name="Note 37 5 5" xfId="29907"/>
    <cellStyle name="Note 37 5 6" xfId="29908"/>
    <cellStyle name="Note 37 5 7" xfId="29909"/>
    <cellStyle name="Note 37 5 8" xfId="29910"/>
    <cellStyle name="Note 37 5 9" xfId="29911"/>
    <cellStyle name="Note 37 6" xfId="6502"/>
    <cellStyle name="Note 37 6 2" xfId="29913"/>
    <cellStyle name="Note 37 6 2 2" xfId="29914"/>
    <cellStyle name="Note 37 6 3" xfId="29915"/>
    <cellStyle name="Note 37 6 3 2" xfId="29916"/>
    <cellStyle name="Note 37 6 4" xfId="29917"/>
    <cellStyle name="Note 37 6 5" xfId="29918"/>
    <cellStyle name="Note 37 6 6" xfId="29919"/>
    <cellStyle name="Note 37 6 7" xfId="29912"/>
    <cellStyle name="Note 37 7" xfId="6503"/>
    <cellStyle name="Note 37 7 2" xfId="29921"/>
    <cellStyle name="Note 37 7 3" xfId="29920"/>
    <cellStyle name="Note 37 8" xfId="8385"/>
    <cellStyle name="Note 37 9" xfId="29922"/>
    <cellStyle name="Note 38" xfId="1856"/>
    <cellStyle name="Note 38 10" xfId="29924"/>
    <cellStyle name="Note 38 11" xfId="29923"/>
    <cellStyle name="Note 38 2" xfId="6505"/>
    <cellStyle name="Note 38 2 10" xfId="29925"/>
    <cellStyle name="Note 38 2 2" xfId="29926"/>
    <cellStyle name="Note 38 2 2 2" xfId="29927"/>
    <cellStyle name="Note 38 2 3" xfId="29928"/>
    <cellStyle name="Note 38 2 3 2" xfId="29929"/>
    <cellStyle name="Note 38 2 4" xfId="29930"/>
    <cellStyle name="Note 38 2 4 2" xfId="29931"/>
    <cellStyle name="Note 38 2 5" xfId="29932"/>
    <cellStyle name="Note 38 2 6" xfId="29933"/>
    <cellStyle name="Note 38 2 7" xfId="29934"/>
    <cellStyle name="Note 38 2 8" xfId="29935"/>
    <cellStyle name="Note 38 2 9" xfId="29936"/>
    <cellStyle name="Note 38 3" xfId="6506"/>
    <cellStyle name="Note 38 3 10" xfId="29937"/>
    <cellStyle name="Note 38 3 2" xfId="29938"/>
    <cellStyle name="Note 38 3 2 2" xfId="29939"/>
    <cellStyle name="Note 38 3 3" xfId="29940"/>
    <cellStyle name="Note 38 3 3 2" xfId="29941"/>
    <cellStyle name="Note 38 3 4" xfId="29942"/>
    <cellStyle name="Note 38 3 4 2" xfId="29943"/>
    <cellStyle name="Note 38 3 5" xfId="29944"/>
    <cellStyle name="Note 38 3 6" xfId="29945"/>
    <cellStyle name="Note 38 3 7" xfId="29946"/>
    <cellStyle name="Note 38 3 8" xfId="29947"/>
    <cellStyle name="Note 38 3 9" xfId="29948"/>
    <cellStyle name="Note 38 4" xfId="6507"/>
    <cellStyle name="Note 38 4 10" xfId="29949"/>
    <cellStyle name="Note 38 4 2" xfId="6508"/>
    <cellStyle name="Note 38 4 2 2" xfId="29951"/>
    <cellStyle name="Note 38 4 2 3" xfId="29950"/>
    <cellStyle name="Note 38 4 3" xfId="29952"/>
    <cellStyle name="Note 38 4 3 2" xfId="29953"/>
    <cellStyle name="Note 38 4 4" xfId="29954"/>
    <cellStyle name="Note 38 4 4 2" xfId="29955"/>
    <cellStyle name="Note 38 4 5" xfId="29956"/>
    <cellStyle name="Note 38 4 6" xfId="29957"/>
    <cellStyle name="Note 38 4 7" xfId="29958"/>
    <cellStyle name="Note 38 4 8" xfId="29959"/>
    <cellStyle name="Note 38 4 9" xfId="29960"/>
    <cellStyle name="Note 38 5" xfId="6509"/>
    <cellStyle name="Note 38 5 10" xfId="29961"/>
    <cellStyle name="Note 38 5 2" xfId="6510"/>
    <cellStyle name="Note 38 5 2 2" xfId="29963"/>
    <cellStyle name="Note 38 5 2 3" xfId="29962"/>
    <cellStyle name="Note 38 5 3" xfId="29964"/>
    <cellStyle name="Note 38 5 3 2" xfId="29965"/>
    <cellStyle name="Note 38 5 4" xfId="29966"/>
    <cellStyle name="Note 38 5 4 2" xfId="29967"/>
    <cellStyle name="Note 38 5 5" xfId="29968"/>
    <cellStyle name="Note 38 5 6" xfId="29969"/>
    <cellStyle name="Note 38 5 7" xfId="29970"/>
    <cellStyle name="Note 38 5 8" xfId="29971"/>
    <cellStyle name="Note 38 5 9" xfId="29972"/>
    <cellStyle name="Note 38 6" xfId="6511"/>
    <cellStyle name="Note 38 6 2" xfId="29974"/>
    <cellStyle name="Note 38 6 2 2" xfId="29975"/>
    <cellStyle name="Note 38 6 3" xfId="29976"/>
    <cellStyle name="Note 38 6 3 2" xfId="29977"/>
    <cellStyle name="Note 38 6 4" xfId="29978"/>
    <cellStyle name="Note 38 6 5" xfId="29979"/>
    <cellStyle name="Note 38 6 6" xfId="29980"/>
    <cellStyle name="Note 38 6 7" xfId="29973"/>
    <cellStyle name="Note 38 7" xfId="6512"/>
    <cellStyle name="Note 38 7 2" xfId="29982"/>
    <cellStyle name="Note 38 7 3" xfId="29981"/>
    <cellStyle name="Note 38 8" xfId="6504"/>
    <cellStyle name="Note 38 8 2" xfId="29983"/>
    <cellStyle name="Note 38 9" xfId="29984"/>
    <cellStyle name="Note 39" xfId="7822"/>
    <cellStyle name="Note 39 2" xfId="29986"/>
    <cellStyle name="Note 39 3" xfId="29987"/>
    <cellStyle name="Note 39 4" xfId="29988"/>
    <cellStyle name="Note 39 5" xfId="29985"/>
    <cellStyle name="Note 4" xfId="1881"/>
    <cellStyle name="Note 4 10" xfId="29989"/>
    <cellStyle name="Note 4 11" xfId="29990"/>
    <cellStyle name="Note 4 12" xfId="41585"/>
    <cellStyle name="Note 4 2" xfId="1882"/>
    <cellStyle name="Note 4 2 10" xfId="29992"/>
    <cellStyle name="Note 4 2 11" xfId="29991"/>
    <cellStyle name="Note 4 2 12" xfId="42246"/>
    <cellStyle name="Note 4 2 2" xfId="1883"/>
    <cellStyle name="Note 4 2 2 2" xfId="6514"/>
    <cellStyle name="Note 4 2 2 2 10" xfId="29994"/>
    <cellStyle name="Note 4 2 2 2 2" xfId="29995"/>
    <cellStyle name="Note 4 2 2 2 2 2" xfId="29996"/>
    <cellStyle name="Note 4 2 2 2 3" xfId="29997"/>
    <cellStyle name="Note 4 2 2 2 3 2" xfId="29998"/>
    <cellStyle name="Note 4 2 2 2 4" xfId="29999"/>
    <cellStyle name="Note 4 2 2 2 4 2" xfId="30000"/>
    <cellStyle name="Note 4 2 2 2 5" xfId="30001"/>
    <cellStyle name="Note 4 2 2 2 6" xfId="30002"/>
    <cellStyle name="Note 4 2 2 2 7" xfId="30003"/>
    <cellStyle name="Note 4 2 2 2 8" xfId="30004"/>
    <cellStyle name="Note 4 2 2 2 9" xfId="30005"/>
    <cellStyle name="Note 4 2 2 3" xfId="8189"/>
    <cellStyle name="Note 4 2 2 3 2" xfId="30007"/>
    <cellStyle name="Note 4 2 2 3 2 2" xfId="30008"/>
    <cellStyle name="Note 4 2 2 3 3" xfId="30009"/>
    <cellStyle name="Note 4 2 2 3 3 2" xfId="30010"/>
    <cellStyle name="Note 4 2 2 3 4" xfId="30011"/>
    <cellStyle name="Note 4 2 2 3 5" xfId="30012"/>
    <cellStyle name="Note 4 2 2 3 6" xfId="30013"/>
    <cellStyle name="Note 4 2 2 3 7" xfId="30006"/>
    <cellStyle name="Note 4 2 2 4" xfId="30014"/>
    <cellStyle name="Note 4 2 2 4 2" xfId="30015"/>
    <cellStyle name="Note 4 2 2 5" xfId="30016"/>
    <cellStyle name="Note 4 2 2 6" xfId="30017"/>
    <cellStyle name="Note 4 2 2 7" xfId="30018"/>
    <cellStyle name="Note 4 2 2 7 2" xfId="30019"/>
    <cellStyle name="Note 4 2 2 8" xfId="29993"/>
    <cellStyle name="Note 4 2 2 9" xfId="44139"/>
    <cellStyle name="Note 4 2 3" xfId="6515"/>
    <cellStyle name="Note 4 2 3 2" xfId="30021"/>
    <cellStyle name="Note 4 2 3 2 2" xfId="30022"/>
    <cellStyle name="Note 4 2 3 2 2 2" xfId="30023"/>
    <cellStyle name="Note 4 2 3 2 3" xfId="30024"/>
    <cellStyle name="Note 4 2 3 2 3 2" xfId="30025"/>
    <cellStyle name="Note 4 2 3 2 4" xfId="30026"/>
    <cellStyle name="Note 4 2 3 2 4 2" xfId="30027"/>
    <cellStyle name="Note 4 2 3 2 5" xfId="30028"/>
    <cellStyle name="Note 4 2 3 2 6" xfId="30029"/>
    <cellStyle name="Note 4 2 3 2 7" xfId="30030"/>
    <cellStyle name="Note 4 2 3 2 8" xfId="30031"/>
    <cellStyle name="Note 4 2 3 2 9" xfId="30032"/>
    <cellStyle name="Note 4 2 3 3" xfId="30033"/>
    <cellStyle name="Note 4 2 3 3 2" xfId="30034"/>
    <cellStyle name="Note 4 2 3 3 2 2" xfId="30035"/>
    <cellStyle name="Note 4 2 3 3 3" xfId="30036"/>
    <cellStyle name="Note 4 2 3 3 3 2" xfId="30037"/>
    <cellStyle name="Note 4 2 3 3 4" xfId="30038"/>
    <cellStyle name="Note 4 2 3 3 5" xfId="30039"/>
    <cellStyle name="Note 4 2 3 3 6" xfId="30040"/>
    <cellStyle name="Note 4 2 3 4" xfId="30041"/>
    <cellStyle name="Note 4 2 3 4 2" xfId="30042"/>
    <cellStyle name="Note 4 2 3 5" xfId="30043"/>
    <cellStyle name="Note 4 2 3 6" xfId="30044"/>
    <cellStyle name="Note 4 2 3 7" xfId="30045"/>
    <cellStyle name="Note 4 2 3 7 2" xfId="30046"/>
    <cellStyle name="Note 4 2 3 8" xfId="30020"/>
    <cellStyle name="Note 4 2 3 9" xfId="45296"/>
    <cellStyle name="Note 4 2 4" xfId="6516"/>
    <cellStyle name="Note 4 2 4 10" xfId="30047"/>
    <cellStyle name="Note 4 2 4 11" xfId="43641"/>
    <cellStyle name="Note 4 2 4 2" xfId="6517"/>
    <cellStyle name="Note 4 2 4 2 2" xfId="30049"/>
    <cellStyle name="Note 4 2 4 2 3" xfId="30048"/>
    <cellStyle name="Note 4 2 4 3" xfId="30050"/>
    <cellStyle name="Note 4 2 4 3 2" xfId="30051"/>
    <cellStyle name="Note 4 2 4 4" xfId="30052"/>
    <cellStyle name="Note 4 2 4 4 2" xfId="30053"/>
    <cellStyle name="Note 4 2 4 5" xfId="30054"/>
    <cellStyle name="Note 4 2 4 6" xfId="30055"/>
    <cellStyle name="Note 4 2 4 7" xfId="30056"/>
    <cellStyle name="Note 4 2 4 8" xfId="30057"/>
    <cellStyle name="Note 4 2 4 9" xfId="30058"/>
    <cellStyle name="Note 4 2 5" xfId="6518"/>
    <cellStyle name="Note 4 2 5 10" xfId="30059"/>
    <cellStyle name="Note 4 2 5 2" xfId="6519"/>
    <cellStyle name="Note 4 2 5 2 2" xfId="30061"/>
    <cellStyle name="Note 4 2 5 2 3" xfId="30060"/>
    <cellStyle name="Note 4 2 5 3" xfId="30062"/>
    <cellStyle name="Note 4 2 5 3 2" xfId="30063"/>
    <cellStyle name="Note 4 2 5 4" xfId="30064"/>
    <cellStyle name="Note 4 2 5 4 2" xfId="30065"/>
    <cellStyle name="Note 4 2 5 5" xfId="30066"/>
    <cellStyle name="Note 4 2 5 6" xfId="30067"/>
    <cellStyle name="Note 4 2 5 7" xfId="30068"/>
    <cellStyle name="Note 4 2 5 8" xfId="30069"/>
    <cellStyle name="Note 4 2 5 9" xfId="30070"/>
    <cellStyle name="Note 4 2 6" xfId="6520"/>
    <cellStyle name="Note 4 2 6 2" xfId="30072"/>
    <cellStyle name="Note 4 2 6 2 2" xfId="30073"/>
    <cellStyle name="Note 4 2 6 3" xfId="30074"/>
    <cellStyle name="Note 4 2 6 3 2" xfId="30075"/>
    <cellStyle name="Note 4 2 6 4" xfId="30076"/>
    <cellStyle name="Note 4 2 6 5" xfId="30077"/>
    <cellStyle name="Note 4 2 6 6" xfId="30078"/>
    <cellStyle name="Note 4 2 6 7" xfId="30071"/>
    <cellStyle name="Note 4 2 7" xfId="6521"/>
    <cellStyle name="Note 4 2 7 2" xfId="30080"/>
    <cellStyle name="Note 4 2 7 3" xfId="30079"/>
    <cellStyle name="Note 4 2 8" xfId="6513"/>
    <cellStyle name="Note 4 2 8 2" xfId="30081"/>
    <cellStyle name="Note 4 2 9" xfId="8188"/>
    <cellStyle name="Note 4 2 9 2" xfId="30082"/>
    <cellStyle name="Note 4 3" xfId="1884"/>
    <cellStyle name="Note 4 3 2" xfId="1885"/>
    <cellStyle name="Note 4 3 2 2" xfId="8191"/>
    <cellStyle name="Note 4 3 2 2 2" xfId="30083"/>
    <cellStyle name="Note 4 3 2 3" xfId="30084"/>
    <cellStyle name="Note 4 3 2 3 2" xfId="30085"/>
    <cellStyle name="Note 4 3 2 4" xfId="30086"/>
    <cellStyle name="Note 4 3 2 4 2" xfId="30087"/>
    <cellStyle name="Note 4 3 2 5" xfId="30088"/>
    <cellStyle name="Note 4 3 2 6" xfId="30089"/>
    <cellStyle name="Note 4 3 2 7" xfId="30090"/>
    <cellStyle name="Note 4 3 2 8" xfId="30091"/>
    <cellStyle name="Note 4 3 2 9" xfId="30092"/>
    <cellStyle name="Note 4 3 3" xfId="8190"/>
    <cellStyle name="Note 4 3 3 2" xfId="30093"/>
    <cellStyle name="Note 4 3 3 2 2" xfId="30094"/>
    <cellStyle name="Note 4 3 3 3" xfId="30095"/>
    <cellStyle name="Note 4 3 3 3 2" xfId="30096"/>
    <cellStyle name="Note 4 3 3 4" xfId="30097"/>
    <cellStyle name="Note 4 3 3 5" xfId="30098"/>
    <cellStyle name="Note 4 3 3 6" xfId="30099"/>
    <cellStyle name="Note 4 3 4" xfId="30100"/>
    <cellStyle name="Note 4 3 4 2" xfId="30101"/>
    <cellStyle name="Note 4 3 5" xfId="30102"/>
    <cellStyle name="Note 4 3 6" xfId="30103"/>
    <cellStyle name="Note 4 3 7" xfId="30104"/>
    <cellStyle name="Note 4 3 8" xfId="43810"/>
    <cellStyle name="Note 4 4" xfId="1886"/>
    <cellStyle name="Note 4 4 2" xfId="1887"/>
    <cellStyle name="Note 4 4 2 10" xfId="30106"/>
    <cellStyle name="Note 4 4 2 2" xfId="8193"/>
    <cellStyle name="Note 4 4 2 2 2" xfId="30108"/>
    <cellStyle name="Note 4 4 2 2 3" xfId="30107"/>
    <cellStyle name="Note 4 4 2 3" xfId="30109"/>
    <cellStyle name="Note 4 4 2 3 2" xfId="30110"/>
    <cellStyle name="Note 4 4 2 4" xfId="30111"/>
    <cellStyle name="Note 4 4 2 4 2" xfId="30112"/>
    <cellStyle name="Note 4 4 2 5" xfId="30113"/>
    <cellStyle name="Note 4 4 2 6" xfId="30114"/>
    <cellStyle name="Note 4 4 2 7" xfId="30115"/>
    <cellStyle name="Note 4 4 2 8" xfId="30116"/>
    <cellStyle name="Note 4 4 2 9" xfId="30117"/>
    <cellStyle name="Note 4 4 3" xfId="6522"/>
    <cellStyle name="Note 4 4 3 2" xfId="30119"/>
    <cellStyle name="Note 4 4 3 2 2" xfId="30120"/>
    <cellStyle name="Note 4 4 3 3" xfId="30121"/>
    <cellStyle name="Note 4 4 3 3 2" xfId="30122"/>
    <cellStyle name="Note 4 4 3 4" xfId="30123"/>
    <cellStyle name="Note 4 4 3 5" xfId="30124"/>
    <cellStyle name="Note 4 4 3 6" xfId="30125"/>
    <cellStyle name="Note 4 4 3 7" xfId="30118"/>
    <cellStyle name="Note 4 4 4" xfId="8192"/>
    <cellStyle name="Note 4 4 4 2" xfId="30127"/>
    <cellStyle name="Note 4 4 4 3" xfId="30126"/>
    <cellStyle name="Note 4 4 5" xfId="30128"/>
    <cellStyle name="Note 4 4 6" xfId="30129"/>
    <cellStyle name="Note 4 4 7" xfId="30130"/>
    <cellStyle name="Note 4 4 8" xfId="30105"/>
    <cellStyle name="Note 4 4 9" xfId="43540"/>
    <cellStyle name="Note 4 5" xfId="1888"/>
    <cellStyle name="Note 4 5 10" xfId="30131"/>
    <cellStyle name="Note 4 5 11" xfId="45302"/>
    <cellStyle name="Note 4 5 2" xfId="1889"/>
    <cellStyle name="Note 4 5 2 2" xfId="6524"/>
    <cellStyle name="Note 4 5 2 2 2" xfId="30133"/>
    <cellStyle name="Note 4 5 2 3" xfId="8195"/>
    <cellStyle name="Note 4 5 2 3 2" xfId="30134"/>
    <cellStyle name="Note 4 5 2 4" xfId="30132"/>
    <cellStyle name="Note 4 5 3" xfId="6523"/>
    <cellStyle name="Note 4 5 3 2" xfId="30136"/>
    <cellStyle name="Note 4 5 3 3" xfId="30135"/>
    <cellStyle name="Note 4 5 4" xfId="8194"/>
    <cellStyle name="Note 4 5 4 2" xfId="30138"/>
    <cellStyle name="Note 4 5 4 3" xfId="30137"/>
    <cellStyle name="Note 4 5 5" xfId="30139"/>
    <cellStyle name="Note 4 5 6" xfId="30140"/>
    <cellStyle name="Note 4 5 7" xfId="30141"/>
    <cellStyle name="Note 4 5 8" xfId="30142"/>
    <cellStyle name="Note 4 5 9" xfId="30143"/>
    <cellStyle name="Note 4 5 9 2" xfId="30144"/>
    <cellStyle name="Note 4 6" xfId="1890"/>
    <cellStyle name="Note 4 6 10" xfId="30145"/>
    <cellStyle name="Note 4 6 2" xfId="1891"/>
    <cellStyle name="Note 4 6 2 2" xfId="6526"/>
    <cellStyle name="Note 4 6 2 2 2" xfId="30147"/>
    <cellStyle name="Note 4 6 2 3" xfId="8197"/>
    <cellStyle name="Note 4 6 2 3 2" xfId="30148"/>
    <cellStyle name="Note 4 6 2 4" xfId="30146"/>
    <cellStyle name="Note 4 6 3" xfId="6525"/>
    <cellStyle name="Note 4 6 3 2" xfId="30150"/>
    <cellStyle name="Note 4 6 3 3" xfId="30149"/>
    <cellStyle name="Note 4 6 4" xfId="8196"/>
    <cellStyle name="Note 4 6 4 2" xfId="30152"/>
    <cellStyle name="Note 4 6 4 3" xfId="30151"/>
    <cellStyle name="Note 4 6 5" xfId="30153"/>
    <cellStyle name="Note 4 6 6" xfId="30154"/>
    <cellStyle name="Note 4 6 7" xfId="30155"/>
    <cellStyle name="Note 4 6 8" xfId="30156"/>
    <cellStyle name="Note 4 6 9" xfId="30157"/>
    <cellStyle name="Note 4 7" xfId="1892"/>
    <cellStyle name="Note 4 7 2" xfId="6527"/>
    <cellStyle name="Note 4 7 2 2" xfId="30160"/>
    <cellStyle name="Note 4 7 2 3" xfId="30159"/>
    <cellStyle name="Note 4 7 3" xfId="8198"/>
    <cellStyle name="Note 4 7 3 2" xfId="30162"/>
    <cellStyle name="Note 4 7 3 3" xfId="30161"/>
    <cellStyle name="Note 4 7 4" xfId="30163"/>
    <cellStyle name="Note 4 7 5" xfId="30164"/>
    <cellStyle name="Note 4 7 6" xfId="30165"/>
    <cellStyle name="Note 4 7 7" xfId="30158"/>
    <cellStyle name="Note 4 8" xfId="1893"/>
    <cellStyle name="Note 4 8 2" xfId="8199"/>
    <cellStyle name="Note 4 9" xfId="8187"/>
    <cellStyle name="Note 4 9 2" xfId="30166"/>
    <cellStyle name="Note 40" xfId="8162"/>
    <cellStyle name="Note 5" xfId="1894"/>
    <cellStyle name="Note 5 10" xfId="30167"/>
    <cellStyle name="Note 5 2" xfId="1895"/>
    <cellStyle name="Note 5 2 10" xfId="30168"/>
    <cellStyle name="Note 5 2 2" xfId="6529"/>
    <cellStyle name="Note 5 2 2 10" xfId="30169"/>
    <cellStyle name="Note 5 2 2 2" xfId="30170"/>
    <cellStyle name="Note 5 2 2 2 2" xfId="30171"/>
    <cellStyle name="Note 5 2 2 2 3" xfId="30172"/>
    <cellStyle name="Note 5 2 2 3" xfId="30173"/>
    <cellStyle name="Note 5 2 2 3 2" xfId="30174"/>
    <cellStyle name="Note 5 2 2 4" xfId="30175"/>
    <cellStyle name="Note 5 2 2 4 2" xfId="30176"/>
    <cellStyle name="Note 5 2 2 5" xfId="30177"/>
    <cellStyle name="Note 5 2 2 6" xfId="30178"/>
    <cellStyle name="Note 5 2 2 7" xfId="30179"/>
    <cellStyle name="Note 5 2 2 8" xfId="30180"/>
    <cellStyle name="Note 5 2 2 9" xfId="30181"/>
    <cellStyle name="Note 5 2 3" xfId="6530"/>
    <cellStyle name="Note 5 2 3 2" xfId="30183"/>
    <cellStyle name="Note 5 2 3 2 2" xfId="30184"/>
    <cellStyle name="Note 5 2 3 2 3" xfId="30185"/>
    <cellStyle name="Note 5 2 3 3" xfId="30186"/>
    <cellStyle name="Note 5 2 3 3 2" xfId="30187"/>
    <cellStyle name="Note 5 2 3 4" xfId="30188"/>
    <cellStyle name="Note 5 2 3 5" xfId="30189"/>
    <cellStyle name="Note 5 2 3 6" xfId="30190"/>
    <cellStyle name="Note 5 2 3 7" xfId="30182"/>
    <cellStyle name="Note 5 2 4" xfId="6531"/>
    <cellStyle name="Note 5 2 4 2" xfId="6532"/>
    <cellStyle name="Note 5 2 4 2 2" xfId="30192"/>
    <cellStyle name="Note 5 2 4 3" xfId="30193"/>
    <cellStyle name="Note 5 2 4 4" xfId="30191"/>
    <cellStyle name="Note 5 2 5" xfId="6533"/>
    <cellStyle name="Note 5 2 5 2" xfId="6534"/>
    <cellStyle name="Note 5 2 5 3" xfId="30194"/>
    <cellStyle name="Note 5 2 6" xfId="6535"/>
    <cellStyle name="Note 5 2 6 2" xfId="30195"/>
    <cellStyle name="Note 5 2 7" xfId="6536"/>
    <cellStyle name="Note 5 2 7 2" xfId="30196"/>
    <cellStyle name="Note 5 2 8" xfId="6528"/>
    <cellStyle name="Note 5 2 9" xfId="8201"/>
    <cellStyle name="Note 5 3" xfId="2811"/>
    <cellStyle name="Note 5 3 2" xfId="8386"/>
    <cellStyle name="Note 5 3 2 2" xfId="30197"/>
    <cellStyle name="Note 5 3 2 2 2" xfId="30198"/>
    <cellStyle name="Note 5 3 2 3" xfId="30199"/>
    <cellStyle name="Note 5 3 2 3 2" xfId="30200"/>
    <cellStyle name="Note 5 3 2 4" xfId="30201"/>
    <cellStyle name="Note 5 3 2 4 2" xfId="30202"/>
    <cellStyle name="Note 5 3 2 5" xfId="30203"/>
    <cellStyle name="Note 5 3 2 6" xfId="30204"/>
    <cellStyle name="Note 5 3 2 7" xfId="30205"/>
    <cellStyle name="Note 5 3 2 8" xfId="30206"/>
    <cellStyle name="Note 5 3 2 9" xfId="30207"/>
    <cellStyle name="Note 5 3 3" xfId="30208"/>
    <cellStyle name="Note 5 3 3 2" xfId="30209"/>
    <cellStyle name="Note 5 3 3 2 2" xfId="30210"/>
    <cellStyle name="Note 5 3 3 3" xfId="30211"/>
    <cellStyle name="Note 5 3 3 3 2" xfId="30212"/>
    <cellStyle name="Note 5 3 3 4" xfId="30213"/>
    <cellStyle name="Note 5 3 3 5" xfId="30214"/>
    <cellStyle name="Note 5 3 3 6" xfId="30215"/>
    <cellStyle name="Note 5 3 4" xfId="30216"/>
    <cellStyle name="Note 5 3 4 2" xfId="30217"/>
    <cellStyle name="Note 5 3 5" xfId="30218"/>
    <cellStyle name="Note 5 3 6" xfId="30219"/>
    <cellStyle name="Note 5 3 7" xfId="30220"/>
    <cellStyle name="Note 5 4" xfId="6537"/>
    <cellStyle name="Note 5 4 10" xfId="30221"/>
    <cellStyle name="Note 5 4 2" xfId="30222"/>
    <cellStyle name="Note 5 4 2 2" xfId="30223"/>
    <cellStyle name="Note 5 4 2 3" xfId="30224"/>
    <cellStyle name="Note 5 4 3" xfId="30225"/>
    <cellStyle name="Note 5 4 3 2" xfId="30226"/>
    <cellStyle name="Note 5 4 4" xfId="30227"/>
    <cellStyle name="Note 5 4 4 2" xfId="30228"/>
    <cellStyle name="Note 5 4 5" xfId="30229"/>
    <cellStyle name="Note 5 4 6" xfId="30230"/>
    <cellStyle name="Note 5 4 7" xfId="30231"/>
    <cellStyle name="Note 5 4 8" xfId="30232"/>
    <cellStyle name="Note 5 4 9" xfId="30233"/>
    <cellStyle name="Note 5 5" xfId="6538"/>
    <cellStyle name="Note 5 5 10" xfId="30234"/>
    <cellStyle name="Note 5 5 2" xfId="6539"/>
    <cellStyle name="Note 5 5 2 2" xfId="30236"/>
    <cellStyle name="Note 5 5 2 3" xfId="30237"/>
    <cellStyle name="Note 5 5 2 4" xfId="30235"/>
    <cellStyle name="Note 5 5 3" xfId="30238"/>
    <cellStyle name="Note 5 5 3 2" xfId="30239"/>
    <cellStyle name="Note 5 5 4" xfId="30240"/>
    <cellStyle name="Note 5 5 4 2" xfId="30241"/>
    <cellStyle name="Note 5 5 5" xfId="30242"/>
    <cellStyle name="Note 5 5 6" xfId="30243"/>
    <cellStyle name="Note 5 5 7" xfId="30244"/>
    <cellStyle name="Note 5 5 8" xfId="30245"/>
    <cellStyle name="Note 5 5 9" xfId="30246"/>
    <cellStyle name="Note 5 6" xfId="6540"/>
    <cellStyle name="Note 5 6 2" xfId="6541"/>
    <cellStyle name="Note 5 6 2 2" xfId="30249"/>
    <cellStyle name="Note 5 6 2 3" xfId="30248"/>
    <cellStyle name="Note 5 6 3" xfId="30250"/>
    <cellStyle name="Note 5 6 3 2" xfId="30251"/>
    <cellStyle name="Note 5 6 4" xfId="30252"/>
    <cellStyle name="Note 5 6 5" xfId="30253"/>
    <cellStyle name="Note 5 6 6" xfId="30254"/>
    <cellStyle name="Note 5 6 7" xfId="30247"/>
    <cellStyle name="Note 5 7" xfId="6542"/>
    <cellStyle name="Note 5 7 2" xfId="30256"/>
    <cellStyle name="Note 5 7 3" xfId="30255"/>
    <cellStyle name="Note 5 8" xfId="6543"/>
    <cellStyle name="Note 5 8 2" xfId="30257"/>
    <cellStyle name="Note 5 9" xfId="8200"/>
    <cellStyle name="Note 5 9 2" xfId="30258"/>
    <cellStyle name="Note 6" xfId="1896"/>
    <cellStyle name="Note 6 10" xfId="6544"/>
    <cellStyle name="Note 6 10 2" xfId="30259"/>
    <cellStyle name="Note 6 2" xfId="1897"/>
    <cellStyle name="Note 6 2 2" xfId="6546"/>
    <cellStyle name="Note 6 2 2 10" xfId="30261"/>
    <cellStyle name="Note 6 2 2 2" xfId="30262"/>
    <cellStyle name="Note 6 2 2 2 2" xfId="30263"/>
    <cellStyle name="Note 6 2 2 2 3" xfId="30264"/>
    <cellStyle name="Note 6 2 2 3" xfId="30265"/>
    <cellStyle name="Note 6 2 2 3 2" xfId="30266"/>
    <cellStyle name="Note 6 2 2 4" xfId="30267"/>
    <cellStyle name="Note 6 2 2 4 2" xfId="30268"/>
    <cellStyle name="Note 6 2 2 5" xfId="30269"/>
    <cellStyle name="Note 6 2 2 6" xfId="30270"/>
    <cellStyle name="Note 6 2 2 7" xfId="30271"/>
    <cellStyle name="Note 6 2 2 8" xfId="30272"/>
    <cellStyle name="Note 6 2 2 9" xfId="30273"/>
    <cellStyle name="Note 6 2 3" xfId="6547"/>
    <cellStyle name="Note 6 2 3 2" xfId="30275"/>
    <cellStyle name="Note 6 2 3 2 2" xfId="30276"/>
    <cellStyle name="Note 6 2 3 2 3" xfId="30277"/>
    <cellStyle name="Note 6 2 3 3" xfId="30278"/>
    <cellStyle name="Note 6 2 3 3 2" xfId="30279"/>
    <cellStyle name="Note 6 2 3 4" xfId="30280"/>
    <cellStyle name="Note 6 2 3 5" xfId="30281"/>
    <cellStyle name="Note 6 2 3 6" xfId="30282"/>
    <cellStyle name="Note 6 2 3 7" xfId="30274"/>
    <cellStyle name="Note 6 2 4" xfId="6548"/>
    <cellStyle name="Note 6 2 4 2" xfId="6549"/>
    <cellStyle name="Note 6 2 4 2 2" xfId="30284"/>
    <cellStyle name="Note 6 2 4 3" xfId="30285"/>
    <cellStyle name="Note 6 2 4 4" xfId="30283"/>
    <cellStyle name="Note 6 2 5" xfId="6550"/>
    <cellStyle name="Note 6 2 5 2" xfId="6551"/>
    <cellStyle name="Note 6 2 5 3" xfId="30286"/>
    <cellStyle name="Note 6 2 6" xfId="6552"/>
    <cellStyle name="Note 6 2 6 2" xfId="30287"/>
    <cellStyle name="Note 6 2 7" xfId="6553"/>
    <cellStyle name="Note 6 2 7 2" xfId="30288"/>
    <cellStyle name="Note 6 2 8" xfId="6545"/>
    <cellStyle name="Note 6 2 9" xfId="30260"/>
    <cellStyle name="Note 6 3" xfId="1898"/>
    <cellStyle name="Note 6 3 2" xfId="6555"/>
    <cellStyle name="Note 6 3 2 10" xfId="30290"/>
    <cellStyle name="Note 6 3 2 2" xfId="30291"/>
    <cellStyle name="Note 6 3 2 2 2" xfId="30292"/>
    <cellStyle name="Note 6 3 2 3" xfId="30293"/>
    <cellStyle name="Note 6 3 2 3 2" xfId="30294"/>
    <cellStyle name="Note 6 3 2 4" xfId="30295"/>
    <cellStyle name="Note 6 3 2 4 2" xfId="30296"/>
    <cellStyle name="Note 6 3 2 5" xfId="30297"/>
    <cellStyle name="Note 6 3 2 6" xfId="30298"/>
    <cellStyle name="Note 6 3 2 7" xfId="30299"/>
    <cellStyle name="Note 6 3 2 8" xfId="30300"/>
    <cellStyle name="Note 6 3 2 9" xfId="30301"/>
    <cellStyle name="Note 6 3 3" xfId="6554"/>
    <cellStyle name="Note 6 3 3 2" xfId="30303"/>
    <cellStyle name="Note 6 3 3 2 2" xfId="30304"/>
    <cellStyle name="Note 6 3 3 3" xfId="30305"/>
    <cellStyle name="Note 6 3 3 3 2" xfId="30306"/>
    <cellStyle name="Note 6 3 3 4" xfId="30307"/>
    <cellStyle name="Note 6 3 3 5" xfId="30308"/>
    <cellStyle name="Note 6 3 3 6" xfId="30309"/>
    <cellStyle name="Note 6 3 3 7" xfId="30302"/>
    <cellStyle name="Note 6 3 4" xfId="30310"/>
    <cellStyle name="Note 6 3 4 2" xfId="30311"/>
    <cellStyle name="Note 6 3 5" xfId="30312"/>
    <cellStyle name="Note 6 3 6" xfId="30313"/>
    <cellStyle name="Note 6 3 7" xfId="30314"/>
    <cellStyle name="Note 6 3 8" xfId="30289"/>
    <cellStyle name="Note 6 4" xfId="2812"/>
    <cellStyle name="Note 6 4 2" xfId="6556"/>
    <cellStyle name="Note 6 4 2 2" xfId="30316"/>
    <cellStyle name="Note 6 4 2 3" xfId="30317"/>
    <cellStyle name="Note 6 4 2 4" xfId="30315"/>
    <cellStyle name="Note 6 4 3" xfId="8387"/>
    <cellStyle name="Note 6 4 3 2" xfId="30318"/>
    <cellStyle name="Note 6 4 4" xfId="30319"/>
    <cellStyle name="Note 6 4 4 2" xfId="30320"/>
    <cellStyle name="Note 6 4 5" xfId="30321"/>
    <cellStyle name="Note 6 4 6" xfId="30322"/>
    <cellStyle name="Note 6 4 7" xfId="30323"/>
    <cellStyle name="Note 6 4 8" xfId="30324"/>
    <cellStyle name="Note 6 4 9" xfId="30325"/>
    <cellStyle name="Note 6 5" xfId="6557"/>
    <cellStyle name="Note 6 5 10" xfId="30326"/>
    <cellStyle name="Note 6 5 2" xfId="30327"/>
    <cellStyle name="Note 6 5 2 2" xfId="30328"/>
    <cellStyle name="Note 6 5 2 3" xfId="30329"/>
    <cellStyle name="Note 6 5 3" xfId="30330"/>
    <cellStyle name="Note 6 5 3 2" xfId="30331"/>
    <cellStyle name="Note 6 5 4" xfId="30332"/>
    <cellStyle name="Note 6 5 4 2" xfId="30333"/>
    <cellStyle name="Note 6 5 5" xfId="30334"/>
    <cellStyle name="Note 6 5 6" xfId="30335"/>
    <cellStyle name="Note 6 5 7" xfId="30336"/>
    <cellStyle name="Note 6 5 8" xfId="30337"/>
    <cellStyle name="Note 6 5 9" xfId="30338"/>
    <cellStyle name="Note 6 6" xfId="6558"/>
    <cellStyle name="Note 6 6 2" xfId="6559"/>
    <cellStyle name="Note 6 6 2 2" xfId="30341"/>
    <cellStyle name="Note 6 6 2 3" xfId="30340"/>
    <cellStyle name="Note 6 6 3" xfId="30342"/>
    <cellStyle name="Note 6 6 3 2" xfId="30343"/>
    <cellStyle name="Note 6 6 4" xfId="30344"/>
    <cellStyle name="Note 6 6 5" xfId="30345"/>
    <cellStyle name="Note 6 6 6" xfId="30346"/>
    <cellStyle name="Note 6 6 7" xfId="30339"/>
    <cellStyle name="Note 6 7" xfId="6560"/>
    <cellStyle name="Note 6 7 2" xfId="6561"/>
    <cellStyle name="Note 6 7 2 2" xfId="30348"/>
    <cellStyle name="Note 6 7 3" xfId="30347"/>
    <cellStyle name="Note 6 8" xfId="6562"/>
    <cellStyle name="Note 6 8 2" xfId="30349"/>
    <cellStyle name="Note 6 9" xfId="6563"/>
    <cellStyle name="Note 6 9 2" xfId="30350"/>
    <cellStyle name="Note 7" xfId="1899"/>
    <cellStyle name="Note 7 10" xfId="6564"/>
    <cellStyle name="Note 7 10 2" xfId="30351"/>
    <cellStyle name="Note 7 2" xfId="1900"/>
    <cellStyle name="Note 7 2 2" xfId="6566"/>
    <cellStyle name="Note 7 2 2 10" xfId="30353"/>
    <cellStyle name="Note 7 2 2 2" xfId="30354"/>
    <cellStyle name="Note 7 2 2 2 2" xfId="30355"/>
    <cellStyle name="Note 7 2 2 2 3" xfId="30356"/>
    <cellStyle name="Note 7 2 2 3" xfId="30357"/>
    <cellStyle name="Note 7 2 2 3 2" xfId="30358"/>
    <cellStyle name="Note 7 2 2 4" xfId="30359"/>
    <cellStyle name="Note 7 2 2 4 2" xfId="30360"/>
    <cellStyle name="Note 7 2 2 5" xfId="30361"/>
    <cellStyle name="Note 7 2 2 6" xfId="30362"/>
    <cellStyle name="Note 7 2 2 7" xfId="30363"/>
    <cellStyle name="Note 7 2 2 8" xfId="30364"/>
    <cellStyle name="Note 7 2 2 9" xfId="30365"/>
    <cellStyle name="Note 7 2 3" xfId="6567"/>
    <cellStyle name="Note 7 2 3 2" xfId="30367"/>
    <cellStyle name="Note 7 2 3 2 2" xfId="30368"/>
    <cellStyle name="Note 7 2 3 2 3" xfId="30369"/>
    <cellStyle name="Note 7 2 3 3" xfId="30370"/>
    <cellStyle name="Note 7 2 3 3 2" xfId="30371"/>
    <cellStyle name="Note 7 2 3 4" xfId="30372"/>
    <cellStyle name="Note 7 2 3 5" xfId="30373"/>
    <cellStyle name="Note 7 2 3 6" xfId="30374"/>
    <cellStyle name="Note 7 2 3 7" xfId="30366"/>
    <cellStyle name="Note 7 2 4" xfId="6568"/>
    <cellStyle name="Note 7 2 4 2" xfId="6569"/>
    <cellStyle name="Note 7 2 4 2 2" xfId="30376"/>
    <cellStyle name="Note 7 2 4 3" xfId="30377"/>
    <cellStyle name="Note 7 2 4 4" xfId="30375"/>
    <cellStyle name="Note 7 2 5" xfId="6570"/>
    <cellStyle name="Note 7 2 5 2" xfId="6571"/>
    <cellStyle name="Note 7 2 5 3" xfId="30378"/>
    <cellStyle name="Note 7 2 6" xfId="6572"/>
    <cellStyle name="Note 7 2 6 2" xfId="30379"/>
    <cellStyle name="Note 7 2 7" xfId="6573"/>
    <cellStyle name="Note 7 2 7 2" xfId="30380"/>
    <cellStyle name="Note 7 2 8" xfId="6565"/>
    <cellStyle name="Note 7 2 9" xfId="30352"/>
    <cellStyle name="Note 7 3" xfId="2813"/>
    <cellStyle name="Note 7 3 2" xfId="6575"/>
    <cellStyle name="Note 7 3 2 10" xfId="30381"/>
    <cellStyle name="Note 7 3 2 2" xfId="30382"/>
    <cellStyle name="Note 7 3 2 2 2" xfId="30383"/>
    <cellStyle name="Note 7 3 2 3" xfId="30384"/>
    <cellStyle name="Note 7 3 2 3 2" xfId="30385"/>
    <cellStyle name="Note 7 3 2 4" xfId="30386"/>
    <cellStyle name="Note 7 3 2 4 2" xfId="30387"/>
    <cellStyle name="Note 7 3 2 5" xfId="30388"/>
    <cellStyle name="Note 7 3 2 6" xfId="30389"/>
    <cellStyle name="Note 7 3 2 7" xfId="30390"/>
    <cellStyle name="Note 7 3 2 8" xfId="30391"/>
    <cellStyle name="Note 7 3 2 9" xfId="30392"/>
    <cellStyle name="Note 7 3 3" xfId="6574"/>
    <cellStyle name="Note 7 3 3 2" xfId="30394"/>
    <cellStyle name="Note 7 3 3 2 2" xfId="30395"/>
    <cellStyle name="Note 7 3 3 3" xfId="30396"/>
    <cellStyle name="Note 7 3 3 3 2" xfId="30397"/>
    <cellStyle name="Note 7 3 3 4" xfId="30398"/>
    <cellStyle name="Note 7 3 3 5" xfId="30399"/>
    <cellStyle name="Note 7 3 3 6" xfId="30400"/>
    <cellStyle name="Note 7 3 3 7" xfId="30393"/>
    <cellStyle name="Note 7 3 4" xfId="8388"/>
    <cellStyle name="Note 7 3 4 2" xfId="30401"/>
    <cellStyle name="Note 7 3 5" xfId="30402"/>
    <cellStyle name="Note 7 3 6" xfId="30403"/>
    <cellStyle name="Note 7 3 7" xfId="30404"/>
    <cellStyle name="Note 7 4" xfId="6576"/>
    <cellStyle name="Note 7 4 10" xfId="30405"/>
    <cellStyle name="Note 7 4 2" xfId="30406"/>
    <cellStyle name="Note 7 4 2 2" xfId="30407"/>
    <cellStyle name="Note 7 4 2 3" xfId="30408"/>
    <cellStyle name="Note 7 4 3" xfId="30409"/>
    <cellStyle name="Note 7 4 3 2" xfId="30410"/>
    <cellStyle name="Note 7 4 4" xfId="30411"/>
    <cellStyle name="Note 7 4 4 2" xfId="30412"/>
    <cellStyle name="Note 7 4 5" xfId="30413"/>
    <cellStyle name="Note 7 4 6" xfId="30414"/>
    <cellStyle name="Note 7 4 7" xfId="30415"/>
    <cellStyle name="Note 7 4 8" xfId="30416"/>
    <cellStyle name="Note 7 4 9" xfId="30417"/>
    <cellStyle name="Note 7 5" xfId="6577"/>
    <cellStyle name="Note 7 5 10" xfId="30418"/>
    <cellStyle name="Note 7 5 2" xfId="30419"/>
    <cellStyle name="Note 7 5 2 2" xfId="30420"/>
    <cellStyle name="Note 7 5 2 3" xfId="30421"/>
    <cellStyle name="Note 7 5 3" xfId="30422"/>
    <cellStyle name="Note 7 5 3 2" xfId="30423"/>
    <cellStyle name="Note 7 5 4" xfId="30424"/>
    <cellStyle name="Note 7 5 4 2" xfId="30425"/>
    <cellStyle name="Note 7 5 5" xfId="30426"/>
    <cellStyle name="Note 7 5 6" xfId="30427"/>
    <cellStyle name="Note 7 5 7" xfId="30428"/>
    <cellStyle name="Note 7 5 8" xfId="30429"/>
    <cellStyle name="Note 7 5 9" xfId="30430"/>
    <cellStyle name="Note 7 6" xfId="6578"/>
    <cellStyle name="Note 7 6 2" xfId="6579"/>
    <cellStyle name="Note 7 6 2 2" xfId="30433"/>
    <cellStyle name="Note 7 6 2 3" xfId="30432"/>
    <cellStyle name="Note 7 6 3" xfId="30434"/>
    <cellStyle name="Note 7 6 3 2" xfId="30435"/>
    <cellStyle name="Note 7 6 4" xfId="30436"/>
    <cellStyle name="Note 7 6 5" xfId="30437"/>
    <cellStyle name="Note 7 6 6" xfId="30438"/>
    <cellStyle name="Note 7 6 7" xfId="30431"/>
    <cellStyle name="Note 7 7" xfId="6580"/>
    <cellStyle name="Note 7 7 2" xfId="6581"/>
    <cellStyle name="Note 7 7 2 2" xfId="30440"/>
    <cellStyle name="Note 7 7 3" xfId="30439"/>
    <cellStyle name="Note 7 8" xfId="6582"/>
    <cellStyle name="Note 7 8 2" xfId="30441"/>
    <cellStyle name="Note 7 9" xfId="6583"/>
    <cellStyle name="Note 7 9 2" xfId="30442"/>
    <cellStyle name="Note 8" xfId="1901"/>
    <cellStyle name="Note 8 10" xfId="6584"/>
    <cellStyle name="Note 8 10 2" xfId="30443"/>
    <cellStyle name="Note 8 11" xfId="8202"/>
    <cellStyle name="Note 8 2" xfId="1902"/>
    <cellStyle name="Note 8 2 10" xfId="30444"/>
    <cellStyle name="Note 8 2 2" xfId="6586"/>
    <cellStyle name="Note 8 2 2 10" xfId="30445"/>
    <cellStyle name="Note 8 2 2 2" xfId="30446"/>
    <cellStyle name="Note 8 2 2 2 2" xfId="30447"/>
    <cellStyle name="Note 8 2 2 2 3" xfId="30448"/>
    <cellStyle name="Note 8 2 2 3" xfId="30449"/>
    <cellStyle name="Note 8 2 2 3 2" xfId="30450"/>
    <cellStyle name="Note 8 2 2 4" xfId="30451"/>
    <cellStyle name="Note 8 2 2 4 2" xfId="30452"/>
    <cellStyle name="Note 8 2 2 5" xfId="30453"/>
    <cellStyle name="Note 8 2 2 6" xfId="30454"/>
    <cellStyle name="Note 8 2 2 7" xfId="30455"/>
    <cellStyle name="Note 8 2 2 8" xfId="30456"/>
    <cellStyle name="Note 8 2 2 9" xfId="30457"/>
    <cellStyle name="Note 8 2 3" xfId="6587"/>
    <cellStyle name="Note 8 2 3 2" xfId="30459"/>
    <cellStyle name="Note 8 2 3 2 2" xfId="30460"/>
    <cellStyle name="Note 8 2 3 2 3" xfId="30461"/>
    <cellStyle name="Note 8 2 3 3" xfId="30462"/>
    <cellStyle name="Note 8 2 3 3 2" xfId="30463"/>
    <cellStyle name="Note 8 2 3 4" xfId="30464"/>
    <cellStyle name="Note 8 2 3 5" xfId="30465"/>
    <cellStyle name="Note 8 2 3 6" xfId="30466"/>
    <cellStyle name="Note 8 2 3 7" xfId="30458"/>
    <cellStyle name="Note 8 2 4" xfId="6588"/>
    <cellStyle name="Note 8 2 4 2" xfId="6589"/>
    <cellStyle name="Note 8 2 4 2 2" xfId="30468"/>
    <cellStyle name="Note 8 2 4 3" xfId="30469"/>
    <cellStyle name="Note 8 2 4 4" xfId="30467"/>
    <cellStyle name="Note 8 2 5" xfId="6590"/>
    <cellStyle name="Note 8 2 5 2" xfId="6591"/>
    <cellStyle name="Note 8 2 5 3" xfId="30470"/>
    <cellStyle name="Note 8 2 6" xfId="6592"/>
    <cellStyle name="Note 8 2 6 2" xfId="30471"/>
    <cellStyle name="Note 8 2 7" xfId="6593"/>
    <cellStyle name="Note 8 2 7 2" xfId="30472"/>
    <cellStyle name="Note 8 2 8" xfId="6585"/>
    <cellStyle name="Note 8 2 9" xfId="8203"/>
    <cellStyle name="Note 8 3" xfId="2814"/>
    <cellStyle name="Note 8 3 2" xfId="6595"/>
    <cellStyle name="Note 8 3 2 10" xfId="30473"/>
    <cellStyle name="Note 8 3 2 2" xfId="30474"/>
    <cellStyle name="Note 8 3 2 2 2" xfId="30475"/>
    <cellStyle name="Note 8 3 2 3" xfId="30476"/>
    <cellStyle name="Note 8 3 2 3 2" xfId="30477"/>
    <cellStyle name="Note 8 3 2 4" xfId="30478"/>
    <cellStyle name="Note 8 3 2 4 2" xfId="30479"/>
    <cellStyle name="Note 8 3 2 5" xfId="30480"/>
    <cellStyle name="Note 8 3 2 6" xfId="30481"/>
    <cellStyle name="Note 8 3 2 7" xfId="30482"/>
    <cellStyle name="Note 8 3 2 8" xfId="30483"/>
    <cellStyle name="Note 8 3 2 9" xfId="30484"/>
    <cellStyle name="Note 8 3 3" xfId="6594"/>
    <cellStyle name="Note 8 3 3 2" xfId="30486"/>
    <cellStyle name="Note 8 3 3 2 2" xfId="30487"/>
    <cellStyle name="Note 8 3 3 3" xfId="30488"/>
    <cellStyle name="Note 8 3 3 3 2" xfId="30489"/>
    <cellStyle name="Note 8 3 3 4" xfId="30490"/>
    <cellStyle name="Note 8 3 3 5" xfId="30491"/>
    <cellStyle name="Note 8 3 3 6" xfId="30492"/>
    <cellStyle name="Note 8 3 3 7" xfId="30485"/>
    <cellStyle name="Note 8 3 4" xfId="8389"/>
    <cellStyle name="Note 8 3 4 2" xfId="30493"/>
    <cellStyle name="Note 8 3 5" xfId="30494"/>
    <cellStyle name="Note 8 3 6" xfId="30495"/>
    <cellStyle name="Note 8 3 7" xfId="30496"/>
    <cellStyle name="Note 8 4" xfId="6596"/>
    <cellStyle name="Note 8 4 10" xfId="30497"/>
    <cellStyle name="Note 8 4 2" xfId="30498"/>
    <cellStyle name="Note 8 4 2 2" xfId="30499"/>
    <cellStyle name="Note 8 4 2 3" xfId="30500"/>
    <cellStyle name="Note 8 4 3" xfId="30501"/>
    <cellStyle name="Note 8 4 3 2" xfId="30502"/>
    <cellStyle name="Note 8 4 4" xfId="30503"/>
    <cellStyle name="Note 8 4 4 2" xfId="30504"/>
    <cellStyle name="Note 8 4 5" xfId="30505"/>
    <cellStyle name="Note 8 4 6" xfId="30506"/>
    <cellStyle name="Note 8 4 7" xfId="30507"/>
    <cellStyle name="Note 8 4 8" xfId="30508"/>
    <cellStyle name="Note 8 4 9" xfId="30509"/>
    <cellStyle name="Note 8 5" xfId="6597"/>
    <cellStyle name="Note 8 5 10" xfId="30510"/>
    <cellStyle name="Note 8 5 2" xfId="30511"/>
    <cellStyle name="Note 8 5 2 2" xfId="30512"/>
    <cellStyle name="Note 8 5 2 3" xfId="30513"/>
    <cellStyle name="Note 8 5 3" xfId="30514"/>
    <cellStyle name="Note 8 5 3 2" xfId="30515"/>
    <cellStyle name="Note 8 5 4" xfId="30516"/>
    <cellStyle name="Note 8 5 4 2" xfId="30517"/>
    <cellStyle name="Note 8 5 5" xfId="30518"/>
    <cellStyle name="Note 8 5 6" xfId="30519"/>
    <cellStyle name="Note 8 5 7" xfId="30520"/>
    <cellStyle name="Note 8 5 8" xfId="30521"/>
    <cellStyle name="Note 8 5 9" xfId="30522"/>
    <cellStyle name="Note 8 6" xfId="6598"/>
    <cellStyle name="Note 8 6 2" xfId="6599"/>
    <cellStyle name="Note 8 6 2 2" xfId="30525"/>
    <cellStyle name="Note 8 6 2 3" xfId="30524"/>
    <cellStyle name="Note 8 6 3" xfId="30526"/>
    <cellStyle name="Note 8 6 3 2" xfId="30527"/>
    <cellStyle name="Note 8 6 4" xfId="30528"/>
    <cellStyle name="Note 8 6 5" xfId="30529"/>
    <cellStyle name="Note 8 6 6" xfId="30530"/>
    <cellStyle name="Note 8 6 7" xfId="30523"/>
    <cellStyle name="Note 8 7" xfId="6600"/>
    <cellStyle name="Note 8 7 2" xfId="6601"/>
    <cellStyle name="Note 8 7 2 2" xfId="30532"/>
    <cellStyle name="Note 8 7 3" xfId="30531"/>
    <cellStyle name="Note 8 8" xfId="6602"/>
    <cellStyle name="Note 8 8 2" xfId="30533"/>
    <cellStyle name="Note 8 9" xfId="6603"/>
    <cellStyle name="Note 8 9 2" xfId="30534"/>
    <cellStyle name="Note 9" xfId="1903"/>
    <cellStyle name="Note 9 10" xfId="6604"/>
    <cellStyle name="Note 9 10 2" xfId="30535"/>
    <cellStyle name="Note 9 11" xfId="8204"/>
    <cellStyle name="Note 9 2" xfId="1904"/>
    <cellStyle name="Note 9 2 10" xfId="30536"/>
    <cellStyle name="Note 9 2 2" xfId="6606"/>
    <cellStyle name="Note 9 2 2 10" xfId="30537"/>
    <cellStyle name="Note 9 2 2 2" xfId="30538"/>
    <cellStyle name="Note 9 2 2 2 2" xfId="30539"/>
    <cellStyle name="Note 9 2 2 2 3" xfId="30540"/>
    <cellStyle name="Note 9 2 2 3" xfId="30541"/>
    <cellStyle name="Note 9 2 2 3 2" xfId="30542"/>
    <cellStyle name="Note 9 2 2 4" xfId="30543"/>
    <cellStyle name="Note 9 2 2 4 2" xfId="30544"/>
    <cellStyle name="Note 9 2 2 5" xfId="30545"/>
    <cellStyle name="Note 9 2 2 6" xfId="30546"/>
    <cellStyle name="Note 9 2 2 7" xfId="30547"/>
    <cellStyle name="Note 9 2 2 8" xfId="30548"/>
    <cellStyle name="Note 9 2 2 9" xfId="30549"/>
    <cellStyle name="Note 9 2 3" xfId="6607"/>
    <cellStyle name="Note 9 2 3 2" xfId="30551"/>
    <cellStyle name="Note 9 2 3 2 2" xfId="30552"/>
    <cellStyle name="Note 9 2 3 2 3" xfId="30553"/>
    <cellStyle name="Note 9 2 3 3" xfId="30554"/>
    <cellStyle name="Note 9 2 3 3 2" xfId="30555"/>
    <cellStyle name="Note 9 2 3 4" xfId="30556"/>
    <cellStyle name="Note 9 2 3 5" xfId="30557"/>
    <cellStyle name="Note 9 2 3 6" xfId="30558"/>
    <cellStyle name="Note 9 2 3 7" xfId="30550"/>
    <cellStyle name="Note 9 2 4" xfId="6608"/>
    <cellStyle name="Note 9 2 4 2" xfId="6609"/>
    <cellStyle name="Note 9 2 4 2 2" xfId="30560"/>
    <cellStyle name="Note 9 2 4 3" xfId="30561"/>
    <cellStyle name="Note 9 2 4 4" xfId="30559"/>
    <cellStyle name="Note 9 2 5" xfId="6610"/>
    <cellStyle name="Note 9 2 5 2" xfId="6611"/>
    <cellStyle name="Note 9 2 5 3" xfId="30562"/>
    <cellStyle name="Note 9 2 6" xfId="6612"/>
    <cellStyle name="Note 9 2 6 2" xfId="30563"/>
    <cellStyle name="Note 9 2 7" xfId="6613"/>
    <cellStyle name="Note 9 2 7 2" xfId="30564"/>
    <cellStyle name="Note 9 2 8" xfId="6605"/>
    <cellStyle name="Note 9 2 9" xfId="8205"/>
    <cellStyle name="Note 9 3" xfId="2815"/>
    <cellStyle name="Note 9 3 2" xfId="6615"/>
    <cellStyle name="Note 9 3 2 10" xfId="30565"/>
    <cellStyle name="Note 9 3 2 2" xfId="30566"/>
    <cellStyle name="Note 9 3 2 2 2" xfId="30567"/>
    <cellStyle name="Note 9 3 2 3" xfId="30568"/>
    <cellStyle name="Note 9 3 2 3 2" xfId="30569"/>
    <cellStyle name="Note 9 3 2 4" xfId="30570"/>
    <cellStyle name="Note 9 3 2 4 2" xfId="30571"/>
    <cellStyle name="Note 9 3 2 5" xfId="30572"/>
    <cellStyle name="Note 9 3 2 6" xfId="30573"/>
    <cellStyle name="Note 9 3 2 7" xfId="30574"/>
    <cellStyle name="Note 9 3 2 8" xfId="30575"/>
    <cellStyle name="Note 9 3 2 9" xfId="30576"/>
    <cellStyle name="Note 9 3 3" xfId="6614"/>
    <cellStyle name="Note 9 3 3 2" xfId="30578"/>
    <cellStyle name="Note 9 3 3 2 2" xfId="30579"/>
    <cellStyle name="Note 9 3 3 3" xfId="30580"/>
    <cellStyle name="Note 9 3 3 3 2" xfId="30581"/>
    <cellStyle name="Note 9 3 3 4" xfId="30582"/>
    <cellStyle name="Note 9 3 3 5" xfId="30583"/>
    <cellStyle name="Note 9 3 3 6" xfId="30584"/>
    <cellStyle name="Note 9 3 3 7" xfId="30577"/>
    <cellStyle name="Note 9 3 4" xfId="8390"/>
    <cellStyle name="Note 9 3 4 2" xfId="30585"/>
    <cellStyle name="Note 9 3 5" xfId="30586"/>
    <cellStyle name="Note 9 3 6" xfId="30587"/>
    <cellStyle name="Note 9 3 7" xfId="30588"/>
    <cellStyle name="Note 9 4" xfId="6616"/>
    <cellStyle name="Note 9 4 10" xfId="30589"/>
    <cellStyle name="Note 9 4 2" xfId="30590"/>
    <cellStyle name="Note 9 4 2 2" xfId="30591"/>
    <cellStyle name="Note 9 4 2 3" xfId="30592"/>
    <cellStyle name="Note 9 4 3" xfId="30593"/>
    <cellStyle name="Note 9 4 3 2" xfId="30594"/>
    <cellStyle name="Note 9 4 4" xfId="30595"/>
    <cellStyle name="Note 9 4 4 2" xfId="30596"/>
    <cellStyle name="Note 9 4 5" xfId="30597"/>
    <cellStyle name="Note 9 4 6" xfId="30598"/>
    <cellStyle name="Note 9 4 7" xfId="30599"/>
    <cellStyle name="Note 9 4 8" xfId="30600"/>
    <cellStyle name="Note 9 4 9" xfId="30601"/>
    <cellStyle name="Note 9 5" xfId="6617"/>
    <cellStyle name="Note 9 5 10" xfId="30602"/>
    <cellStyle name="Note 9 5 2" xfId="30603"/>
    <cellStyle name="Note 9 5 2 2" xfId="30604"/>
    <cellStyle name="Note 9 5 2 3" xfId="30605"/>
    <cellStyle name="Note 9 5 3" xfId="30606"/>
    <cellStyle name="Note 9 5 3 2" xfId="30607"/>
    <cellStyle name="Note 9 5 4" xfId="30608"/>
    <cellStyle name="Note 9 5 4 2" xfId="30609"/>
    <cellStyle name="Note 9 5 5" xfId="30610"/>
    <cellStyle name="Note 9 5 6" xfId="30611"/>
    <cellStyle name="Note 9 5 7" xfId="30612"/>
    <cellStyle name="Note 9 5 8" xfId="30613"/>
    <cellStyle name="Note 9 5 9" xfId="30614"/>
    <cellStyle name="Note 9 6" xfId="6618"/>
    <cellStyle name="Note 9 6 2" xfId="6619"/>
    <cellStyle name="Note 9 6 2 2" xfId="30617"/>
    <cellStyle name="Note 9 6 2 3" xfId="30616"/>
    <cellStyle name="Note 9 6 3" xfId="30618"/>
    <cellStyle name="Note 9 6 3 2" xfId="30619"/>
    <cellStyle name="Note 9 6 4" xfId="30620"/>
    <cellStyle name="Note 9 6 5" xfId="30621"/>
    <cellStyle name="Note 9 6 6" xfId="30622"/>
    <cellStyle name="Note 9 6 7" xfId="30615"/>
    <cellStyle name="Note 9 7" xfId="6620"/>
    <cellStyle name="Note 9 7 2" xfId="6621"/>
    <cellStyle name="Note 9 7 2 2" xfId="30624"/>
    <cellStyle name="Note 9 7 3" xfId="30623"/>
    <cellStyle name="Note 9 8" xfId="6622"/>
    <cellStyle name="Note 9 8 2" xfId="30625"/>
    <cellStyle name="Note 9 9" xfId="6623"/>
    <cellStyle name="Note 9 9 2" xfId="30626"/>
    <cellStyle name="Œ…‹æØ‚è [0.00]_laroux" xfId="42247"/>
    <cellStyle name="Œ…‹æØ‚è_laroux" xfId="42248"/>
    <cellStyle name="Option" xfId="1905"/>
    <cellStyle name="Option 2" xfId="1906"/>
    <cellStyle name="Option 3" xfId="42249"/>
    <cellStyle name="Összesen" xfId="40351"/>
    <cellStyle name="Output 10" xfId="2816"/>
    <cellStyle name="Output 10 10" xfId="6624"/>
    <cellStyle name="Output 10 10 2" xfId="30627"/>
    <cellStyle name="Output 10 11" xfId="8391"/>
    <cellStyle name="Output 10 2" xfId="6625"/>
    <cellStyle name="Output 10 2 2" xfId="6626"/>
    <cellStyle name="Output 10 2 2 10" xfId="30629"/>
    <cellStyle name="Output 10 2 2 2" xfId="30630"/>
    <cellStyle name="Output 10 2 2 2 2" xfId="30631"/>
    <cellStyle name="Output 10 2 2 2 3" xfId="30632"/>
    <cellStyle name="Output 10 2 2 3" xfId="30633"/>
    <cellStyle name="Output 10 2 2 3 2" xfId="30634"/>
    <cellStyle name="Output 10 2 2 4" xfId="30635"/>
    <cellStyle name="Output 10 2 2 4 2" xfId="30636"/>
    <cellStyle name="Output 10 2 2 5" xfId="30637"/>
    <cellStyle name="Output 10 2 2 6" xfId="30638"/>
    <cellStyle name="Output 10 2 2 7" xfId="30639"/>
    <cellStyle name="Output 10 2 2 8" xfId="30640"/>
    <cellStyle name="Output 10 2 2 9" xfId="30641"/>
    <cellStyle name="Output 10 2 3" xfId="6627"/>
    <cellStyle name="Output 10 2 3 2" xfId="30643"/>
    <cellStyle name="Output 10 2 3 2 2" xfId="30644"/>
    <cellStyle name="Output 10 2 3 2 3" xfId="30645"/>
    <cellStyle name="Output 10 2 3 3" xfId="30646"/>
    <cellStyle name="Output 10 2 3 3 2" xfId="30647"/>
    <cellStyle name="Output 10 2 3 4" xfId="30648"/>
    <cellStyle name="Output 10 2 3 5" xfId="30649"/>
    <cellStyle name="Output 10 2 3 6" xfId="30650"/>
    <cellStyle name="Output 10 2 3 7" xfId="30642"/>
    <cellStyle name="Output 10 2 4" xfId="6628"/>
    <cellStyle name="Output 10 2 4 2" xfId="6629"/>
    <cellStyle name="Output 10 2 4 2 2" xfId="30652"/>
    <cellStyle name="Output 10 2 4 3" xfId="30653"/>
    <cellStyle name="Output 10 2 4 4" xfId="30651"/>
    <cellStyle name="Output 10 2 5" xfId="6630"/>
    <cellStyle name="Output 10 2 5 2" xfId="6631"/>
    <cellStyle name="Output 10 2 5 3" xfId="30654"/>
    <cellStyle name="Output 10 2 6" xfId="6632"/>
    <cellStyle name="Output 10 2 6 2" xfId="30655"/>
    <cellStyle name="Output 10 2 7" xfId="6633"/>
    <cellStyle name="Output 10 2 7 2" xfId="30656"/>
    <cellStyle name="Output 10 2 8" xfId="30657"/>
    <cellStyle name="Output 10 2 9" xfId="30628"/>
    <cellStyle name="Output 10 3" xfId="6634"/>
    <cellStyle name="Output 10 3 2" xfId="6635"/>
    <cellStyle name="Output 10 3 2 10" xfId="30659"/>
    <cellStyle name="Output 10 3 2 2" xfId="30660"/>
    <cellStyle name="Output 10 3 2 2 2" xfId="30661"/>
    <cellStyle name="Output 10 3 2 3" xfId="30662"/>
    <cellStyle name="Output 10 3 2 3 2" xfId="30663"/>
    <cellStyle name="Output 10 3 2 4" xfId="30664"/>
    <cellStyle name="Output 10 3 2 4 2" xfId="30665"/>
    <cellStyle name="Output 10 3 2 5" xfId="30666"/>
    <cellStyle name="Output 10 3 2 6" xfId="30667"/>
    <cellStyle name="Output 10 3 2 7" xfId="30668"/>
    <cellStyle name="Output 10 3 2 8" xfId="30669"/>
    <cellStyle name="Output 10 3 2 9" xfId="30670"/>
    <cellStyle name="Output 10 3 3" xfId="30671"/>
    <cellStyle name="Output 10 3 3 2" xfId="30672"/>
    <cellStyle name="Output 10 3 3 2 2" xfId="30673"/>
    <cellStyle name="Output 10 3 3 3" xfId="30674"/>
    <cellStyle name="Output 10 3 3 3 2" xfId="30675"/>
    <cellStyle name="Output 10 3 3 4" xfId="30676"/>
    <cellStyle name="Output 10 3 3 5" xfId="30677"/>
    <cellStyle name="Output 10 3 3 6" xfId="30678"/>
    <cellStyle name="Output 10 3 4" xfId="30679"/>
    <cellStyle name="Output 10 3 4 2" xfId="30680"/>
    <cellStyle name="Output 10 3 5" xfId="30681"/>
    <cellStyle name="Output 10 3 6" xfId="30682"/>
    <cellStyle name="Output 10 3 7" xfId="30683"/>
    <cellStyle name="Output 10 3 8" xfId="30684"/>
    <cellStyle name="Output 10 3 9" xfId="30658"/>
    <cellStyle name="Output 10 4" xfId="6636"/>
    <cellStyle name="Output 10 4 10" xfId="30685"/>
    <cellStyle name="Output 10 4 2" xfId="30686"/>
    <cellStyle name="Output 10 4 2 2" xfId="30687"/>
    <cellStyle name="Output 10 4 2 3" xfId="30688"/>
    <cellStyle name="Output 10 4 3" xfId="30689"/>
    <cellStyle name="Output 10 4 3 2" xfId="30690"/>
    <cellStyle name="Output 10 4 4" xfId="30691"/>
    <cellStyle name="Output 10 4 4 2" xfId="30692"/>
    <cellStyle name="Output 10 4 5" xfId="30693"/>
    <cellStyle name="Output 10 4 6" xfId="30694"/>
    <cellStyle name="Output 10 4 7" xfId="30695"/>
    <cellStyle name="Output 10 4 8" xfId="30696"/>
    <cellStyle name="Output 10 4 9" xfId="30697"/>
    <cellStyle name="Output 10 5" xfId="6637"/>
    <cellStyle name="Output 10 5 10" xfId="30698"/>
    <cellStyle name="Output 10 5 2" xfId="30699"/>
    <cellStyle name="Output 10 5 2 2" xfId="30700"/>
    <cellStyle name="Output 10 5 2 3" xfId="30701"/>
    <cellStyle name="Output 10 5 3" xfId="30702"/>
    <cellStyle name="Output 10 5 3 2" xfId="30703"/>
    <cellStyle name="Output 10 5 4" xfId="30704"/>
    <cellStyle name="Output 10 5 4 2" xfId="30705"/>
    <cellStyle name="Output 10 5 5" xfId="30706"/>
    <cellStyle name="Output 10 5 6" xfId="30707"/>
    <cellStyle name="Output 10 5 7" xfId="30708"/>
    <cellStyle name="Output 10 5 8" xfId="30709"/>
    <cellStyle name="Output 10 5 9" xfId="30710"/>
    <cellStyle name="Output 10 6" xfId="6638"/>
    <cellStyle name="Output 10 6 2" xfId="6639"/>
    <cellStyle name="Output 10 6 2 2" xfId="30713"/>
    <cellStyle name="Output 10 6 2 3" xfId="30712"/>
    <cellStyle name="Output 10 6 3" xfId="30714"/>
    <cellStyle name="Output 10 6 3 2" xfId="30715"/>
    <cellStyle name="Output 10 6 4" xfId="30716"/>
    <cellStyle name="Output 10 6 5" xfId="30717"/>
    <cellStyle name="Output 10 6 6" xfId="30718"/>
    <cellStyle name="Output 10 6 7" xfId="30711"/>
    <cellStyle name="Output 10 7" xfId="6640"/>
    <cellStyle name="Output 10 7 2" xfId="6641"/>
    <cellStyle name="Output 10 7 2 2" xfId="30720"/>
    <cellStyle name="Output 10 7 3" xfId="30719"/>
    <cellStyle name="Output 10 8" xfId="6642"/>
    <cellStyle name="Output 10 8 2" xfId="30721"/>
    <cellStyle name="Output 10 9" xfId="6643"/>
    <cellStyle name="Output 10 9 2" xfId="30722"/>
    <cellStyle name="Output 11" xfId="2817"/>
    <cellStyle name="Output 11 10" xfId="6644"/>
    <cellStyle name="Output 11 10 2" xfId="30723"/>
    <cellStyle name="Output 11 11" xfId="8392"/>
    <cellStyle name="Output 11 2" xfId="6645"/>
    <cellStyle name="Output 11 2 2" xfId="6646"/>
    <cellStyle name="Output 11 2 2 10" xfId="30725"/>
    <cellStyle name="Output 11 2 2 2" xfId="30726"/>
    <cellStyle name="Output 11 2 2 2 2" xfId="30727"/>
    <cellStyle name="Output 11 2 2 2 3" xfId="30728"/>
    <cellStyle name="Output 11 2 2 3" xfId="30729"/>
    <cellStyle name="Output 11 2 2 3 2" xfId="30730"/>
    <cellStyle name="Output 11 2 2 4" xfId="30731"/>
    <cellStyle name="Output 11 2 2 4 2" xfId="30732"/>
    <cellStyle name="Output 11 2 2 5" xfId="30733"/>
    <cellStyle name="Output 11 2 2 6" xfId="30734"/>
    <cellStyle name="Output 11 2 2 7" xfId="30735"/>
    <cellStyle name="Output 11 2 2 8" xfId="30736"/>
    <cellStyle name="Output 11 2 2 9" xfId="30737"/>
    <cellStyle name="Output 11 2 3" xfId="6647"/>
    <cellStyle name="Output 11 2 3 2" xfId="30739"/>
    <cellStyle name="Output 11 2 3 2 2" xfId="30740"/>
    <cellStyle name="Output 11 2 3 2 3" xfId="30741"/>
    <cellStyle name="Output 11 2 3 3" xfId="30742"/>
    <cellStyle name="Output 11 2 3 3 2" xfId="30743"/>
    <cellStyle name="Output 11 2 3 4" xfId="30744"/>
    <cellStyle name="Output 11 2 3 5" xfId="30745"/>
    <cellStyle name="Output 11 2 3 6" xfId="30746"/>
    <cellStyle name="Output 11 2 3 7" xfId="30738"/>
    <cellStyle name="Output 11 2 4" xfId="6648"/>
    <cellStyle name="Output 11 2 4 2" xfId="6649"/>
    <cellStyle name="Output 11 2 4 2 2" xfId="30748"/>
    <cellStyle name="Output 11 2 4 3" xfId="30749"/>
    <cellStyle name="Output 11 2 4 4" xfId="30747"/>
    <cellStyle name="Output 11 2 5" xfId="6650"/>
    <cellStyle name="Output 11 2 5 2" xfId="6651"/>
    <cellStyle name="Output 11 2 5 3" xfId="30750"/>
    <cellStyle name="Output 11 2 6" xfId="6652"/>
    <cellStyle name="Output 11 2 6 2" xfId="30751"/>
    <cellStyle name="Output 11 2 7" xfId="6653"/>
    <cellStyle name="Output 11 2 7 2" xfId="30752"/>
    <cellStyle name="Output 11 2 8" xfId="30753"/>
    <cellStyle name="Output 11 2 9" xfId="30724"/>
    <cellStyle name="Output 11 3" xfId="6654"/>
    <cellStyle name="Output 11 3 2" xfId="6655"/>
    <cellStyle name="Output 11 3 2 10" xfId="30755"/>
    <cellStyle name="Output 11 3 2 2" xfId="30756"/>
    <cellStyle name="Output 11 3 2 2 2" xfId="30757"/>
    <cellStyle name="Output 11 3 2 3" xfId="30758"/>
    <cellStyle name="Output 11 3 2 3 2" xfId="30759"/>
    <cellStyle name="Output 11 3 2 4" xfId="30760"/>
    <cellStyle name="Output 11 3 2 4 2" xfId="30761"/>
    <cellStyle name="Output 11 3 2 5" xfId="30762"/>
    <cellStyle name="Output 11 3 2 6" xfId="30763"/>
    <cellStyle name="Output 11 3 2 7" xfId="30764"/>
    <cellStyle name="Output 11 3 2 8" xfId="30765"/>
    <cellStyle name="Output 11 3 2 9" xfId="30766"/>
    <cellStyle name="Output 11 3 3" xfId="30767"/>
    <cellStyle name="Output 11 3 3 2" xfId="30768"/>
    <cellStyle name="Output 11 3 3 2 2" xfId="30769"/>
    <cellStyle name="Output 11 3 3 3" xfId="30770"/>
    <cellStyle name="Output 11 3 3 3 2" xfId="30771"/>
    <cellStyle name="Output 11 3 3 4" xfId="30772"/>
    <cellStyle name="Output 11 3 3 5" xfId="30773"/>
    <cellStyle name="Output 11 3 3 6" xfId="30774"/>
    <cellStyle name="Output 11 3 4" xfId="30775"/>
    <cellStyle name="Output 11 3 4 2" xfId="30776"/>
    <cellStyle name="Output 11 3 5" xfId="30777"/>
    <cellStyle name="Output 11 3 6" xfId="30778"/>
    <cellStyle name="Output 11 3 7" xfId="30779"/>
    <cellStyle name="Output 11 3 8" xfId="30780"/>
    <cellStyle name="Output 11 3 9" xfId="30754"/>
    <cellStyle name="Output 11 4" xfId="6656"/>
    <cellStyle name="Output 11 4 10" xfId="30781"/>
    <cellStyle name="Output 11 4 2" xfId="30782"/>
    <cellStyle name="Output 11 4 2 2" xfId="30783"/>
    <cellStyle name="Output 11 4 2 3" xfId="30784"/>
    <cellStyle name="Output 11 4 3" xfId="30785"/>
    <cellStyle name="Output 11 4 3 2" xfId="30786"/>
    <cellStyle name="Output 11 4 4" xfId="30787"/>
    <cellStyle name="Output 11 4 4 2" xfId="30788"/>
    <cellStyle name="Output 11 4 5" xfId="30789"/>
    <cellStyle name="Output 11 4 6" xfId="30790"/>
    <cellStyle name="Output 11 4 7" xfId="30791"/>
    <cellStyle name="Output 11 4 8" xfId="30792"/>
    <cellStyle name="Output 11 4 9" xfId="30793"/>
    <cellStyle name="Output 11 5" xfId="6657"/>
    <cellStyle name="Output 11 5 10" xfId="30794"/>
    <cellStyle name="Output 11 5 2" xfId="30795"/>
    <cellStyle name="Output 11 5 2 2" xfId="30796"/>
    <cellStyle name="Output 11 5 2 3" xfId="30797"/>
    <cellStyle name="Output 11 5 3" xfId="30798"/>
    <cellStyle name="Output 11 5 3 2" xfId="30799"/>
    <cellStyle name="Output 11 5 4" xfId="30800"/>
    <cellStyle name="Output 11 5 4 2" xfId="30801"/>
    <cellStyle name="Output 11 5 5" xfId="30802"/>
    <cellStyle name="Output 11 5 6" xfId="30803"/>
    <cellStyle name="Output 11 5 7" xfId="30804"/>
    <cellStyle name="Output 11 5 8" xfId="30805"/>
    <cellStyle name="Output 11 5 9" xfId="30806"/>
    <cellStyle name="Output 11 6" xfId="6658"/>
    <cellStyle name="Output 11 6 2" xfId="6659"/>
    <cellStyle name="Output 11 6 2 2" xfId="30809"/>
    <cellStyle name="Output 11 6 2 3" xfId="30808"/>
    <cellStyle name="Output 11 6 3" xfId="30810"/>
    <cellStyle name="Output 11 6 3 2" xfId="30811"/>
    <cellStyle name="Output 11 6 4" xfId="30812"/>
    <cellStyle name="Output 11 6 5" xfId="30813"/>
    <cellStyle name="Output 11 6 6" xfId="30814"/>
    <cellStyle name="Output 11 6 7" xfId="30807"/>
    <cellStyle name="Output 11 7" xfId="6660"/>
    <cellStyle name="Output 11 7 2" xfId="6661"/>
    <cellStyle name="Output 11 7 2 2" xfId="30816"/>
    <cellStyle name="Output 11 7 3" xfId="30815"/>
    <cellStyle name="Output 11 8" xfId="6662"/>
    <cellStyle name="Output 11 8 2" xfId="30817"/>
    <cellStyle name="Output 11 9" xfId="6663"/>
    <cellStyle name="Output 11 9 2" xfId="30818"/>
    <cellStyle name="Output 12" xfId="2818"/>
    <cellStyle name="Output 12 10" xfId="6664"/>
    <cellStyle name="Output 12 10 2" xfId="30819"/>
    <cellStyle name="Output 12 11" xfId="8393"/>
    <cellStyle name="Output 12 2" xfId="6665"/>
    <cellStyle name="Output 12 2 2" xfId="6666"/>
    <cellStyle name="Output 12 2 2 10" xfId="30821"/>
    <cellStyle name="Output 12 2 2 2" xfId="30822"/>
    <cellStyle name="Output 12 2 2 2 2" xfId="30823"/>
    <cellStyle name="Output 12 2 2 2 3" xfId="30824"/>
    <cellStyle name="Output 12 2 2 3" xfId="30825"/>
    <cellStyle name="Output 12 2 2 3 2" xfId="30826"/>
    <cellStyle name="Output 12 2 2 4" xfId="30827"/>
    <cellStyle name="Output 12 2 2 4 2" xfId="30828"/>
    <cellStyle name="Output 12 2 2 5" xfId="30829"/>
    <cellStyle name="Output 12 2 2 6" xfId="30830"/>
    <cellStyle name="Output 12 2 2 7" xfId="30831"/>
    <cellStyle name="Output 12 2 2 8" xfId="30832"/>
    <cellStyle name="Output 12 2 2 9" xfId="30833"/>
    <cellStyle name="Output 12 2 3" xfId="6667"/>
    <cellStyle name="Output 12 2 3 2" xfId="30835"/>
    <cellStyle name="Output 12 2 3 2 2" xfId="30836"/>
    <cellStyle name="Output 12 2 3 2 3" xfId="30837"/>
    <cellStyle name="Output 12 2 3 3" xfId="30838"/>
    <cellStyle name="Output 12 2 3 3 2" xfId="30839"/>
    <cellStyle name="Output 12 2 3 4" xfId="30840"/>
    <cellStyle name="Output 12 2 3 5" xfId="30841"/>
    <cellStyle name="Output 12 2 3 6" xfId="30842"/>
    <cellStyle name="Output 12 2 3 7" xfId="30834"/>
    <cellStyle name="Output 12 2 4" xfId="6668"/>
    <cellStyle name="Output 12 2 4 2" xfId="6669"/>
    <cellStyle name="Output 12 2 4 2 2" xfId="30844"/>
    <cellStyle name="Output 12 2 4 3" xfId="30845"/>
    <cellStyle name="Output 12 2 4 4" xfId="30843"/>
    <cellStyle name="Output 12 2 5" xfId="6670"/>
    <cellStyle name="Output 12 2 5 2" xfId="6671"/>
    <cellStyle name="Output 12 2 5 3" xfId="30846"/>
    <cellStyle name="Output 12 2 6" xfId="6672"/>
    <cellStyle name="Output 12 2 6 2" xfId="30847"/>
    <cellStyle name="Output 12 2 7" xfId="6673"/>
    <cellStyle name="Output 12 2 7 2" xfId="30848"/>
    <cellStyle name="Output 12 2 8" xfId="30849"/>
    <cellStyle name="Output 12 2 9" xfId="30820"/>
    <cellStyle name="Output 12 3" xfId="6674"/>
    <cellStyle name="Output 12 3 2" xfId="6675"/>
    <cellStyle name="Output 12 3 2 10" xfId="30851"/>
    <cellStyle name="Output 12 3 2 2" xfId="30852"/>
    <cellStyle name="Output 12 3 2 2 2" xfId="30853"/>
    <cellStyle name="Output 12 3 2 3" xfId="30854"/>
    <cellStyle name="Output 12 3 2 3 2" xfId="30855"/>
    <cellStyle name="Output 12 3 2 4" xfId="30856"/>
    <cellStyle name="Output 12 3 2 4 2" xfId="30857"/>
    <cellStyle name="Output 12 3 2 5" xfId="30858"/>
    <cellStyle name="Output 12 3 2 6" xfId="30859"/>
    <cellStyle name="Output 12 3 2 7" xfId="30860"/>
    <cellStyle name="Output 12 3 2 8" xfId="30861"/>
    <cellStyle name="Output 12 3 2 9" xfId="30862"/>
    <cellStyle name="Output 12 3 3" xfId="30863"/>
    <cellStyle name="Output 12 3 3 2" xfId="30864"/>
    <cellStyle name="Output 12 3 3 2 2" xfId="30865"/>
    <cellStyle name="Output 12 3 3 3" xfId="30866"/>
    <cellStyle name="Output 12 3 3 3 2" xfId="30867"/>
    <cellStyle name="Output 12 3 3 4" xfId="30868"/>
    <cellStyle name="Output 12 3 3 5" xfId="30869"/>
    <cellStyle name="Output 12 3 3 6" xfId="30870"/>
    <cellStyle name="Output 12 3 4" xfId="30871"/>
    <cellStyle name="Output 12 3 4 2" xfId="30872"/>
    <cellStyle name="Output 12 3 5" xfId="30873"/>
    <cellStyle name="Output 12 3 6" xfId="30874"/>
    <cellStyle name="Output 12 3 7" xfId="30875"/>
    <cellStyle name="Output 12 3 8" xfId="30876"/>
    <cellStyle name="Output 12 3 9" xfId="30850"/>
    <cellStyle name="Output 12 4" xfId="6676"/>
    <cellStyle name="Output 12 4 10" xfId="30877"/>
    <cellStyle name="Output 12 4 2" xfId="30878"/>
    <cellStyle name="Output 12 4 2 2" xfId="30879"/>
    <cellStyle name="Output 12 4 2 3" xfId="30880"/>
    <cellStyle name="Output 12 4 3" xfId="30881"/>
    <cellStyle name="Output 12 4 3 2" xfId="30882"/>
    <cellStyle name="Output 12 4 4" xfId="30883"/>
    <cellStyle name="Output 12 4 4 2" xfId="30884"/>
    <cellStyle name="Output 12 4 5" xfId="30885"/>
    <cellStyle name="Output 12 4 6" xfId="30886"/>
    <cellStyle name="Output 12 4 7" xfId="30887"/>
    <cellStyle name="Output 12 4 8" xfId="30888"/>
    <cellStyle name="Output 12 4 9" xfId="30889"/>
    <cellStyle name="Output 12 5" xfId="6677"/>
    <cellStyle name="Output 12 5 10" xfId="30890"/>
    <cellStyle name="Output 12 5 2" xfId="30891"/>
    <cellStyle name="Output 12 5 2 2" xfId="30892"/>
    <cellStyle name="Output 12 5 2 3" xfId="30893"/>
    <cellStyle name="Output 12 5 3" xfId="30894"/>
    <cellStyle name="Output 12 5 3 2" xfId="30895"/>
    <cellStyle name="Output 12 5 4" xfId="30896"/>
    <cellStyle name="Output 12 5 4 2" xfId="30897"/>
    <cellStyle name="Output 12 5 5" xfId="30898"/>
    <cellStyle name="Output 12 5 6" xfId="30899"/>
    <cellStyle name="Output 12 5 7" xfId="30900"/>
    <cellStyle name="Output 12 5 8" xfId="30901"/>
    <cellStyle name="Output 12 5 9" xfId="30902"/>
    <cellStyle name="Output 12 6" xfId="6678"/>
    <cellStyle name="Output 12 6 2" xfId="6679"/>
    <cellStyle name="Output 12 6 2 2" xfId="30905"/>
    <cellStyle name="Output 12 6 2 3" xfId="30904"/>
    <cellStyle name="Output 12 6 3" xfId="30906"/>
    <cellStyle name="Output 12 6 3 2" xfId="30907"/>
    <cellStyle name="Output 12 6 4" xfId="30908"/>
    <cellStyle name="Output 12 6 5" xfId="30909"/>
    <cellStyle name="Output 12 6 6" xfId="30910"/>
    <cellStyle name="Output 12 6 7" xfId="30903"/>
    <cellStyle name="Output 12 7" xfId="6680"/>
    <cellStyle name="Output 12 7 2" xfId="6681"/>
    <cellStyle name="Output 12 7 2 2" xfId="30912"/>
    <cellStyle name="Output 12 7 3" xfId="30911"/>
    <cellStyle name="Output 12 8" xfId="6682"/>
    <cellStyle name="Output 12 8 2" xfId="30913"/>
    <cellStyle name="Output 12 9" xfId="6683"/>
    <cellStyle name="Output 12 9 2" xfId="30914"/>
    <cellStyle name="Output 13" xfId="2819"/>
    <cellStyle name="Output 13 10" xfId="6684"/>
    <cellStyle name="Output 13 10 2" xfId="30915"/>
    <cellStyle name="Output 13 11" xfId="8394"/>
    <cellStyle name="Output 13 2" xfId="6685"/>
    <cellStyle name="Output 13 2 2" xfId="6686"/>
    <cellStyle name="Output 13 2 2 10" xfId="30917"/>
    <cellStyle name="Output 13 2 2 2" xfId="30918"/>
    <cellStyle name="Output 13 2 2 2 2" xfId="30919"/>
    <cellStyle name="Output 13 2 2 2 3" xfId="30920"/>
    <cellStyle name="Output 13 2 2 3" xfId="30921"/>
    <cellStyle name="Output 13 2 2 3 2" xfId="30922"/>
    <cellStyle name="Output 13 2 2 4" xfId="30923"/>
    <cellStyle name="Output 13 2 2 4 2" xfId="30924"/>
    <cellStyle name="Output 13 2 2 5" xfId="30925"/>
    <cellStyle name="Output 13 2 2 6" xfId="30926"/>
    <cellStyle name="Output 13 2 2 7" xfId="30927"/>
    <cellStyle name="Output 13 2 2 8" xfId="30928"/>
    <cellStyle name="Output 13 2 2 9" xfId="30929"/>
    <cellStyle name="Output 13 2 3" xfId="6687"/>
    <cellStyle name="Output 13 2 3 2" xfId="30931"/>
    <cellStyle name="Output 13 2 3 2 2" xfId="30932"/>
    <cellStyle name="Output 13 2 3 2 3" xfId="30933"/>
    <cellStyle name="Output 13 2 3 3" xfId="30934"/>
    <cellStyle name="Output 13 2 3 3 2" xfId="30935"/>
    <cellStyle name="Output 13 2 3 4" xfId="30936"/>
    <cellStyle name="Output 13 2 3 5" xfId="30937"/>
    <cellStyle name="Output 13 2 3 6" xfId="30938"/>
    <cellStyle name="Output 13 2 3 7" xfId="30930"/>
    <cellStyle name="Output 13 2 4" xfId="6688"/>
    <cellStyle name="Output 13 2 4 2" xfId="6689"/>
    <cellStyle name="Output 13 2 4 2 2" xfId="30940"/>
    <cellStyle name="Output 13 2 4 3" xfId="30941"/>
    <cellStyle name="Output 13 2 4 4" xfId="30939"/>
    <cellStyle name="Output 13 2 5" xfId="6690"/>
    <cellStyle name="Output 13 2 5 2" xfId="6691"/>
    <cellStyle name="Output 13 2 5 3" xfId="30942"/>
    <cellStyle name="Output 13 2 6" xfId="6692"/>
    <cellStyle name="Output 13 2 6 2" xfId="30943"/>
    <cellStyle name="Output 13 2 7" xfId="6693"/>
    <cellStyle name="Output 13 2 7 2" xfId="30944"/>
    <cellStyle name="Output 13 2 8" xfId="30945"/>
    <cellStyle name="Output 13 2 9" xfId="30916"/>
    <cellStyle name="Output 13 3" xfId="6694"/>
    <cellStyle name="Output 13 3 2" xfId="6695"/>
    <cellStyle name="Output 13 3 2 10" xfId="30947"/>
    <cellStyle name="Output 13 3 2 2" xfId="30948"/>
    <cellStyle name="Output 13 3 2 2 2" xfId="30949"/>
    <cellStyle name="Output 13 3 2 3" xfId="30950"/>
    <cellStyle name="Output 13 3 2 3 2" xfId="30951"/>
    <cellStyle name="Output 13 3 2 4" xfId="30952"/>
    <cellStyle name="Output 13 3 2 4 2" xfId="30953"/>
    <cellStyle name="Output 13 3 2 5" xfId="30954"/>
    <cellStyle name="Output 13 3 2 6" xfId="30955"/>
    <cellStyle name="Output 13 3 2 7" xfId="30956"/>
    <cellStyle name="Output 13 3 2 8" xfId="30957"/>
    <cellStyle name="Output 13 3 2 9" xfId="30958"/>
    <cellStyle name="Output 13 3 3" xfId="30959"/>
    <cellStyle name="Output 13 3 3 2" xfId="30960"/>
    <cellStyle name="Output 13 3 3 2 2" xfId="30961"/>
    <cellStyle name="Output 13 3 3 3" xfId="30962"/>
    <cellStyle name="Output 13 3 3 3 2" xfId="30963"/>
    <cellStyle name="Output 13 3 3 4" xfId="30964"/>
    <cellStyle name="Output 13 3 3 5" xfId="30965"/>
    <cellStyle name="Output 13 3 3 6" xfId="30966"/>
    <cellStyle name="Output 13 3 4" xfId="30967"/>
    <cellStyle name="Output 13 3 4 2" xfId="30968"/>
    <cellStyle name="Output 13 3 5" xfId="30969"/>
    <cellStyle name="Output 13 3 6" xfId="30970"/>
    <cellStyle name="Output 13 3 7" xfId="30971"/>
    <cellStyle name="Output 13 3 8" xfId="30972"/>
    <cellStyle name="Output 13 3 9" xfId="30946"/>
    <cellStyle name="Output 13 4" xfId="6696"/>
    <cellStyle name="Output 13 4 10" xfId="30973"/>
    <cellStyle name="Output 13 4 2" xfId="30974"/>
    <cellStyle name="Output 13 4 2 2" xfId="30975"/>
    <cellStyle name="Output 13 4 2 3" xfId="30976"/>
    <cellStyle name="Output 13 4 3" xfId="30977"/>
    <cellStyle name="Output 13 4 3 2" xfId="30978"/>
    <cellStyle name="Output 13 4 4" xfId="30979"/>
    <cellStyle name="Output 13 4 4 2" xfId="30980"/>
    <cellStyle name="Output 13 4 5" xfId="30981"/>
    <cellStyle name="Output 13 4 6" xfId="30982"/>
    <cellStyle name="Output 13 4 7" xfId="30983"/>
    <cellStyle name="Output 13 4 8" xfId="30984"/>
    <cellStyle name="Output 13 4 9" xfId="30985"/>
    <cellStyle name="Output 13 5" xfId="6697"/>
    <cellStyle name="Output 13 5 10" xfId="30986"/>
    <cellStyle name="Output 13 5 2" xfId="30987"/>
    <cellStyle name="Output 13 5 2 2" xfId="30988"/>
    <cellStyle name="Output 13 5 2 3" xfId="30989"/>
    <cellStyle name="Output 13 5 3" xfId="30990"/>
    <cellStyle name="Output 13 5 3 2" xfId="30991"/>
    <cellStyle name="Output 13 5 4" xfId="30992"/>
    <cellStyle name="Output 13 5 4 2" xfId="30993"/>
    <cellStyle name="Output 13 5 5" xfId="30994"/>
    <cellStyle name="Output 13 5 6" xfId="30995"/>
    <cellStyle name="Output 13 5 7" xfId="30996"/>
    <cellStyle name="Output 13 5 8" xfId="30997"/>
    <cellStyle name="Output 13 5 9" xfId="30998"/>
    <cellStyle name="Output 13 6" xfId="6698"/>
    <cellStyle name="Output 13 6 2" xfId="6699"/>
    <cellStyle name="Output 13 6 2 2" xfId="31001"/>
    <cellStyle name="Output 13 6 2 3" xfId="31000"/>
    <cellStyle name="Output 13 6 3" xfId="31002"/>
    <cellStyle name="Output 13 6 3 2" xfId="31003"/>
    <cellStyle name="Output 13 6 4" xfId="31004"/>
    <cellStyle name="Output 13 6 5" xfId="31005"/>
    <cellStyle name="Output 13 6 6" xfId="31006"/>
    <cellStyle name="Output 13 6 7" xfId="30999"/>
    <cellStyle name="Output 13 7" xfId="6700"/>
    <cellStyle name="Output 13 7 2" xfId="6701"/>
    <cellStyle name="Output 13 7 2 2" xfId="31008"/>
    <cellStyle name="Output 13 7 3" xfId="31007"/>
    <cellStyle name="Output 13 8" xfId="6702"/>
    <cellStyle name="Output 13 8 2" xfId="31009"/>
    <cellStyle name="Output 13 9" xfId="6703"/>
    <cellStyle name="Output 13 9 2" xfId="31010"/>
    <cellStyle name="Output 14" xfId="2820"/>
    <cellStyle name="Output 14 10" xfId="6704"/>
    <cellStyle name="Output 14 10 2" xfId="31011"/>
    <cellStyle name="Output 14 11" xfId="8395"/>
    <cellStyle name="Output 14 2" xfId="6705"/>
    <cellStyle name="Output 14 2 2" xfId="6706"/>
    <cellStyle name="Output 14 2 2 10" xfId="31013"/>
    <cellStyle name="Output 14 2 2 2" xfId="31014"/>
    <cellStyle name="Output 14 2 2 2 2" xfId="31015"/>
    <cellStyle name="Output 14 2 2 2 3" xfId="31016"/>
    <cellStyle name="Output 14 2 2 3" xfId="31017"/>
    <cellStyle name="Output 14 2 2 3 2" xfId="31018"/>
    <cellStyle name="Output 14 2 2 4" xfId="31019"/>
    <cellStyle name="Output 14 2 2 4 2" xfId="31020"/>
    <cellStyle name="Output 14 2 2 5" xfId="31021"/>
    <cellStyle name="Output 14 2 2 6" xfId="31022"/>
    <cellStyle name="Output 14 2 2 7" xfId="31023"/>
    <cellStyle name="Output 14 2 2 8" xfId="31024"/>
    <cellStyle name="Output 14 2 2 9" xfId="31025"/>
    <cellStyle name="Output 14 2 3" xfId="6707"/>
    <cellStyle name="Output 14 2 3 2" xfId="31027"/>
    <cellStyle name="Output 14 2 3 2 2" xfId="31028"/>
    <cellStyle name="Output 14 2 3 2 3" xfId="31029"/>
    <cellStyle name="Output 14 2 3 3" xfId="31030"/>
    <cellStyle name="Output 14 2 3 3 2" xfId="31031"/>
    <cellStyle name="Output 14 2 3 4" xfId="31032"/>
    <cellStyle name="Output 14 2 3 5" xfId="31033"/>
    <cellStyle name="Output 14 2 3 6" xfId="31034"/>
    <cellStyle name="Output 14 2 3 7" xfId="31026"/>
    <cellStyle name="Output 14 2 4" xfId="6708"/>
    <cellStyle name="Output 14 2 4 2" xfId="6709"/>
    <cellStyle name="Output 14 2 4 2 2" xfId="31036"/>
    <cellStyle name="Output 14 2 4 3" xfId="31037"/>
    <cellStyle name="Output 14 2 4 4" xfId="31035"/>
    <cellStyle name="Output 14 2 5" xfId="6710"/>
    <cellStyle name="Output 14 2 5 2" xfId="6711"/>
    <cellStyle name="Output 14 2 5 3" xfId="31038"/>
    <cellStyle name="Output 14 2 6" xfId="6712"/>
    <cellStyle name="Output 14 2 6 2" xfId="31039"/>
    <cellStyle name="Output 14 2 7" xfId="6713"/>
    <cellStyle name="Output 14 2 7 2" xfId="31040"/>
    <cellStyle name="Output 14 2 8" xfId="31041"/>
    <cellStyle name="Output 14 2 9" xfId="31012"/>
    <cellStyle name="Output 14 3" xfId="6714"/>
    <cellStyle name="Output 14 3 2" xfId="6715"/>
    <cellStyle name="Output 14 3 2 10" xfId="31043"/>
    <cellStyle name="Output 14 3 2 2" xfId="31044"/>
    <cellStyle name="Output 14 3 2 2 2" xfId="31045"/>
    <cellStyle name="Output 14 3 2 3" xfId="31046"/>
    <cellStyle name="Output 14 3 2 3 2" xfId="31047"/>
    <cellStyle name="Output 14 3 2 4" xfId="31048"/>
    <cellStyle name="Output 14 3 2 4 2" xfId="31049"/>
    <cellStyle name="Output 14 3 2 5" xfId="31050"/>
    <cellStyle name="Output 14 3 2 6" xfId="31051"/>
    <cellStyle name="Output 14 3 2 7" xfId="31052"/>
    <cellStyle name="Output 14 3 2 8" xfId="31053"/>
    <cellStyle name="Output 14 3 2 9" xfId="31054"/>
    <cellStyle name="Output 14 3 3" xfId="31055"/>
    <cellStyle name="Output 14 3 3 2" xfId="31056"/>
    <cellStyle name="Output 14 3 3 2 2" xfId="31057"/>
    <cellStyle name="Output 14 3 3 3" xfId="31058"/>
    <cellStyle name="Output 14 3 3 3 2" xfId="31059"/>
    <cellStyle name="Output 14 3 3 4" xfId="31060"/>
    <cellStyle name="Output 14 3 3 5" xfId="31061"/>
    <cellStyle name="Output 14 3 3 6" xfId="31062"/>
    <cellStyle name="Output 14 3 4" xfId="31063"/>
    <cellStyle name="Output 14 3 4 2" xfId="31064"/>
    <cellStyle name="Output 14 3 5" xfId="31065"/>
    <cellStyle name="Output 14 3 6" xfId="31066"/>
    <cellStyle name="Output 14 3 7" xfId="31067"/>
    <cellStyle name="Output 14 3 8" xfId="31068"/>
    <cellStyle name="Output 14 3 9" xfId="31042"/>
    <cellStyle name="Output 14 4" xfId="6716"/>
    <cellStyle name="Output 14 4 10" xfId="31069"/>
    <cellStyle name="Output 14 4 2" xfId="31070"/>
    <cellStyle name="Output 14 4 2 2" xfId="31071"/>
    <cellStyle name="Output 14 4 2 3" xfId="31072"/>
    <cellStyle name="Output 14 4 3" xfId="31073"/>
    <cellStyle name="Output 14 4 3 2" xfId="31074"/>
    <cellStyle name="Output 14 4 4" xfId="31075"/>
    <cellStyle name="Output 14 4 4 2" xfId="31076"/>
    <cellStyle name="Output 14 4 5" xfId="31077"/>
    <cellStyle name="Output 14 4 6" xfId="31078"/>
    <cellStyle name="Output 14 4 7" xfId="31079"/>
    <cellStyle name="Output 14 4 8" xfId="31080"/>
    <cellStyle name="Output 14 4 9" xfId="31081"/>
    <cellStyle name="Output 14 5" xfId="6717"/>
    <cellStyle name="Output 14 5 10" xfId="31082"/>
    <cellStyle name="Output 14 5 2" xfId="31083"/>
    <cellStyle name="Output 14 5 2 2" xfId="31084"/>
    <cellStyle name="Output 14 5 2 3" xfId="31085"/>
    <cellStyle name="Output 14 5 3" xfId="31086"/>
    <cellStyle name="Output 14 5 3 2" xfId="31087"/>
    <cellStyle name="Output 14 5 4" xfId="31088"/>
    <cellStyle name="Output 14 5 4 2" xfId="31089"/>
    <cellStyle name="Output 14 5 5" xfId="31090"/>
    <cellStyle name="Output 14 5 6" xfId="31091"/>
    <cellStyle name="Output 14 5 7" xfId="31092"/>
    <cellStyle name="Output 14 5 8" xfId="31093"/>
    <cellStyle name="Output 14 5 9" xfId="31094"/>
    <cellStyle name="Output 14 6" xfId="6718"/>
    <cellStyle name="Output 14 6 2" xfId="6719"/>
    <cellStyle name="Output 14 6 2 2" xfId="31097"/>
    <cellStyle name="Output 14 6 2 3" xfId="31096"/>
    <cellStyle name="Output 14 6 3" xfId="31098"/>
    <cellStyle name="Output 14 6 3 2" xfId="31099"/>
    <cellStyle name="Output 14 6 4" xfId="31100"/>
    <cellStyle name="Output 14 6 5" xfId="31101"/>
    <cellStyle name="Output 14 6 6" xfId="31102"/>
    <cellStyle name="Output 14 6 7" xfId="31095"/>
    <cellStyle name="Output 14 7" xfId="6720"/>
    <cellStyle name="Output 14 7 2" xfId="6721"/>
    <cellStyle name="Output 14 7 2 2" xfId="31104"/>
    <cellStyle name="Output 14 7 3" xfId="31103"/>
    <cellStyle name="Output 14 8" xfId="6722"/>
    <cellStyle name="Output 14 8 2" xfId="31105"/>
    <cellStyle name="Output 14 9" xfId="6723"/>
    <cellStyle name="Output 14 9 2" xfId="31106"/>
    <cellStyle name="Output 15" xfId="2821"/>
    <cellStyle name="Output 15 10" xfId="6724"/>
    <cellStyle name="Output 15 10 2" xfId="31107"/>
    <cellStyle name="Output 15 11" xfId="8396"/>
    <cellStyle name="Output 15 2" xfId="6725"/>
    <cellStyle name="Output 15 2 2" xfId="6726"/>
    <cellStyle name="Output 15 2 2 10" xfId="31109"/>
    <cellStyle name="Output 15 2 2 2" xfId="31110"/>
    <cellStyle name="Output 15 2 2 2 2" xfId="31111"/>
    <cellStyle name="Output 15 2 2 2 3" xfId="31112"/>
    <cellStyle name="Output 15 2 2 3" xfId="31113"/>
    <cellStyle name="Output 15 2 2 3 2" xfId="31114"/>
    <cellStyle name="Output 15 2 2 4" xfId="31115"/>
    <cellStyle name="Output 15 2 2 4 2" xfId="31116"/>
    <cellStyle name="Output 15 2 2 5" xfId="31117"/>
    <cellStyle name="Output 15 2 2 6" xfId="31118"/>
    <cellStyle name="Output 15 2 2 7" xfId="31119"/>
    <cellStyle name="Output 15 2 2 8" xfId="31120"/>
    <cellStyle name="Output 15 2 2 9" xfId="31121"/>
    <cellStyle name="Output 15 2 3" xfId="6727"/>
    <cellStyle name="Output 15 2 3 2" xfId="31123"/>
    <cellStyle name="Output 15 2 3 2 2" xfId="31124"/>
    <cellStyle name="Output 15 2 3 2 3" xfId="31125"/>
    <cellStyle name="Output 15 2 3 3" xfId="31126"/>
    <cellStyle name="Output 15 2 3 3 2" xfId="31127"/>
    <cellStyle name="Output 15 2 3 4" xfId="31128"/>
    <cellStyle name="Output 15 2 3 5" xfId="31129"/>
    <cellStyle name="Output 15 2 3 6" xfId="31130"/>
    <cellStyle name="Output 15 2 3 7" xfId="31122"/>
    <cellStyle name="Output 15 2 4" xfId="6728"/>
    <cellStyle name="Output 15 2 4 2" xfId="6729"/>
    <cellStyle name="Output 15 2 4 2 2" xfId="31132"/>
    <cellStyle name="Output 15 2 4 3" xfId="31133"/>
    <cellStyle name="Output 15 2 4 4" xfId="31131"/>
    <cellStyle name="Output 15 2 5" xfId="6730"/>
    <cellStyle name="Output 15 2 5 2" xfId="6731"/>
    <cellStyle name="Output 15 2 5 3" xfId="31134"/>
    <cellStyle name="Output 15 2 6" xfId="6732"/>
    <cellStyle name="Output 15 2 6 2" xfId="31135"/>
    <cellStyle name="Output 15 2 7" xfId="6733"/>
    <cellStyle name="Output 15 2 7 2" xfId="31136"/>
    <cellStyle name="Output 15 2 8" xfId="31137"/>
    <cellStyle name="Output 15 2 9" xfId="31108"/>
    <cellStyle name="Output 15 3" xfId="6734"/>
    <cellStyle name="Output 15 3 2" xfId="6735"/>
    <cellStyle name="Output 15 3 2 10" xfId="31139"/>
    <cellStyle name="Output 15 3 2 2" xfId="31140"/>
    <cellStyle name="Output 15 3 2 2 2" xfId="31141"/>
    <cellStyle name="Output 15 3 2 3" xfId="31142"/>
    <cellStyle name="Output 15 3 2 3 2" xfId="31143"/>
    <cellStyle name="Output 15 3 2 4" xfId="31144"/>
    <cellStyle name="Output 15 3 2 4 2" xfId="31145"/>
    <cellStyle name="Output 15 3 2 5" xfId="31146"/>
    <cellStyle name="Output 15 3 2 6" xfId="31147"/>
    <cellStyle name="Output 15 3 2 7" xfId="31148"/>
    <cellStyle name="Output 15 3 2 8" xfId="31149"/>
    <cellStyle name="Output 15 3 2 9" xfId="31150"/>
    <cellStyle name="Output 15 3 3" xfId="31151"/>
    <cellStyle name="Output 15 3 3 2" xfId="31152"/>
    <cellStyle name="Output 15 3 3 2 2" xfId="31153"/>
    <cellStyle name="Output 15 3 3 3" xfId="31154"/>
    <cellStyle name="Output 15 3 3 3 2" xfId="31155"/>
    <cellStyle name="Output 15 3 3 4" xfId="31156"/>
    <cellStyle name="Output 15 3 3 5" xfId="31157"/>
    <cellStyle name="Output 15 3 3 6" xfId="31158"/>
    <cellStyle name="Output 15 3 4" xfId="31159"/>
    <cellStyle name="Output 15 3 4 2" xfId="31160"/>
    <cellStyle name="Output 15 3 5" xfId="31161"/>
    <cellStyle name="Output 15 3 6" xfId="31162"/>
    <cellStyle name="Output 15 3 7" xfId="31163"/>
    <cellStyle name="Output 15 3 8" xfId="31164"/>
    <cellStyle name="Output 15 3 9" xfId="31138"/>
    <cellStyle name="Output 15 4" xfId="6736"/>
    <cellStyle name="Output 15 4 10" xfId="31165"/>
    <cellStyle name="Output 15 4 2" xfId="31166"/>
    <cellStyle name="Output 15 4 2 2" xfId="31167"/>
    <cellStyle name="Output 15 4 2 3" xfId="31168"/>
    <cellStyle name="Output 15 4 3" xfId="31169"/>
    <cellStyle name="Output 15 4 3 2" xfId="31170"/>
    <cellStyle name="Output 15 4 4" xfId="31171"/>
    <cellStyle name="Output 15 4 4 2" xfId="31172"/>
    <cellStyle name="Output 15 4 5" xfId="31173"/>
    <cellStyle name="Output 15 4 6" xfId="31174"/>
    <cellStyle name="Output 15 4 7" xfId="31175"/>
    <cellStyle name="Output 15 4 8" xfId="31176"/>
    <cellStyle name="Output 15 4 9" xfId="31177"/>
    <cellStyle name="Output 15 5" xfId="6737"/>
    <cellStyle name="Output 15 5 10" xfId="31178"/>
    <cellStyle name="Output 15 5 2" xfId="31179"/>
    <cellStyle name="Output 15 5 2 2" xfId="31180"/>
    <cellStyle name="Output 15 5 2 3" xfId="31181"/>
    <cellStyle name="Output 15 5 3" xfId="31182"/>
    <cellStyle name="Output 15 5 3 2" xfId="31183"/>
    <cellStyle name="Output 15 5 4" xfId="31184"/>
    <cellStyle name="Output 15 5 4 2" xfId="31185"/>
    <cellStyle name="Output 15 5 5" xfId="31186"/>
    <cellStyle name="Output 15 5 6" xfId="31187"/>
    <cellStyle name="Output 15 5 7" xfId="31188"/>
    <cellStyle name="Output 15 5 8" xfId="31189"/>
    <cellStyle name="Output 15 5 9" xfId="31190"/>
    <cellStyle name="Output 15 6" xfId="6738"/>
    <cellStyle name="Output 15 6 2" xfId="6739"/>
    <cellStyle name="Output 15 6 2 2" xfId="31193"/>
    <cellStyle name="Output 15 6 2 3" xfId="31192"/>
    <cellStyle name="Output 15 6 3" xfId="31194"/>
    <cellStyle name="Output 15 6 3 2" xfId="31195"/>
    <cellStyle name="Output 15 6 4" xfId="31196"/>
    <cellStyle name="Output 15 6 5" xfId="31197"/>
    <cellStyle name="Output 15 6 6" xfId="31198"/>
    <cellStyle name="Output 15 6 7" xfId="31191"/>
    <cellStyle name="Output 15 7" xfId="6740"/>
    <cellStyle name="Output 15 7 2" xfId="6741"/>
    <cellStyle name="Output 15 7 2 2" xfId="31200"/>
    <cellStyle name="Output 15 7 3" xfId="31199"/>
    <cellStyle name="Output 15 8" xfId="6742"/>
    <cellStyle name="Output 15 8 2" xfId="31201"/>
    <cellStyle name="Output 15 9" xfId="6743"/>
    <cellStyle name="Output 15 9 2" xfId="31202"/>
    <cellStyle name="Output 16" xfId="2822"/>
    <cellStyle name="Output 16 10" xfId="6744"/>
    <cellStyle name="Output 16 10 2" xfId="31203"/>
    <cellStyle name="Output 16 11" xfId="8397"/>
    <cellStyle name="Output 16 2" xfId="6745"/>
    <cellStyle name="Output 16 2 2" xfId="6746"/>
    <cellStyle name="Output 16 2 2 10" xfId="31205"/>
    <cellStyle name="Output 16 2 2 2" xfId="31206"/>
    <cellStyle name="Output 16 2 2 2 2" xfId="31207"/>
    <cellStyle name="Output 16 2 2 2 3" xfId="31208"/>
    <cellStyle name="Output 16 2 2 3" xfId="31209"/>
    <cellStyle name="Output 16 2 2 3 2" xfId="31210"/>
    <cellStyle name="Output 16 2 2 4" xfId="31211"/>
    <cellStyle name="Output 16 2 2 4 2" xfId="31212"/>
    <cellStyle name="Output 16 2 2 5" xfId="31213"/>
    <cellStyle name="Output 16 2 2 6" xfId="31214"/>
    <cellStyle name="Output 16 2 2 7" xfId="31215"/>
    <cellStyle name="Output 16 2 2 8" xfId="31216"/>
    <cellStyle name="Output 16 2 2 9" xfId="31217"/>
    <cellStyle name="Output 16 2 3" xfId="6747"/>
    <cellStyle name="Output 16 2 3 2" xfId="31219"/>
    <cellStyle name="Output 16 2 3 2 2" xfId="31220"/>
    <cellStyle name="Output 16 2 3 2 3" xfId="31221"/>
    <cellStyle name="Output 16 2 3 3" xfId="31222"/>
    <cellStyle name="Output 16 2 3 3 2" xfId="31223"/>
    <cellStyle name="Output 16 2 3 4" xfId="31224"/>
    <cellStyle name="Output 16 2 3 5" xfId="31225"/>
    <cellStyle name="Output 16 2 3 6" xfId="31226"/>
    <cellStyle name="Output 16 2 3 7" xfId="31218"/>
    <cellStyle name="Output 16 2 4" xfId="6748"/>
    <cellStyle name="Output 16 2 4 2" xfId="6749"/>
    <cellStyle name="Output 16 2 4 2 2" xfId="31228"/>
    <cellStyle name="Output 16 2 4 3" xfId="31229"/>
    <cellStyle name="Output 16 2 4 4" xfId="31227"/>
    <cellStyle name="Output 16 2 5" xfId="6750"/>
    <cellStyle name="Output 16 2 5 2" xfId="6751"/>
    <cellStyle name="Output 16 2 5 3" xfId="31230"/>
    <cellStyle name="Output 16 2 6" xfId="6752"/>
    <cellStyle name="Output 16 2 6 2" xfId="31231"/>
    <cellStyle name="Output 16 2 7" xfId="6753"/>
    <cellStyle name="Output 16 2 7 2" xfId="31232"/>
    <cellStyle name="Output 16 2 8" xfId="31233"/>
    <cellStyle name="Output 16 2 9" xfId="31204"/>
    <cellStyle name="Output 16 3" xfId="6754"/>
    <cellStyle name="Output 16 3 2" xfId="6755"/>
    <cellStyle name="Output 16 3 2 10" xfId="31235"/>
    <cellStyle name="Output 16 3 2 2" xfId="31236"/>
    <cellStyle name="Output 16 3 2 2 2" xfId="31237"/>
    <cellStyle name="Output 16 3 2 3" xfId="31238"/>
    <cellStyle name="Output 16 3 2 3 2" xfId="31239"/>
    <cellStyle name="Output 16 3 2 4" xfId="31240"/>
    <cellStyle name="Output 16 3 2 4 2" xfId="31241"/>
    <cellStyle name="Output 16 3 2 5" xfId="31242"/>
    <cellStyle name="Output 16 3 2 6" xfId="31243"/>
    <cellStyle name="Output 16 3 2 7" xfId="31244"/>
    <cellStyle name="Output 16 3 2 8" xfId="31245"/>
    <cellStyle name="Output 16 3 2 9" xfId="31246"/>
    <cellStyle name="Output 16 3 3" xfId="31247"/>
    <cellStyle name="Output 16 3 3 2" xfId="31248"/>
    <cellStyle name="Output 16 3 3 2 2" xfId="31249"/>
    <cellStyle name="Output 16 3 3 3" xfId="31250"/>
    <cellStyle name="Output 16 3 3 3 2" xfId="31251"/>
    <cellStyle name="Output 16 3 3 4" xfId="31252"/>
    <cellStyle name="Output 16 3 3 5" xfId="31253"/>
    <cellStyle name="Output 16 3 3 6" xfId="31254"/>
    <cellStyle name="Output 16 3 4" xfId="31255"/>
    <cellStyle name="Output 16 3 4 2" xfId="31256"/>
    <cellStyle name="Output 16 3 5" xfId="31257"/>
    <cellStyle name="Output 16 3 6" xfId="31258"/>
    <cellStyle name="Output 16 3 7" xfId="31259"/>
    <cellStyle name="Output 16 3 8" xfId="31260"/>
    <cellStyle name="Output 16 3 9" xfId="31234"/>
    <cellStyle name="Output 16 4" xfId="6756"/>
    <cellStyle name="Output 16 4 10" xfId="31261"/>
    <cellStyle name="Output 16 4 2" xfId="31262"/>
    <cellStyle name="Output 16 4 2 2" xfId="31263"/>
    <cellStyle name="Output 16 4 2 3" xfId="31264"/>
    <cellStyle name="Output 16 4 3" xfId="31265"/>
    <cellStyle name="Output 16 4 3 2" xfId="31266"/>
    <cellStyle name="Output 16 4 4" xfId="31267"/>
    <cellStyle name="Output 16 4 4 2" xfId="31268"/>
    <cellStyle name="Output 16 4 5" xfId="31269"/>
    <cellStyle name="Output 16 4 6" xfId="31270"/>
    <cellStyle name="Output 16 4 7" xfId="31271"/>
    <cellStyle name="Output 16 4 8" xfId="31272"/>
    <cellStyle name="Output 16 4 9" xfId="31273"/>
    <cellStyle name="Output 16 5" xfId="6757"/>
    <cellStyle name="Output 16 5 10" xfId="31274"/>
    <cellStyle name="Output 16 5 2" xfId="31275"/>
    <cellStyle name="Output 16 5 2 2" xfId="31276"/>
    <cellStyle name="Output 16 5 2 3" xfId="31277"/>
    <cellStyle name="Output 16 5 3" xfId="31278"/>
    <cellStyle name="Output 16 5 3 2" xfId="31279"/>
    <cellStyle name="Output 16 5 4" xfId="31280"/>
    <cellStyle name="Output 16 5 4 2" xfId="31281"/>
    <cellStyle name="Output 16 5 5" xfId="31282"/>
    <cellStyle name="Output 16 5 6" xfId="31283"/>
    <cellStyle name="Output 16 5 7" xfId="31284"/>
    <cellStyle name="Output 16 5 8" xfId="31285"/>
    <cellStyle name="Output 16 5 9" xfId="31286"/>
    <cellStyle name="Output 16 6" xfId="6758"/>
    <cellStyle name="Output 16 6 2" xfId="6759"/>
    <cellStyle name="Output 16 6 2 2" xfId="31289"/>
    <cellStyle name="Output 16 6 2 3" xfId="31288"/>
    <cellStyle name="Output 16 6 3" xfId="31290"/>
    <cellStyle name="Output 16 6 3 2" xfId="31291"/>
    <cellStyle name="Output 16 6 4" xfId="31292"/>
    <cellStyle name="Output 16 6 5" xfId="31293"/>
    <cellStyle name="Output 16 6 6" xfId="31294"/>
    <cellStyle name="Output 16 6 7" xfId="31287"/>
    <cellStyle name="Output 16 7" xfId="6760"/>
    <cellStyle name="Output 16 7 2" xfId="6761"/>
    <cellStyle name="Output 16 7 2 2" xfId="31296"/>
    <cellStyle name="Output 16 7 3" xfId="31295"/>
    <cellStyle name="Output 16 8" xfId="6762"/>
    <cellStyle name="Output 16 8 2" xfId="31297"/>
    <cellStyle name="Output 16 9" xfId="6763"/>
    <cellStyle name="Output 16 9 2" xfId="31298"/>
    <cellStyle name="Output 17" xfId="2823"/>
    <cellStyle name="Output 17 10" xfId="6764"/>
    <cellStyle name="Output 17 10 2" xfId="31299"/>
    <cellStyle name="Output 17 11" xfId="8398"/>
    <cellStyle name="Output 17 2" xfId="6765"/>
    <cellStyle name="Output 17 2 2" xfId="6766"/>
    <cellStyle name="Output 17 2 2 10" xfId="31301"/>
    <cellStyle name="Output 17 2 2 2" xfId="31302"/>
    <cellStyle name="Output 17 2 2 2 2" xfId="31303"/>
    <cellStyle name="Output 17 2 2 2 3" xfId="31304"/>
    <cellStyle name="Output 17 2 2 3" xfId="31305"/>
    <cellStyle name="Output 17 2 2 3 2" xfId="31306"/>
    <cellStyle name="Output 17 2 2 4" xfId="31307"/>
    <cellStyle name="Output 17 2 2 4 2" xfId="31308"/>
    <cellStyle name="Output 17 2 2 5" xfId="31309"/>
    <cellStyle name="Output 17 2 2 6" xfId="31310"/>
    <cellStyle name="Output 17 2 2 7" xfId="31311"/>
    <cellStyle name="Output 17 2 2 8" xfId="31312"/>
    <cellStyle name="Output 17 2 2 9" xfId="31313"/>
    <cellStyle name="Output 17 2 3" xfId="6767"/>
    <cellStyle name="Output 17 2 3 2" xfId="31315"/>
    <cellStyle name="Output 17 2 3 2 2" xfId="31316"/>
    <cellStyle name="Output 17 2 3 2 3" xfId="31317"/>
    <cellStyle name="Output 17 2 3 3" xfId="31318"/>
    <cellStyle name="Output 17 2 3 3 2" xfId="31319"/>
    <cellStyle name="Output 17 2 3 4" xfId="31320"/>
    <cellStyle name="Output 17 2 3 5" xfId="31321"/>
    <cellStyle name="Output 17 2 3 6" xfId="31322"/>
    <cellStyle name="Output 17 2 3 7" xfId="31314"/>
    <cellStyle name="Output 17 2 4" xfId="6768"/>
    <cellStyle name="Output 17 2 4 2" xfId="6769"/>
    <cellStyle name="Output 17 2 4 2 2" xfId="31324"/>
    <cellStyle name="Output 17 2 4 3" xfId="31325"/>
    <cellStyle name="Output 17 2 4 4" xfId="31323"/>
    <cellStyle name="Output 17 2 5" xfId="6770"/>
    <cellStyle name="Output 17 2 5 2" xfId="6771"/>
    <cellStyle name="Output 17 2 5 3" xfId="31326"/>
    <cellStyle name="Output 17 2 6" xfId="6772"/>
    <cellStyle name="Output 17 2 6 2" xfId="31327"/>
    <cellStyle name="Output 17 2 7" xfId="6773"/>
    <cellStyle name="Output 17 2 7 2" xfId="31328"/>
    <cellStyle name="Output 17 2 8" xfId="31329"/>
    <cellStyle name="Output 17 2 9" xfId="31300"/>
    <cellStyle name="Output 17 3" xfId="6774"/>
    <cellStyle name="Output 17 3 2" xfId="6775"/>
    <cellStyle name="Output 17 3 2 10" xfId="31331"/>
    <cellStyle name="Output 17 3 2 2" xfId="31332"/>
    <cellStyle name="Output 17 3 2 2 2" xfId="31333"/>
    <cellStyle name="Output 17 3 2 3" xfId="31334"/>
    <cellStyle name="Output 17 3 2 3 2" xfId="31335"/>
    <cellStyle name="Output 17 3 2 4" xfId="31336"/>
    <cellStyle name="Output 17 3 2 4 2" xfId="31337"/>
    <cellStyle name="Output 17 3 2 5" xfId="31338"/>
    <cellStyle name="Output 17 3 2 6" xfId="31339"/>
    <cellStyle name="Output 17 3 2 7" xfId="31340"/>
    <cellStyle name="Output 17 3 2 8" xfId="31341"/>
    <cellStyle name="Output 17 3 2 9" xfId="31342"/>
    <cellStyle name="Output 17 3 3" xfId="31343"/>
    <cellStyle name="Output 17 3 3 2" xfId="31344"/>
    <cellStyle name="Output 17 3 3 2 2" xfId="31345"/>
    <cellStyle name="Output 17 3 3 3" xfId="31346"/>
    <cellStyle name="Output 17 3 3 3 2" xfId="31347"/>
    <cellStyle name="Output 17 3 3 4" xfId="31348"/>
    <cellStyle name="Output 17 3 3 5" xfId="31349"/>
    <cellStyle name="Output 17 3 3 6" xfId="31350"/>
    <cellStyle name="Output 17 3 4" xfId="31351"/>
    <cellStyle name="Output 17 3 4 2" xfId="31352"/>
    <cellStyle name="Output 17 3 5" xfId="31353"/>
    <cellStyle name="Output 17 3 6" xfId="31354"/>
    <cellStyle name="Output 17 3 7" xfId="31355"/>
    <cellStyle name="Output 17 3 8" xfId="31356"/>
    <cellStyle name="Output 17 3 9" xfId="31330"/>
    <cellStyle name="Output 17 4" xfId="6776"/>
    <cellStyle name="Output 17 4 10" xfId="31357"/>
    <cellStyle name="Output 17 4 2" xfId="31358"/>
    <cellStyle name="Output 17 4 2 2" xfId="31359"/>
    <cellStyle name="Output 17 4 2 3" xfId="31360"/>
    <cellStyle name="Output 17 4 3" xfId="31361"/>
    <cellStyle name="Output 17 4 3 2" xfId="31362"/>
    <cellStyle name="Output 17 4 4" xfId="31363"/>
    <cellStyle name="Output 17 4 4 2" xfId="31364"/>
    <cellStyle name="Output 17 4 5" xfId="31365"/>
    <cellStyle name="Output 17 4 6" xfId="31366"/>
    <cellStyle name="Output 17 4 7" xfId="31367"/>
    <cellStyle name="Output 17 4 8" xfId="31368"/>
    <cellStyle name="Output 17 4 9" xfId="31369"/>
    <cellStyle name="Output 17 5" xfId="6777"/>
    <cellStyle name="Output 17 5 10" xfId="31370"/>
    <cellStyle name="Output 17 5 2" xfId="31371"/>
    <cellStyle name="Output 17 5 2 2" xfId="31372"/>
    <cellStyle name="Output 17 5 2 3" xfId="31373"/>
    <cellStyle name="Output 17 5 3" xfId="31374"/>
    <cellStyle name="Output 17 5 3 2" xfId="31375"/>
    <cellStyle name="Output 17 5 4" xfId="31376"/>
    <cellStyle name="Output 17 5 4 2" xfId="31377"/>
    <cellStyle name="Output 17 5 5" xfId="31378"/>
    <cellStyle name="Output 17 5 6" xfId="31379"/>
    <cellStyle name="Output 17 5 7" xfId="31380"/>
    <cellStyle name="Output 17 5 8" xfId="31381"/>
    <cellStyle name="Output 17 5 9" xfId="31382"/>
    <cellStyle name="Output 17 6" xfId="6778"/>
    <cellStyle name="Output 17 6 2" xfId="6779"/>
    <cellStyle name="Output 17 6 2 2" xfId="31385"/>
    <cellStyle name="Output 17 6 2 3" xfId="31384"/>
    <cellStyle name="Output 17 6 3" xfId="31386"/>
    <cellStyle name="Output 17 6 3 2" xfId="31387"/>
    <cellStyle name="Output 17 6 4" xfId="31388"/>
    <cellStyle name="Output 17 6 5" xfId="31389"/>
    <cellStyle name="Output 17 6 6" xfId="31390"/>
    <cellStyle name="Output 17 6 7" xfId="31383"/>
    <cellStyle name="Output 17 7" xfId="6780"/>
    <cellStyle name="Output 17 7 2" xfId="6781"/>
    <cellStyle name="Output 17 7 2 2" xfId="31392"/>
    <cellStyle name="Output 17 7 3" xfId="31391"/>
    <cellStyle name="Output 17 8" xfId="6782"/>
    <cellStyle name="Output 17 8 2" xfId="31393"/>
    <cellStyle name="Output 17 9" xfId="6783"/>
    <cellStyle name="Output 17 9 2" xfId="31394"/>
    <cellStyle name="Output 18" xfId="2824"/>
    <cellStyle name="Output 18 10" xfId="31395"/>
    <cellStyle name="Output 18 11" xfId="31396"/>
    <cellStyle name="Output 18 2" xfId="6784"/>
    <cellStyle name="Output 18 2 2" xfId="31398"/>
    <cellStyle name="Output 18 2 2 2" xfId="31399"/>
    <cellStyle name="Output 18 2 2 2 2" xfId="31400"/>
    <cellStyle name="Output 18 2 2 2 3" xfId="31401"/>
    <cellStyle name="Output 18 2 2 3" xfId="31402"/>
    <cellStyle name="Output 18 2 2 3 2" xfId="31403"/>
    <cellStyle name="Output 18 2 2 4" xfId="31404"/>
    <cellStyle name="Output 18 2 2 4 2" xfId="31405"/>
    <cellStyle name="Output 18 2 2 5" xfId="31406"/>
    <cellStyle name="Output 18 2 2 6" xfId="31407"/>
    <cellStyle name="Output 18 2 2 7" xfId="31408"/>
    <cellStyle name="Output 18 2 2 8" xfId="31409"/>
    <cellStyle name="Output 18 2 2 9" xfId="31410"/>
    <cellStyle name="Output 18 2 3" xfId="31411"/>
    <cellStyle name="Output 18 2 3 2" xfId="31412"/>
    <cellStyle name="Output 18 2 3 2 2" xfId="31413"/>
    <cellStyle name="Output 18 2 3 2 3" xfId="31414"/>
    <cellStyle name="Output 18 2 3 3" xfId="31415"/>
    <cellStyle name="Output 18 2 3 3 2" xfId="31416"/>
    <cellStyle name="Output 18 2 3 4" xfId="31417"/>
    <cellStyle name="Output 18 2 3 5" xfId="31418"/>
    <cellStyle name="Output 18 2 3 6" xfId="31419"/>
    <cellStyle name="Output 18 2 4" xfId="31420"/>
    <cellStyle name="Output 18 2 4 2" xfId="31421"/>
    <cellStyle name="Output 18 2 4 3" xfId="31422"/>
    <cellStyle name="Output 18 2 5" xfId="31423"/>
    <cellStyle name="Output 18 2 6" xfId="31424"/>
    <cellStyle name="Output 18 2 7" xfId="31425"/>
    <cellStyle name="Output 18 2 8" xfId="31426"/>
    <cellStyle name="Output 18 2 9" xfId="31397"/>
    <cellStyle name="Output 18 3" xfId="6785"/>
    <cellStyle name="Output 18 3 2" xfId="31428"/>
    <cellStyle name="Output 18 3 2 2" xfId="31429"/>
    <cellStyle name="Output 18 3 2 2 2" xfId="31430"/>
    <cellStyle name="Output 18 3 2 3" xfId="31431"/>
    <cellStyle name="Output 18 3 2 3 2" xfId="31432"/>
    <cellStyle name="Output 18 3 2 4" xfId="31433"/>
    <cellStyle name="Output 18 3 2 4 2" xfId="31434"/>
    <cellStyle name="Output 18 3 2 5" xfId="31435"/>
    <cellStyle name="Output 18 3 2 6" xfId="31436"/>
    <cellStyle name="Output 18 3 2 7" xfId="31437"/>
    <cellStyle name="Output 18 3 2 8" xfId="31438"/>
    <cellStyle name="Output 18 3 2 9" xfId="31439"/>
    <cellStyle name="Output 18 3 3" xfId="31440"/>
    <cellStyle name="Output 18 3 3 2" xfId="31441"/>
    <cellStyle name="Output 18 3 3 2 2" xfId="31442"/>
    <cellStyle name="Output 18 3 3 3" xfId="31443"/>
    <cellStyle name="Output 18 3 3 3 2" xfId="31444"/>
    <cellStyle name="Output 18 3 3 4" xfId="31445"/>
    <cellStyle name="Output 18 3 3 5" xfId="31446"/>
    <cellStyle name="Output 18 3 3 6" xfId="31447"/>
    <cellStyle name="Output 18 3 4" xfId="31448"/>
    <cellStyle name="Output 18 3 4 2" xfId="31449"/>
    <cellStyle name="Output 18 3 5" xfId="31450"/>
    <cellStyle name="Output 18 3 6" xfId="31451"/>
    <cellStyle name="Output 18 3 7" xfId="31452"/>
    <cellStyle name="Output 18 3 8" xfId="31453"/>
    <cellStyle name="Output 18 3 9" xfId="31427"/>
    <cellStyle name="Output 18 4" xfId="6786"/>
    <cellStyle name="Output 18 4 10" xfId="31454"/>
    <cellStyle name="Output 18 4 2" xfId="6787"/>
    <cellStyle name="Output 18 4 2 2" xfId="31456"/>
    <cellStyle name="Output 18 4 2 3" xfId="31457"/>
    <cellStyle name="Output 18 4 2 4" xfId="31455"/>
    <cellStyle name="Output 18 4 3" xfId="31458"/>
    <cellStyle name="Output 18 4 3 2" xfId="31459"/>
    <cellStyle name="Output 18 4 4" xfId="31460"/>
    <cellStyle name="Output 18 4 4 2" xfId="31461"/>
    <cellStyle name="Output 18 4 5" xfId="31462"/>
    <cellStyle name="Output 18 4 6" xfId="31463"/>
    <cellStyle name="Output 18 4 7" xfId="31464"/>
    <cellStyle name="Output 18 4 8" xfId="31465"/>
    <cellStyle name="Output 18 4 9" xfId="31466"/>
    <cellStyle name="Output 18 5" xfId="6788"/>
    <cellStyle name="Output 18 5 10" xfId="31467"/>
    <cellStyle name="Output 18 5 2" xfId="6789"/>
    <cellStyle name="Output 18 5 2 2" xfId="31469"/>
    <cellStyle name="Output 18 5 2 3" xfId="31470"/>
    <cellStyle name="Output 18 5 2 4" xfId="31468"/>
    <cellStyle name="Output 18 5 3" xfId="31471"/>
    <cellStyle name="Output 18 5 3 2" xfId="31472"/>
    <cellStyle name="Output 18 5 4" xfId="31473"/>
    <cellStyle name="Output 18 5 4 2" xfId="31474"/>
    <cellStyle name="Output 18 5 5" xfId="31475"/>
    <cellStyle name="Output 18 5 6" xfId="31476"/>
    <cellStyle name="Output 18 5 7" xfId="31477"/>
    <cellStyle name="Output 18 5 8" xfId="31478"/>
    <cellStyle name="Output 18 5 9" xfId="31479"/>
    <cellStyle name="Output 18 6" xfId="6790"/>
    <cellStyle name="Output 18 6 2" xfId="31481"/>
    <cellStyle name="Output 18 6 2 2" xfId="31482"/>
    <cellStyle name="Output 18 6 3" xfId="31483"/>
    <cellStyle name="Output 18 6 3 2" xfId="31484"/>
    <cellStyle name="Output 18 6 4" xfId="31485"/>
    <cellStyle name="Output 18 6 5" xfId="31486"/>
    <cellStyle name="Output 18 6 6" xfId="31487"/>
    <cellStyle name="Output 18 6 7" xfId="31480"/>
    <cellStyle name="Output 18 7" xfId="6791"/>
    <cellStyle name="Output 18 7 2" xfId="31489"/>
    <cellStyle name="Output 18 7 3" xfId="31488"/>
    <cellStyle name="Output 18 8" xfId="8399"/>
    <cellStyle name="Output 18 9" xfId="31490"/>
    <cellStyle name="Output 19" xfId="2825"/>
    <cellStyle name="Output 19 10" xfId="31491"/>
    <cellStyle name="Output 19 11" xfId="31492"/>
    <cellStyle name="Output 19 2" xfId="6792"/>
    <cellStyle name="Output 19 2 2" xfId="31494"/>
    <cellStyle name="Output 19 2 2 2" xfId="31495"/>
    <cellStyle name="Output 19 2 2 2 2" xfId="31496"/>
    <cellStyle name="Output 19 2 2 2 3" xfId="31497"/>
    <cellStyle name="Output 19 2 2 3" xfId="31498"/>
    <cellStyle name="Output 19 2 2 3 2" xfId="31499"/>
    <cellStyle name="Output 19 2 2 4" xfId="31500"/>
    <cellStyle name="Output 19 2 2 4 2" xfId="31501"/>
    <cellStyle name="Output 19 2 2 5" xfId="31502"/>
    <cellStyle name="Output 19 2 2 6" xfId="31503"/>
    <cellStyle name="Output 19 2 2 7" xfId="31504"/>
    <cellStyle name="Output 19 2 2 8" xfId="31505"/>
    <cellStyle name="Output 19 2 2 9" xfId="31506"/>
    <cellStyle name="Output 19 2 3" xfId="31507"/>
    <cellStyle name="Output 19 2 3 2" xfId="31508"/>
    <cellStyle name="Output 19 2 3 2 2" xfId="31509"/>
    <cellStyle name="Output 19 2 3 2 3" xfId="31510"/>
    <cellStyle name="Output 19 2 3 3" xfId="31511"/>
    <cellStyle name="Output 19 2 3 3 2" xfId="31512"/>
    <cellStyle name="Output 19 2 3 4" xfId="31513"/>
    <cellStyle name="Output 19 2 3 5" xfId="31514"/>
    <cellStyle name="Output 19 2 3 6" xfId="31515"/>
    <cellStyle name="Output 19 2 4" xfId="31516"/>
    <cellStyle name="Output 19 2 4 2" xfId="31517"/>
    <cellStyle name="Output 19 2 4 3" xfId="31518"/>
    <cellStyle name="Output 19 2 5" xfId="31519"/>
    <cellStyle name="Output 19 2 6" xfId="31520"/>
    <cellStyle name="Output 19 2 7" xfId="31521"/>
    <cellStyle name="Output 19 2 8" xfId="31522"/>
    <cellStyle name="Output 19 2 9" xfId="31493"/>
    <cellStyle name="Output 19 3" xfId="6793"/>
    <cellStyle name="Output 19 3 2" xfId="31524"/>
    <cellStyle name="Output 19 3 2 2" xfId="31525"/>
    <cellStyle name="Output 19 3 2 2 2" xfId="31526"/>
    <cellStyle name="Output 19 3 2 3" xfId="31527"/>
    <cellStyle name="Output 19 3 2 3 2" xfId="31528"/>
    <cellStyle name="Output 19 3 2 4" xfId="31529"/>
    <cellStyle name="Output 19 3 2 4 2" xfId="31530"/>
    <cellStyle name="Output 19 3 2 5" xfId="31531"/>
    <cellStyle name="Output 19 3 2 6" xfId="31532"/>
    <cellStyle name="Output 19 3 2 7" xfId="31533"/>
    <cellStyle name="Output 19 3 2 8" xfId="31534"/>
    <cellStyle name="Output 19 3 2 9" xfId="31535"/>
    <cellStyle name="Output 19 3 3" xfId="31536"/>
    <cellStyle name="Output 19 3 3 2" xfId="31537"/>
    <cellStyle name="Output 19 3 3 2 2" xfId="31538"/>
    <cellStyle name="Output 19 3 3 3" xfId="31539"/>
    <cellStyle name="Output 19 3 3 3 2" xfId="31540"/>
    <cellStyle name="Output 19 3 3 4" xfId="31541"/>
    <cellStyle name="Output 19 3 3 5" xfId="31542"/>
    <cellStyle name="Output 19 3 3 6" xfId="31543"/>
    <cellStyle name="Output 19 3 4" xfId="31544"/>
    <cellStyle name="Output 19 3 4 2" xfId="31545"/>
    <cellStyle name="Output 19 3 5" xfId="31546"/>
    <cellStyle name="Output 19 3 6" xfId="31547"/>
    <cellStyle name="Output 19 3 7" xfId="31548"/>
    <cellStyle name="Output 19 3 8" xfId="31549"/>
    <cellStyle name="Output 19 3 9" xfId="31523"/>
    <cellStyle name="Output 19 4" xfId="6794"/>
    <cellStyle name="Output 19 4 10" xfId="31550"/>
    <cellStyle name="Output 19 4 2" xfId="6795"/>
    <cellStyle name="Output 19 4 2 2" xfId="31552"/>
    <cellStyle name="Output 19 4 2 3" xfId="31553"/>
    <cellStyle name="Output 19 4 2 4" xfId="31551"/>
    <cellStyle name="Output 19 4 3" xfId="31554"/>
    <cellStyle name="Output 19 4 3 2" xfId="31555"/>
    <cellStyle name="Output 19 4 4" xfId="31556"/>
    <cellStyle name="Output 19 4 4 2" xfId="31557"/>
    <cellStyle name="Output 19 4 5" xfId="31558"/>
    <cellStyle name="Output 19 4 6" xfId="31559"/>
    <cellStyle name="Output 19 4 7" xfId="31560"/>
    <cellStyle name="Output 19 4 8" xfId="31561"/>
    <cellStyle name="Output 19 4 9" xfId="31562"/>
    <cellStyle name="Output 19 5" xfId="6796"/>
    <cellStyle name="Output 19 5 10" xfId="31563"/>
    <cellStyle name="Output 19 5 2" xfId="6797"/>
    <cellStyle name="Output 19 5 2 2" xfId="31565"/>
    <cellStyle name="Output 19 5 2 3" xfId="31566"/>
    <cellStyle name="Output 19 5 2 4" xfId="31564"/>
    <cellStyle name="Output 19 5 3" xfId="31567"/>
    <cellStyle name="Output 19 5 3 2" xfId="31568"/>
    <cellStyle name="Output 19 5 4" xfId="31569"/>
    <cellStyle name="Output 19 5 4 2" xfId="31570"/>
    <cellStyle name="Output 19 5 5" xfId="31571"/>
    <cellStyle name="Output 19 5 6" xfId="31572"/>
    <cellStyle name="Output 19 5 7" xfId="31573"/>
    <cellStyle name="Output 19 5 8" xfId="31574"/>
    <cellStyle name="Output 19 5 9" xfId="31575"/>
    <cellStyle name="Output 19 6" xfId="6798"/>
    <cellStyle name="Output 19 6 2" xfId="31577"/>
    <cellStyle name="Output 19 6 2 2" xfId="31578"/>
    <cellStyle name="Output 19 6 3" xfId="31579"/>
    <cellStyle name="Output 19 6 3 2" xfId="31580"/>
    <cellStyle name="Output 19 6 4" xfId="31581"/>
    <cellStyle name="Output 19 6 5" xfId="31582"/>
    <cellStyle name="Output 19 6 6" xfId="31583"/>
    <cellStyle name="Output 19 6 7" xfId="31576"/>
    <cellStyle name="Output 19 7" xfId="6799"/>
    <cellStyle name="Output 19 7 2" xfId="31585"/>
    <cellStyle name="Output 19 7 3" xfId="31584"/>
    <cellStyle name="Output 19 8" xfId="8400"/>
    <cellStyle name="Output 19 9" xfId="31586"/>
    <cellStyle name="Output 2" xfId="1908"/>
    <cellStyle name="Output 2 10" xfId="31587"/>
    <cellStyle name="Output 2 11" xfId="31588"/>
    <cellStyle name="Output 2 12" xfId="40670"/>
    <cellStyle name="Output 2 2" xfId="1909"/>
    <cellStyle name="Output 2 2 10" xfId="40886"/>
    <cellStyle name="Output 2 2 2" xfId="1910"/>
    <cellStyle name="Output 2 2 2 10" xfId="41588"/>
    <cellStyle name="Output 2 2 2 2" xfId="8209"/>
    <cellStyle name="Output 2 2 2 2 2" xfId="31590"/>
    <cellStyle name="Output 2 2 2 2 2 2" xfId="31591"/>
    <cellStyle name="Output 2 2 2 2 3" xfId="31592"/>
    <cellStyle name="Output 2 2 2 2 4" xfId="43813"/>
    <cellStyle name="Output 2 2 2 3" xfId="31593"/>
    <cellStyle name="Output 2 2 2 3 2" xfId="31594"/>
    <cellStyle name="Output 2 2 2 3 3" xfId="31595"/>
    <cellStyle name="Output 2 2 2 3 4" xfId="43695"/>
    <cellStyle name="Output 2 2 2 4" xfId="31596"/>
    <cellStyle name="Output 2 2 2 4 2" xfId="31597"/>
    <cellStyle name="Output 2 2 2 4 3" xfId="45306"/>
    <cellStyle name="Output 2 2 2 5" xfId="31598"/>
    <cellStyle name="Output 2 2 2 6" xfId="31599"/>
    <cellStyle name="Output 2 2 2 7" xfId="31600"/>
    <cellStyle name="Output 2 2 2 8" xfId="31601"/>
    <cellStyle name="Output 2 2 2 9" xfId="31602"/>
    <cellStyle name="Output 2 2 3" xfId="6800"/>
    <cellStyle name="Output 2 2 3 10" xfId="31603"/>
    <cellStyle name="Output 2 2 3 11" xfId="41909"/>
    <cellStyle name="Output 2 2 3 2" xfId="31604"/>
    <cellStyle name="Output 2 2 3 2 2" xfId="31605"/>
    <cellStyle name="Output 2 2 3 2 3" xfId="31606"/>
    <cellStyle name="Output 2 2 3 2 4" xfId="43953"/>
    <cellStyle name="Output 2 2 3 3" xfId="31607"/>
    <cellStyle name="Output 2 2 3 3 2" xfId="31608"/>
    <cellStyle name="Output 2 2 3 3 3" xfId="45245"/>
    <cellStyle name="Output 2 2 3 4" xfId="31609"/>
    <cellStyle name="Output 2 2 3 4 2" xfId="31610"/>
    <cellStyle name="Output 2 2 3 4 3" xfId="43664"/>
    <cellStyle name="Output 2 2 3 5" xfId="31611"/>
    <cellStyle name="Output 2 2 3 6" xfId="31612"/>
    <cellStyle name="Output 2 2 3 7" xfId="31613"/>
    <cellStyle name="Output 2 2 3 8" xfId="31614"/>
    <cellStyle name="Output 2 2 3 9" xfId="31615"/>
    <cellStyle name="Output 2 2 4" xfId="6801"/>
    <cellStyle name="Output 2 2 4 2" xfId="6802"/>
    <cellStyle name="Output 2 2 4 2 2" xfId="31617"/>
    <cellStyle name="Output 2 2 4 3" xfId="31618"/>
    <cellStyle name="Output 2 2 4 4" xfId="31619"/>
    <cellStyle name="Output 2 2 4 5" xfId="31616"/>
    <cellStyle name="Output 2 2 4 6" xfId="43673"/>
    <cellStyle name="Output 2 2 5" xfId="6803"/>
    <cellStyle name="Output 2 2 5 2" xfId="6804"/>
    <cellStyle name="Output 2 2 5 3" xfId="31620"/>
    <cellStyle name="Output 2 2 5 4" xfId="44132"/>
    <cellStyle name="Output 2 2 6" xfId="6805"/>
    <cellStyle name="Output 2 2 6 2" xfId="43644"/>
    <cellStyle name="Output 2 2 7" xfId="6806"/>
    <cellStyle name="Output 2 2 8" xfId="8208"/>
    <cellStyle name="Output 2 2 9" xfId="31589"/>
    <cellStyle name="Output 2 3" xfId="1911"/>
    <cellStyle name="Output 2 3 2" xfId="1912"/>
    <cellStyle name="Output 2 3 2 10" xfId="43947"/>
    <cellStyle name="Output 2 3 2 2" xfId="8211"/>
    <cellStyle name="Output 2 3 2 2 2" xfId="31621"/>
    <cellStyle name="Output 2 3 2 2 3" xfId="31622"/>
    <cellStyle name="Output 2 3 2 3" xfId="31623"/>
    <cellStyle name="Output 2 3 2 3 2" xfId="31624"/>
    <cellStyle name="Output 2 3 2 4" xfId="31625"/>
    <cellStyle name="Output 2 3 2 4 2" xfId="31626"/>
    <cellStyle name="Output 2 3 2 5" xfId="31627"/>
    <cellStyle name="Output 2 3 2 6" xfId="31628"/>
    <cellStyle name="Output 2 3 2 7" xfId="31629"/>
    <cellStyle name="Output 2 3 2 8" xfId="31630"/>
    <cellStyle name="Output 2 3 2 9" xfId="31631"/>
    <cellStyle name="Output 2 3 3" xfId="8210"/>
    <cellStyle name="Output 2 3 3 2" xfId="31632"/>
    <cellStyle name="Output 2 3 3 2 2" xfId="31633"/>
    <cellStyle name="Output 2 3 3 2 3" xfId="31634"/>
    <cellStyle name="Output 2 3 3 3" xfId="31635"/>
    <cellStyle name="Output 2 3 3 3 2" xfId="31636"/>
    <cellStyle name="Output 2 3 3 4" xfId="31637"/>
    <cellStyle name="Output 2 3 3 5" xfId="31638"/>
    <cellStyle name="Output 2 3 3 6" xfId="31639"/>
    <cellStyle name="Output 2 3 3 7" xfId="43941"/>
    <cellStyle name="Output 2 3 4" xfId="31640"/>
    <cellStyle name="Output 2 3 4 2" xfId="31641"/>
    <cellStyle name="Output 2 3 4 3" xfId="31642"/>
    <cellStyle name="Output 2 3 4 4" xfId="43796"/>
    <cellStyle name="Output 2 3 5" xfId="31643"/>
    <cellStyle name="Output 2 3 6" xfId="31644"/>
    <cellStyle name="Output 2 3 7" xfId="31645"/>
    <cellStyle name="Output 2 3 8" xfId="31646"/>
    <cellStyle name="Output 2 3 9" xfId="41863"/>
    <cellStyle name="Output 2 4" xfId="1913"/>
    <cellStyle name="Output 2 4 10" xfId="40796"/>
    <cellStyle name="Output 2 4 2" xfId="1914"/>
    <cellStyle name="Output 2 4 2 2" xfId="8213"/>
    <cellStyle name="Output 2 4 2 3" xfId="31647"/>
    <cellStyle name="Output 2 4 2 4" xfId="43659"/>
    <cellStyle name="Output 2 4 3" xfId="8212"/>
    <cellStyle name="Output 2 4 3 2" xfId="31648"/>
    <cellStyle name="Output 2 4 3 3" xfId="43704"/>
    <cellStyle name="Output 2 4 4" xfId="31649"/>
    <cellStyle name="Output 2 4 4 2" xfId="31650"/>
    <cellStyle name="Output 2 4 4 3" xfId="45301"/>
    <cellStyle name="Output 2 4 5" xfId="31651"/>
    <cellStyle name="Output 2 4 6" xfId="31652"/>
    <cellStyle name="Output 2 4 7" xfId="31653"/>
    <cellStyle name="Output 2 4 8" xfId="31654"/>
    <cellStyle name="Output 2 4 9" xfId="31655"/>
    <cellStyle name="Output 2 5" xfId="1915"/>
    <cellStyle name="Output 2 5 10" xfId="43637"/>
    <cellStyle name="Output 2 5 2" xfId="6807"/>
    <cellStyle name="Output 2 5 2 2" xfId="31657"/>
    <cellStyle name="Output 2 5 2 3" xfId="31658"/>
    <cellStyle name="Output 2 5 2 4" xfId="31656"/>
    <cellStyle name="Output 2 5 3" xfId="8214"/>
    <cellStyle name="Output 2 5 3 2" xfId="31659"/>
    <cellStyle name="Output 2 5 4" xfId="31660"/>
    <cellStyle name="Output 2 5 4 2" xfId="31661"/>
    <cellStyle name="Output 2 5 5" xfId="31662"/>
    <cellStyle name="Output 2 5 6" xfId="31663"/>
    <cellStyle name="Output 2 5 7" xfId="31664"/>
    <cellStyle name="Output 2 5 8" xfId="31665"/>
    <cellStyle name="Output 2 5 9" xfId="31666"/>
    <cellStyle name="Output 2 6" xfId="6808"/>
    <cellStyle name="Output 2 6 2" xfId="6809"/>
    <cellStyle name="Output 2 6 2 2" xfId="31669"/>
    <cellStyle name="Output 2 6 2 3" xfId="31668"/>
    <cellStyle name="Output 2 6 3" xfId="31670"/>
    <cellStyle name="Output 2 6 3 2" xfId="31671"/>
    <cellStyle name="Output 2 6 4" xfId="31672"/>
    <cellStyle name="Output 2 6 5" xfId="31673"/>
    <cellStyle name="Output 2 6 6" xfId="31674"/>
    <cellStyle name="Output 2 6 7" xfId="31667"/>
    <cellStyle name="Output 2 6 8" xfId="45250"/>
    <cellStyle name="Output 2 7" xfId="6810"/>
    <cellStyle name="Output 2 7 2" xfId="31676"/>
    <cellStyle name="Output 2 7 3" xfId="31675"/>
    <cellStyle name="Output 2 7 4" xfId="45297"/>
    <cellStyle name="Output 2 8" xfId="6811"/>
    <cellStyle name="Output 2 8 2" xfId="31677"/>
    <cellStyle name="Output 2 9" xfId="8207"/>
    <cellStyle name="Output 20" xfId="2826"/>
    <cellStyle name="Output 20 10" xfId="31678"/>
    <cellStyle name="Output 20 11" xfId="31679"/>
    <cellStyle name="Output 20 2" xfId="6812"/>
    <cellStyle name="Output 20 2 2" xfId="31681"/>
    <cellStyle name="Output 20 2 2 2" xfId="31682"/>
    <cellStyle name="Output 20 2 2 2 2" xfId="31683"/>
    <cellStyle name="Output 20 2 2 2 3" xfId="31684"/>
    <cellStyle name="Output 20 2 2 3" xfId="31685"/>
    <cellStyle name="Output 20 2 2 3 2" xfId="31686"/>
    <cellStyle name="Output 20 2 2 4" xfId="31687"/>
    <cellStyle name="Output 20 2 2 4 2" xfId="31688"/>
    <cellStyle name="Output 20 2 2 5" xfId="31689"/>
    <cellStyle name="Output 20 2 2 6" xfId="31690"/>
    <cellStyle name="Output 20 2 2 7" xfId="31691"/>
    <cellStyle name="Output 20 2 2 8" xfId="31692"/>
    <cellStyle name="Output 20 2 2 9" xfId="31693"/>
    <cellStyle name="Output 20 2 3" xfId="31694"/>
    <cellStyle name="Output 20 2 3 2" xfId="31695"/>
    <cellStyle name="Output 20 2 3 2 2" xfId="31696"/>
    <cellStyle name="Output 20 2 3 2 3" xfId="31697"/>
    <cellStyle name="Output 20 2 3 3" xfId="31698"/>
    <cellStyle name="Output 20 2 3 3 2" xfId="31699"/>
    <cellStyle name="Output 20 2 3 4" xfId="31700"/>
    <cellStyle name="Output 20 2 3 5" xfId="31701"/>
    <cellStyle name="Output 20 2 3 6" xfId="31702"/>
    <cellStyle name="Output 20 2 4" xfId="31703"/>
    <cellStyle name="Output 20 2 4 2" xfId="31704"/>
    <cellStyle name="Output 20 2 4 3" xfId="31705"/>
    <cellStyle name="Output 20 2 5" xfId="31706"/>
    <cellStyle name="Output 20 2 6" xfId="31707"/>
    <cellStyle name="Output 20 2 7" xfId="31708"/>
    <cellStyle name="Output 20 2 8" xfId="31709"/>
    <cellStyle name="Output 20 2 9" xfId="31680"/>
    <cellStyle name="Output 20 3" xfId="6813"/>
    <cellStyle name="Output 20 3 2" xfId="31711"/>
    <cellStyle name="Output 20 3 2 2" xfId="31712"/>
    <cellStyle name="Output 20 3 2 2 2" xfId="31713"/>
    <cellStyle name="Output 20 3 2 3" xfId="31714"/>
    <cellStyle name="Output 20 3 2 3 2" xfId="31715"/>
    <cellStyle name="Output 20 3 2 4" xfId="31716"/>
    <cellStyle name="Output 20 3 2 4 2" xfId="31717"/>
    <cellStyle name="Output 20 3 2 5" xfId="31718"/>
    <cellStyle name="Output 20 3 2 6" xfId="31719"/>
    <cellStyle name="Output 20 3 2 7" xfId="31720"/>
    <cellStyle name="Output 20 3 2 8" xfId="31721"/>
    <cellStyle name="Output 20 3 2 9" xfId="31722"/>
    <cellStyle name="Output 20 3 3" xfId="31723"/>
    <cellStyle name="Output 20 3 3 2" xfId="31724"/>
    <cellStyle name="Output 20 3 3 2 2" xfId="31725"/>
    <cellStyle name="Output 20 3 3 3" xfId="31726"/>
    <cellStyle name="Output 20 3 3 3 2" xfId="31727"/>
    <cellStyle name="Output 20 3 3 4" xfId="31728"/>
    <cellStyle name="Output 20 3 3 5" xfId="31729"/>
    <cellStyle name="Output 20 3 3 6" xfId="31730"/>
    <cellStyle name="Output 20 3 4" xfId="31731"/>
    <cellStyle name="Output 20 3 4 2" xfId="31732"/>
    <cellStyle name="Output 20 3 5" xfId="31733"/>
    <cellStyle name="Output 20 3 6" xfId="31734"/>
    <cellStyle name="Output 20 3 7" xfId="31735"/>
    <cellStyle name="Output 20 3 8" xfId="31736"/>
    <cellStyle name="Output 20 3 9" xfId="31710"/>
    <cellStyle name="Output 20 4" xfId="6814"/>
    <cellStyle name="Output 20 4 10" xfId="31737"/>
    <cellStyle name="Output 20 4 2" xfId="6815"/>
    <cellStyle name="Output 20 4 2 2" xfId="31739"/>
    <cellStyle name="Output 20 4 2 3" xfId="31740"/>
    <cellStyle name="Output 20 4 2 4" xfId="31738"/>
    <cellStyle name="Output 20 4 3" xfId="31741"/>
    <cellStyle name="Output 20 4 3 2" xfId="31742"/>
    <cellStyle name="Output 20 4 4" xfId="31743"/>
    <cellStyle name="Output 20 4 4 2" xfId="31744"/>
    <cellStyle name="Output 20 4 5" xfId="31745"/>
    <cellStyle name="Output 20 4 6" xfId="31746"/>
    <cellStyle name="Output 20 4 7" xfId="31747"/>
    <cellStyle name="Output 20 4 8" xfId="31748"/>
    <cellStyle name="Output 20 4 9" xfId="31749"/>
    <cellStyle name="Output 20 5" xfId="6816"/>
    <cellStyle name="Output 20 5 10" xfId="31750"/>
    <cellStyle name="Output 20 5 2" xfId="6817"/>
    <cellStyle name="Output 20 5 2 2" xfId="31752"/>
    <cellStyle name="Output 20 5 2 3" xfId="31753"/>
    <cellStyle name="Output 20 5 2 4" xfId="31751"/>
    <cellStyle name="Output 20 5 3" xfId="31754"/>
    <cellStyle name="Output 20 5 3 2" xfId="31755"/>
    <cellStyle name="Output 20 5 4" xfId="31756"/>
    <cellStyle name="Output 20 5 4 2" xfId="31757"/>
    <cellStyle name="Output 20 5 5" xfId="31758"/>
    <cellStyle name="Output 20 5 6" xfId="31759"/>
    <cellStyle name="Output 20 5 7" xfId="31760"/>
    <cellStyle name="Output 20 5 8" xfId="31761"/>
    <cellStyle name="Output 20 5 9" xfId="31762"/>
    <cellStyle name="Output 20 6" xfId="6818"/>
    <cellStyle name="Output 20 6 2" xfId="31764"/>
    <cellStyle name="Output 20 6 2 2" xfId="31765"/>
    <cellStyle name="Output 20 6 3" xfId="31766"/>
    <cellStyle name="Output 20 6 3 2" xfId="31767"/>
    <cellStyle name="Output 20 6 4" xfId="31768"/>
    <cellStyle name="Output 20 6 5" xfId="31769"/>
    <cellStyle name="Output 20 6 6" xfId="31770"/>
    <cellStyle name="Output 20 6 7" xfId="31763"/>
    <cellStyle name="Output 20 7" xfId="6819"/>
    <cellStyle name="Output 20 7 2" xfId="31772"/>
    <cellStyle name="Output 20 7 3" xfId="31771"/>
    <cellStyle name="Output 20 8" xfId="8401"/>
    <cellStyle name="Output 20 9" xfId="31773"/>
    <cellStyle name="Output 21" xfId="2827"/>
    <cellStyle name="Output 21 10" xfId="31774"/>
    <cellStyle name="Output 21 11" xfId="31775"/>
    <cellStyle name="Output 21 2" xfId="6820"/>
    <cellStyle name="Output 21 2 2" xfId="31777"/>
    <cellStyle name="Output 21 2 2 2" xfId="31778"/>
    <cellStyle name="Output 21 2 2 2 2" xfId="31779"/>
    <cellStyle name="Output 21 2 2 2 3" xfId="31780"/>
    <cellStyle name="Output 21 2 2 3" xfId="31781"/>
    <cellStyle name="Output 21 2 2 3 2" xfId="31782"/>
    <cellStyle name="Output 21 2 2 4" xfId="31783"/>
    <cellStyle name="Output 21 2 2 4 2" xfId="31784"/>
    <cellStyle name="Output 21 2 2 5" xfId="31785"/>
    <cellStyle name="Output 21 2 2 6" xfId="31786"/>
    <cellStyle name="Output 21 2 2 7" xfId="31787"/>
    <cellStyle name="Output 21 2 2 8" xfId="31788"/>
    <cellStyle name="Output 21 2 2 9" xfId="31789"/>
    <cellStyle name="Output 21 2 3" xfId="31790"/>
    <cellStyle name="Output 21 2 3 2" xfId="31791"/>
    <cellStyle name="Output 21 2 3 2 2" xfId="31792"/>
    <cellStyle name="Output 21 2 3 2 3" xfId="31793"/>
    <cellStyle name="Output 21 2 3 3" xfId="31794"/>
    <cellStyle name="Output 21 2 3 3 2" xfId="31795"/>
    <cellStyle name="Output 21 2 3 4" xfId="31796"/>
    <cellStyle name="Output 21 2 3 5" xfId="31797"/>
    <cellStyle name="Output 21 2 3 6" xfId="31798"/>
    <cellStyle name="Output 21 2 4" xfId="31799"/>
    <cellStyle name="Output 21 2 4 2" xfId="31800"/>
    <cellStyle name="Output 21 2 4 3" xfId="31801"/>
    <cellStyle name="Output 21 2 5" xfId="31802"/>
    <cellStyle name="Output 21 2 6" xfId="31803"/>
    <cellStyle name="Output 21 2 7" xfId="31804"/>
    <cellStyle name="Output 21 2 8" xfId="31805"/>
    <cellStyle name="Output 21 2 9" xfId="31776"/>
    <cellStyle name="Output 21 3" xfId="6821"/>
    <cellStyle name="Output 21 3 2" xfId="31807"/>
    <cellStyle name="Output 21 3 2 2" xfId="31808"/>
    <cellStyle name="Output 21 3 2 2 2" xfId="31809"/>
    <cellStyle name="Output 21 3 2 3" xfId="31810"/>
    <cellStyle name="Output 21 3 2 3 2" xfId="31811"/>
    <cellStyle name="Output 21 3 2 4" xfId="31812"/>
    <cellStyle name="Output 21 3 2 4 2" xfId="31813"/>
    <cellStyle name="Output 21 3 2 5" xfId="31814"/>
    <cellStyle name="Output 21 3 2 6" xfId="31815"/>
    <cellStyle name="Output 21 3 2 7" xfId="31816"/>
    <cellStyle name="Output 21 3 2 8" xfId="31817"/>
    <cellStyle name="Output 21 3 2 9" xfId="31818"/>
    <cellStyle name="Output 21 3 3" xfId="31819"/>
    <cellStyle name="Output 21 3 3 2" xfId="31820"/>
    <cellStyle name="Output 21 3 3 2 2" xfId="31821"/>
    <cellStyle name="Output 21 3 3 3" xfId="31822"/>
    <cellStyle name="Output 21 3 3 3 2" xfId="31823"/>
    <cellStyle name="Output 21 3 3 4" xfId="31824"/>
    <cellStyle name="Output 21 3 3 5" xfId="31825"/>
    <cellStyle name="Output 21 3 3 6" xfId="31826"/>
    <cellStyle name="Output 21 3 4" xfId="31827"/>
    <cellStyle name="Output 21 3 4 2" xfId="31828"/>
    <cellStyle name="Output 21 3 5" xfId="31829"/>
    <cellStyle name="Output 21 3 6" xfId="31830"/>
    <cellStyle name="Output 21 3 7" xfId="31831"/>
    <cellStyle name="Output 21 3 8" xfId="31832"/>
    <cellStyle name="Output 21 3 9" xfId="31806"/>
    <cellStyle name="Output 21 4" xfId="6822"/>
    <cellStyle name="Output 21 4 10" xfId="31833"/>
    <cellStyle name="Output 21 4 2" xfId="6823"/>
    <cellStyle name="Output 21 4 2 2" xfId="31835"/>
    <cellStyle name="Output 21 4 2 3" xfId="31836"/>
    <cellStyle name="Output 21 4 2 4" xfId="31834"/>
    <cellStyle name="Output 21 4 3" xfId="31837"/>
    <cellStyle name="Output 21 4 3 2" xfId="31838"/>
    <cellStyle name="Output 21 4 4" xfId="31839"/>
    <cellStyle name="Output 21 4 4 2" xfId="31840"/>
    <cellStyle name="Output 21 4 5" xfId="31841"/>
    <cellStyle name="Output 21 4 6" xfId="31842"/>
    <cellStyle name="Output 21 4 7" xfId="31843"/>
    <cellStyle name="Output 21 4 8" xfId="31844"/>
    <cellStyle name="Output 21 4 9" xfId="31845"/>
    <cellStyle name="Output 21 5" xfId="6824"/>
    <cellStyle name="Output 21 5 10" xfId="31846"/>
    <cellStyle name="Output 21 5 2" xfId="6825"/>
    <cellStyle name="Output 21 5 2 2" xfId="31848"/>
    <cellStyle name="Output 21 5 2 3" xfId="31849"/>
    <cellStyle name="Output 21 5 2 4" xfId="31847"/>
    <cellStyle name="Output 21 5 3" xfId="31850"/>
    <cellStyle name="Output 21 5 3 2" xfId="31851"/>
    <cellStyle name="Output 21 5 4" xfId="31852"/>
    <cellStyle name="Output 21 5 4 2" xfId="31853"/>
    <cellStyle name="Output 21 5 5" xfId="31854"/>
    <cellStyle name="Output 21 5 6" xfId="31855"/>
    <cellStyle name="Output 21 5 7" xfId="31856"/>
    <cellStyle name="Output 21 5 8" xfId="31857"/>
    <cellStyle name="Output 21 5 9" xfId="31858"/>
    <cellStyle name="Output 21 6" xfId="6826"/>
    <cellStyle name="Output 21 6 2" xfId="31860"/>
    <cellStyle name="Output 21 6 2 2" xfId="31861"/>
    <cellStyle name="Output 21 6 3" xfId="31862"/>
    <cellStyle name="Output 21 6 3 2" xfId="31863"/>
    <cellStyle name="Output 21 6 4" xfId="31864"/>
    <cellStyle name="Output 21 6 5" xfId="31865"/>
    <cellStyle name="Output 21 6 6" xfId="31866"/>
    <cellStyle name="Output 21 6 7" xfId="31859"/>
    <cellStyle name="Output 21 7" xfId="6827"/>
    <cellStyle name="Output 21 7 2" xfId="31868"/>
    <cellStyle name="Output 21 7 3" xfId="31867"/>
    <cellStyle name="Output 21 8" xfId="8402"/>
    <cellStyle name="Output 21 9" xfId="31869"/>
    <cellStyle name="Output 22" xfId="2828"/>
    <cellStyle name="Output 22 10" xfId="31870"/>
    <cellStyle name="Output 22 11" xfId="31871"/>
    <cellStyle name="Output 22 2" xfId="6828"/>
    <cellStyle name="Output 22 2 2" xfId="31873"/>
    <cellStyle name="Output 22 2 2 2" xfId="31874"/>
    <cellStyle name="Output 22 2 2 2 2" xfId="31875"/>
    <cellStyle name="Output 22 2 2 2 3" xfId="31876"/>
    <cellStyle name="Output 22 2 2 3" xfId="31877"/>
    <cellStyle name="Output 22 2 2 3 2" xfId="31878"/>
    <cellStyle name="Output 22 2 2 4" xfId="31879"/>
    <cellStyle name="Output 22 2 2 4 2" xfId="31880"/>
    <cellStyle name="Output 22 2 2 5" xfId="31881"/>
    <cellStyle name="Output 22 2 2 6" xfId="31882"/>
    <cellStyle name="Output 22 2 2 7" xfId="31883"/>
    <cellStyle name="Output 22 2 2 8" xfId="31884"/>
    <cellStyle name="Output 22 2 2 9" xfId="31885"/>
    <cellStyle name="Output 22 2 3" xfId="31886"/>
    <cellStyle name="Output 22 2 3 2" xfId="31887"/>
    <cellStyle name="Output 22 2 3 2 2" xfId="31888"/>
    <cellStyle name="Output 22 2 3 2 3" xfId="31889"/>
    <cellStyle name="Output 22 2 3 3" xfId="31890"/>
    <cellStyle name="Output 22 2 3 3 2" xfId="31891"/>
    <cellStyle name="Output 22 2 3 4" xfId="31892"/>
    <cellStyle name="Output 22 2 3 5" xfId="31893"/>
    <cellStyle name="Output 22 2 3 6" xfId="31894"/>
    <cellStyle name="Output 22 2 4" xfId="31895"/>
    <cellStyle name="Output 22 2 4 2" xfId="31896"/>
    <cellStyle name="Output 22 2 4 3" xfId="31897"/>
    <cellStyle name="Output 22 2 5" xfId="31898"/>
    <cellStyle name="Output 22 2 6" xfId="31899"/>
    <cellStyle name="Output 22 2 7" xfId="31900"/>
    <cellStyle name="Output 22 2 8" xfId="31901"/>
    <cellStyle name="Output 22 2 9" xfId="31872"/>
    <cellStyle name="Output 22 3" xfId="6829"/>
    <cellStyle name="Output 22 3 2" xfId="31903"/>
    <cellStyle name="Output 22 3 2 2" xfId="31904"/>
    <cellStyle name="Output 22 3 2 2 2" xfId="31905"/>
    <cellStyle name="Output 22 3 2 3" xfId="31906"/>
    <cellStyle name="Output 22 3 2 3 2" xfId="31907"/>
    <cellStyle name="Output 22 3 2 4" xfId="31908"/>
    <cellStyle name="Output 22 3 2 4 2" xfId="31909"/>
    <cellStyle name="Output 22 3 2 5" xfId="31910"/>
    <cellStyle name="Output 22 3 2 6" xfId="31911"/>
    <cellStyle name="Output 22 3 2 7" xfId="31912"/>
    <cellStyle name="Output 22 3 2 8" xfId="31913"/>
    <cellStyle name="Output 22 3 2 9" xfId="31914"/>
    <cellStyle name="Output 22 3 3" xfId="31915"/>
    <cellStyle name="Output 22 3 3 2" xfId="31916"/>
    <cellStyle name="Output 22 3 3 2 2" xfId="31917"/>
    <cellStyle name="Output 22 3 3 3" xfId="31918"/>
    <cellStyle name="Output 22 3 3 3 2" xfId="31919"/>
    <cellStyle name="Output 22 3 3 4" xfId="31920"/>
    <cellStyle name="Output 22 3 3 5" xfId="31921"/>
    <cellStyle name="Output 22 3 3 6" xfId="31922"/>
    <cellStyle name="Output 22 3 4" xfId="31923"/>
    <cellStyle name="Output 22 3 4 2" xfId="31924"/>
    <cellStyle name="Output 22 3 5" xfId="31925"/>
    <cellStyle name="Output 22 3 6" xfId="31926"/>
    <cellStyle name="Output 22 3 7" xfId="31927"/>
    <cellStyle name="Output 22 3 8" xfId="31928"/>
    <cellStyle name="Output 22 3 9" xfId="31902"/>
    <cellStyle name="Output 22 4" xfId="6830"/>
    <cellStyle name="Output 22 4 10" xfId="31929"/>
    <cellStyle name="Output 22 4 2" xfId="6831"/>
    <cellStyle name="Output 22 4 2 2" xfId="31931"/>
    <cellStyle name="Output 22 4 2 3" xfId="31932"/>
    <cellStyle name="Output 22 4 2 4" xfId="31930"/>
    <cellStyle name="Output 22 4 3" xfId="31933"/>
    <cellStyle name="Output 22 4 3 2" xfId="31934"/>
    <cellStyle name="Output 22 4 4" xfId="31935"/>
    <cellStyle name="Output 22 4 4 2" xfId="31936"/>
    <cellStyle name="Output 22 4 5" xfId="31937"/>
    <cellStyle name="Output 22 4 6" xfId="31938"/>
    <cellStyle name="Output 22 4 7" xfId="31939"/>
    <cellStyle name="Output 22 4 8" xfId="31940"/>
    <cellStyle name="Output 22 4 9" xfId="31941"/>
    <cellStyle name="Output 22 5" xfId="6832"/>
    <cellStyle name="Output 22 5 10" xfId="31942"/>
    <cellStyle name="Output 22 5 2" xfId="6833"/>
    <cellStyle name="Output 22 5 2 2" xfId="31944"/>
    <cellStyle name="Output 22 5 2 3" xfId="31945"/>
    <cellStyle name="Output 22 5 2 4" xfId="31943"/>
    <cellStyle name="Output 22 5 3" xfId="31946"/>
    <cellStyle name="Output 22 5 3 2" xfId="31947"/>
    <cellStyle name="Output 22 5 4" xfId="31948"/>
    <cellStyle name="Output 22 5 4 2" xfId="31949"/>
    <cellStyle name="Output 22 5 5" xfId="31950"/>
    <cellStyle name="Output 22 5 6" xfId="31951"/>
    <cellStyle name="Output 22 5 7" xfId="31952"/>
    <cellStyle name="Output 22 5 8" xfId="31953"/>
    <cellStyle name="Output 22 5 9" xfId="31954"/>
    <cellStyle name="Output 22 6" xfId="6834"/>
    <cellStyle name="Output 22 6 2" xfId="31956"/>
    <cellStyle name="Output 22 6 2 2" xfId="31957"/>
    <cellStyle name="Output 22 6 3" xfId="31958"/>
    <cellStyle name="Output 22 6 3 2" xfId="31959"/>
    <cellStyle name="Output 22 6 4" xfId="31960"/>
    <cellStyle name="Output 22 6 5" xfId="31961"/>
    <cellStyle name="Output 22 6 6" xfId="31962"/>
    <cellStyle name="Output 22 6 7" xfId="31955"/>
    <cellStyle name="Output 22 7" xfId="6835"/>
    <cellStyle name="Output 22 7 2" xfId="31964"/>
    <cellStyle name="Output 22 7 3" xfId="31963"/>
    <cellStyle name="Output 22 8" xfId="8403"/>
    <cellStyle name="Output 22 9" xfId="31965"/>
    <cellStyle name="Output 23" xfId="2829"/>
    <cellStyle name="Output 23 10" xfId="31966"/>
    <cellStyle name="Output 23 11" xfId="31967"/>
    <cellStyle name="Output 23 2" xfId="6836"/>
    <cellStyle name="Output 23 2 2" xfId="31969"/>
    <cellStyle name="Output 23 2 2 2" xfId="31970"/>
    <cellStyle name="Output 23 2 2 2 2" xfId="31971"/>
    <cellStyle name="Output 23 2 2 2 3" xfId="31972"/>
    <cellStyle name="Output 23 2 2 3" xfId="31973"/>
    <cellStyle name="Output 23 2 2 3 2" xfId="31974"/>
    <cellStyle name="Output 23 2 2 4" xfId="31975"/>
    <cellStyle name="Output 23 2 2 4 2" xfId="31976"/>
    <cellStyle name="Output 23 2 2 5" xfId="31977"/>
    <cellStyle name="Output 23 2 2 6" xfId="31978"/>
    <cellStyle name="Output 23 2 2 7" xfId="31979"/>
    <cellStyle name="Output 23 2 2 8" xfId="31980"/>
    <cellStyle name="Output 23 2 2 9" xfId="31981"/>
    <cellStyle name="Output 23 2 3" xfId="31982"/>
    <cellStyle name="Output 23 2 3 2" xfId="31983"/>
    <cellStyle name="Output 23 2 3 2 2" xfId="31984"/>
    <cellStyle name="Output 23 2 3 2 3" xfId="31985"/>
    <cellStyle name="Output 23 2 3 3" xfId="31986"/>
    <cellStyle name="Output 23 2 3 3 2" xfId="31987"/>
    <cellStyle name="Output 23 2 3 4" xfId="31988"/>
    <cellStyle name="Output 23 2 3 5" xfId="31989"/>
    <cellStyle name="Output 23 2 3 6" xfId="31990"/>
    <cellStyle name="Output 23 2 4" xfId="31991"/>
    <cellStyle name="Output 23 2 4 2" xfId="31992"/>
    <cellStyle name="Output 23 2 4 3" xfId="31993"/>
    <cellStyle name="Output 23 2 5" xfId="31994"/>
    <cellStyle name="Output 23 2 6" xfId="31995"/>
    <cellStyle name="Output 23 2 7" xfId="31996"/>
    <cellStyle name="Output 23 2 8" xfId="31997"/>
    <cellStyle name="Output 23 2 9" xfId="31968"/>
    <cellStyle name="Output 23 3" xfId="6837"/>
    <cellStyle name="Output 23 3 2" xfId="31999"/>
    <cellStyle name="Output 23 3 2 2" xfId="32000"/>
    <cellStyle name="Output 23 3 2 2 2" xfId="32001"/>
    <cellStyle name="Output 23 3 2 3" xfId="32002"/>
    <cellStyle name="Output 23 3 2 3 2" xfId="32003"/>
    <cellStyle name="Output 23 3 2 4" xfId="32004"/>
    <cellStyle name="Output 23 3 2 4 2" xfId="32005"/>
    <cellStyle name="Output 23 3 2 5" xfId="32006"/>
    <cellStyle name="Output 23 3 2 6" xfId="32007"/>
    <cellStyle name="Output 23 3 2 7" xfId="32008"/>
    <cellStyle name="Output 23 3 2 8" xfId="32009"/>
    <cellStyle name="Output 23 3 2 9" xfId="32010"/>
    <cellStyle name="Output 23 3 3" xfId="32011"/>
    <cellStyle name="Output 23 3 3 2" xfId="32012"/>
    <cellStyle name="Output 23 3 3 2 2" xfId="32013"/>
    <cellStyle name="Output 23 3 3 3" xfId="32014"/>
    <cellStyle name="Output 23 3 3 3 2" xfId="32015"/>
    <cellStyle name="Output 23 3 3 4" xfId="32016"/>
    <cellStyle name="Output 23 3 3 5" xfId="32017"/>
    <cellStyle name="Output 23 3 3 6" xfId="32018"/>
    <cellStyle name="Output 23 3 4" xfId="32019"/>
    <cellStyle name="Output 23 3 4 2" xfId="32020"/>
    <cellStyle name="Output 23 3 5" xfId="32021"/>
    <cellStyle name="Output 23 3 6" xfId="32022"/>
    <cellStyle name="Output 23 3 7" xfId="32023"/>
    <cellStyle name="Output 23 3 8" xfId="32024"/>
    <cellStyle name="Output 23 3 9" xfId="31998"/>
    <cellStyle name="Output 23 4" xfId="6838"/>
    <cellStyle name="Output 23 4 10" xfId="32025"/>
    <cellStyle name="Output 23 4 2" xfId="6839"/>
    <cellStyle name="Output 23 4 2 2" xfId="32027"/>
    <cellStyle name="Output 23 4 2 3" xfId="32028"/>
    <cellStyle name="Output 23 4 2 4" xfId="32026"/>
    <cellStyle name="Output 23 4 3" xfId="32029"/>
    <cellStyle name="Output 23 4 3 2" xfId="32030"/>
    <cellStyle name="Output 23 4 4" xfId="32031"/>
    <cellStyle name="Output 23 4 4 2" xfId="32032"/>
    <cellStyle name="Output 23 4 5" xfId="32033"/>
    <cellStyle name="Output 23 4 6" xfId="32034"/>
    <cellStyle name="Output 23 4 7" xfId="32035"/>
    <cellStyle name="Output 23 4 8" xfId="32036"/>
    <cellStyle name="Output 23 4 9" xfId="32037"/>
    <cellStyle name="Output 23 5" xfId="6840"/>
    <cellStyle name="Output 23 5 10" xfId="32038"/>
    <cellStyle name="Output 23 5 2" xfId="6841"/>
    <cellStyle name="Output 23 5 2 2" xfId="32040"/>
    <cellStyle name="Output 23 5 2 3" xfId="32041"/>
    <cellStyle name="Output 23 5 2 4" xfId="32039"/>
    <cellStyle name="Output 23 5 3" xfId="32042"/>
    <cellStyle name="Output 23 5 3 2" xfId="32043"/>
    <cellStyle name="Output 23 5 4" xfId="32044"/>
    <cellStyle name="Output 23 5 4 2" xfId="32045"/>
    <cellStyle name="Output 23 5 5" xfId="32046"/>
    <cellStyle name="Output 23 5 6" xfId="32047"/>
    <cellStyle name="Output 23 5 7" xfId="32048"/>
    <cellStyle name="Output 23 5 8" xfId="32049"/>
    <cellStyle name="Output 23 5 9" xfId="32050"/>
    <cellStyle name="Output 23 6" xfId="6842"/>
    <cellStyle name="Output 23 6 2" xfId="32052"/>
    <cellStyle name="Output 23 6 2 2" xfId="32053"/>
    <cellStyle name="Output 23 6 3" xfId="32054"/>
    <cellStyle name="Output 23 6 3 2" xfId="32055"/>
    <cellStyle name="Output 23 6 4" xfId="32056"/>
    <cellStyle name="Output 23 6 5" xfId="32057"/>
    <cellStyle name="Output 23 6 6" xfId="32058"/>
    <cellStyle name="Output 23 6 7" xfId="32051"/>
    <cellStyle name="Output 23 7" xfId="6843"/>
    <cellStyle name="Output 23 7 2" xfId="32060"/>
    <cellStyle name="Output 23 7 3" xfId="32059"/>
    <cellStyle name="Output 23 8" xfId="8404"/>
    <cellStyle name="Output 23 9" xfId="32061"/>
    <cellStyle name="Output 24" xfId="2830"/>
    <cellStyle name="Output 24 10" xfId="32062"/>
    <cellStyle name="Output 24 11" xfId="32063"/>
    <cellStyle name="Output 24 2" xfId="6844"/>
    <cellStyle name="Output 24 2 2" xfId="32065"/>
    <cellStyle name="Output 24 2 2 2" xfId="32066"/>
    <cellStyle name="Output 24 2 2 2 2" xfId="32067"/>
    <cellStyle name="Output 24 2 2 2 3" xfId="32068"/>
    <cellStyle name="Output 24 2 2 3" xfId="32069"/>
    <cellStyle name="Output 24 2 2 3 2" xfId="32070"/>
    <cellStyle name="Output 24 2 2 4" xfId="32071"/>
    <cellStyle name="Output 24 2 2 4 2" xfId="32072"/>
    <cellStyle name="Output 24 2 2 5" xfId="32073"/>
    <cellStyle name="Output 24 2 2 6" xfId="32074"/>
    <cellStyle name="Output 24 2 2 7" xfId="32075"/>
    <cellStyle name="Output 24 2 2 8" xfId="32076"/>
    <cellStyle name="Output 24 2 2 9" xfId="32077"/>
    <cellStyle name="Output 24 2 3" xfId="32078"/>
    <cellStyle name="Output 24 2 3 2" xfId="32079"/>
    <cellStyle name="Output 24 2 3 2 2" xfId="32080"/>
    <cellStyle name="Output 24 2 3 2 3" xfId="32081"/>
    <cellStyle name="Output 24 2 3 3" xfId="32082"/>
    <cellStyle name="Output 24 2 3 3 2" xfId="32083"/>
    <cellStyle name="Output 24 2 3 4" xfId="32084"/>
    <cellStyle name="Output 24 2 3 5" xfId="32085"/>
    <cellStyle name="Output 24 2 3 6" xfId="32086"/>
    <cellStyle name="Output 24 2 4" xfId="32087"/>
    <cellStyle name="Output 24 2 4 2" xfId="32088"/>
    <cellStyle name="Output 24 2 4 3" xfId="32089"/>
    <cellStyle name="Output 24 2 5" xfId="32090"/>
    <cellStyle name="Output 24 2 6" xfId="32091"/>
    <cellStyle name="Output 24 2 7" xfId="32092"/>
    <cellStyle name="Output 24 2 8" xfId="32093"/>
    <cellStyle name="Output 24 2 9" xfId="32064"/>
    <cellStyle name="Output 24 3" xfId="6845"/>
    <cellStyle name="Output 24 3 2" xfId="32095"/>
    <cellStyle name="Output 24 3 2 2" xfId="32096"/>
    <cellStyle name="Output 24 3 2 2 2" xfId="32097"/>
    <cellStyle name="Output 24 3 2 3" xfId="32098"/>
    <cellStyle name="Output 24 3 2 3 2" xfId="32099"/>
    <cellStyle name="Output 24 3 2 4" xfId="32100"/>
    <cellStyle name="Output 24 3 2 4 2" xfId="32101"/>
    <cellStyle name="Output 24 3 2 5" xfId="32102"/>
    <cellStyle name="Output 24 3 2 6" xfId="32103"/>
    <cellStyle name="Output 24 3 2 7" xfId="32104"/>
    <cellStyle name="Output 24 3 2 8" xfId="32105"/>
    <cellStyle name="Output 24 3 2 9" xfId="32106"/>
    <cellStyle name="Output 24 3 3" xfId="32107"/>
    <cellStyle name="Output 24 3 3 2" xfId="32108"/>
    <cellStyle name="Output 24 3 3 2 2" xfId="32109"/>
    <cellStyle name="Output 24 3 3 3" xfId="32110"/>
    <cellStyle name="Output 24 3 3 3 2" xfId="32111"/>
    <cellStyle name="Output 24 3 3 4" xfId="32112"/>
    <cellStyle name="Output 24 3 3 5" xfId="32113"/>
    <cellStyle name="Output 24 3 3 6" xfId="32114"/>
    <cellStyle name="Output 24 3 4" xfId="32115"/>
    <cellStyle name="Output 24 3 4 2" xfId="32116"/>
    <cellStyle name="Output 24 3 5" xfId="32117"/>
    <cellStyle name="Output 24 3 6" xfId="32118"/>
    <cellStyle name="Output 24 3 7" xfId="32119"/>
    <cellStyle name="Output 24 3 8" xfId="32120"/>
    <cellStyle name="Output 24 3 9" xfId="32094"/>
    <cellStyle name="Output 24 4" xfId="6846"/>
    <cellStyle name="Output 24 4 10" xfId="32121"/>
    <cellStyle name="Output 24 4 2" xfId="6847"/>
    <cellStyle name="Output 24 4 2 2" xfId="32123"/>
    <cellStyle name="Output 24 4 2 3" xfId="32124"/>
    <cellStyle name="Output 24 4 2 4" xfId="32122"/>
    <cellStyle name="Output 24 4 3" xfId="32125"/>
    <cellStyle name="Output 24 4 3 2" xfId="32126"/>
    <cellStyle name="Output 24 4 4" xfId="32127"/>
    <cellStyle name="Output 24 4 4 2" xfId="32128"/>
    <cellStyle name="Output 24 4 5" xfId="32129"/>
    <cellStyle name="Output 24 4 6" xfId="32130"/>
    <cellStyle name="Output 24 4 7" xfId="32131"/>
    <cellStyle name="Output 24 4 8" xfId="32132"/>
    <cellStyle name="Output 24 4 9" xfId="32133"/>
    <cellStyle name="Output 24 5" xfId="6848"/>
    <cellStyle name="Output 24 5 10" xfId="32134"/>
    <cellStyle name="Output 24 5 2" xfId="6849"/>
    <cellStyle name="Output 24 5 2 2" xfId="32136"/>
    <cellStyle name="Output 24 5 2 3" xfId="32137"/>
    <cellStyle name="Output 24 5 2 4" xfId="32135"/>
    <cellStyle name="Output 24 5 3" xfId="32138"/>
    <cellStyle name="Output 24 5 3 2" xfId="32139"/>
    <cellStyle name="Output 24 5 4" xfId="32140"/>
    <cellStyle name="Output 24 5 4 2" xfId="32141"/>
    <cellStyle name="Output 24 5 5" xfId="32142"/>
    <cellStyle name="Output 24 5 6" xfId="32143"/>
    <cellStyle name="Output 24 5 7" xfId="32144"/>
    <cellStyle name="Output 24 5 8" xfId="32145"/>
    <cellStyle name="Output 24 5 9" xfId="32146"/>
    <cellStyle name="Output 24 6" xfId="6850"/>
    <cellStyle name="Output 24 6 2" xfId="32148"/>
    <cellStyle name="Output 24 6 2 2" xfId="32149"/>
    <cellStyle name="Output 24 6 3" xfId="32150"/>
    <cellStyle name="Output 24 6 3 2" xfId="32151"/>
    <cellStyle name="Output 24 6 4" xfId="32152"/>
    <cellStyle name="Output 24 6 5" xfId="32153"/>
    <cellStyle name="Output 24 6 6" xfId="32154"/>
    <cellStyle name="Output 24 6 7" xfId="32147"/>
    <cellStyle name="Output 24 7" xfId="6851"/>
    <cellStyle name="Output 24 7 2" xfId="32156"/>
    <cellStyle name="Output 24 7 3" xfId="32155"/>
    <cellStyle name="Output 24 8" xfId="8405"/>
    <cellStyle name="Output 24 9" xfId="32157"/>
    <cellStyle name="Output 25" xfId="2831"/>
    <cellStyle name="Output 25 10" xfId="32158"/>
    <cellStyle name="Output 25 11" xfId="32159"/>
    <cellStyle name="Output 25 2" xfId="6852"/>
    <cellStyle name="Output 25 2 2" xfId="32161"/>
    <cellStyle name="Output 25 2 2 2" xfId="32162"/>
    <cellStyle name="Output 25 2 2 2 2" xfId="32163"/>
    <cellStyle name="Output 25 2 2 2 3" xfId="32164"/>
    <cellStyle name="Output 25 2 2 3" xfId="32165"/>
    <cellStyle name="Output 25 2 2 3 2" xfId="32166"/>
    <cellStyle name="Output 25 2 2 4" xfId="32167"/>
    <cellStyle name="Output 25 2 2 4 2" xfId="32168"/>
    <cellStyle name="Output 25 2 2 5" xfId="32169"/>
    <cellStyle name="Output 25 2 2 6" xfId="32170"/>
    <cellStyle name="Output 25 2 2 7" xfId="32171"/>
    <cellStyle name="Output 25 2 2 8" xfId="32172"/>
    <cellStyle name="Output 25 2 2 9" xfId="32173"/>
    <cellStyle name="Output 25 2 3" xfId="32174"/>
    <cellStyle name="Output 25 2 3 2" xfId="32175"/>
    <cellStyle name="Output 25 2 3 2 2" xfId="32176"/>
    <cellStyle name="Output 25 2 3 2 3" xfId="32177"/>
    <cellStyle name="Output 25 2 3 3" xfId="32178"/>
    <cellStyle name="Output 25 2 3 3 2" xfId="32179"/>
    <cellStyle name="Output 25 2 3 4" xfId="32180"/>
    <cellStyle name="Output 25 2 3 5" xfId="32181"/>
    <cellStyle name="Output 25 2 3 6" xfId="32182"/>
    <cellStyle name="Output 25 2 4" xfId="32183"/>
    <cellStyle name="Output 25 2 4 2" xfId="32184"/>
    <cellStyle name="Output 25 2 4 3" xfId="32185"/>
    <cellStyle name="Output 25 2 5" xfId="32186"/>
    <cellStyle name="Output 25 2 6" xfId="32187"/>
    <cellStyle name="Output 25 2 7" xfId="32188"/>
    <cellStyle name="Output 25 2 8" xfId="32189"/>
    <cellStyle name="Output 25 2 9" xfId="32160"/>
    <cellStyle name="Output 25 3" xfId="6853"/>
    <cellStyle name="Output 25 3 2" xfId="32191"/>
    <cellStyle name="Output 25 3 2 2" xfId="32192"/>
    <cellStyle name="Output 25 3 2 2 2" xfId="32193"/>
    <cellStyle name="Output 25 3 2 3" xfId="32194"/>
    <cellStyle name="Output 25 3 2 3 2" xfId="32195"/>
    <cellStyle name="Output 25 3 2 4" xfId="32196"/>
    <cellStyle name="Output 25 3 2 4 2" xfId="32197"/>
    <cellStyle name="Output 25 3 2 5" xfId="32198"/>
    <cellStyle name="Output 25 3 2 6" xfId="32199"/>
    <cellStyle name="Output 25 3 2 7" xfId="32200"/>
    <cellStyle name="Output 25 3 2 8" xfId="32201"/>
    <cellStyle name="Output 25 3 2 9" xfId="32202"/>
    <cellStyle name="Output 25 3 3" xfId="32203"/>
    <cellStyle name="Output 25 3 3 2" xfId="32204"/>
    <cellStyle name="Output 25 3 3 2 2" xfId="32205"/>
    <cellStyle name="Output 25 3 3 3" xfId="32206"/>
    <cellStyle name="Output 25 3 3 3 2" xfId="32207"/>
    <cellStyle name="Output 25 3 3 4" xfId="32208"/>
    <cellStyle name="Output 25 3 3 5" xfId="32209"/>
    <cellStyle name="Output 25 3 3 6" xfId="32210"/>
    <cellStyle name="Output 25 3 4" xfId="32211"/>
    <cellStyle name="Output 25 3 4 2" xfId="32212"/>
    <cellStyle name="Output 25 3 5" xfId="32213"/>
    <cellStyle name="Output 25 3 6" xfId="32214"/>
    <cellStyle name="Output 25 3 7" xfId="32215"/>
    <cellStyle name="Output 25 3 8" xfId="32216"/>
    <cellStyle name="Output 25 3 9" xfId="32190"/>
    <cellStyle name="Output 25 4" xfId="6854"/>
    <cellStyle name="Output 25 4 10" xfId="32217"/>
    <cellStyle name="Output 25 4 2" xfId="6855"/>
    <cellStyle name="Output 25 4 2 2" xfId="32219"/>
    <cellStyle name="Output 25 4 2 3" xfId="32220"/>
    <cellStyle name="Output 25 4 2 4" xfId="32218"/>
    <cellStyle name="Output 25 4 3" xfId="32221"/>
    <cellStyle name="Output 25 4 3 2" xfId="32222"/>
    <cellStyle name="Output 25 4 4" xfId="32223"/>
    <cellStyle name="Output 25 4 4 2" xfId="32224"/>
    <cellStyle name="Output 25 4 5" xfId="32225"/>
    <cellStyle name="Output 25 4 6" xfId="32226"/>
    <cellStyle name="Output 25 4 7" xfId="32227"/>
    <cellStyle name="Output 25 4 8" xfId="32228"/>
    <cellStyle name="Output 25 4 9" xfId="32229"/>
    <cellStyle name="Output 25 5" xfId="6856"/>
    <cellStyle name="Output 25 5 10" xfId="32230"/>
    <cellStyle name="Output 25 5 2" xfId="6857"/>
    <cellStyle name="Output 25 5 2 2" xfId="32232"/>
    <cellStyle name="Output 25 5 2 3" xfId="32233"/>
    <cellStyle name="Output 25 5 2 4" xfId="32231"/>
    <cellStyle name="Output 25 5 3" xfId="32234"/>
    <cellStyle name="Output 25 5 3 2" xfId="32235"/>
    <cellStyle name="Output 25 5 4" xfId="32236"/>
    <cellStyle name="Output 25 5 4 2" xfId="32237"/>
    <cellStyle name="Output 25 5 5" xfId="32238"/>
    <cellStyle name="Output 25 5 6" xfId="32239"/>
    <cellStyle name="Output 25 5 7" xfId="32240"/>
    <cellStyle name="Output 25 5 8" xfId="32241"/>
    <cellStyle name="Output 25 5 9" xfId="32242"/>
    <cellStyle name="Output 25 6" xfId="6858"/>
    <cellStyle name="Output 25 6 2" xfId="32244"/>
    <cellStyle name="Output 25 6 2 2" xfId="32245"/>
    <cellStyle name="Output 25 6 3" xfId="32246"/>
    <cellStyle name="Output 25 6 3 2" xfId="32247"/>
    <cellStyle name="Output 25 6 4" xfId="32248"/>
    <cellStyle name="Output 25 6 5" xfId="32249"/>
    <cellStyle name="Output 25 6 6" xfId="32250"/>
    <cellStyle name="Output 25 6 7" xfId="32243"/>
    <cellStyle name="Output 25 7" xfId="6859"/>
    <cellStyle name="Output 25 7 2" xfId="32252"/>
    <cellStyle name="Output 25 7 3" xfId="32251"/>
    <cellStyle name="Output 25 8" xfId="8406"/>
    <cellStyle name="Output 25 9" xfId="32253"/>
    <cellStyle name="Output 26" xfId="2832"/>
    <cellStyle name="Output 26 10" xfId="32254"/>
    <cellStyle name="Output 26 11" xfId="32255"/>
    <cellStyle name="Output 26 2" xfId="6860"/>
    <cellStyle name="Output 26 2 2" xfId="32257"/>
    <cellStyle name="Output 26 2 2 2" xfId="32258"/>
    <cellStyle name="Output 26 2 2 2 2" xfId="32259"/>
    <cellStyle name="Output 26 2 2 2 3" xfId="32260"/>
    <cellStyle name="Output 26 2 2 3" xfId="32261"/>
    <cellStyle name="Output 26 2 2 3 2" xfId="32262"/>
    <cellStyle name="Output 26 2 2 4" xfId="32263"/>
    <cellStyle name="Output 26 2 2 4 2" xfId="32264"/>
    <cellStyle name="Output 26 2 2 5" xfId="32265"/>
    <cellStyle name="Output 26 2 2 6" xfId="32266"/>
    <cellStyle name="Output 26 2 2 7" xfId="32267"/>
    <cellStyle name="Output 26 2 2 8" xfId="32268"/>
    <cellStyle name="Output 26 2 2 9" xfId="32269"/>
    <cellStyle name="Output 26 2 3" xfId="32270"/>
    <cellStyle name="Output 26 2 3 2" xfId="32271"/>
    <cellStyle name="Output 26 2 3 2 2" xfId="32272"/>
    <cellStyle name="Output 26 2 3 2 3" xfId="32273"/>
    <cellStyle name="Output 26 2 3 3" xfId="32274"/>
    <cellStyle name="Output 26 2 3 3 2" xfId="32275"/>
    <cellStyle name="Output 26 2 3 4" xfId="32276"/>
    <cellStyle name="Output 26 2 3 5" xfId="32277"/>
    <cellStyle name="Output 26 2 3 6" xfId="32278"/>
    <cellStyle name="Output 26 2 4" xfId="32279"/>
    <cellStyle name="Output 26 2 4 2" xfId="32280"/>
    <cellStyle name="Output 26 2 4 3" xfId="32281"/>
    <cellStyle name="Output 26 2 5" xfId="32282"/>
    <cellStyle name="Output 26 2 6" xfId="32283"/>
    <cellStyle name="Output 26 2 7" xfId="32284"/>
    <cellStyle name="Output 26 2 8" xfId="32285"/>
    <cellStyle name="Output 26 2 9" xfId="32256"/>
    <cellStyle name="Output 26 3" xfId="6861"/>
    <cellStyle name="Output 26 3 2" xfId="32287"/>
    <cellStyle name="Output 26 3 2 2" xfId="32288"/>
    <cellStyle name="Output 26 3 2 2 2" xfId="32289"/>
    <cellStyle name="Output 26 3 2 3" xfId="32290"/>
    <cellStyle name="Output 26 3 2 3 2" xfId="32291"/>
    <cellStyle name="Output 26 3 2 4" xfId="32292"/>
    <cellStyle name="Output 26 3 2 4 2" xfId="32293"/>
    <cellStyle name="Output 26 3 2 5" xfId="32294"/>
    <cellStyle name="Output 26 3 2 6" xfId="32295"/>
    <cellStyle name="Output 26 3 2 7" xfId="32296"/>
    <cellStyle name="Output 26 3 2 8" xfId="32297"/>
    <cellStyle name="Output 26 3 2 9" xfId="32298"/>
    <cellStyle name="Output 26 3 3" xfId="32299"/>
    <cellStyle name="Output 26 3 3 2" xfId="32300"/>
    <cellStyle name="Output 26 3 3 2 2" xfId="32301"/>
    <cellStyle name="Output 26 3 3 3" xfId="32302"/>
    <cellStyle name="Output 26 3 3 3 2" xfId="32303"/>
    <cellStyle name="Output 26 3 3 4" xfId="32304"/>
    <cellStyle name="Output 26 3 3 5" xfId="32305"/>
    <cellStyle name="Output 26 3 3 6" xfId="32306"/>
    <cellStyle name="Output 26 3 4" xfId="32307"/>
    <cellStyle name="Output 26 3 4 2" xfId="32308"/>
    <cellStyle name="Output 26 3 5" xfId="32309"/>
    <cellStyle name="Output 26 3 6" xfId="32310"/>
    <cellStyle name="Output 26 3 7" xfId="32311"/>
    <cellStyle name="Output 26 3 8" xfId="32312"/>
    <cellStyle name="Output 26 3 9" xfId="32286"/>
    <cellStyle name="Output 26 4" xfId="6862"/>
    <cellStyle name="Output 26 4 10" xfId="32313"/>
    <cellStyle name="Output 26 4 2" xfId="6863"/>
    <cellStyle name="Output 26 4 2 2" xfId="32315"/>
    <cellStyle name="Output 26 4 2 3" xfId="32316"/>
    <cellStyle name="Output 26 4 2 4" xfId="32314"/>
    <cellStyle name="Output 26 4 3" xfId="32317"/>
    <cellStyle name="Output 26 4 3 2" xfId="32318"/>
    <cellStyle name="Output 26 4 4" xfId="32319"/>
    <cellStyle name="Output 26 4 4 2" xfId="32320"/>
    <cellStyle name="Output 26 4 5" xfId="32321"/>
    <cellStyle name="Output 26 4 6" xfId="32322"/>
    <cellStyle name="Output 26 4 7" xfId="32323"/>
    <cellStyle name="Output 26 4 8" xfId="32324"/>
    <cellStyle name="Output 26 4 9" xfId="32325"/>
    <cellStyle name="Output 26 5" xfId="6864"/>
    <cellStyle name="Output 26 5 10" xfId="32326"/>
    <cellStyle name="Output 26 5 2" xfId="6865"/>
    <cellStyle name="Output 26 5 2 2" xfId="32328"/>
    <cellStyle name="Output 26 5 2 3" xfId="32329"/>
    <cellStyle name="Output 26 5 2 4" xfId="32327"/>
    <cellStyle name="Output 26 5 3" xfId="32330"/>
    <cellStyle name="Output 26 5 3 2" xfId="32331"/>
    <cellStyle name="Output 26 5 4" xfId="32332"/>
    <cellStyle name="Output 26 5 4 2" xfId="32333"/>
    <cellStyle name="Output 26 5 5" xfId="32334"/>
    <cellStyle name="Output 26 5 6" xfId="32335"/>
    <cellStyle name="Output 26 5 7" xfId="32336"/>
    <cellStyle name="Output 26 5 8" xfId="32337"/>
    <cellStyle name="Output 26 5 9" xfId="32338"/>
    <cellStyle name="Output 26 6" xfId="6866"/>
    <cellStyle name="Output 26 6 2" xfId="32340"/>
    <cellStyle name="Output 26 6 2 2" xfId="32341"/>
    <cellStyle name="Output 26 6 3" xfId="32342"/>
    <cellStyle name="Output 26 6 3 2" xfId="32343"/>
    <cellStyle name="Output 26 6 4" xfId="32344"/>
    <cellStyle name="Output 26 6 5" xfId="32345"/>
    <cellStyle name="Output 26 6 6" xfId="32346"/>
    <cellStyle name="Output 26 6 7" xfId="32339"/>
    <cellStyle name="Output 26 7" xfId="6867"/>
    <cellStyle name="Output 26 7 2" xfId="32348"/>
    <cellStyle name="Output 26 7 3" xfId="32347"/>
    <cellStyle name="Output 26 8" xfId="8407"/>
    <cellStyle name="Output 26 9" xfId="32349"/>
    <cellStyle name="Output 27" xfId="2833"/>
    <cellStyle name="Output 27 10" xfId="32350"/>
    <cellStyle name="Output 27 11" xfId="32351"/>
    <cellStyle name="Output 27 2" xfId="6868"/>
    <cellStyle name="Output 27 2 2" xfId="32353"/>
    <cellStyle name="Output 27 2 2 2" xfId="32354"/>
    <cellStyle name="Output 27 2 2 2 2" xfId="32355"/>
    <cellStyle name="Output 27 2 2 2 3" xfId="32356"/>
    <cellStyle name="Output 27 2 2 3" xfId="32357"/>
    <cellStyle name="Output 27 2 2 3 2" xfId="32358"/>
    <cellStyle name="Output 27 2 2 4" xfId="32359"/>
    <cellStyle name="Output 27 2 2 4 2" xfId="32360"/>
    <cellStyle name="Output 27 2 2 5" xfId="32361"/>
    <cellStyle name="Output 27 2 2 6" xfId="32362"/>
    <cellStyle name="Output 27 2 2 7" xfId="32363"/>
    <cellStyle name="Output 27 2 2 8" xfId="32364"/>
    <cellStyle name="Output 27 2 2 9" xfId="32365"/>
    <cellStyle name="Output 27 2 3" xfId="32366"/>
    <cellStyle name="Output 27 2 3 2" xfId="32367"/>
    <cellStyle name="Output 27 2 3 2 2" xfId="32368"/>
    <cellStyle name="Output 27 2 3 2 3" xfId="32369"/>
    <cellStyle name="Output 27 2 3 3" xfId="32370"/>
    <cellStyle name="Output 27 2 3 3 2" xfId="32371"/>
    <cellStyle name="Output 27 2 3 4" xfId="32372"/>
    <cellStyle name="Output 27 2 3 5" xfId="32373"/>
    <cellStyle name="Output 27 2 3 6" xfId="32374"/>
    <cellStyle name="Output 27 2 4" xfId="32375"/>
    <cellStyle name="Output 27 2 4 2" xfId="32376"/>
    <cellStyle name="Output 27 2 4 3" xfId="32377"/>
    <cellStyle name="Output 27 2 5" xfId="32378"/>
    <cellStyle name="Output 27 2 6" xfId="32379"/>
    <cellStyle name="Output 27 2 7" xfId="32380"/>
    <cellStyle name="Output 27 2 8" xfId="32381"/>
    <cellStyle name="Output 27 2 9" xfId="32352"/>
    <cellStyle name="Output 27 3" xfId="6869"/>
    <cellStyle name="Output 27 3 2" xfId="32383"/>
    <cellStyle name="Output 27 3 2 2" xfId="32384"/>
    <cellStyle name="Output 27 3 2 2 2" xfId="32385"/>
    <cellStyle name="Output 27 3 2 3" xfId="32386"/>
    <cellStyle name="Output 27 3 2 3 2" xfId="32387"/>
    <cellStyle name="Output 27 3 2 4" xfId="32388"/>
    <cellStyle name="Output 27 3 2 4 2" xfId="32389"/>
    <cellStyle name="Output 27 3 2 5" xfId="32390"/>
    <cellStyle name="Output 27 3 2 6" xfId="32391"/>
    <cellStyle name="Output 27 3 2 7" xfId="32392"/>
    <cellStyle name="Output 27 3 2 8" xfId="32393"/>
    <cellStyle name="Output 27 3 2 9" xfId="32394"/>
    <cellStyle name="Output 27 3 3" xfId="32395"/>
    <cellStyle name="Output 27 3 3 2" xfId="32396"/>
    <cellStyle name="Output 27 3 3 2 2" xfId="32397"/>
    <cellStyle name="Output 27 3 3 3" xfId="32398"/>
    <cellStyle name="Output 27 3 3 3 2" xfId="32399"/>
    <cellStyle name="Output 27 3 3 4" xfId="32400"/>
    <cellStyle name="Output 27 3 3 5" xfId="32401"/>
    <cellStyle name="Output 27 3 3 6" xfId="32402"/>
    <cellStyle name="Output 27 3 4" xfId="32403"/>
    <cellStyle name="Output 27 3 4 2" xfId="32404"/>
    <cellStyle name="Output 27 3 5" xfId="32405"/>
    <cellStyle name="Output 27 3 6" xfId="32406"/>
    <cellStyle name="Output 27 3 7" xfId="32407"/>
    <cellStyle name="Output 27 3 8" xfId="32408"/>
    <cellStyle name="Output 27 3 9" xfId="32382"/>
    <cellStyle name="Output 27 4" xfId="6870"/>
    <cellStyle name="Output 27 4 10" xfId="32409"/>
    <cellStyle name="Output 27 4 2" xfId="6871"/>
    <cellStyle name="Output 27 4 2 2" xfId="32411"/>
    <cellStyle name="Output 27 4 2 3" xfId="32412"/>
    <cellStyle name="Output 27 4 2 4" xfId="32410"/>
    <cellStyle name="Output 27 4 3" xfId="32413"/>
    <cellStyle name="Output 27 4 3 2" xfId="32414"/>
    <cellStyle name="Output 27 4 4" xfId="32415"/>
    <cellStyle name="Output 27 4 4 2" xfId="32416"/>
    <cellStyle name="Output 27 4 5" xfId="32417"/>
    <cellStyle name="Output 27 4 6" xfId="32418"/>
    <cellStyle name="Output 27 4 7" xfId="32419"/>
    <cellStyle name="Output 27 4 8" xfId="32420"/>
    <cellStyle name="Output 27 4 9" xfId="32421"/>
    <cellStyle name="Output 27 5" xfId="6872"/>
    <cellStyle name="Output 27 5 10" xfId="32422"/>
    <cellStyle name="Output 27 5 2" xfId="6873"/>
    <cellStyle name="Output 27 5 2 2" xfId="32424"/>
    <cellStyle name="Output 27 5 2 3" xfId="32425"/>
    <cellStyle name="Output 27 5 2 4" xfId="32423"/>
    <cellStyle name="Output 27 5 3" xfId="32426"/>
    <cellStyle name="Output 27 5 3 2" xfId="32427"/>
    <cellStyle name="Output 27 5 4" xfId="32428"/>
    <cellStyle name="Output 27 5 4 2" xfId="32429"/>
    <cellStyle name="Output 27 5 5" xfId="32430"/>
    <cellStyle name="Output 27 5 6" xfId="32431"/>
    <cellStyle name="Output 27 5 7" xfId="32432"/>
    <cellStyle name="Output 27 5 8" xfId="32433"/>
    <cellStyle name="Output 27 5 9" xfId="32434"/>
    <cellStyle name="Output 27 6" xfId="6874"/>
    <cellStyle name="Output 27 6 2" xfId="32436"/>
    <cellStyle name="Output 27 6 2 2" xfId="32437"/>
    <cellStyle name="Output 27 6 3" xfId="32438"/>
    <cellStyle name="Output 27 6 3 2" xfId="32439"/>
    <cellStyle name="Output 27 6 4" xfId="32440"/>
    <cellStyle name="Output 27 6 5" xfId="32441"/>
    <cellStyle name="Output 27 6 6" xfId="32442"/>
    <cellStyle name="Output 27 6 7" xfId="32435"/>
    <cellStyle name="Output 27 7" xfId="6875"/>
    <cellStyle name="Output 27 7 2" xfId="32444"/>
    <cellStyle name="Output 27 7 3" xfId="32443"/>
    <cellStyle name="Output 27 8" xfId="8408"/>
    <cellStyle name="Output 27 9" xfId="32445"/>
    <cellStyle name="Output 28" xfId="2834"/>
    <cellStyle name="Output 28 10" xfId="32446"/>
    <cellStyle name="Output 28 11" xfId="32447"/>
    <cellStyle name="Output 28 2" xfId="6876"/>
    <cellStyle name="Output 28 2 2" xfId="32449"/>
    <cellStyle name="Output 28 2 2 2" xfId="32450"/>
    <cellStyle name="Output 28 2 2 2 2" xfId="32451"/>
    <cellStyle name="Output 28 2 2 2 3" xfId="32452"/>
    <cellStyle name="Output 28 2 2 3" xfId="32453"/>
    <cellStyle name="Output 28 2 2 3 2" xfId="32454"/>
    <cellStyle name="Output 28 2 2 4" xfId="32455"/>
    <cellStyle name="Output 28 2 2 4 2" xfId="32456"/>
    <cellStyle name="Output 28 2 2 5" xfId="32457"/>
    <cellStyle name="Output 28 2 2 6" xfId="32458"/>
    <cellStyle name="Output 28 2 2 7" xfId="32459"/>
    <cellStyle name="Output 28 2 2 8" xfId="32460"/>
    <cellStyle name="Output 28 2 2 9" xfId="32461"/>
    <cellStyle name="Output 28 2 3" xfId="32462"/>
    <cellStyle name="Output 28 2 3 2" xfId="32463"/>
    <cellStyle name="Output 28 2 3 2 2" xfId="32464"/>
    <cellStyle name="Output 28 2 3 2 3" xfId="32465"/>
    <cellStyle name="Output 28 2 3 3" xfId="32466"/>
    <cellStyle name="Output 28 2 3 3 2" xfId="32467"/>
    <cellStyle name="Output 28 2 3 4" xfId="32468"/>
    <cellStyle name="Output 28 2 3 5" xfId="32469"/>
    <cellStyle name="Output 28 2 3 6" xfId="32470"/>
    <cellStyle name="Output 28 2 4" xfId="32471"/>
    <cellStyle name="Output 28 2 4 2" xfId="32472"/>
    <cellStyle name="Output 28 2 4 3" xfId="32473"/>
    <cellStyle name="Output 28 2 5" xfId="32474"/>
    <cellStyle name="Output 28 2 6" xfId="32475"/>
    <cellStyle name="Output 28 2 7" xfId="32476"/>
    <cellStyle name="Output 28 2 8" xfId="32477"/>
    <cellStyle name="Output 28 2 9" xfId="32448"/>
    <cellStyle name="Output 28 3" xfId="6877"/>
    <cellStyle name="Output 28 3 2" xfId="32479"/>
    <cellStyle name="Output 28 3 2 2" xfId="32480"/>
    <cellStyle name="Output 28 3 2 2 2" xfId="32481"/>
    <cellStyle name="Output 28 3 2 3" xfId="32482"/>
    <cellStyle name="Output 28 3 2 3 2" xfId="32483"/>
    <cellStyle name="Output 28 3 2 4" xfId="32484"/>
    <cellStyle name="Output 28 3 2 4 2" xfId="32485"/>
    <cellStyle name="Output 28 3 2 5" xfId="32486"/>
    <cellStyle name="Output 28 3 2 6" xfId="32487"/>
    <cellStyle name="Output 28 3 2 7" xfId="32488"/>
    <cellStyle name="Output 28 3 2 8" xfId="32489"/>
    <cellStyle name="Output 28 3 2 9" xfId="32490"/>
    <cellStyle name="Output 28 3 3" xfId="32491"/>
    <cellStyle name="Output 28 3 3 2" xfId="32492"/>
    <cellStyle name="Output 28 3 3 2 2" xfId="32493"/>
    <cellStyle name="Output 28 3 3 3" xfId="32494"/>
    <cellStyle name="Output 28 3 3 3 2" xfId="32495"/>
    <cellStyle name="Output 28 3 3 4" xfId="32496"/>
    <cellStyle name="Output 28 3 3 5" xfId="32497"/>
    <cellStyle name="Output 28 3 3 6" xfId="32498"/>
    <cellStyle name="Output 28 3 4" xfId="32499"/>
    <cellStyle name="Output 28 3 4 2" xfId="32500"/>
    <cellStyle name="Output 28 3 5" xfId="32501"/>
    <cellStyle name="Output 28 3 6" xfId="32502"/>
    <cellStyle name="Output 28 3 7" xfId="32503"/>
    <cellStyle name="Output 28 3 8" xfId="32504"/>
    <cellStyle name="Output 28 3 9" xfId="32478"/>
    <cellStyle name="Output 28 4" xfId="6878"/>
    <cellStyle name="Output 28 4 10" xfId="32505"/>
    <cellStyle name="Output 28 4 2" xfId="6879"/>
    <cellStyle name="Output 28 4 2 2" xfId="32507"/>
    <cellStyle name="Output 28 4 2 3" xfId="32508"/>
    <cellStyle name="Output 28 4 2 4" xfId="32506"/>
    <cellStyle name="Output 28 4 3" xfId="32509"/>
    <cellStyle name="Output 28 4 3 2" xfId="32510"/>
    <cellStyle name="Output 28 4 4" xfId="32511"/>
    <cellStyle name="Output 28 4 4 2" xfId="32512"/>
    <cellStyle name="Output 28 4 5" xfId="32513"/>
    <cellStyle name="Output 28 4 6" xfId="32514"/>
    <cellStyle name="Output 28 4 7" xfId="32515"/>
    <cellStyle name="Output 28 4 8" xfId="32516"/>
    <cellStyle name="Output 28 4 9" xfId="32517"/>
    <cellStyle name="Output 28 5" xfId="6880"/>
    <cellStyle name="Output 28 5 10" xfId="32518"/>
    <cellStyle name="Output 28 5 2" xfId="6881"/>
    <cellStyle name="Output 28 5 2 2" xfId="32520"/>
    <cellStyle name="Output 28 5 2 3" xfId="32521"/>
    <cellStyle name="Output 28 5 2 4" xfId="32519"/>
    <cellStyle name="Output 28 5 3" xfId="32522"/>
    <cellStyle name="Output 28 5 3 2" xfId="32523"/>
    <cellStyle name="Output 28 5 4" xfId="32524"/>
    <cellStyle name="Output 28 5 4 2" xfId="32525"/>
    <cellStyle name="Output 28 5 5" xfId="32526"/>
    <cellStyle name="Output 28 5 6" xfId="32527"/>
    <cellStyle name="Output 28 5 7" xfId="32528"/>
    <cellStyle name="Output 28 5 8" xfId="32529"/>
    <cellStyle name="Output 28 5 9" xfId="32530"/>
    <cellStyle name="Output 28 6" xfId="6882"/>
    <cellStyle name="Output 28 6 2" xfId="32532"/>
    <cellStyle name="Output 28 6 2 2" xfId="32533"/>
    <cellStyle name="Output 28 6 3" xfId="32534"/>
    <cellStyle name="Output 28 6 3 2" xfId="32535"/>
    <cellStyle name="Output 28 6 4" xfId="32536"/>
    <cellStyle name="Output 28 6 5" xfId="32537"/>
    <cellStyle name="Output 28 6 6" xfId="32538"/>
    <cellStyle name="Output 28 6 7" xfId="32531"/>
    <cellStyle name="Output 28 7" xfId="6883"/>
    <cellStyle name="Output 28 7 2" xfId="32540"/>
    <cellStyle name="Output 28 7 3" xfId="32539"/>
    <cellStyle name="Output 28 8" xfId="8409"/>
    <cellStyle name="Output 28 9" xfId="32541"/>
    <cellStyle name="Output 29" xfId="2835"/>
    <cellStyle name="Output 29 10" xfId="32542"/>
    <cellStyle name="Output 29 11" xfId="32543"/>
    <cellStyle name="Output 29 2" xfId="6884"/>
    <cellStyle name="Output 29 2 2" xfId="32545"/>
    <cellStyle name="Output 29 2 2 2" xfId="32546"/>
    <cellStyle name="Output 29 2 2 2 2" xfId="32547"/>
    <cellStyle name="Output 29 2 2 2 3" xfId="32548"/>
    <cellStyle name="Output 29 2 2 3" xfId="32549"/>
    <cellStyle name="Output 29 2 2 3 2" xfId="32550"/>
    <cellStyle name="Output 29 2 2 4" xfId="32551"/>
    <cellStyle name="Output 29 2 2 4 2" xfId="32552"/>
    <cellStyle name="Output 29 2 2 5" xfId="32553"/>
    <cellStyle name="Output 29 2 2 6" xfId="32554"/>
    <cellStyle name="Output 29 2 2 7" xfId="32555"/>
    <cellStyle name="Output 29 2 2 8" xfId="32556"/>
    <cellStyle name="Output 29 2 2 9" xfId="32557"/>
    <cellStyle name="Output 29 2 3" xfId="32558"/>
    <cellStyle name="Output 29 2 3 2" xfId="32559"/>
    <cellStyle name="Output 29 2 3 2 2" xfId="32560"/>
    <cellStyle name="Output 29 2 3 2 3" xfId="32561"/>
    <cellStyle name="Output 29 2 3 3" xfId="32562"/>
    <cellStyle name="Output 29 2 3 3 2" xfId="32563"/>
    <cellStyle name="Output 29 2 3 4" xfId="32564"/>
    <cellStyle name="Output 29 2 3 5" xfId="32565"/>
    <cellStyle name="Output 29 2 3 6" xfId="32566"/>
    <cellStyle name="Output 29 2 4" xfId="32567"/>
    <cellStyle name="Output 29 2 4 2" xfId="32568"/>
    <cellStyle name="Output 29 2 4 3" xfId="32569"/>
    <cellStyle name="Output 29 2 5" xfId="32570"/>
    <cellStyle name="Output 29 2 6" xfId="32571"/>
    <cellStyle name="Output 29 2 7" xfId="32572"/>
    <cellStyle name="Output 29 2 8" xfId="32573"/>
    <cellStyle name="Output 29 2 9" xfId="32544"/>
    <cellStyle name="Output 29 3" xfId="6885"/>
    <cellStyle name="Output 29 3 2" xfId="32575"/>
    <cellStyle name="Output 29 3 2 2" xfId="32576"/>
    <cellStyle name="Output 29 3 2 2 2" xfId="32577"/>
    <cellStyle name="Output 29 3 2 3" xfId="32578"/>
    <cellStyle name="Output 29 3 2 3 2" xfId="32579"/>
    <cellStyle name="Output 29 3 2 4" xfId="32580"/>
    <cellStyle name="Output 29 3 2 4 2" xfId="32581"/>
    <cellStyle name="Output 29 3 2 5" xfId="32582"/>
    <cellStyle name="Output 29 3 2 6" xfId="32583"/>
    <cellStyle name="Output 29 3 2 7" xfId="32584"/>
    <cellStyle name="Output 29 3 2 8" xfId="32585"/>
    <cellStyle name="Output 29 3 2 9" xfId="32586"/>
    <cellStyle name="Output 29 3 3" xfId="32587"/>
    <cellStyle name="Output 29 3 3 2" xfId="32588"/>
    <cellStyle name="Output 29 3 3 2 2" xfId="32589"/>
    <cellStyle name="Output 29 3 3 3" xfId="32590"/>
    <cellStyle name="Output 29 3 3 3 2" xfId="32591"/>
    <cellStyle name="Output 29 3 3 4" xfId="32592"/>
    <cellStyle name="Output 29 3 3 5" xfId="32593"/>
    <cellStyle name="Output 29 3 3 6" xfId="32594"/>
    <cellStyle name="Output 29 3 4" xfId="32595"/>
    <cellStyle name="Output 29 3 4 2" xfId="32596"/>
    <cellStyle name="Output 29 3 5" xfId="32597"/>
    <cellStyle name="Output 29 3 6" xfId="32598"/>
    <cellStyle name="Output 29 3 7" xfId="32599"/>
    <cellStyle name="Output 29 3 8" xfId="32600"/>
    <cellStyle name="Output 29 3 9" xfId="32574"/>
    <cellStyle name="Output 29 4" xfId="6886"/>
    <cellStyle name="Output 29 4 10" xfId="32601"/>
    <cellStyle name="Output 29 4 2" xfId="6887"/>
    <cellStyle name="Output 29 4 2 2" xfId="32603"/>
    <cellStyle name="Output 29 4 2 3" xfId="32604"/>
    <cellStyle name="Output 29 4 2 4" xfId="32602"/>
    <cellStyle name="Output 29 4 3" xfId="32605"/>
    <cellStyle name="Output 29 4 3 2" xfId="32606"/>
    <cellStyle name="Output 29 4 4" xfId="32607"/>
    <cellStyle name="Output 29 4 4 2" xfId="32608"/>
    <cellStyle name="Output 29 4 5" xfId="32609"/>
    <cellStyle name="Output 29 4 6" xfId="32610"/>
    <cellStyle name="Output 29 4 7" xfId="32611"/>
    <cellStyle name="Output 29 4 8" xfId="32612"/>
    <cellStyle name="Output 29 4 9" xfId="32613"/>
    <cellStyle name="Output 29 5" xfId="6888"/>
    <cellStyle name="Output 29 5 10" xfId="32614"/>
    <cellStyle name="Output 29 5 2" xfId="6889"/>
    <cellStyle name="Output 29 5 2 2" xfId="32616"/>
    <cellStyle name="Output 29 5 2 3" xfId="32617"/>
    <cellStyle name="Output 29 5 2 4" xfId="32615"/>
    <cellStyle name="Output 29 5 3" xfId="32618"/>
    <cellStyle name="Output 29 5 3 2" xfId="32619"/>
    <cellStyle name="Output 29 5 4" xfId="32620"/>
    <cellStyle name="Output 29 5 4 2" xfId="32621"/>
    <cellStyle name="Output 29 5 5" xfId="32622"/>
    <cellStyle name="Output 29 5 6" xfId="32623"/>
    <cellStyle name="Output 29 5 7" xfId="32624"/>
    <cellStyle name="Output 29 5 8" xfId="32625"/>
    <cellStyle name="Output 29 5 9" xfId="32626"/>
    <cellStyle name="Output 29 6" xfId="6890"/>
    <cellStyle name="Output 29 6 2" xfId="32628"/>
    <cellStyle name="Output 29 6 2 2" xfId="32629"/>
    <cellStyle name="Output 29 6 3" xfId="32630"/>
    <cellStyle name="Output 29 6 3 2" xfId="32631"/>
    <cellStyle name="Output 29 6 4" xfId="32632"/>
    <cellStyle name="Output 29 6 5" xfId="32633"/>
    <cellStyle name="Output 29 6 6" xfId="32634"/>
    <cellStyle name="Output 29 6 7" xfId="32627"/>
    <cellStyle name="Output 29 7" xfId="6891"/>
    <cellStyle name="Output 29 7 2" xfId="32636"/>
    <cellStyle name="Output 29 7 3" xfId="32635"/>
    <cellStyle name="Output 29 8" xfId="8410"/>
    <cellStyle name="Output 29 9" xfId="32637"/>
    <cellStyle name="Output 3" xfId="1916"/>
    <cellStyle name="Output 3 10" xfId="32638"/>
    <cellStyle name="Output 3 11" xfId="32639"/>
    <cellStyle name="Output 3 12" xfId="41327"/>
    <cellStyle name="Output 3 2" xfId="1917"/>
    <cellStyle name="Output 3 2 2" xfId="1918"/>
    <cellStyle name="Output 3 2 2 2" xfId="8217"/>
    <cellStyle name="Output 3 2 2 2 2" xfId="32640"/>
    <cellStyle name="Output 3 2 2 2 3" xfId="32641"/>
    <cellStyle name="Output 3 2 2 3" xfId="32642"/>
    <cellStyle name="Output 3 2 2 3 2" xfId="32643"/>
    <cellStyle name="Output 3 2 2 4" xfId="32644"/>
    <cellStyle name="Output 3 2 2 4 2" xfId="32645"/>
    <cellStyle name="Output 3 2 2 5" xfId="32646"/>
    <cellStyle name="Output 3 2 2 6" xfId="32647"/>
    <cellStyle name="Output 3 2 2 7" xfId="32648"/>
    <cellStyle name="Output 3 2 2 8" xfId="32649"/>
    <cellStyle name="Output 3 2 2 9" xfId="32650"/>
    <cellStyle name="Output 3 2 3" xfId="6892"/>
    <cellStyle name="Output 3 2 3 2" xfId="32652"/>
    <cellStyle name="Output 3 2 3 2 2" xfId="32653"/>
    <cellStyle name="Output 3 2 3 2 3" xfId="32654"/>
    <cellStyle name="Output 3 2 3 3" xfId="32655"/>
    <cellStyle name="Output 3 2 3 3 2" xfId="32656"/>
    <cellStyle name="Output 3 2 3 4" xfId="32657"/>
    <cellStyle name="Output 3 2 3 5" xfId="32658"/>
    <cellStyle name="Output 3 2 3 6" xfId="32659"/>
    <cellStyle name="Output 3 2 3 7" xfId="32651"/>
    <cellStyle name="Output 3 2 4" xfId="6893"/>
    <cellStyle name="Output 3 2 4 2" xfId="6894"/>
    <cellStyle name="Output 3 2 4 2 2" xfId="32661"/>
    <cellStyle name="Output 3 2 4 3" xfId="32662"/>
    <cellStyle name="Output 3 2 4 4" xfId="32660"/>
    <cellStyle name="Output 3 2 5" xfId="6895"/>
    <cellStyle name="Output 3 2 5 2" xfId="6896"/>
    <cellStyle name="Output 3 2 5 3" xfId="32663"/>
    <cellStyle name="Output 3 2 6" xfId="6897"/>
    <cellStyle name="Output 3 2 6 2" xfId="32664"/>
    <cellStyle name="Output 3 2 7" xfId="6898"/>
    <cellStyle name="Output 3 2 7 2" xfId="32665"/>
    <cellStyle name="Output 3 2 8" xfId="8216"/>
    <cellStyle name="Output 3 3" xfId="1919"/>
    <cellStyle name="Output 3 3 2" xfId="1920"/>
    <cellStyle name="Output 3 3 2 2" xfId="8219"/>
    <cellStyle name="Output 3 3 2 2 2" xfId="32666"/>
    <cellStyle name="Output 3 3 2 3" xfId="32667"/>
    <cellStyle name="Output 3 3 2 3 2" xfId="32668"/>
    <cellStyle name="Output 3 3 2 4" xfId="32669"/>
    <cellStyle name="Output 3 3 2 4 2" xfId="32670"/>
    <cellStyle name="Output 3 3 2 5" xfId="32671"/>
    <cellStyle name="Output 3 3 2 6" xfId="32672"/>
    <cellStyle name="Output 3 3 2 7" xfId="32673"/>
    <cellStyle name="Output 3 3 2 8" xfId="32674"/>
    <cellStyle name="Output 3 3 2 9" xfId="32675"/>
    <cellStyle name="Output 3 3 3" xfId="8218"/>
    <cellStyle name="Output 3 3 3 2" xfId="32676"/>
    <cellStyle name="Output 3 3 3 2 2" xfId="32677"/>
    <cellStyle name="Output 3 3 3 3" xfId="32678"/>
    <cellStyle name="Output 3 3 3 3 2" xfId="32679"/>
    <cellStyle name="Output 3 3 3 4" xfId="32680"/>
    <cellStyle name="Output 3 3 3 5" xfId="32681"/>
    <cellStyle name="Output 3 3 3 6" xfId="32682"/>
    <cellStyle name="Output 3 3 4" xfId="32683"/>
    <cellStyle name="Output 3 3 4 2" xfId="32684"/>
    <cellStyle name="Output 3 3 5" xfId="32685"/>
    <cellStyle name="Output 3 3 6" xfId="32686"/>
    <cellStyle name="Output 3 3 7" xfId="32687"/>
    <cellStyle name="Output 3 3 8" xfId="32688"/>
    <cellStyle name="Output 3 4" xfId="1921"/>
    <cellStyle name="Output 3 4 2" xfId="8220"/>
    <cellStyle name="Output 3 4 2 2" xfId="32689"/>
    <cellStyle name="Output 3 4 2 3" xfId="32690"/>
    <cellStyle name="Output 3 4 3" xfId="32691"/>
    <cellStyle name="Output 3 4 3 2" xfId="32692"/>
    <cellStyle name="Output 3 4 4" xfId="32693"/>
    <cellStyle name="Output 3 4 4 2" xfId="32694"/>
    <cellStyle name="Output 3 4 5" xfId="32695"/>
    <cellStyle name="Output 3 4 6" xfId="32696"/>
    <cellStyle name="Output 3 4 7" xfId="32697"/>
    <cellStyle name="Output 3 4 8" xfId="32698"/>
    <cellStyle name="Output 3 4 9" xfId="32699"/>
    <cellStyle name="Output 3 5" xfId="6899"/>
    <cellStyle name="Output 3 5 10" xfId="32700"/>
    <cellStyle name="Output 3 5 2" xfId="6900"/>
    <cellStyle name="Output 3 5 2 2" xfId="32702"/>
    <cellStyle name="Output 3 5 2 3" xfId="32703"/>
    <cellStyle name="Output 3 5 2 4" xfId="32701"/>
    <cellStyle name="Output 3 5 3" xfId="32704"/>
    <cellStyle name="Output 3 5 3 2" xfId="32705"/>
    <cellStyle name="Output 3 5 4" xfId="32706"/>
    <cellStyle name="Output 3 5 4 2" xfId="32707"/>
    <cellStyle name="Output 3 5 5" xfId="32708"/>
    <cellStyle name="Output 3 5 6" xfId="32709"/>
    <cellStyle name="Output 3 5 7" xfId="32710"/>
    <cellStyle name="Output 3 5 8" xfId="32711"/>
    <cellStyle name="Output 3 5 9" xfId="32712"/>
    <cellStyle name="Output 3 6" xfId="6901"/>
    <cellStyle name="Output 3 6 2" xfId="6902"/>
    <cellStyle name="Output 3 6 2 2" xfId="32715"/>
    <cellStyle name="Output 3 6 2 3" xfId="32714"/>
    <cellStyle name="Output 3 6 3" xfId="32716"/>
    <cellStyle name="Output 3 6 3 2" xfId="32717"/>
    <cellStyle name="Output 3 6 4" xfId="32718"/>
    <cellStyle name="Output 3 6 5" xfId="32719"/>
    <cellStyle name="Output 3 6 6" xfId="32720"/>
    <cellStyle name="Output 3 6 7" xfId="32713"/>
    <cellStyle name="Output 3 7" xfId="6903"/>
    <cellStyle name="Output 3 7 2" xfId="32722"/>
    <cellStyle name="Output 3 7 3" xfId="32721"/>
    <cellStyle name="Output 3 8" xfId="6904"/>
    <cellStyle name="Output 3 8 2" xfId="32723"/>
    <cellStyle name="Output 3 9" xfId="8215"/>
    <cellStyle name="Output 30" xfId="2836"/>
    <cellStyle name="Output 30 10" xfId="32724"/>
    <cellStyle name="Output 30 11" xfId="32725"/>
    <cellStyle name="Output 30 2" xfId="6905"/>
    <cellStyle name="Output 30 2 2" xfId="32727"/>
    <cellStyle name="Output 30 2 2 2" xfId="32728"/>
    <cellStyle name="Output 30 2 2 2 2" xfId="32729"/>
    <cellStyle name="Output 30 2 2 2 3" xfId="32730"/>
    <cellStyle name="Output 30 2 2 3" xfId="32731"/>
    <cellStyle name="Output 30 2 2 3 2" xfId="32732"/>
    <cellStyle name="Output 30 2 2 4" xfId="32733"/>
    <cellStyle name="Output 30 2 2 4 2" xfId="32734"/>
    <cellStyle name="Output 30 2 2 5" xfId="32735"/>
    <cellStyle name="Output 30 2 2 6" xfId="32736"/>
    <cellStyle name="Output 30 2 2 7" xfId="32737"/>
    <cellStyle name="Output 30 2 2 8" xfId="32738"/>
    <cellStyle name="Output 30 2 2 9" xfId="32739"/>
    <cellStyle name="Output 30 2 3" xfId="32740"/>
    <cellStyle name="Output 30 2 3 2" xfId="32741"/>
    <cellStyle name="Output 30 2 3 2 2" xfId="32742"/>
    <cellStyle name="Output 30 2 3 2 3" xfId="32743"/>
    <cellStyle name="Output 30 2 3 3" xfId="32744"/>
    <cellStyle name="Output 30 2 3 3 2" xfId="32745"/>
    <cellStyle name="Output 30 2 3 4" xfId="32746"/>
    <cellStyle name="Output 30 2 3 5" xfId="32747"/>
    <cellStyle name="Output 30 2 3 6" xfId="32748"/>
    <cellStyle name="Output 30 2 4" xfId="32749"/>
    <cellStyle name="Output 30 2 4 2" xfId="32750"/>
    <cellStyle name="Output 30 2 4 3" xfId="32751"/>
    <cellStyle name="Output 30 2 5" xfId="32752"/>
    <cellStyle name="Output 30 2 6" xfId="32753"/>
    <cellStyle name="Output 30 2 7" xfId="32754"/>
    <cellStyle name="Output 30 2 8" xfId="32755"/>
    <cellStyle name="Output 30 2 9" xfId="32726"/>
    <cellStyle name="Output 30 3" xfId="6906"/>
    <cellStyle name="Output 30 3 2" xfId="32757"/>
    <cellStyle name="Output 30 3 2 2" xfId="32758"/>
    <cellStyle name="Output 30 3 2 2 2" xfId="32759"/>
    <cellStyle name="Output 30 3 2 3" xfId="32760"/>
    <cellStyle name="Output 30 3 2 3 2" xfId="32761"/>
    <cellStyle name="Output 30 3 2 4" xfId="32762"/>
    <cellStyle name="Output 30 3 2 4 2" xfId="32763"/>
    <cellStyle name="Output 30 3 2 5" xfId="32764"/>
    <cellStyle name="Output 30 3 2 6" xfId="32765"/>
    <cellStyle name="Output 30 3 2 7" xfId="32766"/>
    <cellStyle name="Output 30 3 2 8" xfId="32767"/>
    <cellStyle name="Output 30 3 2 9" xfId="32768"/>
    <cellStyle name="Output 30 3 3" xfId="32769"/>
    <cellStyle name="Output 30 3 3 2" xfId="32770"/>
    <cellStyle name="Output 30 3 3 2 2" xfId="32771"/>
    <cellStyle name="Output 30 3 3 3" xfId="32772"/>
    <cellStyle name="Output 30 3 3 3 2" xfId="32773"/>
    <cellStyle name="Output 30 3 3 4" xfId="32774"/>
    <cellStyle name="Output 30 3 3 5" xfId="32775"/>
    <cellStyle name="Output 30 3 3 6" xfId="32776"/>
    <cellStyle name="Output 30 3 4" xfId="32777"/>
    <cellStyle name="Output 30 3 4 2" xfId="32778"/>
    <cellStyle name="Output 30 3 5" xfId="32779"/>
    <cellStyle name="Output 30 3 6" xfId="32780"/>
    <cellStyle name="Output 30 3 7" xfId="32781"/>
    <cellStyle name="Output 30 3 8" xfId="32782"/>
    <cellStyle name="Output 30 3 9" xfId="32756"/>
    <cellStyle name="Output 30 4" xfId="6907"/>
    <cellStyle name="Output 30 4 10" xfId="32783"/>
    <cellStyle name="Output 30 4 2" xfId="6908"/>
    <cellStyle name="Output 30 4 2 2" xfId="32785"/>
    <cellStyle name="Output 30 4 2 3" xfId="32786"/>
    <cellStyle name="Output 30 4 2 4" xfId="32784"/>
    <cellStyle name="Output 30 4 3" xfId="32787"/>
    <cellStyle name="Output 30 4 3 2" xfId="32788"/>
    <cellStyle name="Output 30 4 4" xfId="32789"/>
    <cellStyle name="Output 30 4 4 2" xfId="32790"/>
    <cellStyle name="Output 30 4 5" xfId="32791"/>
    <cellStyle name="Output 30 4 6" xfId="32792"/>
    <cellStyle name="Output 30 4 7" xfId="32793"/>
    <cellStyle name="Output 30 4 8" xfId="32794"/>
    <cellStyle name="Output 30 4 9" xfId="32795"/>
    <cellStyle name="Output 30 5" xfId="6909"/>
    <cellStyle name="Output 30 5 10" xfId="32796"/>
    <cellStyle name="Output 30 5 2" xfId="6910"/>
    <cellStyle name="Output 30 5 2 2" xfId="32798"/>
    <cellStyle name="Output 30 5 2 3" xfId="32799"/>
    <cellStyle name="Output 30 5 2 4" xfId="32797"/>
    <cellStyle name="Output 30 5 3" xfId="32800"/>
    <cellStyle name="Output 30 5 3 2" xfId="32801"/>
    <cellStyle name="Output 30 5 4" xfId="32802"/>
    <cellStyle name="Output 30 5 4 2" xfId="32803"/>
    <cellStyle name="Output 30 5 5" xfId="32804"/>
    <cellStyle name="Output 30 5 6" xfId="32805"/>
    <cellStyle name="Output 30 5 7" xfId="32806"/>
    <cellStyle name="Output 30 5 8" xfId="32807"/>
    <cellStyle name="Output 30 5 9" xfId="32808"/>
    <cellStyle name="Output 30 6" xfId="6911"/>
    <cellStyle name="Output 30 6 2" xfId="32810"/>
    <cellStyle name="Output 30 6 2 2" xfId="32811"/>
    <cellStyle name="Output 30 6 3" xfId="32812"/>
    <cellStyle name="Output 30 6 3 2" xfId="32813"/>
    <cellStyle name="Output 30 6 4" xfId="32814"/>
    <cellStyle name="Output 30 6 5" xfId="32815"/>
    <cellStyle name="Output 30 6 6" xfId="32816"/>
    <cellStyle name="Output 30 6 7" xfId="32809"/>
    <cellStyle name="Output 30 7" xfId="6912"/>
    <cellStyle name="Output 30 7 2" xfId="32818"/>
    <cellStyle name="Output 30 7 3" xfId="32817"/>
    <cellStyle name="Output 30 8" xfId="8411"/>
    <cellStyle name="Output 30 9" xfId="32819"/>
    <cellStyle name="Output 31" xfId="2837"/>
    <cellStyle name="Output 31 10" xfId="32820"/>
    <cellStyle name="Output 31 11" xfId="32821"/>
    <cellStyle name="Output 31 2" xfId="6913"/>
    <cellStyle name="Output 31 2 2" xfId="32823"/>
    <cellStyle name="Output 31 2 2 2" xfId="32824"/>
    <cellStyle name="Output 31 2 2 2 2" xfId="32825"/>
    <cellStyle name="Output 31 2 2 2 3" xfId="32826"/>
    <cellStyle name="Output 31 2 2 3" xfId="32827"/>
    <cellStyle name="Output 31 2 2 3 2" xfId="32828"/>
    <cellStyle name="Output 31 2 2 4" xfId="32829"/>
    <cellStyle name="Output 31 2 2 4 2" xfId="32830"/>
    <cellStyle name="Output 31 2 2 5" xfId="32831"/>
    <cellStyle name="Output 31 2 2 6" xfId="32832"/>
    <cellStyle name="Output 31 2 2 7" xfId="32833"/>
    <cellStyle name="Output 31 2 2 8" xfId="32834"/>
    <cellStyle name="Output 31 2 2 9" xfId="32835"/>
    <cellStyle name="Output 31 2 3" xfId="32836"/>
    <cellStyle name="Output 31 2 3 2" xfId="32837"/>
    <cellStyle name="Output 31 2 3 2 2" xfId="32838"/>
    <cellStyle name="Output 31 2 3 2 3" xfId="32839"/>
    <cellStyle name="Output 31 2 3 3" xfId="32840"/>
    <cellStyle name="Output 31 2 3 3 2" xfId="32841"/>
    <cellStyle name="Output 31 2 3 4" xfId="32842"/>
    <cellStyle name="Output 31 2 3 5" xfId="32843"/>
    <cellStyle name="Output 31 2 3 6" xfId="32844"/>
    <cellStyle name="Output 31 2 4" xfId="32845"/>
    <cellStyle name="Output 31 2 4 2" xfId="32846"/>
    <cellStyle name="Output 31 2 4 3" xfId="32847"/>
    <cellStyle name="Output 31 2 5" xfId="32848"/>
    <cellStyle name="Output 31 2 6" xfId="32849"/>
    <cellStyle name="Output 31 2 7" xfId="32850"/>
    <cellStyle name="Output 31 2 8" xfId="32851"/>
    <cellStyle name="Output 31 2 9" xfId="32822"/>
    <cellStyle name="Output 31 3" xfId="6914"/>
    <cellStyle name="Output 31 3 2" xfId="32853"/>
    <cellStyle name="Output 31 3 2 2" xfId="32854"/>
    <cellStyle name="Output 31 3 2 2 2" xfId="32855"/>
    <cellStyle name="Output 31 3 2 3" xfId="32856"/>
    <cellStyle name="Output 31 3 2 3 2" xfId="32857"/>
    <cellStyle name="Output 31 3 2 4" xfId="32858"/>
    <cellStyle name="Output 31 3 2 4 2" xfId="32859"/>
    <cellStyle name="Output 31 3 2 5" xfId="32860"/>
    <cellStyle name="Output 31 3 2 6" xfId="32861"/>
    <cellStyle name="Output 31 3 2 7" xfId="32862"/>
    <cellStyle name="Output 31 3 2 8" xfId="32863"/>
    <cellStyle name="Output 31 3 2 9" xfId="32864"/>
    <cellStyle name="Output 31 3 3" xfId="32865"/>
    <cellStyle name="Output 31 3 3 2" xfId="32866"/>
    <cellStyle name="Output 31 3 3 2 2" xfId="32867"/>
    <cellStyle name="Output 31 3 3 3" xfId="32868"/>
    <cellStyle name="Output 31 3 3 3 2" xfId="32869"/>
    <cellStyle name="Output 31 3 3 4" xfId="32870"/>
    <cellStyle name="Output 31 3 3 5" xfId="32871"/>
    <cellStyle name="Output 31 3 3 6" xfId="32872"/>
    <cellStyle name="Output 31 3 4" xfId="32873"/>
    <cellStyle name="Output 31 3 4 2" xfId="32874"/>
    <cellStyle name="Output 31 3 5" xfId="32875"/>
    <cellStyle name="Output 31 3 6" xfId="32876"/>
    <cellStyle name="Output 31 3 7" xfId="32877"/>
    <cellStyle name="Output 31 3 8" xfId="32878"/>
    <cellStyle name="Output 31 3 9" xfId="32852"/>
    <cellStyle name="Output 31 4" xfId="6915"/>
    <cellStyle name="Output 31 4 10" xfId="32879"/>
    <cellStyle name="Output 31 4 2" xfId="6916"/>
    <cellStyle name="Output 31 4 2 2" xfId="32881"/>
    <cellStyle name="Output 31 4 2 3" xfId="32882"/>
    <cellStyle name="Output 31 4 2 4" xfId="32880"/>
    <cellStyle name="Output 31 4 3" xfId="32883"/>
    <cellStyle name="Output 31 4 3 2" xfId="32884"/>
    <cellStyle name="Output 31 4 4" xfId="32885"/>
    <cellStyle name="Output 31 4 4 2" xfId="32886"/>
    <cellStyle name="Output 31 4 5" xfId="32887"/>
    <cellStyle name="Output 31 4 6" xfId="32888"/>
    <cellStyle name="Output 31 4 7" xfId="32889"/>
    <cellStyle name="Output 31 4 8" xfId="32890"/>
    <cellStyle name="Output 31 4 9" xfId="32891"/>
    <cellStyle name="Output 31 5" xfId="6917"/>
    <cellStyle name="Output 31 5 10" xfId="32892"/>
    <cellStyle name="Output 31 5 2" xfId="6918"/>
    <cellStyle name="Output 31 5 2 2" xfId="32894"/>
    <cellStyle name="Output 31 5 2 3" xfId="32895"/>
    <cellStyle name="Output 31 5 2 4" xfId="32893"/>
    <cellStyle name="Output 31 5 3" xfId="32896"/>
    <cellStyle name="Output 31 5 3 2" xfId="32897"/>
    <cellStyle name="Output 31 5 4" xfId="32898"/>
    <cellStyle name="Output 31 5 4 2" xfId="32899"/>
    <cellStyle name="Output 31 5 5" xfId="32900"/>
    <cellStyle name="Output 31 5 6" xfId="32901"/>
    <cellStyle name="Output 31 5 7" xfId="32902"/>
    <cellStyle name="Output 31 5 8" xfId="32903"/>
    <cellStyle name="Output 31 5 9" xfId="32904"/>
    <cellStyle name="Output 31 6" xfId="6919"/>
    <cellStyle name="Output 31 6 2" xfId="32906"/>
    <cellStyle name="Output 31 6 2 2" xfId="32907"/>
    <cellStyle name="Output 31 6 3" xfId="32908"/>
    <cellStyle name="Output 31 6 3 2" xfId="32909"/>
    <cellStyle name="Output 31 6 4" xfId="32910"/>
    <cellStyle name="Output 31 6 5" xfId="32911"/>
    <cellStyle name="Output 31 6 6" xfId="32912"/>
    <cellStyle name="Output 31 6 7" xfId="32905"/>
    <cellStyle name="Output 31 7" xfId="6920"/>
    <cellStyle name="Output 31 7 2" xfId="32914"/>
    <cellStyle name="Output 31 7 3" xfId="32913"/>
    <cellStyle name="Output 31 8" xfId="8412"/>
    <cellStyle name="Output 31 9" xfId="32915"/>
    <cellStyle name="Output 32" xfId="2838"/>
    <cellStyle name="Output 32 10" xfId="32916"/>
    <cellStyle name="Output 32 11" xfId="32917"/>
    <cellStyle name="Output 32 2" xfId="6921"/>
    <cellStyle name="Output 32 2 2" xfId="32919"/>
    <cellStyle name="Output 32 2 2 2" xfId="32920"/>
    <cellStyle name="Output 32 2 2 2 2" xfId="32921"/>
    <cellStyle name="Output 32 2 2 2 3" xfId="32922"/>
    <cellStyle name="Output 32 2 2 3" xfId="32923"/>
    <cellStyle name="Output 32 2 2 3 2" xfId="32924"/>
    <cellStyle name="Output 32 2 2 4" xfId="32925"/>
    <cellStyle name="Output 32 2 2 4 2" xfId="32926"/>
    <cellStyle name="Output 32 2 2 5" xfId="32927"/>
    <cellStyle name="Output 32 2 2 6" xfId="32928"/>
    <cellStyle name="Output 32 2 2 7" xfId="32929"/>
    <cellStyle name="Output 32 2 2 8" xfId="32930"/>
    <cellStyle name="Output 32 2 2 9" xfId="32931"/>
    <cellStyle name="Output 32 2 3" xfId="32932"/>
    <cellStyle name="Output 32 2 3 2" xfId="32933"/>
    <cellStyle name="Output 32 2 3 2 2" xfId="32934"/>
    <cellStyle name="Output 32 2 3 2 3" xfId="32935"/>
    <cellStyle name="Output 32 2 3 3" xfId="32936"/>
    <cellStyle name="Output 32 2 3 3 2" xfId="32937"/>
    <cellStyle name="Output 32 2 3 4" xfId="32938"/>
    <cellStyle name="Output 32 2 3 5" xfId="32939"/>
    <cellStyle name="Output 32 2 3 6" xfId="32940"/>
    <cellStyle name="Output 32 2 4" xfId="32941"/>
    <cellStyle name="Output 32 2 4 2" xfId="32942"/>
    <cellStyle name="Output 32 2 4 3" xfId="32943"/>
    <cellStyle name="Output 32 2 5" xfId="32944"/>
    <cellStyle name="Output 32 2 6" xfId="32945"/>
    <cellStyle name="Output 32 2 7" xfId="32946"/>
    <cellStyle name="Output 32 2 8" xfId="32947"/>
    <cellStyle name="Output 32 2 9" xfId="32918"/>
    <cellStyle name="Output 32 3" xfId="6922"/>
    <cellStyle name="Output 32 3 2" xfId="32949"/>
    <cellStyle name="Output 32 3 2 2" xfId="32950"/>
    <cellStyle name="Output 32 3 2 2 2" xfId="32951"/>
    <cellStyle name="Output 32 3 2 3" xfId="32952"/>
    <cellStyle name="Output 32 3 2 3 2" xfId="32953"/>
    <cellStyle name="Output 32 3 2 4" xfId="32954"/>
    <cellStyle name="Output 32 3 2 4 2" xfId="32955"/>
    <cellStyle name="Output 32 3 2 5" xfId="32956"/>
    <cellStyle name="Output 32 3 2 6" xfId="32957"/>
    <cellStyle name="Output 32 3 2 7" xfId="32958"/>
    <cellStyle name="Output 32 3 2 8" xfId="32959"/>
    <cellStyle name="Output 32 3 2 9" xfId="32960"/>
    <cellStyle name="Output 32 3 3" xfId="32961"/>
    <cellStyle name="Output 32 3 3 2" xfId="32962"/>
    <cellStyle name="Output 32 3 3 2 2" xfId="32963"/>
    <cellStyle name="Output 32 3 3 3" xfId="32964"/>
    <cellStyle name="Output 32 3 3 3 2" xfId="32965"/>
    <cellStyle name="Output 32 3 3 4" xfId="32966"/>
    <cellStyle name="Output 32 3 3 5" xfId="32967"/>
    <cellStyle name="Output 32 3 3 6" xfId="32968"/>
    <cellStyle name="Output 32 3 4" xfId="32969"/>
    <cellStyle name="Output 32 3 4 2" xfId="32970"/>
    <cellStyle name="Output 32 3 5" xfId="32971"/>
    <cellStyle name="Output 32 3 6" xfId="32972"/>
    <cellStyle name="Output 32 3 7" xfId="32973"/>
    <cellStyle name="Output 32 3 8" xfId="32974"/>
    <cellStyle name="Output 32 3 9" xfId="32948"/>
    <cellStyle name="Output 32 4" xfId="6923"/>
    <cellStyle name="Output 32 4 10" xfId="32975"/>
    <cellStyle name="Output 32 4 2" xfId="6924"/>
    <cellStyle name="Output 32 4 2 2" xfId="32977"/>
    <cellStyle name="Output 32 4 2 3" xfId="32978"/>
    <cellStyle name="Output 32 4 2 4" xfId="32976"/>
    <cellStyle name="Output 32 4 3" xfId="32979"/>
    <cellStyle name="Output 32 4 3 2" xfId="32980"/>
    <cellStyle name="Output 32 4 4" xfId="32981"/>
    <cellStyle name="Output 32 4 4 2" xfId="32982"/>
    <cellStyle name="Output 32 4 5" xfId="32983"/>
    <cellStyle name="Output 32 4 6" xfId="32984"/>
    <cellStyle name="Output 32 4 7" xfId="32985"/>
    <cellStyle name="Output 32 4 8" xfId="32986"/>
    <cellStyle name="Output 32 4 9" xfId="32987"/>
    <cellStyle name="Output 32 5" xfId="6925"/>
    <cellStyle name="Output 32 5 10" xfId="32988"/>
    <cellStyle name="Output 32 5 2" xfId="6926"/>
    <cellStyle name="Output 32 5 2 2" xfId="32990"/>
    <cellStyle name="Output 32 5 2 3" xfId="32991"/>
    <cellStyle name="Output 32 5 2 4" xfId="32989"/>
    <cellStyle name="Output 32 5 3" xfId="32992"/>
    <cellStyle name="Output 32 5 3 2" xfId="32993"/>
    <cellStyle name="Output 32 5 4" xfId="32994"/>
    <cellStyle name="Output 32 5 4 2" xfId="32995"/>
    <cellStyle name="Output 32 5 5" xfId="32996"/>
    <cellStyle name="Output 32 5 6" xfId="32997"/>
    <cellStyle name="Output 32 5 7" xfId="32998"/>
    <cellStyle name="Output 32 5 8" xfId="32999"/>
    <cellStyle name="Output 32 5 9" xfId="33000"/>
    <cellStyle name="Output 32 6" xfId="6927"/>
    <cellStyle name="Output 32 6 2" xfId="33002"/>
    <cellStyle name="Output 32 6 2 2" xfId="33003"/>
    <cellStyle name="Output 32 6 3" xfId="33004"/>
    <cellStyle name="Output 32 6 3 2" xfId="33005"/>
    <cellStyle name="Output 32 6 4" xfId="33006"/>
    <cellStyle name="Output 32 6 5" xfId="33007"/>
    <cellStyle name="Output 32 6 6" xfId="33008"/>
    <cellStyle name="Output 32 6 7" xfId="33001"/>
    <cellStyle name="Output 32 7" xfId="6928"/>
    <cellStyle name="Output 32 7 2" xfId="33010"/>
    <cellStyle name="Output 32 7 3" xfId="33009"/>
    <cellStyle name="Output 32 8" xfId="8413"/>
    <cellStyle name="Output 32 9" xfId="33011"/>
    <cellStyle name="Output 33" xfId="2839"/>
    <cellStyle name="Output 33 10" xfId="33012"/>
    <cellStyle name="Output 33 11" xfId="33013"/>
    <cellStyle name="Output 33 2" xfId="6929"/>
    <cellStyle name="Output 33 2 2" xfId="33015"/>
    <cellStyle name="Output 33 2 2 2" xfId="33016"/>
    <cellStyle name="Output 33 2 2 2 2" xfId="33017"/>
    <cellStyle name="Output 33 2 2 2 3" xfId="33018"/>
    <cellStyle name="Output 33 2 2 3" xfId="33019"/>
    <cellStyle name="Output 33 2 2 3 2" xfId="33020"/>
    <cellStyle name="Output 33 2 2 4" xfId="33021"/>
    <cellStyle name="Output 33 2 2 4 2" xfId="33022"/>
    <cellStyle name="Output 33 2 2 5" xfId="33023"/>
    <cellStyle name="Output 33 2 2 6" xfId="33024"/>
    <cellStyle name="Output 33 2 2 7" xfId="33025"/>
    <cellStyle name="Output 33 2 2 8" xfId="33026"/>
    <cellStyle name="Output 33 2 2 9" xfId="33027"/>
    <cellStyle name="Output 33 2 3" xfId="33028"/>
    <cellStyle name="Output 33 2 3 2" xfId="33029"/>
    <cellStyle name="Output 33 2 3 2 2" xfId="33030"/>
    <cellStyle name="Output 33 2 3 2 3" xfId="33031"/>
    <cellStyle name="Output 33 2 3 3" xfId="33032"/>
    <cellStyle name="Output 33 2 3 3 2" xfId="33033"/>
    <cellStyle name="Output 33 2 3 4" xfId="33034"/>
    <cellStyle name="Output 33 2 3 5" xfId="33035"/>
    <cellStyle name="Output 33 2 3 6" xfId="33036"/>
    <cellStyle name="Output 33 2 4" xfId="33037"/>
    <cellStyle name="Output 33 2 4 2" xfId="33038"/>
    <cellStyle name="Output 33 2 4 3" xfId="33039"/>
    <cellStyle name="Output 33 2 5" xfId="33040"/>
    <cellStyle name="Output 33 2 6" xfId="33041"/>
    <cellStyle name="Output 33 2 7" xfId="33042"/>
    <cellStyle name="Output 33 2 8" xfId="33043"/>
    <cellStyle name="Output 33 2 9" xfId="33014"/>
    <cellStyle name="Output 33 3" xfId="6930"/>
    <cellStyle name="Output 33 3 2" xfId="33045"/>
    <cellStyle name="Output 33 3 2 2" xfId="33046"/>
    <cellStyle name="Output 33 3 2 2 2" xfId="33047"/>
    <cellStyle name="Output 33 3 2 3" xfId="33048"/>
    <cellStyle name="Output 33 3 2 3 2" xfId="33049"/>
    <cellStyle name="Output 33 3 2 4" xfId="33050"/>
    <cellStyle name="Output 33 3 2 4 2" xfId="33051"/>
    <cellStyle name="Output 33 3 2 5" xfId="33052"/>
    <cellStyle name="Output 33 3 2 6" xfId="33053"/>
    <cellStyle name="Output 33 3 2 7" xfId="33054"/>
    <cellStyle name="Output 33 3 2 8" xfId="33055"/>
    <cellStyle name="Output 33 3 2 9" xfId="33056"/>
    <cellStyle name="Output 33 3 3" xfId="33057"/>
    <cellStyle name="Output 33 3 3 2" xfId="33058"/>
    <cellStyle name="Output 33 3 3 2 2" xfId="33059"/>
    <cellStyle name="Output 33 3 3 3" xfId="33060"/>
    <cellStyle name="Output 33 3 3 3 2" xfId="33061"/>
    <cellStyle name="Output 33 3 3 4" xfId="33062"/>
    <cellStyle name="Output 33 3 3 5" xfId="33063"/>
    <cellStyle name="Output 33 3 3 6" xfId="33064"/>
    <cellStyle name="Output 33 3 4" xfId="33065"/>
    <cellStyle name="Output 33 3 4 2" xfId="33066"/>
    <cellStyle name="Output 33 3 5" xfId="33067"/>
    <cellStyle name="Output 33 3 6" xfId="33068"/>
    <cellStyle name="Output 33 3 7" xfId="33069"/>
    <cellStyle name="Output 33 3 8" xfId="33070"/>
    <cellStyle name="Output 33 3 9" xfId="33044"/>
    <cellStyle name="Output 33 4" xfId="6931"/>
    <cellStyle name="Output 33 4 10" xfId="33071"/>
    <cellStyle name="Output 33 4 2" xfId="6932"/>
    <cellStyle name="Output 33 4 2 2" xfId="33073"/>
    <cellStyle name="Output 33 4 2 3" xfId="33074"/>
    <cellStyle name="Output 33 4 2 4" xfId="33072"/>
    <cellStyle name="Output 33 4 3" xfId="33075"/>
    <cellStyle name="Output 33 4 3 2" xfId="33076"/>
    <cellStyle name="Output 33 4 4" xfId="33077"/>
    <cellStyle name="Output 33 4 4 2" xfId="33078"/>
    <cellStyle name="Output 33 4 5" xfId="33079"/>
    <cellStyle name="Output 33 4 6" xfId="33080"/>
    <cellStyle name="Output 33 4 7" xfId="33081"/>
    <cellStyle name="Output 33 4 8" xfId="33082"/>
    <cellStyle name="Output 33 4 9" xfId="33083"/>
    <cellStyle name="Output 33 5" xfId="6933"/>
    <cellStyle name="Output 33 5 10" xfId="33084"/>
    <cellStyle name="Output 33 5 2" xfId="6934"/>
    <cellStyle name="Output 33 5 2 2" xfId="33086"/>
    <cellStyle name="Output 33 5 2 3" xfId="33087"/>
    <cellStyle name="Output 33 5 2 4" xfId="33085"/>
    <cellStyle name="Output 33 5 3" xfId="33088"/>
    <cellStyle name="Output 33 5 3 2" xfId="33089"/>
    <cellStyle name="Output 33 5 4" xfId="33090"/>
    <cellStyle name="Output 33 5 4 2" xfId="33091"/>
    <cellStyle name="Output 33 5 5" xfId="33092"/>
    <cellStyle name="Output 33 5 6" xfId="33093"/>
    <cellStyle name="Output 33 5 7" xfId="33094"/>
    <cellStyle name="Output 33 5 8" xfId="33095"/>
    <cellStyle name="Output 33 5 9" xfId="33096"/>
    <cellStyle name="Output 33 6" xfId="6935"/>
    <cellStyle name="Output 33 6 2" xfId="33098"/>
    <cellStyle name="Output 33 6 2 2" xfId="33099"/>
    <cellStyle name="Output 33 6 3" xfId="33100"/>
    <cellStyle name="Output 33 6 3 2" xfId="33101"/>
    <cellStyle name="Output 33 6 4" xfId="33102"/>
    <cellStyle name="Output 33 6 5" xfId="33103"/>
    <cellStyle name="Output 33 6 6" xfId="33104"/>
    <cellStyle name="Output 33 6 7" xfId="33097"/>
    <cellStyle name="Output 33 7" xfId="6936"/>
    <cellStyle name="Output 33 7 2" xfId="33106"/>
    <cellStyle name="Output 33 7 3" xfId="33105"/>
    <cellStyle name="Output 33 8" xfId="8414"/>
    <cellStyle name="Output 33 9" xfId="33107"/>
    <cellStyle name="Output 34" xfId="2840"/>
    <cellStyle name="Output 34 10" xfId="33108"/>
    <cellStyle name="Output 34 11" xfId="33109"/>
    <cellStyle name="Output 34 2" xfId="6937"/>
    <cellStyle name="Output 34 2 2" xfId="33111"/>
    <cellStyle name="Output 34 2 2 2" xfId="33112"/>
    <cellStyle name="Output 34 2 2 2 2" xfId="33113"/>
    <cellStyle name="Output 34 2 2 2 3" xfId="33114"/>
    <cellStyle name="Output 34 2 2 3" xfId="33115"/>
    <cellStyle name="Output 34 2 2 3 2" xfId="33116"/>
    <cellStyle name="Output 34 2 2 4" xfId="33117"/>
    <cellStyle name="Output 34 2 2 4 2" xfId="33118"/>
    <cellStyle name="Output 34 2 2 5" xfId="33119"/>
    <cellStyle name="Output 34 2 2 6" xfId="33120"/>
    <cellStyle name="Output 34 2 2 7" xfId="33121"/>
    <cellStyle name="Output 34 2 2 8" xfId="33122"/>
    <cellStyle name="Output 34 2 2 9" xfId="33123"/>
    <cellStyle name="Output 34 2 3" xfId="33124"/>
    <cellStyle name="Output 34 2 3 2" xfId="33125"/>
    <cellStyle name="Output 34 2 3 2 2" xfId="33126"/>
    <cellStyle name="Output 34 2 3 2 3" xfId="33127"/>
    <cellStyle name="Output 34 2 3 3" xfId="33128"/>
    <cellStyle name="Output 34 2 3 3 2" xfId="33129"/>
    <cellStyle name="Output 34 2 3 4" xfId="33130"/>
    <cellStyle name="Output 34 2 3 5" xfId="33131"/>
    <cellStyle name="Output 34 2 3 6" xfId="33132"/>
    <cellStyle name="Output 34 2 4" xfId="33133"/>
    <cellStyle name="Output 34 2 4 2" xfId="33134"/>
    <cellStyle name="Output 34 2 4 3" xfId="33135"/>
    <cellStyle name="Output 34 2 5" xfId="33136"/>
    <cellStyle name="Output 34 2 6" xfId="33137"/>
    <cellStyle name="Output 34 2 7" xfId="33138"/>
    <cellStyle name="Output 34 2 8" xfId="33139"/>
    <cellStyle name="Output 34 2 9" xfId="33110"/>
    <cellStyle name="Output 34 3" xfId="6938"/>
    <cellStyle name="Output 34 3 2" xfId="33141"/>
    <cellStyle name="Output 34 3 2 2" xfId="33142"/>
    <cellStyle name="Output 34 3 2 2 2" xfId="33143"/>
    <cellStyle name="Output 34 3 2 3" xfId="33144"/>
    <cellStyle name="Output 34 3 2 3 2" xfId="33145"/>
    <cellStyle name="Output 34 3 2 4" xfId="33146"/>
    <cellStyle name="Output 34 3 2 4 2" xfId="33147"/>
    <cellStyle name="Output 34 3 2 5" xfId="33148"/>
    <cellStyle name="Output 34 3 2 6" xfId="33149"/>
    <cellStyle name="Output 34 3 2 7" xfId="33150"/>
    <cellStyle name="Output 34 3 2 8" xfId="33151"/>
    <cellStyle name="Output 34 3 2 9" xfId="33152"/>
    <cellStyle name="Output 34 3 3" xfId="33153"/>
    <cellStyle name="Output 34 3 3 2" xfId="33154"/>
    <cellStyle name="Output 34 3 3 2 2" xfId="33155"/>
    <cellStyle name="Output 34 3 3 3" xfId="33156"/>
    <cellStyle name="Output 34 3 3 3 2" xfId="33157"/>
    <cellStyle name="Output 34 3 3 4" xfId="33158"/>
    <cellStyle name="Output 34 3 3 5" xfId="33159"/>
    <cellStyle name="Output 34 3 3 6" xfId="33160"/>
    <cellStyle name="Output 34 3 4" xfId="33161"/>
    <cellStyle name="Output 34 3 4 2" xfId="33162"/>
    <cellStyle name="Output 34 3 5" xfId="33163"/>
    <cellStyle name="Output 34 3 6" xfId="33164"/>
    <cellStyle name="Output 34 3 7" xfId="33165"/>
    <cellStyle name="Output 34 3 8" xfId="33166"/>
    <cellStyle name="Output 34 3 9" xfId="33140"/>
    <cellStyle name="Output 34 4" xfId="6939"/>
    <cellStyle name="Output 34 4 10" xfId="33167"/>
    <cellStyle name="Output 34 4 2" xfId="6940"/>
    <cellStyle name="Output 34 4 2 2" xfId="33169"/>
    <cellStyle name="Output 34 4 2 3" xfId="33170"/>
    <cellStyle name="Output 34 4 2 4" xfId="33168"/>
    <cellStyle name="Output 34 4 3" xfId="33171"/>
    <cellStyle name="Output 34 4 3 2" xfId="33172"/>
    <cellStyle name="Output 34 4 4" xfId="33173"/>
    <cellStyle name="Output 34 4 4 2" xfId="33174"/>
    <cellStyle name="Output 34 4 5" xfId="33175"/>
    <cellStyle name="Output 34 4 6" xfId="33176"/>
    <cellStyle name="Output 34 4 7" xfId="33177"/>
    <cellStyle name="Output 34 4 8" xfId="33178"/>
    <cellStyle name="Output 34 4 9" xfId="33179"/>
    <cellStyle name="Output 34 5" xfId="6941"/>
    <cellStyle name="Output 34 5 10" xfId="33180"/>
    <cellStyle name="Output 34 5 2" xfId="6942"/>
    <cellStyle name="Output 34 5 2 2" xfId="33182"/>
    <cellStyle name="Output 34 5 2 3" xfId="33183"/>
    <cellStyle name="Output 34 5 2 4" xfId="33181"/>
    <cellStyle name="Output 34 5 3" xfId="33184"/>
    <cellStyle name="Output 34 5 3 2" xfId="33185"/>
    <cellStyle name="Output 34 5 4" xfId="33186"/>
    <cellStyle name="Output 34 5 4 2" xfId="33187"/>
    <cellStyle name="Output 34 5 5" xfId="33188"/>
    <cellStyle name="Output 34 5 6" xfId="33189"/>
    <cellStyle name="Output 34 5 7" xfId="33190"/>
    <cellStyle name="Output 34 5 8" xfId="33191"/>
    <cellStyle name="Output 34 5 9" xfId="33192"/>
    <cellStyle name="Output 34 6" xfId="6943"/>
    <cellStyle name="Output 34 6 2" xfId="33194"/>
    <cellStyle name="Output 34 6 2 2" xfId="33195"/>
    <cellStyle name="Output 34 6 3" xfId="33196"/>
    <cellStyle name="Output 34 6 3 2" xfId="33197"/>
    <cellStyle name="Output 34 6 4" xfId="33198"/>
    <cellStyle name="Output 34 6 5" xfId="33199"/>
    <cellStyle name="Output 34 6 6" xfId="33200"/>
    <cellStyle name="Output 34 6 7" xfId="33193"/>
    <cellStyle name="Output 34 7" xfId="6944"/>
    <cellStyle name="Output 34 7 2" xfId="33202"/>
    <cellStyle name="Output 34 7 3" xfId="33201"/>
    <cellStyle name="Output 34 8" xfId="8415"/>
    <cellStyle name="Output 34 9" xfId="33203"/>
    <cellStyle name="Output 35" xfId="2841"/>
    <cellStyle name="Output 35 10" xfId="33204"/>
    <cellStyle name="Output 35 11" xfId="33205"/>
    <cellStyle name="Output 35 2" xfId="6945"/>
    <cellStyle name="Output 35 2 2" xfId="33207"/>
    <cellStyle name="Output 35 2 2 2" xfId="33208"/>
    <cellStyle name="Output 35 2 2 2 2" xfId="33209"/>
    <cellStyle name="Output 35 2 2 2 3" xfId="33210"/>
    <cellStyle name="Output 35 2 2 3" xfId="33211"/>
    <cellStyle name="Output 35 2 2 3 2" xfId="33212"/>
    <cellStyle name="Output 35 2 2 4" xfId="33213"/>
    <cellStyle name="Output 35 2 2 4 2" xfId="33214"/>
    <cellStyle name="Output 35 2 2 5" xfId="33215"/>
    <cellStyle name="Output 35 2 2 6" xfId="33216"/>
    <cellStyle name="Output 35 2 2 7" xfId="33217"/>
    <cellStyle name="Output 35 2 2 8" xfId="33218"/>
    <cellStyle name="Output 35 2 2 9" xfId="33219"/>
    <cellStyle name="Output 35 2 3" xfId="33220"/>
    <cellStyle name="Output 35 2 3 2" xfId="33221"/>
    <cellStyle name="Output 35 2 3 2 2" xfId="33222"/>
    <cellStyle name="Output 35 2 3 2 3" xfId="33223"/>
    <cellStyle name="Output 35 2 3 3" xfId="33224"/>
    <cellStyle name="Output 35 2 3 3 2" xfId="33225"/>
    <cellStyle name="Output 35 2 3 4" xfId="33226"/>
    <cellStyle name="Output 35 2 3 5" xfId="33227"/>
    <cellStyle name="Output 35 2 3 6" xfId="33228"/>
    <cellStyle name="Output 35 2 4" xfId="33229"/>
    <cellStyle name="Output 35 2 4 2" xfId="33230"/>
    <cellStyle name="Output 35 2 4 3" xfId="33231"/>
    <cellStyle name="Output 35 2 5" xfId="33232"/>
    <cellStyle name="Output 35 2 6" xfId="33233"/>
    <cellStyle name="Output 35 2 7" xfId="33234"/>
    <cellStyle name="Output 35 2 8" xfId="33235"/>
    <cellStyle name="Output 35 2 9" xfId="33206"/>
    <cellStyle name="Output 35 3" xfId="6946"/>
    <cellStyle name="Output 35 3 2" xfId="33237"/>
    <cellStyle name="Output 35 3 2 2" xfId="33238"/>
    <cellStyle name="Output 35 3 2 2 2" xfId="33239"/>
    <cellStyle name="Output 35 3 2 3" xfId="33240"/>
    <cellStyle name="Output 35 3 2 3 2" xfId="33241"/>
    <cellStyle name="Output 35 3 2 4" xfId="33242"/>
    <cellStyle name="Output 35 3 2 4 2" xfId="33243"/>
    <cellStyle name="Output 35 3 2 5" xfId="33244"/>
    <cellStyle name="Output 35 3 2 6" xfId="33245"/>
    <cellStyle name="Output 35 3 2 7" xfId="33246"/>
    <cellStyle name="Output 35 3 2 8" xfId="33247"/>
    <cellStyle name="Output 35 3 2 9" xfId="33248"/>
    <cellStyle name="Output 35 3 3" xfId="33249"/>
    <cellStyle name="Output 35 3 3 2" xfId="33250"/>
    <cellStyle name="Output 35 3 3 2 2" xfId="33251"/>
    <cellStyle name="Output 35 3 3 3" xfId="33252"/>
    <cellStyle name="Output 35 3 3 3 2" xfId="33253"/>
    <cellStyle name="Output 35 3 3 4" xfId="33254"/>
    <cellStyle name="Output 35 3 3 5" xfId="33255"/>
    <cellStyle name="Output 35 3 3 6" xfId="33256"/>
    <cellStyle name="Output 35 3 4" xfId="33257"/>
    <cellStyle name="Output 35 3 4 2" xfId="33258"/>
    <cellStyle name="Output 35 3 5" xfId="33259"/>
    <cellStyle name="Output 35 3 6" xfId="33260"/>
    <cellStyle name="Output 35 3 7" xfId="33261"/>
    <cellStyle name="Output 35 3 8" xfId="33262"/>
    <cellStyle name="Output 35 3 9" xfId="33236"/>
    <cellStyle name="Output 35 4" xfId="6947"/>
    <cellStyle name="Output 35 4 10" xfId="33263"/>
    <cellStyle name="Output 35 4 2" xfId="6948"/>
    <cellStyle name="Output 35 4 2 2" xfId="33265"/>
    <cellStyle name="Output 35 4 2 3" xfId="33266"/>
    <cellStyle name="Output 35 4 2 4" xfId="33264"/>
    <cellStyle name="Output 35 4 3" xfId="33267"/>
    <cellStyle name="Output 35 4 3 2" xfId="33268"/>
    <cellStyle name="Output 35 4 4" xfId="33269"/>
    <cellStyle name="Output 35 4 4 2" xfId="33270"/>
    <cellStyle name="Output 35 4 5" xfId="33271"/>
    <cellStyle name="Output 35 4 6" xfId="33272"/>
    <cellStyle name="Output 35 4 7" xfId="33273"/>
    <cellStyle name="Output 35 4 8" xfId="33274"/>
    <cellStyle name="Output 35 4 9" xfId="33275"/>
    <cellStyle name="Output 35 5" xfId="6949"/>
    <cellStyle name="Output 35 5 10" xfId="33276"/>
    <cellStyle name="Output 35 5 2" xfId="6950"/>
    <cellStyle name="Output 35 5 2 2" xfId="33278"/>
    <cellStyle name="Output 35 5 2 3" xfId="33279"/>
    <cellStyle name="Output 35 5 2 4" xfId="33277"/>
    <cellStyle name="Output 35 5 3" xfId="33280"/>
    <cellStyle name="Output 35 5 3 2" xfId="33281"/>
    <cellStyle name="Output 35 5 4" xfId="33282"/>
    <cellStyle name="Output 35 5 4 2" xfId="33283"/>
    <cellStyle name="Output 35 5 5" xfId="33284"/>
    <cellStyle name="Output 35 5 6" xfId="33285"/>
    <cellStyle name="Output 35 5 7" xfId="33286"/>
    <cellStyle name="Output 35 5 8" xfId="33287"/>
    <cellStyle name="Output 35 5 9" xfId="33288"/>
    <cellStyle name="Output 35 6" xfId="6951"/>
    <cellStyle name="Output 35 6 2" xfId="33290"/>
    <cellStyle name="Output 35 6 2 2" xfId="33291"/>
    <cellStyle name="Output 35 6 3" xfId="33292"/>
    <cellStyle name="Output 35 6 3 2" xfId="33293"/>
    <cellStyle name="Output 35 6 4" xfId="33294"/>
    <cellStyle name="Output 35 6 5" xfId="33295"/>
    <cellStyle name="Output 35 6 6" xfId="33296"/>
    <cellStyle name="Output 35 6 7" xfId="33289"/>
    <cellStyle name="Output 35 7" xfId="6952"/>
    <cellStyle name="Output 35 7 2" xfId="33298"/>
    <cellStyle name="Output 35 7 3" xfId="33297"/>
    <cellStyle name="Output 35 8" xfId="8416"/>
    <cellStyle name="Output 35 9" xfId="33299"/>
    <cellStyle name="Output 36" xfId="2842"/>
    <cellStyle name="Output 36 10" xfId="33300"/>
    <cellStyle name="Output 36 11" xfId="33301"/>
    <cellStyle name="Output 36 2" xfId="6953"/>
    <cellStyle name="Output 36 2 2" xfId="33303"/>
    <cellStyle name="Output 36 2 2 2" xfId="33304"/>
    <cellStyle name="Output 36 2 2 2 2" xfId="33305"/>
    <cellStyle name="Output 36 2 2 2 3" xfId="33306"/>
    <cellStyle name="Output 36 2 2 3" xfId="33307"/>
    <cellStyle name="Output 36 2 2 3 2" xfId="33308"/>
    <cellStyle name="Output 36 2 2 4" xfId="33309"/>
    <cellStyle name="Output 36 2 2 4 2" xfId="33310"/>
    <cellStyle name="Output 36 2 2 5" xfId="33311"/>
    <cellStyle name="Output 36 2 2 6" xfId="33312"/>
    <cellStyle name="Output 36 2 2 7" xfId="33313"/>
    <cellStyle name="Output 36 2 2 8" xfId="33314"/>
    <cellStyle name="Output 36 2 2 9" xfId="33315"/>
    <cellStyle name="Output 36 2 3" xfId="33316"/>
    <cellStyle name="Output 36 2 3 2" xfId="33317"/>
    <cellStyle name="Output 36 2 3 2 2" xfId="33318"/>
    <cellStyle name="Output 36 2 3 2 3" xfId="33319"/>
    <cellStyle name="Output 36 2 3 3" xfId="33320"/>
    <cellStyle name="Output 36 2 3 3 2" xfId="33321"/>
    <cellStyle name="Output 36 2 3 4" xfId="33322"/>
    <cellStyle name="Output 36 2 3 5" xfId="33323"/>
    <cellStyle name="Output 36 2 3 6" xfId="33324"/>
    <cellStyle name="Output 36 2 4" xfId="33325"/>
    <cellStyle name="Output 36 2 4 2" xfId="33326"/>
    <cellStyle name="Output 36 2 4 3" xfId="33327"/>
    <cellStyle name="Output 36 2 5" xfId="33328"/>
    <cellStyle name="Output 36 2 6" xfId="33329"/>
    <cellStyle name="Output 36 2 7" xfId="33330"/>
    <cellStyle name="Output 36 2 8" xfId="33331"/>
    <cellStyle name="Output 36 2 9" xfId="33302"/>
    <cellStyle name="Output 36 3" xfId="6954"/>
    <cellStyle name="Output 36 3 2" xfId="33333"/>
    <cellStyle name="Output 36 3 2 2" xfId="33334"/>
    <cellStyle name="Output 36 3 2 2 2" xfId="33335"/>
    <cellStyle name="Output 36 3 2 3" xfId="33336"/>
    <cellStyle name="Output 36 3 2 3 2" xfId="33337"/>
    <cellStyle name="Output 36 3 2 4" xfId="33338"/>
    <cellStyle name="Output 36 3 2 4 2" xfId="33339"/>
    <cellStyle name="Output 36 3 2 5" xfId="33340"/>
    <cellStyle name="Output 36 3 2 6" xfId="33341"/>
    <cellStyle name="Output 36 3 2 7" xfId="33342"/>
    <cellStyle name="Output 36 3 2 8" xfId="33343"/>
    <cellStyle name="Output 36 3 2 9" xfId="33344"/>
    <cellStyle name="Output 36 3 3" xfId="33345"/>
    <cellStyle name="Output 36 3 3 2" xfId="33346"/>
    <cellStyle name="Output 36 3 3 2 2" xfId="33347"/>
    <cellStyle name="Output 36 3 3 3" xfId="33348"/>
    <cellStyle name="Output 36 3 3 3 2" xfId="33349"/>
    <cellStyle name="Output 36 3 3 4" xfId="33350"/>
    <cellStyle name="Output 36 3 3 5" xfId="33351"/>
    <cellStyle name="Output 36 3 3 6" xfId="33352"/>
    <cellStyle name="Output 36 3 4" xfId="33353"/>
    <cellStyle name="Output 36 3 4 2" xfId="33354"/>
    <cellStyle name="Output 36 3 5" xfId="33355"/>
    <cellStyle name="Output 36 3 6" xfId="33356"/>
    <cellStyle name="Output 36 3 7" xfId="33357"/>
    <cellStyle name="Output 36 3 8" xfId="33358"/>
    <cellStyle name="Output 36 3 9" xfId="33332"/>
    <cellStyle name="Output 36 4" xfId="6955"/>
    <cellStyle name="Output 36 4 10" xfId="33359"/>
    <cellStyle name="Output 36 4 2" xfId="6956"/>
    <cellStyle name="Output 36 4 2 2" xfId="33361"/>
    <cellStyle name="Output 36 4 2 3" xfId="33362"/>
    <cellStyle name="Output 36 4 2 4" xfId="33360"/>
    <cellStyle name="Output 36 4 3" xfId="33363"/>
    <cellStyle name="Output 36 4 3 2" xfId="33364"/>
    <cellStyle name="Output 36 4 4" xfId="33365"/>
    <cellStyle name="Output 36 4 4 2" xfId="33366"/>
    <cellStyle name="Output 36 4 5" xfId="33367"/>
    <cellStyle name="Output 36 4 6" xfId="33368"/>
    <cellStyle name="Output 36 4 7" xfId="33369"/>
    <cellStyle name="Output 36 4 8" xfId="33370"/>
    <cellStyle name="Output 36 4 9" xfId="33371"/>
    <cellStyle name="Output 36 5" xfId="6957"/>
    <cellStyle name="Output 36 5 10" xfId="33372"/>
    <cellStyle name="Output 36 5 2" xfId="6958"/>
    <cellStyle name="Output 36 5 2 2" xfId="33374"/>
    <cellStyle name="Output 36 5 2 3" xfId="33375"/>
    <cellStyle name="Output 36 5 2 4" xfId="33373"/>
    <cellStyle name="Output 36 5 3" xfId="33376"/>
    <cellStyle name="Output 36 5 3 2" xfId="33377"/>
    <cellStyle name="Output 36 5 4" xfId="33378"/>
    <cellStyle name="Output 36 5 4 2" xfId="33379"/>
    <cellStyle name="Output 36 5 5" xfId="33380"/>
    <cellStyle name="Output 36 5 6" xfId="33381"/>
    <cellStyle name="Output 36 5 7" xfId="33382"/>
    <cellStyle name="Output 36 5 8" xfId="33383"/>
    <cellStyle name="Output 36 5 9" xfId="33384"/>
    <cellStyle name="Output 36 6" xfId="6959"/>
    <cellStyle name="Output 36 6 2" xfId="33386"/>
    <cellStyle name="Output 36 6 2 2" xfId="33387"/>
    <cellStyle name="Output 36 6 3" xfId="33388"/>
    <cellStyle name="Output 36 6 3 2" xfId="33389"/>
    <cellStyle name="Output 36 6 4" xfId="33390"/>
    <cellStyle name="Output 36 6 5" xfId="33391"/>
    <cellStyle name="Output 36 6 6" xfId="33392"/>
    <cellStyle name="Output 36 6 7" xfId="33385"/>
    <cellStyle name="Output 36 7" xfId="6960"/>
    <cellStyle name="Output 36 7 2" xfId="33394"/>
    <cellStyle name="Output 36 7 3" xfId="33393"/>
    <cellStyle name="Output 36 8" xfId="8417"/>
    <cellStyle name="Output 36 9" xfId="33395"/>
    <cellStyle name="Output 37" xfId="2843"/>
    <cellStyle name="Output 37 10" xfId="33396"/>
    <cellStyle name="Output 37 11" xfId="33397"/>
    <cellStyle name="Output 37 2" xfId="6961"/>
    <cellStyle name="Output 37 2 2" xfId="33399"/>
    <cellStyle name="Output 37 2 2 2" xfId="33400"/>
    <cellStyle name="Output 37 2 2 2 2" xfId="33401"/>
    <cellStyle name="Output 37 2 2 2 3" xfId="33402"/>
    <cellStyle name="Output 37 2 2 3" xfId="33403"/>
    <cellStyle name="Output 37 2 2 3 2" xfId="33404"/>
    <cellStyle name="Output 37 2 2 4" xfId="33405"/>
    <cellStyle name="Output 37 2 2 4 2" xfId="33406"/>
    <cellStyle name="Output 37 2 2 5" xfId="33407"/>
    <cellStyle name="Output 37 2 2 6" xfId="33408"/>
    <cellStyle name="Output 37 2 2 7" xfId="33409"/>
    <cellStyle name="Output 37 2 2 8" xfId="33410"/>
    <cellStyle name="Output 37 2 2 9" xfId="33411"/>
    <cellStyle name="Output 37 2 3" xfId="33412"/>
    <cellStyle name="Output 37 2 3 2" xfId="33413"/>
    <cellStyle name="Output 37 2 3 2 2" xfId="33414"/>
    <cellStyle name="Output 37 2 3 2 3" xfId="33415"/>
    <cellStyle name="Output 37 2 3 3" xfId="33416"/>
    <cellStyle name="Output 37 2 3 3 2" xfId="33417"/>
    <cellStyle name="Output 37 2 3 4" xfId="33418"/>
    <cellStyle name="Output 37 2 3 5" xfId="33419"/>
    <cellStyle name="Output 37 2 3 6" xfId="33420"/>
    <cellStyle name="Output 37 2 4" xfId="33421"/>
    <cellStyle name="Output 37 2 4 2" xfId="33422"/>
    <cellStyle name="Output 37 2 4 3" xfId="33423"/>
    <cellStyle name="Output 37 2 5" xfId="33424"/>
    <cellStyle name="Output 37 2 6" xfId="33425"/>
    <cellStyle name="Output 37 2 7" xfId="33426"/>
    <cellStyle name="Output 37 2 8" xfId="33427"/>
    <cellStyle name="Output 37 2 9" xfId="33398"/>
    <cellStyle name="Output 37 3" xfId="6962"/>
    <cellStyle name="Output 37 3 2" xfId="33429"/>
    <cellStyle name="Output 37 3 2 2" xfId="33430"/>
    <cellStyle name="Output 37 3 2 2 2" xfId="33431"/>
    <cellStyle name="Output 37 3 2 3" xfId="33432"/>
    <cellStyle name="Output 37 3 2 3 2" xfId="33433"/>
    <cellStyle name="Output 37 3 2 4" xfId="33434"/>
    <cellStyle name="Output 37 3 2 4 2" xfId="33435"/>
    <cellStyle name="Output 37 3 2 5" xfId="33436"/>
    <cellStyle name="Output 37 3 2 6" xfId="33437"/>
    <cellStyle name="Output 37 3 2 7" xfId="33438"/>
    <cellStyle name="Output 37 3 2 8" xfId="33439"/>
    <cellStyle name="Output 37 3 2 9" xfId="33440"/>
    <cellStyle name="Output 37 3 3" xfId="33441"/>
    <cellStyle name="Output 37 3 3 2" xfId="33442"/>
    <cellStyle name="Output 37 3 3 2 2" xfId="33443"/>
    <cellStyle name="Output 37 3 3 3" xfId="33444"/>
    <cellStyle name="Output 37 3 3 3 2" xfId="33445"/>
    <cellStyle name="Output 37 3 3 4" xfId="33446"/>
    <cellStyle name="Output 37 3 3 5" xfId="33447"/>
    <cellStyle name="Output 37 3 3 6" xfId="33448"/>
    <cellStyle name="Output 37 3 4" xfId="33449"/>
    <cellStyle name="Output 37 3 4 2" xfId="33450"/>
    <cellStyle name="Output 37 3 5" xfId="33451"/>
    <cellStyle name="Output 37 3 6" xfId="33452"/>
    <cellStyle name="Output 37 3 7" xfId="33453"/>
    <cellStyle name="Output 37 3 8" xfId="33454"/>
    <cellStyle name="Output 37 3 9" xfId="33428"/>
    <cellStyle name="Output 37 4" xfId="6963"/>
    <cellStyle name="Output 37 4 10" xfId="33455"/>
    <cellStyle name="Output 37 4 2" xfId="6964"/>
    <cellStyle name="Output 37 4 2 2" xfId="33457"/>
    <cellStyle name="Output 37 4 2 3" xfId="33458"/>
    <cellStyle name="Output 37 4 2 4" xfId="33456"/>
    <cellStyle name="Output 37 4 3" xfId="33459"/>
    <cellStyle name="Output 37 4 3 2" xfId="33460"/>
    <cellStyle name="Output 37 4 4" xfId="33461"/>
    <cellStyle name="Output 37 4 4 2" xfId="33462"/>
    <cellStyle name="Output 37 4 5" xfId="33463"/>
    <cellStyle name="Output 37 4 6" xfId="33464"/>
    <cellStyle name="Output 37 4 7" xfId="33465"/>
    <cellStyle name="Output 37 4 8" xfId="33466"/>
    <cellStyle name="Output 37 4 9" xfId="33467"/>
    <cellStyle name="Output 37 5" xfId="6965"/>
    <cellStyle name="Output 37 5 10" xfId="33468"/>
    <cellStyle name="Output 37 5 2" xfId="6966"/>
    <cellStyle name="Output 37 5 2 2" xfId="33470"/>
    <cellStyle name="Output 37 5 2 3" xfId="33471"/>
    <cellStyle name="Output 37 5 2 4" xfId="33469"/>
    <cellStyle name="Output 37 5 3" xfId="33472"/>
    <cellStyle name="Output 37 5 3 2" xfId="33473"/>
    <cellStyle name="Output 37 5 4" xfId="33474"/>
    <cellStyle name="Output 37 5 4 2" xfId="33475"/>
    <cellStyle name="Output 37 5 5" xfId="33476"/>
    <cellStyle name="Output 37 5 6" xfId="33477"/>
    <cellStyle name="Output 37 5 7" xfId="33478"/>
    <cellStyle name="Output 37 5 8" xfId="33479"/>
    <cellStyle name="Output 37 5 9" xfId="33480"/>
    <cellStyle name="Output 37 6" xfId="6967"/>
    <cellStyle name="Output 37 6 2" xfId="33482"/>
    <cellStyle name="Output 37 6 2 2" xfId="33483"/>
    <cellStyle name="Output 37 6 3" xfId="33484"/>
    <cellStyle name="Output 37 6 3 2" xfId="33485"/>
    <cellStyle name="Output 37 6 4" xfId="33486"/>
    <cellStyle name="Output 37 6 5" xfId="33487"/>
    <cellStyle name="Output 37 6 6" xfId="33488"/>
    <cellStyle name="Output 37 6 7" xfId="33481"/>
    <cellStyle name="Output 37 7" xfId="6968"/>
    <cellStyle name="Output 37 7 2" xfId="33490"/>
    <cellStyle name="Output 37 7 3" xfId="33489"/>
    <cellStyle name="Output 37 8" xfId="8418"/>
    <cellStyle name="Output 37 9" xfId="33491"/>
    <cellStyle name="Output 38" xfId="1907"/>
    <cellStyle name="Output 38 10" xfId="33493"/>
    <cellStyle name="Output 38 11" xfId="33494"/>
    <cellStyle name="Output 38 12" xfId="33492"/>
    <cellStyle name="Output 38 2" xfId="6969"/>
    <cellStyle name="Output 38 2 2" xfId="33495"/>
    <cellStyle name="Output 38 2 2 2" xfId="33496"/>
    <cellStyle name="Output 38 2 2 2 2" xfId="33497"/>
    <cellStyle name="Output 38 2 2 3" xfId="33498"/>
    <cellStyle name="Output 38 2 2 3 2" xfId="33499"/>
    <cellStyle name="Output 38 2 2 4" xfId="33500"/>
    <cellStyle name="Output 38 2 2 4 2" xfId="33501"/>
    <cellStyle name="Output 38 2 2 5" xfId="33502"/>
    <cellStyle name="Output 38 2 2 6" xfId="33503"/>
    <cellStyle name="Output 38 2 2 7" xfId="33504"/>
    <cellStyle name="Output 38 2 2 8" xfId="33505"/>
    <cellStyle name="Output 38 2 2 9" xfId="33506"/>
    <cellStyle name="Output 38 3" xfId="6970"/>
    <cellStyle name="Output 38 3 10" xfId="33507"/>
    <cellStyle name="Output 38 3 2" xfId="6971"/>
    <cellStyle name="Output 38 3 2 2" xfId="33509"/>
    <cellStyle name="Output 38 3 2 3" xfId="33508"/>
    <cellStyle name="Output 38 3 3" xfId="33510"/>
    <cellStyle name="Output 38 3 3 2" xfId="33511"/>
    <cellStyle name="Output 38 3 4" xfId="33512"/>
    <cellStyle name="Output 38 3 4 2" xfId="33513"/>
    <cellStyle name="Output 38 3 5" xfId="33514"/>
    <cellStyle name="Output 38 3 6" xfId="33515"/>
    <cellStyle name="Output 38 3 7" xfId="33516"/>
    <cellStyle name="Output 38 3 8" xfId="33517"/>
    <cellStyle name="Output 38 3 9" xfId="33518"/>
    <cellStyle name="Output 38 4" xfId="6972"/>
    <cellStyle name="Output 38 4 10" xfId="33519"/>
    <cellStyle name="Output 38 4 2" xfId="33520"/>
    <cellStyle name="Output 38 4 2 2" xfId="33521"/>
    <cellStyle name="Output 38 4 3" xfId="33522"/>
    <cellStyle name="Output 38 4 3 2" xfId="33523"/>
    <cellStyle name="Output 38 4 4" xfId="33524"/>
    <cellStyle name="Output 38 4 4 2" xfId="33525"/>
    <cellStyle name="Output 38 4 5" xfId="33526"/>
    <cellStyle name="Output 38 4 6" xfId="33527"/>
    <cellStyle name="Output 38 4 7" xfId="33528"/>
    <cellStyle name="Output 38 4 8" xfId="33529"/>
    <cellStyle name="Output 38 4 9" xfId="33530"/>
    <cellStyle name="Output 38 5" xfId="6973"/>
    <cellStyle name="Output 38 5 10" xfId="33531"/>
    <cellStyle name="Output 38 5 2" xfId="33532"/>
    <cellStyle name="Output 38 5 2 2" xfId="33533"/>
    <cellStyle name="Output 38 5 3" xfId="33534"/>
    <cellStyle name="Output 38 5 3 2" xfId="33535"/>
    <cellStyle name="Output 38 5 4" xfId="33536"/>
    <cellStyle name="Output 38 5 4 2" xfId="33537"/>
    <cellStyle name="Output 38 5 5" xfId="33538"/>
    <cellStyle name="Output 38 5 6" xfId="33539"/>
    <cellStyle name="Output 38 5 7" xfId="33540"/>
    <cellStyle name="Output 38 5 8" xfId="33541"/>
    <cellStyle name="Output 38 5 9" xfId="33542"/>
    <cellStyle name="Output 38 6" xfId="6974"/>
    <cellStyle name="Output 38 6 2" xfId="6975"/>
    <cellStyle name="Output 38 6 2 2" xfId="33545"/>
    <cellStyle name="Output 38 6 2 3" xfId="33544"/>
    <cellStyle name="Output 38 6 3" xfId="33546"/>
    <cellStyle name="Output 38 6 3 2" xfId="33547"/>
    <cellStyle name="Output 38 6 4" xfId="33548"/>
    <cellStyle name="Output 38 6 5" xfId="33549"/>
    <cellStyle name="Output 38 6 6" xfId="33550"/>
    <cellStyle name="Output 38 6 7" xfId="33543"/>
    <cellStyle name="Output 38 7" xfId="6976"/>
    <cellStyle name="Output 38 7 2" xfId="6977"/>
    <cellStyle name="Output 38 7 2 2" xfId="33552"/>
    <cellStyle name="Output 38 7 3" xfId="33551"/>
    <cellStyle name="Output 38 8" xfId="33553"/>
    <cellStyle name="Output 38 9" xfId="33554"/>
    <cellStyle name="Output 39" xfId="7823"/>
    <cellStyle name="Output 39 2" xfId="33556"/>
    <cellStyle name="Output 39 3" xfId="33557"/>
    <cellStyle name="Output 39 4" xfId="33555"/>
    <cellStyle name="Output 4" xfId="1922"/>
    <cellStyle name="Output 4 10" xfId="33558"/>
    <cellStyle name="Output 4 11" xfId="33559"/>
    <cellStyle name="Output 4 12" xfId="41587"/>
    <cellStyle name="Output 4 2" xfId="1923"/>
    <cellStyle name="Output 4 2 2" xfId="1924"/>
    <cellStyle name="Output 4 2 2 2" xfId="8223"/>
    <cellStyle name="Output 4 2 2 2 2" xfId="33560"/>
    <cellStyle name="Output 4 2 2 2 3" xfId="33561"/>
    <cellStyle name="Output 4 2 2 3" xfId="33562"/>
    <cellStyle name="Output 4 2 2 3 2" xfId="33563"/>
    <cellStyle name="Output 4 2 2 4" xfId="33564"/>
    <cellStyle name="Output 4 2 2 4 2" xfId="33565"/>
    <cellStyle name="Output 4 2 2 5" xfId="33566"/>
    <cellStyle name="Output 4 2 2 6" xfId="33567"/>
    <cellStyle name="Output 4 2 2 7" xfId="33568"/>
    <cellStyle name="Output 4 2 2 8" xfId="33569"/>
    <cellStyle name="Output 4 2 2 9" xfId="33570"/>
    <cellStyle name="Output 4 2 3" xfId="6978"/>
    <cellStyle name="Output 4 2 3 2" xfId="33572"/>
    <cellStyle name="Output 4 2 3 2 2" xfId="33573"/>
    <cellStyle name="Output 4 2 3 2 3" xfId="33574"/>
    <cellStyle name="Output 4 2 3 3" xfId="33575"/>
    <cellStyle name="Output 4 2 3 3 2" xfId="33576"/>
    <cellStyle name="Output 4 2 3 4" xfId="33577"/>
    <cellStyle name="Output 4 2 3 5" xfId="33578"/>
    <cellStyle name="Output 4 2 3 6" xfId="33579"/>
    <cellStyle name="Output 4 2 3 7" xfId="33571"/>
    <cellStyle name="Output 4 2 4" xfId="6979"/>
    <cellStyle name="Output 4 2 4 2" xfId="6980"/>
    <cellStyle name="Output 4 2 4 2 2" xfId="33581"/>
    <cellStyle name="Output 4 2 4 3" xfId="33582"/>
    <cellStyle name="Output 4 2 4 4" xfId="33580"/>
    <cellStyle name="Output 4 2 5" xfId="6981"/>
    <cellStyle name="Output 4 2 5 2" xfId="6982"/>
    <cellStyle name="Output 4 2 5 3" xfId="33583"/>
    <cellStyle name="Output 4 2 6" xfId="6983"/>
    <cellStyle name="Output 4 2 6 2" xfId="33584"/>
    <cellStyle name="Output 4 2 7" xfId="6984"/>
    <cellStyle name="Output 4 2 7 2" xfId="33585"/>
    <cellStyle name="Output 4 2 8" xfId="8222"/>
    <cellStyle name="Output 4 2 9" xfId="43812"/>
    <cellStyle name="Output 4 3" xfId="1925"/>
    <cellStyle name="Output 4 3 2" xfId="1926"/>
    <cellStyle name="Output 4 3 2 2" xfId="8225"/>
    <cellStyle name="Output 4 3 2 2 2" xfId="33586"/>
    <cellStyle name="Output 4 3 2 3" xfId="33587"/>
    <cellStyle name="Output 4 3 2 3 2" xfId="33588"/>
    <cellStyle name="Output 4 3 2 4" xfId="33589"/>
    <cellStyle name="Output 4 3 2 4 2" xfId="33590"/>
    <cellStyle name="Output 4 3 2 5" xfId="33591"/>
    <cellStyle name="Output 4 3 2 6" xfId="33592"/>
    <cellStyle name="Output 4 3 2 7" xfId="33593"/>
    <cellStyle name="Output 4 3 2 8" xfId="33594"/>
    <cellStyle name="Output 4 3 2 9" xfId="33595"/>
    <cellStyle name="Output 4 3 3" xfId="8224"/>
    <cellStyle name="Output 4 3 3 2" xfId="33596"/>
    <cellStyle name="Output 4 3 3 2 2" xfId="33597"/>
    <cellStyle name="Output 4 3 3 3" xfId="33598"/>
    <cellStyle name="Output 4 3 3 3 2" xfId="33599"/>
    <cellStyle name="Output 4 3 3 4" xfId="33600"/>
    <cellStyle name="Output 4 3 3 5" xfId="33601"/>
    <cellStyle name="Output 4 3 3 6" xfId="33602"/>
    <cellStyle name="Output 4 3 4" xfId="33603"/>
    <cellStyle name="Output 4 3 4 2" xfId="33604"/>
    <cellStyle name="Output 4 3 5" xfId="33605"/>
    <cellStyle name="Output 4 3 6" xfId="33606"/>
    <cellStyle name="Output 4 3 7" xfId="33607"/>
    <cellStyle name="Output 4 3 8" xfId="33608"/>
    <cellStyle name="Output 4 3 9" xfId="43725"/>
    <cellStyle name="Output 4 4" xfId="1927"/>
    <cellStyle name="Output 4 4 10" xfId="45322"/>
    <cellStyle name="Output 4 4 2" xfId="8226"/>
    <cellStyle name="Output 4 4 2 2" xfId="33609"/>
    <cellStyle name="Output 4 4 2 3" xfId="33610"/>
    <cellStyle name="Output 4 4 3" xfId="33611"/>
    <cellStyle name="Output 4 4 3 2" xfId="33612"/>
    <cellStyle name="Output 4 4 4" xfId="33613"/>
    <cellStyle name="Output 4 4 4 2" xfId="33614"/>
    <cellStyle name="Output 4 4 5" xfId="33615"/>
    <cellStyle name="Output 4 4 6" xfId="33616"/>
    <cellStyle name="Output 4 4 7" xfId="33617"/>
    <cellStyle name="Output 4 4 8" xfId="33618"/>
    <cellStyle name="Output 4 4 9" xfId="33619"/>
    <cellStyle name="Output 4 5" xfId="6985"/>
    <cellStyle name="Output 4 5 10" xfId="33620"/>
    <cellStyle name="Output 4 5 2" xfId="6986"/>
    <cellStyle name="Output 4 5 2 2" xfId="33622"/>
    <cellStyle name="Output 4 5 2 3" xfId="33623"/>
    <cellStyle name="Output 4 5 2 4" xfId="33621"/>
    <cellStyle name="Output 4 5 3" xfId="33624"/>
    <cellStyle name="Output 4 5 3 2" xfId="33625"/>
    <cellStyle name="Output 4 5 4" xfId="33626"/>
    <cellStyle name="Output 4 5 4 2" xfId="33627"/>
    <cellStyle name="Output 4 5 5" xfId="33628"/>
    <cellStyle name="Output 4 5 6" xfId="33629"/>
    <cellStyle name="Output 4 5 7" xfId="33630"/>
    <cellStyle name="Output 4 5 8" xfId="33631"/>
    <cellStyle name="Output 4 5 9" xfId="33632"/>
    <cellStyle name="Output 4 6" xfId="6987"/>
    <cellStyle name="Output 4 6 2" xfId="6988"/>
    <cellStyle name="Output 4 6 2 2" xfId="33635"/>
    <cellStyle name="Output 4 6 2 3" xfId="33634"/>
    <cellStyle name="Output 4 6 3" xfId="33636"/>
    <cellStyle name="Output 4 6 3 2" xfId="33637"/>
    <cellStyle name="Output 4 6 4" xfId="33638"/>
    <cellStyle name="Output 4 6 5" xfId="33639"/>
    <cellStyle name="Output 4 6 6" xfId="33640"/>
    <cellStyle name="Output 4 6 7" xfId="33633"/>
    <cellStyle name="Output 4 7" xfId="6989"/>
    <cellStyle name="Output 4 7 2" xfId="33642"/>
    <cellStyle name="Output 4 7 3" xfId="33641"/>
    <cellStyle name="Output 4 8" xfId="6990"/>
    <cellStyle name="Output 4 8 2" xfId="33643"/>
    <cellStyle name="Output 4 9" xfId="8221"/>
    <cellStyle name="Output 40" xfId="8206"/>
    <cellStyle name="Output 5" xfId="1928"/>
    <cellStyle name="Output 5 10" xfId="33644"/>
    <cellStyle name="Output 5 11" xfId="33645"/>
    <cellStyle name="Output 5 2" xfId="1929"/>
    <cellStyle name="Output 5 2 2" xfId="6991"/>
    <cellStyle name="Output 5 2 2 10" xfId="33646"/>
    <cellStyle name="Output 5 2 2 2" xfId="33647"/>
    <cellStyle name="Output 5 2 2 2 2" xfId="33648"/>
    <cellStyle name="Output 5 2 2 2 3" xfId="33649"/>
    <cellStyle name="Output 5 2 2 3" xfId="33650"/>
    <cellStyle name="Output 5 2 2 3 2" xfId="33651"/>
    <cellStyle name="Output 5 2 2 4" xfId="33652"/>
    <cellStyle name="Output 5 2 2 4 2" xfId="33653"/>
    <cellStyle name="Output 5 2 2 5" xfId="33654"/>
    <cellStyle name="Output 5 2 2 6" xfId="33655"/>
    <cellStyle name="Output 5 2 2 7" xfId="33656"/>
    <cellStyle name="Output 5 2 2 8" xfId="33657"/>
    <cellStyle name="Output 5 2 2 9" xfId="33658"/>
    <cellStyle name="Output 5 2 3" xfId="6992"/>
    <cellStyle name="Output 5 2 3 2" xfId="33660"/>
    <cellStyle name="Output 5 2 3 2 2" xfId="33661"/>
    <cellStyle name="Output 5 2 3 2 3" xfId="33662"/>
    <cellStyle name="Output 5 2 3 3" xfId="33663"/>
    <cellStyle name="Output 5 2 3 3 2" xfId="33664"/>
    <cellStyle name="Output 5 2 3 4" xfId="33665"/>
    <cellStyle name="Output 5 2 3 5" xfId="33666"/>
    <cellStyle name="Output 5 2 3 6" xfId="33667"/>
    <cellStyle name="Output 5 2 3 7" xfId="33659"/>
    <cellStyle name="Output 5 2 4" xfId="6993"/>
    <cellStyle name="Output 5 2 4 2" xfId="6994"/>
    <cellStyle name="Output 5 2 4 2 2" xfId="33669"/>
    <cellStyle name="Output 5 2 4 3" xfId="33670"/>
    <cellStyle name="Output 5 2 4 4" xfId="33668"/>
    <cellStyle name="Output 5 2 5" xfId="6995"/>
    <cellStyle name="Output 5 2 5 2" xfId="6996"/>
    <cellStyle name="Output 5 2 5 3" xfId="33671"/>
    <cellStyle name="Output 5 2 6" xfId="6997"/>
    <cellStyle name="Output 5 2 6 2" xfId="33672"/>
    <cellStyle name="Output 5 2 7" xfId="6998"/>
    <cellStyle name="Output 5 2 7 2" xfId="33673"/>
    <cellStyle name="Output 5 2 8" xfId="8228"/>
    <cellStyle name="Output 5 3" xfId="6999"/>
    <cellStyle name="Output 5 3 2" xfId="33675"/>
    <cellStyle name="Output 5 3 2 2" xfId="33676"/>
    <cellStyle name="Output 5 3 2 2 2" xfId="33677"/>
    <cellStyle name="Output 5 3 2 3" xfId="33678"/>
    <cellStyle name="Output 5 3 2 3 2" xfId="33679"/>
    <cellStyle name="Output 5 3 2 4" xfId="33680"/>
    <cellStyle name="Output 5 3 2 4 2" xfId="33681"/>
    <cellStyle name="Output 5 3 2 5" xfId="33682"/>
    <cellStyle name="Output 5 3 2 6" xfId="33683"/>
    <cellStyle name="Output 5 3 2 7" xfId="33684"/>
    <cellStyle name="Output 5 3 2 8" xfId="33685"/>
    <cellStyle name="Output 5 3 2 9" xfId="33686"/>
    <cellStyle name="Output 5 3 3" xfId="33687"/>
    <cellStyle name="Output 5 3 3 2" xfId="33688"/>
    <cellStyle name="Output 5 3 3 2 2" xfId="33689"/>
    <cellStyle name="Output 5 3 3 3" xfId="33690"/>
    <cellStyle name="Output 5 3 3 3 2" xfId="33691"/>
    <cellStyle name="Output 5 3 3 4" xfId="33692"/>
    <cellStyle name="Output 5 3 3 5" xfId="33693"/>
    <cellStyle name="Output 5 3 3 6" xfId="33694"/>
    <cellStyle name="Output 5 3 4" xfId="33695"/>
    <cellStyle name="Output 5 3 4 2" xfId="33696"/>
    <cellStyle name="Output 5 3 5" xfId="33697"/>
    <cellStyle name="Output 5 3 6" xfId="33698"/>
    <cellStyle name="Output 5 3 7" xfId="33699"/>
    <cellStyle name="Output 5 3 8" xfId="33700"/>
    <cellStyle name="Output 5 3 9" xfId="33674"/>
    <cellStyle name="Output 5 4" xfId="7000"/>
    <cellStyle name="Output 5 4 10" xfId="33701"/>
    <cellStyle name="Output 5 4 2" xfId="33702"/>
    <cellStyle name="Output 5 4 2 2" xfId="33703"/>
    <cellStyle name="Output 5 4 2 3" xfId="33704"/>
    <cellStyle name="Output 5 4 3" xfId="33705"/>
    <cellStyle name="Output 5 4 3 2" xfId="33706"/>
    <cellStyle name="Output 5 4 4" xfId="33707"/>
    <cellStyle name="Output 5 4 4 2" xfId="33708"/>
    <cellStyle name="Output 5 4 5" xfId="33709"/>
    <cellStyle name="Output 5 4 6" xfId="33710"/>
    <cellStyle name="Output 5 4 7" xfId="33711"/>
    <cellStyle name="Output 5 4 8" xfId="33712"/>
    <cellStyle name="Output 5 4 9" xfId="33713"/>
    <cellStyle name="Output 5 5" xfId="7001"/>
    <cellStyle name="Output 5 5 10" xfId="33714"/>
    <cellStyle name="Output 5 5 2" xfId="7002"/>
    <cellStyle name="Output 5 5 2 2" xfId="33716"/>
    <cellStyle name="Output 5 5 2 3" xfId="33717"/>
    <cellStyle name="Output 5 5 2 4" xfId="33715"/>
    <cellStyle name="Output 5 5 3" xfId="33718"/>
    <cellStyle name="Output 5 5 3 2" xfId="33719"/>
    <cellStyle name="Output 5 5 4" xfId="33720"/>
    <cellStyle name="Output 5 5 4 2" xfId="33721"/>
    <cellStyle name="Output 5 5 5" xfId="33722"/>
    <cellStyle name="Output 5 5 6" xfId="33723"/>
    <cellStyle name="Output 5 5 7" xfId="33724"/>
    <cellStyle name="Output 5 5 8" xfId="33725"/>
    <cellStyle name="Output 5 5 9" xfId="33726"/>
    <cellStyle name="Output 5 6" xfId="7003"/>
    <cellStyle name="Output 5 6 2" xfId="7004"/>
    <cellStyle name="Output 5 6 2 2" xfId="33729"/>
    <cellStyle name="Output 5 6 2 3" xfId="33728"/>
    <cellStyle name="Output 5 6 3" xfId="33730"/>
    <cellStyle name="Output 5 6 3 2" xfId="33731"/>
    <cellStyle name="Output 5 6 4" xfId="33732"/>
    <cellStyle name="Output 5 6 5" xfId="33733"/>
    <cellStyle name="Output 5 6 6" xfId="33734"/>
    <cellStyle name="Output 5 6 7" xfId="33727"/>
    <cellStyle name="Output 5 7" xfId="7005"/>
    <cellStyle name="Output 5 7 2" xfId="33736"/>
    <cellStyle name="Output 5 7 3" xfId="33735"/>
    <cellStyle name="Output 5 8" xfId="7006"/>
    <cellStyle name="Output 5 8 2" xfId="33737"/>
    <cellStyle name="Output 5 9" xfId="8227"/>
    <cellStyle name="Output 6" xfId="1930"/>
    <cellStyle name="Output 6 10" xfId="7007"/>
    <cellStyle name="Output 6 10 2" xfId="33738"/>
    <cellStyle name="Output 6 11" xfId="33739"/>
    <cellStyle name="Output 6 2" xfId="1931"/>
    <cellStyle name="Output 6 2 10" xfId="33740"/>
    <cellStyle name="Output 6 2 2" xfId="1932"/>
    <cellStyle name="Output 6 2 2 10" xfId="33741"/>
    <cellStyle name="Output 6 2 2 2" xfId="7009"/>
    <cellStyle name="Output 6 2 2 2 2" xfId="33743"/>
    <cellStyle name="Output 6 2 2 2 3" xfId="33744"/>
    <cellStyle name="Output 6 2 2 2 4" xfId="33742"/>
    <cellStyle name="Output 6 2 2 3" xfId="8230"/>
    <cellStyle name="Output 6 2 2 3 2" xfId="33746"/>
    <cellStyle name="Output 6 2 2 3 3" xfId="33745"/>
    <cellStyle name="Output 6 2 2 4" xfId="33747"/>
    <cellStyle name="Output 6 2 2 4 2" xfId="33748"/>
    <cellStyle name="Output 6 2 2 5" xfId="33749"/>
    <cellStyle name="Output 6 2 2 6" xfId="33750"/>
    <cellStyle name="Output 6 2 2 7" xfId="33751"/>
    <cellStyle name="Output 6 2 2 8" xfId="33752"/>
    <cellStyle name="Output 6 2 2 9" xfId="33753"/>
    <cellStyle name="Output 6 2 3" xfId="7010"/>
    <cellStyle name="Output 6 2 3 2" xfId="33755"/>
    <cellStyle name="Output 6 2 3 2 2" xfId="33756"/>
    <cellStyle name="Output 6 2 3 2 3" xfId="33757"/>
    <cellStyle name="Output 6 2 3 3" xfId="33758"/>
    <cellStyle name="Output 6 2 3 3 2" xfId="33759"/>
    <cellStyle name="Output 6 2 3 4" xfId="33760"/>
    <cellStyle name="Output 6 2 3 5" xfId="33761"/>
    <cellStyle name="Output 6 2 3 6" xfId="33762"/>
    <cellStyle name="Output 6 2 3 7" xfId="33754"/>
    <cellStyle name="Output 6 2 4" xfId="7011"/>
    <cellStyle name="Output 6 2 4 2" xfId="7012"/>
    <cellStyle name="Output 6 2 4 2 2" xfId="33764"/>
    <cellStyle name="Output 6 2 4 3" xfId="33765"/>
    <cellStyle name="Output 6 2 4 4" xfId="33763"/>
    <cellStyle name="Output 6 2 5" xfId="7013"/>
    <cellStyle name="Output 6 2 5 2" xfId="7014"/>
    <cellStyle name="Output 6 2 5 3" xfId="33766"/>
    <cellStyle name="Output 6 2 6" xfId="7015"/>
    <cellStyle name="Output 6 2 6 2" xfId="33767"/>
    <cellStyle name="Output 6 2 7" xfId="7016"/>
    <cellStyle name="Output 6 2 7 2" xfId="33768"/>
    <cellStyle name="Output 6 2 8" xfId="7008"/>
    <cellStyle name="Output 6 2 8 2" xfId="33769"/>
    <cellStyle name="Output 6 2 9" xfId="8229"/>
    <cellStyle name="Output 6 3" xfId="1933"/>
    <cellStyle name="Output 6 3 2" xfId="7018"/>
    <cellStyle name="Output 6 3 2 10" xfId="33771"/>
    <cellStyle name="Output 6 3 2 2" xfId="33772"/>
    <cellStyle name="Output 6 3 2 2 2" xfId="33773"/>
    <cellStyle name="Output 6 3 2 3" xfId="33774"/>
    <cellStyle name="Output 6 3 2 3 2" xfId="33775"/>
    <cellStyle name="Output 6 3 2 4" xfId="33776"/>
    <cellStyle name="Output 6 3 2 4 2" xfId="33777"/>
    <cellStyle name="Output 6 3 2 5" xfId="33778"/>
    <cellStyle name="Output 6 3 2 6" xfId="33779"/>
    <cellStyle name="Output 6 3 2 7" xfId="33780"/>
    <cellStyle name="Output 6 3 2 8" xfId="33781"/>
    <cellStyle name="Output 6 3 2 9" xfId="33782"/>
    <cellStyle name="Output 6 3 3" xfId="7017"/>
    <cellStyle name="Output 6 3 3 2" xfId="33784"/>
    <cellStyle name="Output 6 3 3 2 2" xfId="33785"/>
    <cellStyle name="Output 6 3 3 3" xfId="33786"/>
    <cellStyle name="Output 6 3 3 3 2" xfId="33787"/>
    <cellStyle name="Output 6 3 3 4" xfId="33788"/>
    <cellStyle name="Output 6 3 3 5" xfId="33789"/>
    <cellStyle name="Output 6 3 3 6" xfId="33790"/>
    <cellStyle name="Output 6 3 3 7" xfId="33783"/>
    <cellStyle name="Output 6 3 4" xfId="8231"/>
    <cellStyle name="Output 6 3 4 2" xfId="33792"/>
    <cellStyle name="Output 6 3 4 3" xfId="33791"/>
    <cellStyle name="Output 6 3 5" xfId="33793"/>
    <cellStyle name="Output 6 3 6" xfId="33794"/>
    <cellStyle name="Output 6 3 7" xfId="33795"/>
    <cellStyle name="Output 6 3 8" xfId="33796"/>
    <cellStyle name="Output 6 3 9" xfId="33770"/>
    <cellStyle name="Output 6 4" xfId="1934"/>
    <cellStyle name="Output 6 4 10" xfId="33797"/>
    <cellStyle name="Output 6 4 2" xfId="7019"/>
    <cellStyle name="Output 6 4 2 2" xfId="33799"/>
    <cellStyle name="Output 6 4 2 3" xfId="33800"/>
    <cellStyle name="Output 6 4 2 4" xfId="33798"/>
    <cellStyle name="Output 6 4 3" xfId="33801"/>
    <cellStyle name="Output 6 4 3 2" xfId="33802"/>
    <cellStyle name="Output 6 4 4" xfId="33803"/>
    <cellStyle name="Output 6 4 4 2" xfId="33804"/>
    <cellStyle name="Output 6 4 5" xfId="33805"/>
    <cellStyle name="Output 6 4 6" xfId="33806"/>
    <cellStyle name="Output 6 4 7" xfId="33807"/>
    <cellStyle name="Output 6 4 8" xfId="33808"/>
    <cellStyle name="Output 6 4 9" xfId="33809"/>
    <cellStyle name="Output 6 5" xfId="2844"/>
    <cellStyle name="Output 6 5 2" xfId="7020"/>
    <cellStyle name="Output 6 5 2 2" xfId="33811"/>
    <cellStyle name="Output 6 5 2 3" xfId="33812"/>
    <cellStyle name="Output 6 5 2 4" xfId="33810"/>
    <cellStyle name="Output 6 5 3" xfId="8419"/>
    <cellStyle name="Output 6 5 3 2" xfId="33813"/>
    <cellStyle name="Output 6 5 4" xfId="33814"/>
    <cellStyle name="Output 6 5 4 2" xfId="33815"/>
    <cellStyle name="Output 6 5 5" xfId="33816"/>
    <cellStyle name="Output 6 5 6" xfId="33817"/>
    <cellStyle name="Output 6 5 7" xfId="33818"/>
    <cellStyle name="Output 6 5 8" xfId="33819"/>
    <cellStyle name="Output 6 5 9" xfId="33820"/>
    <cellStyle name="Output 6 6" xfId="7021"/>
    <cellStyle name="Output 6 6 2" xfId="7022"/>
    <cellStyle name="Output 6 6 2 2" xfId="33823"/>
    <cellStyle name="Output 6 6 2 3" xfId="33822"/>
    <cellStyle name="Output 6 6 3" xfId="33824"/>
    <cellStyle name="Output 6 6 3 2" xfId="33825"/>
    <cellStyle name="Output 6 6 4" xfId="33826"/>
    <cellStyle name="Output 6 6 5" xfId="33827"/>
    <cellStyle name="Output 6 6 6" xfId="33828"/>
    <cellStyle name="Output 6 6 7" xfId="33821"/>
    <cellStyle name="Output 6 7" xfId="7023"/>
    <cellStyle name="Output 6 7 2" xfId="7024"/>
    <cellStyle name="Output 6 7 2 2" xfId="33830"/>
    <cellStyle name="Output 6 7 3" xfId="33829"/>
    <cellStyle name="Output 6 8" xfId="7025"/>
    <cellStyle name="Output 6 8 2" xfId="33831"/>
    <cellStyle name="Output 6 9" xfId="7026"/>
    <cellStyle name="Output 6 9 2" xfId="33832"/>
    <cellStyle name="Output 7" xfId="1935"/>
    <cellStyle name="Output 7 10" xfId="7027"/>
    <cellStyle name="Output 7 10 2" xfId="33833"/>
    <cellStyle name="Output 7 11" xfId="8232"/>
    <cellStyle name="Output 7 11 2" xfId="33834"/>
    <cellStyle name="Output 7 2" xfId="1936"/>
    <cellStyle name="Output 7 2 10" xfId="33835"/>
    <cellStyle name="Output 7 2 2" xfId="7029"/>
    <cellStyle name="Output 7 2 2 10" xfId="33836"/>
    <cellStyle name="Output 7 2 2 2" xfId="33837"/>
    <cellStyle name="Output 7 2 2 2 2" xfId="33838"/>
    <cellStyle name="Output 7 2 2 2 3" xfId="33839"/>
    <cellStyle name="Output 7 2 2 3" xfId="33840"/>
    <cellStyle name="Output 7 2 2 3 2" xfId="33841"/>
    <cellStyle name="Output 7 2 2 4" xfId="33842"/>
    <cellStyle name="Output 7 2 2 4 2" xfId="33843"/>
    <cellStyle name="Output 7 2 2 5" xfId="33844"/>
    <cellStyle name="Output 7 2 2 6" xfId="33845"/>
    <cellStyle name="Output 7 2 2 7" xfId="33846"/>
    <cellStyle name="Output 7 2 2 8" xfId="33847"/>
    <cellStyle name="Output 7 2 2 9" xfId="33848"/>
    <cellStyle name="Output 7 2 3" xfId="7030"/>
    <cellStyle name="Output 7 2 3 2" xfId="33850"/>
    <cellStyle name="Output 7 2 3 2 2" xfId="33851"/>
    <cellStyle name="Output 7 2 3 2 3" xfId="33852"/>
    <cellStyle name="Output 7 2 3 3" xfId="33853"/>
    <cellStyle name="Output 7 2 3 3 2" xfId="33854"/>
    <cellStyle name="Output 7 2 3 4" xfId="33855"/>
    <cellStyle name="Output 7 2 3 5" xfId="33856"/>
    <cellStyle name="Output 7 2 3 6" xfId="33857"/>
    <cellStyle name="Output 7 2 3 7" xfId="33849"/>
    <cellStyle name="Output 7 2 4" xfId="7031"/>
    <cellStyle name="Output 7 2 4 2" xfId="7032"/>
    <cellStyle name="Output 7 2 4 2 2" xfId="33859"/>
    <cellStyle name="Output 7 2 4 3" xfId="33860"/>
    <cellStyle name="Output 7 2 4 4" xfId="33858"/>
    <cellStyle name="Output 7 2 5" xfId="7033"/>
    <cellStyle name="Output 7 2 5 2" xfId="7034"/>
    <cellStyle name="Output 7 2 5 3" xfId="33861"/>
    <cellStyle name="Output 7 2 6" xfId="7035"/>
    <cellStyle name="Output 7 2 6 2" xfId="33862"/>
    <cellStyle name="Output 7 2 7" xfId="7036"/>
    <cellStyle name="Output 7 2 7 2" xfId="33863"/>
    <cellStyle name="Output 7 2 8" xfId="7028"/>
    <cellStyle name="Output 7 2 8 2" xfId="33864"/>
    <cellStyle name="Output 7 2 9" xfId="8233"/>
    <cellStyle name="Output 7 3" xfId="2845"/>
    <cellStyle name="Output 7 3 2" xfId="7038"/>
    <cellStyle name="Output 7 3 2 10" xfId="33865"/>
    <cellStyle name="Output 7 3 2 2" xfId="33866"/>
    <cellStyle name="Output 7 3 2 2 2" xfId="33867"/>
    <cellStyle name="Output 7 3 2 3" xfId="33868"/>
    <cellStyle name="Output 7 3 2 3 2" xfId="33869"/>
    <cellStyle name="Output 7 3 2 4" xfId="33870"/>
    <cellStyle name="Output 7 3 2 4 2" xfId="33871"/>
    <cellStyle name="Output 7 3 2 5" xfId="33872"/>
    <cellStyle name="Output 7 3 2 6" xfId="33873"/>
    <cellStyle name="Output 7 3 2 7" xfId="33874"/>
    <cellStyle name="Output 7 3 2 8" xfId="33875"/>
    <cellStyle name="Output 7 3 2 9" xfId="33876"/>
    <cellStyle name="Output 7 3 3" xfId="7037"/>
    <cellStyle name="Output 7 3 3 2" xfId="33878"/>
    <cellStyle name="Output 7 3 3 2 2" xfId="33879"/>
    <cellStyle name="Output 7 3 3 3" xfId="33880"/>
    <cellStyle name="Output 7 3 3 3 2" xfId="33881"/>
    <cellStyle name="Output 7 3 3 4" xfId="33882"/>
    <cellStyle name="Output 7 3 3 5" xfId="33883"/>
    <cellStyle name="Output 7 3 3 6" xfId="33884"/>
    <cellStyle name="Output 7 3 3 7" xfId="33877"/>
    <cellStyle name="Output 7 3 4" xfId="8420"/>
    <cellStyle name="Output 7 3 4 2" xfId="33885"/>
    <cellStyle name="Output 7 3 5" xfId="33886"/>
    <cellStyle name="Output 7 3 6" xfId="33887"/>
    <cellStyle name="Output 7 3 7" xfId="33888"/>
    <cellStyle name="Output 7 3 8" xfId="33889"/>
    <cellStyle name="Output 7 4" xfId="7039"/>
    <cellStyle name="Output 7 4 10" xfId="33890"/>
    <cellStyle name="Output 7 4 2" xfId="33891"/>
    <cellStyle name="Output 7 4 2 2" xfId="33892"/>
    <cellStyle name="Output 7 4 2 3" xfId="33893"/>
    <cellStyle name="Output 7 4 3" xfId="33894"/>
    <cellStyle name="Output 7 4 3 2" xfId="33895"/>
    <cellStyle name="Output 7 4 4" xfId="33896"/>
    <cellStyle name="Output 7 4 4 2" xfId="33897"/>
    <cellStyle name="Output 7 4 5" xfId="33898"/>
    <cellStyle name="Output 7 4 6" xfId="33899"/>
    <cellStyle name="Output 7 4 7" xfId="33900"/>
    <cellStyle name="Output 7 4 8" xfId="33901"/>
    <cellStyle name="Output 7 4 9" xfId="33902"/>
    <cellStyle name="Output 7 5" xfId="7040"/>
    <cellStyle name="Output 7 5 10" xfId="33903"/>
    <cellStyle name="Output 7 5 2" xfId="33904"/>
    <cellStyle name="Output 7 5 2 2" xfId="33905"/>
    <cellStyle name="Output 7 5 2 3" xfId="33906"/>
    <cellStyle name="Output 7 5 3" xfId="33907"/>
    <cellStyle name="Output 7 5 3 2" xfId="33908"/>
    <cellStyle name="Output 7 5 4" xfId="33909"/>
    <cellStyle name="Output 7 5 4 2" xfId="33910"/>
    <cellStyle name="Output 7 5 5" xfId="33911"/>
    <cellStyle name="Output 7 5 6" xfId="33912"/>
    <cellStyle name="Output 7 5 7" xfId="33913"/>
    <cellStyle name="Output 7 5 8" xfId="33914"/>
    <cellStyle name="Output 7 5 9" xfId="33915"/>
    <cellStyle name="Output 7 6" xfId="7041"/>
    <cellStyle name="Output 7 6 2" xfId="7042"/>
    <cellStyle name="Output 7 6 2 2" xfId="33918"/>
    <cellStyle name="Output 7 6 2 3" xfId="33917"/>
    <cellStyle name="Output 7 6 3" xfId="33919"/>
    <cellStyle name="Output 7 6 3 2" xfId="33920"/>
    <cellStyle name="Output 7 6 4" xfId="33921"/>
    <cellStyle name="Output 7 6 5" xfId="33922"/>
    <cellStyle name="Output 7 6 6" xfId="33923"/>
    <cellStyle name="Output 7 6 7" xfId="33916"/>
    <cellStyle name="Output 7 7" xfId="7043"/>
    <cellStyle name="Output 7 7 2" xfId="7044"/>
    <cellStyle name="Output 7 7 2 2" xfId="33925"/>
    <cellStyle name="Output 7 7 3" xfId="33924"/>
    <cellStyle name="Output 7 8" xfId="7045"/>
    <cellStyle name="Output 7 8 2" xfId="33926"/>
    <cellStyle name="Output 7 9" xfId="7046"/>
    <cellStyle name="Output 7 9 2" xfId="33927"/>
    <cellStyle name="Output 8" xfId="1937"/>
    <cellStyle name="Output 8 10" xfId="7047"/>
    <cellStyle name="Output 8 10 2" xfId="33928"/>
    <cellStyle name="Output 8 11" xfId="8234"/>
    <cellStyle name="Output 8 11 2" xfId="33929"/>
    <cellStyle name="Output 8 2" xfId="1938"/>
    <cellStyle name="Output 8 2 10" xfId="33930"/>
    <cellStyle name="Output 8 2 2" xfId="7049"/>
    <cellStyle name="Output 8 2 2 10" xfId="33931"/>
    <cellStyle name="Output 8 2 2 2" xfId="33932"/>
    <cellStyle name="Output 8 2 2 2 2" xfId="33933"/>
    <cellStyle name="Output 8 2 2 2 3" xfId="33934"/>
    <cellStyle name="Output 8 2 2 3" xfId="33935"/>
    <cellStyle name="Output 8 2 2 3 2" xfId="33936"/>
    <cellStyle name="Output 8 2 2 4" xfId="33937"/>
    <cellStyle name="Output 8 2 2 4 2" xfId="33938"/>
    <cellStyle name="Output 8 2 2 5" xfId="33939"/>
    <cellStyle name="Output 8 2 2 6" xfId="33940"/>
    <cellStyle name="Output 8 2 2 7" xfId="33941"/>
    <cellStyle name="Output 8 2 2 8" xfId="33942"/>
    <cellStyle name="Output 8 2 2 9" xfId="33943"/>
    <cellStyle name="Output 8 2 3" xfId="7050"/>
    <cellStyle name="Output 8 2 3 2" xfId="33945"/>
    <cellStyle name="Output 8 2 3 2 2" xfId="33946"/>
    <cellStyle name="Output 8 2 3 2 3" xfId="33947"/>
    <cellStyle name="Output 8 2 3 3" xfId="33948"/>
    <cellStyle name="Output 8 2 3 3 2" xfId="33949"/>
    <cellStyle name="Output 8 2 3 4" xfId="33950"/>
    <cellStyle name="Output 8 2 3 5" xfId="33951"/>
    <cellStyle name="Output 8 2 3 6" xfId="33952"/>
    <cellStyle name="Output 8 2 3 7" xfId="33944"/>
    <cellStyle name="Output 8 2 4" xfId="7051"/>
    <cellStyle name="Output 8 2 4 2" xfId="7052"/>
    <cellStyle name="Output 8 2 4 2 2" xfId="33954"/>
    <cellStyle name="Output 8 2 4 3" xfId="33955"/>
    <cellStyle name="Output 8 2 4 4" xfId="33953"/>
    <cellStyle name="Output 8 2 5" xfId="7053"/>
    <cellStyle name="Output 8 2 5 2" xfId="7054"/>
    <cellStyle name="Output 8 2 5 3" xfId="33956"/>
    <cellStyle name="Output 8 2 6" xfId="7055"/>
    <cellStyle name="Output 8 2 6 2" xfId="33957"/>
    <cellStyle name="Output 8 2 7" xfId="7056"/>
    <cellStyle name="Output 8 2 7 2" xfId="33958"/>
    <cellStyle name="Output 8 2 8" xfId="7048"/>
    <cellStyle name="Output 8 2 8 2" xfId="33959"/>
    <cellStyle name="Output 8 2 9" xfId="8235"/>
    <cellStyle name="Output 8 3" xfId="2846"/>
    <cellStyle name="Output 8 3 2" xfId="7058"/>
    <cellStyle name="Output 8 3 2 10" xfId="33960"/>
    <cellStyle name="Output 8 3 2 2" xfId="33961"/>
    <cellStyle name="Output 8 3 2 2 2" xfId="33962"/>
    <cellStyle name="Output 8 3 2 3" xfId="33963"/>
    <cellStyle name="Output 8 3 2 3 2" xfId="33964"/>
    <cellStyle name="Output 8 3 2 4" xfId="33965"/>
    <cellStyle name="Output 8 3 2 4 2" xfId="33966"/>
    <cellStyle name="Output 8 3 2 5" xfId="33967"/>
    <cellStyle name="Output 8 3 2 6" xfId="33968"/>
    <cellStyle name="Output 8 3 2 7" xfId="33969"/>
    <cellStyle name="Output 8 3 2 8" xfId="33970"/>
    <cellStyle name="Output 8 3 2 9" xfId="33971"/>
    <cellStyle name="Output 8 3 3" xfId="7057"/>
    <cellStyle name="Output 8 3 3 2" xfId="33973"/>
    <cellStyle name="Output 8 3 3 2 2" xfId="33974"/>
    <cellStyle name="Output 8 3 3 3" xfId="33975"/>
    <cellStyle name="Output 8 3 3 3 2" xfId="33976"/>
    <cellStyle name="Output 8 3 3 4" xfId="33977"/>
    <cellStyle name="Output 8 3 3 5" xfId="33978"/>
    <cellStyle name="Output 8 3 3 6" xfId="33979"/>
    <cellStyle name="Output 8 3 3 7" xfId="33972"/>
    <cellStyle name="Output 8 3 4" xfId="8421"/>
    <cellStyle name="Output 8 3 4 2" xfId="33980"/>
    <cellStyle name="Output 8 3 5" xfId="33981"/>
    <cellStyle name="Output 8 3 6" xfId="33982"/>
    <cellStyle name="Output 8 3 7" xfId="33983"/>
    <cellStyle name="Output 8 3 8" xfId="33984"/>
    <cellStyle name="Output 8 4" xfId="7059"/>
    <cellStyle name="Output 8 4 10" xfId="33985"/>
    <cellStyle name="Output 8 4 2" xfId="33986"/>
    <cellStyle name="Output 8 4 2 2" xfId="33987"/>
    <cellStyle name="Output 8 4 2 3" xfId="33988"/>
    <cellStyle name="Output 8 4 3" xfId="33989"/>
    <cellStyle name="Output 8 4 3 2" xfId="33990"/>
    <cellStyle name="Output 8 4 4" xfId="33991"/>
    <cellStyle name="Output 8 4 4 2" xfId="33992"/>
    <cellStyle name="Output 8 4 5" xfId="33993"/>
    <cellStyle name="Output 8 4 6" xfId="33994"/>
    <cellStyle name="Output 8 4 7" xfId="33995"/>
    <cellStyle name="Output 8 4 8" xfId="33996"/>
    <cellStyle name="Output 8 4 9" xfId="33997"/>
    <cellStyle name="Output 8 5" xfId="7060"/>
    <cellStyle name="Output 8 5 10" xfId="33998"/>
    <cellStyle name="Output 8 5 2" xfId="33999"/>
    <cellStyle name="Output 8 5 2 2" xfId="34000"/>
    <cellStyle name="Output 8 5 2 3" xfId="34001"/>
    <cellStyle name="Output 8 5 3" xfId="34002"/>
    <cellStyle name="Output 8 5 3 2" xfId="34003"/>
    <cellStyle name="Output 8 5 4" xfId="34004"/>
    <cellStyle name="Output 8 5 4 2" xfId="34005"/>
    <cellStyle name="Output 8 5 5" xfId="34006"/>
    <cellStyle name="Output 8 5 6" xfId="34007"/>
    <cellStyle name="Output 8 5 7" xfId="34008"/>
    <cellStyle name="Output 8 5 8" xfId="34009"/>
    <cellStyle name="Output 8 5 9" xfId="34010"/>
    <cellStyle name="Output 8 6" xfId="7061"/>
    <cellStyle name="Output 8 6 2" xfId="7062"/>
    <cellStyle name="Output 8 6 2 2" xfId="34013"/>
    <cellStyle name="Output 8 6 2 3" xfId="34012"/>
    <cellStyle name="Output 8 6 3" xfId="34014"/>
    <cellStyle name="Output 8 6 3 2" xfId="34015"/>
    <cellStyle name="Output 8 6 4" xfId="34016"/>
    <cellStyle name="Output 8 6 5" xfId="34017"/>
    <cellStyle name="Output 8 6 6" xfId="34018"/>
    <cellStyle name="Output 8 6 7" xfId="34011"/>
    <cellStyle name="Output 8 7" xfId="7063"/>
    <cellStyle name="Output 8 7 2" xfId="7064"/>
    <cellStyle name="Output 8 7 2 2" xfId="34020"/>
    <cellStyle name="Output 8 7 3" xfId="34019"/>
    <cellStyle name="Output 8 8" xfId="7065"/>
    <cellStyle name="Output 8 8 2" xfId="34021"/>
    <cellStyle name="Output 8 9" xfId="7066"/>
    <cellStyle name="Output 8 9 2" xfId="34022"/>
    <cellStyle name="Output 9" xfId="1939"/>
    <cellStyle name="Output 9 10" xfId="7067"/>
    <cellStyle name="Output 9 10 2" xfId="34023"/>
    <cellStyle name="Output 9 11" xfId="8236"/>
    <cellStyle name="Output 9 11 2" xfId="34024"/>
    <cellStyle name="Output 9 2" xfId="2847"/>
    <cellStyle name="Output 9 2 2" xfId="7068"/>
    <cellStyle name="Output 9 2 2 10" xfId="34025"/>
    <cellStyle name="Output 9 2 2 2" xfId="34026"/>
    <cellStyle name="Output 9 2 2 2 2" xfId="34027"/>
    <cellStyle name="Output 9 2 2 2 3" xfId="34028"/>
    <cellStyle name="Output 9 2 2 3" xfId="34029"/>
    <cellStyle name="Output 9 2 2 3 2" xfId="34030"/>
    <cellStyle name="Output 9 2 2 4" xfId="34031"/>
    <cellStyle name="Output 9 2 2 4 2" xfId="34032"/>
    <cellStyle name="Output 9 2 2 5" xfId="34033"/>
    <cellStyle name="Output 9 2 2 6" xfId="34034"/>
    <cellStyle name="Output 9 2 2 7" xfId="34035"/>
    <cellStyle name="Output 9 2 2 8" xfId="34036"/>
    <cellStyle name="Output 9 2 2 9" xfId="34037"/>
    <cellStyle name="Output 9 2 3" xfId="7069"/>
    <cellStyle name="Output 9 2 3 2" xfId="34039"/>
    <cellStyle name="Output 9 2 3 2 2" xfId="34040"/>
    <cellStyle name="Output 9 2 3 2 3" xfId="34041"/>
    <cellStyle name="Output 9 2 3 3" xfId="34042"/>
    <cellStyle name="Output 9 2 3 3 2" xfId="34043"/>
    <cellStyle name="Output 9 2 3 4" xfId="34044"/>
    <cellStyle name="Output 9 2 3 5" xfId="34045"/>
    <cellStyle name="Output 9 2 3 6" xfId="34046"/>
    <cellStyle name="Output 9 2 3 7" xfId="34038"/>
    <cellStyle name="Output 9 2 4" xfId="7070"/>
    <cellStyle name="Output 9 2 4 2" xfId="7071"/>
    <cellStyle name="Output 9 2 4 2 2" xfId="34048"/>
    <cellStyle name="Output 9 2 4 3" xfId="34049"/>
    <cellStyle name="Output 9 2 4 4" xfId="34047"/>
    <cellStyle name="Output 9 2 5" xfId="7072"/>
    <cellStyle name="Output 9 2 5 2" xfId="7073"/>
    <cellStyle name="Output 9 2 5 3" xfId="34050"/>
    <cellStyle name="Output 9 2 6" xfId="7074"/>
    <cellStyle name="Output 9 2 6 2" xfId="34051"/>
    <cellStyle name="Output 9 2 7" xfId="7075"/>
    <cellStyle name="Output 9 2 7 2" xfId="34052"/>
    <cellStyle name="Output 9 2 8" xfId="8422"/>
    <cellStyle name="Output 9 3" xfId="7076"/>
    <cellStyle name="Output 9 3 2" xfId="7077"/>
    <cellStyle name="Output 9 3 2 10" xfId="34054"/>
    <cellStyle name="Output 9 3 2 2" xfId="34055"/>
    <cellStyle name="Output 9 3 2 2 2" xfId="34056"/>
    <cellStyle name="Output 9 3 2 3" xfId="34057"/>
    <cellStyle name="Output 9 3 2 3 2" xfId="34058"/>
    <cellStyle name="Output 9 3 2 4" xfId="34059"/>
    <cellStyle name="Output 9 3 2 4 2" xfId="34060"/>
    <cellStyle name="Output 9 3 2 5" xfId="34061"/>
    <cellStyle name="Output 9 3 2 6" xfId="34062"/>
    <cellStyle name="Output 9 3 2 7" xfId="34063"/>
    <cellStyle name="Output 9 3 2 8" xfId="34064"/>
    <cellStyle name="Output 9 3 2 9" xfId="34065"/>
    <cellStyle name="Output 9 3 3" xfId="34066"/>
    <cellStyle name="Output 9 3 3 2" xfId="34067"/>
    <cellStyle name="Output 9 3 3 2 2" xfId="34068"/>
    <cellStyle name="Output 9 3 3 3" xfId="34069"/>
    <cellStyle name="Output 9 3 3 3 2" xfId="34070"/>
    <cellStyle name="Output 9 3 3 4" xfId="34071"/>
    <cellStyle name="Output 9 3 3 5" xfId="34072"/>
    <cellStyle name="Output 9 3 3 6" xfId="34073"/>
    <cellStyle name="Output 9 3 4" xfId="34074"/>
    <cellStyle name="Output 9 3 4 2" xfId="34075"/>
    <cellStyle name="Output 9 3 5" xfId="34076"/>
    <cellStyle name="Output 9 3 6" xfId="34077"/>
    <cellStyle name="Output 9 3 7" xfId="34078"/>
    <cellStyle name="Output 9 3 8" xfId="34079"/>
    <cellStyle name="Output 9 3 9" xfId="34053"/>
    <cellStyle name="Output 9 4" xfId="7078"/>
    <cellStyle name="Output 9 4 10" xfId="34080"/>
    <cellStyle name="Output 9 4 2" xfId="34081"/>
    <cellStyle name="Output 9 4 2 2" xfId="34082"/>
    <cellStyle name="Output 9 4 2 3" xfId="34083"/>
    <cellStyle name="Output 9 4 3" xfId="34084"/>
    <cellStyle name="Output 9 4 3 2" xfId="34085"/>
    <cellStyle name="Output 9 4 4" xfId="34086"/>
    <cellStyle name="Output 9 4 4 2" xfId="34087"/>
    <cellStyle name="Output 9 4 5" xfId="34088"/>
    <cellStyle name="Output 9 4 6" xfId="34089"/>
    <cellStyle name="Output 9 4 7" xfId="34090"/>
    <cellStyle name="Output 9 4 8" xfId="34091"/>
    <cellStyle name="Output 9 4 9" xfId="34092"/>
    <cellStyle name="Output 9 5" xfId="7079"/>
    <cellStyle name="Output 9 5 10" xfId="34093"/>
    <cellStyle name="Output 9 5 2" xfId="34094"/>
    <cellStyle name="Output 9 5 2 2" xfId="34095"/>
    <cellStyle name="Output 9 5 2 3" xfId="34096"/>
    <cellStyle name="Output 9 5 3" xfId="34097"/>
    <cellStyle name="Output 9 5 3 2" xfId="34098"/>
    <cellStyle name="Output 9 5 4" xfId="34099"/>
    <cellStyle name="Output 9 5 4 2" xfId="34100"/>
    <cellStyle name="Output 9 5 5" xfId="34101"/>
    <cellStyle name="Output 9 5 6" xfId="34102"/>
    <cellStyle name="Output 9 5 7" xfId="34103"/>
    <cellStyle name="Output 9 5 8" xfId="34104"/>
    <cellStyle name="Output 9 5 9" xfId="34105"/>
    <cellStyle name="Output 9 6" xfId="7080"/>
    <cellStyle name="Output 9 6 2" xfId="7081"/>
    <cellStyle name="Output 9 6 2 2" xfId="34108"/>
    <cellStyle name="Output 9 6 2 3" xfId="34107"/>
    <cellStyle name="Output 9 6 3" xfId="34109"/>
    <cellStyle name="Output 9 6 3 2" xfId="34110"/>
    <cellStyle name="Output 9 6 4" xfId="34111"/>
    <cellStyle name="Output 9 6 5" xfId="34112"/>
    <cellStyle name="Output 9 6 6" xfId="34113"/>
    <cellStyle name="Output 9 6 7" xfId="34106"/>
    <cellStyle name="Output 9 7" xfId="7082"/>
    <cellStyle name="Output 9 7 2" xfId="7083"/>
    <cellStyle name="Output 9 7 2 2" xfId="34115"/>
    <cellStyle name="Output 9 7 3" xfId="34114"/>
    <cellStyle name="Output 9 8" xfId="7084"/>
    <cellStyle name="Output 9 8 2" xfId="34116"/>
    <cellStyle name="Output 9 9" xfId="7085"/>
    <cellStyle name="Output 9 9 2" xfId="34117"/>
    <cellStyle name="OUTPUT AMOUNTS" xfId="1940"/>
    <cellStyle name="Output Amounts 2" xfId="1941"/>
    <cellStyle name="OUTPUT AMOUNTS 2 2" xfId="1942"/>
    <cellStyle name="OUTPUT AMOUNTS 3" xfId="7086"/>
    <cellStyle name="OUTPUT AMOUNTS 4" xfId="7087"/>
    <cellStyle name="OUTPUT AMOUNTS 5" xfId="7088"/>
    <cellStyle name="OUTPUT AMOUNTS 6" xfId="7089"/>
    <cellStyle name="OUTPUT AMOUNTS 7" xfId="7090"/>
    <cellStyle name="OUTPUT AMOUNTS 8" xfId="7824"/>
    <cellStyle name="Output Amounts_1. Call Placement 31-Dec-09" xfId="42250"/>
    <cellStyle name="OUTPUT COLUMN HEADINGS" xfId="1943"/>
    <cellStyle name="Output Column Headings 2" xfId="1944"/>
    <cellStyle name="Output Column Headings 2 2" xfId="42252"/>
    <cellStyle name="OUTPUT COLUMN HEADINGS 3" xfId="42251"/>
    <cellStyle name="Output Column Headings_1. Rcon FEEL vs Trial (Domestic on BS)" xfId="42253"/>
    <cellStyle name="OUTPUT LINE ITEMS" xfId="1945"/>
    <cellStyle name="OUTPUT LINE ITEMS 10" xfId="34118"/>
    <cellStyle name="OUTPUT LINE ITEMS 11" xfId="34119"/>
    <cellStyle name="Output Line Items 12" xfId="40797"/>
    <cellStyle name="Output Line Items 2" xfId="1946"/>
    <cellStyle name="Output Line Items 2 2" xfId="34120"/>
    <cellStyle name="Output Line Items 2 2 2" xfId="34121"/>
    <cellStyle name="Output Line Items 2 2 2 2" xfId="34122"/>
    <cellStyle name="Output Line Items 2 3" xfId="34123"/>
    <cellStyle name="Output Line Items 2 4" xfId="40798"/>
    <cellStyle name="OUTPUT LINE ITEMS 3" xfId="34124"/>
    <cellStyle name="OUTPUT LINE ITEMS 3 2" xfId="34125"/>
    <cellStyle name="OUTPUT LINE ITEMS 3 2 2" xfId="34126"/>
    <cellStyle name="Output Line Items 3 3" xfId="41864"/>
    <cellStyle name="OUTPUT LINE ITEMS 4" xfId="34127"/>
    <cellStyle name="OUTPUT LINE ITEMS 4 2" xfId="34128"/>
    <cellStyle name="OUTPUT LINE ITEMS 5" xfId="34129"/>
    <cellStyle name="OUTPUT LINE ITEMS 5 2" xfId="34130"/>
    <cellStyle name="OUTPUT LINE ITEMS 6" xfId="34131"/>
    <cellStyle name="OUTPUT LINE ITEMS 6 2" xfId="34132"/>
    <cellStyle name="OUTPUT LINE ITEMS 7" xfId="34133"/>
    <cellStyle name="OUTPUT LINE ITEMS 7 2" xfId="34134"/>
    <cellStyle name="OUTPUT LINE ITEMS 8" xfId="34135"/>
    <cellStyle name="OUTPUT LINE ITEMS 9" xfId="34136"/>
    <cellStyle name="OUTPUT LINE ITEMS__Form 35" xfId="42254"/>
    <cellStyle name="OUTPUT REPORT HEADING" xfId="1947"/>
    <cellStyle name="Output Report Heading 2" xfId="1948"/>
    <cellStyle name="Output Report Heading 2 2" xfId="42256"/>
    <cellStyle name="OUTPUT REPORT HEADING 3" xfId="42255"/>
    <cellStyle name="Output Report Heading_1. Rcon FEEL vs Trial (Domestic on BS)" xfId="42257"/>
    <cellStyle name="OUTPUT REPORT TITLE" xfId="1949"/>
    <cellStyle name="Output Report Title 2" xfId="1950"/>
    <cellStyle name="Output Report Title 2 2" xfId="42259"/>
    <cellStyle name="OUTPUT REPORT TITLE 3" xfId="42258"/>
    <cellStyle name="Output Report Title_1. Rcon FEEL vs Trial (Domestic on BS)" xfId="42260"/>
    <cellStyle name="p/n" xfId="1951"/>
    <cellStyle name="p/n 2" xfId="1952"/>
    <cellStyle name="p/n 2 2" xfId="1953"/>
    <cellStyle name="p/n 3" xfId="1954"/>
    <cellStyle name="p/n 4" xfId="1955"/>
    <cellStyle name="p/n 5" xfId="40799"/>
    <cellStyle name="Percent" xfId="4" builtinId="5"/>
    <cellStyle name="Percent (0)" xfId="40502"/>
    <cellStyle name="Percent [0]" xfId="2848"/>
    <cellStyle name="Percent [0] 2" xfId="34137"/>
    <cellStyle name="Percent [0] 3" xfId="42261"/>
    <cellStyle name="Percent [00]" xfId="2849"/>
    <cellStyle name="Percent [00] 2" xfId="34138"/>
    <cellStyle name="Percent [00] 3" xfId="42262"/>
    <cellStyle name="Percent [2]" xfId="1957"/>
    <cellStyle name="Percent [2] 10" xfId="2473"/>
    <cellStyle name="Percent [2] 11" xfId="2474"/>
    <cellStyle name="Percent [2] 12" xfId="2475"/>
    <cellStyle name="Percent [2] 13" xfId="2476"/>
    <cellStyle name="Percent [2] 14" xfId="2477"/>
    <cellStyle name="Percent [2] 15" xfId="2478"/>
    <cellStyle name="Percent [2] 16" xfId="2479"/>
    <cellStyle name="Percent [2] 17" xfId="2480"/>
    <cellStyle name="Percent [2] 18" xfId="2481"/>
    <cellStyle name="Percent [2] 19" xfId="2482"/>
    <cellStyle name="Percent [2] 2" xfId="1958"/>
    <cellStyle name="Percent [2] 2 2" xfId="1959"/>
    <cellStyle name="Percent [2] 2 2 2" xfId="34139"/>
    <cellStyle name="Percent [2] 2 3" xfId="34140"/>
    <cellStyle name="Percent [2] 2 3 2" xfId="41203"/>
    <cellStyle name="Percent [2] 2 4" xfId="34141"/>
    <cellStyle name="Percent [2] 20" xfId="7091"/>
    <cellStyle name="Percent [2] 21" xfId="7092"/>
    <cellStyle name="Percent [2] 3" xfId="1960"/>
    <cellStyle name="Percent [2] 4" xfId="1961"/>
    <cellStyle name="Percent [2] 4 2" xfId="2483"/>
    <cellStyle name="Percent [2] 5" xfId="2484"/>
    <cellStyle name="Percent [2] 6" xfId="2485"/>
    <cellStyle name="Percent [2] 7" xfId="2486"/>
    <cellStyle name="Percent [2] 8" xfId="2487"/>
    <cellStyle name="Percent [2] 9" xfId="2488"/>
    <cellStyle name="Percent [2]_Book1sarah" xfId="2850"/>
    <cellStyle name="Percent 10" xfId="1962"/>
    <cellStyle name="Percent 10 2" xfId="1963"/>
    <cellStyle name="Percent 10 2 2" xfId="7095"/>
    <cellStyle name="Percent 10 2 2 2" xfId="7096"/>
    <cellStyle name="Percent 10 2 2 3" xfId="41136"/>
    <cellStyle name="Percent 10 2 3" xfId="7097"/>
    <cellStyle name="Percent 10 2 3 2" xfId="41254"/>
    <cellStyle name="Percent 10 2 4" xfId="7098"/>
    <cellStyle name="Percent 10 2 4 2" xfId="41589"/>
    <cellStyle name="Percent 10 2 5" xfId="7094"/>
    <cellStyle name="Percent 10 2 5 2" xfId="41059"/>
    <cellStyle name="Percent 10 2 6" xfId="40941"/>
    <cellStyle name="Percent 10 3" xfId="1964"/>
    <cellStyle name="Percent 10 3 2" xfId="7100"/>
    <cellStyle name="Percent 10 3 2 2" xfId="7101"/>
    <cellStyle name="Percent 10 3 3" xfId="7102"/>
    <cellStyle name="Percent 10 3 4" xfId="7103"/>
    <cellStyle name="Percent 10 3 5" xfId="7099"/>
    <cellStyle name="Percent 10 3 6" xfId="34143"/>
    <cellStyle name="Percent 10 3 7" xfId="41112"/>
    <cellStyle name="Percent 10 4" xfId="1965"/>
    <cellStyle name="Percent 10 4 2" xfId="7104"/>
    <cellStyle name="Percent 10 4 3" xfId="34144"/>
    <cellStyle name="Percent 10 4 4" xfId="41230"/>
    <cellStyle name="Percent 10 5" xfId="7105"/>
    <cellStyle name="Percent 10 5 2" xfId="41338"/>
    <cellStyle name="Percent 10 6" xfId="7106"/>
    <cellStyle name="Percent 10 6 2" xfId="41058"/>
    <cellStyle name="Percent 10 7" xfId="7093"/>
    <cellStyle name="Percent 10 7 2" xfId="40909"/>
    <cellStyle name="Percent 10 8" xfId="34142"/>
    <cellStyle name="Percent 11" xfId="1966"/>
    <cellStyle name="Percent 11 10" xfId="34146"/>
    <cellStyle name="Percent 11 11" xfId="34147"/>
    <cellStyle name="Percent 11 12" xfId="34145"/>
    <cellStyle name="Percent 11 2" xfId="1967"/>
    <cellStyle name="Percent 11 2 10" xfId="34149"/>
    <cellStyle name="Percent 11 2 11" xfId="34148"/>
    <cellStyle name="Percent 11 2 12" xfId="40939"/>
    <cellStyle name="Percent 11 2 2" xfId="34150"/>
    <cellStyle name="Percent 11 2 2 2" xfId="34151"/>
    <cellStyle name="Percent 11 2 2 2 2" xfId="34152"/>
    <cellStyle name="Percent 11 2 2 2 2 2" xfId="34153"/>
    <cellStyle name="Percent 11 2 2 2 2 2 2" xfId="34154"/>
    <cellStyle name="Percent 11 2 2 2 2 3" xfId="34155"/>
    <cellStyle name="Percent 11 2 2 2 3" xfId="34156"/>
    <cellStyle name="Percent 11 2 2 2 3 2" xfId="34157"/>
    <cellStyle name="Percent 11 2 2 2 4" xfId="34158"/>
    <cellStyle name="Percent 11 2 2 2 5" xfId="34159"/>
    <cellStyle name="Percent 11 2 2 3" xfId="34160"/>
    <cellStyle name="Percent 11 2 2 3 2" xfId="34161"/>
    <cellStyle name="Percent 11 2 2 3 2 2" xfId="34162"/>
    <cellStyle name="Percent 11 2 2 3 2 2 2" xfId="34163"/>
    <cellStyle name="Percent 11 2 2 3 2 3" xfId="34164"/>
    <cellStyle name="Percent 11 2 2 3 3" xfId="34165"/>
    <cellStyle name="Percent 11 2 2 3 3 2" xfId="34166"/>
    <cellStyle name="Percent 11 2 2 3 4" xfId="34167"/>
    <cellStyle name="Percent 11 2 2 4" xfId="34168"/>
    <cellStyle name="Percent 11 2 2 4 2" xfId="34169"/>
    <cellStyle name="Percent 11 2 2 4 2 2" xfId="34170"/>
    <cellStyle name="Percent 11 2 2 4 3" xfId="34171"/>
    <cellStyle name="Percent 11 2 2 5" xfId="34172"/>
    <cellStyle name="Percent 11 2 2 5 2" xfId="34173"/>
    <cellStyle name="Percent 11 2 2 5 2 2" xfId="34174"/>
    <cellStyle name="Percent 11 2 2 5 3" xfId="34175"/>
    <cellStyle name="Percent 11 2 2 6" xfId="34176"/>
    <cellStyle name="Percent 11 2 2 6 2" xfId="34177"/>
    <cellStyle name="Percent 11 2 2 7" xfId="34178"/>
    <cellStyle name="Percent 11 2 2 8" xfId="34179"/>
    <cellStyle name="Percent 11 2 2 9" xfId="41134"/>
    <cellStyle name="Percent 11 2 3" xfId="34180"/>
    <cellStyle name="Percent 11 2 3 2" xfId="34181"/>
    <cellStyle name="Percent 11 2 3 2 2" xfId="34182"/>
    <cellStyle name="Percent 11 2 3 2 2 2" xfId="34183"/>
    <cellStyle name="Percent 11 2 3 2 2 2 2" xfId="34184"/>
    <cellStyle name="Percent 11 2 3 2 2 3" xfId="34185"/>
    <cellStyle name="Percent 11 2 3 2 3" xfId="34186"/>
    <cellStyle name="Percent 11 2 3 2 3 2" xfId="34187"/>
    <cellStyle name="Percent 11 2 3 2 4" xfId="34188"/>
    <cellStyle name="Percent 11 2 3 2 5" xfId="34189"/>
    <cellStyle name="Percent 11 2 3 3" xfId="34190"/>
    <cellStyle name="Percent 11 2 3 3 2" xfId="34191"/>
    <cellStyle name="Percent 11 2 3 3 2 2" xfId="34192"/>
    <cellStyle name="Percent 11 2 3 3 2 2 2" xfId="34193"/>
    <cellStyle name="Percent 11 2 3 3 2 3" xfId="34194"/>
    <cellStyle name="Percent 11 2 3 3 3" xfId="34195"/>
    <cellStyle name="Percent 11 2 3 3 3 2" xfId="34196"/>
    <cellStyle name="Percent 11 2 3 3 4" xfId="34197"/>
    <cellStyle name="Percent 11 2 3 4" xfId="34198"/>
    <cellStyle name="Percent 11 2 3 4 2" xfId="34199"/>
    <cellStyle name="Percent 11 2 3 4 2 2" xfId="34200"/>
    <cellStyle name="Percent 11 2 3 4 3" xfId="34201"/>
    <cellStyle name="Percent 11 2 3 5" xfId="34202"/>
    <cellStyle name="Percent 11 2 3 5 2" xfId="34203"/>
    <cellStyle name="Percent 11 2 3 5 2 2" xfId="34204"/>
    <cellStyle name="Percent 11 2 3 5 3" xfId="34205"/>
    <cellStyle name="Percent 11 2 3 6" xfId="34206"/>
    <cellStyle name="Percent 11 2 3 6 2" xfId="34207"/>
    <cellStyle name="Percent 11 2 3 7" xfId="34208"/>
    <cellStyle name="Percent 11 2 3 8" xfId="34209"/>
    <cellStyle name="Percent 11 2 3 9" xfId="41252"/>
    <cellStyle name="Percent 11 2 4" xfId="34210"/>
    <cellStyle name="Percent 11 2 4 2" xfId="34211"/>
    <cellStyle name="Percent 11 2 4 2 2" xfId="34212"/>
    <cellStyle name="Percent 11 2 4 2 2 2" xfId="34213"/>
    <cellStyle name="Percent 11 2 4 2 2 2 2" xfId="34214"/>
    <cellStyle name="Percent 11 2 4 2 2 3" xfId="34215"/>
    <cellStyle name="Percent 11 2 4 2 3" xfId="34216"/>
    <cellStyle name="Percent 11 2 4 2 3 2" xfId="34217"/>
    <cellStyle name="Percent 11 2 4 2 4" xfId="34218"/>
    <cellStyle name="Percent 11 2 4 3" xfId="34219"/>
    <cellStyle name="Percent 11 2 4 3 2" xfId="34220"/>
    <cellStyle name="Percent 11 2 4 3 2 2" xfId="34221"/>
    <cellStyle name="Percent 11 2 4 3 3" xfId="34222"/>
    <cellStyle name="Percent 11 2 4 4" xfId="34223"/>
    <cellStyle name="Percent 11 2 4 4 2" xfId="34224"/>
    <cellStyle name="Percent 11 2 4 4 2 2" xfId="34225"/>
    <cellStyle name="Percent 11 2 4 4 3" xfId="34226"/>
    <cellStyle name="Percent 11 2 4 5" xfId="34227"/>
    <cellStyle name="Percent 11 2 4 5 2" xfId="34228"/>
    <cellStyle name="Percent 11 2 4 6" xfId="34229"/>
    <cellStyle name="Percent 11 2 4 7" xfId="34230"/>
    <cellStyle name="Percent 11 2 4 8" xfId="41590"/>
    <cellStyle name="Percent 11 2 5" xfId="34231"/>
    <cellStyle name="Percent 11 2 5 2" xfId="34232"/>
    <cellStyle name="Percent 11 2 5 2 2" xfId="34233"/>
    <cellStyle name="Percent 11 2 5 2 2 2" xfId="34234"/>
    <cellStyle name="Percent 11 2 5 2 3" xfId="34235"/>
    <cellStyle name="Percent 11 2 5 3" xfId="34236"/>
    <cellStyle name="Percent 11 2 5 3 2" xfId="34237"/>
    <cellStyle name="Percent 11 2 5 4" xfId="34238"/>
    <cellStyle name="Percent 11 2 5 5" xfId="34239"/>
    <cellStyle name="Percent 11 2 5 6" xfId="41061"/>
    <cellStyle name="Percent 11 2 6" xfId="34240"/>
    <cellStyle name="Percent 11 2 6 2" xfId="34241"/>
    <cellStyle name="Percent 11 2 6 2 2" xfId="34242"/>
    <cellStyle name="Percent 11 2 6 3" xfId="34243"/>
    <cellStyle name="Percent 11 2 7" xfId="34244"/>
    <cellStyle name="Percent 11 2 7 2" xfId="34245"/>
    <cellStyle name="Percent 11 2 7 2 2" xfId="34246"/>
    <cellStyle name="Percent 11 2 7 3" xfId="34247"/>
    <cellStyle name="Percent 11 2 8" xfId="34248"/>
    <cellStyle name="Percent 11 2 8 2" xfId="34249"/>
    <cellStyle name="Percent 11 2 9" xfId="34250"/>
    <cellStyle name="Percent 11 2 9 2" xfId="34251"/>
    <cellStyle name="Percent 11 3" xfId="1968"/>
    <cellStyle name="Percent 11 3 10" xfId="41109"/>
    <cellStyle name="Percent 11 3 2" xfId="34253"/>
    <cellStyle name="Percent 11 3 2 2" xfId="34254"/>
    <cellStyle name="Percent 11 3 2 2 2" xfId="34255"/>
    <cellStyle name="Percent 11 3 2 2 2 2" xfId="34256"/>
    <cellStyle name="Percent 11 3 2 2 3" xfId="34257"/>
    <cellStyle name="Percent 11 3 2 3" xfId="34258"/>
    <cellStyle name="Percent 11 3 2 3 2" xfId="34259"/>
    <cellStyle name="Percent 11 3 2 4" xfId="34260"/>
    <cellStyle name="Percent 11 3 2 5" xfId="34261"/>
    <cellStyle name="Percent 11 3 3" xfId="34262"/>
    <cellStyle name="Percent 11 3 3 2" xfId="34263"/>
    <cellStyle name="Percent 11 3 3 2 2" xfId="34264"/>
    <cellStyle name="Percent 11 3 3 2 2 2" xfId="34265"/>
    <cellStyle name="Percent 11 3 3 2 3" xfId="34266"/>
    <cellStyle name="Percent 11 3 3 3" xfId="34267"/>
    <cellStyle name="Percent 11 3 3 3 2" xfId="34268"/>
    <cellStyle name="Percent 11 3 3 4" xfId="34269"/>
    <cellStyle name="Percent 11 3 4" xfId="34270"/>
    <cellStyle name="Percent 11 3 4 2" xfId="34271"/>
    <cellStyle name="Percent 11 3 4 2 2" xfId="34272"/>
    <cellStyle name="Percent 11 3 4 3" xfId="34273"/>
    <cellStyle name="Percent 11 3 5" xfId="34274"/>
    <cellStyle name="Percent 11 3 5 2" xfId="34275"/>
    <cellStyle name="Percent 11 3 5 2 2" xfId="34276"/>
    <cellStyle name="Percent 11 3 5 3" xfId="34277"/>
    <cellStyle name="Percent 11 3 6" xfId="34278"/>
    <cellStyle name="Percent 11 3 6 2" xfId="34279"/>
    <cellStyle name="Percent 11 3 7" xfId="34280"/>
    <cellStyle name="Percent 11 3 8" xfId="34281"/>
    <cellStyle name="Percent 11 3 9" xfId="34252"/>
    <cellStyle name="Percent 11 4" xfId="1969"/>
    <cellStyle name="Percent 11 4 10" xfId="41227"/>
    <cellStyle name="Percent 11 4 2" xfId="34283"/>
    <cellStyle name="Percent 11 4 2 2" xfId="34284"/>
    <cellStyle name="Percent 11 4 2 2 2" xfId="34285"/>
    <cellStyle name="Percent 11 4 2 2 2 2" xfId="34286"/>
    <cellStyle name="Percent 11 4 2 2 3" xfId="34287"/>
    <cellStyle name="Percent 11 4 2 3" xfId="34288"/>
    <cellStyle name="Percent 11 4 2 3 2" xfId="34289"/>
    <cellStyle name="Percent 11 4 2 4" xfId="34290"/>
    <cellStyle name="Percent 11 4 2 5" xfId="34291"/>
    <cellStyle name="Percent 11 4 3" xfId="34292"/>
    <cellStyle name="Percent 11 4 3 2" xfId="34293"/>
    <cellStyle name="Percent 11 4 3 2 2" xfId="34294"/>
    <cellStyle name="Percent 11 4 3 2 2 2" xfId="34295"/>
    <cellStyle name="Percent 11 4 3 2 3" xfId="34296"/>
    <cellStyle name="Percent 11 4 3 3" xfId="34297"/>
    <cellStyle name="Percent 11 4 3 3 2" xfId="34298"/>
    <cellStyle name="Percent 11 4 3 4" xfId="34299"/>
    <cellStyle name="Percent 11 4 4" xfId="34300"/>
    <cellStyle name="Percent 11 4 4 2" xfId="34301"/>
    <cellStyle name="Percent 11 4 4 2 2" xfId="34302"/>
    <cellStyle name="Percent 11 4 4 3" xfId="34303"/>
    <cellStyle name="Percent 11 4 5" xfId="34304"/>
    <cellStyle name="Percent 11 4 5 2" xfId="34305"/>
    <cellStyle name="Percent 11 4 5 2 2" xfId="34306"/>
    <cellStyle name="Percent 11 4 5 3" xfId="34307"/>
    <cellStyle name="Percent 11 4 6" xfId="34308"/>
    <cellStyle name="Percent 11 4 6 2" xfId="34309"/>
    <cellStyle name="Percent 11 4 7" xfId="34310"/>
    <cellStyle name="Percent 11 4 8" xfId="34311"/>
    <cellStyle name="Percent 11 4 9" xfId="34282"/>
    <cellStyle name="Percent 11 5" xfId="3132"/>
    <cellStyle name="Percent 11 5 2" xfId="34313"/>
    <cellStyle name="Percent 11 5 2 2" xfId="34314"/>
    <cellStyle name="Percent 11 5 2 2 2" xfId="34315"/>
    <cellStyle name="Percent 11 5 2 2 2 2" xfId="34316"/>
    <cellStyle name="Percent 11 5 2 2 3" xfId="34317"/>
    <cellStyle name="Percent 11 5 2 3" xfId="34318"/>
    <cellStyle name="Percent 11 5 2 3 2" xfId="34319"/>
    <cellStyle name="Percent 11 5 2 4" xfId="34320"/>
    <cellStyle name="Percent 11 5 3" xfId="34321"/>
    <cellStyle name="Percent 11 5 3 2" xfId="34322"/>
    <cellStyle name="Percent 11 5 3 2 2" xfId="34323"/>
    <cellStyle name="Percent 11 5 3 3" xfId="34324"/>
    <cellStyle name="Percent 11 5 4" xfId="34325"/>
    <cellStyle name="Percent 11 5 4 2" xfId="34326"/>
    <cellStyle name="Percent 11 5 4 2 2" xfId="34327"/>
    <cellStyle name="Percent 11 5 4 3" xfId="34328"/>
    <cellStyle name="Percent 11 5 5" xfId="34329"/>
    <cellStyle name="Percent 11 5 5 2" xfId="34330"/>
    <cellStyle name="Percent 11 5 6" xfId="34331"/>
    <cellStyle name="Percent 11 5 7" xfId="34332"/>
    <cellStyle name="Percent 11 5 8" xfId="34312"/>
    <cellStyle name="Percent 11 6" xfId="7107"/>
    <cellStyle name="Percent 11 6 2" xfId="34334"/>
    <cellStyle name="Percent 11 6 2 2" xfId="34335"/>
    <cellStyle name="Percent 11 6 2 2 2" xfId="34336"/>
    <cellStyle name="Percent 11 6 2 3" xfId="34337"/>
    <cellStyle name="Percent 11 6 3" xfId="34338"/>
    <cellStyle name="Percent 11 6 3 2" xfId="34339"/>
    <cellStyle name="Percent 11 6 4" xfId="34340"/>
    <cellStyle name="Percent 11 6 5" xfId="34341"/>
    <cellStyle name="Percent 11 6 6" xfId="34333"/>
    <cellStyle name="Percent 11 6 7" xfId="41060"/>
    <cellStyle name="Percent 11 7" xfId="34342"/>
    <cellStyle name="Percent 11 7 2" xfId="34343"/>
    <cellStyle name="Percent 11 7 2 2" xfId="34344"/>
    <cellStyle name="Percent 11 7 3" xfId="34345"/>
    <cellStyle name="Percent 11 7 4" xfId="40906"/>
    <cellStyle name="Percent 11 8" xfId="34346"/>
    <cellStyle name="Percent 11 8 2" xfId="34347"/>
    <cellStyle name="Percent 11 8 2 2" xfId="34348"/>
    <cellStyle name="Percent 11 8 3" xfId="34349"/>
    <cellStyle name="Percent 11 9" xfId="34350"/>
    <cellStyle name="Percent 11 9 2" xfId="34351"/>
    <cellStyle name="Percent 12" xfId="1970"/>
    <cellStyle name="Percent 12 2" xfId="1971"/>
    <cellStyle name="Percent 12 2 2" xfId="34352"/>
    <cellStyle name="Percent 12 2 2 2" xfId="41137"/>
    <cellStyle name="Percent 12 2 3" xfId="41255"/>
    <cellStyle name="Percent 12 2 4" xfId="41591"/>
    <cellStyle name="Percent 12 2 5" xfId="41063"/>
    <cellStyle name="Percent 12 2 6" xfId="40942"/>
    <cellStyle name="Percent 12 3" xfId="1972"/>
    <cellStyle name="Percent 12 3 2" xfId="34353"/>
    <cellStyle name="Percent 12 3 3" xfId="41113"/>
    <cellStyle name="Percent 12 4" xfId="3133"/>
    <cellStyle name="Percent 12 4 2" xfId="41231"/>
    <cellStyle name="Percent 12 5" xfId="41339"/>
    <cellStyle name="Percent 12 6" xfId="41062"/>
    <cellStyle name="Percent 12 7" xfId="40910"/>
    <cellStyle name="Percent 13" xfId="1973"/>
    <cellStyle name="Percent 13 10" xfId="34355"/>
    <cellStyle name="Percent 13 11" xfId="34356"/>
    <cellStyle name="Percent 13 12" xfId="34357"/>
    <cellStyle name="Percent 13 13" xfId="34354"/>
    <cellStyle name="Percent 13 2" xfId="1974"/>
    <cellStyle name="Percent 13 2 10" xfId="34359"/>
    <cellStyle name="Percent 13 2 11" xfId="34358"/>
    <cellStyle name="Percent 13 2 12" xfId="40940"/>
    <cellStyle name="Percent 13 2 2" xfId="34360"/>
    <cellStyle name="Percent 13 2 2 2" xfId="34361"/>
    <cellStyle name="Percent 13 2 2 2 2" xfId="34362"/>
    <cellStyle name="Percent 13 2 2 2 2 2" xfId="34363"/>
    <cellStyle name="Percent 13 2 2 2 2 2 2" xfId="34364"/>
    <cellStyle name="Percent 13 2 2 2 2 3" xfId="34365"/>
    <cellStyle name="Percent 13 2 2 2 3" xfId="34366"/>
    <cellStyle name="Percent 13 2 2 2 3 2" xfId="34367"/>
    <cellStyle name="Percent 13 2 2 2 4" xfId="34368"/>
    <cellStyle name="Percent 13 2 2 2 5" xfId="34369"/>
    <cellStyle name="Percent 13 2 2 3" xfId="34370"/>
    <cellStyle name="Percent 13 2 2 3 2" xfId="34371"/>
    <cellStyle name="Percent 13 2 2 3 2 2" xfId="34372"/>
    <cellStyle name="Percent 13 2 2 3 2 2 2" xfId="34373"/>
    <cellStyle name="Percent 13 2 2 3 2 3" xfId="34374"/>
    <cellStyle name="Percent 13 2 2 3 3" xfId="34375"/>
    <cellStyle name="Percent 13 2 2 3 3 2" xfId="34376"/>
    <cellStyle name="Percent 13 2 2 3 4" xfId="34377"/>
    <cellStyle name="Percent 13 2 2 4" xfId="34378"/>
    <cellStyle name="Percent 13 2 2 4 2" xfId="34379"/>
    <cellStyle name="Percent 13 2 2 4 2 2" xfId="34380"/>
    <cellStyle name="Percent 13 2 2 4 3" xfId="34381"/>
    <cellStyle name="Percent 13 2 2 5" xfId="34382"/>
    <cellStyle name="Percent 13 2 2 5 2" xfId="34383"/>
    <cellStyle name="Percent 13 2 2 5 2 2" xfId="34384"/>
    <cellStyle name="Percent 13 2 2 5 3" xfId="34385"/>
    <cellStyle name="Percent 13 2 2 6" xfId="34386"/>
    <cellStyle name="Percent 13 2 2 6 2" xfId="34387"/>
    <cellStyle name="Percent 13 2 2 7" xfId="34388"/>
    <cellStyle name="Percent 13 2 2 8" xfId="34389"/>
    <cellStyle name="Percent 13 2 2 9" xfId="41135"/>
    <cellStyle name="Percent 13 2 3" xfId="34390"/>
    <cellStyle name="Percent 13 2 3 2" xfId="34391"/>
    <cellStyle name="Percent 13 2 3 2 2" xfId="34392"/>
    <cellStyle name="Percent 13 2 3 2 2 2" xfId="34393"/>
    <cellStyle name="Percent 13 2 3 2 2 2 2" xfId="34394"/>
    <cellStyle name="Percent 13 2 3 2 2 3" xfId="34395"/>
    <cellStyle name="Percent 13 2 3 2 3" xfId="34396"/>
    <cellStyle name="Percent 13 2 3 2 3 2" xfId="34397"/>
    <cellStyle name="Percent 13 2 3 2 4" xfId="34398"/>
    <cellStyle name="Percent 13 2 3 2 5" xfId="34399"/>
    <cellStyle name="Percent 13 2 3 3" xfId="34400"/>
    <cellStyle name="Percent 13 2 3 3 2" xfId="34401"/>
    <cellStyle name="Percent 13 2 3 3 2 2" xfId="34402"/>
    <cellStyle name="Percent 13 2 3 3 2 2 2" xfId="34403"/>
    <cellStyle name="Percent 13 2 3 3 2 3" xfId="34404"/>
    <cellStyle name="Percent 13 2 3 3 3" xfId="34405"/>
    <cellStyle name="Percent 13 2 3 3 3 2" xfId="34406"/>
    <cellStyle name="Percent 13 2 3 3 4" xfId="34407"/>
    <cellStyle name="Percent 13 2 3 4" xfId="34408"/>
    <cellStyle name="Percent 13 2 3 4 2" xfId="34409"/>
    <cellStyle name="Percent 13 2 3 4 2 2" xfId="34410"/>
    <cellStyle name="Percent 13 2 3 4 3" xfId="34411"/>
    <cellStyle name="Percent 13 2 3 5" xfId="34412"/>
    <cellStyle name="Percent 13 2 3 5 2" xfId="34413"/>
    <cellStyle name="Percent 13 2 3 5 2 2" xfId="34414"/>
    <cellStyle name="Percent 13 2 3 5 3" xfId="34415"/>
    <cellStyle name="Percent 13 2 3 6" xfId="34416"/>
    <cellStyle name="Percent 13 2 3 6 2" xfId="34417"/>
    <cellStyle name="Percent 13 2 3 7" xfId="34418"/>
    <cellStyle name="Percent 13 2 3 8" xfId="34419"/>
    <cellStyle name="Percent 13 2 3 9" xfId="41253"/>
    <cellStyle name="Percent 13 2 4" xfId="34420"/>
    <cellStyle name="Percent 13 2 4 2" xfId="34421"/>
    <cellStyle name="Percent 13 2 4 2 2" xfId="34422"/>
    <cellStyle name="Percent 13 2 4 2 2 2" xfId="34423"/>
    <cellStyle name="Percent 13 2 4 2 2 2 2" xfId="34424"/>
    <cellStyle name="Percent 13 2 4 2 2 3" xfId="34425"/>
    <cellStyle name="Percent 13 2 4 2 3" xfId="34426"/>
    <cellStyle name="Percent 13 2 4 2 3 2" xfId="34427"/>
    <cellStyle name="Percent 13 2 4 2 4" xfId="34428"/>
    <cellStyle name="Percent 13 2 4 3" xfId="34429"/>
    <cellStyle name="Percent 13 2 4 3 2" xfId="34430"/>
    <cellStyle name="Percent 13 2 4 3 2 2" xfId="34431"/>
    <cellStyle name="Percent 13 2 4 3 3" xfId="34432"/>
    <cellStyle name="Percent 13 2 4 4" xfId="34433"/>
    <cellStyle name="Percent 13 2 4 4 2" xfId="34434"/>
    <cellStyle name="Percent 13 2 4 4 2 2" xfId="34435"/>
    <cellStyle name="Percent 13 2 4 4 3" xfId="34436"/>
    <cellStyle name="Percent 13 2 4 5" xfId="34437"/>
    <cellStyle name="Percent 13 2 4 5 2" xfId="34438"/>
    <cellStyle name="Percent 13 2 4 6" xfId="34439"/>
    <cellStyle name="Percent 13 2 4 7" xfId="34440"/>
    <cellStyle name="Percent 13 2 4 8" xfId="41592"/>
    <cellStyle name="Percent 13 2 5" xfId="34441"/>
    <cellStyle name="Percent 13 2 5 2" xfId="34442"/>
    <cellStyle name="Percent 13 2 5 2 2" xfId="34443"/>
    <cellStyle name="Percent 13 2 5 2 2 2" xfId="34444"/>
    <cellStyle name="Percent 13 2 5 2 3" xfId="34445"/>
    <cellStyle name="Percent 13 2 5 3" xfId="34446"/>
    <cellStyle name="Percent 13 2 5 3 2" xfId="34447"/>
    <cellStyle name="Percent 13 2 5 4" xfId="34448"/>
    <cellStyle name="Percent 13 2 5 5" xfId="34449"/>
    <cellStyle name="Percent 13 2 5 6" xfId="41065"/>
    <cellStyle name="Percent 13 2 6" xfId="34450"/>
    <cellStyle name="Percent 13 2 6 2" xfId="34451"/>
    <cellStyle name="Percent 13 2 6 2 2" xfId="34452"/>
    <cellStyle name="Percent 13 2 6 3" xfId="34453"/>
    <cellStyle name="Percent 13 2 7" xfId="34454"/>
    <cellStyle name="Percent 13 2 7 2" xfId="34455"/>
    <cellStyle name="Percent 13 2 7 2 2" xfId="34456"/>
    <cellStyle name="Percent 13 2 7 3" xfId="34457"/>
    <cellStyle name="Percent 13 2 8" xfId="34458"/>
    <cellStyle name="Percent 13 2 8 2" xfId="34459"/>
    <cellStyle name="Percent 13 2 9" xfId="34460"/>
    <cellStyle name="Percent 13 2 9 2" xfId="34461"/>
    <cellStyle name="Percent 13 3" xfId="1975"/>
    <cellStyle name="Percent 13 3 10" xfId="41110"/>
    <cellStyle name="Percent 13 3 2" xfId="34463"/>
    <cellStyle name="Percent 13 3 2 2" xfId="34464"/>
    <cellStyle name="Percent 13 3 2 2 2" xfId="34465"/>
    <cellStyle name="Percent 13 3 2 2 2 2" xfId="34466"/>
    <cellStyle name="Percent 13 3 2 2 3" xfId="34467"/>
    <cellStyle name="Percent 13 3 2 3" xfId="34468"/>
    <cellStyle name="Percent 13 3 2 3 2" xfId="34469"/>
    <cellStyle name="Percent 13 3 2 4" xfId="34470"/>
    <cellStyle name="Percent 13 3 2 5" xfId="34471"/>
    <cellStyle name="Percent 13 3 3" xfId="34472"/>
    <cellStyle name="Percent 13 3 3 2" xfId="34473"/>
    <cellStyle name="Percent 13 3 3 2 2" xfId="34474"/>
    <cellStyle name="Percent 13 3 3 2 2 2" xfId="34475"/>
    <cellStyle name="Percent 13 3 3 2 3" xfId="34476"/>
    <cellStyle name="Percent 13 3 3 3" xfId="34477"/>
    <cellStyle name="Percent 13 3 3 3 2" xfId="34478"/>
    <cellStyle name="Percent 13 3 3 4" xfId="34479"/>
    <cellStyle name="Percent 13 3 4" xfId="34480"/>
    <cellStyle name="Percent 13 3 4 2" xfId="34481"/>
    <cellStyle name="Percent 13 3 4 2 2" xfId="34482"/>
    <cellStyle name="Percent 13 3 4 3" xfId="34483"/>
    <cellStyle name="Percent 13 3 5" xfId="34484"/>
    <cellStyle name="Percent 13 3 5 2" xfId="34485"/>
    <cellStyle name="Percent 13 3 5 2 2" xfId="34486"/>
    <cellStyle name="Percent 13 3 5 3" xfId="34487"/>
    <cellStyle name="Percent 13 3 6" xfId="34488"/>
    <cellStyle name="Percent 13 3 6 2" xfId="34489"/>
    <cellStyle name="Percent 13 3 7" xfId="34490"/>
    <cellStyle name="Percent 13 3 8" xfId="34491"/>
    <cellStyle name="Percent 13 3 9" xfId="34462"/>
    <cellStyle name="Percent 13 4" xfId="3016"/>
    <cellStyle name="Percent 13 4 10" xfId="41228"/>
    <cellStyle name="Percent 13 4 2" xfId="34493"/>
    <cellStyle name="Percent 13 4 2 2" xfId="34494"/>
    <cellStyle name="Percent 13 4 2 2 2" xfId="34495"/>
    <cellStyle name="Percent 13 4 2 2 2 2" xfId="34496"/>
    <cellStyle name="Percent 13 4 2 2 3" xfId="34497"/>
    <cellStyle name="Percent 13 4 2 3" xfId="34498"/>
    <cellStyle name="Percent 13 4 2 3 2" xfId="34499"/>
    <cellStyle name="Percent 13 4 2 4" xfId="34500"/>
    <cellStyle name="Percent 13 4 2 5" xfId="34501"/>
    <cellStyle name="Percent 13 4 3" xfId="34502"/>
    <cellStyle name="Percent 13 4 3 2" xfId="34503"/>
    <cellStyle name="Percent 13 4 3 2 2" xfId="34504"/>
    <cellStyle name="Percent 13 4 3 2 2 2" xfId="34505"/>
    <cellStyle name="Percent 13 4 3 2 3" xfId="34506"/>
    <cellStyle name="Percent 13 4 3 3" xfId="34507"/>
    <cellStyle name="Percent 13 4 3 3 2" xfId="34508"/>
    <cellStyle name="Percent 13 4 3 4" xfId="34509"/>
    <cellStyle name="Percent 13 4 4" xfId="34510"/>
    <cellStyle name="Percent 13 4 4 2" xfId="34511"/>
    <cellStyle name="Percent 13 4 4 2 2" xfId="34512"/>
    <cellStyle name="Percent 13 4 4 3" xfId="34513"/>
    <cellStyle name="Percent 13 4 5" xfId="34514"/>
    <cellStyle name="Percent 13 4 5 2" xfId="34515"/>
    <cellStyle name="Percent 13 4 5 2 2" xfId="34516"/>
    <cellStyle name="Percent 13 4 5 3" xfId="34517"/>
    <cellStyle name="Percent 13 4 6" xfId="34518"/>
    <cellStyle name="Percent 13 4 6 2" xfId="34519"/>
    <cellStyle name="Percent 13 4 7" xfId="34520"/>
    <cellStyle name="Percent 13 4 8" xfId="34521"/>
    <cellStyle name="Percent 13 4 9" xfId="34492"/>
    <cellStyle name="Percent 13 5" xfId="7108"/>
    <cellStyle name="Percent 13 5 2" xfId="34523"/>
    <cellStyle name="Percent 13 5 2 2" xfId="34524"/>
    <cellStyle name="Percent 13 5 2 2 2" xfId="34525"/>
    <cellStyle name="Percent 13 5 2 2 2 2" xfId="34526"/>
    <cellStyle name="Percent 13 5 2 2 3" xfId="34527"/>
    <cellStyle name="Percent 13 5 2 3" xfId="34528"/>
    <cellStyle name="Percent 13 5 2 3 2" xfId="34529"/>
    <cellStyle name="Percent 13 5 2 4" xfId="34530"/>
    <cellStyle name="Percent 13 5 3" xfId="34531"/>
    <cellStyle name="Percent 13 5 3 2" xfId="34532"/>
    <cellStyle name="Percent 13 5 3 2 2" xfId="34533"/>
    <cellStyle name="Percent 13 5 3 3" xfId="34534"/>
    <cellStyle name="Percent 13 5 4" xfId="34535"/>
    <cellStyle name="Percent 13 5 4 2" xfId="34536"/>
    <cellStyle name="Percent 13 5 4 2 2" xfId="34537"/>
    <cellStyle name="Percent 13 5 4 3" xfId="34538"/>
    <cellStyle name="Percent 13 5 5" xfId="34539"/>
    <cellStyle name="Percent 13 5 5 2" xfId="34540"/>
    <cellStyle name="Percent 13 5 6" xfId="34541"/>
    <cellStyle name="Percent 13 5 7" xfId="34542"/>
    <cellStyle name="Percent 13 5 8" xfId="34522"/>
    <cellStyle name="Percent 13 5 9" xfId="41359"/>
    <cellStyle name="Percent 13 6" xfId="34543"/>
    <cellStyle name="Percent 13 6 2" xfId="34544"/>
    <cellStyle name="Percent 13 6 2 2" xfId="34545"/>
    <cellStyle name="Percent 13 6 2 2 2" xfId="34546"/>
    <cellStyle name="Percent 13 6 2 3" xfId="34547"/>
    <cellStyle name="Percent 13 6 3" xfId="34548"/>
    <cellStyle name="Percent 13 6 3 2" xfId="34549"/>
    <cellStyle name="Percent 13 6 4" xfId="34550"/>
    <cellStyle name="Percent 13 6 5" xfId="34551"/>
    <cellStyle name="Percent 13 6 6" xfId="41064"/>
    <cellStyle name="Percent 13 7" xfId="34552"/>
    <cellStyle name="Percent 13 7 2" xfId="34553"/>
    <cellStyle name="Percent 13 7 2 2" xfId="34554"/>
    <cellStyle name="Percent 13 7 3" xfId="34555"/>
    <cellStyle name="Percent 13 7 4" xfId="40907"/>
    <cellStyle name="Percent 13 8" xfId="34556"/>
    <cellStyle name="Percent 13 8 2" xfId="34557"/>
    <cellStyle name="Percent 13 8 2 2" xfId="34558"/>
    <cellStyle name="Percent 13 8 3" xfId="34559"/>
    <cellStyle name="Percent 13 9" xfId="34560"/>
    <cellStyle name="Percent 13 9 2" xfId="34561"/>
    <cellStyle name="Percent 14" xfId="1976"/>
    <cellStyle name="Percent 14 10" xfId="34563"/>
    <cellStyle name="Percent 14 10 2" xfId="34564"/>
    <cellStyle name="Percent 14 11" xfId="34565"/>
    <cellStyle name="Percent 14 12" xfId="34566"/>
    <cellStyle name="Percent 14 13" xfId="34567"/>
    <cellStyle name="Percent 14 14" xfId="34562"/>
    <cellStyle name="Percent 14 15" xfId="40671"/>
    <cellStyle name="Percent 14 2" xfId="1977"/>
    <cellStyle name="Percent 14 2 10" xfId="34569"/>
    <cellStyle name="Percent 14 2 10 2" xfId="34570"/>
    <cellStyle name="Percent 14 2 11" xfId="34571"/>
    <cellStyle name="Percent 14 2 12" xfId="34568"/>
    <cellStyle name="Percent 14 2 13" xfId="40943"/>
    <cellStyle name="Percent 14 2 2" xfId="34572"/>
    <cellStyle name="Percent 14 2 2 2" xfId="34573"/>
    <cellStyle name="Percent 14 2 2 2 2" xfId="34574"/>
    <cellStyle name="Percent 14 2 2 2 2 2" xfId="34575"/>
    <cellStyle name="Percent 14 2 2 2 2 2 2" xfId="34576"/>
    <cellStyle name="Percent 14 2 2 2 2 3" xfId="34577"/>
    <cellStyle name="Percent 14 2 2 2 3" xfId="34578"/>
    <cellStyle name="Percent 14 2 2 2 3 2" xfId="34579"/>
    <cellStyle name="Percent 14 2 2 2 4" xfId="34580"/>
    <cellStyle name="Percent 14 2 2 2 5" xfId="34581"/>
    <cellStyle name="Percent 14 2 2 3" xfId="34582"/>
    <cellStyle name="Percent 14 2 2 3 2" xfId="34583"/>
    <cellStyle name="Percent 14 2 2 3 2 2" xfId="34584"/>
    <cellStyle name="Percent 14 2 2 3 2 2 2" xfId="34585"/>
    <cellStyle name="Percent 14 2 2 3 2 3" xfId="34586"/>
    <cellStyle name="Percent 14 2 2 3 3" xfId="34587"/>
    <cellStyle name="Percent 14 2 2 3 3 2" xfId="34588"/>
    <cellStyle name="Percent 14 2 2 3 4" xfId="34589"/>
    <cellStyle name="Percent 14 2 2 4" xfId="34590"/>
    <cellStyle name="Percent 14 2 2 4 2" xfId="34591"/>
    <cellStyle name="Percent 14 2 2 4 2 2" xfId="34592"/>
    <cellStyle name="Percent 14 2 2 4 3" xfId="34593"/>
    <cellStyle name="Percent 14 2 2 5" xfId="34594"/>
    <cellStyle name="Percent 14 2 2 5 2" xfId="34595"/>
    <cellStyle name="Percent 14 2 2 5 2 2" xfId="34596"/>
    <cellStyle name="Percent 14 2 2 5 3" xfId="34597"/>
    <cellStyle name="Percent 14 2 2 6" xfId="34598"/>
    <cellStyle name="Percent 14 2 2 6 2" xfId="34599"/>
    <cellStyle name="Percent 14 2 2 7" xfId="34600"/>
    <cellStyle name="Percent 14 2 2 8" xfId="34601"/>
    <cellStyle name="Percent 14 2 2 9" xfId="41138"/>
    <cellStyle name="Percent 14 2 3" xfId="34602"/>
    <cellStyle name="Percent 14 2 3 2" xfId="34603"/>
    <cellStyle name="Percent 14 2 3 2 2" xfId="34604"/>
    <cellStyle name="Percent 14 2 3 2 2 2" xfId="34605"/>
    <cellStyle name="Percent 14 2 3 2 2 2 2" xfId="34606"/>
    <cellStyle name="Percent 14 2 3 2 2 3" xfId="34607"/>
    <cellStyle name="Percent 14 2 3 2 3" xfId="34608"/>
    <cellStyle name="Percent 14 2 3 2 3 2" xfId="34609"/>
    <cellStyle name="Percent 14 2 3 2 4" xfId="34610"/>
    <cellStyle name="Percent 14 2 3 2 5" xfId="34611"/>
    <cellStyle name="Percent 14 2 3 3" xfId="34612"/>
    <cellStyle name="Percent 14 2 3 3 2" xfId="34613"/>
    <cellStyle name="Percent 14 2 3 3 2 2" xfId="34614"/>
    <cellStyle name="Percent 14 2 3 3 2 2 2" xfId="34615"/>
    <cellStyle name="Percent 14 2 3 3 2 3" xfId="34616"/>
    <cellStyle name="Percent 14 2 3 3 3" xfId="34617"/>
    <cellStyle name="Percent 14 2 3 3 3 2" xfId="34618"/>
    <cellStyle name="Percent 14 2 3 3 4" xfId="34619"/>
    <cellStyle name="Percent 14 2 3 4" xfId="34620"/>
    <cellStyle name="Percent 14 2 3 4 2" xfId="34621"/>
    <cellStyle name="Percent 14 2 3 4 2 2" xfId="34622"/>
    <cellStyle name="Percent 14 2 3 4 3" xfId="34623"/>
    <cellStyle name="Percent 14 2 3 5" xfId="34624"/>
    <cellStyle name="Percent 14 2 3 5 2" xfId="34625"/>
    <cellStyle name="Percent 14 2 3 5 2 2" xfId="34626"/>
    <cellStyle name="Percent 14 2 3 5 3" xfId="34627"/>
    <cellStyle name="Percent 14 2 3 6" xfId="34628"/>
    <cellStyle name="Percent 14 2 3 6 2" xfId="34629"/>
    <cellStyle name="Percent 14 2 3 7" xfId="34630"/>
    <cellStyle name="Percent 14 2 3 8" xfId="34631"/>
    <cellStyle name="Percent 14 2 3 9" xfId="41256"/>
    <cellStyle name="Percent 14 2 4" xfId="34632"/>
    <cellStyle name="Percent 14 2 4 2" xfId="34633"/>
    <cellStyle name="Percent 14 2 4 2 2" xfId="34634"/>
    <cellStyle name="Percent 14 2 4 2 2 2" xfId="34635"/>
    <cellStyle name="Percent 14 2 4 2 2 2 2" xfId="34636"/>
    <cellStyle name="Percent 14 2 4 2 2 3" xfId="34637"/>
    <cellStyle name="Percent 14 2 4 2 3" xfId="34638"/>
    <cellStyle name="Percent 14 2 4 2 3 2" xfId="34639"/>
    <cellStyle name="Percent 14 2 4 2 4" xfId="34640"/>
    <cellStyle name="Percent 14 2 4 2 5" xfId="34641"/>
    <cellStyle name="Percent 14 2 4 3" xfId="34642"/>
    <cellStyle name="Percent 14 2 4 3 2" xfId="34643"/>
    <cellStyle name="Percent 14 2 4 3 2 2" xfId="34644"/>
    <cellStyle name="Percent 14 2 4 3 2 2 2" xfId="34645"/>
    <cellStyle name="Percent 14 2 4 3 2 3" xfId="34646"/>
    <cellStyle name="Percent 14 2 4 3 3" xfId="34647"/>
    <cellStyle name="Percent 14 2 4 3 3 2" xfId="34648"/>
    <cellStyle name="Percent 14 2 4 3 4" xfId="34649"/>
    <cellStyle name="Percent 14 2 4 4" xfId="34650"/>
    <cellStyle name="Percent 14 2 4 4 2" xfId="34651"/>
    <cellStyle name="Percent 14 2 4 4 2 2" xfId="34652"/>
    <cellStyle name="Percent 14 2 4 4 3" xfId="34653"/>
    <cellStyle name="Percent 14 2 4 5" xfId="34654"/>
    <cellStyle name="Percent 14 2 4 5 2" xfId="34655"/>
    <cellStyle name="Percent 14 2 4 5 2 2" xfId="34656"/>
    <cellStyle name="Percent 14 2 4 5 3" xfId="34657"/>
    <cellStyle name="Percent 14 2 4 6" xfId="34658"/>
    <cellStyle name="Percent 14 2 4 6 2" xfId="34659"/>
    <cellStyle name="Percent 14 2 4 7" xfId="34660"/>
    <cellStyle name="Percent 14 2 4 8" xfId="34661"/>
    <cellStyle name="Percent 14 2 4 9" xfId="41593"/>
    <cellStyle name="Percent 14 2 5" xfId="34662"/>
    <cellStyle name="Percent 14 2 5 2" xfId="34663"/>
    <cellStyle name="Percent 14 2 5 2 2" xfId="34664"/>
    <cellStyle name="Percent 14 2 5 2 2 2" xfId="34665"/>
    <cellStyle name="Percent 14 2 5 2 2 2 2" xfId="34666"/>
    <cellStyle name="Percent 14 2 5 2 2 3" xfId="34667"/>
    <cellStyle name="Percent 14 2 5 2 3" xfId="34668"/>
    <cellStyle name="Percent 14 2 5 2 3 2" xfId="34669"/>
    <cellStyle name="Percent 14 2 5 2 4" xfId="34670"/>
    <cellStyle name="Percent 14 2 5 3" xfId="34671"/>
    <cellStyle name="Percent 14 2 5 3 2" xfId="34672"/>
    <cellStyle name="Percent 14 2 5 3 2 2" xfId="34673"/>
    <cellStyle name="Percent 14 2 5 3 3" xfId="34674"/>
    <cellStyle name="Percent 14 2 5 4" xfId="34675"/>
    <cellStyle name="Percent 14 2 5 4 2" xfId="34676"/>
    <cellStyle name="Percent 14 2 5 4 2 2" xfId="34677"/>
    <cellStyle name="Percent 14 2 5 4 3" xfId="34678"/>
    <cellStyle name="Percent 14 2 5 5" xfId="34679"/>
    <cellStyle name="Percent 14 2 5 5 2" xfId="34680"/>
    <cellStyle name="Percent 14 2 5 6" xfId="34681"/>
    <cellStyle name="Percent 14 2 5 7" xfId="34682"/>
    <cellStyle name="Percent 14 2 5 8" xfId="41067"/>
    <cellStyle name="Percent 14 2 6" xfId="34683"/>
    <cellStyle name="Percent 14 2 6 2" xfId="34684"/>
    <cellStyle name="Percent 14 2 6 2 2" xfId="34685"/>
    <cellStyle name="Percent 14 2 6 2 2 2" xfId="34686"/>
    <cellStyle name="Percent 14 2 6 2 3" xfId="34687"/>
    <cellStyle name="Percent 14 2 6 3" xfId="34688"/>
    <cellStyle name="Percent 14 2 6 3 2" xfId="34689"/>
    <cellStyle name="Percent 14 2 6 4" xfId="34690"/>
    <cellStyle name="Percent 14 2 6 5" xfId="34691"/>
    <cellStyle name="Percent 14 2 7" xfId="34692"/>
    <cellStyle name="Percent 14 2 7 2" xfId="34693"/>
    <cellStyle name="Percent 14 2 7 2 2" xfId="34694"/>
    <cellStyle name="Percent 14 2 7 3" xfId="34695"/>
    <cellStyle name="Percent 14 2 8" xfId="34696"/>
    <cellStyle name="Percent 14 2 8 2" xfId="34697"/>
    <cellStyle name="Percent 14 2 8 2 2" xfId="34698"/>
    <cellStyle name="Percent 14 2 8 3" xfId="34699"/>
    <cellStyle name="Percent 14 2 9" xfId="34700"/>
    <cellStyle name="Percent 14 2 9 2" xfId="34701"/>
    <cellStyle name="Percent 14 3" xfId="1978"/>
    <cellStyle name="Percent 14 3 10" xfId="41114"/>
    <cellStyle name="Percent 14 3 2" xfId="34703"/>
    <cellStyle name="Percent 14 3 2 2" xfId="34704"/>
    <cellStyle name="Percent 14 3 2 2 2" xfId="34705"/>
    <cellStyle name="Percent 14 3 2 2 2 2" xfId="34706"/>
    <cellStyle name="Percent 14 3 2 2 3" xfId="34707"/>
    <cellStyle name="Percent 14 3 2 3" xfId="34708"/>
    <cellStyle name="Percent 14 3 2 3 2" xfId="34709"/>
    <cellStyle name="Percent 14 3 2 4" xfId="34710"/>
    <cellStyle name="Percent 14 3 2 5" xfId="34711"/>
    <cellStyle name="Percent 14 3 3" xfId="34712"/>
    <cellStyle name="Percent 14 3 3 2" xfId="34713"/>
    <cellStyle name="Percent 14 3 3 2 2" xfId="34714"/>
    <cellStyle name="Percent 14 3 3 2 2 2" xfId="34715"/>
    <cellStyle name="Percent 14 3 3 2 3" xfId="34716"/>
    <cellStyle name="Percent 14 3 3 3" xfId="34717"/>
    <cellStyle name="Percent 14 3 3 3 2" xfId="34718"/>
    <cellStyle name="Percent 14 3 3 4" xfId="34719"/>
    <cellStyle name="Percent 14 3 4" xfId="34720"/>
    <cellStyle name="Percent 14 3 4 2" xfId="34721"/>
    <cellStyle name="Percent 14 3 4 2 2" xfId="34722"/>
    <cellStyle name="Percent 14 3 4 3" xfId="34723"/>
    <cellStyle name="Percent 14 3 5" xfId="34724"/>
    <cellStyle name="Percent 14 3 5 2" xfId="34725"/>
    <cellStyle name="Percent 14 3 5 2 2" xfId="34726"/>
    <cellStyle name="Percent 14 3 5 3" xfId="34727"/>
    <cellStyle name="Percent 14 3 6" xfId="34728"/>
    <cellStyle name="Percent 14 3 6 2" xfId="34729"/>
    <cellStyle name="Percent 14 3 7" xfId="34730"/>
    <cellStyle name="Percent 14 3 8" xfId="34731"/>
    <cellStyle name="Percent 14 3 9" xfId="34702"/>
    <cellStyle name="Percent 14 4" xfId="3148"/>
    <cellStyle name="Percent 14 4 10" xfId="41232"/>
    <cellStyle name="Percent 14 4 2" xfId="34733"/>
    <cellStyle name="Percent 14 4 2 2" xfId="34734"/>
    <cellStyle name="Percent 14 4 2 2 2" xfId="34735"/>
    <cellStyle name="Percent 14 4 2 2 2 2" xfId="34736"/>
    <cellStyle name="Percent 14 4 2 2 3" xfId="34737"/>
    <cellStyle name="Percent 14 4 2 3" xfId="34738"/>
    <cellStyle name="Percent 14 4 2 3 2" xfId="34739"/>
    <cellStyle name="Percent 14 4 2 4" xfId="34740"/>
    <cellStyle name="Percent 14 4 2 5" xfId="34741"/>
    <cellStyle name="Percent 14 4 3" xfId="34742"/>
    <cellStyle name="Percent 14 4 3 2" xfId="34743"/>
    <cellStyle name="Percent 14 4 3 2 2" xfId="34744"/>
    <cellStyle name="Percent 14 4 3 2 2 2" xfId="34745"/>
    <cellStyle name="Percent 14 4 3 2 3" xfId="34746"/>
    <cellStyle name="Percent 14 4 3 3" xfId="34747"/>
    <cellStyle name="Percent 14 4 3 3 2" xfId="34748"/>
    <cellStyle name="Percent 14 4 3 4" xfId="34749"/>
    <cellStyle name="Percent 14 4 4" xfId="34750"/>
    <cellStyle name="Percent 14 4 4 2" xfId="34751"/>
    <cellStyle name="Percent 14 4 4 2 2" xfId="34752"/>
    <cellStyle name="Percent 14 4 4 3" xfId="34753"/>
    <cellStyle name="Percent 14 4 5" xfId="34754"/>
    <cellStyle name="Percent 14 4 5 2" xfId="34755"/>
    <cellStyle name="Percent 14 4 5 2 2" xfId="34756"/>
    <cellStyle name="Percent 14 4 5 3" xfId="34757"/>
    <cellStyle name="Percent 14 4 6" xfId="34758"/>
    <cellStyle name="Percent 14 4 6 2" xfId="34759"/>
    <cellStyle name="Percent 14 4 7" xfId="34760"/>
    <cellStyle name="Percent 14 4 8" xfId="34761"/>
    <cellStyle name="Percent 14 4 9" xfId="34732"/>
    <cellStyle name="Percent 14 5" xfId="7109"/>
    <cellStyle name="Percent 14 5 10" xfId="41340"/>
    <cellStyle name="Percent 14 5 2" xfId="34763"/>
    <cellStyle name="Percent 14 5 2 2" xfId="34764"/>
    <cellStyle name="Percent 14 5 2 2 2" xfId="34765"/>
    <cellStyle name="Percent 14 5 2 2 2 2" xfId="34766"/>
    <cellStyle name="Percent 14 5 2 2 3" xfId="34767"/>
    <cellStyle name="Percent 14 5 2 3" xfId="34768"/>
    <cellStyle name="Percent 14 5 2 3 2" xfId="34769"/>
    <cellStyle name="Percent 14 5 2 4" xfId="34770"/>
    <cellStyle name="Percent 14 5 2 5" xfId="34771"/>
    <cellStyle name="Percent 14 5 3" xfId="34772"/>
    <cellStyle name="Percent 14 5 3 2" xfId="34773"/>
    <cellStyle name="Percent 14 5 3 2 2" xfId="34774"/>
    <cellStyle name="Percent 14 5 3 2 2 2" xfId="34775"/>
    <cellStyle name="Percent 14 5 3 2 3" xfId="34776"/>
    <cellStyle name="Percent 14 5 3 3" xfId="34777"/>
    <cellStyle name="Percent 14 5 3 3 2" xfId="34778"/>
    <cellStyle name="Percent 14 5 3 4" xfId="34779"/>
    <cellStyle name="Percent 14 5 4" xfId="34780"/>
    <cellStyle name="Percent 14 5 4 2" xfId="34781"/>
    <cellStyle name="Percent 14 5 4 2 2" xfId="34782"/>
    <cellStyle name="Percent 14 5 4 3" xfId="34783"/>
    <cellStyle name="Percent 14 5 5" xfId="34784"/>
    <cellStyle name="Percent 14 5 5 2" xfId="34785"/>
    <cellStyle name="Percent 14 5 5 2 2" xfId="34786"/>
    <cellStyle name="Percent 14 5 5 3" xfId="34787"/>
    <cellStyle name="Percent 14 5 6" xfId="34788"/>
    <cellStyle name="Percent 14 5 6 2" xfId="34789"/>
    <cellStyle name="Percent 14 5 7" xfId="34790"/>
    <cellStyle name="Percent 14 5 8" xfId="34791"/>
    <cellStyle name="Percent 14 5 9" xfId="34762"/>
    <cellStyle name="Percent 14 6" xfId="34792"/>
    <cellStyle name="Percent 14 6 2" xfId="34793"/>
    <cellStyle name="Percent 14 6 2 2" xfId="34794"/>
    <cellStyle name="Percent 14 6 2 2 2" xfId="34795"/>
    <cellStyle name="Percent 14 6 2 2 2 2" xfId="34796"/>
    <cellStyle name="Percent 14 6 2 2 3" xfId="34797"/>
    <cellStyle name="Percent 14 6 2 3" xfId="34798"/>
    <cellStyle name="Percent 14 6 2 3 2" xfId="34799"/>
    <cellStyle name="Percent 14 6 2 4" xfId="34800"/>
    <cellStyle name="Percent 14 6 2 5" xfId="34801"/>
    <cellStyle name="Percent 14 6 3" xfId="34802"/>
    <cellStyle name="Percent 14 6 3 2" xfId="34803"/>
    <cellStyle name="Percent 14 6 3 2 2" xfId="34804"/>
    <cellStyle name="Percent 14 6 3 3" xfId="34805"/>
    <cellStyle name="Percent 14 6 4" xfId="34806"/>
    <cellStyle name="Percent 14 6 4 2" xfId="34807"/>
    <cellStyle name="Percent 14 6 4 2 2" xfId="34808"/>
    <cellStyle name="Percent 14 6 4 3" xfId="34809"/>
    <cellStyle name="Percent 14 6 5" xfId="34810"/>
    <cellStyle name="Percent 14 6 5 2" xfId="34811"/>
    <cellStyle name="Percent 14 6 6" xfId="34812"/>
    <cellStyle name="Percent 14 6 7" xfId="34813"/>
    <cellStyle name="Percent 14 6 8" xfId="34814"/>
    <cellStyle name="Percent 14 6 9" xfId="41066"/>
    <cellStyle name="Percent 14 7" xfId="34815"/>
    <cellStyle name="Percent 14 7 2" xfId="34816"/>
    <cellStyle name="Percent 14 7 2 2" xfId="34817"/>
    <cellStyle name="Percent 14 7 2 2 2" xfId="34818"/>
    <cellStyle name="Percent 14 7 2 3" xfId="34819"/>
    <cellStyle name="Percent 14 7 3" xfId="34820"/>
    <cellStyle name="Percent 14 7 3 2" xfId="34821"/>
    <cellStyle name="Percent 14 7 4" xfId="34822"/>
    <cellStyle name="Percent 14 7 5" xfId="34823"/>
    <cellStyle name="Percent 14 7 6" xfId="40911"/>
    <cellStyle name="Percent 14 8" xfId="34824"/>
    <cellStyle name="Percent 14 8 2" xfId="34825"/>
    <cellStyle name="Percent 14 8 2 2" xfId="34826"/>
    <cellStyle name="Percent 14 8 3" xfId="34827"/>
    <cellStyle name="Percent 14 9" xfId="34828"/>
    <cellStyle name="Percent 14 9 2" xfId="34829"/>
    <cellStyle name="Percent 14 9 2 2" xfId="34830"/>
    <cellStyle name="Percent 14 9 3" xfId="34831"/>
    <cellStyle name="Percent 15" xfId="1979"/>
    <cellStyle name="Percent 15 10" xfId="34833"/>
    <cellStyle name="Percent 15 11" xfId="34834"/>
    <cellStyle name="Percent 15 12" xfId="34832"/>
    <cellStyle name="Percent 15 2" xfId="1980"/>
    <cellStyle name="Percent 15 2 2" xfId="34836"/>
    <cellStyle name="Percent 15 2 2 2" xfId="41594"/>
    <cellStyle name="Percent 15 2 3" xfId="34835"/>
    <cellStyle name="Percent 15 2 3 2" xfId="41395"/>
    <cellStyle name="Percent 15 3" xfId="1981"/>
    <cellStyle name="Percent 15 3 10" xfId="41121"/>
    <cellStyle name="Percent 15 3 2" xfId="34838"/>
    <cellStyle name="Percent 15 3 2 2" xfId="34839"/>
    <cellStyle name="Percent 15 3 2 2 2" xfId="34840"/>
    <cellStyle name="Percent 15 3 2 2 2 2" xfId="34841"/>
    <cellStyle name="Percent 15 3 2 2 3" xfId="34842"/>
    <cellStyle name="Percent 15 3 2 3" xfId="34843"/>
    <cellStyle name="Percent 15 3 2 3 2" xfId="34844"/>
    <cellStyle name="Percent 15 3 2 4" xfId="34845"/>
    <cellStyle name="Percent 15 3 2 5" xfId="34846"/>
    <cellStyle name="Percent 15 3 3" xfId="34847"/>
    <cellStyle name="Percent 15 3 3 2" xfId="34848"/>
    <cellStyle name="Percent 15 3 3 2 2" xfId="34849"/>
    <cellStyle name="Percent 15 3 3 2 2 2" xfId="34850"/>
    <cellStyle name="Percent 15 3 3 2 3" xfId="34851"/>
    <cellStyle name="Percent 15 3 3 3" xfId="34852"/>
    <cellStyle name="Percent 15 3 3 3 2" xfId="34853"/>
    <cellStyle name="Percent 15 3 3 4" xfId="34854"/>
    <cellStyle name="Percent 15 3 4" xfId="34855"/>
    <cellStyle name="Percent 15 3 4 2" xfId="34856"/>
    <cellStyle name="Percent 15 3 4 2 2" xfId="34857"/>
    <cellStyle name="Percent 15 3 4 3" xfId="34858"/>
    <cellStyle name="Percent 15 3 5" xfId="34859"/>
    <cellStyle name="Percent 15 3 5 2" xfId="34860"/>
    <cellStyle name="Percent 15 3 5 2 2" xfId="34861"/>
    <cellStyle name="Percent 15 3 5 3" xfId="34862"/>
    <cellStyle name="Percent 15 3 6" xfId="34863"/>
    <cellStyle name="Percent 15 3 6 2" xfId="34864"/>
    <cellStyle name="Percent 15 3 7" xfId="34865"/>
    <cellStyle name="Percent 15 3 8" xfId="34866"/>
    <cellStyle name="Percent 15 3 9" xfId="34837"/>
    <cellStyle name="Percent 15 4" xfId="3160"/>
    <cellStyle name="Percent 15 4 10" xfId="41239"/>
    <cellStyle name="Percent 15 4 2" xfId="34868"/>
    <cellStyle name="Percent 15 4 2 2" xfId="34869"/>
    <cellStyle name="Percent 15 4 2 2 2" xfId="34870"/>
    <cellStyle name="Percent 15 4 2 2 2 2" xfId="34871"/>
    <cellStyle name="Percent 15 4 2 2 3" xfId="34872"/>
    <cellStyle name="Percent 15 4 2 3" xfId="34873"/>
    <cellStyle name="Percent 15 4 2 3 2" xfId="34874"/>
    <cellStyle name="Percent 15 4 2 4" xfId="34875"/>
    <cellStyle name="Percent 15 4 2 5" xfId="34876"/>
    <cellStyle name="Percent 15 4 3" xfId="34877"/>
    <cellStyle name="Percent 15 4 3 2" xfId="34878"/>
    <cellStyle name="Percent 15 4 3 2 2" xfId="34879"/>
    <cellStyle name="Percent 15 4 3 2 2 2" xfId="34880"/>
    <cellStyle name="Percent 15 4 3 2 3" xfId="34881"/>
    <cellStyle name="Percent 15 4 3 3" xfId="34882"/>
    <cellStyle name="Percent 15 4 3 3 2" xfId="34883"/>
    <cellStyle name="Percent 15 4 3 4" xfId="34884"/>
    <cellStyle name="Percent 15 4 4" xfId="34885"/>
    <cellStyle name="Percent 15 4 4 2" xfId="34886"/>
    <cellStyle name="Percent 15 4 4 2 2" xfId="34887"/>
    <cellStyle name="Percent 15 4 4 3" xfId="34888"/>
    <cellStyle name="Percent 15 4 5" xfId="34889"/>
    <cellStyle name="Percent 15 4 5 2" xfId="34890"/>
    <cellStyle name="Percent 15 4 5 2 2" xfId="34891"/>
    <cellStyle name="Percent 15 4 5 3" xfId="34892"/>
    <cellStyle name="Percent 15 4 6" xfId="34893"/>
    <cellStyle name="Percent 15 4 6 2" xfId="34894"/>
    <cellStyle name="Percent 15 4 7" xfId="34895"/>
    <cellStyle name="Percent 15 4 8" xfId="34896"/>
    <cellStyle name="Percent 15 4 9" xfId="34867"/>
    <cellStyle name="Percent 15 5" xfId="7110"/>
    <cellStyle name="Percent 15 5 2" xfId="34898"/>
    <cellStyle name="Percent 15 5 2 2" xfId="34899"/>
    <cellStyle name="Percent 15 5 2 2 2" xfId="34900"/>
    <cellStyle name="Percent 15 5 2 2 2 2" xfId="34901"/>
    <cellStyle name="Percent 15 5 2 2 3" xfId="34902"/>
    <cellStyle name="Percent 15 5 2 3" xfId="34903"/>
    <cellStyle name="Percent 15 5 2 3 2" xfId="34904"/>
    <cellStyle name="Percent 15 5 2 4" xfId="34905"/>
    <cellStyle name="Percent 15 5 2 5" xfId="34906"/>
    <cellStyle name="Percent 15 5 3" xfId="34907"/>
    <cellStyle name="Percent 15 5 3 2" xfId="34908"/>
    <cellStyle name="Percent 15 5 3 2 2" xfId="34909"/>
    <cellStyle name="Percent 15 5 3 2 2 2" xfId="34910"/>
    <cellStyle name="Percent 15 5 3 2 3" xfId="34911"/>
    <cellStyle name="Percent 15 5 3 3" xfId="34912"/>
    <cellStyle name="Percent 15 5 3 3 2" xfId="34913"/>
    <cellStyle name="Percent 15 5 3 4" xfId="34914"/>
    <cellStyle name="Percent 15 5 4" xfId="34915"/>
    <cellStyle name="Percent 15 5 4 2" xfId="34916"/>
    <cellStyle name="Percent 15 5 4 2 2" xfId="34917"/>
    <cellStyle name="Percent 15 5 4 3" xfId="34918"/>
    <cellStyle name="Percent 15 5 5" xfId="34919"/>
    <cellStyle name="Percent 15 5 5 2" xfId="34920"/>
    <cellStyle name="Percent 15 5 5 2 2" xfId="34921"/>
    <cellStyle name="Percent 15 5 5 3" xfId="34922"/>
    <cellStyle name="Percent 15 5 6" xfId="34923"/>
    <cellStyle name="Percent 15 5 6 2" xfId="34924"/>
    <cellStyle name="Percent 15 5 7" xfId="34925"/>
    <cellStyle name="Percent 15 5 8" xfId="34926"/>
    <cellStyle name="Percent 15 5 9" xfId="34897"/>
    <cellStyle name="Percent 15 6" xfId="34927"/>
    <cellStyle name="Percent 15 6 2" xfId="34928"/>
    <cellStyle name="Percent 15 6 2 2" xfId="34929"/>
    <cellStyle name="Percent 15 6 2 2 2" xfId="34930"/>
    <cellStyle name="Percent 15 6 2 2 2 2" xfId="34931"/>
    <cellStyle name="Percent 15 6 2 2 3" xfId="34932"/>
    <cellStyle name="Percent 15 6 2 3" xfId="34933"/>
    <cellStyle name="Percent 15 6 2 3 2" xfId="34934"/>
    <cellStyle name="Percent 15 6 2 4" xfId="34935"/>
    <cellStyle name="Percent 15 6 3" xfId="34936"/>
    <cellStyle name="Percent 15 6 3 2" xfId="34937"/>
    <cellStyle name="Percent 15 6 3 2 2" xfId="34938"/>
    <cellStyle name="Percent 15 6 3 3" xfId="34939"/>
    <cellStyle name="Percent 15 6 4" xfId="34940"/>
    <cellStyle name="Percent 15 6 4 2" xfId="34941"/>
    <cellStyle name="Percent 15 6 4 2 2" xfId="34942"/>
    <cellStyle name="Percent 15 6 4 3" xfId="34943"/>
    <cellStyle name="Percent 15 6 5" xfId="34944"/>
    <cellStyle name="Percent 15 6 5 2" xfId="34945"/>
    <cellStyle name="Percent 15 6 6" xfId="34946"/>
    <cellStyle name="Percent 15 6 7" xfId="34947"/>
    <cellStyle name="Percent 15 6 8" xfId="41068"/>
    <cellStyle name="Percent 15 7" xfId="34948"/>
    <cellStyle name="Percent 15 7 2" xfId="34949"/>
    <cellStyle name="Percent 15 7 2 2" xfId="34950"/>
    <cellStyle name="Percent 15 7 2 2 2" xfId="34951"/>
    <cellStyle name="Percent 15 7 2 3" xfId="34952"/>
    <cellStyle name="Percent 15 7 3" xfId="34953"/>
    <cellStyle name="Percent 15 7 3 2" xfId="34954"/>
    <cellStyle name="Percent 15 7 4" xfId="34955"/>
    <cellStyle name="Percent 15 7 5" xfId="34956"/>
    <cellStyle name="Percent 15 7 6" xfId="40920"/>
    <cellStyle name="Percent 15 8" xfId="34957"/>
    <cellStyle name="Percent 15 8 2" xfId="34958"/>
    <cellStyle name="Percent 15 8 2 2" xfId="34959"/>
    <cellStyle name="Percent 15 8 3" xfId="34960"/>
    <cellStyle name="Percent 15 9" xfId="34961"/>
    <cellStyle name="Percent 15 9 2" xfId="34962"/>
    <cellStyle name="Percent 15 9 2 2" xfId="34963"/>
    <cellStyle name="Percent 15 9 3" xfId="34964"/>
    <cellStyle name="Percent 16" xfId="1982"/>
    <cellStyle name="Percent 16 2" xfId="1983"/>
    <cellStyle name="Percent 16 2 10" xfId="34967"/>
    <cellStyle name="Percent 16 2 11" xfId="34966"/>
    <cellStyle name="Percent 16 2 12" xfId="40945"/>
    <cellStyle name="Percent 16 2 2" xfId="34968"/>
    <cellStyle name="Percent 16 2 2 2" xfId="34969"/>
    <cellStyle name="Percent 16 2 2 2 2" xfId="34970"/>
    <cellStyle name="Percent 16 2 2 2 2 2" xfId="34971"/>
    <cellStyle name="Percent 16 2 2 2 2 2 2" xfId="34972"/>
    <cellStyle name="Percent 16 2 2 2 2 3" xfId="34973"/>
    <cellStyle name="Percent 16 2 2 2 3" xfId="34974"/>
    <cellStyle name="Percent 16 2 2 2 3 2" xfId="34975"/>
    <cellStyle name="Percent 16 2 2 2 4" xfId="34976"/>
    <cellStyle name="Percent 16 2 2 2 5" xfId="34977"/>
    <cellStyle name="Percent 16 2 2 3" xfId="34978"/>
    <cellStyle name="Percent 16 2 2 3 2" xfId="34979"/>
    <cellStyle name="Percent 16 2 2 3 2 2" xfId="34980"/>
    <cellStyle name="Percent 16 2 2 3 2 2 2" xfId="34981"/>
    <cellStyle name="Percent 16 2 2 3 2 3" xfId="34982"/>
    <cellStyle name="Percent 16 2 2 3 3" xfId="34983"/>
    <cellStyle name="Percent 16 2 2 3 3 2" xfId="34984"/>
    <cellStyle name="Percent 16 2 2 3 4" xfId="34985"/>
    <cellStyle name="Percent 16 2 2 4" xfId="34986"/>
    <cellStyle name="Percent 16 2 2 4 2" xfId="34987"/>
    <cellStyle name="Percent 16 2 2 4 2 2" xfId="34988"/>
    <cellStyle name="Percent 16 2 2 4 3" xfId="34989"/>
    <cellStyle name="Percent 16 2 2 5" xfId="34990"/>
    <cellStyle name="Percent 16 2 2 5 2" xfId="34991"/>
    <cellStyle name="Percent 16 2 2 5 2 2" xfId="34992"/>
    <cellStyle name="Percent 16 2 2 5 3" xfId="34993"/>
    <cellStyle name="Percent 16 2 2 6" xfId="34994"/>
    <cellStyle name="Percent 16 2 2 6 2" xfId="34995"/>
    <cellStyle name="Percent 16 2 2 7" xfId="34996"/>
    <cellStyle name="Percent 16 2 2 8" xfId="34997"/>
    <cellStyle name="Percent 16 2 2 9" xfId="41140"/>
    <cellStyle name="Percent 16 2 3" xfId="34998"/>
    <cellStyle name="Percent 16 2 3 2" xfId="34999"/>
    <cellStyle name="Percent 16 2 3 2 2" xfId="35000"/>
    <cellStyle name="Percent 16 2 3 2 2 2" xfId="35001"/>
    <cellStyle name="Percent 16 2 3 2 2 2 2" xfId="35002"/>
    <cellStyle name="Percent 16 2 3 2 2 3" xfId="35003"/>
    <cellStyle name="Percent 16 2 3 2 3" xfId="35004"/>
    <cellStyle name="Percent 16 2 3 2 3 2" xfId="35005"/>
    <cellStyle name="Percent 16 2 3 2 4" xfId="35006"/>
    <cellStyle name="Percent 16 2 3 2 5" xfId="35007"/>
    <cellStyle name="Percent 16 2 3 3" xfId="35008"/>
    <cellStyle name="Percent 16 2 3 3 2" xfId="35009"/>
    <cellStyle name="Percent 16 2 3 3 2 2" xfId="35010"/>
    <cellStyle name="Percent 16 2 3 3 2 2 2" xfId="35011"/>
    <cellStyle name="Percent 16 2 3 3 2 3" xfId="35012"/>
    <cellStyle name="Percent 16 2 3 3 3" xfId="35013"/>
    <cellStyle name="Percent 16 2 3 3 3 2" xfId="35014"/>
    <cellStyle name="Percent 16 2 3 3 4" xfId="35015"/>
    <cellStyle name="Percent 16 2 3 4" xfId="35016"/>
    <cellStyle name="Percent 16 2 3 4 2" xfId="35017"/>
    <cellStyle name="Percent 16 2 3 4 2 2" xfId="35018"/>
    <cellStyle name="Percent 16 2 3 4 3" xfId="35019"/>
    <cellStyle name="Percent 16 2 3 5" xfId="35020"/>
    <cellStyle name="Percent 16 2 3 5 2" xfId="35021"/>
    <cellStyle name="Percent 16 2 3 5 2 2" xfId="35022"/>
    <cellStyle name="Percent 16 2 3 5 3" xfId="35023"/>
    <cellStyle name="Percent 16 2 3 6" xfId="35024"/>
    <cellStyle name="Percent 16 2 3 6 2" xfId="35025"/>
    <cellStyle name="Percent 16 2 3 7" xfId="35026"/>
    <cellStyle name="Percent 16 2 3 8" xfId="35027"/>
    <cellStyle name="Percent 16 2 3 9" xfId="41258"/>
    <cellStyle name="Percent 16 2 4" xfId="35028"/>
    <cellStyle name="Percent 16 2 4 2" xfId="35029"/>
    <cellStyle name="Percent 16 2 4 2 2" xfId="35030"/>
    <cellStyle name="Percent 16 2 4 2 2 2" xfId="35031"/>
    <cellStyle name="Percent 16 2 4 2 2 2 2" xfId="35032"/>
    <cellStyle name="Percent 16 2 4 2 2 3" xfId="35033"/>
    <cellStyle name="Percent 16 2 4 2 3" xfId="35034"/>
    <cellStyle name="Percent 16 2 4 2 3 2" xfId="35035"/>
    <cellStyle name="Percent 16 2 4 2 4" xfId="35036"/>
    <cellStyle name="Percent 16 2 4 3" xfId="35037"/>
    <cellStyle name="Percent 16 2 4 3 2" xfId="35038"/>
    <cellStyle name="Percent 16 2 4 3 2 2" xfId="35039"/>
    <cellStyle name="Percent 16 2 4 3 3" xfId="35040"/>
    <cellStyle name="Percent 16 2 4 4" xfId="35041"/>
    <cellStyle name="Percent 16 2 4 4 2" xfId="35042"/>
    <cellStyle name="Percent 16 2 4 4 2 2" xfId="35043"/>
    <cellStyle name="Percent 16 2 4 4 3" xfId="35044"/>
    <cellStyle name="Percent 16 2 4 5" xfId="35045"/>
    <cellStyle name="Percent 16 2 4 5 2" xfId="35046"/>
    <cellStyle name="Percent 16 2 4 6" xfId="35047"/>
    <cellStyle name="Percent 16 2 4 7" xfId="35048"/>
    <cellStyle name="Percent 16 2 4 8" xfId="41595"/>
    <cellStyle name="Percent 16 2 5" xfId="35049"/>
    <cellStyle name="Percent 16 2 5 2" xfId="35050"/>
    <cellStyle name="Percent 16 2 5 2 2" xfId="35051"/>
    <cellStyle name="Percent 16 2 5 2 2 2" xfId="35052"/>
    <cellStyle name="Percent 16 2 5 2 3" xfId="35053"/>
    <cellStyle name="Percent 16 2 5 3" xfId="35054"/>
    <cellStyle name="Percent 16 2 5 3 2" xfId="35055"/>
    <cellStyle name="Percent 16 2 5 4" xfId="35056"/>
    <cellStyle name="Percent 16 2 5 5" xfId="35057"/>
    <cellStyle name="Percent 16 2 5 6" xfId="41070"/>
    <cellStyle name="Percent 16 2 6" xfId="35058"/>
    <cellStyle name="Percent 16 2 6 2" xfId="35059"/>
    <cellStyle name="Percent 16 2 6 2 2" xfId="35060"/>
    <cellStyle name="Percent 16 2 6 3" xfId="35061"/>
    <cellStyle name="Percent 16 2 7" xfId="35062"/>
    <cellStyle name="Percent 16 2 7 2" xfId="35063"/>
    <cellStyle name="Percent 16 2 7 2 2" xfId="35064"/>
    <cellStyle name="Percent 16 2 7 3" xfId="35065"/>
    <cellStyle name="Percent 16 2 8" xfId="35066"/>
    <cellStyle name="Percent 16 2 8 2" xfId="35067"/>
    <cellStyle name="Percent 16 2 9" xfId="35068"/>
    <cellStyle name="Percent 16 3" xfId="3158"/>
    <cellStyle name="Percent 16 3 2" xfId="41124"/>
    <cellStyle name="Percent 16 4" xfId="7111"/>
    <cellStyle name="Percent 16 4 2" xfId="41242"/>
    <cellStyle name="Percent 16 5" xfId="34965"/>
    <cellStyle name="Percent 16 5 2" xfId="41341"/>
    <cellStyle name="Percent 16 6" xfId="41069"/>
    <cellStyle name="Percent 16 7" xfId="40926"/>
    <cellStyle name="Percent 16 8" xfId="40672"/>
    <cellStyle name="Percent 17" xfId="1984"/>
    <cellStyle name="Percent 17 2" xfId="1985"/>
    <cellStyle name="Percent 17 2 2" xfId="35070"/>
    <cellStyle name="Percent 17 2 3" xfId="35071"/>
    <cellStyle name="Percent 17 2 4" xfId="35072"/>
    <cellStyle name="Percent 17 2 5" xfId="35069"/>
    <cellStyle name="Percent 17 3" xfId="3022"/>
    <cellStyle name="Percent 17 3 2" xfId="41071"/>
    <cellStyle name="Percent 17 4" xfId="7112"/>
    <cellStyle name="Percent 17 4 2" xfId="41913"/>
    <cellStyle name="Percent 17 5" xfId="40946"/>
    <cellStyle name="Percent 18" xfId="1986"/>
    <cellStyle name="Percent 18 2" xfId="1987"/>
    <cellStyle name="Percent 18 2 2" xfId="35074"/>
    <cellStyle name="Percent 18 3" xfId="3151"/>
    <cellStyle name="Percent 18 3 2" xfId="41072"/>
    <cellStyle name="Percent 18 4" xfId="7113"/>
    <cellStyle name="Percent 18 4 2" xfId="41914"/>
    <cellStyle name="Percent 18 5" xfId="35073"/>
    <cellStyle name="Percent 18 5 2" xfId="40947"/>
    <cellStyle name="Percent 19" xfId="1988"/>
    <cellStyle name="Percent 19 2" xfId="1989"/>
    <cellStyle name="Percent 19 2 2" xfId="35076"/>
    <cellStyle name="Percent 19 3" xfId="2941"/>
    <cellStyle name="Percent 19 4" xfId="7114"/>
    <cellStyle name="Percent 19 5" xfId="35075"/>
    <cellStyle name="Percent 2" xfId="26"/>
    <cellStyle name="Percent 2 10" xfId="1991"/>
    <cellStyle name="Percent 2 10 2" xfId="3134"/>
    <cellStyle name="Percent 2 10 2 2" xfId="3630"/>
    <cellStyle name="Percent 2 10 3" xfId="7116"/>
    <cellStyle name="Percent 2 11" xfId="1992"/>
    <cellStyle name="Percent 2 11 2" xfId="41073"/>
    <cellStyle name="Percent 2 12" xfId="1993"/>
    <cellStyle name="Percent 2 13" xfId="1994"/>
    <cellStyle name="Percent 2 13 2" xfId="1995"/>
    <cellStyle name="Percent 2 14" xfId="1996"/>
    <cellStyle name="Percent 2 14 2" xfId="1997"/>
    <cellStyle name="Percent 2 15" xfId="1998"/>
    <cellStyle name="Percent 2 15 2" xfId="1999"/>
    <cellStyle name="Percent 2 16" xfId="2000"/>
    <cellStyle name="Percent 2 16 2" xfId="2001"/>
    <cellStyle name="Percent 2 17" xfId="2002"/>
    <cellStyle name="Percent 2 17 2" xfId="2003"/>
    <cellStyle name="Percent 2 18" xfId="2004"/>
    <cellStyle name="Percent 2 18 2" xfId="2005"/>
    <cellStyle name="Percent 2 18 2 2" xfId="7118"/>
    <cellStyle name="Percent 2 18 3" xfId="7852"/>
    <cellStyle name="Percent 2 18 4" xfId="7117"/>
    <cellStyle name="Percent 2 19" xfId="2006"/>
    <cellStyle name="Percent 2 19 2" xfId="42263"/>
    <cellStyle name="Percent 2 2" xfId="2007"/>
    <cellStyle name="Percent 2 2 10" xfId="2008"/>
    <cellStyle name="Percent 2 2 10 2" xfId="2009"/>
    <cellStyle name="Percent 2 2 11" xfId="2010"/>
    <cellStyle name="Percent 2 2 11 2" xfId="2011"/>
    <cellStyle name="Percent 2 2 12" xfId="2012"/>
    <cellStyle name="Percent 2 2 12 2" xfId="2013"/>
    <cellStyle name="Percent 2 2 13" xfId="2014"/>
    <cellStyle name="Percent 2 2 13 2" xfId="2015"/>
    <cellStyle name="Percent 2 2 13 3" xfId="7119"/>
    <cellStyle name="Percent 2 2 14" xfId="2016"/>
    <cellStyle name="Percent 2 2 14 2" xfId="35078"/>
    <cellStyle name="Percent 2 2 15" xfId="2017"/>
    <cellStyle name="Percent 2 2 16" xfId="2018"/>
    <cellStyle name="Percent 2 2 17" xfId="2019"/>
    <cellStyle name="Percent 2 2 18" xfId="2020"/>
    <cellStyle name="Percent 2 2 19" xfId="2021"/>
    <cellStyle name="Percent 2 2 2" xfId="2022"/>
    <cellStyle name="Percent 2 2 2 2" xfId="2023"/>
    <cellStyle name="Percent 2 2 2 2 2" xfId="2024"/>
    <cellStyle name="Percent 2 2 2 2 2 2" xfId="7121"/>
    <cellStyle name="Percent 2 2 2 2 3" xfId="2025"/>
    <cellStyle name="Percent 2 2 2 2 4" xfId="7120"/>
    <cellStyle name="Percent 2 2 2 3" xfId="2026"/>
    <cellStyle name="Percent 2 2 2 3 2" xfId="7122"/>
    <cellStyle name="Percent 2 2 2 4" xfId="2027"/>
    <cellStyle name="Percent 2 2 2 4 2" xfId="7123"/>
    <cellStyle name="Percent 2 2 2 5" xfId="2028"/>
    <cellStyle name="Percent 2 2 2 6" xfId="2029"/>
    <cellStyle name="Percent 2 2 20" xfId="2030"/>
    <cellStyle name="Percent 2 2 21" xfId="2031"/>
    <cellStyle name="Percent 2 2 22" xfId="2032"/>
    <cellStyle name="Percent 2 2 23" xfId="2033"/>
    <cellStyle name="Percent 2 2 24" xfId="2034"/>
    <cellStyle name="Percent 2 2 25" xfId="2035"/>
    <cellStyle name="Percent 2 2 26" xfId="2036"/>
    <cellStyle name="Percent 2 2 27" xfId="2037"/>
    <cellStyle name="Percent 2 2 28" xfId="2038"/>
    <cellStyle name="Percent 2 2 29" xfId="2039"/>
    <cellStyle name="Percent 2 2 3" xfId="2040"/>
    <cellStyle name="Percent 2 2 3 2" xfId="2041"/>
    <cellStyle name="Percent 2 2 3 2 2" xfId="3135"/>
    <cellStyle name="Percent 2 2 3 2 2 2" xfId="35080"/>
    <cellStyle name="Percent 2 2 3 2 3" xfId="35079"/>
    <cellStyle name="Percent 2 2 3 3" xfId="2042"/>
    <cellStyle name="Percent 2 2 3 4" xfId="2043"/>
    <cellStyle name="Percent 2 2 3 4 2" xfId="7124"/>
    <cellStyle name="Percent 2 2 3 4 3" xfId="35081"/>
    <cellStyle name="Percent 2 2 3 5" xfId="2851"/>
    <cellStyle name="Percent 2 2 3 5 2" xfId="7125"/>
    <cellStyle name="Percent 2 2 3 6" xfId="7126"/>
    <cellStyle name="Percent 2 2 3 7" xfId="7127"/>
    <cellStyle name="Percent 2 2 30" xfId="2044"/>
    <cellStyle name="Percent 2 2 31" xfId="2045"/>
    <cellStyle name="Percent 2 2 32" xfId="2046"/>
    <cellStyle name="Percent 2 2 33" xfId="2047"/>
    <cellStyle name="Percent 2 2 34" xfId="2048"/>
    <cellStyle name="Percent 2 2 35" xfId="2049"/>
    <cellStyle name="Percent 2 2 36" xfId="2050"/>
    <cellStyle name="Percent 2 2 37" xfId="2051"/>
    <cellStyle name="Percent 2 2 38" xfId="2052"/>
    <cellStyle name="Percent 2 2 39" xfId="2053"/>
    <cellStyle name="Percent 2 2 4" xfId="2054"/>
    <cellStyle name="Percent 2 2 4 2" xfId="2055"/>
    <cellStyle name="Percent 2 2 4 2 2" xfId="7128"/>
    <cellStyle name="Percent 2 2 4 2 3" xfId="35082"/>
    <cellStyle name="Percent 2 2 4 3" xfId="2056"/>
    <cellStyle name="Percent 2 2 4 3 2" xfId="35083"/>
    <cellStyle name="Percent 2 2 4 4" xfId="2057"/>
    <cellStyle name="Percent 2 2 40" xfId="2058"/>
    <cellStyle name="Percent 2 2 41" xfId="2059"/>
    <cellStyle name="Percent 2 2 42" xfId="2060"/>
    <cellStyle name="Percent 2 2 43" xfId="2061"/>
    <cellStyle name="Percent 2 2 44" xfId="2062"/>
    <cellStyle name="Percent 2 2 45" xfId="35077"/>
    <cellStyle name="Percent 2 2 5" xfId="2063"/>
    <cellStyle name="Percent 2 2 5 2" xfId="2064"/>
    <cellStyle name="Percent 2 2 5 2 2" xfId="7129"/>
    <cellStyle name="Percent 2 2 5 2 2 2" xfId="35084"/>
    <cellStyle name="Percent 2 2 5 3" xfId="2065"/>
    <cellStyle name="Percent 2 2 5 4" xfId="2066"/>
    <cellStyle name="Percent 2 2 6" xfId="2067"/>
    <cellStyle name="Percent 2 2 6 2" xfId="2068"/>
    <cellStyle name="Percent 2 2 6 2 2" xfId="7131"/>
    <cellStyle name="Percent 2 2 6 3" xfId="7853"/>
    <cellStyle name="Percent 2 2 6 4" xfId="7130"/>
    <cellStyle name="Percent 2 2 7" xfId="2069"/>
    <cellStyle name="Percent 2 2 7 2" xfId="2070"/>
    <cellStyle name="Percent 2 2 7 2 2" xfId="7133"/>
    <cellStyle name="Percent 2 2 7 3" xfId="7854"/>
    <cellStyle name="Percent 2 2 7 4" xfId="7132"/>
    <cellStyle name="Percent 2 2 8" xfId="2071"/>
    <cellStyle name="Percent 2 2 8 2" xfId="2072"/>
    <cellStyle name="Percent 2 2 8 2 2" xfId="7135"/>
    <cellStyle name="Percent 2 2 8 3" xfId="7855"/>
    <cellStyle name="Percent 2 2 8 4" xfId="7134"/>
    <cellStyle name="Percent 2 2 9" xfId="2073"/>
    <cellStyle name="Percent 2 2 9 2" xfId="2074"/>
    <cellStyle name="Percent 2 2_Accounts 2010 after RAJ" xfId="3017"/>
    <cellStyle name="Percent 2 20" xfId="2075"/>
    <cellStyle name="Percent 2 20 2" xfId="43416"/>
    <cellStyle name="Percent 2 21" xfId="2076"/>
    <cellStyle name="Percent 2 21 2" xfId="7136"/>
    <cellStyle name="Percent 2 21 3" xfId="7137"/>
    <cellStyle name="Percent 2 21 4" xfId="7138"/>
    <cellStyle name="Percent 2 21 5" xfId="35085"/>
    <cellStyle name="Percent 2 22" xfId="2077"/>
    <cellStyle name="Percent 2 22 2" xfId="35086"/>
    <cellStyle name="Percent 2 23" xfId="2078"/>
    <cellStyle name="Percent 2 23 2" xfId="35087"/>
    <cellStyle name="Percent 2 24" xfId="2079"/>
    <cellStyle name="Percent 2 24 2" xfId="35088"/>
    <cellStyle name="Percent 2 25" xfId="2080"/>
    <cellStyle name="Percent 2 25 2" xfId="35089"/>
    <cellStyle name="Percent 2 26" xfId="2081"/>
    <cellStyle name="Percent 2 26 2" xfId="35090"/>
    <cellStyle name="Percent 2 27" xfId="2082"/>
    <cellStyle name="Percent 2 28" xfId="2083"/>
    <cellStyle name="Percent 2 29" xfId="2084"/>
    <cellStyle name="Percent 2 3" xfId="2085"/>
    <cellStyle name="Percent 2 3 2" xfId="2086"/>
    <cellStyle name="Percent 2 3 2 2" xfId="2087"/>
    <cellStyle name="Percent 2 3 2 2 2" xfId="7139"/>
    <cellStyle name="Percent 2 3 2 2 3" xfId="35093"/>
    <cellStyle name="Percent 2 3 2 3" xfId="35094"/>
    <cellStyle name="Percent 2 3 2 4" xfId="35092"/>
    <cellStyle name="Percent 2 3 3" xfId="2088"/>
    <cellStyle name="Percent 2 3 3 2" xfId="7140"/>
    <cellStyle name="Percent 2 3 3 2 2" xfId="35095"/>
    <cellStyle name="Percent 2 3 4" xfId="8496"/>
    <cellStyle name="Percent 2 3 4 2" xfId="41865"/>
    <cellStyle name="Percent 2 3 5" xfId="35096"/>
    <cellStyle name="Percent 2 3 5 2" xfId="40800"/>
    <cellStyle name="Percent 2 3 6" xfId="35097"/>
    <cellStyle name="Percent 2 3 7" xfId="35091"/>
    <cellStyle name="Percent 2 30" xfId="2089"/>
    <cellStyle name="Percent 2 31" xfId="2090"/>
    <cellStyle name="Percent 2 32" xfId="2091"/>
    <cellStyle name="Percent 2 33" xfId="2092"/>
    <cellStyle name="Percent 2 34" xfId="2093"/>
    <cellStyle name="Percent 2 35" xfId="2094"/>
    <cellStyle name="Percent 2 36" xfId="2095"/>
    <cellStyle name="Percent 2 37" xfId="2096"/>
    <cellStyle name="Percent 2 38" xfId="2097"/>
    <cellStyle name="Percent 2 39" xfId="2098"/>
    <cellStyle name="Percent 2 4" xfId="2099"/>
    <cellStyle name="Percent 2 4 2" xfId="2100"/>
    <cellStyle name="Percent 2 4 2 2" xfId="2101"/>
    <cellStyle name="Percent 2 4 2 2 2" xfId="7142"/>
    <cellStyle name="Percent 2 4 2 2 3" xfId="35098"/>
    <cellStyle name="Percent 2 4 2 3" xfId="7141"/>
    <cellStyle name="Percent 2 4 3" xfId="2102"/>
    <cellStyle name="Percent 2 4 3 2" xfId="41866"/>
    <cellStyle name="Percent 2 4 4" xfId="40801"/>
    <cellStyle name="Percent 2 40" xfId="2103"/>
    <cellStyle name="Percent 2 41" xfId="2104"/>
    <cellStyle name="Percent 2 42" xfId="2105"/>
    <cellStyle name="Percent 2 43" xfId="2106"/>
    <cellStyle name="Percent 2 44" xfId="2107"/>
    <cellStyle name="Percent 2 45" xfId="2108"/>
    <cellStyle name="Percent 2 46" xfId="2109"/>
    <cellStyle name="Percent 2 47" xfId="2110"/>
    <cellStyle name="Percent 2 48" xfId="2111"/>
    <cellStyle name="Percent 2 49" xfId="1990"/>
    <cellStyle name="Percent 2 49 2" xfId="7144"/>
    <cellStyle name="Percent 2 49 3" xfId="7143"/>
    <cellStyle name="Percent 2 5" xfId="2112"/>
    <cellStyle name="Percent 2 5 2" xfId="2113"/>
    <cellStyle name="Percent 2 5 2 2" xfId="2114"/>
    <cellStyle name="Percent 2 5 3" xfId="2115"/>
    <cellStyle name="Percent 2 50" xfId="7145"/>
    <cellStyle name="Percent 2 50 2" xfId="7146"/>
    <cellStyle name="Percent 2 51" xfId="7147"/>
    <cellStyle name="Percent 2 51 2" xfId="7148"/>
    <cellStyle name="Percent 2 52" xfId="7149"/>
    <cellStyle name="Percent 2 52 2" xfId="7150"/>
    <cellStyle name="Percent 2 53" xfId="7151"/>
    <cellStyle name="Percent 2 53 2" xfId="7152"/>
    <cellStyle name="Percent 2 54" xfId="7153"/>
    <cellStyle name="Percent 2 54 2" xfId="7154"/>
    <cellStyle name="Percent 2 55" xfId="7155"/>
    <cellStyle name="Percent 2 56" xfId="7156"/>
    <cellStyle name="Percent 2 57" xfId="7115"/>
    <cellStyle name="Percent 2 58" xfId="3258"/>
    <cellStyle name="Percent 2 58 2" xfId="7787"/>
    <cellStyle name="Percent 2 58 3" xfId="7866"/>
    <cellStyle name="Percent 2 6" xfId="2116"/>
    <cellStyle name="Percent 2 6 2" xfId="2117"/>
    <cellStyle name="Percent 2 6 2 2" xfId="3136"/>
    <cellStyle name="Percent 2 6 2 2 2" xfId="7158"/>
    <cellStyle name="Percent 2 6 2 2 3" xfId="35100"/>
    <cellStyle name="Percent 2 6 2 3" xfId="7157"/>
    <cellStyle name="Percent 2 6 2 3 2" xfId="35101"/>
    <cellStyle name="Percent 2 6 2 4" xfId="35099"/>
    <cellStyle name="Percent 2 6 3" xfId="2852"/>
    <cellStyle name="Percent 2 6 3 2" xfId="7159"/>
    <cellStyle name="Percent 2 6 3 2 2" xfId="35103"/>
    <cellStyle name="Percent 2 6 3 3" xfId="35104"/>
    <cellStyle name="Percent 2 6 3 4" xfId="35102"/>
    <cellStyle name="Percent 2 6 4" xfId="35105"/>
    <cellStyle name="Percent 2 7" xfId="2118"/>
    <cellStyle name="Percent 2 7 2" xfId="2119"/>
    <cellStyle name="Percent 2 7 2 2" xfId="7160"/>
    <cellStyle name="Percent 2 7 2 2 2" xfId="35107"/>
    <cellStyle name="Percent 2 7 2 3" xfId="35108"/>
    <cellStyle name="Percent 2 7 2 4" xfId="35106"/>
    <cellStyle name="Percent 2 7 3" xfId="2120"/>
    <cellStyle name="Percent 2 7 3 2" xfId="35109"/>
    <cellStyle name="Percent 2 7 4" xfId="3137"/>
    <cellStyle name="Percent 2 8" xfId="2121"/>
    <cellStyle name="Percent 2 8 2" xfId="2122"/>
    <cellStyle name="Percent 2 8 2 2" xfId="7161"/>
    <cellStyle name="Percent 2 8 3" xfId="2123"/>
    <cellStyle name="Percent 2 8 4" xfId="3138"/>
    <cellStyle name="Percent 2 9" xfId="2124"/>
    <cellStyle name="Percent 2 9 2" xfId="2125"/>
    <cellStyle name="Percent 2 9 3" xfId="3139"/>
    <cellStyle name="Percent 2_Account(31-Dec-09)" xfId="2126"/>
    <cellStyle name="Percent 20" xfId="2127"/>
    <cellStyle name="Percent 20 2" xfId="2128"/>
    <cellStyle name="Percent 20 2 2" xfId="35111"/>
    <cellStyle name="Percent 20 2 3" xfId="35112"/>
    <cellStyle name="Percent 20 2 4" xfId="35110"/>
    <cellStyle name="Percent 20 3" xfId="3144"/>
    <cellStyle name="Percent 20 3 2" xfId="35113"/>
    <cellStyle name="Percent 20 4" xfId="7162"/>
    <cellStyle name="Percent 21" xfId="2129"/>
    <cellStyle name="Percent 21 2" xfId="2130"/>
    <cellStyle name="Percent 21 2 2" xfId="41074"/>
    <cellStyle name="Percent 21 3" xfId="3024"/>
    <cellStyle name="Percent 21 4" xfId="7163"/>
    <cellStyle name="Percent 22" xfId="2131"/>
    <cellStyle name="Percent 22 2" xfId="2132"/>
    <cellStyle name="Percent 22 2 2" xfId="41596"/>
    <cellStyle name="Percent 22 3" xfId="3166"/>
    <cellStyle name="Percent 22 3 2" xfId="41374"/>
    <cellStyle name="Percent 22 4" xfId="7164"/>
    <cellStyle name="Percent 22 4 2" xfId="41075"/>
    <cellStyle name="Percent 23" xfId="2133"/>
    <cellStyle name="Percent 23 2" xfId="2134"/>
    <cellStyle name="Percent 23 2 2" xfId="41597"/>
    <cellStyle name="Percent 23 3" xfId="3150"/>
    <cellStyle name="Percent 23 3 2" xfId="41399"/>
    <cellStyle name="Percent 23 4" xfId="7165"/>
    <cellStyle name="Percent 23 4 2" xfId="41076"/>
    <cellStyle name="Percent 24" xfId="2135"/>
    <cellStyle name="Percent 24 2" xfId="2136"/>
    <cellStyle name="Percent 24 2 2" xfId="41077"/>
    <cellStyle name="Percent 24 3" xfId="2137"/>
    <cellStyle name="Percent 24 4" xfId="7166"/>
    <cellStyle name="Percent 25" xfId="2138"/>
    <cellStyle name="Percent 25 2" xfId="2139"/>
    <cellStyle name="Percent 25 2 2" xfId="41078"/>
    <cellStyle name="Percent 25 3" xfId="2140"/>
    <cellStyle name="Percent 26" xfId="2141"/>
    <cellStyle name="Percent 26 2" xfId="2142"/>
    <cellStyle name="Percent 26 2 2" xfId="41079"/>
    <cellStyle name="Percent 26 3" xfId="2143"/>
    <cellStyle name="Percent 26 4" xfId="2144"/>
    <cellStyle name="Percent 26 5" xfId="2145"/>
    <cellStyle name="Percent 26 6" xfId="35114"/>
    <cellStyle name="Percent 27" xfId="2146"/>
    <cellStyle name="Percent 27 2" xfId="2147"/>
    <cellStyle name="Percent 27 2 2" xfId="41080"/>
    <cellStyle name="Percent 27 3" xfId="35115"/>
    <cellStyle name="Percent 28" xfId="2148"/>
    <cellStyle name="Percent 28 2" xfId="2149"/>
    <cellStyle name="Percent 28 2 2" xfId="41081"/>
    <cellStyle name="Percent 28 3" xfId="2150"/>
    <cellStyle name="Percent 28 4" xfId="2853"/>
    <cellStyle name="Percent 29" xfId="2151"/>
    <cellStyle name="Percent 29 2" xfId="2152"/>
    <cellStyle name="Percent 29 2 2" xfId="41082"/>
    <cellStyle name="Percent 29 3" xfId="35116"/>
    <cellStyle name="Percent 3" xfId="2153"/>
    <cellStyle name="Percent 3 2" xfId="2154"/>
    <cellStyle name="Percent 3 2 2" xfId="35118"/>
    <cellStyle name="Percent 3 2 2 2" xfId="42264"/>
    <cellStyle name="Percent 3 2 3" xfId="35119"/>
    <cellStyle name="Percent 3 2 4" xfId="35120"/>
    <cellStyle name="Percent 3 2 5" xfId="40802"/>
    <cellStyle name="Percent 3 3" xfId="2155"/>
    <cellStyle name="Percent 3 3 2" xfId="2156"/>
    <cellStyle name="Percent 3 3 2 2" xfId="2157"/>
    <cellStyle name="Percent 3 3 2 3" xfId="42265"/>
    <cellStyle name="Percent 3 3 3" xfId="3018"/>
    <cellStyle name="Percent 3 3 3 2" xfId="35121"/>
    <cellStyle name="Percent 3 4" xfId="2158"/>
    <cellStyle name="Percent 3 4 2" xfId="35123"/>
    <cellStyle name="Percent 3 4 3" xfId="35124"/>
    <cellStyle name="Percent 3 4 4" xfId="35122"/>
    <cellStyle name="Percent 3 5" xfId="2159"/>
    <cellStyle name="Percent 3 5 2" xfId="7167"/>
    <cellStyle name="Percent 3 5 2 2" xfId="35126"/>
    <cellStyle name="Percent 3 5 3" xfId="35127"/>
    <cellStyle name="Percent 3 5 4" xfId="35128"/>
    <cellStyle name="Percent 3 5 5" xfId="35125"/>
    <cellStyle name="Percent 3 6" xfId="7168"/>
    <cellStyle name="Percent 3 6 2" xfId="35129"/>
    <cellStyle name="Percent 3 7" xfId="35130"/>
    <cellStyle name="Percent 3 7 2" xfId="35131"/>
    <cellStyle name="Percent 3 7 2 2" xfId="35132"/>
    <cellStyle name="Percent 3 7 3" xfId="35133"/>
    <cellStyle name="Percent 3 8" xfId="35134"/>
    <cellStyle name="Percent 3 9" xfId="35117"/>
    <cellStyle name="Percent 3_Accounts 2010 after RAJ" xfId="35135"/>
    <cellStyle name="Percent 30" xfId="2160"/>
    <cellStyle name="Percent 30 2" xfId="2161"/>
    <cellStyle name="Percent 30 2 2" xfId="41727"/>
    <cellStyle name="Percent 30 2 2 2" xfId="42029"/>
    <cellStyle name="Percent 30 2 2 2 2" xfId="42609"/>
    <cellStyle name="Percent 30 2 2 2 2 2" xfId="43387"/>
    <cellStyle name="Percent 30 2 2 2 2 2 2" xfId="45236"/>
    <cellStyle name="Percent 30 2 2 2 2 3" xfId="44471"/>
    <cellStyle name="Percent 30 2 2 2 3" xfId="43386"/>
    <cellStyle name="Percent 30 2 2 2 3 2" xfId="45235"/>
    <cellStyle name="Percent 30 2 2 2 4" xfId="44070"/>
    <cellStyle name="Percent 30 2 2 3" xfId="42443"/>
    <cellStyle name="Percent 30 2 2 3 2" xfId="43388"/>
    <cellStyle name="Percent 30 2 2 3 2 2" xfId="45237"/>
    <cellStyle name="Percent 30 2 2 3 3" xfId="44305"/>
    <cellStyle name="Percent 30 2 2 4" xfId="43385"/>
    <cellStyle name="Percent 30 2 2 4 2" xfId="45234"/>
    <cellStyle name="Percent 30 2 2 5" xfId="43888"/>
    <cellStyle name="Percent 30 2 3" xfId="41935"/>
    <cellStyle name="Percent 30 2 3 2" xfId="42515"/>
    <cellStyle name="Percent 30 2 3 2 2" xfId="43390"/>
    <cellStyle name="Percent 30 2 3 2 2 2" xfId="45239"/>
    <cellStyle name="Percent 30 2 3 2 3" xfId="44377"/>
    <cellStyle name="Percent 30 2 3 3" xfId="43389"/>
    <cellStyle name="Percent 30 2 3 3 2" xfId="45238"/>
    <cellStyle name="Percent 30 2 3 4" xfId="43976"/>
    <cellStyle name="Percent 30 2 4" xfId="42349"/>
    <cellStyle name="Percent 30 2 4 2" xfId="43391"/>
    <cellStyle name="Percent 30 2 4 2 2" xfId="45240"/>
    <cellStyle name="Percent 30 2 4 3" xfId="44211"/>
    <cellStyle name="Percent 30 2 5" xfId="43384"/>
    <cellStyle name="Percent 30 2 5 2" xfId="45233"/>
    <cellStyle name="Percent 30 2 6" xfId="43740"/>
    <cellStyle name="Percent 30 2 7" xfId="41264"/>
    <cellStyle name="Percent 30 3" xfId="35136"/>
    <cellStyle name="Percent 30 3 2" xfId="41598"/>
    <cellStyle name="Percent 30 4" xfId="41920"/>
    <cellStyle name="Percent 30 4 2" xfId="42501"/>
    <cellStyle name="Percent 30 4 2 2" xfId="43393"/>
    <cellStyle name="Percent 30 4 2 2 2" xfId="45242"/>
    <cellStyle name="Percent 30 4 2 3" xfId="44363"/>
    <cellStyle name="Percent 30 4 3" xfId="43392"/>
    <cellStyle name="Percent 30 4 3 2" xfId="45241"/>
    <cellStyle name="Percent 30 4 4" xfId="43962"/>
    <cellStyle name="Percent 30 5" xfId="41083"/>
    <cellStyle name="Percent 30 5 2" xfId="42335"/>
    <cellStyle name="Percent 30 5 2 2" xfId="43395"/>
    <cellStyle name="Percent 30 5 2 2 2" xfId="45244"/>
    <cellStyle name="Percent 30 5 2 3" xfId="44197"/>
    <cellStyle name="Percent 30 5 3" xfId="43394"/>
    <cellStyle name="Percent 30 5 3 2" xfId="45243"/>
    <cellStyle name="Percent 30 5 4" xfId="43710"/>
    <cellStyle name="Percent 31" xfId="2162"/>
    <cellStyle name="Percent 31 2" xfId="2163"/>
    <cellStyle name="Percent 31 2 2" xfId="41599"/>
    <cellStyle name="Percent 32" xfId="2164"/>
    <cellStyle name="Percent 32 2" xfId="2165"/>
    <cellStyle name="Percent 32 2 2" xfId="41600"/>
    <cellStyle name="Percent 33" xfId="2166"/>
    <cellStyle name="Percent 33 2" xfId="2167"/>
    <cellStyle name="Percent 33 2 2" xfId="41601"/>
    <cellStyle name="Percent 33 3" xfId="7169"/>
    <cellStyle name="Percent 34" xfId="2168"/>
    <cellStyle name="Percent 34 2" xfId="7170"/>
    <cellStyle name="Percent 34 2 2" xfId="41602"/>
    <cellStyle name="Percent 35" xfId="2169"/>
    <cellStyle name="Percent 35 2" xfId="7171"/>
    <cellStyle name="Percent 35 2 2" xfId="41603"/>
    <cellStyle name="Percent 36" xfId="2170"/>
    <cellStyle name="Percent 36 2" xfId="7172"/>
    <cellStyle name="Percent 36 2 2" xfId="41604"/>
    <cellStyle name="Percent 37" xfId="2171"/>
    <cellStyle name="Percent 37 2" xfId="7173"/>
    <cellStyle name="Percent 37 2 2" xfId="41605"/>
    <cellStyle name="Percent 38" xfId="2172"/>
    <cellStyle name="Percent 38 2" xfId="7174"/>
    <cellStyle name="Percent 38 2 2" xfId="41606"/>
    <cellStyle name="Percent 39" xfId="2173"/>
    <cellStyle name="Percent 39 2" xfId="7175"/>
    <cellStyle name="Percent 39 2 2" xfId="41607"/>
    <cellStyle name="Percent 4" xfId="2174"/>
    <cellStyle name="Percent 4 2" xfId="2175"/>
    <cellStyle name="Percent 4 2 2" xfId="2176"/>
    <cellStyle name="Percent 4 2 2 2" xfId="35138"/>
    <cellStyle name="Percent 4 2 2 3" xfId="35139"/>
    <cellStyle name="Percent 4 2 2 4" xfId="35137"/>
    <cellStyle name="Percent 4 2 3" xfId="2177"/>
    <cellStyle name="Percent 4 2 4" xfId="7177"/>
    <cellStyle name="Percent 4 2 5" xfId="40978"/>
    <cellStyle name="Percent 4 2 6" xfId="40804"/>
    <cellStyle name="Percent 4 3" xfId="2178"/>
    <cellStyle name="Percent 4 3 2" xfId="7178"/>
    <cellStyle name="Percent 4 3 2 2" xfId="35140"/>
    <cellStyle name="Percent 4 3 2 3" xfId="40930"/>
    <cellStyle name="Percent 4 3 3" xfId="35141"/>
    <cellStyle name="Percent 4 3 3 2" xfId="40887"/>
    <cellStyle name="Percent 4 3 4" xfId="35142"/>
    <cellStyle name="Percent 4 4" xfId="2179"/>
    <cellStyle name="Percent 4 4 2" xfId="2180"/>
    <cellStyle name="Percent 4 4 3" xfId="7179"/>
    <cellStyle name="Percent 4 4 3 2" xfId="35143"/>
    <cellStyle name="Percent 4 4 4" xfId="40921"/>
    <cellStyle name="Percent 4 5" xfId="7826"/>
    <cellStyle name="Percent 4 6" xfId="7176"/>
    <cellStyle name="Percent 4 7" xfId="40952"/>
    <cellStyle name="Percent 4 8" xfId="41867"/>
    <cellStyle name="Percent 4 9" xfId="40803"/>
    <cellStyle name="Percent 40" xfId="2181"/>
    <cellStyle name="Percent 40 2" xfId="7180"/>
    <cellStyle name="Percent 40 2 2" xfId="41608"/>
    <cellStyle name="Percent 41" xfId="2182"/>
    <cellStyle name="Percent 41 2" xfId="7181"/>
    <cellStyle name="Percent 41 2 2" xfId="41609"/>
    <cellStyle name="Percent 42" xfId="2183"/>
    <cellStyle name="Percent 42 2" xfId="7182"/>
    <cellStyle name="Percent 42 2 2" xfId="41610"/>
    <cellStyle name="Percent 43" xfId="2184"/>
    <cellStyle name="Percent 43 2" xfId="7183"/>
    <cellStyle name="Percent 43 2 2" xfId="41611"/>
    <cellStyle name="Percent 44" xfId="2185"/>
    <cellStyle name="Percent 44 2" xfId="7184"/>
    <cellStyle name="Percent 44 2 2" xfId="35145"/>
    <cellStyle name="Percent 44 3" xfId="35144"/>
    <cellStyle name="Percent 45" xfId="2186"/>
    <cellStyle name="Percent 45 2" xfId="7185"/>
    <cellStyle name="Percent 45 3" xfId="35146"/>
    <cellStyle name="Percent 46" xfId="2187"/>
    <cellStyle name="Percent 46 2" xfId="35147"/>
    <cellStyle name="Percent 47" xfId="2188"/>
    <cellStyle name="Percent 47 2" xfId="35148"/>
    <cellStyle name="Percent 48" xfId="2189"/>
    <cellStyle name="Percent 48 2" xfId="7186"/>
    <cellStyle name="Percent 49" xfId="2190"/>
    <cellStyle name="Percent 49 2" xfId="7187"/>
    <cellStyle name="Percent 5" xfId="2191"/>
    <cellStyle name="Percent 5 2" xfId="2192"/>
    <cellStyle name="Percent 5 2 2" xfId="3140"/>
    <cellStyle name="Percent 5 2 2 2" xfId="35149"/>
    <cellStyle name="Percent 5 2 2 3" xfId="35150"/>
    <cellStyle name="Percent 5 2 3" xfId="35151"/>
    <cellStyle name="Percent 5 2 3 2" xfId="41204"/>
    <cellStyle name="Percent 5 2 4" xfId="35152"/>
    <cellStyle name="Percent 5 3" xfId="2193"/>
    <cellStyle name="Percent 5 3 2" xfId="3019"/>
    <cellStyle name="Percent 5 3 2 2" xfId="35154"/>
    <cellStyle name="Percent 5 3 3" xfId="35155"/>
    <cellStyle name="Percent 5 3 4" xfId="35156"/>
    <cellStyle name="Percent 5 3 5" xfId="35157"/>
    <cellStyle name="Percent 5 3 6" xfId="35153"/>
    <cellStyle name="Percent 5 4" xfId="2194"/>
    <cellStyle name="Percent 5 4 2" xfId="35159"/>
    <cellStyle name="Percent 5 4 2 2" xfId="40931"/>
    <cellStyle name="Percent 5 4 3" xfId="35158"/>
    <cellStyle name="Percent 5 4 4" xfId="40888"/>
    <cellStyle name="Percent 5 5" xfId="35160"/>
    <cellStyle name="Percent 5 5 2" xfId="40922"/>
    <cellStyle name="Percent 50" xfId="2195"/>
    <cellStyle name="Percent 50 2" xfId="7188"/>
    <cellStyle name="Percent 50 3" xfId="41279"/>
    <cellStyle name="Percent 51" xfId="2196"/>
    <cellStyle name="Percent 51 2" xfId="41628"/>
    <cellStyle name="Percent 52" xfId="2197"/>
    <cellStyle name="Percent 52 2" xfId="41663"/>
    <cellStyle name="Percent 53" xfId="2198"/>
    <cellStyle name="Percent 53 2" xfId="41662"/>
    <cellStyle name="Percent 54" xfId="2199"/>
    <cellStyle name="Percent 54 2" xfId="41700"/>
    <cellStyle name="Percent 55" xfId="2200"/>
    <cellStyle name="Percent 55 2" xfId="41654"/>
    <cellStyle name="Percent 56" xfId="2201"/>
    <cellStyle name="Percent 56 2" xfId="41664"/>
    <cellStyle name="Percent 57" xfId="2472"/>
    <cellStyle name="Percent 57 2" xfId="7189"/>
    <cellStyle name="Percent 57 3" xfId="41686"/>
    <cellStyle name="Percent 58" xfId="1956"/>
    <cellStyle name="Percent 58 2" xfId="7190"/>
    <cellStyle name="Percent 58 3" xfId="41678"/>
    <cellStyle name="Percent 59" xfId="4543"/>
    <cellStyle name="Percent 59 2" xfId="7191"/>
    <cellStyle name="Percent 59 3" xfId="41657"/>
    <cellStyle name="Percent 6" xfId="2202"/>
    <cellStyle name="Percent 6 2" xfId="2203"/>
    <cellStyle name="Percent 6 2 2" xfId="2204"/>
    <cellStyle name="Percent 6 2 2 2" xfId="7192"/>
    <cellStyle name="Percent 6 2 3" xfId="2854"/>
    <cellStyle name="Percent 6 3" xfId="2205"/>
    <cellStyle name="Percent 6 3 2" xfId="3020"/>
    <cellStyle name="Percent 6 3 2 2" xfId="35161"/>
    <cellStyle name="Percent 6 3 2 3" xfId="43508"/>
    <cellStyle name="Percent 6 3 3" xfId="35162"/>
    <cellStyle name="Percent 6 3 4" xfId="40805"/>
    <cellStyle name="Percent 6 4" xfId="2206"/>
    <cellStyle name="Percent 6 4 2" xfId="7193"/>
    <cellStyle name="Percent 6 5" xfId="2207"/>
    <cellStyle name="Percent 6 5 2" xfId="7194"/>
    <cellStyle name="Percent 6 6" xfId="2208"/>
    <cellStyle name="Percent 6 6 2" xfId="35163"/>
    <cellStyle name="Percent 6 7" xfId="40503"/>
    <cellStyle name="Percent 60" xfId="3853"/>
    <cellStyle name="Percent 60 2" xfId="7195"/>
    <cellStyle name="Percent 60 3" xfId="41711"/>
    <cellStyle name="Percent 61" xfId="7196"/>
    <cellStyle name="Percent 61 2" xfId="41732"/>
    <cellStyle name="Percent 62" xfId="7197"/>
    <cellStyle name="Percent 62 2" xfId="41768"/>
    <cellStyle name="Percent 63" xfId="7198"/>
    <cellStyle name="Percent 64" xfId="7199"/>
    <cellStyle name="Percent 64 2" xfId="41774"/>
    <cellStyle name="Percent 65" xfId="7200"/>
    <cellStyle name="Percent 66" xfId="7201"/>
    <cellStyle name="Percent 67" xfId="7202"/>
    <cellStyle name="Percent 67 2" xfId="43506"/>
    <cellStyle name="Percent 68" xfId="7203"/>
    <cellStyle name="Percent 68 2" xfId="43528"/>
    <cellStyle name="Percent 69" xfId="7204"/>
    <cellStyle name="Percent 69 2" xfId="43472"/>
    <cellStyle name="Percent 7" xfId="2209"/>
    <cellStyle name="Percent 7 2" xfId="2210"/>
    <cellStyle name="Percent 7 2 2" xfId="2855"/>
    <cellStyle name="Percent 7 2 3" xfId="7207"/>
    <cellStyle name="Percent 7 2 4" xfId="7206"/>
    <cellStyle name="Percent 7 3" xfId="2211"/>
    <cellStyle name="Percent 7 3 2" xfId="35165"/>
    <cellStyle name="Percent 7 3 2 2" xfId="35166"/>
    <cellStyle name="Percent 7 3 2 3" xfId="35167"/>
    <cellStyle name="Percent 7 3 3" xfId="35168"/>
    <cellStyle name="Percent 7 3 4" xfId="35169"/>
    <cellStyle name="Percent 7 3 5" xfId="35164"/>
    <cellStyle name="Percent 7 3 6" xfId="41205"/>
    <cellStyle name="Percent 7 4" xfId="2212"/>
    <cellStyle name="Percent 7 4 2" xfId="7209"/>
    <cellStyle name="Percent 7 4 2 2" xfId="7210"/>
    <cellStyle name="Percent 7 4 3" xfId="7211"/>
    <cellStyle name="Percent 7 4 4" xfId="7212"/>
    <cellStyle name="Percent 7 4 5" xfId="7208"/>
    <cellStyle name="Percent 7 4 6" xfId="35170"/>
    <cellStyle name="Percent 7 5" xfId="7213"/>
    <cellStyle name="Percent 7 5 10" xfId="40806"/>
    <cellStyle name="Percent 7 5 2" xfId="7214"/>
    <cellStyle name="Percent 7 5 2 2" xfId="35173"/>
    <cellStyle name="Percent 7 5 2 2 2" xfId="35174"/>
    <cellStyle name="Percent 7 5 2 2 2 2" xfId="35175"/>
    <cellStyle name="Percent 7 5 2 2 3" xfId="35176"/>
    <cellStyle name="Percent 7 5 2 3" xfId="35177"/>
    <cellStyle name="Percent 7 5 2 3 2" xfId="35178"/>
    <cellStyle name="Percent 7 5 2 4" xfId="35179"/>
    <cellStyle name="Percent 7 5 2 5" xfId="35180"/>
    <cellStyle name="Percent 7 5 2 6" xfId="35172"/>
    <cellStyle name="Percent 7 5 3" xfId="35181"/>
    <cellStyle name="Percent 7 5 3 2" xfId="35182"/>
    <cellStyle name="Percent 7 5 3 2 2" xfId="35183"/>
    <cellStyle name="Percent 7 5 3 2 2 2" xfId="35184"/>
    <cellStyle name="Percent 7 5 3 2 3" xfId="35185"/>
    <cellStyle name="Percent 7 5 3 3" xfId="35186"/>
    <cellStyle name="Percent 7 5 3 3 2" xfId="35187"/>
    <cellStyle name="Percent 7 5 3 4" xfId="35188"/>
    <cellStyle name="Percent 7 5 4" xfId="35189"/>
    <cellStyle name="Percent 7 5 4 2" xfId="35190"/>
    <cellStyle name="Percent 7 5 4 2 2" xfId="35191"/>
    <cellStyle name="Percent 7 5 4 3" xfId="35192"/>
    <cellStyle name="Percent 7 5 5" xfId="35193"/>
    <cellStyle name="Percent 7 5 5 2" xfId="35194"/>
    <cellStyle name="Percent 7 5 5 2 2" xfId="35195"/>
    <cellStyle name="Percent 7 5 5 3" xfId="35196"/>
    <cellStyle name="Percent 7 5 6" xfId="35197"/>
    <cellStyle name="Percent 7 5 6 2" xfId="35198"/>
    <cellStyle name="Percent 7 5 7" xfId="35199"/>
    <cellStyle name="Percent 7 5 8" xfId="35200"/>
    <cellStyle name="Percent 7 5 9" xfId="35171"/>
    <cellStyle name="Percent 7 6" xfId="7215"/>
    <cellStyle name="Percent 7 6 2" xfId="35201"/>
    <cellStyle name="Percent 7 7" xfId="7216"/>
    <cellStyle name="Percent 7 8" xfId="7205"/>
    <cellStyle name="Percent 70" xfId="7217"/>
    <cellStyle name="Percent 70 2" xfId="43527"/>
    <cellStyle name="Percent 71" xfId="7218"/>
    <cellStyle name="Percent 72" xfId="7219"/>
    <cellStyle name="Percent 73" xfId="7220"/>
    <cellStyle name="Percent 74" xfId="7221"/>
    <cellStyle name="Percent 75" xfId="7222"/>
    <cellStyle name="Percent 76" xfId="7223"/>
    <cellStyle name="Percent 77" xfId="7224"/>
    <cellStyle name="Percent 78" xfId="7225"/>
    <cellStyle name="Percent 79" xfId="7226"/>
    <cellStyle name="Percent 8" xfId="2213"/>
    <cellStyle name="Percent 8 2" xfId="2214"/>
    <cellStyle name="Percent 8 2 10" xfId="35203"/>
    <cellStyle name="Percent 8 2 10 2" xfId="35204"/>
    <cellStyle name="Percent 8 2 11" xfId="35205"/>
    <cellStyle name="Percent 8 2 12" xfId="35206"/>
    <cellStyle name="Percent 8 2 13" xfId="35202"/>
    <cellStyle name="Percent 8 2 2" xfId="7228"/>
    <cellStyle name="Percent 8 2 2 10" xfId="35208"/>
    <cellStyle name="Percent 8 2 2 11" xfId="35209"/>
    <cellStyle name="Percent 8 2 2 12" xfId="35207"/>
    <cellStyle name="Percent 8 2 2 2" xfId="35210"/>
    <cellStyle name="Percent 8 2 2 2 2" xfId="35211"/>
    <cellStyle name="Percent 8 2 2 2 2 2" xfId="35212"/>
    <cellStyle name="Percent 8 2 2 2 2 2 2" xfId="35213"/>
    <cellStyle name="Percent 8 2 2 2 2 2 2 2" xfId="35214"/>
    <cellStyle name="Percent 8 2 2 2 2 2 3" xfId="35215"/>
    <cellStyle name="Percent 8 2 2 2 2 3" xfId="35216"/>
    <cellStyle name="Percent 8 2 2 2 2 3 2" xfId="35217"/>
    <cellStyle name="Percent 8 2 2 2 2 4" xfId="35218"/>
    <cellStyle name="Percent 8 2 2 2 2 5" xfId="35219"/>
    <cellStyle name="Percent 8 2 2 2 3" xfId="35220"/>
    <cellStyle name="Percent 8 2 2 2 3 2" xfId="35221"/>
    <cellStyle name="Percent 8 2 2 2 3 2 2" xfId="35222"/>
    <cellStyle name="Percent 8 2 2 2 3 2 2 2" xfId="35223"/>
    <cellStyle name="Percent 8 2 2 2 3 2 3" xfId="35224"/>
    <cellStyle name="Percent 8 2 2 2 3 3" xfId="35225"/>
    <cellStyle name="Percent 8 2 2 2 3 3 2" xfId="35226"/>
    <cellStyle name="Percent 8 2 2 2 3 4" xfId="35227"/>
    <cellStyle name="Percent 8 2 2 2 4" xfId="35228"/>
    <cellStyle name="Percent 8 2 2 2 4 2" xfId="35229"/>
    <cellStyle name="Percent 8 2 2 2 4 2 2" xfId="35230"/>
    <cellStyle name="Percent 8 2 2 2 4 3" xfId="35231"/>
    <cellStyle name="Percent 8 2 2 2 5" xfId="35232"/>
    <cellStyle name="Percent 8 2 2 2 5 2" xfId="35233"/>
    <cellStyle name="Percent 8 2 2 2 5 2 2" xfId="35234"/>
    <cellStyle name="Percent 8 2 2 2 5 3" xfId="35235"/>
    <cellStyle name="Percent 8 2 2 2 6" xfId="35236"/>
    <cellStyle name="Percent 8 2 2 2 6 2" xfId="35237"/>
    <cellStyle name="Percent 8 2 2 2 7" xfId="35238"/>
    <cellStyle name="Percent 8 2 2 2 8" xfId="35239"/>
    <cellStyle name="Percent 8 2 2 3" xfId="35240"/>
    <cellStyle name="Percent 8 2 2 3 2" xfId="35241"/>
    <cellStyle name="Percent 8 2 2 3 2 2" xfId="35242"/>
    <cellStyle name="Percent 8 2 2 3 2 2 2" xfId="35243"/>
    <cellStyle name="Percent 8 2 2 3 2 2 2 2" xfId="35244"/>
    <cellStyle name="Percent 8 2 2 3 2 2 3" xfId="35245"/>
    <cellStyle name="Percent 8 2 2 3 2 3" xfId="35246"/>
    <cellStyle name="Percent 8 2 2 3 2 3 2" xfId="35247"/>
    <cellStyle name="Percent 8 2 2 3 2 4" xfId="35248"/>
    <cellStyle name="Percent 8 2 2 3 2 5" xfId="35249"/>
    <cellStyle name="Percent 8 2 2 3 3" xfId="35250"/>
    <cellStyle name="Percent 8 2 2 3 3 2" xfId="35251"/>
    <cellStyle name="Percent 8 2 2 3 3 2 2" xfId="35252"/>
    <cellStyle name="Percent 8 2 2 3 3 2 2 2" xfId="35253"/>
    <cellStyle name="Percent 8 2 2 3 3 2 3" xfId="35254"/>
    <cellStyle name="Percent 8 2 2 3 3 3" xfId="35255"/>
    <cellStyle name="Percent 8 2 2 3 3 3 2" xfId="35256"/>
    <cellStyle name="Percent 8 2 2 3 3 4" xfId="35257"/>
    <cellStyle name="Percent 8 2 2 3 4" xfId="35258"/>
    <cellStyle name="Percent 8 2 2 3 4 2" xfId="35259"/>
    <cellStyle name="Percent 8 2 2 3 4 2 2" xfId="35260"/>
    <cellStyle name="Percent 8 2 2 3 4 3" xfId="35261"/>
    <cellStyle name="Percent 8 2 2 3 5" xfId="35262"/>
    <cellStyle name="Percent 8 2 2 3 5 2" xfId="35263"/>
    <cellStyle name="Percent 8 2 2 3 5 2 2" xfId="35264"/>
    <cellStyle name="Percent 8 2 2 3 5 3" xfId="35265"/>
    <cellStyle name="Percent 8 2 2 3 6" xfId="35266"/>
    <cellStyle name="Percent 8 2 2 3 6 2" xfId="35267"/>
    <cellStyle name="Percent 8 2 2 3 7" xfId="35268"/>
    <cellStyle name="Percent 8 2 2 3 8" xfId="35269"/>
    <cellStyle name="Percent 8 2 2 4" xfId="35270"/>
    <cellStyle name="Percent 8 2 2 4 2" xfId="35271"/>
    <cellStyle name="Percent 8 2 2 4 2 2" xfId="35272"/>
    <cellStyle name="Percent 8 2 2 4 2 2 2" xfId="35273"/>
    <cellStyle name="Percent 8 2 2 4 2 2 2 2" xfId="35274"/>
    <cellStyle name="Percent 8 2 2 4 2 2 3" xfId="35275"/>
    <cellStyle name="Percent 8 2 2 4 2 3" xfId="35276"/>
    <cellStyle name="Percent 8 2 2 4 2 3 2" xfId="35277"/>
    <cellStyle name="Percent 8 2 2 4 2 4" xfId="35278"/>
    <cellStyle name="Percent 8 2 2 4 2 5" xfId="35279"/>
    <cellStyle name="Percent 8 2 2 4 3" xfId="35280"/>
    <cellStyle name="Percent 8 2 2 4 3 2" xfId="35281"/>
    <cellStyle name="Percent 8 2 2 4 3 2 2" xfId="35282"/>
    <cellStyle name="Percent 8 2 2 4 3 2 2 2" xfId="35283"/>
    <cellStyle name="Percent 8 2 2 4 3 2 3" xfId="35284"/>
    <cellStyle name="Percent 8 2 2 4 3 3" xfId="35285"/>
    <cellStyle name="Percent 8 2 2 4 3 3 2" xfId="35286"/>
    <cellStyle name="Percent 8 2 2 4 3 4" xfId="35287"/>
    <cellStyle name="Percent 8 2 2 4 4" xfId="35288"/>
    <cellStyle name="Percent 8 2 2 4 4 2" xfId="35289"/>
    <cellStyle name="Percent 8 2 2 4 4 2 2" xfId="35290"/>
    <cellStyle name="Percent 8 2 2 4 4 3" xfId="35291"/>
    <cellStyle name="Percent 8 2 2 4 5" xfId="35292"/>
    <cellStyle name="Percent 8 2 2 4 5 2" xfId="35293"/>
    <cellStyle name="Percent 8 2 2 4 5 2 2" xfId="35294"/>
    <cellStyle name="Percent 8 2 2 4 5 3" xfId="35295"/>
    <cellStyle name="Percent 8 2 2 4 6" xfId="35296"/>
    <cellStyle name="Percent 8 2 2 4 6 2" xfId="35297"/>
    <cellStyle name="Percent 8 2 2 4 7" xfId="35298"/>
    <cellStyle name="Percent 8 2 2 4 8" xfId="35299"/>
    <cellStyle name="Percent 8 2 2 5" xfId="35300"/>
    <cellStyle name="Percent 8 2 2 5 2" xfId="35301"/>
    <cellStyle name="Percent 8 2 2 5 2 2" xfId="35302"/>
    <cellStyle name="Percent 8 2 2 5 2 2 2" xfId="35303"/>
    <cellStyle name="Percent 8 2 2 5 2 2 2 2" xfId="35304"/>
    <cellStyle name="Percent 8 2 2 5 2 2 3" xfId="35305"/>
    <cellStyle name="Percent 8 2 2 5 2 3" xfId="35306"/>
    <cellStyle name="Percent 8 2 2 5 2 3 2" xfId="35307"/>
    <cellStyle name="Percent 8 2 2 5 2 4" xfId="35308"/>
    <cellStyle name="Percent 8 2 2 5 3" xfId="35309"/>
    <cellStyle name="Percent 8 2 2 5 3 2" xfId="35310"/>
    <cellStyle name="Percent 8 2 2 5 3 2 2" xfId="35311"/>
    <cellStyle name="Percent 8 2 2 5 3 3" xfId="35312"/>
    <cellStyle name="Percent 8 2 2 5 4" xfId="35313"/>
    <cellStyle name="Percent 8 2 2 5 4 2" xfId="35314"/>
    <cellStyle name="Percent 8 2 2 5 4 2 2" xfId="35315"/>
    <cellStyle name="Percent 8 2 2 5 4 3" xfId="35316"/>
    <cellStyle name="Percent 8 2 2 5 5" xfId="35317"/>
    <cellStyle name="Percent 8 2 2 5 5 2" xfId="35318"/>
    <cellStyle name="Percent 8 2 2 5 6" xfId="35319"/>
    <cellStyle name="Percent 8 2 2 5 7" xfId="35320"/>
    <cellStyle name="Percent 8 2 2 6" xfId="35321"/>
    <cellStyle name="Percent 8 2 2 6 2" xfId="35322"/>
    <cellStyle name="Percent 8 2 2 6 2 2" xfId="35323"/>
    <cellStyle name="Percent 8 2 2 6 2 2 2" xfId="35324"/>
    <cellStyle name="Percent 8 2 2 6 2 3" xfId="35325"/>
    <cellStyle name="Percent 8 2 2 6 3" xfId="35326"/>
    <cellStyle name="Percent 8 2 2 6 3 2" xfId="35327"/>
    <cellStyle name="Percent 8 2 2 6 4" xfId="35328"/>
    <cellStyle name="Percent 8 2 2 6 5" xfId="35329"/>
    <cellStyle name="Percent 8 2 2 7" xfId="35330"/>
    <cellStyle name="Percent 8 2 2 7 2" xfId="35331"/>
    <cellStyle name="Percent 8 2 2 7 2 2" xfId="35332"/>
    <cellStyle name="Percent 8 2 2 7 3" xfId="35333"/>
    <cellStyle name="Percent 8 2 2 8" xfId="35334"/>
    <cellStyle name="Percent 8 2 2 8 2" xfId="35335"/>
    <cellStyle name="Percent 8 2 2 8 2 2" xfId="35336"/>
    <cellStyle name="Percent 8 2 2 8 3" xfId="35337"/>
    <cellStyle name="Percent 8 2 2 9" xfId="35338"/>
    <cellStyle name="Percent 8 2 2 9 2" xfId="35339"/>
    <cellStyle name="Percent 8 2 3" xfId="35340"/>
    <cellStyle name="Percent 8 2 3 10" xfId="35341"/>
    <cellStyle name="Percent 8 2 3 11" xfId="41380"/>
    <cellStyle name="Percent 8 2 3 2" xfId="35342"/>
    <cellStyle name="Percent 8 2 3 2 2" xfId="35343"/>
    <cellStyle name="Percent 8 2 3 2 2 2" xfId="35344"/>
    <cellStyle name="Percent 8 2 3 2 2 2 2" xfId="35345"/>
    <cellStyle name="Percent 8 2 3 2 2 2 2 2" xfId="35346"/>
    <cellStyle name="Percent 8 2 3 2 2 2 3" xfId="35347"/>
    <cellStyle name="Percent 8 2 3 2 2 3" xfId="35348"/>
    <cellStyle name="Percent 8 2 3 2 2 3 2" xfId="35349"/>
    <cellStyle name="Percent 8 2 3 2 2 4" xfId="35350"/>
    <cellStyle name="Percent 8 2 3 2 2 5" xfId="35351"/>
    <cellStyle name="Percent 8 2 3 2 3" xfId="35352"/>
    <cellStyle name="Percent 8 2 3 2 3 2" xfId="35353"/>
    <cellStyle name="Percent 8 2 3 2 3 2 2" xfId="35354"/>
    <cellStyle name="Percent 8 2 3 2 3 2 2 2" xfId="35355"/>
    <cellStyle name="Percent 8 2 3 2 3 2 3" xfId="35356"/>
    <cellStyle name="Percent 8 2 3 2 3 3" xfId="35357"/>
    <cellStyle name="Percent 8 2 3 2 3 3 2" xfId="35358"/>
    <cellStyle name="Percent 8 2 3 2 3 4" xfId="35359"/>
    <cellStyle name="Percent 8 2 3 2 4" xfId="35360"/>
    <cellStyle name="Percent 8 2 3 2 4 2" xfId="35361"/>
    <cellStyle name="Percent 8 2 3 2 4 2 2" xfId="35362"/>
    <cellStyle name="Percent 8 2 3 2 4 3" xfId="35363"/>
    <cellStyle name="Percent 8 2 3 2 5" xfId="35364"/>
    <cellStyle name="Percent 8 2 3 2 5 2" xfId="35365"/>
    <cellStyle name="Percent 8 2 3 2 5 2 2" xfId="35366"/>
    <cellStyle name="Percent 8 2 3 2 5 3" xfId="35367"/>
    <cellStyle name="Percent 8 2 3 2 6" xfId="35368"/>
    <cellStyle name="Percent 8 2 3 2 6 2" xfId="35369"/>
    <cellStyle name="Percent 8 2 3 2 7" xfId="35370"/>
    <cellStyle name="Percent 8 2 3 2 8" xfId="35371"/>
    <cellStyle name="Percent 8 2 3 3" xfId="35372"/>
    <cellStyle name="Percent 8 2 3 3 2" xfId="35373"/>
    <cellStyle name="Percent 8 2 3 3 2 2" xfId="35374"/>
    <cellStyle name="Percent 8 2 3 3 2 2 2" xfId="35375"/>
    <cellStyle name="Percent 8 2 3 3 2 2 2 2" xfId="35376"/>
    <cellStyle name="Percent 8 2 3 3 2 2 3" xfId="35377"/>
    <cellStyle name="Percent 8 2 3 3 2 3" xfId="35378"/>
    <cellStyle name="Percent 8 2 3 3 2 3 2" xfId="35379"/>
    <cellStyle name="Percent 8 2 3 3 2 4" xfId="35380"/>
    <cellStyle name="Percent 8 2 3 3 2 5" xfId="35381"/>
    <cellStyle name="Percent 8 2 3 3 3" xfId="35382"/>
    <cellStyle name="Percent 8 2 3 3 3 2" xfId="35383"/>
    <cellStyle name="Percent 8 2 3 3 3 2 2" xfId="35384"/>
    <cellStyle name="Percent 8 2 3 3 3 2 2 2" xfId="35385"/>
    <cellStyle name="Percent 8 2 3 3 3 2 3" xfId="35386"/>
    <cellStyle name="Percent 8 2 3 3 3 3" xfId="35387"/>
    <cellStyle name="Percent 8 2 3 3 3 3 2" xfId="35388"/>
    <cellStyle name="Percent 8 2 3 3 3 4" xfId="35389"/>
    <cellStyle name="Percent 8 2 3 3 4" xfId="35390"/>
    <cellStyle name="Percent 8 2 3 3 4 2" xfId="35391"/>
    <cellStyle name="Percent 8 2 3 3 4 2 2" xfId="35392"/>
    <cellStyle name="Percent 8 2 3 3 4 3" xfId="35393"/>
    <cellStyle name="Percent 8 2 3 3 5" xfId="35394"/>
    <cellStyle name="Percent 8 2 3 3 5 2" xfId="35395"/>
    <cellStyle name="Percent 8 2 3 3 5 2 2" xfId="35396"/>
    <cellStyle name="Percent 8 2 3 3 5 3" xfId="35397"/>
    <cellStyle name="Percent 8 2 3 3 6" xfId="35398"/>
    <cellStyle name="Percent 8 2 3 3 6 2" xfId="35399"/>
    <cellStyle name="Percent 8 2 3 3 7" xfId="35400"/>
    <cellStyle name="Percent 8 2 3 3 8" xfId="35401"/>
    <cellStyle name="Percent 8 2 3 4" xfId="35402"/>
    <cellStyle name="Percent 8 2 3 4 2" xfId="35403"/>
    <cellStyle name="Percent 8 2 3 4 2 2" xfId="35404"/>
    <cellStyle name="Percent 8 2 3 4 2 2 2" xfId="35405"/>
    <cellStyle name="Percent 8 2 3 4 2 2 2 2" xfId="35406"/>
    <cellStyle name="Percent 8 2 3 4 2 2 3" xfId="35407"/>
    <cellStyle name="Percent 8 2 3 4 2 3" xfId="35408"/>
    <cellStyle name="Percent 8 2 3 4 2 3 2" xfId="35409"/>
    <cellStyle name="Percent 8 2 3 4 2 4" xfId="35410"/>
    <cellStyle name="Percent 8 2 3 4 3" xfId="35411"/>
    <cellStyle name="Percent 8 2 3 4 3 2" xfId="35412"/>
    <cellStyle name="Percent 8 2 3 4 3 2 2" xfId="35413"/>
    <cellStyle name="Percent 8 2 3 4 3 3" xfId="35414"/>
    <cellStyle name="Percent 8 2 3 4 4" xfId="35415"/>
    <cellStyle name="Percent 8 2 3 4 4 2" xfId="35416"/>
    <cellStyle name="Percent 8 2 3 4 4 2 2" xfId="35417"/>
    <cellStyle name="Percent 8 2 3 4 4 3" xfId="35418"/>
    <cellStyle name="Percent 8 2 3 4 5" xfId="35419"/>
    <cellStyle name="Percent 8 2 3 4 5 2" xfId="35420"/>
    <cellStyle name="Percent 8 2 3 4 6" xfId="35421"/>
    <cellStyle name="Percent 8 2 3 4 7" xfId="35422"/>
    <cellStyle name="Percent 8 2 3 5" xfId="35423"/>
    <cellStyle name="Percent 8 2 3 5 2" xfId="35424"/>
    <cellStyle name="Percent 8 2 3 5 2 2" xfId="35425"/>
    <cellStyle name="Percent 8 2 3 5 2 2 2" xfId="35426"/>
    <cellStyle name="Percent 8 2 3 5 2 3" xfId="35427"/>
    <cellStyle name="Percent 8 2 3 5 3" xfId="35428"/>
    <cellStyle name="Percent 8 2 3 5 3 2" xfId="35429"/>
    <cellStyle name="Percent 8 2 3 5 4" xfId="35430"/>
    <cellStyle name="Percent 8 2 3 5 5" xfId="35431"/>
    <cellStyle name="Percent 8 2 3 6" xfId="35432"/>
    <cellStyle name="Percent 8 2 3 6 2" xfId="35433"/>
    <cellStyle name="Percent 8 2 3 6 2 2" xfId="35434"/>
    <cellStyle name="Percent 8 2 3 6 3" xfId="35435"/>
    <cellStyle name="Percent 8 2 3 7" xfId="35436"/>
    <cellStyle name="Percent 8 2 3 7 2" xfId="35437"/>
    <cellStyle name="Percent 8 2 3 7 2 2" xfId="35438"/>
    <cellStyle name="Percent 8 2 3 7 3" xfId="35439"/>
    <cellStyle name="Percent 8 2 3 8" xfId="35440"/>
    <cellStyle name="Percent 8 2 3 8 2" xfId="35441"/>
    <cellStyle name="Percent 8 2 3 9" xfId="35442"/>
    <cellStyle name="Percent 8 2 4" xfId="35443"/>
    <cellStyle name="Percent 8 2 4 2" xfId="35444"/>
    <cellStyle name="Percent 8 2 4 2 2" xfId="35445"/>
    <cellStyle name="Percent 8 2 4 2 2 2" xfId="35446"/>
    <cellStyle name="Percent 8 2 4 2 2 2 2" xfId="35447"/>
    <cellStyle name="Percent 8 2 4 2 2 3" xfId="35448"/>
    <cellStyle name="Percent 8 2 4 2 3" xfId="35449"/>
    <cellStyle name="Percent 8 2 4 2 3 2" xfId="35450"/>
    <cellStyle name="Percent 8 2 4 2 4" xfId="35451"/>
    <cellStyle name="Percent 8 2 4 2 5" xfId="35452"/>
    <cellStyle name="Percent 8 2 4 3" xfId="35453"/>
    <cellStyle name="Percent 8 2 4 3 2" xfId="35454"/>
    <cellStyle name="Percent 8 2 4 3 2 2" xfId="35455"/>
    <cellStyle name="Percent 8 2 4 3 2 2 2" xfId="35456"/>
    <cellStyle name="Percent 8 2 4 3 2 3" xfId="35457"/>
    <cellStyle name="Percent 8 2 4 3 3" xfId="35458"/>
    <cellStyle name="Percent 8 2 4 3 3 2" xfId="35459"/>
    <cellStyle name="Percent 8 2 4 3 4" xfId="35460"/>
    <cellStyle name="Percent 8 2 4 4" xfId="35461"/>
    <cellStyle name="Percent 8 2 4 4 2" xfId="35462"/>
    <cellStyle name="Percent 8 2 4 4 2 2" xfId="35463"/>
    <cellStyle name="Percent 8 2 4 4 3" xfId="35464"/>
    <cellStyle name="Percent 8 2 4 5" xfId="35465"/>
    <cellStyle name="Percent 8 2 4 5 2" xfId="35466"/>
    <cellStyle name="Percent 8 2 4 5 2 2" xfId="35467"/>
    <cellStyle name="Percent 8 2 4 5 3" xfId="35468"/>
    <cellStyle name="Percent 8 2 4 6" xfId="35469"/>
    <cellStyle name="Percent 8 2 4 6 2" xfId="35470"/>
    <cellStyle name="Percent 8 2 4 7" xfId="35471"/>
    <cellStyle name="Percent 8 2 4 8" xfId="35472"/>
    <cellStyle name="Percent 8 2 5" xfId="35473"/>
    <cellStyle name="Percent 8 2 5 2" xfId="35474"/>
    <cellStyle name="Percent 8 2 5 2 2" xfId="35475"/>
    <cellStyle name="Percent 8 2 5 2 2 2" xfId="35476"/>
    <cellStyle name="Percent 8 2 5 2 2 2 2" xfId="35477"/>
    <cellStyle name="Percent 8 2 5 2 2 3" xfId="35478"/>
    <cellStyle name="Percent 8 2 5 2 3" xfId="35479"/>
    <cellStyle name="Percent 8 2 5 2 3 2" xfId="35480"/>
    <cellStyle name="Percent 8 2 5 2 4" xfId="35481"/>
    <cellStyle name="Percent 8 2 5 2 5" xfId="35482"/>
    <cellStyle name="Percent 8 2 5 3" xfId="35483"/>
    <cellStyle name="Percent 8 2 5 3 2" xfId="35484"/>
    <cellStyle name="Percent 8 2 5 3 2 2" xfId="35485"/>
    <cellStyle name="Percent 8 2 5 3 2 2 2" xfId="35486"/>
    <cellStyle name="Percent 8 2 5 3 2 3" xfId="35487"/>
    <cellStyle name="Percent 8 2 5 3 3" xfId="35488"/>
    <cellStyle name="Percent 8 2 5 3 3 2" xfId="35489"/>
    <cellStyle name="Percent 8 2 5 3 4" xfId="35490"/>
    <cellStyle name="Percent 8 2 5 4" xfId="35491"/>
    <cellStyle name="Percent 8 2 5 4 2" xfId="35492"/>
    <cellStyle name="Percent 8 2 5 4 2 2" xfId="35493"/>
    <cellStyle name="Percent 8 2 5 4 3" xfId="35494"/>
    <cellStyle name="Percent 8 2 5 5" xfId="35495"/>
    <cellStyle name="Percent 8 2 5 5 2" xfId="35496"/>
    <cellStyle name="Percent 8 2 5 5 2 2" xfId="35497"/>
    <cellStyle name="Percent 8 2 5 5 3" xfId="35498"/>
    <cellStyle name="Percent 8 2 5 6" xfId="35499"/>
    <cellStyle name="Percent 8 2 5 6 2" xfId="35500"/>
    <cellStyle name="Percent 8 2 5 7" xfId="35501"/>
    <cellStyle name="Percent 8 2 5 8" xfId="35502"/>
    <cellStyle name="Percent 8 2 6" xfId="35503"/>
    <cellStyle name="Percent 8 2 6 2" xfId="35504"/>
    <cellStyle name="Percent 8 2 6 2 2" xfId="35505"/>
    <cellStyle name="Percent 8 2 6 2 2 2" xfId="35506"/>
    <cellStyle name="Percent 8 2 6 2 2 2 2" xfId="35507"/>
    <cellStyle name="Percent 8 2 6 2 2 3" xfId="35508"/>
    <cellStyle name="Percent 8 2 6 2 3" xfId="35509"/>
    <cellStyle name="Percent 8 2 6 2 3 2" xfId="35510"/>
    <cellStyle name="Percent 8 2 6 2 4" xfId="35511"/>
    <cellStyle name="Percent 8 2 6 3" xfId="35512"/>
    <cellStyle name="Percent 8 2 6 3 2" xfId="35513"/>
    <cellStyle name="Percent 8 2 6 3 2 2" xfId="35514"/>
    <cellStyle name="Percent 8 2 6 3 3" xfId="35515"/>
    <cellStyle name="Percent 8 2 6 4" xfId="35516"/>
    <cellStyle name="Percent 8 2 6 4 2" xfId="35517"/>
    <cellStyle name="Percent 8 2 6 4 2 2" xfId="35518"/>
    <cellStyle name="Percent 8 2 6 4 3" xfId="35519"/>
    <cellStyle name="Percent 8 2 6 5" xfId="35520"/>
    <cellStyle name="Percent 8 2 6 5 2" xfId="35521"/>
    <cellStyle name="Percent 8 2 6 6" xfId="35522"/>
    <cellStyle name="Percent 8 2 6 7" xfId="35523"/>
    <cellStyle name="Percent 8 2 7" xfId="35524"/>
    <cellStyle name="Percent 8 2 7 2" xfId="35525"/>
    <cellStyle name="Percent 8 2 7 2 2" xfId="35526"/>
    <cellStyle name="Percent 8 2 7 2 2 2" xfId="35527"/>
    <cellStyle name="Percent 8 2 7 2 3" xfId="35528"/>
    <cellStyle name="Percent 8 2 7 3" xfId="35529"/>
    <cellStyle name="Percent 8 2 7 3 2" xfId="35530"/>
    <cellStyle name="Percent 8 2 7 4" xfId="35531"/>
    <cellStyle name="Percent 8 2 7 5" xfId="35532"/>
    <cellStyle name="Percent 8 2 8" xfId="35533"/>
    <cellStyle name="Percent 8 2 8 2" xfId="35534"/>
    <cellStyle name="Percent 8 2 8 2 2" xfId="35535"/>
    <cellStyle name="Percent 8 2 8 3" xfId="35536"/>
    <cellStyle name="Percent 8 2 9" xfId="35537"/>
    <cellStyle name="Percent 8 2 9 2" xfId="35538"/>
    <cellStyle name="Percent 8 2 9 2 2" xfId="35539"/>
    <cellStyle name="Percent 8 2 9 3" xfId="35540"/>
    <cellStyle name="Percent 8 3" xfId="2215"/>
    <cellStyle name="Percent 8 3 2" xfId="7230"/>
    <cellStyle name="Percent 8 3 2 2" xfId="7231"/>
    <cellStyle name="Percent 8 3 3" xfId="7232"/>
    <cellStyle name="Percent 8 3 4" xfId="7233"/>
    <cellStyle name="Percent 8 3 5" xfId="7229"/>
    <cellStyle name="Percent 8 3 6" xfId="35541"/>
    <cellStyle name="Percent 8 3 7" xfId="41100"/>
    <cellStyle name="Percent 8 4" xfId="7234"/>
    <cellStyle name="Percent 8 4 2" xfId="7235"/>
    <cellStyle name="Percent 8 4 3" xfId="35542"/>
    <cellStyle name="Percent 8 4 4" xfId="41218"/>
    <cellStyle name="Percent 8 5" xfId="7236"/>
    <cellStyle name="Percent 8 5 2" xfId="41328"/>
    <cellStyle name="Percent 8 6" xfId="7237"/>
    <cellStyle name="Percent 8 6 2" xfId="41084"/>
    <cellStyle name="Percent 8 7" xfId="7227"/>
    <cellStyle name="Percent 8 7 2" xfId="40807"/>
    <cellStyle name="Percent 80" xfId="7238"/>
    <cellStyle name="Percent 81" xfId="7825"/>
    <cellStyle name="Percent 82" xfId="7876"/>
    <cellStyle name="Percent 83" xfId="7873"/>
    <cellStyle name="Percent 84" xfId="8237"/>
    <cellStyle name="Percent 85" xfId="8488"/>
    <cellStyle name="Percent 9" xfId="2216"/>
    <cellStyle name="Percent 9 2" xfId="2217"/>
    <cellStyle name="Percent 9 2 2" xfId="7241"/>
    <cellStyle name="Percent 9 2 2 2" xfId="7242"/>
    <cellStyle name="Percent 9 2 2 2 2" xfId="7243"/>
    <cellStyle name="Percent 9 2 2 2 2 2" xfId="35545"/>
    <cellStyle name="Percent 9 2 2 2 3" xfId="35544"/>
    <cellStyle name="Percent 9 2 2 3" xfId="7244"/>
    <cellStyle name="Percent 9 2 2 3 2" xfId="35546"/>
    <cellStyle name="Percent 9 2 2 4" xfId="7245"/>
    <cellStyle name="Percent 9 2 2 4 2" xfId="35547"/>
    <cellStyle name="Percent 9 2 2 5" xfId="35543"/>
    <cellStyle name="Percent 9 2 2 6" xfId="41133"/>
    <cellStyle name="Percent 9 2 3" xfId="7246"/>
    <cellStyle name="Percent 9 2 3 2" xfId="7247"/>
    <cellStyle name="Percent 9 2 3 2 2" xfId="35550"/>
    <cellStyle name="Percent 9 2 3 2 3" xfId="35549"/>
    <cellStyle name="Percent 9 2 3 3" xfId="35551"/>
    <cellStyle name="Percent 9 2 3 4" xfId="35552"/>
    <cellStyle name="Percent 9 2 3 5" xfId="35548"/>
    <cellStyle name="Percent 9 2 3 6" xfId="41251"/>
    <cellStyle name="Percent 9 2 4" xfId="7248"/>
    <cellStyle name="Percent 9 2 4 2" xfId="35553"/>
    <cellStyle name="Percent 9 2 4 3" xfId="41612"/>
    <cellStyle name="Percent 9 2 5" xfId="7249"/>
    <cellStyle name="Percent 9 2 5 2" xfId="41085"/>
    <cellStyle name="Percent 9 2 6" xfId="7240"/>
    <cellStyle name="Percent 9 2 7" xfId="40938"/>
    <cellStyle name="Percent 9 3" xfId="2218"/>
    <cellStyle name="Percent 9 3 2" xfId="35555"/>
    <cellStyle name="Percent 9 3 2 2" xfId="35556"/>
    <cellStyle name="Percent 9 3 3" xfId="35557"/>
    <cellStyle name="Percent 9 3 4" xfId="35558"/>
    <cellStyle name="Percent 9 3 5" xfId="35554"/>
    <cellStyle name="Percent 9 3 6" xfId="40905"/>
    <cellStyle name="Percent 9 4" xfId="7250"/>
    <cellStyle name="Percent 9 4 2" xfId="35560"/>
    <cellStyle name="Percent 9 4 2 2" xfId="35561"/>
    <cellStyle name="Percent 9 4 3" xfId="35562"/>
    <cellStyle name="Percent 9 4 4" xfId="35563"/>
    <cellStyle name="Percent 9 4 5" xfId="35559"/>
    <cellStyle name="Percent 9 4 6" xfId="41226"/>
    <cellStyle name="Percent 9 5" xfId="7239"/>
    <cellStyle name="Percent 9 5 2" xfId="35565"/>
    <cellStyle name="Percent 9 5 2 2" xfId="35566"/>
    <cellStyle name="Percent 9 5 3" xfId="35567"/>
    <cellStyle name="Percent 9 5 4" xfId="35568"/>
    <cellStyle name="Percent 9 5 5" xfId="35564"/>
    <cellStyle name="Percent 9 5 6" xfId="41360"/>
    <cellStyle name="Percent 9 6" xfId="35569"/>
    <cellStyle name="PERCENTAGE" xfId="2856"/>
    <cellStyle name="PERCENTAGE 2" xfId="8423"/>
    <cellStyle name="PERCENTAGE 2 2" xfId="35570"/>
    <cellStyle name="PERCENTAGE 2 2 10" xfId="35571"/>
    <cellStyle name="PERCENTAGE 2 2 2" xfId="35572"/>
    <cellStyle name="PERCENTAGE 2 2 2 2" xfId="35573"/>
    <cellStyle name="PERCENTAGE 2 2 3" xfId="35574"/>
    <cellStyle name="PERCENTAGE 2 2 3 2" xfId="35575"/>
    <cellStyle name="PERCENTAGE 2 2 4" xfId="35576"/>
    <cellStyle name="PERCENTAGE 2 2 4 2" xfId="35577"/>
    <cellStyle name="PERCENTAGE 2 2 5" xfId="35578"/>
    <cellStyle name="PERCENTAGE 2 2 5 2" xfId="35579"/>
    <cellStyle name="PERCENTAGE 2 2 6" xfId="35580"/>
    <cellStyle name="PERCENTAGE 2 2 6 2" xfId="35581"/>
    <cellStyle name="PERCENTAGE 2 2 7" xfId="35582"/>
    <cellStyle name="PERCENTAGE 2 2 7 2" xfId="35583"/>
    <cellStyle name="PERCENTAGE 2 2 8" xfId="35584"/>
    <cellStyle name="PERCENTAGE 2 2 8 2" xfId="35585"/>
    <cellStyle name="PERCENTAGE 2 2 9" xfId="35586"/>
    <cellStyle name="PERCENTAGE 2 2 9 2" xfId="35587"/>
    <cellStyle name="PERCENTAGE 2 3" xfId="35588"/>
    <cellStyle name="PERCENTAGE 2 3 10" xfId="35589"/>
    <cellStyle name="PERCENTAGE 2 3 2" xfId="35590"/>
    <cellStyle name="PERCENTAGE 2 3 2 2" xfId="35591"/>
    <cellStyle name="PERCENTAGE 2 3 3" xfId="35592"/>
    <cellStyle name="PERCENTAGE 2 3 3 2" xfId="35593"/>
    <cellStyle name="PERCENTAGE 2 3 4" xfId="35594"/>
    <cellStyle name="PERCENTAGE 2 3 4 2" xfId="35595"/>
    <cellStyle name="PERCENTAGE 2 3 5" xfId="35596"/>
    <cellStyle name="PERCENTAGE 2 3 5 2" xfId="35597"/>
    <cellStyle name="PERCENTAGE 2 3 6" xfId="35598"/>
    <cellStyle name="PERCENTAGE 2 3 6 2" xfId="35599"/>
    <cellStyle name="PERCENTAGE 2 3 7" xfId="35600"/>
    <cellStyle name="PERCENTAGE 2 3 7 2" xfId="35601"/>
    <cellStyle name="PERCENTAGE 2 3 8" xfId="35602"/>
    <cellStyle name="PERCENTAGE 2 3 8 2" xfId="35603"/>
    <cellStyle name="PERCENTAGE 2 3 9" xfId="35604"/>
    <cellStyle name="PERCENTAGE 2 3 9 2" xfId="35605"/>
    <cellStyle name="PERCENTAGE 2 4" xfId="35606"/>
    <cellStyle name="PERCENTAGE 2 4 2" xfId="35607"/>
    <cellStyle name="PERCENTAGE 2 4 2 2" xfId="35608"/>
    <cellStyle name="PERCENTAGE 2 4 3" xfId="35609"/>
    <cellStyle name="PERCENTAGE 2 4 3 2" xfId="35610"/>
    <cellStyle name="PERCENTAGE 2 4 4" xfId="35611"/>
    <cellStyle name="PERCENTAGE 2 4 4 2" xfId="35612"/>
    <cellStyle name="PERCENTAGE 2 4 5" xfId="35613"/>
    <cellStyle name="PERCENTAGE 2 4 5 2" xfId="35614"/>
    <cellStyle name="PERCENTAGE 2 4 6" xfId="35615"/>
    <cellStyle name="PERCENTAGE 2 4 6 2" xfId="35616"/>
    <cellStyle name="PERCENTAGE 2 4 7" xfId="35617"/>
    <cellStyle name="PERCENTAGE 2 4 7 2" xfId="35618"/>
    <cellStyle name="PERCENTAGE 2 4 8" xfId="35619"/>
    <cellStyle name="PERCENTAGE 2 4 8 2" xfId="35620"/>
    <cellStyle name="PERCENTAGE 2 4 9" xfId="35621"/>
    <cellStyle name="PERCENTAGE 2 5" xfId="35622"/>
    <cellStyle name="PERCENTAGE 2 5 2" xfId="35623"/>
    <cellStyle name="PERCENTAGE 2 5 2 2" xfId="35624"/>
    <cellStyle name="PERCENTAGE 2 5 3" xfId="35625"/>
    <cellStyle name="PERCENTAGE 2 5 3 2" xfId="35626"/>
    <cellStyle name="PERCENTAGE 2 5 4" xfId="35627"/>
    <cellStyle name="PERCENTAGE 2 5 4 2" xfId="35628"/>
    <cellStyle name="PERCENTAGE 2 5 5" xfId="35629"/>
    <cellStyle name="PERCENTAGE 2 5 5 2" xfId="35630"/>
    <cellStyle name="PERCENTAGE 2 5 6" xfId="35631"/>
    <cellStyle name="PERCENTAGE 2 5 6 2" xfId="35632"/>
    <cellStyle name="PERCENTAGE 2 5 7" xfId="35633"/>
    <cellStyle name="PERCENTAGE 2 5 7 2" xfId="35634"/>
    <cellStyle name="PERCENTAGE 2 5 8" xfId="35635"/>
    <cellStyle name="PERCENTAGE 2 5 8 2" xfId="35636"/>
    <cellStyle name="PERCENTAGE 2 5 9" xfId="35637"/>
    <cellStyle name="PERCENTAGE 2 6" xfId="35638"/>
    <cellStyle name="PERCENTAGE 2 6 10" xfId="35639"/>
    <cellStyle name="PERCENTAGE 2 6 10 2" xfId="35640"/>
    <cellStyle name="PERCENTAGE 2 6 11" xfId="35641"/>
    <cellStyle name="PERCENTAGE 2 6 11 2" xfId="35642"/>
    <cellStyle name="PERCENTAGE 2 6 12" xfId="35643"/>
    <cellStyle name="PERCENTAGE 2 6 12 2" xfId="35644"/>
    <cellStyle name="PERCENTAGE 2 6 13" xfId="35645"/>
    <cellStyle name="PERCENTAGE 2 6 2" xfId="35646"/>
    <cellStyle name="PERCENTAGE 2 6 2 2" xfId="35647"/>
    <cellStyle name="PERCENTAGE 2 6 3" xfId="35648"/>
    <cellStyle name="PERCENTAGE 2 6 3 2" xfId="35649"/>
    <cellStyle name="PERCENTAGE 2 6 4" xfId="35650"/>
    <cellStyle name="PERCENTAGE 2 6 4 2" xfId="35651"/>
    <cellStyle name="PERCENTAGE 2 6 5" xfId="35652"/>
    <cellStyle name="PERCENTAGE 2 6 5 2" xfId="35653"/>
    <cellStyle name="PERCENTAGE 2 6 6" xfId="35654"/>
    <cellStyle name="PERCENTAGE 2 6 6 2" xfId="35655"/>
    <cellStyle name="PERCENTAGE 2 6 7" xfId="35656"/>
    <cellStyle name="PERCENTAGE 2 6 7 2" xfId="35657"/>
    <cellStyle name="PERCENTAGE 2 6 8" xfId="35658"/>
    <cellStyle name="PERCENTAGE 2 6 8 2" xfId="35659"/>
    <cellStyle name="PERCENTAGE 2 6 9" xfId="35660"/>
    <cellStyle name="PERCENTAGE 2 6 9 2" xfId="35661"/>
    <cellStyle name="PERCENTAGE 2 7" xfId="35662"/>
    <cellStyle name="PERCENTAGE 2 7 2" xfId="35663"/>
    <cellStyle name="PERCENTAGE 2 8" xfId="35664"/>
    <cellStyle name="PERCENTAGE 3" xfId="35665"/>
    <cellStyle name="PERCENTAGE 3 2" xfId="35666"/>
    <cellStyle name="PERCENTAGE 3 2 10" xfId="35667"/>
    <cellStyle name="PERCENTAGE 3 2 2" xfId="35668"/>
    <cellStyle name="PERCENTAGE 3 2 2 2" xfId="35669"/>
    <cellStyle name="PERCENTAGE 3 2 3" xfId="35670"/>
    <cellStyle name="PERCENTAGE 3 2 3 2" xfId="35671"/>
    <cellStyle name="PERCENTAGE 3 2 4" xfId="35672"/>
    <cellStyle name="PERCENTAGE 3 2 4 2" xfId="35673"/>
    <cellStyle name="PERCENTAGE 3 2 5" xfId="35674"/>
    <cellStyle name="PERCENTAGE 3 2 5 2" xfId="35675"/>
    <cellStyle name="PERCENTAGE 3 2 6" xfId="35676"/>
    <cellStyle name="PERCENTAGE 3 2 6 2" xfId="35677"/>
    <cellStyle name="PERCENTAGE 3 2 7" xfId="35678"/>
    <cellStyle name="PERCENTAGE 3 2 7 2" xfId="35679"/>
    <cellStyle name="PERCENTAGE 3 2 8" xfId="35680"/>
    <cellStyle name="PERCENTAGE 3 2 8 2" xfId="35681"/>
    <cellStyle name="PERCENTAGE 3 2 9" xfId="35682"/>
    <cellStyle name="PERCENTAGE 3 2 9 2" xfId="35683"/>
    <cellStyle name="PERCENTAGE 3 3" xfId="35684"/>
    <cellStyle name="PERCENTAGE 3 3 10" xfId="35685"/>
    <cellStyle name="PERCENTAGE 3 3 2" xfId="35686"/>
    <cellStyle name="PERCENTAGE 3 3 2 2" xfId="35687"/>
    <cellStyle name="PERCENTAGE 3 3 3" xfId="35688"/>
    <cellStyle name="PERCENTAGE 3 3 3 2" xfId="35689"/>
    <cellStyle name="PERCENTAGE 3 3 4" xfId="35690"/>
    <cellStyle name="PERCENTAGE 3 3 4 2" xfId="35691"/>
    <cellStyle name="PERCENTAGE 3 3 5" xfId="35692"/>
    <cellStyle name="PERCENTAGE 3 3 5 2" xfId="35693"/>
    <cellStyle name="PERCENTAGE 3 3 6" xfId="35694"/>
    <cellStyle name="PERCENTAGE 3 3 6 2" xfId="35695"/>
    <cellStyle name="PERCENTAGE 3 3 7" xfId="35696"/>
    <cellStyle name="PERCENTAGE 3 3 7 2" xfId="35697"/>
    <cellStyle name="PERCENTAGE 3 3 8" xfId="35698"/>
    <cellStyle name="PERCENTAGE 3 3 8 2" xfId="35699"/>
    <cellStyle name="PERCENTAGE 3 3 9" xfId="35700"/>
    <cellStyle name="PERCENTAGE 3 3 9 2" xfId="35701"/>
    <cellStyle name="PERCENTAGE 3 4" xfId="35702"/>
    <cellStyle name="PERCENTAGE 3 4 2" xfId="35703"/>
    <cellStyle name="PERCENTAGE 3 4 2 2" xfId="35704"/>
    <cellStyle name="PERCENTAGE 3 4 3" xfId="35705"/>
    <cellStyle name="PERCENTAGE 3 4 3 2" xfId="35706"/>
    <cellStyle name="PERCENTAGE 3 4 4" xfId="35707"/>
    <cellStyle name="PERCENTAGE 3 4 4 2" xfId="35708"/>
    <cellStyle name="PERCENTAGE 3 4 5" xfId="35709"/>
    <cellStyle name="PERCENTAGE 3 4 5 2" xfId="35710"/>
    <cellStyle name="PERCENTAGE 3 4 6" xfId="35711"/>
    <cellStyle name="PERCENTAGE 3 4 6 2" xfId="35712"/>
    <cellStyle name="PERCENTAGE 3 4 7" xfId="35713"/>
    <cellStyle name="PERCENTAGE 3 4 7 2" xfId="35714"/>
    <cellStyle name="PERCENTAGE 3 4 8" xfId="35715"/>
    <cellStyle name="PERCENTAGE 3 4 8 2" xfId="35716"/>
    <cellStyle name="PERCENTAGE 3 4 9" xfId="35717"/>
    <cellStyle name="PERCENTAGE 3 5" xfId="35718"/>
    <cellStyle name="PERCENTAGE 3 5 2" xfId="35719"/>
    <cellStyle name="PERCENTAGE 3 5 2 2" xfId="35720"/>
    <cellStyle name="PERCENTAGE 3 5 3" xfId="35721"/>
    <cellStyle name="PERCENTAGE 3 5 3 2" xfId="35722"/>
    <cellStyle name="PERCENTAGE 3 5 4" xfId="35723"/>
    <cellStyle name="PERCENTAGE 3 5 4 2" xfId="35724"/>
    <cellStyle name="PERCENTAGE 3 5 5" xfId="35725"/>
    <cellStyle name="PERCENTAGE 3 5 5 2" xfId="35726"/>
    <cellStyle name="PERCENTAGE 3 5 6" xfId="35727"/>
    <cellStyle name="PERCENTAGE 3 5 6 2" xfId="35728"/>
    <cellStyle name="PERCENTAGE 3 5 7" xfId="35729"/>
    <cellStyle name="PERCENTAGE 3 5 7 2" xfId="35730"/>
    <cellStyle name="PERCENTAGE 3 5 8" xfId="35731"/>
    <cellStyle name="PERCENTAGE 3 5 8 2" xfId="35732"/>
    <cellStyle name="PERCENTAGE 3 5 9" xfId="35733"/>
    <cellStyle name="PERCENTAGE 3 6" xfId="35734"/>
    <cellStyle name="PERCENTAGE 3 6 10" xfId="35735"/>
    <cellStyle name="PERCENTAGE 3 6 10 2" xfId="35736"/>
    <cellStyle name="PERCENTAGE 3 6 11" xfId="35737"/>
    <cellStyle name="PERCENTAGE 3 6 11 2" xfId="35738"/>
    <cellStyle name="PERCENTAGE 3 6 12" xfId="35739"/>
    <cellStyle name="PERCENTAGE 3 6 12 2" xfId="35740"/>
    <cellStyle name="PERCENTAGE 3 6 13" xfId="35741"/>
    <cellStyle name="PERCENTAGE 3 6 2" xfId="35742"/>
    <cellStyle name="PERCENTAGE 3 6 2 2" xfId="35743"/>
    <cellStyle name="PERCENTAGE 3 6 3" xfId="35744"/>
    <cellStyle name="PERCENTAGE 3 6 3 2" xfId="35745"/>
    <cellStyle name="PERCENTAGE 3 6 4" xfId="35746"/>
    <cellStyle name="PERCENTAGE 3 6 4 2" xfId="35747"/>
    <cellStyle name="PERCENTAGE 3 6 5" xfId="35748"/>
    <cellStyle name="PERCENTAGE 3 6 5 2" xfId="35749"/>
    <cellStyle name="PERCENTAGE 3 6 6" xfId="35750"/>
    <cellStyle name="PERCENTAGE 3 6 6 2" xfId="35751"/>
    <cellStyle name="PERCENTAGE 3 6 7" xfId="35752"/>
    <cellStyle name="PERCENTAGE 3 6 7 2" xfId="35753"/>
    <cellStyle name="PERCENTAGE 3 6 8" xfId="35754"/>
    <cellStyle name="PERCENTAGE 3 6 8 2" xfId="35755"/>
    <cellStyle name="PERCENTAGE 3 6 9" xfId="35756"/>
    <cellStyle name="PERCENTAGE 3 6 9 2" xfId="35757"/>
    <cellStyle name="PERCENTAGE 3 7" xfId="35758"/>
    <cellStyle name="PERCENTAGE 3 7 2" xfId="35759"/>
    <cellStyle name="PERCENTAGE 3 8" xfId="35760"/>
    <cellStyle name="PERCENTAGE 4" xfId="35761"/>
    <cellStyle name="PERCENTAGE 4 2" xfId="35762"/>
    <cellStyle name="PERCENTAGE 4 2 10" xfId="35763"/>
    <cellStyle name="PERCENTAGE 4 2 2" xfId="35764"/>
    <cellStyle name="PERCENTAGE 4 2 2 2" xfId="35765"/>
    <cellStyle name="PERCENTAGE 4 2 3" xfId="35766"/>
    <cellStyle name="PERCENTAGE 4 2 3 2" xfId="35767"/>
    <cellStyle name="PERCENTAGE 4 2 4" xfId="35768"/>
    <cellStyle name="PERCENTAGE 4 2 4 2" xfId="35769"/>
    <cellStyle name="PERCENTAGE 4 2 5" xfId="35770"/>
    <cellStyle name="PERCENTAGE 4 2 5 2" xfId="35771"/>
    <cellStyle name="PERCENTAGE 4 2 6" xfId="35772"/>
    <cellStyle name="PERCENTAGE 4 2 6 2" xfId="35773"/>
    <cellStyle name="PERCENTAGE 4 2 7" xfId="35774"/>
    <cellStyle name="PERCENTAGE 4 2 7 2" xfId="35775"/>
    <cellStyle name="PERCENTAGE 4 2 8" xfId="35776"/>
    <cellStyle name="PERCENTAGE 4 2 8 2" xfId="35777"/>
    <cellStyle name="PERCENTAGE 4 2 9" xfId="35778"/>
    <cellStyle name="PERCENTAGE 4 2 9 2" xfId="35779"/>
    <cellStyle name="PERCENTAGE 4 3" xfId="35780"/>
    <cellStyle name="PERCENTAGE 4 3 2" xfId="35781"/>
    <cellStyle name="PERCENTAGE 4 3 2 2" xfId="35782"/>
    <cellStyle name="PERCENTAGE 4 3 3" xfId="35783"/>
    <cellStyle name="PERCENTAGE 4 3 3 2" xfId="35784"/>
    <cellStyle name="PERCENTAGE 4 3 4" xfId="35785"/>
    <cellStyle name="PERCENTAGE 4 3 4 2" xfId="35786"/>
    <cellStyle name="PERCENTAGE 4 3 5" xfId="35787"/>
    <cellStyle name="PERCENTAGE 4 3 5 2" xfId="35788"/>
    <cellStyle name="PERCENTAGE 4 3 6" xfId="35789"/>
    <cellStyle name="PERCENTAGE 4 3 6 2" xfId="35790"/>
    <cellStyle name="PERCENTAGE 4 3 7" xfId="35791"/>
    <cellStyle name="PERCENTAGE 4 3 7 2" xfId="35792"/>
    <cellStyle name="PERCENTAGE 4 3 8" xfId="35793"/>
    <cellStyle name="PERCENTAGE 4 3 8 2" xfId="35794"/>
    <cellStyle name="PERCENTAGE 4 3 9" xfId="35795"/>
    <cellStyle name="PERCENTAGE 4 4" xfId="35796"/>
    <cellStyle name="PERCENTAGE 4 4 10" xfId="35797"/>
    <cellStyle name="PERCENTAGE 4 4 10 2" xfId="35798"/>
    <cellStyle name="PERCENTAGE 4 4 11" xfId="35799"/>
    <cellStyle name="PERCENTAGE 4 4 11 2" xfId="35800"/>
    <cellStyle name="PERCENTAGE 4 4 12" xfId="35801"/>
    <cellStyle name="PERCENTAGE 4 4 12 2" xfId="35802"/>
    <cellStyle name="PERCENTAGE 4 4 13" xfId="35803"/>
    <cellStyle name="PERCENTAGE 4 4 2" xfId="35804"/>
    <cellStyle name="PERCENTAGE 4 4 2 2" xfId="35805"/>
    <cellStyle name="PERCENTAGE 4 4 3" xfId="35806"/>
    <cellStyle name="PERCENTAGE 4 4 3 2" xfId="35807"/>
    <cellStyle name="PERCENTAGE 4 4 4" xfId="35808"/>
    <cellStyle name="PERCENTAGE 4 4 4 2" xfId="35809"/>
    <cellStyle name="PERCENTAGE 4 4 5" xfId="35810"/>
    <cellStyle name="PERCENTAGE 4 4 5 2" xfId="35811"/>
    <cellStyle name="PERCENTAGE 4 4 6" xfId="35812"/>
    <cellStyle name="PERCENTAGE 4 4 6 2" xfId="35813"/>
    <cellStyle name="PERCENTAGE 4 4 7" xfId="35814"/>
    <cellStyle name="PERCENTAGE 4 4 7 2" xfId="35815"/>
    <cellStyle name="PERCENTAGE 4 4 8" xfId="35816"/>
    <cellStyle name="PERCENTAGE 4 4 8 2" xfId="35817"/>
    <cellStyle name="PERCENTAGE 4 4 9" xfId="35818"/>
    <cellStyle name="PERCENTAGE 4 4 9 2" xfId="35819"/>
    <cellStyle name="PERCENTAGE 4 5" xfId="35820"/>
    <cellStyle name="PERCENTAGE 4 5 2" xfId="35821"/>
    <cellStyle name="PERCENTAGE 4 6" xfId="35822"/>
    <cellStyle name="PERCENTAGE 4 6 2" xfId="35823"/>
    <cellStyle name="PERCENTAGE 4 7" xfId="35824"/>
    <cellStyle name="PERCENTAGE 5" xfId="35825"/>
    <cellStyle name="PERCENTAGE 5 2" xfId="35826"/>
    <cellStyle name="PERCENTAGE 5 2 2" xfId="35827"/>
    <cellStyle name="PERCENTAGE 5 3" xfId="35828"/>
    <cellStyle name="PERCENTAGE 5 3 2" xfId="35829"/>
    <cellStyle name="PERCENTAGE 5 4" xfId="35830"/>
    <cellStyle name="PERCENTAGE 5 4 2" xfId="35831"/>
    <cellStyle name="PERCENTAGE 5 5" xfId="35832"/>
    <cellStyle name="PERCENTAGE 5 5 2" xfId="35833"/>
    <cellStyle name="PERCENTAGE 5 6" xfId="35834"/>
    <cellStyle name="PERCENTAGE 5 6 2" xfId="35835"/>
    <cellStyle name="PERCENTAGE 5 7" xfId="35836"/>
    <cellStyle name="PERCENTAGE 5 7 2" xfId="35837"/>
    <cellStyle name="PERCENTAGE 5 8" xfId="35838"/>
    <cellStyle name="PERCENTAGE 5 8 2" xfId="35839"/>
    <cellStyle name="PERCENTAGE 5 9" xfId="35840"/>
    <cellStyle name="PERCENTAGE 6" xfId="35841"/>
    <cellStyle name="PERCENTAGE 6 10" xfId="35842"/>
    <cellStyle name="PERCENTAGE 6 10 2" xfId="35843"/>
    <cellStyle name="PERCENTAGE 6 11" xfId="35844"/>
    <cellStyle name="PERCENTAGE 6 11 2" xfId="35845"/>
    <cellStyle name="PERCENTAGE 6 12" xfId="35846"/>
    <cellStyle name="PERCENTAGE 6 12 2" xfId="35847"/>
    <cellStyle name="PERCENTAGE 6 13" xfId="35848"/>
    <cellStyle name="PERCENTAGE 6 2" xfId="35849"/>
    <cellStyle name="PERCENTAGE 6 2 2" xfId="35850"/>
    <cellStyle name="PERCENTAGE 6 3" xfId="35851"/>
    <cellStyle name="PERCENTAGE 6 3 2" xfId="35852"/>
    <cellStyle name="PERCENTAGE 6 4" xfId="35853"/>
    <cellStyle name="PERCENTAGE 6 4 2" xfId="35854"/>
    <cellStyle name="PERCENTAGE 6 5" xfId="35855"/>
    <cellStyle name="PERCENTAGE 6 5 2" xfId="35856"/>
    <cellStyle name="PERCENTAGE 6 6" xfId="35857"/>
    <cellStyle name="PERCENTAGE 6 6 2" xfId="35858"/>
    <cellStyle name="PERCENTAGE 6 7" xfId="35859"/>
    <cellStyle name="PERCENTAGE 6 7 2" xfId="35860"/>
    <cellStyle name="PERCENTAGE 6 8" xfId="35861"/>
    <cellStyle name="PERCENTAGE 6 8 2" xfId="35862"/>
    <cellStyle name="PERCENTAGE 6 9" xfId="35863"/>
    <cellStyle name="PERCENTAGE 6 9 2" xfId="35864"/>
    <cellStyle name="PERCENTAGE 7" xfId="35865"/>
    <cellStyle name="Pivot Style Medium 13" xfId="2219"/>
    <cellStyle name="Pivot Style Medium 13 2" xfId="2220"/>
    <cellStyle name="Pivot Style Medium 13 2 2" xfId="2221"/>
    <cellStyle name="Pivot Style Medium 13 3" xfId="2222"/>
    <cellStyle name="PrePop Currency (0)" xfId="2223"/>
    <cellStyle name="PrePop Currency (0) 2" xfId="2224"/>
    <cellStyle name="PrePop Currency (0) 2 2" xfId="2225"/>
    <cellStyle name="PrePop Currency (0) 2 2 2" xfId="35866"/>
    <cellStyle name="PrePop Currency (0) 3" xfId="2226"/>
    <cellStyle name="PrePop Currency (0) 4" xfId="2227"/>
    <cellStyle name="PrePop Currency (2)" xfId="2857"/>
    <cellStyle name="PrePop Currency (2) 2" xfId="42266"/>
    <cellStyle name="PrePop Units (0)" xfId="2858"/>
    <cellStyle name="PrePop Units (0) 2" xfId="42267"/>
    <cellStyle name="PrePop Units (1)" xfId="2859"/>
    <cellStyle name="PrePop Units (1) 2" xfId="42268"/>
    <cellStyle name="PrePop Units (2)" xfId="2860"/>
    <cellStyle name="PrePop Units (2) 2" xfId="42269"/>
    <cellStyle name="Product" xfId="2228"/>
    <cellStyle name="Product 2" xfId="2229"/>
    <cellStyle name="Product 2 2" xfId="2230"/>
    <cellStyle name="Product 2 3" xfId="3021"/>
    <cellStyle name="Product 2 4" xfId="8239"/>
    <cellStyle name="Product 2 5" xfId="41613"/>
    <cellStyle name="Product 3" xfId="2231"/>
    <cellStyle name="Product 3 2" xfId="2232"/>
    <cellStyle name="Product 3 2 10" xfId="35867"/>
    <cellStyle name="Product 3 2 2" xfId="35868"/>
    <cellStyle name="Product 3 2 2 2" xfId="35869"/>
    <cellStyle name="Product 3 2 2 3" xfId="35870"/>
    <cellStyle name="Product 3 2 3" xfId="35871"/>
    <cellStyle name="Product 3 2 3 2" xfId="35872"/>
    <cellStyle name="Product 3 2 3 3" xfId="35873"/>
    <cellStyle name="Product 3 2 4" xfId="35874"/>
    <cellStyle name="Product 3 2 4 2" xfId="35875"/>
    <cellStyle name="Product 3 2 4 3" xfId="35876"/>
    <cellStyle name="Product 3 2 5" xfId="35877"/>
    <cellStyle name="Product 3 2 5 2" xfId="35878"/>
    <cellStyle name="Product 3 2 5 3" xfId="35879"/>
    <cellStyle name="Product 3 2 6" xfId="35880"/>
    <cellStyle name="Product 3 2 6 2" xfId="35881"/>
    <cellStyle name="Product 3 2 6 3" xfId="35882"/>
    <cellStyle name="Product 3 2 7" xfId="35883"/>
    <cellStyle name="Product 3 2 7 2" xfId="35884"/>
    <cellStyle name="Product 3 2 7 3" xfId="35885"/>
    <cellStyle name="Product 3 2 8" xfId="35886"/>
    <cellStyle name="Product 3 2 9" xfId="35887"/>
    <cellStyle name="Product 3 3" xfId="35888"/>
    <cellStyle name="Product 3 3 2" xfId="35889"/>
    <cellStyle name="Product 3 3 2 2" xfId="35890"/>
    <cellStyle name="Product 3 3 2 3" xfId="35891"/>
    <cellStyle name="Product 3 3 3" xfId="35892"/>
    <cellStyle name="Product 3 3 3 2" xfId="35893"/>
    <cellStyle name="Product 3 3 3 3" xfId="35894"/>
    <cellStyle name="Product 3 3 4" xfId="35895"/>
    <cellStyle name="Product 3 3 4 2" xfId="35896"/>
    <cellStyle name="Product 3 3 4 3" xfId="35897"/>
    <cellStyle name="Product 3 3 5" xfId="35898"/>
    <cellStyle name="Product 3 3 5 2" xfId="35899"/>
    <cellStyle name="Product 3 3 5 3" xfId="35900"/>
    <cellStyle name="Product 3 3 6" xfId="35901"/>
    <cellStyle name="Product 3 3 6 2" xfId="35902"/>
    <cellStyle name="Product 3 3 6 3" xfId="35903"/>
    <cellStyle name="Product 3 3 7" xfId="35904"/>
    <cellStyle name="Product 3 3 8" xfId="35905"/>
    <cellStyle name="Product 3 4" xfId="35906"/>
    <cellStyle name="Product 3 4 10" xfId="35907"/>
    <cellStyle name="Product 3 4 10 2" xfId="35908"/>
    <cellStyle name="Product 3 4 10 3" xfId="35909"/>
    <cellStyle name="Product 3 4 11" xfId="35910"/>
    <cellStyle name="Product 3 4 11 2" xfId="35911"/>
    <cellStyle name="Product 3 4 11 3" xfId="35912"/>
    <cellStyle name="Product 3 4 12" xfId="35913"/>
    <cellStyle name="Product 3 4 12 2" xfId="35914"/>
    <cellStyle name="Product 3 4 12 3" xfId="35915"/>
    <cellStyle name="Product 3 4 13" xfId="35916"/>
    <cellStyle name="Product 3 4 14" xfId="35917"/>
    <cellStyle name="Product 3 4 2" xfId="35918"/>
    <cellStyle name="Product 3 4 2 2" xfId="35919"/>
    <cellStyle name="Product 3 4 2 3" xfId="35920"/>
    <cellStyle name="Product 3 4 3" xfId="35921"/>
    <cellStyle name="Product 3 4 3 2" xfId="35922"/>
    <cellStyle name="Product 3 4 3 3" xfId="35923"/>
    <cellStyle name="Product 3 4 4" xfId="35924"/>
    <cellStyle name="Product 3 4 4 2" xfId="35925"/>
    <cellStyle name="Product 3 4 4 3" xfId="35926"/>
    <cellStyle name="Product 3 4 5" xfId="35927"/>
    <cellStyle name="Product 3 4 5 2" xfId="35928"/>
    <cellStyle name="Product 3 4 5 3" xfId="35929"/>
    <cellStyle name="Product 3 4 6" xfId="35930"/>
    <cellStyle name="Product 3 4 6 2" xfId="35931"/>
    <cellStyle name="Product 3 4 6 3" xfId="35932"/>
    <cellStyle name="Product 3 4 7" xfId="35933"/>
    <cellStyle name="Product 3 4 7 2" xfId="35934"/>
    <cellStyle name="Product 3 4 7 3" xfId="35935"/>
    <cellStyle name="Product 3 4 8" xfId="35936"/>
    <cellStyle name="Product 3 4 8 2" xfId="35937"/>
    <cellStyle name="Product 3 4 8 3" xfId="35938"/>
    <cellStyle name="Product 3 4 9" xfId="35939"/>
    <cellStyle name="Product 3 4 9 2" xfId="35940"/>
    <cellStyle name="Product 3 4 9 3" xfId="35941"/>
    <cellStyle name="Product 3 5" xfId="35942"/>
    <cellStyle name="Product 3 5 10" xfId="35943"/>
    <cellStyle name="Product 3 5 10 2" xfId="35944"/>
    <cellStyle name="Product 3 5 10 3" xfId="35945"/>
    <cellStyle name="Product 3 5 11" xfId="35946"/>
    <cellStyle name="Product 3 5 11 2" xfId="35947"/>
    <cellStyle name="Product 3 5 11 3" xfId="35948"/>
    <cellStyle name="Product 3 5 12" xfId="35949"/>
    <cellStyle name="Product 3 5 12 2" xfId="35950"/>
    <cellStyle name="Product 3 5 12 3" xfId="35951"/>
    <cellStyle name="Product 3 5 13" xfId="35952"/>
    <cellStyle name="Product 3 5 14" xfId="35953"/>
    <cellStyle name="Product 3 5 2" xfId="35954"/>
    <cellStyle name="Product 3 5 2 2" xfId="35955"/>
    <cellStyle name="Product 3 5 2 3" xfId="35956"/>
    <cellStyle name="Product 3 5 3" xfId="35957"/>
    <cellStyle name="Product 3 5 3 2" xfId="35958"/>
    <cellStyle name="Product 3 5 3 3" xfId="35959"/>
    <cellStyle name="Product 3 5 4" xfId="35960"/>
    <cellStyle name="Product 3 5 4 2" xfId="35961"/>
    <cellStyle name="Product 3 5 4 3" xfId="35962"/>
    <cellStyle name="Product 3 5 5" xfId="35963"/>
    <cellStyle name="Product 3 5 5 2" xfId="35964"/>
    <cellStyle name="Product 3 5 5 3" xfId="35965"/>
    <cellStyle name="Product 3 5 6" xfId="35966"/>
    <cellStyle name="Product 3 5 6 2" xfId="35967"/>
    <cellStyle name="Product 3 5 6 3" xfId="35968"/>
    <cellStyle name="Product 3 5 7" xfId="35969"/>
    <cellStyle name="Product 3 5 7 2" xfId="35970"/>
    <cellStyle name="Product 3 5 7 3" xfId="35971"/>
    <cellStyle name="Product 3 5 8" xfId="35972"/>
    <cellStyle name="Product 3 5 8 2" xfId="35973"/>
    <cellStyle name="Product 3 5 8 3" xfId="35974"/>
    <cellStyle name="Product 3 5 9" xfId="35975"/>
    <cellStyle name="Product 3 5 9 2" xfId="35976"/>
    <cellStyle name="Product 3 5 9 3" xfId="35977"/>
    <cellStyle name="Product 3 6" xfId="35978"/>
    <cellStyle name="Product 3 6 10" xfId="35979"/>
    <cellStyle name="Product 3 6 10 2" xfId="35980"/>
    <cellStyle name="Product 3 6 10 3" xfId="35981"/>
    <cellStyle name="Product 3 6 11" xfId="35982"/>
    <cellStyle name="Product 3 6 11 2" xfId="35983"/>
    <cellStyle name="Product 3 6 11 3" xfId="35984"/>
    <cellStyle name="Product 3 6 12" xfId="35985"/>
    <cellStyle name="Product 3 6 12 2" xfId="35986"/>
    <cellStyle name="Product 3 6 12 3" xfId="35987"/>
    <cellStyle name="Product 3 6 13" xfId="35988"/>
    <cellStyle name="Product 3 6 14" xfId="35989"/>
    <cellStyle name="Product 3 6 2" xfId="35990"/>
    <cellStyle name="Product 3 6 2 2" xfId="35991"/>
    <cellStyle name="Product 3 6 2 3" xfId="35992"/>
    <cellStyle name="Product 3 6 3" xfId="35993"/>
    <cellStyle name="Product 3 6 3 2" xfId="35994"/>
    <cellStyle name="Product 3 6 3 3" xfId="35995"/>
    <cellStyle name="Product 3 6 4" xfId="35996"/>
    <cellStyle name="Product 3 6 4 2" xfId="35997"/>
    <cellStyle name="Product 3 6 4 3" xfId="35998"/>
    <cellStyle name="Product 3 6 5" xfId="35999"/>
    <cellStyle name="Product 3 6 5 2" xfId="36000"/>
    <cellStyle name="Product 3 6 5 3" xfId="36001"/>
    <cellStyle name="Product 3 6 6" xfId="36002"/>
    <cellStyle name="Product 3 6 6 2" xfId="36003"/>
    <cellStyle name="Product 3 6 6 3" xfId="36004"/>
    <cellStyle name="Product 3 6 7" xfId="36005"/>
    <cellStyle name="Product 3 6 7 2" xfId="36006"/>
    <cellStyle name="Product 3 6 7 3" xfId="36007"/>
    <cellStyle name="Product 3 6 8" xfId="36008"/>
    <cellStyle name="Product 3 6 8 2" xfId="36009"/>
    <cellStyle name="Product 3 6 8 3" xfId="36010"/>
    <cellStyle name="Product 3 6 9" xfId="36011"/>
    <cellStyle name="Product 3 6 9 2" xfId="36012"/>
    <cellStyle name="Product 3 6 9 3" xfId="36013"/>
    <cellStyle name="Product 3 7" xfId="36014"/>
    <cellStyle name="Product 3 7 2" xfId="36015"/>
    <cellStyle name="Product 3 7 3" xfId="36016"/>
    <cellStyle name="Product 3 8" xfId="36017"/>
    <cellStyle name="Product 3 9" xfId="36018"/>
    <cellStyle name="Product 4" xfId="2233"/>
    <cellStyle name="Product 4 2" xfId="36019"/>
    <cellStyle name="Product 5" xfId="2234"/>
    <cellStyle name="Product 5 2" xfId="8240"/>
    <cellStyle name="Product 6" xfId="8238"/>
    <cellStyle name="Product 7" xfId="40808"/>
    <cellStyle name="PSChar" xfId="2235"/>
    <cellStyle name="Reset  - Style4" xfId="2861"/>
    <cellStyle name="Reset  - Style7" xfId="2236"/>
    <cellStyle name="Reset  - Style7 2" xfId="42270"/>
    <cellStyle name="Reset range style to defaults" xfId="40352"/>
    <cellStyle name="Reset range style to defaults 2" xfId="42271"/>
    <cellStyle name="RevList" xfId="2237"/>
    <cellStyle name="RevList 2" xfId="2238"/>
    <cellStyle name="RevList 2 2" xfId="2239"/>
    <cellStyle name="RevList 3" xfId="2240"/>
    <cellStyle name="RevList 3 2" xfId="36020"/>
    <cellStyle name="ri" xfId="2241"/>
    <cellStyle name="ri 2" xfId="2242"/>
    <cellStyle name="ri 2 2" xfId="3141"/>
    <cellStyle name="ri 2 3" xfId="7251"/>
    <cellStyle name="ri 3" xfId="2243"/>
    <cellStyle name="ri 3 2" xfId="7252"/>
    <cellStyle name="ri_AAAF" xfId="36021"/>
    <cellStyle name="Rossz" xfId="40353"/>
    <cellStyle name="SAPBEXstdItem" xfId="2244"/>
    <cellStyle name="SAPBEXstdItem 10" xfId="36022"/>
    <cellStyle name="SAPBEXstdItem 2" xfId="2245"/>
    <cellStyle name="SAPBEXstdItem 2 2" xfId="2246"/>
    <cellStyle name="SAPBEXstdItem 2 2 2" xfId="8243"/>
    <cellStyle name="SAPBEXstdItem 2 2 2 2" xfId="36023"/>
    <cellStyle name="SAPBEXstdItem 2 2 2 2 2" xfId="36024"/>
    <cellStyle name="SAPBEXstdItem 2 2 2 3" xfId="36025"/>
    <cellStyle name="SAPBEXstdItem 2 2 3" xfId="36026"/>
    <cellStyle name="SAPBEXstdItem 2 2 3 2" xfId="36027"/>
    <cellStyle name="SAPBEXstdItem 2 2 3 2 2" xfId="36028"/>
    <cellStyle name="SAPBEXstdItem 2 2 3 3" xfId="36029"/>
    <cellStyle name="SAPBEXstdItem 2 2 4" xfId="36030"/>
    <cellStyle name="SAPBEXstdItem 2 2 4 2" xfId="36031"/>
    <cellStyle name="SAPBEXstdItem 2 2 4 2 2" xfId="36032"/>
    <cellStyle name="SAPBEXstdItem 2 2 4 3" xfId="36033"/>
    <cellStyle name="SAPBEXstdItem 2 2 5" xfId="36034"/>
    <cellStyle name="SAPBEXstdItem 2 2 5 2" xfId="36035"/>
    <cellStyle name="SAPBEXstdItem 2 2 6" xfId="36036"/>
    <cellStyle name="SAPBEXstdItem 2 2 7" xfId="36037"/>
    <cellStyle name="SAPBEXstdItem 2 2 8" xfId="36038"/>
    <cellStyle name="SAPBEXstdItem 2 3" xfId="7253"/>
    <cellStyle name="SAPBEXstdItem 2 3 2" xfId="36040"/>
    <cellStyle name="SAPBEXstdItem 2 3 2 2" xfId="36041"/>
    <cellStyle name="SAPBEXstdItem 2 3 2 2 2" xfId="36042"/>
    <cellStyle name="SAPBEXstdItem 2 3 2 3" xfId="36043"/>
    <cellStyle name="SAPBEXstdItem 2 3 3" xfId="36044"/>
    <cellStyle name="SAPBEXstdItem 2 3 3 2" xfId="36045"/>
    <cellStyle name="SAPBEXstdItem 2 3 3 2 2" xfId="36046"/>
    <cellStyle name="SAPBEXstdItem 2 3 3 3" xfId="36047"/>
    <cellStyle name="SAPBEXstdItem 2 3 4" xfId="36048"/>
    <cellStyle name="SAPBEXstdItem 2 3 4 2" xfId="36049"/>
    <cellStyle name="SAPBEXstdItem 2 3 4 3" xfId="36050"/>
    <cellStyle name="SAPBEXstdItem 2 3 4 4" xfId="36051"/>
    <cellStyle name="SAPBEXstdItem 2 3 5" xfId="36052"/>
    <cellStyle name="SAPBEXstdItem 2 3 5 2" xfId="36053"/>
    <cellStyle name="SAPBEXstdItem 2 3 6" xfId="36054"/>
    <cellStyle name="SAPBEXstdItem 2 3 7" xfId="36039"/>
    <cellStyle name="SAPBEXstdItem 2 4" xfId="7254"/>
    <cellStyle name="SAPBEXstdItem 2 4 2" xfId="7255"/>
    <cellStyle name="SAPBEXstdItem 2 4 2 2" xfId="36057"/>
    <cellStyle name="SAPBEXstdItem 2 4 2 3" xfId="36056"/>
    <cellStyle name="SAPBEXstdItem 2 4 3" xfId="36058"/>
    <cellStyle name="SAPBEXstdItem 2 4 4" xfId="36055"/>
    <cellStyle name="SAPBEXstdItem 2 5" xfId="7256"/>
    <cellStyle name="SAPBEXstdItem 2 5 2" xfId="7257"/>
    <cellStyle name="SAPBEXstdItem 2 5 2 2" xfId="36060"/>
    <cellStyle name="SAPBEXstdItem 2 5 3" xfId="36061"/>
    <cellStyle name="SAPBEXstdItem 2 5 4" xfId="36062"/>
    <cellStyle name="SAPBEXstdItem 2 5 5" xfId="36059"/>
    <cellStyle name="SAPBEXstdItem 2 6" xfId="7258"/>
    <cellStyle name="SAPBEXstdItem 2 6 2" xfId="36064"/>
    <cellStyle name="SAPBEXstdItem 2 6 3" xfId="36065"/>
    <cellStyle name="SAPBEXstdItem 2 6 4" xfId="36066"/>
    <cellStyle name="SAPBEXstdItem 2 6 5" xfId="36063"/>
    <cellStyle name="SAPBEXstdItem 2 7" xfId="7259"/>
    <cellStyle name="SAPBEXstdItem 2 7 2" xfId="36067"/>
    <cellStyle name="SAPBEXstdItem 2 8" xfId="8242"/>
    <cellStyle name="SAPBEXstdItem 3" xfId="2247"/>
    <cellStyle name="SAPBEXstdItem 3 2" xfId="2248"/>
    <cellStyle name="SAPBEXstdItem 3 2 2" xfId="8245"/>
    <cellStyle name="SAPBEXstdItem 3 2 2 2" xfId="36068"/>
    <cellStyle name="SAPBEXstdItem 3 2 2 3" xfId="36069"/>
    <cellStyle name="SAPBEXstdItem 3 2 3" xfId="36070"/>
    <cellStyle name="SAPBEXstdItem 3 2 3 2" xfId="36071"/>
    <cellStyle name="SAPBEXstdItem 3 2 4" xfId="36072"/>
    <cellStyle name="SAPBEXstdItem 3 2 4 2" xfId="36073"/>
    <cellStyle name="SAPBEXstdItem 3 2 5" xfId="36074"/>
    <cellStyle name="SAPBEXstdItem 3 2 6" xfId="36075"/>
    <cellStyle name="SAPBEXstdItem 3 2 7" xfId="36076"/>
    <cellStyle name="SAPBEXstdItem 3 2 8" xfId="36077"/>
    <cellStyle name="SAPBEXstdItem 3 3" xfId="8244"/>
    <cellStyle name="SAPBEXstdItem 3 3 2" xfId="36078"/>
    <cellStyle name="SAPBEXstdItem 3 3 2 2" xfId="36079"/>
    <cellStyle name="SAPBEXstdItem 3 3 2 3" xfId="36080"/>
    <cellStyle name="SAPBEXstdItem 3 3 3" xfId="36081"/>
    <cellStyle name="SAPBEXstdItem 3 3 3 2" xfId="36082"/>
    <cellStyle name="SAPBEXstdItem 3 3 4" xfId="36083"/>
    <cellStyle name="SAPBEXstdItem 3 3 5" xfId="36084"/>
    <cellStyle name="SAPBEXstdItem 3 3 6" xfId="36085"/>
    <cellStyle name="SAPBEXstdItem 3 4" xfId="36086"/>
    <cellStyle name="SAPBEXstdItem 3 4 2" xfId="36087"/>
    <cellStyle name="SAPBEXstdItem 3 4 2 2" xfId="36088"/>
    <cellStyle name="SAPBEXstdItem 3 4 3" xfId="36089"/>
    <cellStyle name="SAPBEXstdItem 3 5" xfId="36090"/>
    <cellStyle name="SAPBEXstdItem 3 5 2" xfId="36091"/>
    <cellStyle name="SAPBEXstdItem 3 6" xfId="36092"/>
    <cellStyle name="SAPBEXstdItem 3 7" xfId="36093"/>
    <cellStyle name="SAPBEXstdItem 4" xfId="2249"/>
    <cellStyle name="SAPBEXstdItem 4 2" xfId="8246"/>
    <cellStyle name="SAPBEXstdItem 4 2 2" xfId="36094"/>
    <cellStyle name="SAPBEXstdItem 4 2 2 2" xfId="36095"/>
    <cellStyle name="SAPBEXstdItem 4 2 3" xfId="36096"/>
    <cellStyle name="SAPBEXstdItem 4 3" xfId="36097"/>
    <cellStyle name="SAPBEXstdItem 4 3 2" xfId="36098"/>
    <cellStyle name="SAPBEXstdItem 4 3 2 2" xfId="36099"/>
    <cellStyle name="SAPBEXstdItem 4 3 3" xfId="36100"/>
    <cellStyle name="SAPBEXstdItem 4 4" xfId="36101"/>
    <cellStyle name="SAPBEXstdItem 4 4 2" xfId="36102"/>
    <cellStyle name="SAPBEXstdItem 4 4 2 2" xfId="36103"/>
    <cellStyle name="SAPBEXstdItem 4 4 3" xfId="36104"/>
    <cellStyle name="SAPBEXstdItem 4 5" xfId="36105"/>
    <cellStyle name="SAPBEXstdItem 4 5 2" xfId="36106"/>
    <cellStyle name="SAPBEXstdItem 4 6" xfId="36107"/>
    <cellStyle name="SAPBEXstdItem 4 7" xfId="36108"/>
    <cellStyle name="SAPBEXstdItem 4 8" xfId="36109"/>
    <cellStyle name="SAPBEXstdItem 5" xfId="7260"/>
    <cellStyle name="SAPBEXstdItem 5 2" xfId="7261"/>
    <cellStyle name="SAPBEXstdItem 5 2 2" xfId="36112"/>
    <cellStyle name="SAPBEXstdItem 5 2 3" xfId="36113"/>
    <cellStyle name="SAPBEXstdItem 5 2 4" xfId="36111"/>
    <cellStyle name="SAPBEXstdItem 5 3" xfId="36114"/>
    <cellStyle name="SAPBEXstdItem 5 3 2" xfId="36115"/>
    <cellStyle name="SAPBEXstdItem 5 4" xfId="36116"/>
    <cellStyle name="SAPBEXstdItem 5 4 2" xfId="36117"/>
    <cellStyle name="SAPBEXstdItem 5 5" xfId="36118"/>
    <cellStyle name="SAPBEXstdItem 5 6" xfId="36119"/>
    <cellStyle name="SAPBEXstdItem 5 7" xfId="36120"/>
    <cellStyle name="SAPBEXstdItem 5 8" xfId="36121"/>
    <cellStyle name="SAPBEXstdItem 5 9" xfId="36110"/>
    <cellStyle name="SAPBEXstdItem 6" xfId="7262"/>
    <cellStyle name="SAPBEXstdItem 6 2" xfId="7263"/>
    <cellStyle name="SAPBEXstdItem 6 2 2" xfId="36124"/>
    <cellStyle name="SAPBEXstdItem 6 2 3" xfId="36125"/>
    <cellStyle name="SAPBEXstdItem 6 2 4" xfId="36123"/>
    <cellStyle name="SAPBEXstdItem 6 3" xfId="36126"/>
    <cellStyle name="SAPBEXstdItem 6 3 2" xfId="36127"/>
    <cellStyle name="SAPBEXstdItem 6 4" xfId="36128"/>
    <cellStyle name="SAPBEXstdItem 6 5" xfId="36129"/>
    <cellStyle name="SAPBEXstdItem 6 6" xfId="36130"/>
    <cellStyle name="SAPBEXstdItem 6 7" xfId="36122"/>
    <cellStyle name="SAPBEXstdItem 7" xfId="7264"/>
    <cellStyle name="SAPBEXstdItem 7 2" xfId="36132"/>
    <cellStyle name="SAPBEXstdItem 7 2 2" xfId="36133"/>
    <cellStyle name="SAPBEXstdItem 7 3" xfId="36134"/>
    <cellStyle name="SAPBEXstdItem 7 4" xfId="36131"/>
    <cellStyle name="SAPBEXstdItem 8" xfId="7265"/>
    <cellStyle name="SAPBEXstdItem 8 2" xfId="36136"/>
    <cellStyle name="SAPBEXstdItem 8 3" xfId="36137"/>
    <cellStyle name="SAPBEXstdItem 8 4" xfId="36138"/>
    <cellStyle name="SAPBEXstdItem 8 5" xfId="36135"/>
    <cellStyle name="SAPBEXstdItem 9" xfId="8241"/>
    <cellStyle name="SAPBEXstdItem 9 2" xfId="36139"/>
    <cellStyle name="Semleges" xfId="40354"/>
    <cellStyle name="Standard_BINV" xfId="2862"/>
    <cellStyle name="Style 1" xfId="41"/>
    <cellStyle name="Style 1 10" xfId="2489"/>
    <cellStyle name="Style 1 10 2" xfId="7266"/>
    <cellStyle name="Style 1 10 2 2" xfId="40979"/>
    <cellStyle name="Style 1 10 3" xfId="41207"/>
    <cellStyle name="Style 1 10 4" xfId="43419"/>
    <cellStyle name="Style 1 10 5" xfId="40810"/>
    <cellStyle name="Style 1 11" xfId="2490"/>
    <cellStyle name="Style 1 11 2" xfId="7267"/>
    <cellStyle name="Style 1 12" xfId="2491"/>
    <cellStyle name="Style 1 12 2" xfId="7268"/>
    <cellStyle name="Style 1 13" xfId="2492"/>
    <cellStyle name="Style 1 13 2" xfId="7269"/>
    <cellStyle name="Style 1 14" xfId="2493"/>
    <cellStyle name="Style 1 14 2" xfId="7270"/>
    <cellStyle name="Style 1 15" xfId="2494"/>
    <cellStyle name="Style 1 15 2" xfId="7271"/>
    <cellStyle name="Style 1 16" xfId="2495"/>
    <cellStyle name="Style 1 16 2" xfId="7272"/>
    <cellStyle name="Style 1 17" xfId="2496"/>
    <cellStyle name="Style 1 17 2" xfId="7273"/>
    <cellStyle name="Style 1 18" xfId="2497"/>
    <cellStyle name="Style 1 18 2" xfId="7274"/>
    <cellStyle name="Style 1 19" xfId="2498"/>
    <cellStyle name="Style 1 19 2" xfId="7275"/>
    <cellStyle name="Style 1 2" xfId="67"/>
    <cellStyle name="Style 1 2 10" xfId="7276"/>
    <cellStyle name="Style 1 2 11" xfId="7277"/>
    <cellStyle name="Style 1 2 12" xfId="7278"/>
    <cellStyle name="Style 1 2 13" xfId="7279"/>
    <cellStyle name="Style 1 2 14" xfId="7280"/>
    <cellStyle name="Style 1 2 15" xfId="7281"/>
    <cellStyle name="Style 1 2 16" xfId="7282"/>
    <cellStyle name="Style 1 2 17" xfId="7283"/>
    <cellStyle name="Style 1 2 18" xfId="7284"/>
    <cellStyle name="Style 1 2 19" xfId="7285"/>
    <cellStyle name="Style 1 2 2" xfId="35"/>
    <cellStyle name="Style 1 2 2 2" xfId="36140"/>
    <cellStyle name="Style 1 2 2 3" xfId="41615"/>
    <cellStyle name="Style 1 2 20" xfId="7286"/>
    <cellStyle name="Style 1 2 21" xfId="7287"/>
    <cellStyle name="Style 1 2 22" xfId="7288"/>
    <cellStyle name="Style 1 2 23" xfId="7289"/>
    <cellStyle name="Style 1 2 24" xfId="7290"/>
    <cellStyle name="Style 1 2 25" xfId="7291"/>
    <cellStyle name="Style 1 2 26" xfId="7292"/>
    <cellStyle name="Style 1 2 27" xfId="7293"/>
    <cellStyle name="Style 1 2 28" xfId="7294"/>
    <cellStyle name="Style 1 2 29" xfId="7295"/>
    <cellStyle name="Style 1 2 3" xfId="2252"/>
    <cellStyle name="Style 1 2 3 2" xfId="7296"/>
    <cellStyle name="Style 1 2 3 2 2" xfId="36141"/>
    <cellStyle name="Style 1 2 3 3" xfId="41614"/>
    <cellStyle name="Style 1 2 30" xfId="40505"/>
    <cellStyle name="Style 1 2 4" xfId="2250"/>
    <cellStyle name="Style 1 2 4 2" xfId="7297"/>
    <cellStyle name="Style 1 2 4 3" xfId="40811"/>
    <cellStyle name="Style 1 2 5" xfId="7298"/>
    <cellStyle name="Style 1 2 6" xfId="7299"/>
    <cellStyle name="Style 1 2 7" xfId="7300"/>
    <cellStyle name="Style 1 2 8" xfId="7301"/>
    <cellStyle name="Style 1 2 9" xfId="7302"/>
    <cellStyle name="Style 1 2_Accounts - Stock Fund 2010 (18-8-10)" xfId="42272"/>
    <cellStyle name="Style 1 20" xfId="2499"/>
    <cellStyle name="Style 1 20 2" xfId="7303"/>
    <cellStyle name="Style 1 21" xfId="2500"/>
    <cellStyle name="Style 1 22" xfId="2501"/>
    <cellStyle name="Style 1 23" xfId="2863"/>
    <cellStyle name="Style 1 24" xfId="2864"/>
    <cellStyle name="Style 1 25" xfId="2865"/>
    <cellStyle name="Style 1 26" xfId="2866"/>
    <cellStyle name="Style 1 27" xfId="2867"/>
    <cellStyle name="Style 1 28" xfId="2868"/>
    <cellStyle name="Style 1 29" xfId="2869"/>
    <cellStyle name="Style 1 3" xfId="69"/>
    <cellStyle name="Style 1 3 2" xfId="2254"/>
    <cellStyle name="Style 1 3 2 2" xfId="36142"/>
    <cellStyle name="Style 1 3 2 3" xfId="40812"/>
    <cellStyle name="Style 1 3 3" xfId="2502"/>
    <cellStyle name="Style 1 3 3 2" xfId="36143"/>
    <cellStyle name="Style 1 3 4" xfId="2253"/>
    <cellStyle name="Style 1 3 5" xfId="40506"/>
    <cellStyle name="Style 1 30" xfId="2870"/>
    <cellStyle name="Style 1 31" xfId="2871"/>
    <cellStyle name="Style 1 32" xfId="2872"/>
    <cellStyle name="Style 1 33" xfId="2873"/>
    <cellStyle name="Style 1 34" xfId="2874"/>
    <cellStyle name="Style 1 35" xfId="2875"/>
    <cellStyle name="Style 1 36" xfId="2876"/>
    <cellStyle name="Style 1 37" xfId="2877"/>
    <cellStyle name="Style 1 38" xfId="2878"/>
    <cellStyle name="Style 1 39" xfId="2879"/>
    <cellStyle name="Style 1 4" xfId="2255"/>
    <cellStyle name="Style 1 4 2" xfId="2256"/>
    <cellStyle name="Style 1 4 2 2" xfId="7305"/>
    <cellStyle name="Style 1 4 2 3" xfId="36144"/>
    <cellStyle name="Style 1 4 2 4" xfId="41206"/>
    <cellStyle name="Style 1 4 3" xfId="7304"/>
    <cellStyle name="Style 1 4 3 2" xfId="41868"/>
    <cellStyle name="Style 1 4 4" xfId="40809"/>
    <cellStyle name="Style 1 40" xfId="7306"/>
    <cellStyle name="Style 1 41" xfId="7307"/>
    <cellStyle name="Style 1 42" xfId="7308"/>
    <cellStyle name="Style 1 43" xfId="7309"/>
    <cellStyle name="Style 1 44" xfId="7310"/>
    <cellStyle name="Style 1 45" xfId="3629"/>
    <cellStyle name="Style 1 46" xfId="40504"/>
    <cellStyle name="Style 1 5" xfId="2257"/>
    <cellStyle name="Style 1 5 2" xfId="7311"/>
    <cellStyle name="Style 1 5 3" xfId="42273"/>
    <cellStyle name="Style 1 6" xfId="2503"/>
    <cellStyle name="Style 1 6 2" xfId="7312"/>
    <cellStyle name="Style 1 7" xfId="2504"/>
    <cellStyle name="Style 1 7 2" xfId="7313"/>
    <cellStyle name="Style 1 8" xfId="2505"/>
    <cellStyle name="Style 1 8 2" xfId="7314"/>
    <cellStyle name="Style 1 9" xfId="2506"/>
    <cellStyle name="Style 1 9 2" xfId="7315"/>
    <cellStyle name="Style 1_1. Rcon FEEL vs Trial (Domestic on BS)" xfId="42274"/>
    <cellStyle name="Style 2" xfId="2258"/>
    <cellStyle name="sub" xfId="2259"/>
    <cellStyle name="sub 2" xfId="2260"/>
    <cellStyle name="sub 3" xfId="2261"/>
    <cellStyle name="sub 4" xfId="2262"/>
    <cellStyle name="sub 5" xfId="40813"/>
    <cellStyle name="Sub-group Hdg" xfId="2263"/>
    <cellStyle name="Sub-group Hdg 2" xfId="2264"/>
    <cellStyle name="Sub-group Hdg 2 2" xfId="42275"/>
    <cellStyle name="Sub-group Hdg 3" xfId="2265"/>
    <cellStyle name="Sub-group Hdg 3 2" xfId="43509"/>
    <cellStyle name="Sub-group Hdg 4" xfId="2266"/>
    <cellStyle name="Sub-group Hdg 5" xfId="40507"/>
    <cellStyle name="Sub-heading" xfId="2267"/>
    <cellStyle name="Sub-heading 2" xfId="2268"/>
    <cellStyle name="Sub-heading 2 2" xfId="42276"/>
    <cellStyle name="Sub-heading 3" xfId="2269"/>
    <cellStyle name="Sub-heading 3 2" xfId="43510"/>
    <cellStyle name="Sub-heading 4" xfId="2270"/>
    <cellStyle name="Sub-heading 5" xfId="40508"/>
    <cellStyle name="Subtotal" xfId="2271"/>
    <cellStyle name="Subtotal 2" xfId="2272"/>
    <cellStyle name="Subtotal 2 2" xfId="36145"/>
    <cellStyle name="Subtotal 3" xfId="36146"/>
    <cellStyle name="Számítás" xfId="40355"/>
    <cellStyle name="Százalék 2" xfId="40356"/>
    <cellStyle name="Table  - Style5" xfId="2880"/>
    <cellStyle name="Table  - Style5 2" xfId="7316"/>
    <cellStyle name="Table  - Style5 2 10" xfId="36147"/>
    <cellStyle name="Table  - Style5 2 2" xfId="36148"/>
    <cellStyle name="Table  - Style5 2 2 2" xfId="36149"/>
    <cellStyle name="Table  - Style5 2 2 2 2" xfId="36150"/>
    <cellStyle name="Table  - Style5 2 2 2 2 2" xfId="36151"/>
    <cellStyle name="Table  - Style5 2 2 2 3" xfId="36152"/>
    <cellStyle name="Table  - Style5 2 2 3" xfId="36153"/>
    <cellStyle name="Table  - Style5 2 2 3 2" xfId="36154"/>
    <cellStyle name="Table  - Style5 2 2 3 2 2" xfId="36155"/>
    <cellStyle name="Table  - Style5 2 2 3 3" xfId="36156"/>
    <cellStyle name="Table  - Style5 2 2 4" xfId="36157"/>
    <cellStyle name="Table  - Style5 2 2 4 2" xfId="36158"/>
    <cellStyle name="Table  - Style5 2 2 4 2 2" xfId="36159"/>
    <cellStyle name="Table  - Style5 2 2 4 3" xfId="36160"/>
    <cellStyle name="Table  - Style5 2 2 5" xfId="36161"/>
    <cellStyle name="Table  - Style5 2 2 5 2" xfId="36162"/>
    <cellStyle name="Table  - Style5 2 2 6" xfId="36163"/>
    <cellStyle name="Table  - Style5 2 2 7" xfId="36164"/>
    <cellStyle name="Table  - Style5 2 2 8" xfId="36165"/>
    <cellStyle name="Table  - Style5 2 3" xfId="36166"/>
    <cellStyle name="Table  - Style5 2 3 2" xfId="36167"/>
    <cellStyle name="Table  - Style5 2 3 2 2" xfId="36168"/>
    <cellStyle name="Table  - Style5 2 3 2 2 2" xfId="36169"/>
    <cellStyle name="Table  - Style5 2 3 2 3" xfId="36170"/>
    <cellStyle name="Table  - Style5 2 3 3" xfId="36171"/>
    <cellStyle name="Table  - Style5 2 3 3 2" xfId="36172"/>
    <cellStyle name="Table  - Style5 2 3 3 2 2" xfId="36173"/>
    <cellStyle name="Table  - Style5 2 3 3 3" xfId="36174"/>
    <cellStyle name="Table  - Style5 2 3 4" xfId="36175"/>
    <cellStyle name="Table  - Style5 2 3 4 2" xfId="36176"/>
    <cellStyle name="Table  - Style5 2 3 4 3" xfId="36177"/>
    <cellStyle name="Table  - Style5 2 3 4 4" xfId="36178"/>
    <cellStyle name="Table  - Style5 2 3 5" xfId="36179"/>
    <cellStyle name="Table  - Style5 2 3 5 2" xfId="36180"/>
    <cellStyle name="Table  - Style5 2 3 6" xfId="36181"/>
    <cellStyle name="Table  - Style5 2 4" xfId="36182"/>
    <cellStyle name="Table  - Style5 2 4 2" xfId="36183"/>
    <cellStyle name="Table  - Style5 2 4 2 2" xfId="36184"/>
    <cellStyle name="Table  - Style5 2 4 2 3" xfId="36185"/>
    <cellStyle name="Table  - Style5 2 4 2 4" xfId="36186"/>
    <cellStyle name="Table  - Style5 2 4 3" xfId="36187"/>
    <cellStyle name="Table  - Style5 2 4 3 2" xfId="36188"/>
    <cellStyle name="Table  - Style5 2 4 3 3" xfId="36189"/>
    <cellStyle name="Table  - Style5 2 4 3 4" xfId="36190"/>
    <cellStyle name="Table  - Style5 2 4 4" xfId="36191"/>
    <cellStyle name="Table  - Style5 2 4 5" xfId="36192"/>
    <cellStyle name="Table  - Style5 2 4 6" xfId="36193"/>
    <cellStyle name="Table  - Style5 2 5" xfId="36194"/>
    <cellStyle name="Table  - Style5 2 5 2" xfId="36195"/>
    <cellStyle name="Table  - Style5 2 5 2 2" xfId="36196"/>
    <cellStyle name="Table  - Style5 2 5 2 3" xfId="36197"/>
    <cellStyle name="Table  - Style5 2 5 2 4" xfId="36198"/>
    <cellStyle name="Table  - Style5 2 5 3" xfId="36199"/>
    <cellStyle name="Table  - Style5 2 5 3 2" xfId="36200"/>
    <cellStyle name="Table  - Style5 2 5 3 3" xfId="36201"/>
    <cellStyle name="Table  - Style5 2 5 3 4" xfId="36202"/>
    <cellStyle name="Table  - Style5 2 5 4" xfId="36203"/>
    <cellStyle name="Table  - Style5 2 5 5" xfId="36204"/>
    <cellStyle name="Table  - Style5 2 5 6" xfId="36205"/>
    <cellStyle name="Table  - Style5 2 6" xfId="36206"/>
    <cellStyle name="Table  - Style5 2 6 2" xfId="36207"/>
    <cellStyle name="Table  - Style5 2 6 3" xfId="36208"/>
    <cellStyle name="Table  - Style5 2 6 4" xfId="36209"/>
    <cellStyle name="Table  - Style5 2 7" xfId="36210"/>
    <cellStyle name="Table  - Style5 2 7 2" xfId="36211"/>
    <cellStyle name="Table  - Style5 2 7 3" xfId="36212"/>
    <cellStyle name="Table  - Style5 2 7 4" xfId="36213"/>
    <cellStyle name="Table  - Style5 2 8" xfId="36214"/>
    <cellStyle name="Table  - Style5 2 9" xfId="36215"/>
    <cellStyle name="Table  - Style5 3" xfId="7317"/>
    <cellStyle name="Table  - Style5 3 2" xfId="36217"/>
    <cellStyle name="Table  - Style5 3 2 2" xfId="36218"/>
    <cellStyle name="Table  - Style5 3 2 2 2" xfId="36219"/>
    <cellStyle name="Table  - Style5 3 2 2 2 2" xfId="36220"/>
    <cellStyle name="Table  - Style5 3 2 2 3" xfId="36221"/>
    <cellStyle name="Table  - Style5 3 2 3" xfId="36222"/>
    <cellStyle name="Table  - Style5 3 2 3 2" xfId="36223"/>
    <cellStyle name="Table  - Style5 3 2 3 2 2" xfId="36224"/>
    <cellStyle name="Table  - Style5 3 2 3 3" xfId="36225"/>
    <cellStyle name="Table  - Style5 3 2 4" xfId="36226"/>
    <cellStyle name="Table  - Style5 3 2 4 2" xfId="36227"/>
    <cellStyle name="Table  - Style5 3 2 4 3" xfId="36228"/>
    <cellStyle name="Table  - Style5 3 2 5" xfId="36229"/>
    <cellStyle name="Table  - Style5 3 2 6" xfId="36230"/>
    <cellStyle name="Table  - Style5 3 2 7" xfId="36231"/>
    <cellStyle name="Table  - Style5 3 2 8" xfId="36232"/>
    <cellStyle name="Table  - Style5 3 3" xfId="36233"/>
    <cellStyle name="Table  - Style5 3 3 2" xfId="36234"/>
    <cellStyle name="Table  - Style5 3 3 2 2" xfId="36235"/>
    <cellStyle name="Table  - Style5 3 3 2 3" xfId="36236"/>
    <cellStyle name="Table  - Style5 3 3 3" xfId="36237"/>
    <cellStyle name="Table  - Style5 3 3 3 2" xfId="36238"/>
    <cellStyle name="Table  - Style5 3 3 4" xfId="36239"/>
    <cellStyle name="Table  - Style5 3 3 5" xfId="36240"/>
    <cellStyle name="Table  - Style5 3 3 6" xfId="36241"/>
    <cellStyle name="Table  - Style5 3 4" xfId="36242"/>
    <cellStyle name="Table  - Style5 3 4 2" xfId="36243"/>
    <cellStyle name="Table  - Style5 3 4 3" xfId="36244"/>
    <cellStyle name="Table  - Style5 3 4 4" xfId="36245"/>
    <cellStyle name="Table  - Style5 3 5" xfId="36246"/>
    <cellStyle name="Table  - Style5 3 5 2" xfId="36247"/>
    <cellStyle name="Table  - Style5 3 5 3" xfId="36248"/>
    <cellStyle name="Table  - Style5 3 5 4" xfId="36249"/>
    <cellStyle name="Table  - Style5 3 6" xfId="36250"/>
    <cellStyle name="Table  - Style5 3 7" xfId="36251"/>
    <cellStyle name="Table  - Style5 3 8" xfId="36216"/>
    <cellStyle name="Table  - Style5 4" xfId="7318"/>
    <cellStyle name="Table  - Style5 4 2" xfId="7319"/>
    <cellStyle name="Table  - Style5 4 2 2" xfId="36254"/>
    <cellStyle name="Table  - Style5 4 2 2 2" xfId="36255"/>
    <cellStyle name="Table  - Style5 4 2 3" xfId="36256"/>
    <cellStyle name="Table  - Style5 4 2 4" xfId="36253"/>
    <cellStyle name="Table  - Style5 4 3" xfId="36257"/>
    <cellStyle name="Table  - Style5 4 3 2" xfId="36258"/>
    <cellStyle name="Table  - Style5 4 3 2 2" xfId="36259"/>
    <cellStyle name="Table  - Style5 4 3 3" xfId="36260"/>
    <cellStyle name="Table  - Style5 4 4" xfId="36261"/>
    <cellStyle name="Table  - Style5 4 4 2" xfId="36262"/>
    <cellStyle name="Table  - Style5 4 4 2 2" xfId="36263"/>
    <cellStyle name="Table  - Style5 4 4 3" xfId="36264"/>
    <cellStyle name="Table  - Style5 4 5" xfId="36265"/>
    <cellStyle name="Table  - Style5 4 5 2" xfId="36266"/>
    <cellStyle name="Table  - Style5 4 6" xfId="36267"/>
    <cellStyle name="Table  - Style5 4 7" xfId="36268"/>
    <cellStyle name="Table  - Style5 4 8" xfId="36269"/>
    <cellStyle name="Table  - Style5 4 9" xfId="36252"/>
    <cellStyle name="Table  - Style5 5" xfId="7320"/>
    <cellStyle name="Table  - Style5 5 2" xfId="7321"/>
    <cellStyle name="Table  - Style5 5 2 2" xfId="36272"/>
    <cellStyle name="Table  - Style5 5 2 2 2" xfId="36273"/>
    <cellStyle name="Table  - Style5 5 2 3" xfId="36274"/>
    <cellStyle name="Table  - Style5 5 2 4" xfId="36271"/>
    <cellStyle name="Table  - Style5 5 3" xfId="36275"/>
    <cellStyle name="Table  - Style5 5 3 2" xfId="36276"/>
    <cellStyle name="Table  - Style5 5 3 2 2" xfId="36277"/>
    <cellStyle name="Table  - Style5 5 3 3" xfId="36278"/>
    <cellStyle name="Table  - Style5 5 4" xfId="36279"/>
    <cellStyle name="Table  - Style5 5 4 2" xfId="36280"/>
    <cellStyle name="Table  - Style5 5 4 2 2" xfId="36281"/>
    <cellStyle name="Table  - Style5 5 4 3" xfId="36282"/>
    <cellStyle name="Table  - Style5 5 5" xfId="36283"/>
    <cellStyle name="Table  - Style5 5 5 2" xfId="36284"/>
    <cellStyle name="Table  - Style5 5 6" xfId="36285"/>
    <cellStyle name="Table  - Style5 5 7" xfId="36286"/>
    <cellStyle name="Table  - Style5 5 8" xfId="36287"/>
    <cellStyle name="Table  - Style5 5 9" xfId="36270"/>
    <cellStyle name="Table  - Style5 6" xfId="7322"/>
    <cellStyle name="Table  - Style5 6 2" xfId="36289"/>
    <cellStyle name="Table  - Style5 6 2 2" xfId="36290"/>
    <cellStyle name="Table  - Style5 6 2 3" xfId="36291"/>
    <cellStyle name="Table  - Style5 6 3" xfId="36292"/>
    <cellStyle name="Table  - Style5 6 3 2" xfId="36293"/>
    <cellStyle name="Table  - Style5 6 4" xfId="36294"/>
    <cellStyle name="Table  - Style5 6 5" xfId="36295"/>
    <cellStyle name="Table  - Style5 6 6" xfId="36296"/>
    <cellStyle name="Table  - Style5 6 7" xfId="36288"/>
    <cellStyle name="Table  - Style5 7" xfId="7323"/>
    <cellStyle name="Table  - Style5 7 2" xfId="36298"/>
    <cellStyle name="Table  - Style5 7 3" xfId="36299"/>
    <cellStyle name="Table  - Style5 7 4" xfId="36300"/>
    <cellStyle name="Table  - Style5 7 5" xfId="36297"/>
    <cellStyle name="Table  - Style5 8" xfId="8424"/>
    <cellStyle name="Table  - Style5 8 2" xfId="36301"/>
    <cellStyle name="Table  - Style5 9" xfId="36302"/>
    <cellStyle name="Table  - Style6" xfId="2273"/>
    <cellStyle name="Table  - Style6 10" xfId="42277"/>
    <cellStyle name="Table  - Style6 2" xfId="2274"/>
    <cellStyle name="Table  - Style6 2 10" xfId="44148"/>
    <cellStyle name="Table  - Style6 2 2" xfId="2275"/>
    <cellStyle name="Table  - Style6 2 2 2" xfId="8249"/>
    <cellStyle name="Table  - Style6 2 2 2 2" xfId="36303"/>
    <cellStyle name="Table  - Style6 2 2 2 2 2" xfId="36304"/>
    <cellStyle name="Table  - Style6 2 2 2 3" xfId="36305"/>
    <cellStyle name="Table  - Style6 2 2 3" xfId="36306"/>
    <cellStyle name="Table  - Style6 2 2 3 2" xfId="36307"/>
    <cellStyle name="Table  - Style6 2 2 3 2 2" xfId="36308"/>
    <cellStyle name="Table  - Style6 2 2 3 3" xfId="36309"/>
    <cellStyle name="Table  - Style6 2 2 4" xfId="36310"/>
    <cellStyle name="Table  - Style6 2 2 4 2" xfId="36311"/>
    <cellStyle name="Table  - Style6 2 2 4 2 2" xfId="36312"/>
    <cellStyle name="Table  - Style6 2 2 4 3" xfId="36313"/>
    <cellStyle name="Table  - Style6 2 2 5" xfId="36314"/>
    <cellStyle name="Table  - Style6 2 2 5 2" xfId="36315"/>
    <cellStyle name="Table  - Style6 2 2 6" xfId="36316"/>
    <cellStyle name="Table  - Style6 2 2 7" xfId="36317"/>
    <cellStyle name="Table  - Style6 2 2 8" xfId="36318"/>
    <cellStyle name="Table  - Style6 2 3" xfId="8248"/>
    <cellStyle name="Table  - Style6 2 3 2" xfId="36319"/>
    <cellStyle name="Table  - Style6 2 3 2 2" xfId="36320"/>
    <cellStyle name="Table  - Style6 2 3 2 2 2" xfId="36321"/>
    <cellStyle name="Table  - Style6 2 3 2 3" xfId="36322"/>
    <cellStyle name="Table  - Style6 2 3 3" xfId="36323"/>
    <cellStyle name="Table  - Style6 2 3 3 2" xfId="36324"/>
    <cellStyle name="Table  - Style6 2 3 3 2 2" xfId="36325"/>
    <cellStyle name="Table  - Style6 2 3 3 3" xfId="36326"/>
    <cellStyle name="Table  - Style6 2 3 4" xfId="36327"/>
    <cellStyle name="Table  - Style6 2 3 4 2" xfId="36328"/>
    <cellStyle name="Table  - Style6 2 3 4 3" xfId="36329"/>
    <cellStyle name="Table  - Style6 2 3 4 4" xfId="36330"/>
    <cellStyle name="Table  - Style6 2 3 5" xfId="36331"/>
    <cellStyle name="Table  - Style6 2 3 5 2" xfId="36332"/>
    <cellStyle name="Table  - Style6 2 3 6" xfId="36333"/>
    <cellStyle name="Table  - Style6 2 4" xfId="36334"/>
    <cellStyle name="Table  - Style6 2 4 2" xfId="36335"/>
    <cellStyle name="Table  - Style6 2 4 2 2" xfId="36336"/>
    <cellStyle name="Table  - Style6 2 4 2 3" xfId="36337"/>
    <cellStyle name="Table  - Style6 2 4 2 4" xfId="36338"/>
    <cellStyle name="Table  - Style6 2 4 3" xfId="36339"/>
    <cellStyle name="Table  - Style6 2 4 3 2" xfId="36340"/>
    <cellStyle name="Table  - Style6 2 4 3 3" xfId="36341"/>
    <cellStyle name="Table  - Style6 2 4 3 4" xfId="36342"/>
    <cellStyle name="Table  - Style6 2 4 4" xfId="36343"/>
    <cellStyle name="Table  - Style6 2 4 5" xfId="36344"/>
    <cellStyle name="Table  - Style6 2 4 6" xfId="36345"/>
    <cellStyle name="Table  - Style6 2 5" xfId="36346"/>
    <cellStyle name="Table  - Style6 2 5 2" xfId="36347"/>
    <cellStyle name="Table  - Style6 2 5 2 2" xfId="36348"/>
    <cellStyle name="Table  - Style6 2 5 2 3" xfId="36349"/>
    <cellStyle name="Table  - Style6 2 5 2 4" xfId="36350"/>
    <cellStyle name="Table  - Style6 2 5 3" xfId="36351"/>
    <cellStyle name="Table  - Style6 2 5 3 2" xfId="36352"/>
    <cellStyle name="Table  - Style6 2 5 3 3" xfId="36353"/>
    <cellStyle name="Table  - Style6 2 5 3 4" xfId="36354"/>
    <cellStyle name="Table  - Style6 2 5 4" xfId="36355"/>
    <cellStyle name="Table  - Style6 2 5 5" xfId="36356"/>
    <cellStyle name="Table  - Style6 2 5 6" xfId="36357"/>
    <cellStyle name="Table  - Style6 2 6" xfId="36358"/>
    <cellStyle name="Table  - Style6 2 6 2" xfId="36359"/>
    <cellStyle name="Table  - Style6 2 6 3" xfId="36360"/>
    <cellStyle name="Table  - Style6 2 6 4" xfId="36361"/>
    <cellStyle name="Table  - Style6 2 7" xfId="36362"/>
    <cellStyle name="Table  - Style6 2 7 2" xfId="36363"/>
    <cellStyle name="Table  - Style6 2 7 3" xfId="36364"/>
    <cellStyle name="Table  - Style6 2 7 4" xfId="36365"/>
    <cellStyle name="Table  - Style6 2 8" xfId="36366"/>
    <cellStyle name="Table  - Style6 2 9" xfId="36367"/>
    <cellStyle name="Table  - Style6 3" xfId="2276"/>
    <cellStyle name="Table  - Style6 3 2" xfId="2277"/>
    <cellStyle name="Table  - Style6 3 2 2" xfId="8251"/>
    <cellStyle name="Table  - Style6 3 2 2 2" xfId="36368"/>
    <cellStyle name="Table  - Style6 3 2 2 2 2" xfId="36369"/>
    <cellStyle name="Table  - Style6 3 2 2 3" xfId="36370"/>
    <cellStyle name="Table  - Style6 3 2 3" xfId="36371"/>
    <cellStyle name="Table  - Style6 3 2 3 2" xfId="36372"/>
    <cellStyle name="Table  - Style6 3 2 3 2 2" xfId="36373"/>
    <cellStyle name="Table  - Style6 3 2 3 3" xfId="36374"/>
    <cellStyle name="Table  - Style6 3 2 4" xfId="36375"/>
    <cellStyle name="Table  - Style6 3 2 4 2" xfId="36376"/>
    <cellStyle name="Table  - Style6 3 2 4 3" xfId="36377"/>
    <cellStyle name="Table  - Style6 3 2 5" xfId="36378"/>
    <cellStyle name="Table  - Style6 3 2 6" xfId="36379"/>
    <cellStyle name="Table  - Style6 3 2 7" xfId="36380"/>
    <cellStyle name="Table  - Style6 3 2 8" xfId="36381"/>
    <cellStyle name="Table  - Style6 3 3" xfId="8250"/>
    <cellStyle name="Table  - Style6 3 3 2" xfId="36382"/>
    <cellStyle name="Table  - Style6 3 3 2 2" xfId="36383"/>
    <cellStyle name="Table  - Style6 3 3 2 3" xfId="36384"/>
    <cellStyle name="Table  - Style6 3 3 3" xfId="36385"/>
    <cellStyle name="Table  - Style6 3 3 3 2" xfId="36386"/>
    <cellStyle name="Table  - Style6 3 3 4" xfId="36387"/>
    <cellStyle name="Table  - Style6 3 3 5" xfId="36388"/>
    <cellStyle name="Table  - Style6 3 3 6" xfId="36389"/>
    <cellStyle name="Table  - Style6 3 4" xfId="36390"/>
    <cellStyle name="Table  - Style6 3 4 2" xfId="36391"/>
    <cellStyle name="Table  - Style6 3 4 3" xfId="36392"/>
    <cellStyle name="Table  - Style6 3 4 4" xfId="36393"/>
    <cellStyle name="Table  - Style6 3 5" xfId="36394"/>
    <cellStyle name="Table  - Style6 3 5 2" xfId="36395"/>
    <cellStyle name="Table  - Style6 3 5 3" xfId="36396"/>
    <cellStyle name="Table  - Style6 3 5 4" xfId="36397"/>
    <cellStyle name="Table  - Style6 3 6" xfId="36398"/>
    <cellStyle name="Table  - Style6 3 7" xfId="36399"/>
    <cellStyle name="Table  - Style6 3 8" xfId="45299"/>
    <cellStyle name="Table  - Style6 4" xfId="2278"/>
    <cellStyle name="Table  - Style6 4 2" xfId="7324"/>
    <cellStyle name="Table  - Style6 4 2 2" xfId="36401"/>
    <cellStyle name="Table  - Style6 4 2 2 2" xfId="36402"/>
    <cellStyle name="Table  - Style6 4 2 3" xfId="36403"/>
    <cellStyle name="Table  - Style6 4 2 4" xfId="36400"/>
    <cellStyle name="Table  - Style6 4 3" xfId="8252"/>
    <cellStyle name="Table  - Style6 4 3 2" xfId="36404"/>
    <cellStyle name="Table  - Style6 4 3 2 2" xfId="36405"/>
    <cellStyle name="Table  - Style6 4 3 3" xfId="36406"/>
    <cellStyle name="Table  - Style6 4 4" xfId="36407"/>
    <cellStyle name="Table  - Style6 4 4 2" xfId="36408"/>
    <cellStyle name="Table  - Style6 4 4 2 2" xfId="36409"/>
    <cellStyle name="Table  - Style6 4 4 3" xfId="36410"/>
    <cellStyle name="Table  - Style6 4 5" xfId="36411"/>
    <cellStyle name="Table  - Style6 4 5 2" xfId="36412"/>
    <cellStyle name="Table  - Style6 4 6" xfId="36413"/>
    <cellStyle name="Table  - Style6 4 7" xfId="36414"/>
    <cellStyle name="Table  - Style6 4 8" xfId="36415"/>
    <cellStyle name="Table  - Style6 4 9" xfId="43698"/>
    <cellStyle name="Table  - Style6 5" xfId="7325"/>
    <cellStyle name="Table  - Style6 5 2" xfId="7326"/>
    <cellStyle name="Table  - Style6 5 2 2" xfId="36418"/>
    <cellStyle name="Table  - Style6 5 2 2 2" xfId="36419"/>
    <cellStyle name="Table  - Style6 5 2 3" xfId="36420"/>
    <cellStyle name="Table  - Style6 5 2 4" xfId="36417"/>
    <cellStyle name="Table  - Style6 5 3" xfId="36421"/>
    <cellStyle name="Table  - Style6 5 3 2" xfId="36422"/>
    <cellStyle name="Table  - Style6 5 3 2 2" xfId="36423"/>
    <cellStyle name="Table  - Style6 5 3 3" xfId="36424"/>
    <cellStyle name="Table  - Style6 5 4" xfId="36425"/>
    <cellStyle name="Table  - Style6 5 4 2" xfId="36426"/>
    <cellStyle name="Table  - Style6 5 4 2 2" xfId="36427"/>
    <cellStyle name="Table  - Style6 5 4 3" xfId="36428"/>
    <cellStyle name="Table  - Style6 5 5" xfId="36429"/>
    <cellStyle name="Table  - Style6 5 5 2" xfId="36430"/>
    <cellStyle name="Table  - Style6 5 6" xfId="36431"/>
    <cellStyle name="Table  - Style6 5 7" xfId="36432"/>
    <cellStyle name="Table  - Style6 5 8" xfId="36433"/>
    <cellStyle name="Table  - Style6 5 9" xfId="36416"/>
    <cellStyle name="Table  - Style6 6" xfId="7327"/>
    <cellStyle name="Table  - Style6 6 2" xfId="36435"/>
    <cellStyle name="Table  - Style6 6 2 2" xfId="36436"/>
    <cellStyle name="Table  - Style6 6 2 3" xfId="36437"/>
    <cellStyle name="Table  - Style6 6 3" xfId="36438"/>
    <cellStyle name="Table  - Style6 6 3 2" xfId="36439"/>
    <cellStyle name="Table  - Style6 6 4" xfId="36440"/>
    <cellStyle name="Table  - Style6 6 5" xfId="36441"/>
    <cellStyle name="Table  - Style6 6 6" xfId="36442"/>
    <cellStyle name="Table  - Style6 6 7" xfId="36434"/>
    <cellStyle name="Table  - Style6 7" xfId="7328"/>
    <cellStyle name="Table  - Style6 7 2" xfId="36444"/>
    <cellStyle name="Table  - Style6 7 3" xfId="36445"/>
    <cellStyle name="Table  - Style6 7 4" xfId="36446"/>
    <cellStyle name="Table  - Style6 7 5" xfId="36443"/>
    <cellStyle name="Table  - Style6 8" xfId="7827"/>
    <cellStyle name="Table  - Style6 8 2" xfId="36448"/>
    <cellStyle name="Table  - Style6 8 3" xfId="36447"/>
    <cellStyle name="Table  - Style6 9" xfId="8247"/>
    <cellStyle name="Temp" xfId="2279"/>
    <cellStyle name="Temp 2" xfId="2280"/>
    <cellStyle name="Temp 2 2" xfId="2281"/>
    <cellStyle name="Temp 2 2 2" xfId="36450"/>
    <cellStyle name="Temp 2 2 3" xfId="36451"/>
    <cellStyle name="Temp 2 2 4" xfId="36452"/>
    <cellStyle name="Temp 2 2 5" xfId="36453"/>
    <cellStyle name="Temp 2 2 6" xfId="36449"/>
    <cellStyle name="Temp 2 3" xfId="2282"/>
    <cellStyle name="Temp 2 3 2" xfId="36454"/>
    <cellStyle name="Temp 2 4" xfId="3025"/>
    <cellStyle name="Temp 2 4 2" xfId="36455"/>
    <cellStyle name="Temp 2 5" xfId="8254"/>
    <cellStyle name="Temp 2 6" xfId="40980"/>
    <cellStyle name="Temp 3" xfId="2283"/>
    <cellStyle name="Temp 3 2" xfId="2284"/>
    <cellStyle name="Temp 3 2 2" xfId="36457"/>
    <cellStyle name="Temp 3 2 3" xfId="36458"/>
    <cellStyle name="Temp 3 2 4" xfId="36459"/>
    <cellStyle name="Temp 3 2 5" xfId="36460"/>
    <cellStyle name="Temp 3 2 6" xfId="36456"/>
    <cellStyle name="Temp 3 3" xfId="36461"/>
    <cellStyle name="Temp 3 3 2" xfId="36462"/>
    <cellStyle name="Temp 3 4" xfId="36463"/>
    <cellStyle name="Temp 3 4 2" xfId="36464"/>
    <cellStyle name="Temp 3 5" xfId="36465"/>
    <cellStyle name="Temp 3 6" xfId="36466"/>
    <cellStyle name="Temp 3 7" xfId="36467"/>
    <cellStyle name="Temp 3 8" xfId="36468"/>
    <cellStyle name="Temp 3 9" xfId="41208"/>
    <cellStyle name="Temp 4" xfId="2285"/>
    <cellStyle name="Temp 4 10" xfId="41616"/>
    <cellStyle name="Temp 4 2" xfId="36470"/>
    <cellStyle name="Temp 4 2 2" xfId="36471"/>
    <cellStyle name="Temp 4 2 3" xfId="36472"/>
    <cellStyle name="Temp 4 3" xfId="36473"/>
    <cellStyle name="Temp 4 3 2" xfId="36474"/>
    <cellStyle name="Temp 4 4" xfId="36475"/>
    <cellStyle name="Temp 4 4 2" xfId="36476"/>
    <cellStyle name="Temp 4 5" xfId="36477"/>
    <cellStyle name="Temp 4 6" xfId="36478"/>
    <cellStyle name="Temp 4 7" xfId="36479"/>
    <cellStyle name="Temp 4 8" xfId="36480"/>
    <cellStyle name="Temp 4 9" xfId="36469"/>
    <cellStyle name="Temp 5" xfId="2286"/>
    <cellStyle name="Temp 5 2" xfId="36482"/>
    <cellStyle name="Temp 5 2 2" xfId="36483"/>
    <cellStyle name="Temp 5 3" xfId="36484"/>
    <cellStyle name="Temp 5 3 2" xfId="36485"/>
    <cellStyle name="Temp 5 4" xfId="36486"/>
    <cellStyle name="Temp 5 4 2" xfId="36487"/>
    <cellStyle name="Temp 5 5" xfId="36488"/>
    <cellStyle name="Temp 5 6" xfId="36489"/>
    <cellStyle name="Temp 5 7" xfId="36490"/>
    <cellStyle name="Temp 5 8" xfId="36491"/>
    <cellStyle name="Temp 5 9" xfId="36481"/>
    <cellStyle name="Temp 6" xfId="2287"/>
    <cellStyle name="Temp 6 2" xfId="8255"/>
    <cellStyle name="Temp 6 2 2" xfId="36492"/>
    <cellStyle name="Temp 6 3" xfId="36493"/>
    <cellStyle name="Temp 6 3 2" xfId="36494"/>
    <cellStyle name="Temp 6 4" xfId="36495"/>
    <cellStyle name="Temp 6 4 2" xfId="36496"/>
    <cellStyle name="Temp 6 5" xfId="36497"/>
    <cellStyle name="Temp 6 6" xfId="36498"/>
    <cellStyle name="Temp 6 7" xfId="36499"/>
    <cellStyle name="Temp 6 8" xfId="36500"/>
    <cellStyle name="Temp 7" xfId="8253"/>
    <cellStyle name="Temp 7 2" xfId="36501"/>
    <cellStyle name="Temp 7 2 2" xfId="36502"/>
    <cellStyle name="Temp 7 3" xfId="36503"/>
    <cellStyle name="Temp 7 4" xfId="36504"/>
    <cellStyle name="Temp 7 5" xfId="36505"/>
    <cellStyle name="Temp 8" xfId="36506"/>
    <cellStyle name="Temp 9" xfId="40814"/>
    <cellStyle name="text" xfId="2288"/>
    <cellStyle name="Text Indent A" xfId="2289"/>
    <cellStyle name="Text Indent A 2" xfId="2290"/>
    <cellStyle name="Text Indent A 3" xfId="2291"/>
    <cellStyle name="Text Indent A 4" xfId="2292"/>
    <cellStyle name="Text Indent A 5" xfId="2293"/>
    <cellStyle name="Text Indent B" xfId="2294"/>
    <cellStyle name="Text Indent B 2" xfId="2295"/>
    <cellStyle name="Text Indent B 2 2" xfId="2296"/>
    <cellStyle name="Text Indent B 2 2 2" xfId="36507"/>
    <cellStyle name="Text Indent B 3" xfId="2297"/>
    <cellStyle name="Text Indent B 4" xfId="2298"/>
    <cellStyle name="Text Indent C" xfId="2881"/>
    <cellStyle name="Text Indent C 2" xfId="42278"/>
    <cellStyle name="Tickmark" xfId="40509"/>
    <cellStyle name="Tickmark 2" xfId="43511"/>
    <cellStyle name="Title  - Style1" xfId="2300"/>
    <cellStyle name="Title  - Style1 2" xfId="42279"/>
    <cellStyle name="Title  - Style6" xfId="2882"/>
    <cellStyle name="Title 10" xfId="2301"/>
    <cellStyle name="Title 10 2" xfId="3015"/>
    <cellStyle name="Title 11" xfId="2302"/>
    <cellStyle name="Title 11 2" xfId="3163"/>
    <cellStyle name="Title 12" xfId="2303"/>
    <cellStyle name="Title 12 2" xfId="3165"/>
    <cellStyle name="Title 13" xfId="2304"/>
    <cellStyle name="Title 13 2" xfId="3007"/>
    <cellStyle name="Title 14" xfId="2305"/>
    <cellStyle name="Title 14 2" xfId="7329"/>
    <cellStyle name="Title 15" xfId="2306"/>
    <cellStyle name="Title 15 2" xfId="7330"/>
    <cellStyle name="Title 16" xfId="2307"/>
    <cellStyle name="Title 16 2" xfId="7331"/>
    <cellStyle name="Title 17" xfId="2308"/>
    <cellStyle name="Title 17 2" xfId="7332"/>
    <cellStyle name="Title 18" xfId="2309"/>
    <cellStyle name="Title 18 2" xfId="36508"/>
    <cellStyle name="Title 19" xfId="2310"/>
    <cellStyle name="Title 2" xfId="2311"/>
    <cellStyle name="Title 2 2" xfId="2312"/>
    <cellStyle name="Title 2 2 2" xfId="41618"/>
    <cellStyle name="Title 2 3" xfId="40815"/>
    <cellStyle name="Title 2 4" xfId="40673"/>
    <cellStyle name="Title 20" xfId="2313"/>
    <cellStyle name="Title 21" xfId="2314"/>
    <cellStyle name="Title 22" xfId="2299"/>
    <cellStyle name="Title 23" xfId="4763"/>
    <cellStyle name="Title 24" xfId="3674"/>
    <cellStyle name="Title 25" xfId="8256"/>
    <cellStyle name="Title 3" xfId="2315"/>
    <cellStyle name="Title 3 2" xfId="41332"/>
    <cellStyle name="Title 4" xfId="2316"/>
    <cellStyle name="Title 4 2" xfId="41617"/>
    <cellStyle name="Title 5" xfId="2317"/>
    <cellStyle name="Title 6" xfId="2318"/>
    <cellStyle name="Title 6 2" xfId="2319"/>
    <cellStyle name="Title 6 3" xfId="2320"/>
    <cellStyle name="Title 6 4" xfId="3145"/>
    <cellStyle name="Title 7" xfId="2321"/>
    <cellStyle name="Title 7 2" xfId="2322"/>
    <cellStyle name="Title 7 3" xfId="2323"/>
    <cellStyle name="Title 7 4" xfId="2973"/>
    <cellStyle name="Title 8" xfId="2324"/>
    <cellStyle name="Title 8 2" xfId="2325"/>
    <cellStyle name="Title 8 3" xfId="2326"/>
    <cellStyle name="Title 8 4" xfId="3142"/>
    <cellStyle name="Title 9" xfId="2327"/>
    <cellStyle name="Title 9 2" xfId="2328"/>
    <cellStyle name="Title 9 3" xfId="2329"/>
    <cellStyle name="Title 9 4" xfId="3023"/>
    <cellStyle name="Titre Colonnes" xfId="2883"/>
    <cellStyle name="Total 10" xfId="2884"/>
    <cellStyle name="Total 10 10" xfId="36509"/>
    <cellStyle name="Total 10 11" xfId="36510"/>
    <cellStyle name="Total 10 2" xfId="7333"/>
    <cellStyle name="Total 10 2 2" xfId="7334"/>
    <cellStyle name="Total 10 2 2 10" xfId="36512"/>
    <cellStyle name="Total 10 2 2 2" xfId="36513"/>
    <cellStyle name="Total 10 2 2 2 2" xfId="36514"/>
    <cellStyle name="Total 10 2 2 2 3" xfId="36515"/>
    <cellStyle name="Total 10 2 2 3" xfId="36516"/>
    <cellStyle name="Total 10 2 2 3 2" xfId="36517"/>
    <cellStyle name="Total 10 2 2 4" xfId="36518"/>
    <cellStyle name="Total 10 2 2 4 2" xfId="36519"/>
    <cellStyle name="Total 10 2 2 5" xfId="36520"/>
    <cellStyle name="Total 10 2 2 6" xfId="36521"/>
    <cellStyle name="Total 10 2 2 7" xfId="36522"/>
    <cellStyle name="Total 10 2 2 8" xfId="36523"/>
    <cellStyle name="Total 10 2 2 9" xfId="36524"/>
    <cellStyle name="Total 10 2 3" xfId="7335"/>
    <cellStyle name="Total 10 2 3 2" xfId="36526"/>
    <cellStyle name="Total 10 2 3 2 2" xfId="36527"/>
    <cellStyle name="Total 10 2 3 2 3" xfId="36528"/>
    <cellStyle name="Total 10 2 3 3" xfId="36529"/>
    <cellStyle name="Total 10 2 3 3 2" xfId="36530"/>
    <cellStyle name="Total 10 2 3 4" xfId="36531"/>
    <cellStyle name="Total 10 2 3 5" xfId="36532"/>
    <cellStyle name="Total 10 2 3 6" xfId="36533"/>
    <cellStyle name="Total 10 2 3 7" xfId="36525"/>
    <cellStyle name="Total 10 2 4" xfId="7336"/>
    <cellStyle name="Total 10 2 4 2" xfId="7337"/>
    <cellStyle name="Total 10 2 4 2 2" xfId="36535"/>
    <cellStyle name="Total 10 2 4 3" xfId="36536"/>
    <cellStyle name="Total 10 2 4 4" xfId="36534"/>
    <cellStyle name="Total 10 2 5" xfId="7338"/>
    <cellStyle name="Total 10 2 5 2" xfId="7339"/>
    <cellStyle name="Total 10 2 5 3" xfId="36537"/>
    <cellStyle name="Total 10 2 6" xfId="7340"/>
    <cellStyle name="Total 10 2 6 2" xfId="36538"/>
    <cellStyle name="Total 10 2 7" xfId="7341"/>
    <cellStyle name="Total 10 2 7 2" xfId="36539"/>
    <cellStyle name="Total 10 2 8" xfId="36540"/>
    <cellStyle name="Total 10 2 9" xfId="36511"/>
    <cellStyle name="Total 10 3" xfId="7342"/>
    <cellStyle name="Total 10 3 2" xfId="36542"/>
    <cellStyle name="Total 10 3 2 2" xfId="36543"/>
    <cellStyle name="Total 10 3 2 2 2" xfId="36544"/>
    <cellStyle name="Total 10 3 2 3" xfId="36545"/>
    <cellStyle name="Total 10 3 2 3 2" xfId="36546"/>
    <cellStyle name="Total 10 3 2 4" xfId="36547"/>
    <cellStyle name="Total 10 3 2 4 2" xfId="36548"/>
    <cellStyle name="Total 10 3 2 5" xfId="36549"/>
    <cellStyle name="Total 10 3 2 6" xfId="36550"/>
    <cellStyle name="Total 10 3 2 7" xfId="36551"/>
    <cellStyle name="Total 10 3 2 8" xfId="36552"/>
    <cellStyle name="Total 10 3 2 9" xfId="36553"/>
    <cellStyle name="Total 10 3 3" xfId="36554"/>
    <cellStyle name="Total 10 3 3 2" xfId="36555"/>
    <cellStyle name="Total 10 3 3 2 2" xfId="36556"/>
    <cellStyle name="Total 10 3 3 3" xfId="36557"/>
    <cellStyle name="Total 10 3 3 3 2" xfId="36558"/>
    <cellStyle name="Total 10 3 3 4" xfId="36559"/>
    <cellStyle name="Total 10 3 3 5" xfId="36560"/>
    <cellStyle name="Total 10 3 3 6" xfId="36561"/>
    <cellStyle name="Total 10 3 4" xfId="36562"/>
    <cellStyle name="Total 10 3 4 2" xfId="36563"/>
    <cellStyle name="Total 10 3 5" xfId="36564"/>
    <cellStyle name="Total 10 3 6" xfId="36565"/>
    <cellStyle name="Total 10 3 7" xfId="36566"/>
    <cellStyle name="Total 10 3 8" xfId="36567"/>
    <cellStyle name="Total 10 3 9" xfId="36541"/>
    <cellStyle name="Total 10 4" xfId="7343"/>
    <cellStyle name="Total 10 4 10" xfId="36568"/>
    <cellStyle name="Total 10 4 2" xfId="36569"/>
    <cellStyle name="Total 10 4 2 2" xfId="36570"/>
    <cellStyle name="Total 10 4 2 3" xfId="36571"/>
    <cellStyle name="Total 10 4 3" xfId="36572"/>
    <cellStyle name="Total 10 4 3 2" xfId="36573"/>
    <cellStyle name="Total 10 4 4" xfId="36574"/>
    <cellStyle name="Total 10 4 4 2" xfId="36575"/>
    <cellStyle name="Total 10 4 5" xfId="36576"/>
    <cellStyle name="Total 10 4 6" xfId="36577"/>
    <cellStyle name="Total 10 4 7" xfId="36578"/>
    <cellStyle name="Total 10 4 8" xfId="36579"/>
    <cellStyle name="Total 10 4 9" xfId="36580"/>
    <cellStyle name="Total 10 5" xfId="7344"/>
    <cellStyle name="Total 10 5 10" xfId="36581"/>
    <cellStyle name="Total 10 5 2" xfId="7345"/>
    <cellStyle name="Total 10 5 2 2" xfId="36583"/>
    <cellStyle name="Total 10 5 2 3" xfId="36584"/>
    <cellStyle name="Total 10 5 2 4" xfId="36582"/>
    <cellStyle name="Total 10 5 3" xfId="36585"/>
    <cellStyle name="Total 10 5 3 2" xfId="36586"/>
    <cellStyle name="Total 10 5 4" xfId="36587"/>
    <cellStyle name="Total 10 5 4 2" xfId="36588"/>
    <cellStyle name="Total 10 5 5" xfId="36589"/>
    <cellStyle name="Total 10 5 6" xfId="36590"/>
    <cellStyle name="Total 10 5 7" xfId="36591"/>
    <cellStyle name="Total 10 5 8" xfId="36592"/>
    <cellStyle name="Total 10 5 9" xfId="36593"/>
    <cellStyle name="Total 10 6" xfId="7346"/>
    <cellStyle name="Total 10 6 2" xfId="7347"/>
    <cellStyle name="Total 10 6 2 2" xfId="36596"/>
    <cellStyle name="Total 10 6 2 3" xfId="36595"/>
    <cellStyle name="Total 10 6 3" xfId="36597"/>
    <cellStyle name="Total 10 6 3 2" xfId="36598"/>
    <cellStyle name="Total 10 6 4" xfId="36599"/>
    <cellStyle name="Total 10 6 5" xfId="36600"/>
    <cellStyle name="Total 10 6 6" xfId="36601"/>
    <cellStyle name="Total 10 6 7" xfId="36594"/>
    <cellStyle name="Total 10 7" xfId="7348"/>
    <cellStyle name="Total 10 7 2" xfId="36603"/>
    <cellStyle name="Total 10 7 3" xfId="36602"/>
    <cellStyle name="Total 10 8" xfId="7349"/>
    <cellStyle name="Total 10 8 2" xfId="36604"/>
    <cellStyle name="Total 10 9" xfId="8425"/>
    <cellStyle name="Total 11" xfId="2885"/>
    <cellStyle name="Total 11 10" xfId="36605"/>
    <cellStyle name="Total 11 11" xfId="36606"/>
    <cellStyle name="Total 11 2" xfId="7350"/>
    <cellStyle name="Total 11 2 2" xfId="7351"/>
    <cellStyle name="Total 11 2 2 10" xfId="36608"/>
    <cellStyle name="Total 11 2 2 2" xfId="36609"/>
    <cellStyle name="Total 11 2 2 2 2" xfId="36610"/>
    <cellStyle name="Total 11 2 2 2 3" xfId="36611"/>
    <cellStyle name="Total 11 2 2 3" xfId="36612"/>
    <cellStyle name="Total 11 2 2 3 2" xfId="36613"/>
    <cellStyle name="Total 11 2 2 4" xfId="36614"/>
    <cellStyle name="Total 11 2 2 4 2" xfId="36615"/>
    <cellStyle name="Total 11 2 2 5" xfId="36616"/>
    <cellStyle name="Total 11 2 2 6" xfId="36617"/>
    <cellStyle name="Total 11 2 2 7" xfId="36618"/>
    <cellStyle name="Total 11 2 2 8" xfId="36619"/>
    <cellStyle name="Total 11 2 2 9" xfId="36620"/>
    <cellStyle name="Total 11 2 3" xfId="7352"/>
    <cellStyle name="Total 11 2 3 2" xfId="36622"/>
    <cellStyle name="Total 11 2 3 2 2" xfId="36623"/>
    <cellStyle name="Total 11 2 3 2 3" xfId="36624"/>
    <cellStyle name="Total 11 2 3 3" xfId="36625"/>
    <cellStyle name="Total 11 2 3 3 2" xfId="36626"/>
    <cellStyle name="Total 11 2 3 4" xfId="36627"/>
    <cellStyle name="Total 11 2 3 5" xfId="36628"/>
    <cellStyle name="Total 11 2 3 6" xfId="36629"/>
    <cellStyle name="Total 11 2 3 7" xfId="36621"/>
    <cellStyle name="Total 11 2 4" xfId="7353"/>
    <cellStyle name="Total 11 2 4 2" xfId="7354"/>
    <cellStyle name="Total 11 2 4 2 2" xfId="36631"/>
    <cellStyle name="Total 11 2 4 3" xfId="36632"/>
    <cellStyle name="Total 11 2 4 4" xfId="36630"/>
    <cellStyle name="Total 11 2 5" xfId="7355"/>
    <cellStyle name="Total 11 2 5 2" xfId="7356"/>
    <cellStyle name="Total 11 2 5 3" xfId="36633"/>
    <cellStyle name="Total 11 2 6" xfId="7357"/>
    <cellStyle name="Total 11 2 6 2" xfId="36634"/>
    <cellStyle name="Total 11 2 7" xfId="7358"/>
    <cellStyle name="Total 11 2 7 2" xfId="36635"/>
    <cellStyle name="Total 11 2 8" xfId="36636"/>
    <cellStyle name="Total 11 2 9" xfId="36607"/>
    <cellStyle name="Total 11 3" xfId="7359"/>
    <cellStyle name="Total 11 3 2" xfId="36638"/>
    <cellStyle name="Total 11 3 2 2" xfId="36639"/>
    <cellStyle name="Total 11 3 2 2 2" xfId="36640"/>
    <cellStyle name="Total 11 3 2 3" xfId="36641"/>
    <cellStyle name="Total 11 3 2 3 2" xfId="36642"/>
    <cellStyle name="Total 11 3 2 4" xfId="36643"/>
    <cellStyle name="Total 11 3 2 4 2" xfId="36644"/>
    <cellStyle name="Total 11 3 2 5" xfId="36645"/>
    <cellStyle name="Total 11 3 2 6" xfId="36646"/>
    <cellStyle name="Total 11 3 2 7" xfId="36647"/>
    <cellStyle name="Total 11 3 2 8" xfId="36648"/>
    <cellStyle name="Total 11 3 2 9" xfId="36649"/>
    <cellStyle name="Total 11 3 3" xfId="36650"/>
    <cellStyle name="Total 11 3 3 2" xfId="36651"/>
    <cellStyle name="Total 11 3 3 2 2" xfId="36652"/>
    <cellStyle name="Total 11 3 3 3" xfId="36653"/>
    <cellStyle name="Total 11 3 3 3 2" xfId="36654"/>
    <cellStyle name="Total 11 3 3 4" xfId="36655"/>
    <cellStyle name="Total 11 3 3 5" xfId="36656"/>
    <cellStyle name="Total 11 3 3 6" xfId="36657"/>
    <cellStyle name="Total 11 3 4" xfId="36658"/>
    <cellStyle name="Total 11 3 4 2" xfId="36659"/>
    <cellStyle name="Total 11 3 5" xfId="36660"/>
    <cellStyle name="Total 11 3 6" xfId="36661"/>
    <cellStyle name="Total 11 3 7" xfId="36662"/>
    <cellStyle name="Total 11 3 8" xfId="36663"/>
    <cellStyle name="Total 11 3 9" xfId="36637"/>
    <cellStyle name="Total 11 4" xfId="7360"/>
    <cellStyle name="Total 11 4 10" xfId="36664"/>
    <cellStyle name="Total 11 4 2" xfId="36665"/>
    <cellStyle name="Total 11 4 2 2" xfId="36666"/>
    <cellStyle name="Total 11 4 2 3" xfId="36667"/>
    <cellStyle name="Total 11 4 3" xfId="36668"/>
    <cellStyle name="Total 11 4 3 2" xfId="36669"/>
    <cellStyle name="Total 11 4 4" xfId="36670"/>
    <cellStyle name="Total 11 4 4 2" xfId="36671"/>
    <cellStyle name="Total 11 4 5" xfId="36672"/>
    <cellStyle name="Total 11 4 6" xfId="36673"/>
    <cellStyle name="Total 11 4 7" xfId="36674"/>
    <cellStyle name="Total 11 4 8" xfId="36675"/>
    <cellStyle name="Total 11 4 9" xfId="36676"/>
    <cellStyle name="Total 11 5" xfId="7361"/>
    <cellStyle name="Total 11 5 10" xfId="36677"/>
    <cellStyle name="Total 11 5 2" xfId="7362"/>
    <cellStyle name="Total 11 5 2 2" xfId="36679"/>
    <cellStyle name="Total 11 5 2 3" xfId="36680"/>
    <cellStyle name="Total 11 5 2 4" xfId="36678"/>
    <cellStyle name="Total 11 5 3" xfId="36681"/>
    <cellStyle name="Total 11 5 3 2" xfId="36682"/>
    <cellStyle name="Total 11 5 4" xfId="36683"/>
    <cellStyle name="Total 11 5 4 2" xfId="36684"/>
    <cellStyle name="Total 11 5 5" xfId="36685"/>
    <cellStyle name="Total 11 5 6" xfId="36686"/>
    <cellStyle name="Total 11 5 7" xfId="36687"/>
    <cellStyle name="Total 11 5 8" xfId="36688"/>
    <cellStyle name="Total 11 5 9" xfId="36689"/>
    <cellStyle name="Total 11 6" xfId="7363"/>
    <cellStyle name="Total 11 6 2" xfId="7364"/>
    <cellStyle name="Total 11 6 2 2" xfId="36692"/>
    <cellStyle name="Total 11 6 2 3" xfId="36691"/>
    <cellStyle name="Total 11 6 3" xfId="36693"/>
    <cellStyle name="Total 11 6 3 2" xfId="36694"/>
    <cellStyle name="Total 11 6 4" xfId="36695"/>
    <cellStyle name="Total 11 6 5" xfId="36696"/>
    <cellStyle name="Total 11 6 6" xfId="36697"/>
    <cellStyle name="Total 11 6 7" xfId="36690"/>
    <cellStyle name="Total 11 7" xfId="7365"/>
    <cellStyle name="Total 11 7 2" xfId="36699"/>
    <cellStyle name="Total 11 7 3" xfId="36698"/>
    <cellStyle name="Total 11 8" xfId="7366"/>
    <cellStyle name="Total 11 8 2" xfId="36700"/>
    <cellStyle name="Total 11 9" xfId="8426"/>
    <cellStyle name="Total 12" xfId="2886"/>
    <cellStyle name="Total 12 10" xfId="36701"/>
    <cellStyle name="Total 12 11" xfId="36702"/>
    <cellStyle name="Total 12 2" xfId="7367"/>
    <cellStyle name="Total 12 2 2" xfId="7368"/>
    <cellStyle name="Total 12 2 2 10" xfId="36704"/>
    <cellStyle name="Total 12 2 2 2" xfId="36705"/>
    <cellStyle name="Total 12 2 2 2 2" xfId="36706"/>
    <cellStyle name="Total 12 2 2 2 3" xfId="36707"/>
    <cellStyle name="Total 12 2 2 3" xfId="36708"/>
    <cellStyle name="Total 12 2 2 3 2" xfId="36709"/>
    <cellStyle name="Total 12 2 2 4" xfId="36710"/>
    <cellStyle name="Total 12 2 2 4 2" xfId="36711"/>
    <cellStyle name="Total 12 2 2 5" xfId="36712"/>
    <cellStyle name="Total 12 2 2 6" xfId="36713"/>
    <cellStyle name="Total 12 2 2 7" xfId="36714"/>
    <cellStyle name="Total 12 2 2 8" xfId="36715"/>
    <cellStyle name="Total 12 2 2 9" xfId="36716"/>
    <cellStyle name="Total 12 2 3" xfId="7369"/>
    <cellStyle name="Total 12 2 3 2" xfId="36718"/>
    <cellStyle name="Total 12 2 3 2 2" xfId="36719"/>
    <cellStyle name="Total 12 2 3 2 3" xfId="36720"/>
    <cellStyle name="Total 12 2 3 3" xfId="36721"/>
    <cellStyle name="Total 12 2 3 3 2" xfId="36722"/>
    <cellStyle name="Total 12 2 3 4" xfId="36723"/>
    <cellStyle name="Total 12 2 3 5" xfId="36724"/>
    <cellStyle name="Total 12 2 3 6" xfId="36725"/>
    <cellStyle name="Total 12 2 3 7" xfId="36717"/>
    <cellStyle name="Total 12 2 4" xfId="7370"/>
    <cellStyle name="Total 12 2 4 2" xfId="7371"/>
    <cellStyle name="Total 12 2 4 2 2" xfId="36727"/>
    <cellStyle name="Total 12 2 4 3" xfId="36728"/>
    <cellStyle name="Total 12 2 4 4" xfId="36726"/>
    <cellStyle name="Total 12 2 5" xfId="7372"/>
    <cellStyle name="Total 12 2 5 2" xfId="7373"/>
    <cellStyle name="Total 12 2 5 3" xfId="36729"/>
    <cellStyle name="Total 12 2 6" xfId="7374"/>
    <cellStyle name="Total 12 2 6 2" xfId="36730"/>
    <cellStyle name="Total 12 2 7" xfId="7375"/>
    <cellStyle name="Total 12 2 7 2" xfId="36731"/>
    <cellStyle name="Total 12 2 8" xfId="36732"/>
    <cellStyle name="Total 12 2 9" xfId="36703"/>
    <cellStyle name="Total 12 3" xfId="7376"/>
    <cellStyle name="Total 12 3 2" xfId="36734"/>
    <cellStyle name="Total 12 3 2 2" xfId="36735"/>
    <cellStyle name="Total 12 3 2 2 2" xfId="36736"/>
    <cellStyle name="Total 12 3 2 3" xfId="36737"/>
    <cellStyle name="Total 12 3 2 3 2" xfId="36738"/>
    <cellStyle name="Total 12 3 2 4" xfId="36739"/>
    <cellStyle name="Total 12 3 2 4 2" xfId="36740"/>
    <cellStyle name="Total 12 3 2 5" xfId="36741"/>
    <cellStyle name="Total 12 3 2 6" xfId="36742"/>
    <cellStyle name="Total 12 3 2 7" xfId="36743"/>
    <cellStyle name="Total 12 3 2 8" xfId="36744"/>
    <cellStyle name="Total 12 3 2 9" xfId="36745"/>
    <cellStyle name="Total 12 3 3" xfId="36746"/>
    <cellStyle name="Total 12 3 3 2" xfId="36747"/>
    <cellStyle name="Total 12 3 3 2 2" xfId="36748"/>
    <cellStyle name="Total 12 3 3 3" xfId="36749"/>
    <cellStyle name="Total 12 3 3 3 2" xfId="36750"/>
    <cellStyle name="Total 12 3 3 4" xfId="36751"/>
    <cellStyle name="Total 12 3 3 5" xfId="36752"/>
    <cellStyle name="Total 12 3 3 6" xfId="36753"/>
    <cellStyle name="Total 12 3 4" xfId="36754"/>
    <cellStyle name="Total 12 3 4 2" xfId="36755"/>
    <cellStyle name="Total 12 3 5" xfId="36756"/>
    <cellStyle name="Total 12 3 6" xfId="36757"/>
    <cellStyle name="Total 12 3 7" xfId="36758"/>
    <cellStyle name="Total 12 3 8" xfId="36759"/>
    <cellStyle name="Total 12 3 9" xfId="36733"/>
    <cellStyle name="Total 12 4" xfId="7377"/>
    <cellStyle name="Total 12 4 10" xfId="36760"/>
    <cellStyle name="Total 12 4 2" xfId="36761"/>
    <cellStyle name="Total 12 4 2 2" xfId="36762"/>
    <cellStyle name="Total 12 4 2 3" xfId="36763"/>
    <cellStyle name="Total 12 4 3" xfId="36764"/>
    <cellStyle name="Total 12 4 3 2" xfId="36765"/>
    <cellStyle name="Total 12 4 4" xfId="36766"/>
    <cellStyle name="Total 12 4 4 2" xfId="36767"/>
    <cellStyle name="Total 12 4 5" xfId="36768"/>
    <cellStyle name="Total 12 4 6" xfId="36769"/>
    <cellStyle name="Total 12 4 7" xfId="36770"/>
    <cellStyle name="Total 12 4 8" xfId="36771"/>
    <cellStyle name="Total 12 4 9" xfId="36772"/>
    <cellStyle name="Total 12 5" xfId="7378"/>
    <cellStyle name="Total 12 5 10" xfId="36773"/>
    <cellStyle name="Total 12 5 2" xfId="7379"/>
    <cellStyle name="Total 12 5 2 2" xfId="36775"/>
    <cellStyle name="Total 12 5 2 3" xfId="36776"/>
    <cellStyle name="Total 12 5 2 4" xfId="36774"/>
    <cellStyle name="Total 12 5 3" xfId="36777"/>
    <cellStyle name="Total 12 5 3 2" xfId="36778"/>
    <cellStyle name="Total 12 5 4" xfId="36779"/>
    <cellStyle name="Total 12 5 4 2" xfId="36780"/>
    <cellStyle name="Total 12 5 5" xfId="36781"/>
    <cellStyle name="Total 12 5 6" xfId="36782"/>
    <cellStyle name="Total 12 5 7" xfId="36783"/>
    <cellStyle name="Total 12 5 8" xfId="36784"/>
    <cellStyle name="Total 12 5 9" xfId="36785"/>
    <cellStyle name="Total 12 6" xfId="7380"/>
    <cellStyle name="Total 12 6 2" xfId="7381"/>
    <cellStyle name="Total 12 6 2 2" xfId="36788"/>
    <cellStyle name="Total 12 6 2 3" xfId="36787"/>
    <cellStyle name="Total 12 6 3" xfId="36789"/>
    <cellStyle name="Total 12 6 3 2" xfId="36790"/>
    <cellStyle name="Total 12 6 4" xfId="36791"/>
    <cellStyle name="Total 12 6 5" xfId="36792"/>
    <cellStyle name="Total 12 6 6" xfId="36793"/>
    <cellStyle name="Total 12 6 7" xfId="36786"/>
    <cellStyle name="Total 12 7" xfId="7382"/>
    <cellStyle name="Total 12 7 2" xfId="36795"/>
    <cellStyle name="Total 12 7 3" xfId="36794"/>
    <cellStyle name="Total 12 8" xfId="7383"/>
    <cellStyle name="Total 12 8 2" xfId="36796"/>
    <cellStyle name="Total 12 9" xfId="8427"/>
    <cellStyle name="Total 13" xfId="2887"/>
    <cellStyle name="Total 13 10" xfId="36797"/>
    <cellStyle name="Total 13 11" xfId="36798"/>
    <cellStyle name="Total 13 2" xfId="7384"/>
    <cellStyle name="Total 13 2 2" xfId="7385"/>
    <cellStyle name="Total 13 2 2 10" xfId="36800"/>
    <cellStyle name="Total 13 2 2 2" xfId="36801"/>
    <cellStyle name="Total 13 2 2 2 2" xfId="36802"/>
    <cellStyle name="Total 13 2 2 2 3" xfId="36803"/>
    <cellStyle name="Total 13 2 2 3" xfId="36804"/>
    <cellStyle name="Total 13 2 2 3 2" xfId="36805"/>
    <cellStyle name="Total 13 2 2 4" xfId="36806"/>
    <cellStyle name="Total 13 2 2 4 2" xfId="36807"/>
    <cellStyle name="Total 13 2 2 5" xfId="36808"/>
    <cellStyle name="Total 13 2 2 6" xfId="36809"/>
    <cellStyle name="Total 13 2 2 7" xfId="36810"/>
    <cellStyle name="Total 13 2 2 8" xfId="36811"/>
    <cellStyle name="Total 13 2 2 9" xfId="36812"/>
    <cellStyle name="Total 13 2 3" xfId="7386"/>
    <cellStyle name="Total 13 2 3 2" xfId="36814"/>
    <cellStyle name="Total 13 2 3 2 2" xfId="36815"/>
    <cellStyle name="Total 13 2 3 2 3" xfId="36816"/>
    <cellStyle name="Total 13 2 3 3" xfId="36817"/>
    <cellStyle name="Total 13 2 3 3 2" xfId="36818"/>
    <cellStyle name="Total 13 2 3 4" xfId="36819"/>
    <cellStyle name="Total 13 2 3 5" xfId="36820"/>
    <cellStyle name="Total 13 2 3 6" xfId="36821"/>
    <cellStyle name="Total 13 2 3 7" xfId="36813"/>
    <cellStyle name="Total 13 2 4" xfId="7387"/>
    <cellStyle name="Total 13 2 4 2" xfId="7388"/>
    <cellStyle name="Total 13 2 4 2 2" xfId="36823"/>
    <cellStyle name="Total 13 2 4 3" xfId="36824"/>
    <cellStyle name="Total 13 2 4 4" xfId="36822"/>
    <cellStyle name="Total 13 2 5" xfId="7389"/>
    <cellStyle name="Total 13 2 5 2" xfId="7390"/>
    <cellStyle name="Total 13 2 5 3" xfId="36825"/>
    <cellStyle name="Total 13 2 6" xfId="7391"/>
    <cellStyle name="Total 13 2 6 2" xfId="36826"/>
    <cellStyle name="Total 13 2 7" xfId="7392"/>
    <cellStyle name="Total 13 2 7 2" xfId="36827"/>
    <cellStyle name="Total 13 2 8" xfId="36828"/>
    <cellStyle name="Total 13 2 9" xfId="36799"/>
    <cellStyle name="Total 13 3" xfId="7393"/>
    <cellStyle name="Total 13 3 2" xfId="36830"/>
    <cellStyle name="Total 13 3 2 2" xfId="36831"/>
    <cellStyle name="Total 13 3 2 2 2" xfId="36832"/>
    <cellStyle name="Total 13 3 2 3" xfId="36833"/>
    <cellStyle name="Total 13 3 2 3 2" xfId="36834"/>
    <cellStyle name="Total 13 3 2 4" xfId="36835"/>
    <cellStyle name="Total 13 3 2 4 2" xfId="36836"/>
    <cellStyle name="Total 13 3 2 5" xfId="36837"/>
    <cellStyle name="Total 13 3 2 6" xfId="36838"/>
    <cellStyle name="Total 13 3 2 7" xfId="36839"/>
    <cellStyle name="Total 13 3 2 8" xfId="36840"/>
    <cellStyle name="Total 13 3 2 9" xfId="36841"/>
    <cellStyle name="Total 13 3 3" xfId="36842"/>
    <cellStyle name="Total 13 3 3 2" xfId="36843"/>
    <cellStyle name="Total 13 3 3 2 2" xfId="36844"/>
    <cellStyle name="Total 13 3 3 3" xfId="36845"/>
    <cellStyle name="Total 13 3 3 3 2" xfId="36846"/>
    <cellStyle name="Total 13 3 3 4" xfId="36847"/>
    <cellStyle name="Total 13 3 3 5" xfId="36848"/>
    <cellStyle name="Total 13 3 3 6" xfId="36849"/>
    <cellStyle name="Total 13 3 4" xfId="36850"/>
    <cellStyle name="Total 13 3 4 2" xfId="36851"/>
    <cellStyle name="Total 13 3 5" xfId="36852"/>
    <cellStyle name="Total 13 3 6" xfId="36853"/>
    <cellStyle name="Total 13 3 7" xfId="36854"/>
    <cellStyle name="Total 13 3 8" xfId="36855"/>
    <cellStyle name="Total 13 3 9" xfId="36829"/>
    <cellStyle name="Total 13 4" xfId="7394"/>
    <cellStyle name="Total 13 4 10" xfId="36856"/>
    <cellStyle name="Total 13 4 2" xfId="36857"/>
    <cellStyle name="Total 13 4 2 2" xfId="36858"/>
    <cellStyle name="Total 13 4 2 3" xfId="36859"/>
    <cellStyle name="Total 13 4 3" xfId="36860"/>
    <cellStyle name="Total 13 4 3 2" xfId="36861"/>
    <cellStyle name="Total 13 4 4" xfId="36862"/>
    <cellStyle name="Total 13 4 4 2" xfId="36863"/>
    <cellStyle name="Total 13 4 5" xfId="36864"/>
    <cellStyle name="Total 13 4 6" xfId="36865"/>
    <cellStyle name="Total 13 4 7" xfId="36866"/>
    <cellStyle name="Total 13 4 8" xfId="36867"/>
    <cellStyle name="Total 13 4 9" xfId="36868"/>
    <cellStyle name="Total 13 5" xfId="7395"/>
    <cellStyle name="Total 13 5 10" xfId="36869"/>
    <cellStyle name="Total 13 5 2" xfId="7396"/>
    <cellStyle name="Total 13 5 2 2" xfId="36871"/>
    <cellStyle name="Total 13 5 2 3" xfId="36872"/>
    <cellStyle name="Total 13 5 2 4" xfId="36870"/>
    <cellStyle name="Total 13 5 3" xfId="36873"/>
    <cellStyle name="Total 13 5 3 2" xfId="36874"/>
    <cellStyle name="Total 13 5 4" xfId="36875"/>
    <cellStyle name="Total 13 5 4 2" xfId="36876"/>
    <cellStyle name="Total 13 5 5" xfId="36877"/>
    <cellStyle name="Total 13 5 6" xfId="36878"/>
    <cellStyle name="Total 13 5 7" xfId="36879"/>
    <cellStyle name="Total 13 5 8" xfId="36880"/>
    <cellStyle name="Total 13 5 9" xfId="36881"/>
    <cellStyle name="Total 13 6" xfId="7397"/>
    <cellStyle name="Total 13 6 2" xfId="7398"/>
    <cellStyle name="Total 13 6 2 2" xfId="36884"/>
    <cellStyle name="Total 13 6 2 3" xfId="36883"/>
    <cellStyle name="Total 13 6 3" xfId="36885"/>
    <cellStyle name="Total 13 6 3 2" xfId="36886"/>
    <cellStyle name="Total 13 6 4" xfId="36887"/>
    <cellStyle name="Total 13 6 5" xfId="36888"/>
    <cellStyle name="Total 13 6 6" xfId="36889"/>
    <cellStyle name="Total 13 6 7" xfId="36882"/>
    <cellStyle name="Total 13 7" xfId="7399"/>
    <cellStyle name="Total 13 7 2" xfId="36891"/>
    <cellStyle name="Total 13 7 3" xfId="36890"/>
    <cellStyle name="Total 13 8" xfId="7400"/>
    <cellStyle name="Total 13 8 2" xfId="36892"/>
    <cellStyle name="Total 13 9" xfId="8428"/>
    <cellStyle name="Total 14" xfId="2888"/>
    <cellStyle name="Total 14 10" xfId="36893"/>
    <cellStyle name="Total 14 11" xfId="36894"/>
    <cellStyle name="Total 14 2" xfId="7401"/>
    <cellStyle name="Total 14 2 2" xfId="7402"/>
    <cellStyle name="Total 14 2 2 10" xfId="36896"/>
    <cellStyle name="Total 14 2 2 2" xfId="36897"/>
    <cellStyle name="Total 14 2 2 2 2" xfId="36898"/>
    <cellStyle name="Total 14 2 2 2 3" xfId="36899"/>
    <cellStyle name="Total 14 2 2 3" xfId="36900"/>
    <cellStyle name="Total 14 2 2 3 2" xfId="36901"/>
    <cellStyle name="Total 14 2 2 4" xfId="36902"/>
    <cellStyle name="Total 14 2 2 4 2" xfId="36903"/>
    <cellStyle name="Total 14 2 2 5" xfId="36904"/>
    <cellStyle name="Total 14 2 2 6" xfId="36905"/>
    <cellStyle name="Total 14 2 2 7" xfId="36906"/>
    <cellStyle name="Total 14 2 2 8" xfId="36907"/>
    <cellStyle name="Total 14 2 2 9" xfId="36908"/>
    <cellStyle name="Total 14 2 3" xfId="7403"/>
    <cellStyle name="Total 14 2 3 2" xfId="36910"/>
    <cellStyle name="Total 14 2 3 2 2" xfId="36911"/>
    <cellStyle name="Total 14 2 3 2 3" xfId="36912"/>
    <cellStyle name="Total 14 2 3 3" xfId="36913"/>
    <cellStyle name="Total 14 2 3 3 2" xfId="36914"/>
    <cellStyle name="Total 14 2 3 4" xfId="36915"/>
    <cellStyle name="Total 14 2 3 5" xfId="36916"/>
    <cellStyle name="Total 14 2 3 6" xfId="36917"/>
    <cellStyle name="Total 14 2 3 7" xfId="36909"/>
    <cellStyle name="Total 14 2 4" xfId="7404"/>
    <cellStyle name="Total 14 2 4 2" xfId="7405"/>
    <cellStyle name="Total 14 2 4 2 2" xfId="36919"/>
    <cellStyle name="Total 14 2 4 3" xfId="36920"/>
    <cellStyle name="Total 14 2 4 4" xfId="36918"/>
    <cellStyle name="Total 14 2 5" xfId="7406"/>
    <cellStyle name="Total 14 2 5 2" xfId="7407"/>
    <cellStyle name="Total 14 2 5 3" xfId="36921"/>
    <cellStyle name="Total 14 2 6" xfId="7408"/>
    <cellStyle name="Total 14 2 6 2" xfId="36922"/>
    <cellStyle name="Total 14 2 7" xfId="7409"/>
    <cellStyle name="Total 14 2 7 2" xfId="36923"/>
    <cellStyle name="Total 14 2 8" xfId="36924"/>
    <cellStyle name="Total 14 2 9" xfId="36895"/>
    <cellStyle name="Total 14 3" xfId="7410"/>
    <cellStyle name="Total 14 3 2" xfId="36926"/>
    <cellStyle name="Total 14 3 2 2" xfId="36927"/>
    <cellStyle name="Total 14 3 2 2 2" xfId="36928"/>
    <cellStyle name="Total 14 3 2 3" xfId="36929"/>
    <cellStyle name="Total 14 3 2 3 2" xfId="36930"/>
    <cellStyle name="Total 14 3 2 4" xfId="36931"/>
    <cellStyle name="Total 14 3 2 4 2" xfId="36932"/>
    <cellStyle name="Total 14 3 2 5" xfId="36933"/>
    <cellStyle name="Total 14 3 2 6" xfId="36934"/>
    <cellStyle name="Total 14 3 2 7" xfId="36935"/>
    <cellStyle name="Total 14 3 2 8" xfId="36936"/>
    <cellStyle name="Total 14 3 2 9" xfId="36937"/>
    <cellStyle name="Total 14 3 3" xfId="36938"/>
    <cellStyle name="Total 14 3 3 2" xfId="36939"/>
    <cellStyle name="Total 14 3 3 2 2" xfId="36940"/>
    <cellStyle name="Total 14 3 3 3" xfId="36941"/>
    <cellStyle name="Total 14 3 3 3 2" xfId="36942"/>
    <cellStyle name="Total 14 3 3 4" xfId="36943"/>
    <cellStyle name="Total 14 3 3 5" xfId="36944"/>
    <cellStyle name="Total 14 3 3 6" xfId="36945"/>
    <cellStyle name="Total 14 3 4" xfId="36946"/>
    <cellStyle name="Total 14 3 4 2" xfId="36947"/>
    <cellStyle name="Total 14 3 5" xfId="36948"/>
    <cellStyle name="Total 14 3 6" xfId="36949"/>
    <cellStyle name="Total 14 3 7" xfId="36950"/>
    <cellStyle name="Total 14 3 8" xfId="36951"/>
    <cellStyle name="Total 14 3 9" xfId="36925"/>
    <cellStyle name="Total 14 4" xfId="7411"/>
    <cellStyle name="Total 14 4 10" xfId="36952"/>
    <cellStyle name="Total 14 4 2" xfId="36953"/>
    <cellStyle name="Total 14 4 2 2" xfId="36954"/>
    <cellStyle name="Total 14 4 2 3" xfId="36955"/>
    <cellStyle name="Total 14 4 3" xfId="36956"/>
    <cellStyle name="Total 14 4 3 2" xfId="36957"/>
    <cellStyle name="Total 14 4 4" xfId="36958"/>
    <cellStyle name="Total 14 4 4 2" xfId="36959"/>
    <cellStyle name="Total 14 4 5" xfId="36960"/>
    <cellStyle name="Total 14 4 6" xfId="36961"/>
    <cellStyle name="Total 14 4 7" xfId="36962"/>
    <cellStyle name="Total 14 4 8" xfId="36963"/>
    <cellStyle name="Total 14 4 9" xfId="36964"/>
    <cellStyle name="Total 14 5" xfId="7412"/>
    <cellStyle name="Total 14 5 10" xfId="36965"/>
    <cellStyle name="Total 14 5 2" xfId="7413"/>
    <cellStyle name="Total 14 5 2 2" xfId="36967"/>
    <cellStyle name="Total 14 5 2 3" xfId="36968"/>
    <cellStyle name="Total 14 5 2 4" xfId="36966"/>
    <cellStyle name="Total 14 5 3" xfId="36969"/>
    <cellStyle name="Total 14 5 3 2" xfId="36970"/>
    <cellStyle name="Total 14 5 4" xfId="36971"/>
    <cellStyle name="Total 14 5 4 2" xfId="36972"/>
    <cellStyle name="Total 14 5 5" xfId="36973"/>
    <cellStyle name="Total 14 5 6" xfId="36974"/>
    <cellStyle name="Total 14 5 7" xfId="36975"/>
    <cellStyle name="Total 14 5 8" xfId="36976"/>
    <cellStyle name="Total 14 5 9" xfId="36977"/>
    <cellStyle name="Total 14 6" xfId="7414"/>
    <cellStyle name="Total 14 6 2" xfId="7415"/>
    <cellStyle name="Total 14 6 2 2" xfId="36980"/>
    <cellStyle name="Total 14 6 2 3" xfId="36979"/>
    <cellStyle name="Total 14 6 3" xfId="36981"/>
    <cellStyle name="Total 14 6 3 2" xfId="36982"/>
    <cellStyle name="Total 14 6 4" xfId="36983"/>
    <cellStyle name="Total 14 6 5" xfId="36984"/>
    <cellStyle name="Total 14 6 6" xfId="36985"/>
    <cellStyle name="Total 14 6 7" xfId="36978"/>
    <cellStyle name="Total 14 7" xfId="7416"/>
    <cellStyle name="Total 14 7 2" xfId="36987"/>
    <cellStyle name="Total 14 7 3" xfId="36986"/>
    <cellStyle name="Total 14 8" xfId="7417"/>
    <cellStyle name="Total 14 8 2" xfId="36988"/>
    <cellStyle name="Total 14 9" xfId="8429"/>
    <cellStyle name="Total 15" xfId="2889"/>
    <cellStyle name="Total 15 10" xfId="36989"/>
    <cellStyle name="Total 15 11" xfId="36990"/>
    <cellStyle name="Total 15 2" xfId="7418"/>
    <cellStyle name="Total 15 2 2" xfId="7419"/>
    <cellStyle name="Total 15 2 2 10" xfId="36992"/>
    <cellStyle name="Total 15 2 2 2" xfId="36993"/>
    <cellStyle name="Total 15 2 2 2 2" xfId="36994"/>
    <cellStyle name="Total 15 2 2 2 3" xfId="36995"/>
    <cellStyle name="Total 15 2 2 3" xfId="36996"/>
    <cellStyle name="Total 15 2 2 3 2" xfId="36997"/>
    <cellStyle name="Total 15 2 2 4" xfId="36998"/>
    <cellStyle name="Total 15 2 2 4 2" xfId="36999"/>
    <cellStyle name="Total 15 2 2 5" xfId="37000"/>
    <cellStyle name="Total 15 2 2 6" xfId="37001"/>
    <cellStyle name="Total 15 2 2 7" xfId="37002"/>
    <cellStyle name="Total 15 2 2 8" xfId="37003"/>
    <cellStyle name="Total 15 2 2 9" xfId="37004"/>
    <cellStyle name="Total 15 2 3" xfId="7420"/>
    <cellStyle name="Total 15 2 3 2" xfId="37006"/>
    <cellStyle name="Total 15 2 3 2 2" xfId="37007"/>
    <cellStyle name="Total 15 2 3 2 3" xfId="37008"/>
    <cellStyle name="Total 15 2 3 3" xfId="37009"/>
    <cellStyle name="Total 15 2 3 3 2" xfId="37010"/>
    <cellStyle name="Total 15 2 3 4" xfId="37011"/>
    <cellStyle name="Total 15 2 3 5" xfId="37012"/>
    <cellStyle name="Total 15 2 3 6" xfId="37013"/>
    <cellStyle name="Total 15 2 3 7" xfId="37005"/>
    <cellStyle name="Total 15 2 4" xfId="7421"/>
    <cellStyle name="Total 15 2 4 2" xfId="7422"/>
    <cellStyle name="Total 15 2 4 2 2" xfId="37015"/>
    <cellStyle name="Total 15 2 4 3" xfId="37016"/>
    <cellStyle name="Total 15 2 4 4" xfId="37014"/>
    <cellStyle name="Total 15 2 5" xfId="7423"/>
    <cellStyle name="Total 15 2 5 2" xfId="7424"/>
    <cellStyle name="Total 15 2 5 3" xfId="37017"/>
    <cellStyle name="Total 15 2 6" xfId="7425"/>
    <cellStyle name="Total 15 2 6 2" xfId="37018"/>
    <cellStyle name="Total 15 2 7" xfId="7426"/>
    <cellStyle name="Total 15 2 7 2" xfId="37019"/>
    <cellStyle name="Total 15 2 8" xfId="37020"/>
    <cellStyle name="Total 15 2 9" xfId="36991"/>
    <cellStyle name="Total 15 3" xfId="7427"/>
    <cellStyle name="Total 15 3 2" xfId="37022"/>
    <cellStyle name="Total 15 3 2 2" xfId="37023"/>
    <cellStyle name="Total 15 3 2 2 2" xfId="37024"/>
    <cellStyle name="Total 15 3 2 3" xfId="37025"/>
    <cellStyle name="Total 15 3 2 3 2" xfId="37026"/>
    <cellStyle name="Total 15 3 2 4" xfId="37027"/>
    <cellStyle name="Total 15 3 2 4 2" xfId="37028"/>
    <cellStyle name="Total 15 3 2 5" xfId="37029"/>
    <cellStyle name="Total 15 3 2 6" xfId="37030"/>
    <cellStyle name="Total 15 3 2 7" xfId="37031"/>
    <cellStyle name="Total 15 3 2 8" xfId="37032"/>
    <cellStyle name="Total 15 3 2 9" xfId="37033"/>
    <cellStyle name="Total 15 3 3" xfId="37034"/>
    <cellStyle name="Total 15 3 3 2" xfId="37035"/>
    <cellStyle name="Total 15 3 3 2 2" xfId="37036"/>
    <cellStyle name="Total 15 3 3 3" xfId="37037"/>
    <cellStyle name="Total 15 3 3 3 2" xfId="37038"/>
    <cellStyle name="Total 15 3 3 4" xfId="37039"/>
    <cellStyle name="Total 15 3 3 5" xfId="37040"/>
    <cellStyle name="Total 15 3 3 6" xfId="37041"/>
    <cellStyle name="Total 15 3 4" xfId="37042"/>
    <cellStyle name="Total 15 3 4 2" xfId="37043"/>
    <cellStyle name="Total 15 3 5" xfId="37044"/>
    <cellStyle name="Total 15 3 6" xfId="37045"/>
    <cellStyle name="Total 15 3 7" xfId="37046"/>
    <cellStyle name="Total 15 3 8" xfId="37047"/>
    <cellStyle name="Total 15 3 9" xfId="37021"/>
    <cellStyle name="Total 15 4" xfId="7428"/>
    <cellStyle name="Total 15 4 10" xfId="37048"/>
    <cellStyle name="Total 15 4 2" xfId="37049"/>
    <cellStyle name="Total 15 4 2 2" xfId="37050"/>
    <cellStyle name="Total 15 4 2 3" xfId="37051"/>
    <cellStyle name="Total 15 4 3" xfId="37052"/>
    <cellStyle name="Total 15 4 3 2" xfId="37053"/>
    <cellStyle name="Total 15 4 4" xfId="37054"/>
    <cellStyle name="Total 15 4 4 2" xfId="37055"/>
    <cellStyle name="Total 15 4 5" xfId="37056"/>
    <cellStyle name="Total 15 4 6" xfId="37057"/>
    <cellStyle name="Total 15 4 7" xfId="37058"/>
    <cellStyle name="Total 15 4 8" xfId="37059"/>
    <cellStyle name="Total 15 4 9" xfId="37060"/>
    <cellStyle name="Total 15 5" xfId="7429"/>
    <cellStyle name="Total 15 5 10" xfId="37061"/>
    <cellStyle name="Total 15 5 2" xfId="7430"/>
    <cellStyle name="Total 15 5 2 2" xfId="37063"/>
    <cellStyle name="Total 15 5 2 3" xfId="37064"/>
    <cellStyle name="Total 15 5 2 4" xfId="37062"/>
    <cellStyle name="Total 15 5 3" xfId="37065"/>
    <cellStyle name="Total 15 5 3 2" xfId="37066"/>
    <cellStyle name="Total 15 5 4" xfId="37067"/>
    <cellStyle name="Total 15 5 4 2" xfId="37068"/>
    <cellStyle name="Total 15 5 5" xfId="37069"/>
    <cellStyle name="Total 15 5 6" xfId="37070"/>
    <cellStyle name="Total 15 5 7" xfId="37071"/>
    <cellStyle name="Total 15 5 8" xfId="37072"/>
    <cellStyle name="Total 15 5 9" xfId="37073"/>
    <cellStyle name="Total 15 6" xfId="7431"/>
    <cellStyle name="Total 15 6 2" xfId="7432"/>
    <cellStyle name="Total 15 6 2 2" xfId="37076"/>
    <cellStyle name="Total 15 6 2 3" xfId="37075"/>
    <cellStyle name="Total 15 6 3" xfId="37077"/>
    <cellStyle name="Total 15 6 3 2" xfId="37078"/>
    <cellStyle name="Total 15 6 4" xfId="37079"/>
    <cellStyle name="Total 15 6 5" xfId="37080"/>
    <cellStyle name="Total 15 6 6" xfId="37081"/>
    <cellStyle name="Total 15 6 7" xfId="37074"/>
    <cellStyle name="Total 15 7" xfId="7433"/>
    <cellStyle name="Total 15 7 2" xfId="37083"/>
    <cellStyle name="Total 15 7 3" xfId="37082"/>
    <cellStyle name="Total 15 8" xfId="7434"/>
    <cellStyle name="Total 15 8 2" xfId="37084"/>
    <cellStyle name="Total 15 9" xfId="8430"/>
    <cellStyle name="Total 16" xfId="2890"/>
    <cellStyle name="Total 16 10" xfId="37085"/>
    <cellStyle name="Total 16 11" xfId="37086"/>
    <cellStyle name="Total 16 2" xfId="7435"/>
    <cellStyle name="Total 16 2 2" xfId="7436"/>
    <cellStyle name="Total 16 2 2 10" xfId="37088"/>
    <cellStyle name="Total 16 2 2 2" xfId="37089"/>
    <cellStyle name="Total 16 2 2 2 2" xfId="37090"/>
    <cellStyle name="Total 16 2 2 2 3" xfId="37091"/>
    <cellStyle name="Total 16 2 2 3" xfId="37092"/>
    <cellStyle name="Total 16 2 2 3 2" xfId="37093"/>
    <cellStyle name="Total 16 2 2 4" xfId="37094"/>
    <cellStyle name="Total 16 2 2 4 2" xfId="37095"/>
    <cellStyle name="Total 16 2 2 5" xfId="37096"/>
    <cellStyle name="Total 16 2 2 6" xfId="37097"/>
    <cellStyle name="Total 16 2 2 7" xfId="37098"/>
    <cellStyle name="Total 16 2 2 8" xfId="37099"/>
    <cellStyle name="Total 16 2 2 9" xfId="37100"/>
    <cellStyle name="Total 16 2 3" xfId="7437"/>
    <cellStyle name="Total 16 2 3 2" xfId="37102"/>
    <cellStyle name="Total 16 2 3 2 2" xfId="37103"/>
    <cellStyle name="Total 16 2 3 2 3" xfId="37104"/>
    <cellStyle name="Total 16 2 3 3" xfId="37105"/>
    <cellStyle name="Total 16 2 3 3 2" xfId="37106"/>
    <cellStyle name="Total 16 2 3 4" xfId="37107"/>
    <cellStyle name="Total 16 2 3 5" xfId="37108"/>
    <cellStyle name="Total 16 2 3 6" xfId="37109"/>
    <cellStyle name="Total 16 2 3 7" xfId="37101"/>
    <cellStyle name="Total 16 2 4" xfId="7438"/>
    <cellStyle name="Total 16 2 4 2" xfId="7439"/>
    <cellStyle name="Total 16 2 4 2 2" xfId="37111"/>
    <cellStyle name="Total 16 2 4 3" xfId="37112"/>
    <cellStyle name="Total 16 2 4 4" xfId="37110"/>
    <cellStyle name="Total 16 2 5" xfId="7440"/>
    <cellStyle name="Total 16 2 5 2" xfId="7441"/>
    <cellStyle name="Total 16 2 5 3" xfId="37113"/>
    <cellStyle name="Total 16 2 6" xfId="7442"/>
    <cellStyle name="Total 16 2 6 2" xfId="37114"/>
    <cellStyle name="Total 16 2 7" xfId="7443"/>
    <cellStyle name="Total 16 2 7 2" xfId="37115"/>
    <cellStyle name="Total 16 2 8" xfId="37116"/>
    <cellStyle name="Total 16 2 9" xfId="37087"/>
    <cellStyle name="Total 16 3" xfId="7444"/>
    <cellStyle name="Total 16 3 2" xfId="37118"/>
    <cellStyle name="Total 16 3 2 2" xfId="37119"/>
    <cellStyle name="Total 16 3 2 2 2" xfId="37120"/>
    <cellStyle name="Total 16 3 2 3" xfId="37121"/>
    <cellStyle name="Total 16 3 2 3 2" xfId="37122"/>
    <cellStyle name="Total 16 3 2 4" xfId="37123"/>
    <cellStyle name="Total 16 3 2 4 2" xfId="37124"/>
    <cellStyle name="Total 16 3 2 5" xfId="37125"/>
    <cellStyle name="Total 16 3 2 6" xfId="37126"/>
    <cellStyle name="Total 16 3 2 7" xfId="37127"/>
    <cellStyle name="Total 16 3 2 8" xfId="37128"/>
    <cellStyle name="Total 16 3 2 9" xfId="37129"/>
    <cellStyle name="Total 16 3 3" xfId="37130"/>
    <cellStyle name="Total 16 3 3 2" xfId="37131"/>
    <cellStyle name="Total 16 3 3 2 2" xfId="37132"/>
    <cellStyle name="Total 16 3 3 3" xfId="37133"/>
    <cellStyle name="Total 16 3 3 3 2" xfId="37134"/>
    <cellStyle name="Total 16 3 3 4" xfId="37135"/>
    <cellStyle name="Total 16 3 3 5" xfId="37136"/>
    <cellStyle name="Total 16 3 3 6" xfId="37137"/>
    <cellStyle name="Total 16 3 4" xfId="37138"/>
    <cellStyle name="Total 16 3 4 2" xfId="37139"/>
    <cellStyle name="Total 16 3 5" xfId="37140"/>
    <cellStyle name="Total 16 3 6" xfId="37141"/>
    <cellStyle name="Total 16 3 7" xfId="37142"/>
    <cellStyle name="Total 16 3 8" xfId="37143"/>
    <cellStyle name="Total 16 3 9" xfId="37117"/>
    <cellStyle name="Total 16 4" xfId="7445"/>
    <cellStyle name="Total 16 4 10" xfId="37144"/>
    <cellStyle name="Total 16 4 2" xfId="37145"/>
    <cellStyle name="Total 16 4 2 2" xfId="37146"/>
    <cellStyle name="Total 16 4 2 3" xfId="37147"/>
    <cellStyle name="Total 16 4 3" xfId="37148"/>
    <cellStyle name="Total 16 4 3 2" xfId="37149"/>
    <cellStyle name="Total 16 4 4" xfId="37150"/>
    <cellStyle name="Total 16 4 4 2" xfId="37151"/>
    <cellStyle name="Total 16 4 5" xfId="37152"/>
    <cellStyle name="Total 16 4 6" xfId="37153"/>
    <cellStyle name="Total 16 4 7" xfId="37154"/>
    <cellStyle name="Total 16 4 8" xfId="37155"/>
    <cellStyle name="Total 16 4 9" xfId="37156"/>
    <cellStyle name="Total 16 5" xfId="7446"/>
    <cellStyle name="Total 16 5 10" xfId="37157"/>
    <cellStyle name="Total 16 5 2" xfId="7447"/>
    <cellStyle name="Total 16 5 2 2" xfId="37159"/>
    <cellStyle name="Total 16 5 2 3" xfId="37160"/>
    <cellStyle name="Total 16 5 2 4" xfId="37158"/>
    <cellStyle name="Total 16 5 3" xfId="37161"/>
    <cellStyle name="Total 16 5 3 2" xfId="37162"/>
    <cellStyle name="Total 16 5 4" xfId="37163"/>
    <cellStyle name="Total 16 5 4 2" xfId="37164"/>
    <cellStyle name="Total 16 5 5" xfId="37165"/>
    <cellStyle name="Total 16 5 6" xfId="37166"/>
    <cellStyle name="Total 16 5 7" xfId="37167"/>
    <cellStyle name="Total 16 5 8" xfId="37168"/>
    <cellStyle name="Total 16 5 9" xfId="37169"/>
    <cellStyle name="Total 16 6" xfId="7448"/>
    <cellStyle name="Total 16 6 2" xfId="7449"/>
    <cellStyle name="Total 16 6 2 2" xfId="37172"/>
    <cellStyle name="Total 16 6 2 3" xfId="37171"/>
    <cellStyle name="Total 16 6 3" xfId="37173"/>
    <cellStyle name="Total 16 6 3 2" xfId="37174"/>
    <cellStyle name="Total 16 6 4" xfId="37175"/>
    <cellStyle name="Total 16 6 5" xfId="37176"/>
    <cellStyle name="Total 16 6 6" xfId="37177"/>
    <cellStyle name="Total 16 6 7" xfId="37170"/>
    <cellStyle name="Total 16 7" xfId="7450"/>
    <cellStyle name="Total 16 7 2" xfId="37179"/>
    <cellStyle name="Total 16 7 3" xfId="37178"/>
    <cellStyle name="Total 16 8" xfId="7451"/>
    <cellStyle name="Total 16 8 2" xfId="37180"/>
    <cellStyle name="Total 16 9" xfId="8431"/>
    <cellStyle name="Total 17" xfId="2891"/>
    <cellStyle name="Total 17 10" xfId="37181"/>
    <cellStyle name="Total 17 11" xfId="37182"/>
    <cellStyle name="Total 17 2" xfId="7452"/>
    <cellStyle name="Total 17 2 2" xfId="7453"/>
    <cellStyle name="Total 17 2 2 10" xfId="37184"/>
    <cellStyle name="Total 17 2 2 2" xfId="37185"/>
    <cellStyle name="Total 17 2 2 2 2" xfId="37186"/>
    <cellStyle name="Total 17 2 2 2 3" xfId="37187"/>
    <cellStyle name="Total 17 2 2 3" xfId="37188"/>
    <cellStyle name="Total 17 2 2 3 2" xfId="37189"/>
    <cellStyle name="Total 17 2 2 4" xfId="37190"/>
    <cellStyle name="Total 17 2 2 4 2" xfId="37191"/>
    <cellStyle name="Total 17 2 2 5" xfId="37192"/>
    <cellStyle name="Total 17 2 2 6" xfId="37193"/>
    <cellStyle name="Total 17 2 2 7" xfId="37194"/>
    <cellStyle name="Total 17 2 2 8" xfId="37195"/>
    <cellStyle name="Total 17 2 2 9" xfId="37196"/>
    <cellStyle name="Total 17 2 3" xfId="7454"/>
    <cellStyle name="Total 17 2 3 2" xfId="37198"/>
    <cellStyle name="Total 17 2 3 2 2" xfId="37199"/>
    <cellStyle name="Total 17 2 3 2 3" xfId="37200"/>
    <cellStyle name="Total 17 2 3 3" xfId="37201"/>
    <cellStyle name="Total 17 2 3 3 2" xfId="37202"/>
    <cellStyle name="Total 17 2 3 4" xfId="37203"/>
    <cellStyle name="Total 17 2 3 5" xfId="37204"/>
    <cellStyle name="Total 17 2 3 6" xfId="37205"/>
    <cellStyle name="Total 17 2 3 7" xfId="37197"/>
    <cellStyle name="Total 17 2 4" xfId="7455"/>
    <cellStyle name="Total 17 2 4 2" xfId="7456"/>
    <cellStyle name="Total 17 2 4 2 2" xfId="37207"/>
    <cellStyle name="Total 17 2 4 3" xfId="37208"/>
    <cellStyle name="Total 17 2 4 4" xfId="37206"/>
    <cellStyle name="Total 17 2 5" xfId="7457"/>
    <cellStyle name="Total 17 2 5 2" xfId="7458"/>
    <cellStyle name="Total 17 2 5 3" xfId="37209"/>
    <cellStyle name="Total 17 2 6" xfId="7459"/>
    <cellStyle name="Total 17 2 6 2" xfId="37210"/>
    <cellStyle name="Total 17 2 7" xfId="7460"/>
    <cellStyle name="Total 17 2 7 2" xfId="37211"/>
    <cellStyle name="Total 17 2 8" xfId="37212"/>
    <cellStyle name="Total 17 2 9" xfId="37183"/>
    <cellStyle name="Total 17 3" xfId="7461"/>
    <cellStyle name="Total 17 3 2" xfId="37214"/>
    <cellStyle name="Total 17 3 2 2" xfId="37215"/>
    <cellStyle name="Total 17 3 2 2 2" xfId="37216"/>
    <cellStyle name="Total 17 3 2 3" xfId="37217"/>
    <cellStyle name="Total 17 3 2 3 2" xfId="37218"/>
    <cellStyle name="Total 17 3 2 4" xfId="37219"/>
    <cellStyle name="Total 17 3 2 4 2" xfId="37220"/>
    <cellStyle name="Total 17 3 2 5" xfId="37221"/>
    <cellStyle name="Total 17 3 2 6" xfId="37222"/>
    <cellStyle name="Total 17 3 2 7" xfId="37223"/>
    <cellStyle name="Total 17 3 2 8" xfId="37224"/>
    <cellStyle name="Total 17 3 2 9" xfId="37225"/>
    <cellStyle name="Total 17 3 3" xfId="37226"/>
    <cellStyle name="Total 17 3 3 2" xfId="37227"/>
    <cellStyle name="Total 17 3 3 2 2" xfId="37228"/>
    <cellStyle name="Total 17 3 3 3" xfId="37229"/>
    <cellStyle name="Total 17 3 3 3 2" xfId="37230"/>
    <cellStyle name="Total 17 3 3 4" xfId="37231"/>
    <cellStyle name="Total 17 3 3 5" xfId="37232"/>
    <cellStyle name="Total 17 3 3 6" xfId="37233"/>
    <cellStyle name="Total 17 3 4" xfId="37234"/>
    <cellStyle name="Total 17 3 4 2" xfId="37235"/>
    <cellStyle name="Total 17 3 5" xfId="37236"/>
    <cellStyle name="Total 17 3 6" xfId="37237"/>
    <cellStyle name="Total 17 3 7" xfId="37238"/>
    <cellStyle name="Total 17 3 8" xfId="37239"/>
    <cellStyle name="Total 17 3 9" xfId="37213"/>
    <cellStyle name="Total 17 4" xfId="7462"/>
    <cellStyle name="Total 17 4 10" xfId="37240"/>
    <cellStyle name="Total 17 4 2" xfId="37241"/>
    <cellStyle name="Total 17 4 2 2" xfId="37242"/>
    <cellStyle name="Total 17 4 2 3" xfId="37243"/>
    <cellStyle name="Total 17 4 3" xfId="37244"/>
    <cellStyle name="Total 17 4 3 2" xfId="37245"/>
    <cellStyle name="Total 17 4 4" xfId="37246"/>
    <cellStyle name="Total 17 4 4 2" xfId="37247"/>
    <cellStyle name="Total 17 4 5" xfId="37248"/>
    <cellStyle name="Total 17 4 6" xfId="37249"/>
    <cellStyle name="Total 17 4 7" xfId="37250"/>
    <cellStyle name="Total 17 4 8" xfId="37251"/>
    <cellStyle name="Total 17 4 9" xfId="37252"/>
    <cellStyle name="Total 17 5" xfId="7463"/>
    <cellStyle name="Total 17 5 10" xfId="37253"/>
    <cellStyle name="Total 17 5 2" xfId="7464"/>
    <cellStyle name="Total 17 5 2 2" xfId="37255"/>
    <cellStyle name="Total 17 5 2 3" xfId="37256"/>
    <cellStyle name="Total 17 5 2 4" xfId="37254"/>
    <cellStyle name="Total 17 5 3" xfId="37257"/>
    <cellStyle name="Total 17 5 3 2" xfId="37258"/>
    <cellStyle name="Total 17 5 4" xfId="37259"/>
    <cellStyle name="Total 17 5 4 2" xfId="37260"/>
    <cellStyle name="Total 17 5 5" xfId="37261"/>
    <cellStyle name="Total 17 5 6" xfId="37262"/>
    <cellStyle name="Total 17 5 7" xfId="37263"/>
    <cellStyle name="Total 17 5 8" xfId="37264"/>
    <cellStyle name="Total 17 5 9" xfId="37265"/>
    <cellStyle name="Total 17 6" xfId="7465"/>
    <cellStyle name="Total 17 6 2" xfId="7466"/>
    <cellStyle name="Total 17 6 2 2" xfId="37268"/>
    <cellStyle name="Total 17 6 2 3" xfId="37267"/>
    <cellStyle name="Total 17 6 3" xfId="37269"/>
    <cellStyle name="Total 17 6 3 2" xfId="37270"/>
    <cellStyle name="Total 17 6 4" xfId="37271"/>
    <cellStyle name="Total 17 6 5" xfId="37272"/>
    <cellStyle name="Total 17 6 6" xfId="37273"/>
    <cellStyle name="Total 17 6 7" xfId="37266"/>
    <cellStyle name="Total 17 7" xfId="7467"/>
    <cellStyle name="Total 17 7 2" xfId="37275"/>
    <cellStyle name="Total 17 7 3" xfId="37274"/>
    <cellStyle name="Total 17 8" xfId="7468"/>
    <cellStyle name="Total 17 8 2" xfId="37276"/>
    <cellStyle name="Total 17 9" xfId="8432"/>
    <cellStyle name="Total 18" xfId="2892"/>
    <cellStyle name="Total 18 10" xfId="37277"/>
    <cellStyle name="Total 18 11" xfId="37278"/>
    <cellStyle name="Total 18 2" xfId="7469"/>
    <cellStyle name="Total 18 2 2" xfId="37280"/>
    <cellStyle name="Total 18 2 2 2" xfId="37281"/>
    <cellStyle name="Total 18 2 2 2 2" xfId="37282"/>
    <cellStyle name="Total 18 2 2 2 3" xfId="37283"/>
    <cellStyle name="Total 18 2 2 3" xfId="37284"/>
    <cellStyle name="Total 18 2 2 3 2" xfId="37285"/>
    <cellStyle name="Total 18 2 2 4" xfId="37286"/>
    <cellStyle name="Total 18 2 2 4 2" xfId="37287"/>
    <cellStyle name="Total 18 2 2 5" xfId="37288"/>
    <cellStyle name="Total 18 2 2 6" xfId="37289"/>
    <cellStyle name="Total 18 2 2 7" xfId="37290"/>
    <cellStyle name="Total 18 2 2 8" xfId="37291"/>
    <cellStyle name="Total 18 2 2 9" xfId="37292"/>
    <cellStyle name="Total 18 2 3" xfId="37293"/>
    <cellStyle name="Total 18 2 3 2" xfId="37294"/>
    <cellStyle name="Total 18 2 3 2 2" xfId="37295"/>
    <cellStyle name="Total 18 2 3 2 3" xfId="37296"/>
    <cellStyle name="Total 18 2 3 3" xfId="37297"/>
    <cellStyle name="Total 18 2 3 3 2" xfId="37298"/>
    <cellStyle name="Total 18 2 3 4" xfId="37299"/>
    <cellStyle name="Total 18 2 3 5" xfId="37300"/>
    <cellStyle name="Total 18 2 3 6" xfId="37301"/>
    <cellStyle name="Total 18 2 4" xfId="37302"/>
    <cellStyle name="Total 18 2 4 2" xfId="37303"/>
    <cellStyle name="Total 18 2 4 3" xfId="37304"/>
    <cellStyle name="Total 18 2 5" xfId="37305"/>
    <cellStyle name="Total 18 2 6" xfId="37306"/>
    <cellStyle name="Total 18 2 7" xfId="37307"/>
    <cellStyle name="Total 18 2 8" xfId="37308"/>
    <cellStyle name="Total 18 2 9" xfId="37279"/>
    <cellStyle name="Total 18 3" xfId="7470"/>
    <cellStyle name="Total 18 3 2" xfId="37310"/>
    <cellStyle name="Total 18 3 2 2" xfId="37311"/>
    <cellStyle name="Total 18 3 2 2 2" xfId="37312"/>
    <cellStyle name="Total 18 3 2 3" xfId="37313"/>
    <cellStyle name="Total 18 3 2 3 2" xfId="37314"/>
    <cellStyle name="Total 18 3 2 4" xfId="37315"/>
    <cellStyle name="Total 18 3 2 4 2" xfId="37316"/>
    <cellStyle name="Total 18 3 2 5" xfId="37317"/>
    <cellStyle name="Total 18 3 2 6" xfId="37318"/>
    <cellStyle name="Total 18 3 2 7" xfId="37319"/>
    <cellStyle name="Total 18 3 2 8" xfId="37320"/>
    <cellStyle name="Total 18 3 2 9" xfId="37321"/>
    <cellStyle name="Total 18 3 3" xfId="37322"/>
    <cellStyle name="Total 18 3 3 2" xfId="37323"/>
    <cellStyle name="Total 18 3 3 2 2" xfId="37324"/>
    <cellStyle name="Total 18 3 3 3" xfId="37325"/>
    <cellStyle name="Total 18 3 3 3 2" xfId="37326"/>
    <cellStyle name="Total 18 3 3 4" xfId="37327"/>
    <cellStyle name="Total 18 3 3 5" xfId="37328"/>
    <cellStyle name="Total 18 3 3 6" xfId="37329"/>
    <cellStyle name="Total 18 3 4" xfId="37330"/>
    <cellStyle name="Total 18 3 4 2" xfId="37331"/>
    <cellStyle name="Total 18 3 5" xfId="37332"/>
    <cellStyle name="Total 18 3 6" xfId="37333"/>
    <cellStyle name="Total 18 3 7" xfId="37334"/>
    <cellStyle name="Total 18 3 8" xfId="37335"/>
    <cellStyle name="Total 18 3 9" xfId="37309"/>
    <cellStyle name="Total 18 4" xfId="7471"/>
    <cellStyle name="Total 18 4 10" xfId="37336"/>
    <cellStyle name="Total 18 4 2" xfId="7472"/>
    <cellStyle name="Total 18 4 2 2" xfId="37338"/>
    <cellStyle name="Total 18 4 2 3" xfId="37339"/>
    <cellStyle name="Total 18 4 2 4" xfId="37337"/>
    <cellStyle name="Total 18 4 3" xfId="37340"/>
    <cellStyle name="Total 18 4 3 2" xfId="37341"/>
    <cellStyle name="Total 18 4 4" xfId="37342"/>
    <cellStyle name="Total 18 4 4 2" xfId="37343"/>
    <cellStyle name="Total 18 4 5" xfId="37344"/>
    <cellStyle name="Total 18 4 6" xfId="37345"/>
    <cellStyle name="Total 18 4 7" xfId="37346"/>
    <cellStyle name="Total 18 4 8" xfId="37347"/>
    <cellStyle name="Total 18 4 9" xfId="37348"/>
    <cellStyle name="Total 18 5" xfId="7473"/>
    <cellStyle name="Total 18 5 10" xfId="37349"/>
    <cellStyle name="Total 18 5 2" xfId="7474"/>
    <cellStyle name="Total 18 5 2 2" xfId="37351"/>
    <cellStyle name="Total 18 5 2 3" xfId="37352"/>
    <cellStyle name="Total 18 5 2 4" xfId="37350"/>
    <cellStyle name="Total 18 5 3" xfId="37353"/>
    <cellStyle name="Total 18 5 3 2" xfId="37354"/>
    <cellStyle name="Total 18 5 4" xfId="37355"/>
    <cellStyle name="Total 18 5 4 2" xfId="37356"/>
    <cellStyle name="Total 18 5 5" xfId="37357"/>
    <cellStyle name="Total 18 5 6" xfId="37358"/>
    <cellStyle name="Total 18 5 7" xfId="37359"/>
    <cellStyle name="Total 18 5 8" xfId="37360"/>
    <cellStyle name="Total 18 5 9" xfId="37361"/>
    <cellStyle name="Total 18 6" xfId="7475"/>
    <cellStyle name="Total 18 6 2" xfId="37363"/>
    <cellStyle name="Total 18 6 2 2" xfId="37364"/>
    <cellStyle name="Total 18 6 3" xfId="37365"/>
    <cellStyle name="Total 18 6 3 2" xfId="37366"/>
    <cellStyle name="Total 18 6 4" xfId="37367"/>
    <cellStyle name="Total 18 6 5" xfId="37368"/>
    <cellStyle name="Total 18 6 6" xfId="37369"/>
    <cellStyle name="Total 18 6 7" xfId="37362"/>
    <cellStyle name="Total 18 7" xfId="7476"/>
    <cellStyle name="Total 18 7 2" xfId="37371"/>
    <cellStyle name="Total 18 7 3" xfId="37370"/>
    <cellStyle name="Total 18 8" xfId="8433"/>
    <cellStyle name="Total 18 9" xfId="37372"/>
    <cellStyle name="Total 19" xfId="2893"/>
    <cellStyle name="Total 19 10" xfId="37373"/>
    <cellStyle name="Total 19 11" xfId="37374"/>
    <cellStyle name="Total 19 2" xfId="7477"/>
    <cellStyle name="Total 19 2 2" xfId="37376"/>
    <cellStyle name="Total 19 2 2 2" xfId="37377"/>
    <cellStyle name="Total 19 2 2 2 2" xfId="37378"/>
    <cellStyle name="Total 19 2 2 2 3" xfId="37379"/>
    <cellStyle name="Total 19 2 2 3" xfId="37380"/>
    <cellStyle name="Total 19 2 2 3 2" xfId="37381"/>
    <cellStyle name="Total 19 2 2 4" xfId="37382"/>
    <cellStyle name="Total 19 2 2 4 2" xfId="37383"/>
    <cellStyle name="Total 19 2 2 5" xfId="37384"/>
    <cellStyle name="Total 19 2 2 6" xfId="37385"/>
    <cellStyle name="Total 19 2 2 7" xfId="37386"/>
    <cellStyle name="Total 19 2 2 8" xfId="37387"/>
    <cellStyle name="Total 19 2 2 9" xfId="37388"/>
    <cellStyle name="Total 19 2 3" xfId="37389"/>
    <cellStyle name="Total 19 2 3 2" xfId="37390"/>
    <cellStyle name="Total 19 2 3 2 2" xfId="37391"/>
    <cellStyle name="Total 19 2 3 2 3" xfId="37392"/>
    <cellStyle name="Total 19 2 3 3" xfId="37393"/>
    <cellStyle name="Total 19 2 3 3 2" xfId="37394"/>
    <cellStyle name="Total 19 2 3 4" xfId="37395"/>
    <cellStyle name="Total 19 2 3 5" xfId="37396"/>
    <cellStyle name="Total 19 2 3 6" xfId="37397"/>
    <cellStyle name="Total 19 2 4" xfId="37398"/>
    <cellStyle name="Total 19 2 4 2" xfId="37399"/>
    <cellStyle name="Total 19 2 4 3" xfId="37400"/>
    <cellStyle name="Total 19 2 5" xfId="37401"/>
    <cellStyle name="Total 19 2 6" xfId="37402"/>
    <cellStyle name="Total 19 2 7" xfId="37403"/>
    <cellStyle name="Total 19 2 8" xfId="37404"/>
    <cellStyle name="Total 19 2 9" xfId="37375"/>
    <cellStyle name="Total 19 3" xfId="7478"/>
    <cellStyle name="Total 19 3 2" xfId="37406"/>
    <cellStyle name="Total 19 3 2 2" xfId="37407"/>
    <cellStyle name="Total 19 3 2 2 2" xfId="37408"/>
    <cellStyle name="Total 19 3 2 3" xfId="37409"/>
    <cellStyle name="Total 19 3 2 3 2" xfId="37410"/>
    <cellStyle name="Total 19 3 2 4" xfId="37411"/>
    <cellStyle name="Total 19 3 2 4 2" xfId="37412"/>
    <cellStyle name="Total 19 3 2 5" xfId="37413"/>
    <cellStyle name="Total 19 3 2 6" xfId="37414"/>
    <cellStyle name="Total 19 3 2 7" xfId="37415"/>
    <cellStyle name="Total 19 3 2 8" xfId="37416"/>
    <cellStyle name="Total 19 3 2 9" xfId="37417"/>
    <cellStyle name="Total 19 3 3" xfId="37418"/>
    <cellStyle name="Total 19 3 3 2" xfId="37419"/>
    <cellStyle name="Total 19 3 3 2 2" xfId="37420"/>
    <cellStyle name="Total 19 3 3 3" xfId="37421"/>
    <cellStyle name="Total 19 3 3 3 2" xfId="37422"/>
    <cellStyle name="Total 19 3 3 4" xfId="37423"/>
    <cellStyle name="Total 19 3 3 5" xfId="37424"/>
    <cellStyle name="Total 19 3 3 6" xfId="37425"/>
    <cellStyle name="Total 19 3 4" xfId="37426"/>
    <cellStyle name="Total 19 3 4 2" xfId="37427"/>
    <cellStyle name="Total 19 3 5" xfId="37428"/>
    <cellStyle name="Total 19 3 6" xfId="37429"/>
    <cellStyle name="Total 19 3 7" xfId="37430"/>
    <cellStyle name="Total 19 3 8" xfId="37431"/>
    <cellStyle name="Total 19 3 9" xfId="37405"/>
    <cellStyle name="Total 19 4" xfId="7479"/>
    <cellStyle name="Total 19 4 10" xfId="37432"/>
    <cellStyle name="Total 19 4 2" xfId="7480"/>
    <cellStyle name="Total 19 4 2 2" xfId="37434"/>
    <cellStyle name="Total 19 4 2 3" xfId="37435"/>
    <cellStyle name="Total 19 4 2 4" xfId="37433"/>
    <cellStyle name="Total 19 4 3" xfId="37436"/>
    <cellStyle name="Total 19 4 3 2" xfId="37437"/>
    <cellStyle name="Total 19 4 4" xfId="37438"/>
    <cellStyle name="Total 19 4 4 2" xfId="37439"/>
    <cellStyle name="Total 19 4 5" xfId="37440"/>
    <cellStyle name="Total 19 4 6" xfId="37441"/>
    <cellStyle name="Total 19 4 7" xfId="37442"/>
    <cellStyle name="Total 19 4 8" xfId="37443"/>
    <cellStyle name="Total 19 4 9" xfId="37444"/>
    <cellStyle name="Total 19 5" xfId="7481"/>
    <cellStyle name="Total 19 5 10" xfId="37445"/>
    <cellStyle name="Total 19 5 2" xfId="7482"/>
    <cellStyle name="Total 19 5 2 2" xfId="37447"/>
    <cellStyle name="Total 19 5 2 3" xfId="37448"/>
    <cellStyle name="Total 19 5 2 4" xfId="37446"/>
    <cellStyle name="Total 19 5 3" xfId="37449"/>
    <cellStyle name="Total 19 5 3 2" xfId="37450"/>
    <cellStyle name="Total 19 5 4" xfId="37451"/>
    <cellStyle name="Total 19 5 4 2" xfId="37452"/>
    <cellStyle name="Total 19 5 5" xfId="37453"/>
    <cellStyle name="Total 19 5 6" xfId="37454"/>
    <cellStyle name="Total 19 5 7" xfId="37455"/>
    <cellStyle name="Total 19 5 8" xfId="37456"/>
    <cellStyle name="Total 19 5 9" xfId="37457"/>
    <cellStyle name="Total 19 6" xfId="7483"/>
    <cellStyle name="Total 19 6 2" xfId="37459"/>
    <cellStyle name="Total 19 6 2 2" xfId="37460"/>
    <cellStyle name="Total 19 6 3" xfId="37461"/>
    <cellStyle name="Total 19 6 3 2" xfId="37462"/>
    <cellStyle name="Total 19 6 4" xfId="37463"/>
    <cellStyle name="Total 19 6 5" xfId="37464"/>
    <cellStyle name="Total 19 6 6" xfId="37465"/>
    <cellStyle name="Total 19 6 7" xfId="37458"/>
    <cellStyle name="Total 19 7" xfId="7484"/>
    <cellStyle name="Total 19 7 2" xfId="37467"/>
    <cellStyle name="Total 19 7 3" xfId="37466"/>
    <cellStyle name="Total 19 8" xfId="8434"/>
    <cellStyle name="Total 19 9" xfId="37468"/>
    <cellStyle name="Total 2" xfId="2331"/>
    <cellStyle name="Total 2 10" xfId="37469"/>
    <cellStyle name="Total 2 11" xfId="37470"/>
    <cellStyle name="Total 2 12" xfId="40674"/>
    <cellStyle name="Total 2 2" xfId="2332"/>
    <cellStyle name="Total 2 2 10" xfId="40889"/>
    <cellStyle name="Total 2 2 2" xfId="2333"/>
    <cellStyle name="Total 2 2 2 10" xfId="41620"/>
    <cellStyle name="Total 2 2 2 2" xfId="8260"/>
    <cellStyle name="Total 2 2 2 2 2" xfId="37472"/>
    <cellStyle name="Total 2 2 2 2 2 2" xfId="37473"/>
    <cellStyle name="Total 2 2 2 2 3" xfId="37474"/>
    <cellStyle name="Total 2 2 2 2 4" xfId="43817"/>
    <cellStyle name="Total 2 2 2 3" xfId="37475"/>
    <cellStyle name="Total 2 2 2 3 2" xfId="37476"/>
    <cellStyle name="Total 2 2 2 3 3" xfId="37477"/>
    <cellStyle name="Total 2 2 2 3 4" xfId="43693"/>
    <cellStyle name="Total 2 2 2 4" xfId="37478"/>
    <cellStyle name="Total 2 2 2 4 2" xfId="37479"/>
    <cellStyle name="Total 2 2 2 4 3" xfId="45320"/>
    <cellStyle name="Total 2 2 2 5" xfId="37480"/>
    <cellStyle name="Total 2 2 2 6" xfId="37481"/>
    <cellStyle name="Total 2 2 2 7" xfId="37482"/>
    <cellStyle name="Total 2 2 2 8" xfId="37483"/>
    <cellStyle name="Total 2 2 2 9" xfId="37484"/>
    <cellStyle name="Total 2 2 3" xfId="7485"/>
    <cellStyle name="Total 2 2 3 10" xfId="37485"/>
    <cellStyle name="Total 2 2 3 11" xfId="41910"/>
    <cellStyle name="Total 2 2 3 2" xfId="37486"/>
    <cellStyle name="Total 2 2 3 2 2" xfId="37487"/>
    <cellStyle name="Total 2 2 3 2 3" xfId="37488"/>
    <cellStyle name="Total 2 2 3 2 4" xfId="43954"/>
    <cellStyle name="Total 2 2 3 3" xfId="37489"/>
    <cellStyle name="Total 2 2 3 3 2" xfId="37490"/>
    <cellStyle name="Total 2 2 3 3 3" xfId="43645"/>
    <cellStyle name="Total 2 2 3 4" xfId="37491"/>
    <cellStyle name="Total 2 2 3 4 2" xfId="37492"/>
    <cellStyle name="Total 2 2 3 4 3" xfId="43656"/>
    <cellStyle name="Total 2 2 3 5" xfId="37493"/>
    <cellStyle name="Total 2 2 3 6" xfId="37494"/>
    <cellStyle name="Total 2 2 3 7" xfId="37495"/>
    <cellStyle name="Total 2 2 3 8" xfId="37496"/>
    <cellStyle name="Total 2 2 3 9" xfId="37497"/>
    <cellStyle name="Total 2 2 4" xfId="7486"/>
    <cellStyle name="Total 2 2 4 2" xfId="7487"/>
    <cellStyle name="Total 2 2 4 2 2" xfId="37499"/>
    <cellStyle name="Total 2 2 4 3" xfId="37500"/>
    <cellStyle name="Total 2 2 4 4" xfId="37501"/>
    <cellStyle name="Total 2 2 4 5" xfId="37498"/>
    <cellStyle name="Total 2 2 4 6" xfId="43674"/>
    <cellStyle name="Total 2 2 5" xfId="7488"/>
    <cellStyle name="Total 2 2 5 2" xfId="7489"/>
    <cellStyle name="Total 2 2 5 3" xfId="37502"/>
    <cellStyle name="Total 2 2 5 4" xfId="43946"/>
    <cellStyle name="Total 2 2 6" xfId="7490"/>
    <cellStyle name="Total 2 2 6 2" xfId="45334"/>
    <cellStyle name="Total 2 2 7" xfId="7491"/>
    <cellStyle name="Total 2 2 8" xfId="8259"/>
    <cellStyle name="Total 2 2 9" xfId="37471"/>
    <cellStyle name="Total 2 3" xfId="2334"/>
    <cellStyle name="Total 2 3 2" xfId="2335"/>
    <cellStyle name="Total 2 3 2 10" xfId="43948"/>
    <cellStyle name="Total 2 3 2 2" xfId="8262"/>
    <cellStyle name="Total 2 3 2 2 2" xfId="37503"/>
    <cellStyle name="Total 2 3 2 2 3" xfId="37504"/>
    <cellStyle name="Total 2 3 2 3" xfId="37505"/>
    <cellStyle name="Total 2 3 2 3 2" xfId="37506"/>
    <cellStyle name="Total 2 3 2 4" xfId="37507"/>
    <cellStyle name="Total 2 3 2 4 2" xfId="37508"/>
    <cellStyle name="Total 2 3 2 5" xfId="37509"/>
    <cellStyle name="Total 2 3 2 6" xfId="37510"/>
    <cellStyle name="Total 2 3 2 7" xfId="37511"/>
    <cellStyle name="Total 2 3 2 8" xfId="37512"/>
    <cellStyle name="Total 2 3 2 9" xfId="37513"/>
    <cellStyle name="Total 2 3 3" xfId="8261"/>
    <cellStyle name="Total 2 3 3 2" xfId="37514"/>
    <cellStyle name="Total 2 3 3 2 2" xfId="37515"/>
    <cellStyle name="Total 2 3 3 2 3" xfId="37516"/>
    <cellStyle name="Total 2 3 3 3" xfId="37517"/>
    <cellStyle name="Total 2 3 3 3 2" xfId="37518"/>
    <cellStyle name="Total 2 3 3 4" xfId="37519"/>
    <cellStyle name="Total 2 3 3 5" xfId="37520"/>
    <cellStyle name="Total 2 3 3 6" xfId="37521"/>
    <cellStyle name="Total 2 3 3 7" xfId="43646"/>
    <cellStyle name="Total 2 3 4" xfId="37522"/>
    <cellStyle name="Total 2 3 4 2" xfId="37523"/>
    <cellStyle name="Total 2 3 4 3" xfId="37524"/>
    <cellStyle name="Total 2 3 4 4" xfId="43793"/>
    <cellStyle name="Total 2 3 5" xfId="37525"/>
    <cellStyle name="Total 2 3 6" xfId="37526"/>
    <cellStyle name="Total 2 3 7" xfId="37527"/>
    <cellStyle name="Total 2 3 8" xfId="37528"/>
    <cellStyle name="Total 2 3 9" xfId="41869"/>
    <cellStyle name="Total 2 4" xfId="2336"/>
    <cellStyle name="Total 2 4 10" xfId="40816"/>
    <cellStyle name="Total 2 4 2" xfId="2337"/>
    <cellStyle name="Total 2 4 2 2" xfId="8264"/>
    <cellStyle name="Total 2 4 2 3" xfId="37529"/>
    <cellStyle name="Total 2 4 2 4" xfId="43663"/>
    <cellStyle name="Total 2 4 3" xfId="8263"/>
    <cellStyle name="Total 2 4 3 2" xfId="37530"/>
    <cellStyle name="Total 2 4 3 3" xfId="43766"/>
    <cellStyle name="Total 2 4 4" xfId="37531"/>
    <cellStyle name="Total 2 4 4 2" xfId="37532"/>
    <cellStyle name="Total 2 4 4 3" xfId="45288"/>
    <cellStyle name="Total 2 4 5" xfId="37533"/>
    <cellStyle name="Total 2 4 6" xfId="37534"/>
    <cellStyle name="Total 2 4 7" xfId="37535"/>
    <cellStyle name="Total 2 4 8" xfId="37536"/>
    <cellStyle name="Total 2 4 9" xfId="37537"/>
    <cellStyle name="Total 2 5" xfId="2338"/>
    <cellStyle name="Total 2 5 10" xfId="43643"/>
    <cellStyle name="Total 2 5 2" xfId="7492"/>
    <cellStyle name="Total 2 5 2 2" xfId="37539"/>
    <cellStyle name="Total 2 5 2 3" xfId="37540"/>
    <cellStyle name="Total 2 5 2 4" xfId="37538"/>
    <cellStyle name="Total 2 5 3" xfId="8265"/>
    <cellStyle name="Total 2 5 3 2" xfId="37541"/>
    <cellStyle name="Total 2 5 4" xfId="37542"/>
    <cellStyle name="Total 2 5 4 2" xfId="37543"/>
    <cellStyle name="Total 2 5 5" xfId="37544"/>
    <cellStyle name="Total 2 5 6" xfId="37545"/>
    <cellStyle name="Total 2 5 7" xfId="37546"/>
    <cellStyle name="Total 2 5 8" xfId="37547"/>
    <cellStyle name="Total 2 5 9" xfId="37548"/>
    <cellStyle name="Total 2 6" xfId="7493"/>
    <cellStyle name="Total 2 6 2" xfId="7494"/>
    <cellStyle name="Total 2 6 2 2" xfId="37551"/>
    <cellStyle name="Total 2 6 2 3" xfId="37550"/>
    <cellStyle name="Total 2 6 3" xfId="37552"/>
    <cellStyle name="Total 2 6 3 2" xfId="37553"/>
    <cellStyle name="Total 2 6 4" xfId="37554"/>
    <cellStyle name="Total 2 6 5" xfId="37555"/>
    <cellStyle name="Total 2 6 6" xfId="37556"/>
    <cellStyle name="Total 2 6 7" xfId="37549"/>
    <cellStyle name="Total 2 6 8" xfId="43657"/>
    <cellStyle name="Total 2 7" xfId="7495"/>
    <cellStyle name="Total 2 7 2" xfId="37558"/>
    <cellStyle name="Total 2 7 3" xfId="37557"/>
    <cellStyle name="Total 2 7 4" xfId="43539"/>
    <cellStyle name="Total 2 8" xfId="7496"/>
    <cellStyle name="Total 2 8 2" xfId="37559"/>
    <cellStyle name="Total 2 9" xfId="8258"/>
    <cellStyle name="Total 20" xfId="2894"/>
    <cellStyle name="Total 20 10" xfId="37560"/>
    <cellStyle name="Total 20 11" xfId="37561"/>
    <cellStyle name="Total 20 2" xfId="7497"/>
    <cellStyle name="Total 20 2 2" xfId="37563"/>
    <cellStyle name="Total 20 2 2 2" xfId="37564"/>
    <cellStyle name="Total 20 2 2 2 2" xfId="37565"/>
    <cellStyle name="Total 20 2 2 2 3" xfId="37566"/>
    <cellStyle name="Total 20 2 2 3" xfId="37567"/>
    <cellStyle name="Total 20 2 2 3 2" xfId="37568"/>
    <cellStyle name="Total 20 2 2 4" xfId="37569"/>
    <cellStyle name="Total 20 2 2 4 2" xfId="37570"/>
    <cellStyle name="Total 20 2 2 5" xfId="37571"/>
    <cellStyle name="Total 20 2 2 6" xfId="37572"/>
    <cellStyle name="Total 20 2 2 7" xfId="37573"/>
    <cellStyle name="Total 20 2 2 8" xfId="37574"/>
    <cellStyle name="Total 20 2 2 9" xfId="37575"/>
    <cellStyle name="Total 20 2 3" xfId="37576"/>
    <cellStyle name="Total 20 2 3 2" xfId="37577"/>
    <cellStyle name="Total 20 2 3 2 2" xfId="37578"/>
    <cellStyle name="Total 20 2 3 2 3" xfId="37579"/>
    <cellStyle name="Total 20 2 3 3" xfId="37580"/>
    <cellStyle name="Total 20 2 3 3 2" xfId="37581"/>
    <cellStyle name="Total 20 2 3 4" xfId="37582"/>
    <cellStyle name="Total 20 2 3 5" xfId="37583"/>
    <cellStyle name="Total 20 2 3 6" xfId="37584"/>
    <cellStyle name="Total 20 2 4" xfId="37585"/>
    <cellStyle name="Total 20 2 4 2" xfId="37586"/>
    <cellStyle name="Total 20 2 4 3" xfId="37587"/>
    <cellStyle name="Total 20 2 5" xfId="37588"/>
    <cellStyle name="Total 20 2 6" xfId="37589"/>
    <cellStyle name="Total 20 2 7" xfId="37590"/>
    <cellStyle name="Total 20 2 8" xfId="37591"/>
    <cellStyle name="Total 20 2 9" xfId="37562"/>
    <cellStyle name="Total 20 3" xfId="7498"/>
    <cellStyle name="Total 20 3 2" xfId="37593"/>
    <cellStyle name="Total 20 3 2 2" xfId="37594"/>
    <cellStyle name="Total 20 3 2 2 2" xfId="37595"/>
    <cellStyle name="Total 20 3 2 3" xfId="37596"/>
    <cellStyle name="Total 20 3 2 3 2" xfId="37597"/>
    <cellStyle name="Total 20 3 2 4" xfId="37598"/>
    <cellStyle name="Total 20 3 2 4 2" xfId="37599"/>
    <cellStyle name="Total 20 3 2 5" xfId="37600"/>
    <cellStyle name="Total 20 3 2 6" xfId="37601"/>
    <cellStyle name="Total 20 3 2 7" xfId="37602"/>
    <cellStyle name="Total 20 3 2 8" xfId="37603"/>
    <cellStyle name="Total 20 3 2 9" xfId="37604"/>
    <cellStyle name="Total 20 3 3" xfId="37605"/>
    <cellStyle name="Total 20 3 3 2" xfId="37606"/>
    <cellStyle name="Total 20 3 3 2 2" xfId="37607"/>
    <cellStyle name="Total 20 3 3 3" xfId="37608"/>
    <cellStyle name="Total 20 3 3 3 2" xfId="37609"/>
    <cellStyle name="Total 20 3 3 4" xfId="37610"/>
    <cellStyle name="Total 20 3 3 5" xfId="37611"/>
    <cellStyle name="Total 20 3 3 6" xfId="37612"/>
    <cellStyle name="Total 20 3 4" xfId="37613"/>
    <cellStyle name="Total 20 3 4 2" xfId="37614"/>
    <cellStyle name="Total 20 3 5" xfId="37615"/>
    <cellStyle name="Total 20 3 6" xfId="37616"/>
    <cellStyle name="Total 20 3 7" xfId="37617"/>
    <cellStyle name="Total 20 3 8" xfId="37618"/>
    <cellStyle name="Total 20 3 9" xfId="37592"/>
    <cellStyle name="Total 20 4" xfId="7499"/>
    <cellStyle name="Total 20 4 10" xfId="37619"/>
    <cellStyle name="Total 20 4 2" xfId="7500"/>
    <cellStyle name="Total 20 4 2 2" xfId="37621"/>
    <cellStyle name="Total 20 4 2 3" xfId="37622"/>
    <cellStyle name="Total 20 4 2 4" xfId="37620"/>
    <cellStyle name="Total 20 4 3" xfId="37623"/>
    <cellStyle name="Total 20 4 3 2" xfId="37624"/>
    <cellStyle name="Total 20 4 4" xfId="37625"/>
    <cellStyle name="Total 20 4 4 2" xfId="37626"/>
    <cellStyle name="Total 20 4 5" xfId="37627"/>
    <cellStyle name="Total 20 4 6" xfId="37628"/>
    <cellStyle name="Total 20 4 7" xfId="37629"/>
    <cellStyle name="Total 20 4 8" xfId="37630"/>
    <cellStyle name="Total 20 4 9" xfId="37631"/>
    <cellStyle name="Total 20 5" xfId="7501"/>
    <cellStyle name="Total 20 5 10" xfId="37632"/>
    <cellStyle name="Total 20 5 2" xfId="7502"/>
    <cellStyle name="Total 20 5 2 2" xfId="37634"/>
    <cellStyle name="Total 20 5 2 3" xfId="37635"/>
    <cellStyle name="Total 20 5 2 4" xfId="37633"/>
    <cellStyle name="Total 20 5 3" xfId="37636"/>
    <cellStyle name="Total 20 5 3 2" xfId="37637"/>
    <cellStyle name="Total 20 5 4" xfId="37638"/>
    <cellStyle name="Total 20 5 4 2" xfId="37639"/>
    <cellStyle name="Total 20 5 5" xfId="37640"/>
    <cellStyle name="Total 20 5 6" xfId="37641"/>
    <cellStyle name="Total 20 5 7" xfId="37642"/>
    <cellStyle name="Total 20 5 8" xfId="37643"/>
    <cellStyle name="Total 20 5 9" xfId="37644"/>
    <cellStyle name="Total 20 6" xfId="7503"/>
    <cellStyle name="Total 20 6 2" xfId="37646"/>
    <cellStyle name="Total 20 6 2 2" xfId="37647"/>
    <cellStyle name="Total 20 6 3" xfId="37648"/>
    <cellStyle name="Total 20 6 3 2" xfId="37649"/>
    <cellStyle name="Total 20 6 4" xfId="37650"/>
    <cellStyle name="Total 20 6 5" xfId="37651"/>
    <cellStyle name="Total 20 6 6" xfId="37652"/>
    <cellStyle name="Total 20 6 7" xfId="37645"/>
    <cellStyle name="Total 20 7" xfId="7504"/>
    <cellStyle name="Total 20 7 2" xfId="37654"/>
    <cellStyle name="Total 20 7 3" xfId="37653"/>
    <cellStyle name="Total 20 8" xfId="8435"/>
    <cellStyle name="Total 20 9" xfId="37655"/>
    <cellStyle name="Total 21" xfId="2895"/>
    <cellStyle name="Total 21 10" xfId="37656"/>
    <cellStyle name="Total 21 11" xfId="37657"/>
    <cellStyle name="Total 21 2" xfId="7505"/>
    <cellStyle name="Total 21 2 2" xfId="37659"/>
    <cellStyle name="Total 21 2 2 2" xfId="37660"/>
    <cellStyle name="Total 21 2 2 2 2" xfId="37661"/>
    <cellStyle name="Total 21 2 2 2 3" xfId="37662"/>
    <cellStyle name="Total 21 2 2 3" xfId="37663"/>
    <cellStyle name="Total 21 2 2 3 2" xfId="37664"/>
    <cellStyle name="Total 21 2 2 4" xfId="37665"/>
    <cellStyle name="Total 21 2 2 4 2" xfId="37666"/>
    <cellStyle name="Total 21 2 2 5" xfId="37667"/>
    <cellStyle name="Total 21 2 2 6" xfId="37668"/>
    <cellStyle name="Total 21 2 2 7" xfId="37669"/>
    <cellStyle name="Total 21 2 2 8" xfId="37670"/>
    <cellStyle name="Total 21 2 2 9" xfId="37671"/>
    <cellStyle name="Total 21 2 3" xfId="37672"/>
    <cellStyle name="Total 21 2 3 2" xfId="37673"/>
    <cellStyle name="Total 21 2 3 2 2" xfId="37674"/>
    <cellStyle name="Total 21 2 3 2 3" xfId="37675"/>
    <cellStyle name="Total 21 2 3 3" xfId="37676"/>
    <cellStyle name="Total 21 2 3 3 2" xfId="37677"/>
    <cellStyle name="Total 21 2 3 4" xfId="37678"/>
    <cellStyle name="Total 21 2 3 5" xfId="37679"/>
    <cellStyle name="Total 21 2 3 6" xfId="37680"/>
    <cellStyle name="Total 21 2 4" xfId="37681"/>
    <cellStyle name="Total 21 2 4 2" xfId="37682"/>
    <cellStyle name="Total 21 2 4 3" xfId="37683"/>
    <cellStyle name="Total 21 2 5" xfId="37684"/>
    <cellStyle name="Total 21 2 6" xfId="37685"/>
    <cellStyle name="Total 21 2 7" xfId="37686"/>
    <cellStyle name="Total 21 2 8" xfId="37687"/>
    <cellStyle name="Total 21 2 9" xfId="37658"/>
    <cellStyle name="Total 21 3" xfId="7506"/>
    <cellStyle name="Total 21 3 2" xfId="37689"/>
    <cellStyle name="Total 21 3 2 2" xfId="37690"/>
    <cellStyle name="Total 21 3 2 2 2" xfId="37691"/>
    <cellStyle name="Total 21 3 2 3" xfId="37692"/>
    <cellStyle name="Total 21 3 2 3 2" xfId="37693"/>
    <cellStyle name="Total 21 3 2 4" xfId="37694"/>
    <cellStyle name="Total 21 3 2 4 2" xfId="37695"/>
    <cellStyle name="Total 21 3 2 5" xfId="37696"/>
    <cellStyle name="Total 21 3 2 6" xfId="37697"/>
    <cellStyle name="Total 21 3 2 7" xfId="37698"/>
    <cellStyle name="Total 21 3 2 8" xfId="37699"/>
    <cellStyle name="Total 21 3 2 9" xfId="37700"/>
    <cellStyle name="Total 21 3 3" xfId="37701"/>
    <cellStyle name="Total 21 3 3 2" xfId="37702"/>
    <cellStyle name="Total 21 3 3 2 2" xfId="37703"/>
    <cellStyle name="Total 21 3 3 3" xfId="37704"/>
    <cellStyle name="Total 21 3 3 3 2" xfId="37705"/>
    <cellStyle name="Total 21 3 3 4" xfId="37706"/>
    <cellStyle name="Total 21 3 3 5" xfId="37707"/>
    <cellStyle name="Total 21 3 3 6" xfId="37708"/>
    <cellStyle name="Total 21 3 4" xfId="37709"/>
    <cellStyle name="Total 21 3 4 2" xfId="37710"/>
    <cellStyle name="Total 21 3 5" xfId="37711"/>
    <cellStyle name="Total 21 3 6" xfId="37712"/>
    <cellStyle name="Total 21 3 7" xfId="37713"/>
    <cellStyle name="Total 21 3 8" xfId="37714"/>
    <cellStyle name="Total 21 3 9" xfId="37688"/>
    <cellStyle name="Total 21 4" xfId="7507"/>
    <cellStyle name="Total 21 4 10" xfId="37715"/>
    <cellStyle name="Total 21 4 2" xfId="7508"/>
    <cellStyle name="Total 21 4 2 2" xfId="37717"/>
    <cellStyle name="Total 21 4 2 3" xfId="37718"/>
    <cellStyle name="Total 21 4 2 4" xfId="37716"/>
    <cellStyle name="Total 21 4 3" xfId="37719"/>
    <cellStyle name="Total 21 4 3 2" xfId="37720"/>
    <cellStyle name="Total 21 4 4" xfId="37721"/>
    <cellStyle name="Total 21 4 4 2" xfId="37722"/>
    <cellStyle name="Total 21 4 5" xfId="37723"/>
    <cellStyle name="Total 21 4 6" xfId="37724"/>
    <cellStyle name="Total 21 4 7" xfId="37725"/>
    <cellStyle name="Total 21 4 8" xfId="37726"/>
    <cellStyle name="Total 21 4 9" xfId="37727"/>
    <cellStyle name="Total 21 5" xfId="7509"/>
    <cellStyle name="Total 21 5 10" xfId="37728"/>
    <cellStyle name="Total 21 5 2" xfId="7510"/>
    <cellStyle name="Total 21 5 2 2" xfId="37730"/>
    <cellStyle name="Total 21 5 2 3" xfId="37731"/>
    <cellStyle name="Total 21 5 2 4" xfId="37729"/>
    <cellStyle name="Total 21 5 3" xfId="37732"/>
    <cellStyle name="Total 21 5 3 2" xfId="37733"/>
    <cellStyle name="Total 21 5 4" xfId="37734"/>
    <cellStyle name="Total 21 5 4 2" xfId="37735"/>
    <cellStyle name="Total 21 5 5" xfId="37736"/>
    <cellStyle name="Total 21 5 6" xfId="37737"/>
    <cellStyle name="Total 21 5 7" xfId="37738"/>
    <cellStyle name="Total 21 5 8" xfId="37739"/>
    <cellStyle name="Total 21 5 9" xfId="37740"/>
    <cellStyle name="Total 21 6" xfId="7511"/>
    <cellStyle name="Total 21 6 2" xfId="37742"/>
    <cellStyle name="Total 21 6 2 2" xfId="37743"/>
    <cellStyle name="Total 21 6 3" xfId="37744"/>
    <cellStyle name="Total 21 6 3 2" xfId="37745"/>
    <cellStyle name="Total 21 6 4" xfId="37746"/>
    <cellStyle name="Total 21 6 5" xfId="37747"/>
    <cellStyle name="Total 21 6 6" xfId="37748"/>
    <cellStyle name="Total 21 6 7" xfId="37741"/>
    <cellStyle name="Total 21 7" xfId="7512"/>
    <cellStyle name="Total 21 7 2" xfId="37750"/>
    <cellStyle name="Total 21 7 3" xfId="37749"/>
    <cellStyle name="Total 21 8" xfId="8436"/>
    <cellStyle name="Total 21 9" xfId="37751"/>
    <cellStyle name="Total 22" xfId="2896"/>
    <cellStyle name="Total 22 10" xfId="37752"/>
    <cellStyle name="Total 22 11" xfId="37753"/>
    <cellStyle name="Total 22 2" xfId="7513"/>
    <cellStyle name="Total 22 2 2" xfId="37755"/>
    <cellStyle name="Total 22 2 2 2" xfId="37756"/>
    <cellStyle name="Total 22 2 2 2 2" xfId="37757"/>
    <cellStyle name="Total 22 2 2 2 3" xfId="37758"/>
    <cellStyle name="Total 22 2 2 3" xfId="37759"/>
    <cellStyle name="Total 22 2 2 3 2" xfId="37760"/>
    <cellStyle name="Total 22 2 2 4" xfId="37761"/>
    <cellStyle name="Total 22 2 2 4 2" xfId="37762"/>
    <cellStyle name="Total 22 2 2 5" xfId="37763"/>
    <cellStyle name="Total 22 2 2 6" xfId="37764"/>
    <cellStyle name="Total 22 2 2 7" xfId="37765"/>
    <cellStyle name="Total 22 2 2 8" xfId="37766"/>
    <cellStyle name="Total 22 2 2 9" xfId="37767"/>
    <cellStyle name="Total 22 2 3" xfId="37768"/>
    <cellStyle name="Total 22 2 3 2" xfId="37769"/>
    <cellStyle name="Total 22 2 3 2 2" xfId="37770"/>
    <cellStyle name="Total 22 2 3 2 3" xfId="37771"/>
    <cellStyle name="Total 22 2 3 3" xfId="37772"/>
    <cellStyle name="Total 22 2 3 3 2" xfId="37773"/>
    <cellStyle name="Total 22 2 3 4" xfId="37774"/>
    <cellStyle name="Total 22 2 3 5" xfId="37775"/>
    <cellStyle name="Total 22 2 3 6" xfId="37776"/>
    <cellStyle name="Total 22 2 4" xfId="37777"/>
    <cellStyle name="Total 22 2 4 2" xfId="37778"/>
    <cellStyle name="Total 22 2 4 3" xfId="37779"/>
    <cellStyle name="Total 22 2 5" xfId="37780"/>
    <cellStyle name="Total 22 2 6" xfId="37781"/>
    <cellStyle name="Total 22 2 7" xfId="37782"/>
    <cellStyle name="Total 22 2 8" xfId="37783"/>
    <cellStyle name="Total 22 2 9" xfId="37754"/>
    <cellStyle name="Total 22 3" xfId="7514"/>
    <cellStyle name="Total 22 3 2" xfId="37785"/>
    <cellStyle name="Total 22 3 2 2" xfId="37786"/>
    <cellStyle name="Total 22 3 2 2 2" xfId="37787"/>
    <cellStyle name="Total 22 3 2 3" xfId="37788"/>
    <cellStyle name="Total 22 3 2 3 2" xfId="37789"/>
    <cellStyle name="Total 22 3 2 4" xfId="37790"/>
    <cellStyle name="Total 22 3 2 4 2" xfId="37791"/>
    <cellStyle name="Total 22 3 2 5" xfId="37792"/>
    <cellStyle name="Total 22 3 2 6" xfId="37793"/>
    <cellStyle name="Total 22 3 2 7" xfId="37794"/>
    <cellStyle name="Total 22 3 2 8" xfId="37795"/>
    <cellStyle name="Total 22 3 2 9" xfId="37796"/>
    <cellStyle name="Total 22 3 3" xfId="37797"/>
    <cellStyle name="Total 22 3 3 2" xfId="37798"/>
    <cellStyle name="Total 22 3 3 2 2" xfId="37799"/>
    <cellStyle name="Total 22 3 3 3" xfId="37800"/>
    <cellStyle name="Total 22 3 3 3 2" xfId="37801"/>
    <cellStyle name="Total 22 3 3 4" xfId="37802"/>
    <cellStyle name="Total 22 3 3 5" xfId="37803"/>
    <cellStyle name="Total 22 3 3 6" xfId="37804"/>
    <cellStyle name="Total 22 3 4" xfId="37805"/>
    <cellStyle name="Total 22 3 4 2" xfId="37806"/>
    <cellStyle name="Total 22 3 5" xfId="37807"/>
    <cellStyle name="Total 22 3 6" xfId="37808"/>
    <cellStyle name="Total 22 3 7" xfId="37809"/>
    <cellStyle name="Total 22 3 8" xfId="37810"/>
    <cellStyle name="Total 22 3 9" xfId="37784"/>
    <cellStyle name="Total 22 4" xfId="7515"/>
    <cellStyle name="Total 22 4 10" xfId="37811"/>
    <cellStyle name="Total 22 4 2" xfId="7516"/>
    <cellStyle name="Total 22 4 2 2" xfId="37813"/>
    <cellStyle name="Total 22 4 2 3" xfId="37814"/>
    <cellStyle name="Total 22 4 2 4" xfId="37812"/>
    <cellStyle name="Total 22 4 3" xfId="37815"/>
    <cellStyle name="Total 22 4 3 2" xfId="37816"/>
    <cellStyle name="Total 22 4 4" xfId="37817"/>
    <cellStyle name="Total 22 4 4 2" xfId="37818"/>
    <cellStyle name="Total 22 4 5" xfId="37819"/>
    <cellStyle name="Total 22 4 6" xfId="37820"/>
    <cellStyle name="Total 22 4 7" xfId="37821"/>
    <cellStyle name="Total 22 4 8" xfId="37822"/>
    <cellStyle name="Total 22 4 9" xfId="37823"/>
    <cellStyle name="Total 22 5" xfId="7517"/>
    <cellStyle name="Total 22 5 10" xfId="37824"/>
    <cellStyle name="Total 22 5 2" xfId="7518"/>
    <cellStyle name="Total 22 5 2 2" xfId="37826"/>
    <cellStyle name="Total 22 5 2 3" xfId="37827"/>
    <cellStyle name="Total 22 5 2 4" xfId="37825"/>
    <cellStyle name="Total 22 5 3" xfId="37828"/>
    <cellStyle name="Total 22 5 3 2" xfId="37829"/>
    <cellStyle name="Total 22 5 4" xfId="37830"/>
    <cellStyle name="Total 22 5 4 2" xfId="37831"/>
    <cellStyle name="Total 22 5 5" xfId="37832"/>
    <cellStyle name="Total 22 5 6" xfId="37833"/>
    <cellStyle name="Total 22 5 7" xfId="37834"/>
    <cellStyle name="Total 22 5 8" xfId="37835"/>
    <cellStyle name="Total 22 5 9" xfId="37836"/>
    <cellStyle name="Total 22 6" xfId="7519"/>
    <cellStyle name="Total 22 6 2" xfId="37838"/>
    <cellStyle name="Total 22 6 2 2" xfId="37839"/>
    <cellStyle name="Total 22 6 3" xfId="37840"/>
    <cellStyle name="Total 22 6 3 2" xfId="37841"/>
    <cellStyle name="Total 22 6 4" xfId="37842"/>
    <cellStyle name="Total 22 6 5" xfId="37843"/>
    <cellStyle name="Total 22 6 6" xfId="37844"/>
    <cellStyle name="Total 22 6 7" xfId="37837"/>
    <cellStyle name="Total 22 7" xfId="7520"/>
    <cellStyle name="Total 22 7 2" xfId="37846"/>
    <cellStyle name="Total 22 7 3" xfId="37845"/>
    <cellStyle name="Total 22 8" xfId="8437"/>
    <cellStyle name="Total 22 9" xfId="37847"/>
    <cellStyle name="Total 23" xfId="2897"/>
    <cellStyle name="Total 23 10" xfId="37848"/>
    <cellStyle name="Total 23 11" xfId="37849"/>
    <cellStyle name="Total 23 2" xfId="7521"/>
    <cellStyle name="Total 23 2 2" xfId="37851"/>
    <cellStyle name="Total 23 2 2 2" xfId="37852"/>
    <cellStyle name="Total 23 2 2 2 2" xfId="37853"/>
    <cellStyle name="Total 23 2 2 2 3" xfId="37854"/>
    <cellStyle name="Total 23 2 2 3" xfId="37855"/>
    <cellStyle name="Total 23 2 2 3 2" xfId="37856"/>
    <cellStyle name="Total 23 2 2 4" xfId="37857"/>
    <cellStyle name="Total 23 2 2 4 2" xfId="37858"/>
    <cellStyle name="Total 23 2 2 5" xfId="37859"/>
    <cellStyle name="Total 23 2 2 6" xfId="37860"/>
    <cellStyle name="Total 23 2 2 7" xfId="37861"/>
    <cellStyle name="Total 23 2 2 8" xfId="37862"/>
    <cellStyle name="Total 23 2 2 9" xfId="37863"/>
    <cellStyle name="Total 23 2 3" xfId="37864"/>
    <cellStyle name="Total 23 2 3 2" xfId="37865"/>
    <cellStyle name="Total 23 2 3 2 2" xfId="37866"/>
    <cellStyle name="Total 23 2 3 2 3" xfId="37867"/>
    <cellStyle name="Total 23 2 3 3" xfId="37868"/>
    <cellStyle name="Total 23 2 3 3 2" xfId="37869"/>
    <cellStyle name="Total 23 2 3 4" xfId="37870"/>
    <cellStyle name="Total 23 2 3 5" xfId="37871"/>
    <cellStyle name="Total 23 2 3 6" xfId="37872"/>
    <cellStyle name="Total 23 2 4" xfId="37873"/>
    <cellStyle name="Total 23 2 4 2" xfId="37874"/>
    <cellStyle name="Total 23 2 4 3" xfId="37875"/>
    <cellStyle name="Total 23 2 5" xfId="37876"/>
    <cellStyle name="Total 23 2 6" xfId="37877"/>
    <cellStyle name="Total 23 2 7" xfId="37878"/>
    <cellStyle name="Total 23 2 8" xfId="37879"/>
    <cellStyle name="Total 23 2 9" xfId="37850"/>
    <cellStyle name="Total 23 3" xfId="7522"/>
    <cellStyle name="Total 23 3 2" xfId="37881"/>
    <cellStyle name="Total 23 3 2 2" xfId="37882"/>
    <cellStyle name="Total 23 3 2 2 2" xfId="37883"/>
    <cellStyle name="Total 23 3 2 3" xfId="37884"/>
    <cellStyle name="Total 23 3 2 3 2" xfId="37885"/>
    <cellStyle name="Total 23 3 2 4" xfId="37886"/>
    <cellStyle name="Total 23 3 2 4 2" xfId="37887"/>
    <cellStyle name="Total 23 3 2 5" xfId="37888"/>
    <cellStyle name="Total 23 3 2 6" xfId="37889"/>
    <cellStyle name="Total 23 3 2 7" xfId="37890"/>
    <cellStyle name="Total 23 3 2 8" xfId="37891"/>
    <cellStyle name="Total 23 3 2 9" xfId="37892"/>
    <cellStyle name="Total 23 3 3" xfId="37893"/>
    <cellStyle name="Total 23 3 3 2" xfId="37894"/>
    <cellStyle name="Total 23 3 3 2 2" xfId="37895"/>
    <cellStyle name="Total 23 3 3 3" xfId="37896"/>
    <cellStyle name="Total 23 3 3 3 2" xfId="37897"/>
    <cellStyle name="Total 23 3 3 4" xfId="37898"/>
    <cellStyle name="Total 23 3 3 5" xfId="37899"/>
    <cellStyle name="Total 23 3 3 6" xfId="37900"/>
    <cellStyle name="Total 23 3 4" xfId="37901"/>
    <cellStyle name="Total 23 3 4 2" xfId="37902"/>
    <cellStyle name="Total 23 3 5" xfId="37903"/>
    <cellStyle name="Total 23 3 6" xfId="37904"/>
    <cellStyle name="Total 23 3 7" xfId="37905"/>
    <cellStyle name="Total 23 3 8" xfId="37906"/>
    <cellStyle name="Total 23 3 9" xfId="37880"/>
    <cellStyle name="Total 23 4" xfId="7523"/>
    <cellStyle name="Total 23 4 10" xfId="37907"/>
    <cellStyle name="Total 23 4 2" xfId="7524"/>
    <cellStyle name="Total 23 4 2 2" xfId="37909"/>
    <cellStyle name="Total 23 4 2 3" xfId="37910"/>
    <cellStyle name="Total 23 4 2 4" xfId="37908"/>
    <cellStyle name="Total 23 4 3" xfId="37911"/>
    <cellStyle name="Total 23 4 3 2" xfId="37912"/>
    <cellStyle name="Total 23 4 4" xfId="37913"/>
    <cellStyle name="Total 23 4 4 2" xfId="37914"/>
    <cellStyle name="Total 23 4 5" xfId="37915"/>
    <cellStyle name="Total 23 4 6" xfId="37916"/>
    <cellStyle name="Total 23 4 7" xfId="37917"/>
    <cellStyle name="Total 23 4 8" xfId="37918"/>
    <cellStyle name="Total 23 4 9" xfId="37919"/>
    <cellStyle name="Total 23 5" xfId="7525"/>
    <cellStyle name="Total 23 5 10" xfId="37920"/>
    <cellStyle name="Total 23 5 2" xfId="7526"/>
    <cellStyle name="Total 23 5 2 2" xfId="37922"/>
    <cellStyle name="Total 23 5 2 3" xfId="37923"/>
    <cellStyle name="Total 23 5 2 4" xfId="37921"/>
    <cellStyle name="Total 23 5 3" xfId="37924"/>
    <cellStyle name="Total 23 5 3 2" xfId="37925"/>
    <cellStyle name="Total 23 5 4" xfId="37926"/>
    <cellStyle name="Total 23 5 4 2" xfId="37927"/>
    <cellStyle name="Total 23 5 5" xfId="37928"/>
    <cellStyle name="Total 23 5 6" xfId="37929"/>
    <cellStyle name="Total 23 5 7" xfId="37930"/>
    <cellStyle name="Total 23 5 8" xfId="37931"/>
    <cellStyle name="Total 23 5 9" xfId="37932"/>
    <cellStyle name="Total 23 6" xfId="7527"/>
    <cellStyle name="Total 23 6 2" xfId="37934"/>
    <cellStyle name="Total 23 6 2 2" xfId="37935"/>
    <cellStyle name="Total 23 6 3" xfId="37936"/>
    <cellStyle name="Total 23 6 3 2" xfId="37937"/>
    <cellStyle name="Total 23 6 4" xfId="37938"/>
    <cellStyle name="Total 23 6 5" xfId="37939"/>
    <cellStyle name="Total 23 6 6" xfId="37940"/>
    <cellStyle name="Total 23 6 7" xfId="37933"/>
    <cellStyle name="Total 23 7" xfId="7528"/>
    <cellStyle name="Total 23 7 2" xfId="37942"/>
    <cellStyle name="Total 23 7 3" xfId="37941"/>
    <cellStyle name="Total 23 8" xfId="8438"/>
    <cellStyle name="Total 23 9" xfId="37943"/>
    <cellStyle name="Total 24" xfId="2898"/>
    <cellStyle name="Total 24 10" xfId="37944"/>
    <cellStyle name="Total 24 11" xfId="37945"/>
    <cellStyle name="Total 24 2" xfId="7529"/>
    <cellStyle name="Total 24 2 2" xfId="37947"/>
    <cellStyle name="Total 24 2 2 2" xfId="37948"/>
    <cellStyle name="Total 24 2 2 2 2" xfId="37949"/>
    <cellStyle name="Total 24 2 2 2 3" xfId="37950"/>
    <cellStyle name="Total 24 2 2 3" xfId="37951"/>
    <cellStyle name="Total 24 2 2 3 2" xfId="37952"/>
    <cellStyle name="Total 24 2 2 4" xfId="37953"/>
    <cellStyle name="Total 24 2 2 4 2" xfId="37954"/>
    <cellStyle name="Total 24 2 2 5" xfId="37955"/>
    <cellStyle name="Total 24 2 2 6" xfId="37956"/>
    <cellStyle name="Total 24 2 2 7" xfId="37957"/>
    <cellStyle name="Total 24 2 2 8" xfId="37958"/>
    <cellStyle name="Total 24 2 2 9" xfId="37959"/>
    <cellStyle name="Total 24 2 3" xfId="37960"/>
    <cellStyle name="Total 24 2 3 2" xfId="37961"/>
    <cellStyle name="Total 24 2 3 2 2" xfId="37962"/>
    <cellStyle name="Total 24 2 3 2 3" xfId="37963"/>
    <cellStyle name="Total 24 2 3 3" xfId="37964"/>
    <cellStyle name="Total 24 2 3 3 2" xfId="37965"/>
    <cellStyle name="Total 24 2 3 4" xfId="37966"/>
    <cellStyle name="Total 24 2 3 5" xfId="37967"/>
    <cellStyle name="Total 24 2 3 6" xfId="37968"/>
    <cellStyle name="Total 24 2 4" xfId="37969"/>
    <cellStyle name="Total 24 2 4 2" xfId="37970"/>
    <cellStyle name="Total 24 2 4 3" xfId="37971"/>
    <cellStyle name="Total 24 2 5" xfId="37972"/>
    <cellStyle name="Total 24 2 6" xfId="37973"/>
    <cellStyle name="Total 24 2 7" xfId="37974"/>
    <cellStyle name="Total 24 2 8" xfId="37975"/>
    <cellStyle name="Total 24 2 9" xfId="37946"/>
    <cellStyle name="Total 24 3" xfId="7530"/>
    <cellStyle name="Total 24 3 2" xfId="37977"/>
    <cellStyle name="Total 24 3 2 2" xfId="37978"/>
    <cellStyle name="Total 24 3 2 2 2" xfId="37979"/>
    <cellStyle name="Total 24 3 2 3" xfId="37980"/>
    <cellStyle name="Total 24 3 2 3 2" xfId="37981"/>
    <cellStyle name="Total 24 3 2 4" xfId="37982"/>
    <cellStyle name="Total 24 3 2 4 2" xfId="37983"/>
    <cellStyle name="Total 24 3 2 5" xfId="37984"/>
    <cellStyle name="Total 24 3 2 6" xfId="37985"/>
    <cellStyle name="Total 24 3 2 7" xfId="37986"/>
    <cellStyle name="Total 24 3 2 8" xfId="37987"/>
    <cellStyle name="Total 24 3 2 9" xfId="37988"/>
    <cellStyle name="Total 24 3 3" xfId="37989"/>
    <cellStyle name="Total 24 3 3 2" xfId="37990"/>
    <cellStyle name="Total 24 3 3 2 2" xfId="37991"/>
    <cellStyle name="Total 24 3 3 3" xfId="37992"/>
    <cellStyle name="Total 24 3 3 3 2" xfId="37993"/>
    <cellStyle name="Total 24 3 3 4" xfId="37994"/>
    <cellStyle name="Total 24 3 3 5" xfId="37995"/>
    <cellStyle name="Total 24 3 3 6" xfId="37996"/>
    <cellStyle name="Total 24 3 4" xfId="37997"/>
    <cellStyle name="Total 24 3 4 2" xfId="37998"/>
    <cellStyle name="Total 24 3 5" xfId="37999"/>
    <cellStyle name="Total 24 3 6" xfId="38000"/>
    <cellStyle name="Total 24 3 7" xfId="38001"/>
    <cellStyle name="Total 24 3 8" xfId="38002"/>
    <cellStyle name="Total 24 3 9" xfId="37976"/>
    <cellStyle name="Total 24 4" xfId="7531"/>
    <cellStyle name="Total 24 4 10" xfId="38003"/>
    <cellStyle name="Total 24 4 2" xfId="7532"/>
    <cellStyle name="Total 24 4 2 2" xfId="38005"/>
    <cellStyle name="Total 24 4 2 3" xfId="38006"/>
    <cellStyle name="Total 24 4 2 4" xfId="38004"/>
    <cellStyle name="Total 24 4 3" xfId="38007"/>
    <cellStyle name="Total 24 4 3 2" xfId="38008"/>
    <cellStyle name="Total 24 4 4" xfId="38009"/>
    <cellStyle name="Total 24 4 4 2" xfId="38010"/>
    <cellStyle name="Total 24 4 5" xfId="38011"/>
    <cellStyle name="Total 24 4 6" xfId="38012"/>
    <cellStyle name="Total 24 4 7" xfId="38013"/>
    <cellStyle name="Total 24 4 8" xfId="38014"/>
    <cellStyle name="Total 24 4 9" xfId="38015"/>
    <cellStyle name="Total 24 5" xfId="7533"/>
    <cellStyle name="Total 24 5 10" xfId="38016"/>
    <cellStyle name="Total 24 5 2" xfId="7534"/>
    <cellStyle name="Total 24 5 2 2" xfId="38018"/>
    <cellStyle name="Total 24 5 2 3" xfId="38019"/>
    <cellStyle name="Total 24 5 2 4" xfId="38017"/>
    <cellStyle name="Total 24 5 3" xfId="38020"/>
    <cellStyle name="Total 24 5 3 2" xfId="38021"/>
    <cellStyle name="Total 24 5 4" xfId="38022"/>
    <cellStyle name="Total 24 5 4 2" xfId="38023"/>
    <cellStyle name="Total 24 5 5" xfId="38024"/>
    <cellStyle name="Total 24 5 6" xfId="38025"/>
    <cellStyle name="Total 24 5 7" xfId="38026"/>
    <cellStyle name="Total 24 5 8" xfId="38027"/>
    <cellStyle name="Total 24 5 9" xfId="38028"/>
    <cellStyle name="Total 24 6" xfId="7535"/>
    <cellStyle name="Total 24 6 2" xfId="38030"/>
    <cellStyle name="Total 24 6 2 2" xfId="38031"/>
    <cellStyle name="Total 24 6 3" xfId="38032"/>
    <cellStyle name="Total 24 6 3 2" xfId="38033"/>
    <cellStyle name="Total 24 6 4" xfId="38034"/>
    <cellStyle name="Total 24 6 5" xfId="38035"/>
    <cellStyle name="Total 24 6 6" xfId="38036"/>
    <cellStyle name="Total 24 6 7" xfId="38029"/>
    <cellStyle name="Total 24 7" xfId="7536"/>
    <cellStyle name="Total 24 7 2" xfId="38038"/>
    <cellStyle name="Total 24 7 3" xfId="38037"/>
    <cellStyle name="Total 24 8" xfId="8439"/>
    <cellStyle name="Total 24 9" xfId="38039"/>
    <cellStyle name="Total 25" xfId="2899"/>
    <cellStyle name="Total 25 10" xfId="38040"/>
    <cellStyle name="Total 25 11" xfId="38041"/>
    <cellStyle name="Total 25 2" xfId="7537"/>
    <cellStyle name="Total 25 2 2" xfId="38043"/>
    <cellStyle name="Total 25 2 2 2" xfId="38044"/>
    <cellStyle name="Total 25 2 2 2 2" xfId="38045"/>
    <cellStyle name="Total 25 2 2 2 3" xfId="38046"/>
    <cellStyle name="Total 25 2 2 3" xfId="38047"/>
    <cellStyle name="Total 25 2 2 3 2" xfId="38048"/>
    <cellStyle name="Total 25 2 2 4" xfId="38049"/>
    <cellStyle name="Total 25 2 2 4 2" xfId="38050"/>
    <cellStyle name="Total 25 2 2 5" xfId="38051"/>
    <cellStyle name="Total 25 2 2 6" xfId="38052"/>
    <cellStyle name="Total 25 2 2 7" xfId="38053"/>
    <cellStyle name="Total 25 2 2 8" xfId="38054"/>
    <cellStyle name="Total 25 2 2 9" xfId="38055"/>
    <cellStyle name="Total 25 2 3" xfId="38056"/>
    <cellStyle name="Total 25 2 3 2" xfId="38057"/>
    <cellStyle name="Total 25 2 3 2 2" xfId="38058"/>
    <cellStyle name="Total 25 2 3 2 3" xfId="38059"/>
    <cellStyle name="Total 25 2 3 3" xfId="38060"/>
    <cellStyle name="Total 25 2 3 3 2" xfId="38061"/>
    <cellStyle name="Total 25 2 3 4" xfId="38062"/>
    <cellStyle name="Total 25 2 3 5" xfId="38063"/>
    <cellStyle name="Total 25 2 3 6" xfId="38064"/>
    <cellStyle name="Total 25 2 4" xfId="38065"/>
    <cellStyle name="Total 25 2 4 2" xfId="38066"/>
    <cellStyle name="Total 25 2 4 3" xfId="38067"/>
    <cellStyle name="Total 25 2 5" xfId="38068"/>
    <cellStyle name="Total 25 2 6" xfId="38069"/>
    <cellStyle name="Total 25 2 7" xfId="38070"/>
    <cellStyle name="Total 25 2 8" xfId="38071"/>
    <cellStyle name="Total 25 2 9" xfId="38042"/>
    <cellStyle name="Total 25 3" xfId="7538"/>
    <cellStyle name="Total 25 3 2" xfId="38073"/>
    <cellStyle name="Total 25 3 2 2" xfId="38074"/>
    <cellStyle name="Total 25 3 2 2 2" xfId="38075"/>
    <cellStyle name="Total 25 3 2 3" xfId="38076"/>
    <cellStyle name="Total 25 3 2 3 2" xfId="38077"/>
    <cellStyle name="Total 25 3 2 4" xfId="38078"/>
    <cellStyle name="Total 25 3 2 4 2" xfId="38079"/>
    <cellStyle name="Total 25 3 2 5" xfId="38080"/>
    <cellStyle name="Total 25 3 2 6" xfId="38081"/>
    <cellStyle name="Total 25 3 2 7" xfId="38082"/>
    <cellStyle name="Total 25 3 2 8" xfId="38083"/>
    <cellStyle name="Total 25 3 2 9" xfId="38084"/>
    <cellStyle name="Total 25 3 3" xfId="38085"/>
    <cellStyle name="Total 25 3 3 2" xfId="38086"/>
    <cellStyle name="Total 25 3 3 2 2" xfId="38087"/>
    <cellStyle name="Total 25 3 3 3" xfId="38088"/>
    <cellStyle name="Total 25 3 3 3 2" xfId="38089"/>
    <cellStyle name="Total 25 3 3 4" xfId="38090"/>
    <cellStyle name="Total 25 3 3 5" xfId="38091"/>
    <cellStyle name="Total 25 3 3 6" xfId="38092"/>
    <cellStyle name="Total 25 3 4" xfId="38093"/>
    <cellStyle name="Total 25 3 4 2" xfId="38094"/>
    <cellStyle name="Total 25 3 5" xfId="38095"/>
    <cellStyle name="Total 25 3 6" xfId="38096"/>
    <cellStyle name="Total 25 3 7" xfId="38097"/>
    <cellStyle name="Total 25 3 8" xfId="38098"/>
    <cellStyle name="Total 25 3 9" xfId="38072"/>
    <cellStyle name="Total 25 4" xfId="7539"/>
    <cellStyle name="Total 25 4 10" xfId="38099"/>
    <cellStyle name="Total 25 4 2" xfId="7540"/>
    <cellStyle name="Total 25 4 2 2" xfId="38101"/>
    <cellStyle name="Total 25 4 2 3" xfId="38102"/>
    <cellStyle name="Total 25 4 2 4" xfId="38100"/>
    <cellStyle name="Total 25 4 3" xfId="38103"/>
    <cellStyle name="Total 25 4 3 2" xfId="38104"/>
    <cellStyle name="Total 25 4 4" xfId="38105"/>
    <cellStyle name="Total 25 4 4 2" xfId="38106"/>
    <cellStyle name="Total 25 4 5" xfId="38107"/>
    <cellStyle name="Total 25 4 6" xfId="38108"/>
    <cellStyle name="Total 25 4 7" xfId="38109"/>
    <cellStyle name="Total 25 4 8" xfId="38110"/>
    <cellStyle name="Total 25 4 9" xfId="38111"/>
    <cellStyle name="Total 25 5" xfId="7541"/>
    <cellStyle name="Total 25 5 10" xfId="38112"/>
    <cellStyle name="Total 25 5 2" xfId="7542"/>
    <cellStyle name="Total 25 5 2 2" xfId="38114"/>
    <cellStyle name="Total 25 5 2 3" xfId="38115"/>
    <cellStyle name="Total 25 5 2 4" xfId="38113"/>
    <cellStyle name="Total 25 5 3" xfId="38116"/>
    <cellStyle name="Total 25 5 3 2" xfId="38117"/>
    <cellStyle name="Total 25 5 4" xfId="38118"/>
    <cellStyle name="Total 25 5 4 2" xfId="38119"/>
    <cellStyle name="Total 25 5 5" xfId="38120"/>
    <cellStyle name="Total 25 5 6" xfId="38121"/>
    <cellStyle name="Total 25 5 7" xfId="38122"/>
    <cellStyle name="Total 25 5 8" xfId="38123"/>
    <cellStyle name="Total 25 5 9" xfId="38124"/>
    <cellStyle name="Total 25 6" xfId="7543"/>
    <cellStyle name="Total 25 6 2" xfId="38126"/>
    <cellStyle name="Total 25 6 2 2" xfId="38127"/>
    <cellStyle name="Total 25 6 3" xfId="38128"/>
    <cellStyle name="Total 25 6 3 2" xfId="38129"/>
    <cellStyle name="Total 25 6 4" xfId="38130"/>
    <cellStyle name="Total 25 6 5" xfId="38131"/>
    <cellStyle name="Total 25 6 6" xfId="38132"/>
    <cellStyle name="Total 25 6 7" xfId="38125"/>
    <cellStyle name="Total 25 7" xfId="7544"/>
    <cellStyle name="Total 25 7 2" xfId="38134"/>
    <cellStyle name="Total 25 7 3" xfId="38133"/>
    <cellStyle name="Total 25 8" xfId="8440"/>
    <cellStyle name="Total 25 9" xfId="38135"/>
    <cellStyle name="Total 26" xfId="2900"/>
    <cellStyle name="Total 26 10" xfId="38136"/>
    <cellStyle name="Total 26 11" xfId="38137"/>
    <cellStyle name="Total 26 2" xfId="7545"/>
    <cellStyle name="Total 26 2 2" xfId="38139"/>
    <cellStyle name="Total 26 2 2 2" xfId="38140"/>
    <cellStyle name="Total 26 2 2 2 2" xfId="38141"/>
    <cellStyle name="Total 26 2 2 2 3" xfId="38142"/>
    <cellStyle name="Total 26 2 2 3" xfId="38143"/>
    <cellStyle name="Total 26 2 2 3 2" xfId="38144"/>
    <cellStyle name="Total 26 2 2 4" xfId="38145"/>
    <cellStyle name="Total 26 2 2 4 2" xfId="38146"/>
    <cellStyle name="Total 26 2 2 5" xfId="38147"/>
    <cellStyle name="Total 26 2 2 6" xfId="38148"/>
    <cellStyle name="Total 26 2 2 7" xfId="38149"/>
    <cellStyle name="Total 26 2 2 8" xfId="38150"/>
    <cellStyle name="Total 26 2 2 9" xfId="38151"/>
    <cellStyle name="Total 26 2 3" xfId="38152"/>
    <cellStyle name="Total 26 2 3 2" xfId="38153"/>
    <cellStyle name="Total 26 2 3 2 2" xfId="38154"/>
    <cellStyle name="Total 26 2 3 2 3" xfId="38155"/>
    <cellStyle name="Total 26 2 3 3" xfId="38156"/>
    <cellStyle name="Total 26 2 3 3 2" xfId="38157"/>
    <cellStyle name="Total 26 2 3 4" xfId="38158"/>
    <cellStyle name="Total 26 2 3 5" xfId="38159"/>
    <cellStyle name="Total 26 2 3 6" xfId="38160"/>
    <cellStyle name="Total 26 2 4" xfId="38161"/>
    <cellStyle name="Total 26 2 4 2" xfId="38162"/>
    <cellStyle name="Total 26 2 4 3" xfId="38163"/>
    <cellStyle name="Total 26 2 5" xfId="38164"/>
    <cellStyle name="Total 26 2 6" xfId="38165"/>
    <cellStyle name="Total 26 2 7" xfId="38166"/>
    <cellStyle name="Total 26 2 8" xfId="38167"/>
    <cellStyle name="Total 26 2 9" xfId="38138"/>
    <cellStyle name="Total 26 3" xfId="7546"/>
    <cellStyle name="Total 26 3 2" xfId="38169"/>
    <cellStyle name="Total 26 3 2 2" xfId="38170"/>
    <cellStyle name="Total 26 3 2 2 2" xfId="38171"/>
    <cellStyle name="Total 26 3 2 3" xfId="38172"/>
    <cellStyle name="Total 26 3 2 3 2" xfId="38173"/>
    <cellStyle name="Total 26 3 2 4" xfId="38174"/>
    <cellStyle name="Total 26 3 2 4 2" xfId="38175"/>
    <cellStyle name="Total 26 3 2 5" xfId="38176"/>
    <cellStyle name="Total 26 3 2 6" xfId="38177"/>
    <cellStyle name="Total 26 3 2 7" xfId="38178"/>
    <cellStyle name="Total 26 3 2 8" xfId="38179"/>
    <cellStyle name="Total 26 3 2 9" xfId="38180"/>
    <cellStyle name="Total 26 3 3" xfId="38181"/>
    <cellStyle name="Total 26 3 3 2" xfId="38182"/>
    <cellStyle name="Total 26 3 3 2 2" xfId="38183"/>
    <cellStyle name="Total 26 3 3 3" xfId="38184"/>
    <cellStyle name="Total 26 3 3 3 2" xfId="38185"/>
    <cellStyle name="Total 26 3 3 4" xfId="38186"/>
    <cellStyle name="Total 26 3 3 5" xfId="38187"/>
    <cellStyle name="Total 26 3 3 6" xfId="38188"/>
    <cellStyle name="Total 26 3 4" xfId="38189"/>
    <cellStyle name="Total 26 3 4 2" xfId="38190"/>
    <cellStyle name="Total 26 3 5" xfId="38191"/>
    <cellStyle name="Total 26 3 6" xfId="38192"/>
    <cellStyle name="Total 26 3 7" xfId="38193"/>
    <cellStyle name="Total 26 3 8" xfId="38194"/>
    <cellStyle name="Total 26 3 9" xfId="38168"/>
    <cellStyle name="Total 26 4" xfId="7547"/>
    <cellStyle name="Total 26 4 10" xfId="38195"/>
    <cellStyle name="Total 26 4 2" xfId="7548"/>
    <cellStyle name="Total 26 4 2 2" xfId="38197"/>
    <cellStyle name="Total 26 4 2 3" xfId="38198"/>
    <cellStyle name="Total 26 4 2 4" xfId="38196"/>
    <cellStyle name="Total 26 4 3" xfId="38199"/>
    <cellStyle name="Total 26 4 3 2" xfId="38200"/>
    <cellStyle name="Total 26 4 4" xfId="38201"/>
    <cellStyle name="Total 26 4 4 2" xfId="38202"/>
    <cellStyle name="Total 26 4 5" xfId="38203"/>
    <cellStyle name="Total 26 4 6" xfId="38204"/>
    <cellStyle name="Total 26 4 7" xfId="38205"/>
    <cellStyle name="Total 26 4 8" xfId="38206"/>
    <cellStyle name="Total 26 4 9" xfId="38207"/>
    <cellStyle name="Total 26 5" xfId="7549"/>
    <cellStyle name="Total 26 5 10" xfId="38208"/>
    <cellStyle name="Total 26 5 2" xfId="7550"/>
    <cellStyle name="Total 26 5 2 2" xfId="38210"/>
    <cellStyle name="Total 26 5 2 3" xfId="38211"/>
    <cellStyle name="Total 26 5 2 4" xfId="38209"/>
    <cellStyle name="Total 26 5 3" xfId="38212"/>
    <cellStyle name="Total 26 5 3 2" xfId="38213"/>
    <cellStyle name="Total 26 5 4" xfId="38214"/>
    <cellStyle name="Total 26 5 4 2" xfId="38215"/>
    <cellStyle name="Total 26 5 5" xfId="38216"/>
    <cellStyle name="Total 26 5 6" xfId="38217"/>
    <cellStyle name="Total 26 5 7" xfId="38218"/>
    <cellStyle name="Total 26 5 8" xfId="38219"/>
    <cellStyle name="Total 26 5 9" xfId="38220"/>
    <cellStyle name="Total 26 6" xfId="7551"/>
    <cellStyle name="Total 26 6 2" xfId="38222"/>
    <cellStyle name="Total 26 6 2 2" xfId="38223"/>
    <cellStyle name="Total 26 6 3" xfId="38224"/>
    <cellStyle name="Total 26 6 3 2" xfId="38225"/>
    <cellStyle name="Total 26 6 4" xfId="38226"/>
    <cellStyle name="Total 26 6 5" xfId="38227"/>
    <cellStyle name="Total 26 6 6" xfId="38228"/>
    <cellStyle name="Total 26 6 7" xfId="38221"/>
    <cellStyle name="Total 26 7" xfId="7552"/>
    <cellStyle name="Total 26 7 2" xfId="38230"/>
    <cellStyle name="Total 26 7 3" xfId="38229"/>
    <cellStyle name="Total 26 8" xfId="8441"/>
    <cellStyle name="Total 26 9" xfId="38231"/>
    <cellStyle name="Total 27" xfId="2901"/>
    <cellStyle name="Total 27 10" xfId="38232"/>
    <cellStyle name="Total 27 11" xfId="38233"/>
    <cellStyle name="Total 27 2" xfId="7553"/>
    <cellStyle name="Total 27 2 2" xfId="38235"/>
    <cellStyle name="Total 27 2 2 2" xfId="38236"/>
    <cellStyle name="Total 27 2 2 2 2" xfId="38237"/>
    <cellStyle name="Total 27 2 2 2 3" xfId="38238"/>
    <cellStyle name="Total 27 2 2 3" xfId="38239"/>
    <cellStyle name="Total 27 2 2 3 2" xfId="38240"/>
    <cellStyle name="Total 27 2 2 4" xfId="38241"/>
    <cellStyle name="Total 27 2 2 4 2" xfId="38242"/>
    <cellStyle name="Total 27 2 2 5" xfId="38243"/>
    <cellStyle name="Total 27 2 2 6" xfId="38244"/>
    <cellStyle name="Total 27 2 2 7" xfId="38245"/>
    <cellStyle name="Total 27 2 2 8" xfId="38246"/>
    <cellStyle name="Total 27 2 2 9" xfId="38247"/>
    <cellStyle name="Total 27 2 3" xfId="38248"/>
    <cellStyle name="Total 27 2 3 2" xfId="38249"/>
    <cellStyle name="Total 27 2 3 2 2" xfId="38250"/>
    <cellStyle name="Total 27 2 3 2 3" xfId="38251"/>
    <cellStyle name="Total 27 2 3 3" xfId="38252"/>
    <cellStyle name="Total 27 2 3 3 2" xfId="38253"/>
    <cellStyle name="Total 27 2 3 4" xfId="38254"/>
    <cellStyle name="Total 27 2 3 5" xfId="38255"/>
    <cellStyle name="Total 27 2 3 6" xfId="38256"/>
    <cellStyle name="Total 27 2 4" xfId="38257"/>
    <cellStyle name="Total 27 2 4 2" xfId="38258"/>
    <cellStyle name="Total 27 2 4 3" xfId="38259"/>
    <cellStyle name="Total 27 2 5" xfId="38260"/>
    <cellStyle name="Total 27 2 6" xfId="38261"/>
    <cellStyle name="Total 27 2 7" xfId="38262"/>
    <cellStyle name="Total 27 2 8" xfId="38263"/>
    <cellStyle name="Total 27 2 9" xfId="38234"/>
    <cellStyle name="Total 27 3" xfId="7554"/>
    <cellStyle name="Total 27 3 2" xfId="38265"/>
    <cellStyle name="Total 27 3 2 2" xfId="38266"/>
    <cellStyle name="Total 27 3 2 2 2" xfId="38267"/>
    <cellStyle name="Total 27 3 2 3" xfId="38268"/>
    <cellStyle name="Total 27 3 2 3 2" xfId="38269"/>
    <cellStyle name="Total 27 3 2 4" xfId="38270"/>
    <cellStyle name="Total 27 3 2 4 2" xfId="38271"/>
    <cellStyle name="Total 27 3 2 5" xfId="38272"/>
    <cellStyle name="Total 27 3 2 6" xfId="38273"/>
    <cellStyle name="Total 27 3 2 7" xfId="38274"/>
    <cellStyle name="Total 27 3 2 8" xfId="38275"/>
    <cellStyle name="Total 27 3 2 9" xfId="38276"/>
    <cellStyle name="Total 27 3 3" xfId="38277"/>
    <cellStyle name="Total 27 3 3 2" xfId="38278"/>
    <cellStyle name="Total 27 3 3 2 2" xfId="38279"/>
    <cellStyle name="Total 27 3 3 3" xfId="38280"/>
    <cellStyle name="Total 27 3 3 3 2" xfId="38281"/>
    <cellStyle name="Total 27 3 3 4" xfId="38282"/>
    <cellStyle name="Total 27 3 3 5" xfId="38283"/>
    <cellStyle name="Total 27 3 3 6" xfId="38284"/>
    <cellStyle name="Total 27 3 4" xfId="38285"/>
    <cellStyle name="Total 27 3 4 2" xfId="38286"/>
    <cellStyle name="Total 27 3 5" xfId="38287"/>
    <cellStyle name="Total 27 3 6" xfId="38288"/>
    <cellStyle name="Total 27 3 7" xfId="38289"/>
    <cellStyle name="Total 27 3 8" xfId="38290"/>
    <cellStyle name="Total 27 3 9" xfId="38264"/>
    <cellStyle name="Total 27 4" xfId="7555"/>
    <cellStyle name="Total 27 4 10" xfId="38291"/>
    <cellStyle name="Total 27 4 2" xfId="7556"/>
    <cellStyle name="Total 27 4 2 2" xfId="38293"/>
    <cellStyle name="Total 27 4 2 3" xfId="38294"/>
    <cellStyle name="Total 27 4 2 4" xfId="38292"/>
    <cellStyle name="Total 27 4 3" xfId="38295"/>
    <cellStyle name="Total 27 4 3 2" xfId="38296"/>
    <cellStyle name="Total 27 4 4" xfId="38297"/>
    <cellStyle name="Total 27 4 4 2" xfId="38298"/>
    <cellStyle name="Total 27 4 5" xfId="38299"/>
    <cellStyle name="Total 27 4 6" xfId="38300"/>
    <cellStyle name="Total 27 4 7" xfId="38301"/>
    <cellStyle name="Total 27 4 8" xfId="38302"/>
    <cellStyle name="Total 27 4 9" xfId="38303"/>
    <cellStyle name="Total 27 5" xfId="7557"/>
    <cellStyle name="Total 27 5 10" xfId="38304"/>
    <cellStyle name="Total 27 5 2" xfId="7558"/>
    <cellStyle name="Total 27 5 2 2" xfId="38306"/>
    <cellStyle name="Total 27 5 2 3" xfId="38307"/>
    <cellStyle name="Total 27 5 2 4" xfId="38305"/>
    <cellStyle name="Total 27 5 3" xfId="38308"/>
    <cellStyle name="Total 27 5 3 2" xfId="38309"/>
    <cellStyle name="Total 27 5 4" xfId="38310"/>
    <cellStyle name="Total 27 5 4 2" xfId="38311"/>
    <cellStyle name="Total 27 5 5" xfId="38312"/>
    <cellStyle name="Total 27 5 6" xfId="38313"/>
    <cellStyle name="Total 27 5 7" xfId="38314"/>
    <cellStyle name="Total 27 5 8" xfId="38315"/>
    <cellStyle name="Total 27 5 9" xfId="38316"/>
    <cellStyle name="Total 27 6" xfId="7559"/>
    <cellStyle name="Total 27 6 2" xfId="38318"/>
    <cellStyle name="Total 27 6 2 2" xfId="38319"/>
    <cellStyle name="Total 27 6 3" xfId="38320"/>
    <cellStyle name="Total 27 6 3 2" xfId="38321"/>
    <cellStyle name="Total 27 6 4" xfId="38322"/>
    <cellStyle name="Total 27 6 5" xfId="38323"/>
    <cellStyle name="Total 27 6 6" xfId="38324"/>
    <cellStyle name="Total 27 6 7" xfId="38317"/>
    <cellStyle name="Total 27 7" xfId="7560"/>
    <cellStyle name="Total 27 7 2" xfId="38326"/>
    <cellStyle name="Total 27 7 3" xfId="38325"/>
    <cellStyle name="Total 27 8" xfId="8442"/>
    <cellStyle name="Total 27 9" xfId="38327"/>
    <cellStyle name="Total 28" xfId="2902"/>
    <cellStyle name="Total 28 10" xfId="38328"/>
    <cellStyle name="Total 28 11" xfId="38329"/>
    <cellStyle name="Total 28 2" xfId="7561"/>
    <cellStyle name="Total 28 2 2" xfId="38331"/>
    <cellStyle name="Total 28 2 2 2" xfId="38332"/>
    <cellStyle name="Total 28 2 2 2 2" xfId="38333"/>
    <cellStyle name="Total 28 2 2 2 3" xfId="38334"/>
    <cellStyle name="Total 28 2 2 3" xfId="38335"/>
    <cellStyle name="Total 28 2 2 3 2" xfId="38336"/>
    <cellStyle name="Total 28 2 2 4" xfId="38337"/>
    <cellStyle name="Total 28 2 2 4 2" xfId="38338"/>
    <cellStyle name="Total 28 2 2 5" xfId="38339"/>
    <cellStyle name="Total 28 2 2 6" xfId="38340"/>
    <cellStyle name="Total 28 2 2 7" xfId="38341"/>
    <cellStyle name="Total 28 2 2 8" xfId="38342"/>
    <cellStyle name="Total 28 2 2 9" xfId="38343"/>
    <cellStyle name="Total 28 2 3" xfId="38344"/>
    <cellStyle name="Total 28 2 3 2" xfId="38345"/>
    <cellStyle name="Total 28 2 3 2 2" xfId="38346"/>
    <cellStyle name="Total 28 2 3 2 3" xfId="38347"/>
    <cellStyle name="Total 28 2 3 3" xfId="38348"/>
    <cellStyle name="Total 28 2 3 3 2" xfId="38349"/>
    <cellStyle name="Total 28 2 3 4" xfId="38350"/>
    <cellStyle name="Total 28 2 3 5" xfId="38351"/>
    <cellStyle name="Total 28 2 3 6" xfId="38352"/>
    <cellStyle name="Total 28 2 4" xfId="38353"/>
    <cellStyle name="Total 28 2 4 2" xfId="38354"/>
    <cellStyle name="Total 28 2 4 3" xfId="38355"/>
    <cellStyle name="Total 28 2 5" xfId="38356"/>
    <cellStyle name="Total 28 2 6" xfId="38357"/>
    <cellStyle name="Total 28 2 7" xfId="38358"/>
    <cellStyle name="Total 28 2 8" xfId="38359"/>
    <cellStyle name="Total 28 2 9" xfId="38330"/>
    <cellStyle name="Total 28 3" xfId="7562"/>
    <cellStyle name="Total 28 3 2" xfId="38361"/>
    <cellStyle name="Total 28 3 2 2" xfId="38362"/>
    <cellStyle name="Total 28 3 2 2 2" xfId="38363"/>
    <cellStyle name="Total 28 3 2 3" xfId="38364"/>
    <cellStyle name="Total 28 3 2 3 2" xfId="38365"/>
    <cellStyle name="Total 28 3 2 4" xfId="38366"/>
    <cellStyle name="Total 28 3 2 4 2" xfId="38367"/>
    <cellStyle name="Total 28 3 2 5" xfId="38368"/>
    <cellStyle name="Total 28 3 2 6" xfId="38369"/>
    <cellStyle name="Total 28 3 2 7" xfId="38370"/>
    <cellStyle name="Total 28 3 2 8" xfId="38371"/>
    <cellStyle name="Total 28 3 2 9" xfId="38372"/>
    <cellStyle name="Total 28 3 3" xfId="38373"/>
    <cellStyle name="Total 28 3 3 2" xfId="38374"/>
    <cellStyle name="Total 28 3 3 2 2" xfId="38375"/>
    <cellStyle name="Total 28 3 3 3" xfId="38376"/>
    <cellStyle name="Total 28 3 3 3 2" xfId="38377"/>
    <cellStyle name="Total 28 3 3 4" xfId="38378"/>
    <cellStyle name="Total 28 3 3 5" xfId="38379"/>
    <cellStyle name="Total 28 3 3 6" xfId="38380"/>
    <cellStyle name="Total 28 3 4" xfId="38381"/>
    <cellStyle name="Total 28 3 4 2" xfId="38382"/>
    <cellStyle name="Total 28 3 5" xfId="38383"/>
    <cellStyle name="Total 28 3 6" xfId="38384"/>
    <cellStyle name="Total 28 3 7" xfId="38385"/>
    <cellStyle name="Total 28 3 8" xfId="38386"/>
    <cellStyle name="Total 28 3 9" xfId="38360"/>
    <cellStyle name="Total 28 4" xfId="7563"/>
    <cellStyle name="Total 28 4 10" xfId="38387"/>
    <cellStyle name="Total 28 4 2" xfId="7564"/>
    <cellStyle name="Total 28 4 2 2" xfId="38389"/>
    <cellStyle name="Total 28 4 2 3" xfId="38390"/>
    <cellStyle name="Total 28 4 2 4" xfId="38388"/>
    <cellStyle name="Total 28 4 3" xfId="38391"/>
    <cellStyle name="Total 28 4 3 2" xfId="38392"/>
    <cellStyle name="Total 28 4 4" xfId="38393"/>
    <cellStyle name="Total 28 4 4 2" xfId="38394"/>
    <cellStyle name="Total 28 4 5" xfId="38395"/>
    <cellStyle name="Total 28 4 6" xfId="38396"/>
    <cellStyle name="Total 28 4 7" xfId="38397"/>
    <cellStyle name="Total 28 4 8" xfId="38398"/>
    <cellStyle name="Total 28 4 9" xfId="38399"/>
    <cellStyle name="Total 28 5" xfId="7565"/>
    <cellStyle name="Total 28 5 10" xfId="38400"/>
    <cellStyle name="Total 28 5 2" xfId="7566"/>
    <cellStyle name="Total 28 5 2 2" xfId="38402"/>
    <cellStyle name="Total 28 5 2 3" xfId="38403"/>
    <cellStyle name="Total 28 5 2 4" xfId="38401"/>
    <cellStyle name="Total 28 5 3" xfId="38404"/>
    <cellStyle name="Total 28 5 3 2" xfId="38405"/>
    <cellStyle name="Total 28 5 4" xfId="38406"/>
    <cellStyle name="Total 28 5 4 2" xfId="38407"/>
    <cellStyle name="Total 28 5 5" xfId="38408"/>
    <cellStyle name="Total 28 5 6" xfId="38409"/>
    <cellStyle name="Total 28 5 7" xfId="38410"/>
    <cellStyle name="Total 28 5 8" xfId="38411"/>
    <cellStyle name="Total 28 5 9" xfId="38412"/>
    <cellStyle name="Total 28 6" xfId="7567"/>
    <cellStyle name="Total 28 6 2" xfId="38414"/>
    <cellStyle name="Total 28 6 2 2" xfId="38415"/>
    <cellStyle name="Total 28 6 3" xfId="38416"/>
    <cellStyle name="Total 28 6 3 2" xfId="38417"/>
    <cellStyle name="Total 28 6 4" xfId="38418"/>
    <cellStyle name="Total 28 6 5" xfId="38419"/>
    <cellStyle name="Total 28 6 6" xfId="38420"/>
    <cellStyle name="Total 28 6 7" xfId="38413"/>
    <cellStyle name="Total 28 7" xfId="7568"/>
    <cellStyle name="Total 28 7 2" xfId="38422"/>
    <cellStyle name="Total 28 7 3" xfId="38421"/>
    <cellStyle name="Total 28 8" xfId="8443"/>
    <cellStyle name="Total 28 9" xfId="38423"/>
    <cellStyle name="Total 29" xfId="2903"/>
    <cellStyle name="Total 29 10" xfId="38424"/>
    <cellStyle name="Total 29 11" xfId="38425"/>
    <cellStyle name="Total 29 2" xfId="7569"/>
    <cellStyle name="Total 29 2 2" xfId="38427"/>
    <cellStyle name="Total 29 2 2 2" xfId="38428"/>
    <cellStyle name="Total 29 2 2 2 2" xfId="38429"/>
    <cellStyle name="Total 29 2 2 2 3" xfId="38430"/>
    <cellStyle name="Total 29 2 2 3" xfId="38431"/>
    <cellStyle name="Total 29 2 2 3 2" xfId="38432"/>
    <cellStyle name="Total 29 2 2 4" xfId="38433"/>
    <cellStyle name="Total 29 2 2 4 2" xfId="38434"/>
    <cellStyle name="Total 29 2 2 5" xfId="38435"/>
    <cellStyle name="Total 29 2 2 6" xfId="38436"/>
    <cellStyle name="Total 29 2 2 7" xfId="38437"/>
    <cellStyle name="Total 29 2 2 8" xfId="38438"/>
    <cellStyle name="Total 29 2 2 9" xfId="38439"/>
    <cellStyle name="Total 29 2 3" xfId="38440"/>
    <cellStyle name="Total 29 2 3 2" xfId="38441"/>
    <cellStyle name="Total 29 2 3 2 2" xfId="38442"/>
    <cellStyle name="Total 29 2 3 2 3" xfId="38443"/>
    <cellStyle name="Total 29 2 3 3" xfId="38444"/>
    <cellStyle name="Total 29 2 3 3 2" xfId="38445"/>
    <cellStyle name="Total 29 2 3 4" xfId="38446"/>
    <cellStyle name="Total 29 2 3 5" xfId="38447"/>
    <cellStyle name="Total 29 2 3 6" xfId="38448"/>
    <cellStyle name="Total 29 2 4" xfId="38449"/>
    <cellStyle name="Total 29 2 4 2" xfId="38450"/>
    <cellStyle name="Total 29 2 4 3" xfId="38451"/>
    <cellStyle name="Total 29 2 5" xfId="38452"/>
    <cellStyle name="Total 29 2 6" xfId="38453"/>
    <cellStyle name="Total 29 2 7" xfId="38454"/>
    <cellStyle name="Total 29 2 8" xfId="38455"/>
    <cellStyle name="Total 29 2 9" xfId="38426"/>
    <cellStyle name="Total 29 3" xfId="7570"/>
    <cellStyle name="Total 29 3 2" xfId="38457"/>
    <cellStyle name="Total 29 3 2 2" xfId="38458"/>
    <cellStyle name="Total 29 3 2 2 2" xfId="38459"/>
    <cellStyle name="Total 29 3 2 3" xfId="38460"/>
    <cellStyle name="Total 29 3 2 3 2" xfId="38461"/>
    <cellStyle name="Total 29 3 2 4" xfId="38462"/>
    <cellStyle name="Total 29 3 2 4 2" xfId="38463"/>
    <cellStyle name="Total 29 3 2 5" xfId="38464"/>
    <cellStyle name="Total 29 3 2 6" xfId="38465"/>
    <cellStyle name="Total 29 3 2 7" xfId="38466"/>
    <cellStyle name="Total 29 3 2 8" xfId="38467"/>
    <cellStyle name="Total 29 3 2 9" xfId="38468"/>
    <cellStyle name="Total 29 3 3" xfId="38469"/>
    <cellStyle name="Total 29 3 3 2" xfId="38470"/>
    <cellStyle name="Total 29 3 3 2 2" xfId="38471"/>
    <cellStyle name="Total 29 3 3 3" xfId="38472"/>
    <cellStyle name="Total 29 3 3 3 2" xfId="38473"/>
    <cellStyle name="Total 29 3 3 4" xfId="38474"/>
    <cellStyle name="Total 29 3 3 5" xfId="38475"/>
    <cellStyle name="Total 29 3 3 6" xfId="38476"/>
    <cellStyle name="Total 29 3 4" xfId="38477"/>
    <cellStyle name="Total 29 3 4 2" xfId="38478"/>
    <cellStyle name="Total 29 3 5" xfId="38479"/>
    <cellStyle name="Total 29 3 6" xfId="38480"/>
    <cellStyle name="Total 29 3 7" xfId="38481"/>
    <cellStyle name="Total 29 3 8" xfId="38482"/>
    <cellStyle name="Total 29 3 9" xfId="38456"/>
    <cellStyle name="Total 29 4" xfId="7571"/>
    <cellStyle name="Total 29 4 10" xfId="38483"/>
    <cellStyle name="Total 29 4 2" xfId="7572"/>
    <cellStyle name="Total 29 4 2 2" xfId="38485"/>
    <cellStyle name="Total 29 4 2 3" xfId="38486"/>
    <cellStyle name="Total 29 4 2 4" xfId="38484"/>
    <cellStyle name="Total 29 4 3" xfId="38487"/>
    <cellStyle name="Total 29 4 3 2" xfId="38488"/>
    <cellStyle name="Total 29 4 4" xfId="38489"/>
    <cellStyle name="Total 29 4 4 2" xfId="38490"/>
    <cellStyle name="Total 29 4 5" xfId="38491"/>
    <cellStyle name="Total 29 4 6" xfId="38492"/>
    <cellStyle name="Total 29 4 7" xfId="38493"/>
    <cellStyle name="Total 29 4 8" xfId="38494"/>
    <cellStyle name="Total 29 4 9" xfId="38495"/>
    <cellStyle name="Total 29 5" xfId="7573"/>
    <cellStyle name="Total 29 5 10" xfId="38496"/>
    <cellStyle name="Total 29 5 2" xfId="7574"/>
    <cellStyle name="Total 29 5 2 2" xfId="38498"/>
    <cellStyle name="Total 29 5 2 3" xfId="38499"/>
    <cellStyle name="Total 29 5 2 4" xfId="38497"/>
    <cellStyle name="Total 29 5 3" xfId="38500"/>
    <cellStyle name="Total 29 5 3 2" xfId="38501"/>
    <cellStyle name="Total 29 5 4" xfId="38502"/>
    <cellStyle name="Total 29 5 4 2" xfId="38503"/>
    <cellStyle name="Total 29 5 5" xfId="38504"/>
    <cellStyle name="Total 29 5 6" xfId="38505"/>
    <cellStyle name="Total 29 5 7" xfId="38506"/>
    <cellStyle name="Total 29 5 8" xfId="38507"/>
    <cellStyle name="Total 29 5 9" xfId="38508"/>
    <cellStyle name="Total 29 6" xfId="7575"/>
    <cellStyle name="Total 29 6 2" xfId="38510"/>
    <cellStyle name="Total 29 6 2 2" xfId="38511"/>
    <cellStyle name="Total 29 6 3" xfId="38512"/>
    <cellStyle name="Total 29 6 3 2" xfId="38513"/>
    <cellStyle name="Total 29 6 4" xfId="38514"/>
    <cellStyle name="Total 29 6 5" xfId="38515"/>
    <cellStyle name="Total 29 6 6" xfId="38516"/>
    <cellStyle name="Total 29 6 7" xfId="38509"/>
    <cellStyle name="Total 29 7" xfId="7576"/>
    <cellStyle name="Total 29 7 2" xfId="38518"/>
    <cellStyle name="Total 29 7 3" xfId="38517"/>
    <cellStyle name="Total 29 8" xfId="8444"/>
    <cellStyle name="Total 29 9" xfId="38519"/>
    <cellStyle name="Total 3" xfId="2339"/>
    <cellStyle name="Total 3 10" xfId="38520"/>
    <cellStyle name="Total 3 11" xfId="38521"/>
    <cellStyle name="Total 3 12" xfId="41333"/>
    <cellStyle name="Total 3 2" xfId="2340"/>
    <cellStyle name="Total 3 2 2" xfId="2341"/>
    <cellStyle name="Total 3 2 2 2" xfId="8268"/>
    <cellStyle name="Total 3 2 2 2 2" xfId="38522"/>
    <cellStyle name="Total 3 2 2 2 3" xfId="38523"/>
    <cellStyle name="Total 3 2 2 3" xfId="38524"/>
    <cellStyle name="Total 3 2 2 3 2" xfId="38525"/>
    <cellStyle name="Total 3 2 2 4" xfId="38526"/>
    <cellStyle name="Total 3 2 2 4 2" xfId="38527"/>
    <cellStyle name="Total 3 2 2 5" xfId="38528"/>
    <cellStyle name="Total 3 2 2 6" xfId="38529"/>
    <cellStyle name="Total 3 2 2 7" xfId="38530"/>
    <cellStyle name="Total 3 2 2 8" xfId="38531"/>
    <cellStyle name="Total 3 2 2 9" xfId="38532"/>
    <cellStyle name="Total 3 2 3" xfId="7577"/>
    <cellStyle name="Total 3 2 3 2" xfId="38534"/>
    <cellStyle name="Total 3 2 3 2 2" xfId="38535"/>
    <cellStyle name="Total 3 2 3 2 3" xfId="38536"/>
    <cellStyle name="Total 3 2 3 3" xfId="38537"/>
    <cellStyle name="Total 3 2 3 3 2" xfId="38538"/>
    <cellStyle name="Total 3 2 3 4" xfId="38539"/>
    <cellStyle name="Total 3 2 3 5" xfId="38540"/>
    <cellStyle name="Total 3 2 3 6" xfId="38541"/>
    <cellStyle name="Total 3 2 3 7" xfId="38533"/>
    <cellStyle name="Total 3 2 4" xfId="7578"/>
    <cellStyle name="Total 3 2 4 2" xfId="7579"/>
    <cellStyle name="Total 3 2 4 2 2" xfId="38543"/>
    <cellStyle name="Total 3 2 4 3" xfId="38544"/>
    <cellStyle name="Total 3 2 4 4" xfId="38542"/>
    <cellStyle name="Total 3 2 5" xfId="7580"/>
    <cellStyle name="Total 3 2 5 2" xfId="7581"/>
    <cellStyle name="Total 3 2 5 3" xfId="38545"/>
    <cellStyle name="Total 3 2 6" xfId="7582"/>
    <cellStyle name="Total 3 2 6 2" xfId="38546"/>
    <cellStyle name="Total 3 2 7" xfId="7583"/>
    <cellStyle name="Total 3 2 7 2" xfId="38547"/>
    <cellStyle name="Total 3 2 8" xfId="8267"/>
    <cellStyle name="Total 3 3" xfId="2342"/>
    <cellStyle name="Total 3 3 2" xfId="2343"/>
    <cellStyle name="Total 3 3 2 2" xfId="8270"/>
    <cellStyle name="Total 3 3 2 2 2" xfId="38548"/>
    <cellStyle name="Total 3 3 2 3" xfId="38549"/>
    <cellStyle name="Total 3 3 2 3 2" xfId="38550"/>
    <cellStyle name="Total 3 3 2 4" xfId="38551"/>
    <cellStyle name="Total 3 3 2 4 2" xfId="38552"/>
    <cellStyle name="Total 3 3 2 5" xfId="38553"/>
    <cellStyle name="Total 3 3 2 6" xfId="38554"/>
    <cellStyle name="Total 3 3 2 7" xfId="38555"/>
    <cellStyle name="Total 3 3 2 8" xfId="38556"/>
    <cellStyle name="Total 3 3 2 9" xfId="38557"/>
    <cellStyle name="Total 3 3 3" xfId="8269"/>
    <cellStyle name="Total 3 3 3 2" xfId="38558"/>
    <cellStyle name="Total 3 3 3 2 2" xfId="38559"/>
    <cellStyle name="Total 3 3 3 3" xfId="38560"/>
    <cellStyle name="Total 3 3 3 3 2" xfId="38561"/>
    <cellStyle name="Total 3 3 3 4" xfId="38562"/>
    <cellStyle name="Total 3 3 3 5" xfId="38563"/>
    <cellStyle name="Total 3 3 3 6" xfId="38564"/>
    <cellStyle name="Total 3 3 4" xfId="38565"/>
    <cellStyle name="Total 3 3 4 2" xfId="38566"/>
    <cellStyle name="Total 3 3 5" xfId="38567"/>
    <cellStyle name="Total 3 3 6" xfId="38568"/>
    <cellStyle name="Total 3 3 7" xfId="38569"/>
    <cellStyle name="Total 3 3 8" xfId="38570"/>
    <cellStyle name="Total 3 4" xfId="2344"/>
    <cellStyle name="Total 3 4 2" xfId="8271"/>
    <cellStyle name="Total 3 4 2 2" xfId="38571"/>
    <cellStyle name="Total 3 4 2 3" xfId="38572"/>
    <cellStyle name="Total 3 4 3" xfId="38573"/>
    <cellStyle name="Total 3 4 3 2" xfId="38574"/>
    <cellStyle name="Total 3 4 4" xfId="38575"/>
    <cellStyle name="Total 3 4 4 2" xfId="38576"/>
    <cellStyle name="Total 3 4 5" xfId="38577"/>
    <cellStyle name="Total 3 4 6" xfId="38578"/>
    <cellStyle name="Total 3 4 7" xfId="38579"/>
    <cellStyle name="Total 3 4 8" xfId="38580"/>
    <cellStyle name="Total 3 4 9" xfId="38581"/>
    <cellStyle name="Total 3 5" xfId="7584"/>
    <cellStyle name="Total 3 5 10" xfId="38582"/>
    <cellStyle name="Total 3 5 2" xfId="7585"/>
    <cellStyle name="Total 3 5 2 2" xfId="38584"/>
    <cellStyle name="Total 3 5 2 3" xfId="38585"/>
    <cellStyle name="Total 3 5 2 4" xfId="38583"/>
    <cellStyle name="Total 3 5 3" xfId="38586"/>
    <cellStyle name="Total 3 5 3 2" xfId="38587"/>
    <cellStyle name="Total 3 5 4" xfId="38588"/>
    <cellStyle name="Total 3 5 4 2" xfId="38589"/>
    <cellStyle name="Total 3 5 5" xfId="38590"/>
    <cellStyle name="Total 3 5 6" xfId="38591"/>
    <cellStyle name="Total 3 5 7" xfId="38592"/>
    <cellStyle name="Total 3 5 8" xfId="38593"/>
    <cellStyle name="Total 3 5 9" xfId="38594"/>
    <cellStyle name="Total 3 6" xfId="7586"/>
    <cellStyle name="Total 3 6 2" xfId="7587"/>
    <cellStyle name="Total 3 6 2 2" xfId="38597"/>
    <cellStyle name="Total 3 6 2 3" xfId="38596"/>
    <cellStyle name="Total 3 6 3" xfId="38598"/>
    <cellStyle name="Total 3 6 3 2" xfId="38599"/>
    <cellStyle name="Total 3 6 4" xfId="38600"/>
    <cellStyle name="Total 3 6 5" xfId="38601"/>
    <cellStyle name="Total 3 6 6" xfId="38602"/>
    <cellStyle name="Total 3 6 7" xfId="38595"/>
    <cellStyle name="Total 3 7" xfId="7588"/>
    <cellStyle name="Total 3 7 2" xfId="38604"/>
    <cellStyle name="Total 3 7 3" xfId="38603"/>
    <cellStyle name="Total 3 8" xfId="7589"/>
    <cellStyle name="Total 3 8 2" xfId="38605"/>
    <cellStyle name="Total 3 9" xfId="8266"/>
    <cellStyle name="Total 30" xfId="2904"/>
    <cellStyle name="Total 30 10" xfId="38606"/>
    <cellStyle name="Total 30 11" xfId="38607"/>
    <cellStyle name="Total 30 2" xfId="7590"/>
    <cellStyle name="Total 30 2 2" xfId="38609"/>
    <cellStyle name="Total 30 2 2 2" xfId="38610"/>
    <cellStyle name="Total 30 2 2 2 2" xfId="38611"/>
    <cellStyle name="Total 30 2 2 2 3" xfId="38612"/>
    <cellStyle name="Total 30 2 2 3" xfId="38613"/>
    <cellStyle name="Total 30 2 2 3 2" xfId="38614"/>
    <cellStyle name="Total 30 2 2 4" xfId="38615"/>
    <cellStyle name="Total 30 2 2 4 2" xfId="38616"/>
    <cellStyle name="Total 30 2 2 5" xfId="38617"/>
    <cellStyle name="Total 30 2 2 6" xfId="38618"/>
    <cellStyle name="Total 30 2 2 7" xfId="38619"/>
    <cellStyle name="Total 30 2 2 8" xfId="38620"/>
    <cellStyle name="Total 30 2 2 9" xfId="38621"/>
    <cellStyle name="Total 30 2 3" xfId="38622"/>
    <cellStyle name="Total 30 2 3 2" xfId="38623"/>
    <cellStyle name="Total 30 2 3 2 2" xfId="38624"/>
    <cellStyle name="Total 30 2 3 2 3" xfId="38625"/>
    <cellStyle name="Total 30 2 3 3" xfId="38626"/>
    <cellStyle name="Total 30 2 3 3 2" xfId="38627"/>
    <cellStyle name="Total 30 2 3 4" xfId="38628"/>
    <cellStyle name="Total 30 2 3 5" xfId="38629"/>
    <cellStyle name="Total 30 2 3 6" xfId="38630"/>
    <cellStyle name="Total 30 2 4" xfId="38631"/>
    <cellStyle name="Total 30 2 4 2" xfId="38632"/>
    <cellStyle name="Total 30 2 4 3" xfId="38633"/>
    <cellStyle name="Total 30 2 5" xfId="38634"/>
    <cellStyle name="Total 30 2 6" xfId="38635"/>
    <cellStyle name="Total 30 2 7" xfId="38636"/>
    <cellStyle name="Total 30 2 8" xfId="38637"/>
    <cellStyle name="Total 30 2 9" xfId="38608"/>
    <cellStyle name="Total 30 3" xfId="7591"/>
    <cellStyle name="Total 30 3 2" xfId="38639"/>
    <cellStyle name="Total 30 3 2 2" xfId="38640"/>
    <cellStyle name="Total 30 3 2 2 2" xfId="38641"/>
    <cellStyle name="Total 30 3 2 3" xfId="38642"/>
    <cellStyle name="Total 30 3 2 3 2" xfId="38643"/>
    <cellStyle name="Total 30 3 2 4" xfId="38644"/>
    <cellStyle name="Total 30 3 2 4 2" xfId="38645"/>
    <cellStyle name="Total 30 3 2 5" xfId="38646"/>
    <cellStyle name="Total 30 3 2 6" xfId="38647"/>
    <cellStyle name="Total 30 3 2 7" xfId="38648"/>
    <cellStyle name="Total 30 3 2 8" xfId="38649"/>
    <cellStyle name="Total 30 3 2 9" xfId="38650"/>
    <cellStyle name="Total 30 3 3" xfId="38651"/>
    <cellStyle name="Total 30 3 3 2" xfId="38652"/>
    <cellStyle name="Total 30 3 3 2 2" xfId="38653"/>
    <cellStyle name="Total 30 3 3 3" xfId="38654"/>
    <cellStyle name="Total 30 3 3 3 2" xfId="38655"/>
    <cellStyle name="Total 30 3 3 4" xfId="38656"/>
    <cellStyle name="Total 30 3 3 5" xfId="38657"/>
    <cellStyle name="Total 30 3 3 6" xfId="38658"/>
    <cellStyle name="Total 30 3 4" xfId="38659"/>
    <cellStyle name="Total 30 3 4 2" xfId="38660"/>
    <cellStyle name="Total 30 3 5" xfId="38661"/>
    <cellStyle name="Total 30 3 6" xfId="38662"/>
    <cellStyle name="Total 30 3 7" xfId="38663"/>
    <cellStyle name="Total 30 3 8" xfId="38664"/>
    <cellStyle name="Total 30 3 9" xfId="38638"/>
    <cellStyle name="Total 30 4" xfId="7592"/>
    <cellStyle name="Total 30 4 10" xfId="38665"/>
    <cellStyle name="Total 30 4 2" xfId="7593"/>
    <cellStyle name="Total 30 4 2 2" xfId="38667"/>
    <cellStyle name="Total 30 4 2 3" xfId="38668"/>
    <cellStyle name="Total 30 4 2 4" xfId="38666"/>
    <cellStyle name="Total 30 4 3" xfId="38669"/>
    <cellStyle name="Total 30 4 3 2" xfId="38670"/>
    <cellStyle name="Total 30 4 4" xfId="38671"/>
    <cellStyle name="Total 30 4 4 2" xfId="38672"/>
    <cellStyle name="Total 30 4 5" xfId="38673"/>
    <cellStyle name="Total 30 4 6" xfId="38674"/>
    <cellStyle name="Total 30 4 7" xfId="38675"/>
    <cellStyle name="Total 30 4 8" xfId="38676"/>
    <cellStyle name="Total 30 4 9" xfId="38677"/>
    <cellStyle name="Total 30 5" xfId="7594"/>
    <cellStyle name="Total 30 5 10" xfId="38678"/>
    <cellStyle name="Total 30 5 2" xfId="7595"/>
    <cellStyle name="Total 30 5 2 2" xfId="38680"/>
    <cellStyle name="Total 30 5 2 3" xfId="38681"/>
    <cellStyle name="Total 30 5 2 4" xfId="38679"/>
    <cellStyle name="Total 30 5 3" xfId="38682"/>
    <cellStyle name="Total 30 5 3 2" xfId="38683"/>
    <cellStyle name="Total 30 5 4" xfId="38684"/>
    <cellStyle name="Total 30 5 4 2" xfId="38685"/>
    <cellStyle name="Total 30 5 5" xfId="38686"/>
    <cellStyle name="Total 30 5 6" xfId="38687"/>
    <cellStyle name="Total 30 5 7" xfId="38688"/>
    <cellStyle name="Total 30 5 8" xfId="38689"/>
    <cellStyle name="Total 30 5 9" xfId="38690"/>
    <cellStyle name="Total 30 6" xfId="7596"/>
    <cellStyle name="Total 30 6 2" xfId="38692"/>
    <cellStyle name="Total 30 6 2 2" xfId="38693"/>
    <cellStyle name="Total 30 6 3" xfId="38694"/>
    <cellStyle name="Total 30 6 3 2" xfId="38695"/>
    <cellStyle name="Total 30 6 4" xfId="38696"/>
    <cellStyle name="Total 30 6 5" xfId="38697"/>
    <cellStyle name="Total 30 6 6" xfId="38698"/>
    <cellStyle name="Total 30 6 7" xfId="38691"/>
    <cellStyle name="Total 30 7" xfId="7597"/>
    <cellStyle name="Total 30 7 2" xfId="38700"/>
    <cellStyle name="Total 30 7 3" xfId="38699"/>
    <cellStyle name="Total 30 8" xfId="8445"/>
    <cellStyle name="Total 30 9" xfId="38701"/>
    <cellStyle name="Total 31" xfId="2905"/>
    <cellStyle name="Total 31 10" xfId="38702"/>
    <cellStyle name="Total 31 11" xfId="38703"/>
    <cellStyle name="Total 31 2" xfId="7598"/>
    <cellStyle name="Total 31 2 2" xfId="38705"/>
    <cellStyle name="Total 31 2 2 2" xfId="38706"/>
    <cellStyle name="Total 31 2 2 2 2" xfId="38707"/>
    <cellStyle name="Total 31 2 2 2 3" xfId="38708"/>
    <cellStyle name="Total 31 2 2 3" xfId="38709"/>
    <cellStyle name="Total 31 2 2 3 2" xfId="38710"/>
    <cellStyle name="Total 31 2 2 4" xfId="38711"/>
    <cellStyle name="Total 31 2 2 4 2" xfId="38712"/>
    <cellStyle name="Total 31 2 2 5" xfId="38713"/>
    <cellStyle name="Total 31 2 2 6" xfId="38714"/>
    <cellStyle name="Total 31 2 2 7" xfId="38715"/>
    <cellStyle name="Total 31 2 2 8" xfId="38716"/>
    <cellStyle name="Total 31 2 2 9" xfId="38717"/>
    <cellStyle name="Total 31 2 3" xfId="38718"/>
    <cellStyle name="Total 31 2 3 2" xfId="38719"/>
    <cellStyle name="Total 31 2 3 2 2" xfId="38720"/>
    <cellStyle name="Total 31 2 3 2 3" xfId="38721"/>
    <cellStyle name="Total 31 2 3 3" xfId="38722"/>
    <cellStyle name="Total 31 2 3 3 2" xfId="38723"/>
    <cellStyle name="Total 31 2 3 4" xfId="38724"/>
    <cellStyle name="Total 31 2 3 5" xfId="38725"/>
    <cellStyle name="Total 31 2 3 6" xfId="38726"/>
    <cellStyle name="Total 31 2 4" xfId="38727"/>
    <cellStyle name="Total 31 2 4 2" xfId="38728"/>
    <cellStyle name="Total 31 2 4 3" xfId="38729"/>
    <cellStyle name="Total 31 2 5" xfId="38730"/>
    <cellStyle name="Total 31 2 6" xfId="38731"/>
    <cellStyle name="Total 31 2 7" xfId="38732"/>
    <cellStyle name="Total 31 2 8" xfId="38733"/>
    <cellStyle name="Total 31 2 9" xfId="38704"/>
    <cellStyle name="Total 31 3" xfId="7599"/>
    <cellStyle name="Total 31 3 2" xfId="38735"/>
    <cellStyle name="Total 31 3 2 2" xfId="38736"/>
    <cellStyle name="Total 31 3 2 2 2" xfId="38737"/>
    <cellStyle name="Total 31 3 2 3" xfId="38738"/>
    <cellStyle name="Total 31 3 2 3 2" xfId="38739"/>
    <cellStyle name="Total 31 3 2 4" xfId="38740"/>
    <cellStyle name="Total 31 3 2 4 2" xfId="38741"/>
    <cellStyle name="Total 31 3 2 5" xfId="38742"/>
    <cellStyle name="Total 31 3 2 6" xfId="38743"/>
    <cellStyle name="Total 31 3 2 7" xfId="38744"/>
    <cellStyle name="Total 31 3 2 8" xfId="38745"/>
    <cellStyle name="Total 31 3 2 9" xfId="38746"/>
    <cellStyle name="Total 31 3 3" xfId="38747"/>
    <cellStyle name="Total 31 3 3 2" xfId="38748"/>
    <cellStyle name="Total 31 3 3 2 2" xfId="38749"/>
    <cellStyle name="Total 31 3 3 3" xfId="38750"/>
    <cellStyle name="Total 31 3 3 3 2" xfId="38751"/>
    <cellStyle name="Total 31 3 3 4" xfId="38752"/>
    <cellStyle name="Total 31 3 3 5" xfId="38753"/>
    <cellStyle name="Total 31 3 3 6" xfId="38754"/>
    <cellStyle name="Total 31 3 4" xfId="38755"/>
    <cellStyle name="Total 31 3 4 2" xfId="38756"/>
    <cellStyle name="Total 31 3 5" xfId="38757"/>
    <cellStyle name="Total 31 3 6" xfId="38758"/>
    <cellStyle name="Total 31 3 7" xfId="38759"/>
    <cellStyle name="Total 31 3 8" xfId="38760"/>
    <cellStyle name="Total 31 3 9" xfId="38734"/>
    <cellStyle name="Total 31 4" xfId="7600"/>
    <cellStyle name="Total 31 4 10" xfId="38761"/>
    <cellStyle name="Total 31 4 2" xfId="7601"/>
    <cellStyle name="Total 31 4 2 2" xfId="38763"/>
    <cellStyle name="Total 31 4 2 3" xfId="38764"/>
    <cellStyle name="Total 31 4 2 4" xfId="38762"/>
    <cellStyle name="Total 31 4 3" xfId="38765"/>
    <cellStyle name="Total 31 4 3 2" xfId="38766"/>
    <cellStyle name="Total 31 4 4" xfId="38767"/>
    <cellStyle name="Total 31 4 4 2" xfId="38768"/>
    <cellStyle name="Total 31 4 5" xfId="38769"/>
    <cellStyle name="Total 31 4 6" xfId="38770"/>
    <cellStyle name="Total 31 4 7" xfId="38771"/>
    <cellStyle name="Total 31 4 8" xfId="38772"/>
    <cellStyle name="Total 31 4 9" xfId="38773"/>
    <cellStyle name="Total 31 5" xfId="7602"/>
    <cellStyle name="Total 31 5 10" xfId="38774"/>
    <cellStyle name="Total 31 5 2" xfId="7603"/>
    <cellStyle name="Total 31 5 2 2" xfId="38776"/>
    <cellStyle name="Total 31 5 2 3" xfId="38777"/>
    <cellStyle name="Total 31 5 2 4" xfId="38775"/>
    <cellStyle name="Total 31 5 3" xfId="38778"/>
    <cellStyle name="Total 31 5 3 2" xfId="38779"/>
    <cellStyle name="Total 31 5 4" xfId="38780"/>
    <cellStyle name="Total 31 5 4 2" xfId="38781"/>
    <cellStyle name="Total 31 5 5" xfId="38782"/>
    <cellStyle name="Total 31 5 6" xfId="38783"/>
    <cellStyle name="Total 31 5 7" xfId="38784"/>
    <cellStyle name="Total 31 5 8" xfId="38785"/>
    <cellStyle name="Total 31 5 9" xfId="38786"/>
    <cellStyle name="Total 31 6" xfId="7604"/>
    <cellStyle name="Total 31 6 2" xfId="38788"/>
    <cellStyle name="Total 31 6 2 2" xfId="38789"/>
    <cellStyle name="Total 31 6 3" xfId="38790"/>
    <cellStyle name="Total 31 6 3 2" xfId="38791"/>
    <cellStyle name="Total 31 6 4" xfId="38792"/>
    <cellStyle name="Total 31 6 5" xfId="38793"/>
    <cellStyle name="Total 31 6 6" xfId="38794"/>
    <cellStyle name="Total 31 6 7" xfId="38787"/>
    <cellStyle name="Total 31 7" xfId="7605"/>
    <cellStyle name="Total 31 7 2" xfId="38796"/>
    <cellStyle name="Total 31 7 3" xfId="38795"/>
    <cellStyle name="Total 31 8" xfId="8446"/>
    <cellStyle name="Total 31 9" xfId="38797"/>
    <cellStyle name="Total 32" xfId="2906"/>
    <cellStyle name="Total 32 10" xfId="38798"/>
    <cellStyle name="Total 32 11" xfId="38799"/>
    <cellStyle name="Total 32 2" xfId="7606"/>
    <cellStyle name="Total 32 2 2" xfId="38801"/>
    <cellStyle name="Total 32 2 2 2" xfId="38802"/>
    <cellStyle name="Total 32 2 2 2 2" xfId="38803"/>
    <cellStyle name="Total 32 2 2 2 3" xfId="38804"/>
    <cellStyle name="Total 32 2 2 3" xfId="38805"/>
    <cellStyle name="Total 32 2 2 3 2" xfId="38806"/>
    <cellStyle name="Total 32 2 2 4" xfId="38807"/>
    <cellStyle name="Total 32 2 2 4 2" xfId="38808"/>
    <cellStyle name="Total 32 2 2 5" xfId="38809"/>
    <cellStyle name="Total 32 2 2 6" xfId="38810"/>
    <cellStyle name="Total 32 2 2 7" xfId="38811"/>
    <cellStyle name="Total 32 2 2 8" xfId="38812"/>
    <cellStyle name="Total 32 2 2 9" xfId="38813"/>
    <cellStyle name="Total 32 2 3" xfId="38814"/>
    <cellStyle name="Total 32 2 3 2" xfId="38815"/>
    <cellStyle name="Total 32 2 3 2 2" xfId="38816"/>
    <cellStyle name="Total 32 2 3 2 3" xfId="38817"/>
    <cellStyle name="Total 32 2 3 3" xfId="38818"/>
    <cellStyle name="Total 32 2 3 3 2" xfId="38819"/>
    <cellStyle name="Total 32 2 3 4" xfId="38820"/>
    <cellStyle name="Total 32 2 3 5" xfId="38821"/>
    <cellStyle name="Total 32 2 3 6" xfId="38822"/>
    <cellStyle name="Total 32 2 4" xfId="38823"/>
    <cellStyle name="Total 32 2 4 2" xfId="38824"/>
    <cellStyle name="Total 32 2 4 3" xfId="38825"/>
    <cellStyle name="Total 32 2 5" xfId="38826"/>
    <cellStyle name="Total 32 2 6" xfId="38827"/>
    <cellStyle name="Total 32 2 7" xfId="38828"/>
    <cellStyle name="Total 32 2 8" xfId="38829"/>
    <cellStyle name="Total 32 2 9" xfId="38800"/>
    <cellStyle name="Total 32 3" xfId="7607"/>
    <cellStyle name="Total 32 3 2" xfId="38831"/>
    <cellStyle name="Total 32 3 2 2" xfId="38832"/>
    <cellStyle name="Total 32 3 2 2 2" xfId="38833"/>
    <cellStyle name="Total 32 3 2 3" xfId="38834"/>
    <cellStyle name="Total 32 3 2 3 2" xfId="38835"/>
    <cellStyle name="Total 32 3 2 4" xfId="38836"/>
    <cellStyle name="Total 32 3 2 4 2" xfId="38837"/>
    <cellStyle name="Total 32 3 2 5" xfId="38838"/>
    <cellStyle name="Total 32 3 2 6" xfId="38839"/>
    <cellStyle name="Total 32 3 2 7" xfId="38840"/>
    <cellStyle name="Total 32 3 2 8" xfId="38841"/>
    <cellStyle name="Total 32 3 2 9" xfId="38842"/>
    <cellStyle name="Total 32 3 3" xfId="38843"/>
    <cellStyle name="Total 32 3 3 2" xfId="38844"/>
    <cellStyle name="Total 32 3 3 2 2" xfId="38845"/>
    <cellStyle name="Total 32 3 3 3" xfId="38846"/>
    <cellStyle name="Total 32 3 3 3 2" xfId="38847"/>
    <cellStyle name="Total 32 3 3 4" xfId="38848"/>
    <cellStyle name="Total 32 3 3 5" xfId="38849"/>
    <cellStyle name="Total 32 3 3 6" xfId="38850"/>
    <cellStyle name="Total 32 3 4" xfId="38851"/>
    <cellStyle name="Total 32 3 4 2" xfId="38852"/>
    <cellStyle name="Total 32 3 5" xfId="38853"/>
    <cellStyle name="Total 32 3 6" xfId="38854"/>
    <cellStyle name="Total 32 3 7" xfId="38855"/>
    <cellStyle name="Total 32 3 8" xfId="38856"/>
    <cellStyle name="Total 32 3 9" xfId="38830"/>
    <cellStyle name="Total 32 4" xfId="7608"/>
    <cellStyle name="Total 32 4 10" xfId="38857"/>
    <cellStyle name="Total 32 4 2" xfId="7609"/>
    <cellStyle name="Total 32 4 2 2" xfId="38859"/>
    <cellStyle name="Total 32 4 2 3" xfId="38860"/>
    <cellStyle name="Total 32 4 2 4" xfId="38858"/>
    <cellStyle name="Total 32 4 3" xfId="38861"/>
    <cellStyle name="Total 32 4 3 2" xfId="38862"/>
    <cellStyle name="Total 32 4 4" xfId="38863"/>
    <cellStyle name="Total 32 4 4 2" xfId="38864"/>
    <cellStyle name="Total 32 4 5" xfId="38865"/>
    <cellStyle name="Total 32 4 6" xfId="38866"/>
    <cellStyle name="Total 32 4 7" xfId="38867"/>
    <cellStyle name="Total 32 4 8" xfId="38868"/>
    <cellStyle name="Total 32 4 9" xfId="38869"/>
    <cellStyle name="Total 32 5" xfId="7610"/>
    <cellStyle name="Total 32 5 10" xfId="38870"/>
    <cellStyle name="Total 32 5 2" xfId="7611"/>
    <cellStyle name="Total 32 5 2 2" xfId="38872"/>
    <cellStyle name="Total 32 5 2 3" xfId="38873"/>
    <cellStyle name="Total 32 5 2 4" xfId="38871"/>
    <cellStyle name="Total 32 5 3" xfId="38874"/>
    <cellStyle name="Total 32 5 3 2" xfId="38875"/>
    <cellStyle name="Total 32 5 4" xfId="38876"/>
    <cellStyle name="Total 32 5 4 2" xfId="38877"/>
    <cellStyle name="Total 32 5 5" xfId="38878"/>
    <cellStyle name="Total 32 5 6" xfId="38879"/>
    <cellStyle name="Total 32 5 7" xfId="38880"/>
    <cellStyle name="Total 32 5 8" xfId="38881"/>
    <cellStyle name="Total 32 5 9" xfId="38882"/>
    <cellStyle name="Total 32 6" xfId="7612"/>
    <cellStyle name="Total 32 6 2" xfId="38884"/>
    <cellStyle name="Total 32 6 2 2" xfId="38885"/>
    <cellStyle name="Total 32 6 3" xfId="38886"/>
    <cellStyle name="Total 32 6 3 2" xfId="38887"/>
    <cellStyle name="Total 32 6 4" xfId="38888"/>
    <cellStyle name="Total 32 6 5" xfId="38889"/>
    <cellStyle name="Total 32 6 6" xfId="38890"/>
    <cellStyle name="Total 32 6 7" xfId="38883"/>
    <cellStyle name="Total 32 7" xfId="7613"/>
    <cellStyle name="Total 32 7 2" xfId="38892"/>
    <cellStyle name="Total 32 7 3" xfId="38891"/>
    <cellStyle name="Total 32 8" xfId="8447"/>
    <cellStyle name="Total 32 9" xfId="38893"/>
    <cellStyle name="Total 33" xfId="2907"/>
    <cellStyle name="Total 33 10" xfId="38894"/>
    <cellStyle name="Total 33 11" xfId="38895"/>
    <cellStyle name="Total 33 2" xfId="7614"/>
    <cellStyle name="Total 33 2 2" xfId="38897"/>
    <cellStyle name="Total 33 2 2 2" xfId="38898"/>
    <cellStyle name="Total 33 2 2 2 2" xfId="38899"/>
    <cellStyle name="Total 33 2 2 2 3" xfId="38900"/>
    <cellStyle name="Total 33 2 2 3" xfId="38901"/>
    <cellStyle name="Total 33 2 2 3 2" xfId="38902"/>
    <cellStyle name="Total 33 2 2 4" xfId="38903"/>
    <cellStyle name="Total 33 2 2 4 2" xfId="38904"/>
    <cellStyle name="Total 33 2 2 5" xfId="38905"/>
    <cellStyle name="Total 33 2 2 6" xfId="38906"/>
    <cellStyle name="Total 33 2 2 7" xfId="38907"/>
    <cellStyle name="Total 33 2 2 8" xfId="38908"/>
    <cellStyle name="Total 33 2 2 9" xfId="38909"/>
    <cellStyle name="Total 33 2 3" xfId="38910"/>
    <cellStyle name="Total 33 2 3 2" xfId="38911"/>
    <cellStyle name="Total 33 2 3 2 2" xfId="38912"/>
    <cellStyle name="Total 33 2 3 2 3" xfId="38913"/>
    <cellStyle name="Total 33 2 3 3" xfId="38914"/>
    <cellStyle name="Total 33 2 3 3 2" xfId="38915"/>
    <cellStyle name="Total 33 2 3 4" xfId="38916"/>
    <cellStyle name="Total 33 2 3 5" xfId="38917"/>
    <cellStyle name="Total 33 2 3 6" xfId="38918"/>
    <cellStyle name="Total 33 2 4" xfId="38919"/>
    <cellStyle name="Total 33 2 4 2" xfId="38920"/>
    <cellStyle name="Total 33 2 4 3" xfId="38921"/>
    <cellStyle name="Total 33 2 5" xfId="38922"/>
    <cellStyle name="Total 33 2 6" xfId="38923"/>
    <cellStyle name="Total 33 2 7" xfId="38924"/>
    <cellStyle name="Total 33 2 8" xfId="38925"/>
    <cellStyle name="Total 33 2 9" xfId="38896"/>
    <cellStyle name="Total 33 3" xfId="7615"/>
    <cellStyle name="Total 33 3 2" xfId="38927"/>
    <cellStyle name="Total 33 3 2 2" xfId="38928"/>
    <cellStyle name="Total 33 3 2 2 2" xfId="38929"/>
    <cellStyle name="Total 33 3 2 3" xfId="38930"/>
    <cellStyle name="Total 33 3 2 3 2" xfId="38931"/>
    <cellStyle name="Total 33 3 2 4" xfId="38932"/>
    <cellStyle name="Total 33 3 2 4 2" xfId="38933"/>
    <cellStyle name="Total 33 3 2 5" xfId="38934"/>
    <cellStyle name="Total 33 3 2 6" xfId="38935"/>
    <cellStyle name="Total 33 3 2 7" xfId="38936"/>
    <cellStyle name="Total 33 3 2 8" xfId="38937"/>
    <cellStyle name="Total 33 3 2 9" xfId="38938"/>
    <cellStyle name="Total 33 3 3" xfId="38939"/>
    <cellStyle name="Total 33 3 3 2" xfId="38940"/>
    <cellStyle name="Total 33 3 3 2 2" xfId="38941"/>
    <cellStyle name="Total 33 3 3 3" xfId="38942"/>
    <cellStyle name="Total 33 3 3 3 2" xfId="38943"/>
    <cellStyle name="Total 33 3 3 4" xfId="38944"/>
    <cellStyle name="Total 33 3 3 5" xfId="38945"/>
    <cellStyle name="Total 33 3 3 6" xfId="38946"/>
    <cellStyle name="Total 33 3 4" xfId="38947"/>
    <cellStyle name="Total 33 3 4 2" xfId="38948"/>
    <cellStyle name="Total 33 3 5" xfId="38949"/>
    <cellStyle name="Total 33 3 6" xfId="38950"/>
    <cellStyle name="Total 33 3 7" xfId="38951"/>
    <cellStyle name="Total 33 3 8" xfId="38952"/>
    <cellStyle name="Total 33 3 9" xfId="38926"/>
    <cellStyle name="Total 33 4" xfId="7616"/>
    <cellStyle name="Total 33 4 10" xfId="38953"/>
    <cellStyle name="Total 33 4 2" xfId="7617"/>
    <cellStyle name="Total 33 4 2 2" xfId="38955"/>
    <cellStyle name="Total 33 4 2 3" xfId="38956"/>
    <cellStyle name="Total 33 4 2 4" xfId="38954"/>
    <cellStyle name="Total 33 4 3" xfId="38957"/>
    <cellStyle name="Total 33 4 3 2" xfId="38958"/>
    <cellStyle name="Total 33 4 4" xfId="38959"/>
    <cellStyle name="Total 33 4 4 2" xfId="38960"/>
    <cellStyle name="Total 33 4 5" xfId="38961"/>
    <cellStyle name="Total 33 4 6" xfId="38962"/>
    <cellStyle name="Total 33 4 7" xfId="38963"/>
    <cellStyle name="Total 33 4 8" xfId="38964"/>
    <cellStyle name="Total 33 4 9" xfId="38965"/>
    <cellStyle name="Total 33 5" xfId="7618"/>
    <cellStyle name="Total 33 5 10" xfId="38966"/>
    <cellStyle name="Total 33 5 2" xfId="7619"/>
    <cellStyle name="Total 33 5 2 2" xfId="38968"/>
    <cellStyle name="Total 33 5 2 3" xfId="38969"/>
    <cellStyle name="Total 33 5 2 4" xfId="38967"/>
    <cellStyle name="Total 33 5 3" xfId="38970"/>
    <cellStyle name="Total 33 5 3 2" xfId="38971"/>
    <cellStyle name="Total 33 5 4" xfId="38972"/>
    <cellStyle name="Total 33 5 4 2" xfId="38973"/>
    <cellStyle name="Total 33 5 5" xfId="38974"/>
    <cellStyle name="Total 33 5 6" xfId="38975"/>
    <cellStyle name="Total 33 5 7" xfId="38976"/>
    <cellStyle name="Total 33 5 8" xfId="38977"/>
    <cellStyle name="Total 33 5 9" xfId="38978"/>
    <cellStyle name="Total 33 6" xfId="7620"/>
    <cellStyle name="Total 33 6 2" xfId="38980"/>
    <cellStyle name="Total 33 6 2 2" xfId="38981"/>
    <cellStyle name="Total 33 6 3" xfId="38982"/>
    <cellStyle name="Total 33 6 3 2" xfId="38983"/>
    <cellStyle name="Total 33 6 4" xfId="38984"/>
    <cellStyle name="Total 33 6 5" xfId="38985"/>
    <cellStyle name="Total 33 6 6" xfId="38986"/>
    <cellStyle name="Total 33 6 7" xfId="38979"/>
    <cellStyle name="Total 33 7" xfId="7621"/>
    <cellStyle name="Total 33 7 2" xfId="38988"/>
    <cellStyle name="Total 33 7 3" xfId="38987"/>
    <cellStyle name="Total 33 8" xfId="8448"/>
    <cellStyle name="Total 33 9" xfId="38989"/>
    <cellStyle name="Total 34" xfId="2908"/>
    <cellStyle name="Total 34 10" xfId="38990"/>
    <cellStyle name="Total 34 11" xfId="38991"/>
    <cellStyle name="Total 34 2" xfId="7622"/>
    <cellStyle name="Total 34 2 2" xfId="38993"/>
    <cellStyle name="Total 34 2 2 2" xfId="38994"/>
    <cellStyle name="Total 34 2 2 2 2" xfId="38995"/>
    <cellStyle name="Total 34 2 2 2 3" xfId="38996"/>
    <cellStyle name="Total 34 2 2 3" xfId="38997"/>
    <cellStyle name="Total 34 2 2 3 2" xfId="38998"/>
    <cellStyle name="Total 34 2 2 4" xfId="38999"/>
    <cellStyle name="Total 34 2 2 4 2" xfId="39000"/>
    <cellStyle name="Total 34 2 2 5" xfId="39001"/>
    <cellStyle name="Total 34 2 2 6" xfId="39002"/>
    <cellStyle name="Total 34 2 2 7" xfId="39003"/>
    <cellStyle name="Total 34 2 2 8" xfId="39004"/>
    <cellStyle name="Total 34 2 2 9" xfId="39005"/>
    <cellStyle name="Total 34 2 3" xfId="39006"/>
    <cellStyle name="Total 34 2 3 2" xfId="39007"/>
    <cellStyle name="Total 34 2 3 2 2" xfId="39008"/>
    <cellStyle name="Total 34 2 3 2 3" xfId="39009"/>
    <cellStyle name="Total 34 2 3 3" xfId="39010"/>
    <cellStyle name="Total 34 2 3 3 2" xfId="39011"/>
    <cellStyle name="Total 34 2 3 4" xfId="39012"/>
    <cellStyle name="Total 34 2 3 5" xfId="39013"/>
    <cellStyle name="Total 34 2 3 6" xfId="39014"/>
    <cellStyle name="Total 34 2 4" xfId="39015"/>
    <cellStyle name="Total 34 2 4 2" xfId="39016"/>
    <cellStyle name="Total 34 2 4 3" xfId="39017"/>
    <cellStyle name="Total 34 2 5" xfId="39018"/>
    <cellStyle name="Total 34 2 6" xfId="39019"/>
    <cellStyle name="Total 34 2 7" xfId="39020"/>
    <cellStyle name="Total 34 2 8" xfId="39021"/>
    <cellStyle name="Total 34 2 9" xfId="38992"/>
    <cellStyle name="Total 34 3" xfId="7623"/>
    <cellStyle name="Total 34 3 2" xfId="39023"/>
    <cellStyle name="Total 34 3 2 2" xfId="39024"/>
    <cellStyle name="Total 34 3 2 2 2" xfId="39025"/>
    <cellStyle name="Total 34 3 2 3" xfId="39026"/>
    <cellStyle name="Total 34 3 2 3 2" xfId="39027"/>
    <cellStyle name="Total 34 3 2 4" xfId="39028"/>
    <cellStyle name="Total 34 3 2 4 2" xfId="39029"/>
    <cellStyle name="Total 34 3 2 5" xfId="39030"/>
    <cellStyle name="Total 34 3 2 6" xfId="39031"/>
    <cellStyle name="Total 34 3 2 7" xfId="39032"/>
    <cellStyle name="Total 34 3 2 8" xfId="39033"/>
    <cellStyle name="Total 34 3 2 9" xfId="39034"/>
    <cellStyle name="Total 34 3 3" xfId="39035"/>
    <cellStyle name="Total 34 3 3 2" xfId="39036"/>
    <cellStyle name="Total 34 3 3 2 2" xfId="39037"/>
    <cellStyle name="Total 34 3 3 3" xfId="39038"/>
    <cellStyle name="Total 34 3 3 3 2" xfId="39039"/>
    <cellStyle name="Total 34 3 3 4" xfId="39040"/>
    <cellStyle name="Total 34 3 3 5" xfId="39041"/>
    <cellStyle name="Total 34 3 3 6" xfId="39042"/>
    <cellStyle name="Total 34 3 4" xfId="39043"/>
    <cellStyle name="Total 34 3 4 2" xfId="39044"/>
    <cellStyle name="Total 34 3 5" xfId="39045"/>
    <cellStyle name="Total 34 3 6" xfId="39046"/>
    <cellStyle name="Total 34 3 7" xfId="39047"/>
    <cellStyle name="Total 34 3 8" xfId="39048"/>
    <cellStyle name="Total 34 3 9" xfId="39022"/>
    <cellStyle name="Total 34 4" xfId="7624"/>
    <cellStyle name="Total 34 4 10" xfId="39049"/>
    <cellStyle name="Total 34 4 2" xfId="7625"/>
    <cellStyle name="Total 34 4 2 2" xfId="39051"/>
    <cellStyle name="Total 34 4 2 3" xfId="39052"/>
    <cellStyle name="Total 34 4 2 4" xfId="39050"/>
    <cellStyle name="Total 34 4 3" xfId="39053"/>
    <cellStyle name="Total 34 4 3 2" xfId="39054"/>
    <cellStyle name="Total 34 4 4" xfId="39055"/>
    <cellStyle name="Total 34 4 4 2" xfId="39056"/>
    <cellStyle name="Total 34 4 5" xfId="39057"/>
    <cellStyle name="Total 34 4 6" xfId="39058"/>
    <cellStyle name="Total 34 4 7" xfId="39059"/>
    <cellStyle name="Total 34 4 8" xfId="39060"/>
    <cellStyle name="Total 34 4 9" xfId="39061"/>
    <cellStyle name="Total 34 5" xfId="7626"/>
    <cellStyle name="Total 34 5 10" xfId="39062"/>
    <cellStyle name="Total 34 5 2" xfId="7627"/>
    <cellStyle name="Total 34 5 2 2" xfId="39064"/>
    <cellStyle name="Total 34 5 2 3" xfId="39065"/>
    <cellStyle name="Total 34 5 2 4" xfId="39063"/>
    <cellStyle name="Total 34 5 3" xfId="39066"/>
    <cellStyle name="Total 34 5 3 2" xfId="39067"/>
    <cellStyle name="Total 34 5 4" xfId="39068"/>
    <cellStyle name="Total 34 5 4 2" xfId="39069"/>
    <cellStyle name="Total 34 5 5" xfId="39070"/>
    <cellStyle name="Total 34 5 6" xfId="39071"/>
    <cellStyle name="Total 34 5 7" xfId="39072"/>
    <cellStyle name="Total 34 5 8" xfId="39073"/>
    <cellStyle name="Total 34 5 9" xfId="39074"/>
    <cellStyle name="Total 34 6" xfId="7628"/>
    <cellStyle name="Total 34 6 2" xfId="39076"/>
    <cellStyle name="Total 34 6 2 2" xfId="39077"/>
    <cellStyle name="Total 34 6 3" xfId="39078"/>
    <cellStyle name="Total 34 6 3 2" xfId="39079"/>
    <cellStyle name="Total 34 6 4" xfId="39080"/>
    <cellStyle name="Total 34 6 5" xfId="39081"/>
    <cellStyle name="Total 34 6 6" xfId="39082"/>
    <cellStyle name="Total 34 6 7" xfId="39075"/>
    <cellStyle name="Total 34 7" xfId="7629"/>
    <cellStyle name="Total 34 7 2" xfId="39084"/>
    <cellStyle name="Total 34 7 3" xfId="39083"/>
    <cellStyle name="Total 34 8" xfId="8449"/>
    <cellStyle name="Total 34 9" xfId="39085"/>
    <cellStyle name="Total 35" xfId="2909"/>
    <cellStyle name="Total 35 10" xfId="39086"/>
    <cellStyle name="Total 35 11" xfId="39087"/>
    <cellStyle name="Total 35 2" xfId="7630"/>
    <cellStyle name="Total 35 2 2" xfId="39089"/>
    <cellStyle name="Total 35 2 2 2" xfId="39090"/>
    <cellStyle name="Total 35 2 2 2 2" xfId="39091"/>
    <cellStyle name="Total 35 2 2 2 3" xfId="39092"/>
    <cellStyle name="Total 35 2 2 3" xfId="39093"/>
    <cellStyle name="Total 35 2 2 3 2" xfId="39094"/>
    <cellStyle name="Total 35 2 2 4" xfId="39095"/>
    <cellStyle name="Total 35 2 2 4 2" xfId="39096"/>
    <cellStyle name="Total 35 2 2 5" xfId="39097"/>
    <cellStyle name="Total 35 2 2 6" xfId="39098"/>
    <cellStyle name="Total 35 2 2 7" xfId="39099"/>
    <cellStyle name="Total 35 2 2 8" xfId="39100"/>
    <cellStyle name="Total 35 2 2 9" xfId="39101"/>
    <cellStyle name="Total 35 2 3" xfId="39102"/>
    <cellStyle name="Total 35 2 3 2" xfId="39103"/>
    <cellStyle name="Total 35 2 3 2 2" xfId="39104"/>
    <cellStyle name="Total 35 2 3 2 3" xfId="39105"/>
    <cellStyle name="Total 35 2 3 3" xfId="39106"/>
    <cellStyle name="Total 35 2 3 3 2" xfId="39107"/>
    <cellStyle name="Total 35 2 3 4" xfId="39108"/>
    <cellStyle name="Total 35 2 3 5" xfId="39109"/>
    <cellStyle name="Total 35 2 3 6" xfId="39110"/>
    <cellStyle name="Total 35 2 4" xfId="39111"/>
    <cellStyle name="Total 35 2 4 2" xfId="39112"/>
    <cellStyle name="Total 35 2 4 3" xfId="39113"/>
    <cellStyle name="Total 35 2 5" xfId="39114"/>
    <cellStyle name="Total 35 2 6" xfId="39115"/>
    <cellStyle name="Total 35 2 7" xfId="39116"/>
    <cellStyle name="Total 35 2 8" xfId="39117"/>
    <cellStyle name="Total 35 2 9" xfId="39088"/>
    <cellStyle name="Total 35 3" xfId="7631"/>
    <cellStyle name="Total 35 3 2" xfId="39119"/>
    <cellStyle name="Total 35 3 2 2" xfId="39120"/>
    <cellStyle name="Total 35 3 2 2 2" xfId="39121"/>
    <cellStyle name="Total 35 3 2 3" xfId="39122"/>
    <cellStyle name="Total 35 3 2 3 2" xfId="39123"/>
    <cellStyle name="Total 35 3 2 4" xfId="39124"/>
    <cellStyle name="Total 35 3 2 4 2" xfId="39125"/>
    <cellStyle name="Total 35 3 2 5" xfId="39126"/>
    <cellStyle name="Total 35 3 2 6" xfId="39127"/>
    <cellStyle name="Total 35 3 2 7" xfId="39128"/>
    <cellStyle name="Total 35 3 2 8" xfId="39129"/>
    <cellStyle name="Total 35 3 2 9" xfId="39130"/>
    <cellStyle name="Total 35 3 3" xfId="39131"/>
    <cellStyle name="Total 35 3 3 2" xfId="39132"/>
    <cellStyle name="Total 35 3 3 2 2" xfId="39133"/>
    <cellStyle name="Total 35 3 3 3" xfId="39134"/>
    <cellStyle name="Total 35 3 3 3 2" xfId="39135"/>
    <cellStyle name="Total 35 3 3 4" xfId="39136"/>
    <cellStyle name="Total 35 3 3 5" xfId="39137"/>
    <cellStyle name="Total 35 3 3 6" xfId="39138"/>
    <cellStyle name="Total 35 3 4" xfId="39139"/>
    <cellStyle name="Total 35 3 4 2" xfId="39140"/>
    <cellStyle name="Total 35 3 5" xfId="39141"/>
    <cellStyle name="Total 35 3 6" xfId="39142"/>
    <cellStyle name="Total 35 3 7" xfId="39143"/>
    <cellStyle name="Total 35 3 8" xfId="39144"/>
    <cellStyle name="Total 35 3 9" xfId="39118"/>
    <cellStyle name="Total 35 4" xfId="7632"/>
    <cellStyle name="Total 35 4 10" xfId="39145"/>
    <cellStyle name="Total 35 4 2" xfId="7633"/>
    <cellStyle name="Total 35 4 2 2" xfId="39147"/>
    <cellStyle name="Total 35 4 2 3" xfId="39148"/>
    <cellStyle name="Total 35 4 2 4" xfId="39146"/>
    <cellStyle name="Total 35 4 3" xfId="39149"/>
    <cellStyle name="Total 35 4 3 2" xfId="39150"/>
    <cellStyle name="Total 35 4 4" xfId="39151"/>
    <cellStyle name="Total 35 4 4 2" xfId="39152"/>
    <cellStyle name="Total 35 4 5" xfId="39153"/>
    <cellStyle name="Total 35 4 6" xfId="39154"/>
    <cellStyle name="Total 35 4 7" xfId="39155"/>
    <cellStyle name="Total 35 4 8" xfId="39156"/>
    <cellStyle name="Total 35 4 9" xfId="39157"/>
    <cellStyle name="Total 35 5" xfId="7634"/>
    <cellStyle name="Total 35 5 10" xfId="39158"/>
    <cellStyle name="Total 35 5 2" xfId="7635"/>
    <cellStyle name="Total 35 5 2 2" xfId="39160"/>
    <cellStyle name="Total 35 5 2 3" xfId="39161"/>
    <cellStyle name="Total 35 5 2 4" xfId="39159"/>
    <cellStyle name="Total 35 5 3" xfId="39162"/>
    <cellStyle name="Total 35 5 3 2" xfId="39163"/>
    <cellStyle name="Total 35 5 4" xfId="39164"/>
    <cellStyle name="Total 35 5 4 2" xfId="39165"/>
    <cellStyle name="Total 35 5 5" xfId="39166"/>
    <cellStyle name="Total 35 5 6" xfId="39167"/>
    <cellStyle name="Total 35 5 7" xfId="39168"/>
    <cellStyle name="Total 35 5 8" xfId="39169"/>
    <cellStyle name="Total 35 5 9" xfId="39170"/>
    <cellStyle name="Total 35 6" xfId="7636"/>
    <cellStyle name="Total 35 6 2" xfId="39172"/>
    <cellStyle name="Total 35 6 2 2" xfId="39173"/>
    <cellStyle name="Total 35 6 3" xfId="39174"/>
    <cellStyle name="Total 35 6 3 2" xfId="39175"/>
    <cellStyle name="Total 35 6 4" xfId="39176"/>
    <cellStyle name="Total 35 6 5" xfId="39177"/>
    <cellStyle name="Total 35 6 6" xfId="39178"/>
    <cellStyle name="Total 35 6 7" xfId="39171"/>
    <cellStyle name="Total 35 7" xfId="7637"/>
    <cellStyle name="Total 35 7 2" xfId="39180"/>
    <cellStyle name="Total 35 7 3" xfId="39179"/>
    <cellStyle name="Total 35 8" xfId="8450"/>
    <cellStyle name="Total 35 9" xfId="39181"/>
    <cellStyle name="Total 36" xfId="2910"/>
    <cellStyle name="Total 36 10" xfId="39182"/>
    <cellStyle name="Total 36 11" xfId="39183"/>
    <cellStyle name="Total 36 2" xfId="7638"/>
    <cellStyle name="Total 36 2 2" xfId="39185"/>
    <cellStyle name="Total 36 2 2 2" xfId="39186"/>
    <cellStyle name="Total 36 2 2 2 2" xfId="39187"/>
    <cellStyle name="Total 36 2 2 2 3" xfId="39188"/>
    <cellStyle name="Total 36 2 2 3" xfId="39189"/>
    <cellStyle name="Total 36 2 2 3 2" xfId="39190"/>
    <cellStyle name="Total 36 2 2 4" xfId="39191"/>
    <cellStyle name="Total 36 2 2 4 2" xfId="39192"/>
    <cellStyle name="Total 36 2 2 5" xfId="39193"/>
    <cellStyle name="Total 36 2 2 6" xfId="39194"/>
    <cellStyle name="Total 36 2 2 7" xfId="39195"/>
    <cellStyle name="Total 36 2 2 8" xfId="39196"/>
    <cellStyle name="Total 36 2 2 9" xfId="39197"/>
    <cellStyle name="Total 36 2 3" xfId="39198"/>
    <cellStyle name="Total 36 2 3 2" xfId="39199"/>
    <cellStyle name="Total 36 2 3 2 2" xfId="39200"/>
    <cellStyle name="Total 36 2 3 2 3" xfId="39201"/>
    <cellStyle name="Total 36 2 3 3" xfId="39202"/>
    <cellStyle name="Total 36 2 3 3 2" xfId="39203"/>
    <cellStyle name="Total 36 2 3 4" xfId="39204"/>
    <cellStyle name="Total 36 2 3 5" xfId="39205"/>
    <cellStyle name="Total 36 2 3 6" xfId="39206"/>
    <cellStyle name="Total 36 2 4" xfId="39207"/>
    <cellStyle name="Total 36 2 4 2" xfId="39208"/>
    <cellStyle name="Total 36 2 4 3" xfId="39209"/>
    <cellStyle name="Total 36 2 5" xfId="39210"/>
    <cellStyle name="Total 36 2 6" xfId="39211"/>
    <cellStyle name="Total 36 2 7" xfId="39212"/>
    <cellStyle name="Total 36 2 8" xfId="39213"/>
    <cellStyle name="Total 36 2 9" xfId="39184"/>
    <cellStyle name="Total 36 3" xfId="7639"/>
    <cellStyle name="Total 36 3 2" xfId="39215"/>
    <cellStyle name="Total 36 3 2 2" xfId="39216"/>
    <cellStyle name="Total 36 3 2 2 2" xfId="39217"/>
    <cellStyle name="Total 36 3 2 3" xfId="39218"/>
    <cellStyle name="Total 36 3 2 3 2" xfId="39219"/>
    <cellStyle name="Total 36 3 2 4" xfId="39220"/>
    <cellStyle name="Total 36 3 2 4 2" xfId="39221"/>
    <cellStyle name="Total 36 3 2 5" xfId="39222"/>
    <cellStyle name="Total 36 3 2 6" xfId="39223"/>
    <cellStyle name="Total 36 3 2 7" xfId="39224"/>
    <cellStyle name="Total 36 3 2 8" xfId="39225"/>
    <cellStyle name="Total 36 3 2 9" xfId="39226"/>
    <cellStyle name="Total 36 3 3" xfId="39227"/>
    <cellStyle name="Total 36 3 3 2" xfId="39228"/>
    <cellStyle name="Total 36 3 3 2 2" xfId="39229"/>
    <cellStyle name="Total 36 3 3 3" xfId="39230"/>
    <cellStyle name="Total 36 3 3 3 2" xfId="39231"/>
    <cellStyle name="Total 36 3 3 4" xfId="39232"/>
    <cellStyle name="Total 36 3 3 5" xfId="39233"/>
    <cellStyle name="Total 36 3 3 6" xfId="39234"/>
    <cellStyle name="Total 36 3 4" xfId="39235"/>
    <cellStyle name="Total 36 3 4 2" xfId="39236"/>
    <cellStyle name="Total 36 3 5" xfId="39237"/>
    <cellStyle name="Total 36 3 6" xfId="39238"/>
    <cellStyle name="Total 36 3 7" xfId="39239"/>
    <cellStyle name="Total 36 3 8" xfId="39240"/>
    <cellStyle name="Total 36 3 9" xfId="39214"/>
    <cellStyle name="Total 36 4" xfId="7640"/>
    <cellStyle name="Total 36 4 10" xfId="39241"/>
    <cellStyle name="Total 36 4 2" xfId="7641"/>
    <cellStyle name="Total 36 4 2 2" xfId="39243"/>
    <cellStyle name="Total 36 4 2 3" xfId="39244"/>
    <cellStyle name="Total 36 4 2 4" xfId="39242"/>
    <cellStyle name="Total 36 4 3" xfId="39245"/>
    <cellStyle name="Total 36 4 3 2" xfId="39246"/>
    <cellStyle name="Total 36 4 4" xfId="39247"/>
    <cellStyle name="Total 36 4 4 2" xfId="39248"/>
    <cellStyle name="Total 36 4 5" xfId="39249"/>
    <cellStyle name="Total 36 4 6" xfId="39250"/>
    <cellStyle name="Total 36 4 7" xfId="39251"/>
    <cellStyle name="Total 36 4 8" xfId="39252"/>
    <cellStyle name="Total 36 4 9" xfId="39253"/>
    <cellStyle name="Total 36 5" xfId="7642"/>
    <cellStyle name="Total 36 5 10" xfId="39254"/>
    <cellStyle name="Total 36 5 2" xfId="7643"/>
    <cellStyle name="Total 36 5 2 2" xfId="39256"/>
    <cellStyle name="Total 36 5 2 3" xfId="39257"/>
    <cellStyle name="Total 36 5 2 4" xfId="39255"/>
    <cellStyle name="Total 36 5 3" xfId="39258"/>
    <cellStyle name="Total 36 5 3 2" xfId="39259"/>
    <cellStyle name="Total 36 5 4" xfId="39260"/>
    <cellStyle name="Total 36 5 4 2" xfId="39261"/>
    <cellStyle name="Total 36 5 5" xfId="39262"/>
    <cellStyle name="Total 36 5 6" xfId="39263"/>
    <cellStyle name="Total 36 5 7" xfId="39264"/>
    <cellStyle name="Total 36 5 8" xfId="39265"/>
    <cellStyle name="Total 36 5 9" xfId="39266"/>
    <cellStyle name="Total 36 6" xfId="7644"/>
    <cellStyle name="Total 36 6 2" xfId="39268"/>
    <cellStyle name="Total 36 6 2 2" xfId="39269"/>
    <cellStyle name="Total 36 6 3" xfId="39270"/>
    <cellStyle name="Total 36 6 3 2" xfId="39271"/>
    <cellStyle name="Total 36 6 4" xfId="39272"/>
    <cellStyle name="Total 36 6 5" xfId="39273"/>
    <cellStyle name="Total 36 6 6" xfId="39274"/>
    <cellStyle name="Total 36 6 7" xfId="39267"/>
    <cellStyle name="Total 36 7" xfId="7645"/>
    <cellStyle name="Total 36 7 2" xfId="39276"/>
    <cellStyle name="Total 36 7 3" xfId="39275"/>
    <cellStyle name="Total 36 8" xfId="8451"/>
    <cellStyle name="Total 36 9" xfId="39277"/>
    <cellStyle name="Total 37" xfId="2911"/>
    <cellStyle name="Total 37 10" xfId="39278"/>
    <cellStyle name="Total 37 11" xfId="39279"/>
    <cellStyle name="Total 37 2" xfId="7646"/>
    <cellStyle name="Total 37 2 2" xfId="39281"/>
    <cellStyle name="Total 37 2 2 2" xfId="39282"/>
    <cellStyle name="Total 37 2 2 2 2" xfId="39283"/>
    <cellStyle name="Total 37 2 2 2 3" xfId="39284"/>
    <cellStyle name="Total 37 2 2 3" xfId="39285"/>
    <cellStyle name="Total 37 2 2 3 2" xfId="39286"/>
    <cellStyle name="Total 37 2 2 4" xfId="39287"/>
    <cellStyle name="Total 37 2 2 4 2" xfId="39288"/>
    <cellStyle name="Total 37 2 2 5" xfId="39289"/>
    <cellStyle name="Total 37 2 2 6" xfId="39290"/>
    <cellStyle name="Total 37 2 2 7" xfId="39291"/>
    <cellStyle name="Total 37 2 2 8" xfId="39292"/>
    <cellStyle name="Total 37 2 2 9" xfId="39293"/>
    <cellStyle name="Total 37 2 3" xfId="39294"/>
    <cellStyle name="Total 37 2 3 2" xfId="39295"/>
    <cellStyle name="Total 37 2 3 2 2" xfId="39296"/>
    <cellStyle name="Total 37 2 3 2 3" xfId="39297"/>
    <cellStyle name="Total 37 2 3 3" xfId="39298"/>
    <cellStyle name="Total 37 2 3 3 2" xfId="39299"/>
    <cellStyle name="Total 37 2 3 4" xfId="39300"/>
    <cellStyle name="Total 37 2 3 5" xfId="39301"/>
    <cellStyle name="Total 37 2 3 6" xfId="39302"/>
    <cellStyle name="Total 37 2 4" xfId="39303"/>
    <cellStyle name="Total 37 2 4 2" xfId="39304"/>
    <cellStyle name="Total 37 2 4 3" xfId="39305"/>
    <cellStyle name="Total 37 2 5" xfId="39306"/>
    <cellStyle name="Total 37 2 6" xfId="39307"/>
    <cellStyle name="Total 37 2 7" xfId="39308"/>
    <cellStyle name="Total 37 2 8" xfId="39309"/>
    <cellStyle name="Total 37 2 9" xfId="39280"/>
    <cellStyle name="Total 37 3" xfId="7647"/>
    <cellStyle name="Total 37 3 2" xfId="39311"/>
    <cellStyle name="Total 37 3 2 2" xfId="39312"/>
    <cellStyle name="Total 37 3 2 2 2" xfId="39313"/>
    <cellStyle name="Total 37 3 2 3" xfId="39314"/>
    <cellStyle name="Total 37 3 2 3 2" xfId="39315"/>
    <cellStyle name="Total 37 3 2 4" xfId="39316"/>
    <cellStyle name="Total 37 3 2 4 2" xfId="39317"/>
    <cellStyle name="Total 37 3 2 5" xfId="39318"/>
    <cellStyle name="Total 37 3 2 6" xfId="39319"/>
    <cellStyle name="Total 37 3 2 7" xfId="39320"/>
    <cellStyle name="Total 37 3 2 8" xfId="39321"/>
    <cellStyle name="Total 37 3 2 9" xfId="39322"/>
    <cellStyle name="Total 37 3 3" xfId="39323"/>
    <cellStyle name="Total 37 3 3 2" xfId="39324"/>
    <cellStyle name="Total 37 3 3 2 2" xfId="39325"/>
    <cellStyle name="Total 37 3 3 3" xfId="39326"/>
    <cellStyle name="Total 37 3 3 3 2" xfId="39327"/>
    <cellStyle name="Total 37 3 3 4" xfId="39328"/>
    <cellStyle name="Total 37 3 3 5" xfId="39329"/>
    <cellStyle name="Total 37 3 3 6" xfId="39330"/>
    <cellStyle name="Total 37 3 4" xfId="39331"/>
    <cellStyle name="Total 37 3 4 2" xfId="39332"/>
    <cellStyle name="Total 37 3 5" xfId="39333"/>
    <cellStyle name="Total 37 3 6" xfId="39334"/>
    <cellStyle name="Total 37 3 7" xfId="39335"/>
    <cellStyle name="Total 37 3 8" xfId="39336"/>
    <cellStyle name="Total 37 3 9" xfId="39310"/>
    <cellStyle name="Total 37 4" xfId="7648"/>
    <cellStyle name="Total 37 4 10" xfId="39337"/>
    <cellStyle name="Total 37 4 2" xfId="7649"/>
    <cellStyle name="Total 37 4 2 2" xfId="39339"/>
    <cellStyle name="Total 37 4 2 3" xfId="39340"/>
    <cellStyle name="Total 37 4 2 4" xfId="39338"/>
    <cellStyle name="Total 37 4 3" xfId="39341"/>
    <cellStyle name="Total 37 4 3 2" xfId="39342"/>
    <cellStyle name="Total 37 4 4" xfId="39343"/>
    <cellStyle name="Total 37 4 4 2" xfId="39344"/>
    <cellStyle name="Total 37 4 5" xfId="39345"/>
    <cellStyle name="Total 37 4 6" xfId="39346"/>
    <cellStyle name="Total 37 4 7" xfId="39347"/>
    <cellStyle name="Total 37 4 8" xfId="39348"/>
    <cellStyle name="Total 37 4 9" xfId="39349"/>
    <cellStyle name="Total 37 5" xfId="7650"/>
    <cellStyle name="Total 37 5 10" xfId="39350"/>
    <cellStyle name="Total 37 5 2" xfId="7651"/>
    <cellStyle name="Total 37 5 2 2" xfId="39352"/>
    <cellStyle name="Total 37 5 2 3" xfId="39353"/>
    <cellStyle name="Total 37 5 2 4" xfId="39351"/>
    <cellStyle name="Total 37 5 3" xfId="39354"/>
    <cellStyle name="Total 37 5 3 2" xfId="39355"/>
    <cellStyle name="Total 37 5 4" xfId="39356"/>
    <cellStyle name="Total 37 5 4 2" xfId="39357"/>
    <cellStyle name="Total 37 5 5" xfId="39358"/>
    <cellStyle name="Total 37 5 6" xfId="39359"/>
    <cellStyle name="Total 37 5 7" xfId="39360"/>
    <cellStyle name="Total 37 5 8" xfId="39361"/>
    <cellStyle name="Total 37 5 9" xfId="39362"/>
    <cellStyle name="Total 37 6" xfId="7652"/>
    <cellStyle name="Total 37 6 2" xfId="39364"/>
    <cellStyle name="Total 37 6 2 2" xfId="39365"/>
    <cellStyle name="Total 37 6 3" xfId="39366"/>
    <cellStyle name="Total 37 6 3 2" xfId="39367"/>
    <cellStyle name="Total 37 6 4" xfId="39368"/>
    <cellStyle name="Total 37 6 5" xfId="39369"/>
    <cellStyle name="Total 37 6 6" xfId="39370"/>
    <cellStyle name="Total 37 6 7" xfId="39363"/>
    <cellStyle name="Total 37 7" xfId="7653"/>
    <cellStyle name="Total 37 7 2" xfId="39372"/>
    <cellStyle name="Total 37 7 3" xfId="39371"/>
    <cellStyle name="Total 37 8" xfId="8452"/>
    <cellStyle name="Total 37 9" xfId="39373"/>
    <cellStyle name="Total 38" xfId="2330"/>
    <cellStyle name="Total 38 10" xfId="39375"/>
    <cellStyle name="Total 38 11" xfId="39376"/>
    <cellStyle name="Total 38 12" xfId="39374"/>
    <cellStyle name="Total 38 2" xfId="7654"/>
    <cellStyle name="Total 38 2 2" xfId="39377"/>
    <cellStyle name="Total 38 2 2 2" xfId="39378"/>
    <cellStyle name="Total 38 2 2 2 2" xfId="39379"/>
    <cellStyle name="Total 38 2 2 3" xfId="39380"/>
    <cellStyle name="Total 38 2 2 3 2" xfId="39381"/>
    <cellStyle name="Total 38 2 2 4" xfId="39382"/>
    <cellStyle name="Total 38 2 2 4 2" xfId="39383"/>
    <cellStyle name="Total 38 2 2 5" xfId="39384"/>
    <cellStyle name="Total 38 2 2 6" xfId="39385"/>
    <cellStyle name="Total 38 2 2 7" xfId="39386"/>
    <cellStyle name="Total 38 2 2 8" xfId="39387"/>
    <cellStyle name="Total 38 2 2 9" xfId="39388"/>
    <cellStyle name="Total 38 3" xfId="7655"/>
    <cellStyle name="Total 38 3 10" xfId="39389"/>
    <cellStyle name="Total 38 3 2" xfId="7656"/>
    <cellStyle name="Total 38 3 2 2" xfId="39391"/>
    <cellStyle name="Total 38 3 2 3" xfId="39390"/>
    <cellStyle name="Total 38 3 3" xfId="39392"/>
    <cellStyle name="Total 38 3 3 2" xfId="39393"/>
    <cellStyle name="Total 38 3 4" xfId="39394"/>
    <cellStyle name="Total 38 3 4 2" xfId="39395"/>
    <cellStyle name="Total 38 3 5" xfId="39396"/>
    <cellStyle name="Total 38 3 6" xfId="39397"/>
    <cellStyle name="Total 38 3 7" xfId="39398"/>
    <cellStyle name="Total 38 3 8" xfId="39399"/>
    <cellStyle name="Total 38 3 9" xfId="39400"/>
    <cellStyle name="Total 38 4" xfId="7657"/>
    <cellStyle name="Total 38 4 10" xfId="39401"/>
    <cellStyle name="Total 38 4 2" xfId="39402"/>
    <cellStyle name="Total 38 4 2 2" xfId="39403"/>
    <cellStyle name="Total 38 4 3" xfId="39404"/>
    <cellStyle name="Total 38 4 3 2" xfId="39405"/>
    <cellStyle name="Total 38 4 4" xfId="39406"/>
    <cellStyle name="Total 38 4 4 2" xfId="39407"/>
    <cellStyle name="Total 38 4 5" xfId="39408"/>
    <cellStyle name="Total 38 4 6" xfId="39409"/>
    <cellStyle name="Total 38 4 7" xfId="39410"/>
    <cellStyle name="Total 38 4 8" xfId="39411"/>
    <cellStyle name="Total 38 4 9" xfId="39412"/>
    <cellStyle name="Total 38 5" xfId="7658"/>
    <cellStyle name="Total 38 5 10" xfId="39413"/>
    <cellStyle name="Total 38 5 2" xfId="39414"/>
    <cellStyle name="Total 38 5 2 2" xfId="39415"/>
    <cellStyle name="Total 38 5 3" xfId="39416"/>
    <cellStyle name="Total 38 5 3 2" xfId="39417"/>
    <cellStyle name="Total 38 5 4" xfId="39418"/>
    <cellStyle name="Total 38 5 4 2" xfId="39419"/>
    <cellStyle name="Total 38 5 5" xfId="39420"/>
    <cellStyle name="Total 38 5 6" xfId="39421"/>
    <cellStyle name="Total 38 5 7" xfId="39422"/>
    <cellStyle name="Total 38 5 8" xfId="39423"/>
    <cellStyle name="Total 38 5 9" xfId="39424"/>
    <cellStyle name="Total 38 6" xfId="7659"/>
    <cellStyle name="Total 38 6 2" xfId="7660"/>
    <cellStyle name="Total 38 6 2 2" xfId="39427"/>
    <cellStyle name="Total 38 6 2 3" xfId="39426"/>
    <cellStyle name="Total 38 6 3" xfId="39428"/>
    <cellStyle name="Total 38 6 3 2" xfId="39429"/>
    <cellStyle name="Total 38 6 4" xfId="39430"/>
    <cellStyle name="Total 38 6 5" xfId="39431"/>
    <cellStyle name="Total 38 6 6" xfId="39432"/>
    <cellStyle name="Total 38 6 7" xfId="39425"/>
    <cellStyle name="Total 38 7" xfId="7661"/>
    <cellStyle name="Total 38 7 2" xfId="7662"/>
    <cellStyle name="Total 38 7 2 2" xfId="39434"/>
    <cellStyle name="Total 38 7 3" xfId="39433"/>
    <cellStyle name="Total 38 8" xfId="39435"/>
    <cellStyle name="Total 38 9" xfId="39436"/>
    <cellStyle name="Total 39" xfId="7828"/>
    <cellStyle name="Total 39 2" xfId="39438"/>
    <cellStyle name="Total 39 3" xfId="39439"/>
    <cellStyle name="Total 39 4" xfId="39437"/>
    <cellStyle name="Total 4" xfId="2345"/>
    <cellStyle name="Total 4 10" xfId="39440"/>
    <cellStyle name="Total 4 11" xfId="39441"/>
    <cellStyle name="Total 4 12" xfId="41619"/>
    <cellStyle name="Total 4 2" xfId="2346"/>
    <cellStyle name="Total 4 2 2" xfId="2347"/>
    <cellStyle name="Total 4 2 2 2" xfId="8274"/>
    <cellStyle name="Total 4 2 2 2 2" xfId="39442"/>
    <cellStyle name="Total 4 2 2 2 3" xfId="39443"/>
    <cellStyle name="Total 4 2 2 3" xfId="39444"/>
    <cellStyle name="Total 4 2 2 3 2" xfId="39445"/>
    <cellStyle name="Total 4 2 2 4" xfId="39446"/>
    <cellStyle name="Total 4 2 2 4 2" xfId="39447"/>
    <cellStyle name="Total 4 2 2 5" xfId="39448"/>
    <cellStyle name="Total 4 2 2 6" xfId="39449"/>
    <cellStyle name="Total 4 2 2 7" xfId="39450"/>
    <cellStyle name="Total 4 2 2 8" xfId="39451"/>
    <cellStyle name="Total 4 2 2 9" xfId="39452"/>
    <cellStyle name="Total 4 2 3" xfId="7663"/>
    <cellStyle name="Total 4 2 3 2" xfId="39454"/>
    <cellStyle name="Total 4 2 3 2 2" xfId="39455"/>
    <cellStyle name="Total 4 2 3 2 3" xfId="39456"/>
    <cellStyle name="Total 4 2 3 3" xfId="39457"/>
    <cellStyle name="Total 4 2 3 3 2" xfId="39458"/>
    <cellStyle name="Total 4 2 3 4" xfId="39459"/>
    <cellStyle name="Total 4 2 3 5" xfId="39460"/>
    <cellStyle name="Total 4 2 3 6" xfId="39461"/>
    <cellStyle name="Total 4 2 3 7" xfId="39453"/>
    <cellStyle name="Total 4 2 4" xfId="7664"/>
    <cellStyle name="Total 4 2 4 2" xfId="7665"/>
    <cellStyle name="Total 4 2 4 2 2" xfId="39463"/>
    <cellStyle name="Total 4 2 4 3" xfId="39464"/>
    <cellStyle name="Total 4 2 4 4" xfId="39462"/>
    <cellStyle name="Total 4 2 5" xfId="7666"/>
    <cellStyle name="Total 4 2 5 2" xfId="7667"/>
    <cellStyle name="Total 4 2 5 3" xfId="39465"/>
    <cellStyle name="Total 4 2 6" xfId="7668"/>
    <cellStyle name="Total 4 2 6 2" xfId="39466"/>
    <cellStyle name="Total 4 2 7" xfId="7669"/>
    <cellStyle name="Total 4 2 7 2" xfId="39467"/>
    <cellStyle name="Total 4 2 8" xfId="8273"/>
    <cellStyle name="Total 4 2 9" xfId="43816"/>
    <cellStyle name="Total 4 3" xfId="2348"/>
    <cellStyle name="Total 4 3 2" xfId="2349"/>
    <cellStyle name="Total 4 3 2 2" xfId="8276"/>
    <cellStyle name="Total 4 3 2 2 2" xfId="39468"/>
    <cellStyle name="Total 4 3 2 3" xfId="39469"/>
    <cellStyle name="Total 4 3 2 3 2" xfId="39470"/>
    <cellStyle name="Total 4 3 2 4" xfId="39471"/>
    <cellStyle name="Total 4 3 2 4 2" xfId="39472"/>
    <cellStyle name="Total 4 3 2 5" xfId="39473"/>
    <cellStyle name="Total 4 3 2 6" xfId="39474"/>
    <cellStyle name="Total 4 3 2 7" xfId="39475"/>
    <cellStyle name="Total 4 3 2 8" xfId="39476"/>
    <cellStyle name="Total 4 3 2 9" xfId="39477"/>
    <cellStyle name="Total 4 3 3" xfId="8275"/>
    <cellStyle name="Total 4 3 3 2" xfId="39478"/>
    <cellStyle name="Total 4 3 3 2 2" xfId="39479"/>
    <cellStyle name="Total 4 3 3 3" xfId="39480"/>
    <cellStyle name="Total 4 3 3 3 2" xfId="39481"/>
    <cellStyle name="Total 4 3 3 4" xfId="39482"/>
    <cellStyle name="Total 4 3 3 5" xfId="39483"/>
    <cellStyle name="Total 4 3 3 6" xfId="39484"/>
    <cellStyle name="Total 4 3 4" xfId="39485"/>
    <cellStyle name="Total 4 3 4 2" xfId="39486"/>
    <cellStyle name="Total 4 3 5" xfId="39487"/>
    <cellStyle name="Total 4 3 6" xfId="39488"/>
    <cellStyle name="Total 4 3 7" xfId="39489"/>
    <cellStyle name="Total 4 3 8" xfId="39490"/>
    <cellStyle name="Total 4 3 9" xfId="43723"/>
    <cellStyle name="Total 4 4" xfId="2350"/>
    <cellStyle name="Total 4 4 10" xfId="45319"/>
    <cellStyle name="Total 4 4 2" xfId="8277"/>
    <cellStyle name="Total 4 4 2 2" xfId="39491"/>
    <cellStyle name="Total 4 4 2 3" xfId="39492"/>
    <cellStyle name="Total 4 4 3" xfId="39493"/>
    <cellStyle name="Total 4 4 3 2" xfId="39494"/>
    <cellStyle name="Total 4 4 4" xfId="39495"/>
    <cellStyle name="Total 4 4 4 2" xfId="39496"/>
    <cellStyle name="Total 4 4 5" xfId="39497"/>
    <cellStyle name="Total 4 4 6" xfId="39498"/>
    <cellStyle name="Total 4 4 7" xfId="39499"/>
    <cellStyle name="Total 4 4 8" xfId="39500"/>
    <cellStyle name="Total 4 4 9" xfId="39501"/>
    <cellStyle name="Total 4 5" xfId="7670"/>
    <cellStyle name="Total 4 5 10" xfId="39502"/>
    <cellStyle name="Total 4 5 2" xfId="7671"/>
    <cellStyle name="Total 4 5 2 2" xfId="39504"/>
    <cellStyle name="Total 4 5 2 3" xfId="39505"/>
    <cellStyle name="Total 4 5 2 4" xfId="39503"/>
    <cellStyle name="Total 4 5 3" xfId="39506"/>
    <cellStyle name="Total 4 5 3 2" xfId="39507"/>
    <cellStyle name="Total 4 5 4" xfId="39508"/>
    <cellStyle name="Total 4 5 4 2" xfId="39509"/>
    <cellStyle name="Total 4 5 5" xfId="39510"/>
    <cellStyle name="Total 4 5 6" xfId="39511"/>
    <cellStyle name="Total 4 5 7" xfId="39512"/>
    <cellStyle name="Total 4 5 8" xfId="39513"/>
    <cellStyle name="Total 4 5 9" xfId="39514"/>
    <cellStyle name="Total 4 6" xfId="7672"/>
    <cellStyle name="Total 4 6 2" xfId="7673"/>
    <cellStyle name="Total 4 6 2 2" xfId="39517"/>
    <cellStyle name="Total 4 6 2 3" xfId="39516"/>
    <cellStyle name="Total 4 6 3" xfId="39518"/>
    <cellStyle name="Total 4 6 3 2" xfId="39519"/>
    <cellStyle name="Total 4 6 4" xfId="39520"/>
    <cellStyle name="Total 4 6 5" xfId="39521"/>
    <cellStyle name="Total 4 6 6" xfId="39522"/>
    <cellStyle name="Total 4 6 7" xfId="39515"/>
    <cellStyle name="Total 4 7" xfId="7674"/>
    <cellStyle name="Total 4 7 2" xfId="39524"/>
    <cellStyle name="Total 4 7 3" xfId="39523"/>
    <cellStyle name="Total 4 8" xfId="7675"/>
    <cellStyle name="Total 4 8 2" xfId="39525"/>
    <cellStyle name="Total 4 9" xfId="8272"/>
    <cellStyle name="Total 40" xfId="8257"/>
    <cellStyle name="Total 5" xfId="2351"/>
    <cellStyle name="Total 5 10" xfId="39526"/>
    <cellStyle name="Total 5 11" xfId="39527"/>
    <cellStyle name="Total 5 2" xfId="2352"/>
    <cellStyle name="Total 5 2 2" xfId="7676"/>
    <cellStyle name="Total 5 2 2 10" xfId="39528"/>
    <cellStyle name="Total 5 2 2 2" xfId="39529"/>
    <cellStyle name="Total 5 2 2 2 2" xfId="39530"/>
    <cellStyle name="Total 5 2 2 2 3" xfId="39531"/>
    <cellStyle name="Total 5 2 2 3" xfId="39532"/>
    <cellStyle name="Total 5 2 2 3 2" xfId="39533"/>
    <cellStyle name="Total 5 2 2 4" xfId="39534"/>
    <cellStyle name="Total 5 2 2 4 2" xfId="39535"/>
    <cellStyle name="Total 5 2 2 5" xfId="39536"/>
    <cellStyle name="Total 5 2 2 6" xfId="39537"/>
    <cellStyle name="Total 5 2 2 7" xfId="39538"/>
    <cellStyle name="Total 5 2 2 8" xfId="39539"/>
    <cellStyle name="Total 5 2 2 9" xfId="39540"/>
    <cellStyle name="Total 5 2 3" xfId="7677"/>
    <cellStyle name="Total 5 2 3 2" xfId="39542"/>
    <cellStyle name="Total 5 2 3 2 2" xfId="39543"/>
    <cellStyle name="Total 5 2 3 2 3" xfId="39544"/>
    <cellStyle name="Total 5 2 3 3" xfId="39545"/>
    <cellStyle name="Total 5 2 3 3 2" xfId="39546"/>
    <cellStyle name="Total 5 2 3 4" xfId="39547"/>
    <cellStyle name="Total 5 2 3 5" xfId="39548"/>
    <cellStyle name="Total 5 2 3 6" xfId="39549"/>
    <cellStyle name="Total 5 2 3 7" xfId="39541"/>
    <cellStyle name="Total 5 2 4" xfId="7678"/>
    <cellStyle name="Total 5 2 4 2" xfId="7679"/>
    <cellStyle name="Total 5 2 4 2 2" xfId="39551"/>
    <cellStyle name="Total 5 2 4 3" xfId="39552"/>
    <cellStyle name="Total 5 2 4 4" xfId="39550"/>
    <cellStyle name="Total 5 2 5" xfId="7680"/>
    <cellStyle name="Total 5 2 5 2" xfId="7681"/>
    <cellStyle name="Total 5 2 5 3" xfId="39553"/>
    <cellStyle name="Total 5 2 6" xfId="7682"/>
    <cellStyle name="Total 5 2 6 2" xfId="39554"/>
    <cellStyle name="Total 5 2 7" xfId="7683"/>
    <cellStyle name="Total 5 2 7 2" xfId="39555"/>
    <cellStyle name="Total 5 2 8" xfId="8279"/>
    <cellStyle name="Total 5 3" xfId="7684"/>
    <cellStyle name="Total 5 3 2" xfId="39557"/>
    <cellStyle name="Total 5 3 2 2" xfId="39558"/>
    <cellStyle name="Total 5 3 2 2 2" xfId="39559"/>
    <cellStyle name="Total 5 3 2 3" xfId="39560"/>
    <cellStyle name="Total 5 3 2 3 2" xfId="39561"/>
    <cellStyle name="Total 5 3 2 4" xfId="39562"/>
    <cellStyle name="Total 5 3 2 4 2" xfId="39563"/>
    <cellStyle name="Total 5 3 2 5" xfId="39564"/>
    <cellStyle name="Total 5 3 2 6" xfId="39565"/>
    <cellStyle name="Total 5 3 2 7" xfId="39566"/>
    <cellStyle name="Total 5 3 2 8" xfId="39567"/>
    <cellStyle name="Total 5 3 2 9" xfId="39568"/>
    <cellStyle name="Total 5 3 3" xfId="39569"/>
    <cellStyle name="Total 5 3 3 2" xfId="39570"/>
    <cellStyle name="Total 5 3 3 2 2" xfId="39571"/>
    <cellStyle name="Total 5 3 3 3" xfId="39572"/>
    <cellStyle name="Total 5 3 3 3 2" xfId="39573"/>
    <cellStyle name="Total 5 3 3 4" xfId="39574"/>
    <cellStyle name="Total 5 3 3 5" xfId="39575"/>
    <cellStyle name="Total 5 3 3 6" xfId="39576"/>
    <cellStyle name="Total 5 3 4" xfId="39577"/>
    <cellStyle name="Total 5 3 4 2" xfId="39578"/>
    <cellStyle name="Total 5 3 5" xfId="39579"/>
    <cellStyle name="Total 5 3 6" xfId="39580"/>
    <cellStyle name="Total 5 3 7" xfId="39581"/>
    <cellStyle name="Total 5 3 8" xfId="39582"/>
    <cellStyle name="Total 5 3 9" xfId="39556"/>
    <cellStyle name="Total 5 4" xfId="7685"/>
    <cellStyle name="Total 5 4 10" xfId="39583"/>
    <cellStyle name="Total 5 4 2" xfId="39584"/>
    <cellStyle name="Total 5 4 2 2" xfId="39585"/>
    <cellStyle name="Total 5 4 2 3" xfId="39586"/>
    <cellStyle name="Total 5 4 3" xfId="39587"/>
    <cellStyle name="Total 5 4 3 2" xfId="39588"/>
    <cellStyle name="Total 5 4 4" xfId="39589"/>
    <cellStyle name="Total 5 4 4 2" xfId="39590"/>
    <cellStyle name="Total 5 4 5" xfId="39591"/>
    <cellStyle name="Total 5 4 6" xfId="39592"/>
    <cellStyle name="Total 5 4 7" xfId="39593"/>
    <cellStyle name="Total 5 4 8" xfId="39594"/>
    <cellStyle name="Total 5 4 9" xfId="39595"/>
    <cellStyle name="Total 5 5" xfId="7686"/>
    <cellStyle name="Total 5 5 10" xfId="39596"/>
    <cellStyle name="Total 5 5 2" xfId="7687"/>
    <cellStyle name="Total 5 5 2 2" xfId="39598"/>
    <cellStyle name="Total 5 5 2 3" xfId="39599"/>
    <cellStyle name="Total 5 5 2 4" xfId="39597"/>
    <cellStyle name="Total 5 5 3" xfId="39600"/>
    <cellStyle name="Total 5 5 3 2" xfId="39601"/>
    <cellStyle name="Total 5 5 4" xfId="39602"/>
    <cellStyle name="Total 5 5 4 2" xfId="39603"/>
    <cellStyle name="Total 5 5 5" xfId="39604"/>
    <cellStyle name="Total 5 5 6" xfId="39605"/>
    <cellStyle name="Total 5 5 7" xfId="39606"/>
    <cellStyle name="Total 5 5 8" xfId="39607"/>
    <cellStyle name="Total 5 5 9" xfId="39608"/>
    <cellStyle name="Total 5 6" xfId="7688"/>
    <cellStyle name="Total 5 6 2" xfId="7689"/>
    <cellStyle name="Total 5 6 2 2" xfId="39611"/>
    <cellStyle name="Total 5 6 2 3" xfId="39610"/>
    <cellStyle name="Total 5 6 3" xfId="39612"/>
    <cellStyle name="Total 5 6 3 2" xfId="39613"/>
    <cellStyle name="Total 5 6 4" xfId="39614"/>
    <cellStyle name="Total 5 6 5" xfId="39615"/>
    <cellStyle name="Total 5 6 6" xfId="39616"/>
    <cellStyle name="Total 5 6 7" xfId="39609"/>
    <cellStyle name="Total 5 7" xfId="7690"/>
    <cellStyle name="Total 5 7 2" xfId="39618"/>
    <cellStyle name="Total 5 7 3" xfId="39617"/>
    <cellStyle name="Total 5 8" xfId="7691"/>
    <cellStyle name="Total 5 8 2" xfId="39619"/>
    <cellStyle name="Total 5 9" xfId="8278"/>
    <cellStyle name="Total 6" xfId="2353"/>
    <cellStyle name="Total 6 10" xfId="39620"/>
    <cellStyle name="Total 6 11" xfId="39621"/>
    <cellStyle name="Total 6 2" xfId="2354"/>
    <cellStyle name="Total 6 2 10" xfId="39622"/>
    <cellStyle name="Total 6 2 2" xfId="2355"/>
    <cellStyle name="Total 6 2 2 10" xfId="39623"/>
    <cellStyle name="Total 6 2 2 2" xfId="7693"/>
    <cellStyle name="Total 6 2 2 2 2" xfId="39625"/>
    <cellStyle name="Total 6 2 2 2 3" xfId="39626"/>
    <cellStyle name="Total 6 2 2 2 4" xfId="39624"/>
    <cellStyle name="Total 6 2 2 3" xfId="8281"/>
    <cellStyle name="Total 6 2 2 3 2" xfId="39628"/>
    <cellStyle name="Total 6 2 2 3 3" xfId="39627"/>
    <cellStyle name="Total 6 2 2 4" xfId="39629"/>
    <cellStyle name="Total 6 2 2 4 2" xfId="39630"/>
    <cellStyle name="Total 6 2 2 5" xfId="39631"/>
    <cellStyle name="Total 6 2 2 6" xfId="39632"/>
    <cellStyle name="Total 6 2 2 7" xfId="39633"/>
    <cellStyle name="Total 6 2 2 8" xfId="39634"/>
    <cellStyle name="Total 6 2 2 9" xfId="39635"/>
    <cellStyle name="Total 6 2 3" xfId="7694"/>
    <cellStyle name="Total 6 2 3 2" xfId="39637"/>
    <cellStyle name="Total 6 2 3 2 2" xfId="39638"/>
    <cellStyle name="Total 6 2 3 2 3" xfId="39639"/>
    <cellStyle name="Total 6 2 3 3" xfId="39640"/>
    <cellStyle name="Total 6 2 3 3 2" xfId="39641"/>
    <cellStyle name="Total 6 2 3 4" xfId="39642"/>
    <cellStyle name="Total 6 2 3 5" xfId="39643"/>
    <cellStyle name="Total 6 2 3 6" xfId="39644"/>
    <cellStyle name="Total 6 2 3 7" xfId="39636"/>
    <cellStyle name="Total 6 2 4" xfId="7695"/>
    <cellStyle name="Total 6 2 4 2" xfId="7696"/>
    <cellStyle name="Total 6 2 4 2 2" xfId="39646"/>
    <cellStyle name="Total 6 2 4 3" xfId="39647"/>
    <cellStyle name="Total 6 2 4 4" xfId="39645"/>
    <cellStyle name="Total 6 2 5" xfId="7697"/>
    <cellStyle name="Total 6 2 5 2" xfId="7698"/>
    <cellStyle name="Total 6 2 5 3" xfId="39648"/>
    <cellStyle name="Total 6 2 6" xfId="7699"/>
    <cellStyle name="Total 6 2 6 2" xfId="39649"/>
    <cellStyle name="Total 6 2 7" xfId="7700"/>
    <cellStyle name="Total 6 2 7 2" xfId="39650"/>
    <cellStyle name="Total 6 2 8" xfId="7692"/>
    <cellStyle name="Total 6 2 8 2" xfId="39651"/>
    <cellStyle name="Total 6 2 9" xfId="8280"/>
    <cellStyle name="Total 6 3" xfId="2356"/>
    <cellStyle name="Total 6 3 2" xfId="7701"/>
    <cellStyle name="Total 6 3 2 10" xfId="39653"/>
    <cellStyle name="Total 6 3 2 2" xfId="39654"/>
    <cellStyle name="Total 6 3 2 2 2" xfId="39655"/>
    <cellStyle name="Total 6 3 2 3" xfId="39656"/>
    <cellStyle name="Total 6 3 2 3 2" xfId="39657"/>
    <cellStyle name="Total 6 3 2 4" xfId="39658"/>
    <cellStyle name="Total 6 3 2 4 2" xfId="39659"/>
    <cellStyle name="Total 6 3 2 5" xfId="39660"/>
    <cellStyle name="Total 6 3 2 6" xfId="39661"/>
    <cellStyle name="Total 6 3 2 7" xfId="39662"/>
    <cellStyle name="Total 6 3 2 8" xfId="39663"/>
    <cellStyle name="Total 6 3 2 9" xfId="39664"/>
    <cellStyle name="Total 6 3 3" xfId="8282"/>
    <cellStyle name="Total 6 3 3 2" xfId="39666"/>
    <cellStyle name="Total 6 3 3 2 2" xfId="39667"/>
    <cellStyle name="Total 6 3 3 3" xfId="39668"/>
    <cellStyle name="Total 6 3 3 3 2" xfId="39669"/>
    <cellStyle name="Total 6 3 3 4" xfId="39670"/>
    <cellStyle name="Total 6 3 3 5" xfId="39671"/>
    <cellStyle name="Total 6 3 3 6" xfId="39672"/>
    <cellStyle name="Total 6 3 3 7" xfId="39665"/>
    <cellStyle name="Total 6 3 4" xfId="39673"/>
    <cellStyle name="Total 6 3 4 2" xfId="39674"/>
    <cellStyle name="Total 6 3 5" xfId="39675"/>
    <cellStyle name="Total 6 3 6" xfId="39676"/>
    <cellStyle name="Total 6 3 7" xfId="39677"/>
    <cellStyle name="Total 6 3 8" xfId="39678"/>
    <cellStyle name="Total 6 3 9" xfId="39652"/>
    <cellStyle name="Total 6 4" xfId="2357"/>
    <cellStyle name="Total 6 4 10" xfId="39679"/>
    <cellStyle name="Total 6 4 2" xfId="7702"/>
    <cellStyle name="Total 6 4 2 2" xfId="39681"/>
    <cellStyle name="Total 6 4 2 3" xfId="39682"/>
    <cellStyle name="Total 6 4 2 4" xfId="39680"/>
    <cellStyle name="Total 6 4 3" xfId="39683"/>
    <cellStyle name="Total 6 4 3 2" xfId="39684"/>
    <cellStyle name="Total 6 4 4" xfId="39685"/>
    <cellStyle name="Total 6 4 4 2" xfId="39686"/>
    <cellStyle name="Total 6 4 5" xfId="39687"/>
    <cellStyle name="Total 6 4 6" xfId="39688"/>
    <cellStyle name="Total 6 4 7" xfId="39689"/>
    <cellStyle name="Total 6 4 8" xfId="39690"/>
    <cellStyle name="Total 6 4 9" xfId="39691"/>
    <cellStyle name="Total 6 5" xfId="2912"/>
    <cellStyle name="Total 6 5 2" xfId="7703"/>
    <cellStyle name="Total 6 5 2 2" xfId="39693"/>
    <cellStyle name="Total 6 5 2 3" xfId="39694"/>
    <cellStyle name="Total 6 5 2 4" xfId="39692"/>
    <cellStyle name="Total 6 5 3" xfId="8453"/>
    <cellStyle name="Total 6 5 3 2" xfId="39695"/>
    <cellStyle name="Total 6 5 4" xfId="39696"/>
    <cellStyle name="Total 6 5 4 2" xfId="39697"/>
    <cellStyle name="Total 6 5 5" xfId="39698"/>
    <cellStyle name="Total 6 5 6" xfId="39699"/>
    <cellStyle name="Total 6 5 7" xfId="39700"/>
    <cellStyle name="Total 6 5 8" xfId="39701"/>
    <cellStyle name="Total 6 5 9" xfId="39702"/>
    <cellStyle name="Total 6 6" xfId="7704"/>
    <cellStyle name="Total 6 6 2" xfId="7705"/>
    <cellStyle name="Total 6 6 2 2" xfId="39705"/>
    <cellStyle name="Total 6 6 2 3" xfId="39704"/>
    <cellStyle name="Total 6 6 3" xfId="39706"/>
    <cellStyle name="Total 6 6 3 2" xfId="39707"/>
    <cellStyle name="Total 6 6 4" xfId="39708"/>
    <cellStyle name="Total 6 6 5" xfId="39709"/>
    <cellStyle name="Total 6 6 6" xfId="39710"/>
    <cellStyle name="Total 6 6 7" xfId="39703"/>
    <cellStyle name="Total 6 7" xfId="7706"/>
    <cellStyle name="Total 6 7 2" xfId="39712"/>
    <cellStyle name="Total 6 7 3" xfId="39711"/>
    <cellStyle name="Total 6 8" xfId="7707"/>
    <cellStyle name="Total 6 8 2" xfId="39713"/>
    <cellStyle name="Total 6 9" xfId="39714"/>
    <cellStyle name="Total 7" xfId="2358"/>
    <cellStyle name="Total 7 10" xfId="39715"/>
    <cellStyle name="Total 7 11" xfId="39716"/>
    <cellStyle name="Total 7 2" xfId="2359"/>
    <cellStyle name="Total 7 2 10" xfId="39717"/>
    <cellStyle name="Total 7 2 2" xfId="7709"/>
    <cellStyle name="Total 7 2 2 10" xfId="39718"/>
    <cellStyle name="Total 7 2 2 2" xfId="39719"/>
    <cellStyle name="Total 7 2 2 2 2" xfId="39720"/>
    <cellStyle name="Total 7 2 2 2 3" xfId="39721"/>
    <cellStyle name="Total 7 2 2 3" xfId="39722"/>
    <cellStyle name="Total 7 2 2 3 2" xfId="39723"/>
    <cellStyle name="Total 7 2 2 4" xfId="39724"/>
    <cellStyle name="Total 7 2 2 4 2" xfId="39725"/>
    <cellStyle name="Total 7 2 2 5" xfId="39726"/>
    <cellStyle name="Total 7 2 2 6" xfId="39727"/>
    <cellStyle name="Total 7 2 2 7" xfId="39728"/>
    <cellStyle name="Total 7 2 2 8" xfId="39729"/>
    <cellStyle name="Total 7 2 2 9" xfId="39730"/>
    <cellStyle name="Total 7 2 3" xfId="7710"/>
    <cellStyle name="Total 7 2 3 2" xfId="39732"/>
    <cellStyle name="Total 7 2 3 2 2" xfId="39733"/>
    <cellStyle name="Total 7 2 3 2 3" xfId="39734"/>
    <cellStyle name="Total 7 2 3 3" xfId="39735"/>
    <cellStyle name="Total 7 2 3 3 2" xfId="39736"/>
    <cellStyle name="Total 7 2 3 4" xfId="39737"/>
    <cellStyle name="Total 7 2 3 5" xfId="39738"/>
    <cellStyle name="Total 7 2 3 6" xfId="39739"/>
    <cellStyle name="Total 7 2 3 7" xfId="39731"/>
    <cellStyle name="Total 7 2 4" xfId="7711"/>
    <cellStyle name="Total 7 2 4 2" xfId="7712"/>
    <cellStyle name="Total 7 2 4 2 2" xfId="39741"/>
    <cellStyle name="Total 7 2 4 3" xfId="39742"/>
    <cellStyle name="Total 7 2 4 4" xfId="39740"/>
    <cellStyle name="Total 7 2 5" xfId="7713"/>
    <cellStyle name="Total 7 2 5 2" xfId="7714"/>
    <cellStyle name="Total 7 2 5 3" xfId="39743"/>
    <cellStyle name="Total 7 2 6" xfId="7715"/>
    <cellStyle name="Total 7 2 6 2" xfId="39744"/>
    <cellStyle name="Total 7 2 7" xfId="7716"/>
    <cellStyle name="Total 7 2 7 2" xfId="39745"/>
    <cellStyle name="Total 7 2 8" xfId="7708"/>
    <cellStyle name="Total 7 2 8 2" xfId="39746"/>
    <cellStyle name="Total 7 2 9" xfId="8284"/>
    <cellStyle name="Total 7 3" xfId="2913"/>
    <cellStyle name="Total 7 3 2" xfId="8454"/>
    <cellStyle name="Total 7 3 2 2" xfId="39747"/>
    <cellStyle name="Total 7 3 2 2 2" xfId="39748"/>
    <cellStyle name="Total 7 3 2 3" xfId="39749"/>
    <cellStyle name="Total 7 3 2 3 2" xfId="39750"/>
    <cellStyle name="Total 7 3 2 4" xfId="39751"/>
    <cellStyle name="Total 7 3 2 4 2" xfId="39752"/>
    <cellStyle name="Total 7 3 2 5" xfId="39753"/>
    <cellStyle name="Total 7 3 2 6" xfId="39754"/>
    <cellStyle name="Total 7 3 2 7" xfId="39755"/>
    <cellStyle name="Total 7 3 2 8" xfId="39756"/>
    <cellStyle name="Total 7 3 2 9" xfId="39757"/>
    <cellStyle name="Total 7 3 3" xfId="39758"/>
    <cellStyle name="Total 7 3 3 2" xfId="39759"/>
    <cellStyle name="Total 7 3 3 2 2" xfId="39760"/>
    <cellStyle name="Total 7 3 3 3" xfId="39761"/>
    <cellStyle name="Total 7 3 3 3 2" xfId="39762"/>
    <cellStyle name="Total 7 3 3 4" xfId="39763"/>
    <cellStyle name="Total 7 3 3 5" xfId="39764"/>
    <cellStyle name="Total 7 3 3 6" xfId="39765"/>
    <cellStyle name="Total 7 3 4" xfId="39766"/>
    <cellStyle name="Total 7 3 4 2" xfId="39767"/>
    <cellStyle name="Total 7 3 5" xfId="39768"/>
    <cellStyle name="Total 7 3 6" xfId="39769"/>
    <cellStyle name="Total 7 3 7" xfId="39770"/>
    <cellStyle name="Total 7 3 8" xfId="39771"/>
    <cellStyle name="Total 7 4" xfId="7717"/>
    <cellStyle name="Total 7 4 10" xfId="39772"/>
    <cellStyle name="Total 7 4 2" xfId="39773"/>
    <cellStyle name="Total 7 4 2 2" xfId="39774"/>
    <cellStyle name="Total 7 4 2 3" xfId="39775"/>
    <cellStyle name="Total 7 4 3" xfId="39776"/>
    <cellStyle name="Total 7 4 3 2" xfId="39777"/>
    <cellStyle name="Total 7 4 4" xfId="39778"/>
    <cellStyle name="Total 7 4 4 2" xfId="39779"/>
    <cellStyle name="Total 7 4 5" xfId="39780"/>
    <cellStyle name="Total 7 4 6" xfId="39781"/>
    <cellStyle name="Total 7 4 7" xfId="39782"/>
    <cellStyle name="Total 7 4 8" xfId="39783"/>
    <cellStyle name="Total 7 4 9" xfId="39784"/>
    <cellStyle name="Total 7 5" xfId="7718"/>
    <cellStyle name="Total 7 5 10" xfId="39785"/>
    <cellStyle name="Total 7 5 2" xfId="7719"/>
    <cellStyle name="Total 7 5 2 2" xfId="39787"/>
    <cellStyle name="Total 7 5 2 3" xfId="39788"/>
    <cellStyle name="Total 7 5 2 4" xfId="39786"/>
    <cellStyle name="Total 7 5 3" xfId="39789"/>
    <cellStyle name="Total 7 5 3 2" xfId="39790"/>
    <cellStyle name="Total 7 5 4" xfId="39791"/>
    <cellStyle name="Total 7 5 4 2" xfId="39792"/>
    <cellStyle name="Total 7 5 5" xfId="39793"/>
    <cellStyle name="Total 7 5 6" xfId="39794"/>
    <cellStyle name="Total 7 5 7" xfId="39795"/>
    <cellStyle name="Total 7 5 8" xfId="39796"/>
    <cellStyle name="Total 7 5 9" xfId="39797"/>
    <cellStyle name="Total 7 6" xfId="7720"/>
    <cellStyle name="Total 7 6 2" xfId="7721"/>
    <cellStyle name="Total 7 6 2 2" xfId="39800"/>
    <cellStyle name="Total 7 6 2 3" xfId="39799"/>
    <cellStyle name="Total 7 6 3" xfId="39801"/>
    <cellStyle name="Total 7 6 3 2" xfId="39802"/>
    <cellStyle name="Total 7 6 4" xfId="39803"/>
    <cellStyle name="Total 7 6 5" xfId="39804"/>
    <cellStyle name="Total 7 6 6" xfId="39805"/>
    <cellStyle name="Total 7 6 7" xfId="39798"/>
    <cellStyle name="Total 7 7" xfId="7722"/>
    <cellStyle name="Total 7 7 2" xfId="39807"/>
    <cellStyle name="Total 7 7 3" xfId="39806"/>
    <cellStyle name="Total 7 8" xfId="7723"/>
    <cellStyle name="Total 7 8 2" xfId="39808"/>
    <cellStyle name="Total 7 9" xfId="8283"/>
    <cellStyle name="Total 7 9 2" xfId="39809"/>
    <cellStyle name="Total 8" xfId="2360"/>
    <cellStyle name="Total 8 10" xfId="39810"/>
    <cellStyle name="Total 8 11" xfId="39811"/>
    <cellStyle name="Total 8 2" xfId="2361"/>
    <cellStyle name="Total 8 2 10" xfId="39812"/>
    <cellStyle name="Total 8 2 2" xfId="7725"/>
    <cellStyle name="Total 8 2 2 10" xfId="39813"/>
    <cellStyle name="Total 8 2 2 2" xfId="39814"/>
    <cellStyle name="Total 8 2 2 2 2" xfId="39815"/>
    <cellStyle name="Total 8 2 2 2 3" xfId="39816"/>
    <cellStyle name="Total 8 2 2 3" xfId="39817"/>
    <cellStyle name="Total 8 2 2 3 2" xfId="39818"/>
    <cellStyle name="Total 8 2 2 4" xfId="39819"/>
    <cellStyle name="Total 8 2 2 4 2" xfId="39820"/>
    <cellStyle name="Total 8 2 2 5" xfId="39821"/>
    <cellStyle name="Total 8 2 2 6" xfId="39822"/>
    <cellStyle name="Total 8 2 2 7" xfId="39823"/>
    <cellStyle name="Total 8 2 2 8" xfId="39824"/>
    <cellStyle name="Total 8 2 2 9" xfId="39825"/>
    <cellStyle name="Total 8 2 3" xfId="7726"/>
    <cellStyle name="Total 8 2 3 2" xfId="39827"/>
    <cellStyle name="Total 8 2 3 2 2" xfId="39828"/>
    <cellStyle name="Total 8 2 3 2 3" xfId="39829"/>
    <cellStyle name="Total 8 2 3 3" xfId="39830"/>
    <cellStyle name="Total 8 2 3 3 2" xfId="39831"/>
    <cellStyle name="Total 8 2 3 4" xfId="39832"/>
    <cellStyle name="Total 8 2 3 5" xfId="39833"/>
    <cellStyle name="Total 8 2 3 6" xfId="39834"/>
    <cellStyle name="Total 8 2 3 7" xfId="39826"/>
    <cellStyle name="Total 8 2 4" xfId="7727"/>
    <cellStyle name="Total 8 2 4 2" xfId="7728"/>
    <cellStyle name="Total 8 2 4 2 2" xfId="39836"/>
    <cellStyle name="Total 8 2 4 3" xfId="39837"/>
    <cellStyle name="Total 8 2 4 4" xfId="39835"/>
    <cellStyle name="Total 8 2 5" xfId="7729"/>
    <cellStyle name="Total 8 2 5 2" xfId="7730"/>
    <cellStyle name="Total 8 2 5 3" xfId="39838"/>
    <cellStyle name="Total 8 2 6" xfId="7731"/>
    <cellStyle name="Total 8 2 6 2" xfId="39839"/>
    <cellStyle name="Total 8 2 7" xfId="7732"/>
    <cellStyle name="Total 8 2 7 2" xfId="39840"/>
    <cellStyle name="Total 8 2 8" xfId="7724"/>
    <cellStyle name="Total 8 2 8 2" xfId="39841"/>
    <cellStyle name="Total 8 2 9" xfId="8286"/>
    <cellStyle name="Total 8 3" xfId="2914"/>
    <cellStyle name="Total 8 3 2" xfId="8455"/>
    <cellStyle name="Total 8 3 2 2" xfId="39842"/>
    <cellStyle name="Total 8 3 2 2 2" xfId="39843"/>
    <cellStyle name="Total 8 3 2 3" xfId="39844"/>
    <cellStyle name="Total 8 3 2 3 2" xfId="39845"/>
    <cellStyle name="Total 8 3 2 4" xfId="39846"/>
    <cellStyle name="Total 8 3 2 4 2" xfId="39847"/>
    <cellStyle name="Total 8 3 2 5" xfId="39848"/>
    <cellStyle name="Total 8 3 2 6" xfId="39849"/>
    <cellStyle name="Total 8 3 2 7" xfId="39850"/>
    <cellStyle name="Total 8 3 2 8" xfId="39851"/>
    <cellStyle name="Total 8 3 2 9" xfId="39852"/>
    <cellStyle name="Total 8 3 3" xfId="39853"/>
    <cellStyle name="Total 8 3 3 2" xfId="39854"/>
    <cellStyle name="Total 8 3 3 2 2" xfId="39855"/>
    <cellStyle name="Total 8 3 3 3" xfId="39856"/>
    <cellStyle name="Total 8 3 3 3 2" xfId="39857"/>
    <cellStyle name="Total 8 3 3 4" xfId="39858"/>
    <cellStyle name="Total 8 3 3 5" xfId="39859"/>
    <cellStyle name="Total 8 3 3 6" xfId="39860"/>
    <cellStyle name="Total 8 3 4" xfId="39861"/>
    <cellStyle name="Total 8 3 4 2" xfId="39862"/>
    <cellStyle name="Total 8 3 5" xfId="39863"/>
    <cellStyle name="Total 8 3 6" xfId="39864"/>
    <cellStyle name="Total 8 3 7" xfId="39865"/>
    <cellStyle name="Total 8 3 8" xfId="39866"/>
    <cellStyle name="Total 8 4" xfId="7733"/>
    <cellStyle name="Total 8 4 10" xfId="39867"/>
    <cellStyle name="Total 8 4 2" xfId="39868"/>
    <cellStyle name="Total 8 4 2 2" xfId="39869"/>
    <cellStyle name="Total 8 4 2 3" xfId="39870"/>
    <cellStyle name="Total 8 4 3" xfId="39871"/>
    <cellStyle name="Total 8 4 3 2" xfId="39872"/>
    <cellStyle name="Total 8 4 4" xfId="39873"/>
    <cellStyle name="Total 8 4 4 2" xfId="39874"/>
    <cellStyle name="Total 8 4 5" xfId="39875"/>
    <cellStyle name="Total 8 4 6" xfId="39876"/>
    <cellStyle name="Total 8 4 7" xfId="39877"/>
    <cellStyle name="Total 8 4 8" xfId="39878"/>
    <cellStyle name="Total 8 4 9" xfId="39879"/>
    <cellStyle name="Total 8 5" xfId="7734"/>
    <cellStyle name="Total 8 5 10" xfId="39880"/>
    <cellStyle name="Total 8 5 2" xfId="7735"/>
    <cellStyle name="Total 8 5 2 2" xfId="39882"/>
    <cellStyle name="Total 8 5 2 3" xfId="39883"/>
    <cellStyle name="Total 8 5 2 4" xfId="39881"/>
    <cellStyle name="Total 8 5 3" xfId="39884"/>
    <cellStyle name="Total 8 5 3 2" xfId="39885"/>
    <cellStyle name="Total 8 5 4" xfId="39886"/>
    <cellStyle name="Total 8 5 4 2" xfId="39887"/>
    <cellStyle name="Total 8 5 5" xfId="39888"/>
    <cellStyle name="Total 8 5 6" xfId="39889"/>
    <cellStyle name="Total 8 5 7" xfId="39890"/>
    <cellStyle name="Total 8 5 8" xfId="39891"/>
    <cellStyle name="Total 8 5 9" xfId="39892"/>
    <cellStyle name="Total 8 6" xfId="7736"/>
    <cellStyle name="Total 8 6 2" xfId="7737"/>
    <cellStyle name="Total 8 6 2 2" xfId="39895"/>
    <cellStyle name="Total 8 6 2 3" xfId="39894"/>
    <cellStyle name="Total 8 6 3" xfId="39896"/>
    <cellStyle name="Total 8 6 3 2" xfId="39897"/>
    <cellStyle name="Total 8 6 4" xfId="39898"/>
    <cellStyle name="Total 8 6 5" xfId="39899"/>
    <cellStyle name="Total 8 6 6" xfId="39900"/>
    <cellStyle name="Total 8 6 7" xfId="39893"/>
    <cellStyle name="Total 8 7" xfId="7738"/>
    <cellStyle name="Total 8 7 2" xfId="39902"/>
    <cellStyle name="Total 8 7 3" xfId="39901"/>
    <cellStyle name="Total 8 8" xfId="7739"/>
    <cellStyle name="Total 8 8 2" xfId="39903"/>
    <cellStyle name="Total 8 9" xfId="8285"/>
    <cellStyle name="Total 8 9 2" xfId="39904"/>
    <cellStyle name="Total 9" xfId="2362"/>
    <cellStyle name="Total 9 10" xfId="39905"/>
    <cellStyle name="Total 9 11" xfId="39906"/>
    <cellStyle name="Total 9 2" xfId="2915"/>
    <cellStyle name="Total 9 2 2" xfId="7740"/>
    <cellStyle name="Total 9 2 2 10" xfId="39907"/>
    <cellStyle name="Total 9 2 2 2" xfId="39908"/>
    <cellStyle name="Total 9 2 2 2 2" xfId="39909"/>
    <cellStyle name="Total 9 2 2 2 3" xfId="39910"/>
    <cellStyle name="Total 9 2 2 3" xfId="39911"/>
    <cellStyle name="Total 9 2 2 3 2" xfId="39912"/>
    <cellStyle name="Total 9 2 2 4" xfId="39913"/>
    <cellStyle name="Total 9 2 2 4 2" xfId="39914"/>
    <cellStyle name="Total 9 2 2 5" xfId="39915"/>
    <cellStyle name="Total 9 2 2 6" xfId="39916"/>
    <cellStyle name="Total 9 2 2 7" xfId="39917"/>
    <cellStyle name="Total 9 2 2 8" xfId="39918"/>
    <cellStyle name="Total 9 2 2 9" xfId="39919"/>
    <cellStyle name="Total 9 2 3" xfId="7741"/>
    <cellStyle name="Total 9 2 3 2" xfId="39921"/>
    <cellStyle name="Total 9 2 3 2 2" xfId="39922"/>
    <cellStyle name="Total 9 2 3 2 3" xfId="39923"/>
    <cellStyle name="Total 9 2 3 3" xfId="39924"/>
    <cellStyle name="Total 9 2 3 3 2" xfId="39925"/>
    <cellStyle name="Total 9 2 3 4" xfId="39926"/>
    <cellStyle name="Total 9 2 3 5" xfId="39927"/>
    <cellStyle name="Total 9 2 3 6" xfId="39928"/>
    <cellStyle name="Total 9 2 3 7" xfId="39920"/>
    <cellStyle name="Total 9 2 4" xfId="7742"/>
    <cellStyle name="Total 9 2 4 2" xfId="7743"/>
    <cellStyle name="Total 9 2 4 2 2" xfId="39930"/>
    <cellStyle name="Total 9 2 4 3" xfId="39931"/>
    <cellStyle name="Total 9 2 4 4" xfId="39929"/>
    <cellStyle name="Total 9 2 5" xfId="7744"/>
    <cellStyle name="Total 9 2 5 2" xfId="7745"/>
    <cellStyle name="Total 9 2 5 3" xfId="39932"/>
    <cellStyle name="Total 9 2 6" xfId="7746"/>
    <cellStyle name="Total 9 2 6 2" xfId="39933"/>
    <cellStyle name="Total 9 2 7" xfId="7747"/>
    <cellStyle name="Total 9 2 7 2" xfId="39934"/>
    <cellStyle name="Total 9 2 8" xfId="8456"/>
    <cellStyle name="Total 9 3" xfId="7748"/>
    <cellStyle name="Total 9 3 2" xfId="39936"/>
    <cellStyle name="Total 9 3 2 2" xfId="39937"/>
    <cellStyle name="Total 9 3 2 2 2" xfId="39938"/>
    <cellStyle name="Total 9 3 2 3" xfId="39939"/>
    <cellStyle name="Total 9 3 2 3 2" xfId="39940"/>
    <cellStyle name="Total 9 3 2 4" xfId="39941"/>
    <cellStyle name="Total 9 3 2 4 2" xfId="39942"/>
    <cellStyle name="Total 9 3 2 5" xfId="39943"/>
    <cellStyle name="Total 9 3 2 6" xfId="39944"/>
    <cellStyle name="Total 9 3 2 7" xfId="39945"/>
    <cellStyle name="Total 9 3 2 8" xfId="39946"/>
    <cellStyle name="Total 9 3 2 9" xfId="39947"/>
    <cellStyle name="Total 9 3 3" xfId="39948"/>
    <cellStyle name="Total 9 3 3 2" xfId="39949"/>
    <cellStyle name="Total 9 3 3 2 2" xfId="39950"/>
    <cellStyle name="Total 9 3 3 3" xfId="39951"/>
    <cellStyle name="Total 9 3 3 3 2" xfId="39952"/>
    <cellStyle name="Total 9 3 3 4" xfId="39953"/>
    <cellStyle name="Total 9 3 3 5" xfId="39954"/>
    <cellStyle name="Total 9 3 3 6" xfId="39955"/>
    <cellStyle name="Total 9 3 4" xfId="39956"/>
    <cellStyle name="Total 9 3 4 2" xfId="39957"/>
    <cellStyle name="Total 9 3 5" xfId="39958"/>
    <cellStyle name="Total 9 3 6" xfId="39959"/>
    <cellStyle name="Total 9 3 7" xfId="39960"/>
    <cellStyle name="Total 9 3 8" xfId="39961"/>
    <cellStyle name="Total 9 3 9" xfId="39935"/>
    <cellStyle name="Total 9 4" xfId="7749"/>
    <cellStyle name="Total 9 4 10" xfId="39962"/>
    <cellStyle name="Total 9 4 2" xfId="39963"/>
    <cellStyle name="Total 9 4 2 2" xfId="39964"/>
    <cellStyle name="Total 9 4 2 3" xfId="39965"/>
    <cellStyle name="Total 9 4 3" xfId="39966"/>
    <cellStyle name="Total 9 4 3 2" xfId="39967"/>
    <cellStyle name="Total 9 4 4" xfId="39968"/>
    <cellStyle name="Total 9 4 4 2" xfId="39969"/>
    <cellStyle name="Total 9 4 5" xfId="39970"/>
    <cellStyle name="Total 9 4 6" xfId="39971"/>
    <cellStyle name="Total 9 4 7" xfId="39972"/>
    <cellStyle name="Total 9 4 8" xfId="39973"/>
    <cellStyle name="Total 9 4 9" xfId="39974"/>
    <cellStyle name="Total 9 5" xfId="7750"/>
    <cellStyle name="Total 9 5 10" xfId="39975"/>
    <cellStyle name="Total 9 5 2" xfId="7751"/>
    <cellStyle name="Total 9 5 2 2" xfId="39977"/>
    <cellStyle name="Total 9 5 2 3" xfId="39978"/>
    <cellStyle name="Total 9 5 2 4" xfId="39976"/>
    <cellStyle name="Total 9 5 3" xfId="39979"/>
    <cellStyle name="Total 9 5 3 2" xfId="39980"/>
    <cellStyle name="Total 9 5 4" xfId="39981"/>
    <cellStyle name="Total 9 5 4 2" xfId="39982"/>
    <cellStyle name="Total 9 5 5" xfId="39983"/>
    <cellStyle name="Total 9 5 6" xfId="39984"/>
    <cellStyle name="Total 9 5 7" xfId="39985"/>
    <cellStyle name="Total 9 5 8" xfId="39986"/>
    <cellStyle name="Total 9 5 9" xfId="39987"/>
    <cellStyle name="Total 9 6" xfId="7752"/>
    <cellStyle name="Total 9 6 2" xfId="7753"/>
    <cellStyle name="Total 9 6 2 2" xfId="39990"/>
    <cellStyle name="Total 9 6 2 3" xfId="39989"/>
    <cellStyle name="Total 9 6 3" xfId="39991"/>
    <cellStyle name="Total 9 6 3 2" xfId="39992"/>
    <cellStyle name="Total 9 6 4" xfId="39993"/>
    <cellStyle name="Total 9 6 5" xfId="39994"/>
    <cellStyle name="Total 9 6 6" xfId="39995"/>
    <cellStyle name="Total 9 6 7" xfId="39988"/>
    <cellStyle name="Total 9 7" xfId="7754"/>
    <cellStyle name="Total 9 7 2" xfId="39997"/>
    <cellStyle name="Total 9 7 3" xfId="39996"/>
    <cellStyle name="Total 9 8" xfId="7755"/>
    <cellStyle name="Total 9 8 2" xfId="39998"/>
    <cellStyle name="Total 9 9" xfId="8287"/>
    <cellStyle name="Total 9 9 2" xfId="39999"/>
    <cellStyle name="TotCol - Style5" xfId="2363"/>
    <cellStyle name="TotCol - Style5 2" xfId="42280"/>
    <cellStyle name="TotCol - Style7" xfId="2916"/>
    <cellStyle name="TotRow - Style4" xfId="2364"/>
    <cellStyle name="TotRow - Style4 10" xfId="42281"/>
    <cellStyle name="TotRow - Style4 2" xfId="2365"/>
    <cellStyle name="TotRow - Style4 2 10" xfId="44149"/>
    <cellStyle name="TotRow - Style4 2 2" xfId="2366"/>
    <cellStyle name="TotRow - Style4 2 2 2" xfId="8290"/>
    <cellStyle name="TotRow - Style4 2 2 2 2" xfId="40000"/>
    <cellStyle name="TotRow - Style4 2 2 2 2 2" xfId="40001"/>
    <cellStyle name="TotRow - Style4 2 2 2 3" xfId="40002"/>
    <cellStyle name="TotRow - Style4 2 2 3" xfId="40003"/>
    <cellStyle name="TotRow - Style4 2 2 3 2" xfId="40004"/>
    <cellStyle name="TotRow - Style4 2 2 3 2 2" xfId="40005"/>
    <cellStyle name="TotRow - Style4 2 2 3 3" xfId="40006"/>
    <cellStyle name="TotRow - Style4 2 2 4" xfId="40007"/>
    <cellStyle name="TotRow - Style4 2 2 4 2" xfId="40008"/>
    <cellStyle name="TotRow - Style4 2 2 4 2 2" xfId="40009"/>
    <cellStyle name="TotRow - Style4 2 2 4 3" xfId="40010"/>
    <cellStyle name="TotRow - Style4 2 2 5" xfId="40011"/>
    <cellStyle name="TotRow - Style4 2 2 5 2" xfId="40012"/>
    <cellStyle name="TotRow - Style4 2 2 6" xfId="40013"/>
    <cellStyle name="TotRow - Style4 2 2 7" xfId="40014"/>
    <cellStyle name="TotRow - Style4 2 2 8" xfId="40015"/>
    <cellStyle name="TotRow - Style4 2 3" xfId="8289"/>
    <cellStyle name="TotRow - Style4 2 3 2" xfId="40016"/>
    <cellStyle name="TotRow - Style4 2 3 2 2" xfId="40017"/>
    <cellStyle name="TotRow - Style4 2 3 2 2 2" xfId="40018"/>
    <cellStyle name="TotRow - Style4 2 3 2 3" xfId="40019"/>
    <cellStyle name="TotRow - Style4 2 3 3" xfId="40020"/>
    <cellStyle name="TotRow - Style4 2 3 3 2" xfId="40021"/>
    <cellStyle name="TotRow - Style4 2 3 3 2 2" xfId="40022"/>
    <cellStyle name="TotRow - Style4 2 3 3 3" xfId="40023"/>
    <cellStyle name="TotRow - Style4 2 3 4" xfId="40024"/>
    <cellStyle name="TotRow - Style4 2 3 4 2" xfId="40025"/>
    <cellStyle name="TotRow - Style4 2 3 4 3" xfId="40026"/>
    <cellStyle name="TotRow - Style4 2 3 4 4" xfId="40027"/>
    <cellStyle name="TotRow - Style4 2 3 5" xfId="40028"/>
    <cellStyle name="TotRow - Style4 2 3 5 2" xfId="40029"/>
    <cellStyle name="TotRow - Style4 2 3 6" xfId="40030"/>
    <cellStyle name="TotRow - Style4 2 4" xfId="40031"/>
    <cellStyle name="TotRow - Style4 2 4 2" xfId="40032"/>
    <cellStyle name="TotRow - Style4 2 4 2 2" xfId="40033"/>
    <cellStyle name="TotRow - Style4 2 4 2 3" xfId="40034"/>
    <cellStyle name="TotRow - Style4 2 4 2 4" xfId="40035"/>
    <cellStyle name="TotRow - Style4 2 4 3" xfId="40036"/>
    <cellStyle name="TotRow - Style4 2 4 3 2" xfId="40037"/>
    <cellStyle name="TotRow - Style4 2 4 3 3" xfId="40038"/>
    <cellStyle name="TotRow - Style4 2 4 3 4" xfId="40039"/>
    <cellStyle name="TotRow - Style4 2 4 4" xfId="40040"/>
    <cellStyle name="TotRow - Style4 2 4 5" xfId="40041"/>
    <cellStyle name="TotRow - Style4 2 4 6" xfId="40042"/>
    <cellStyle name="TotRow - Style4 2 5" xfId="40043"/>
    <cellStyle name="TotRow - Style4 2 5 2" xfId="40044"/>
    <cellStyle name="TotRow - Style4 2 5 2 2" xfId="40045"/>
    <cellStyle name="TotRow - Style4 2 5 2 3" xfId="40046"/>
    <cellStyle name="TotRow - Style4 2 5 2 4" xfId="40047"/>
    <cellStyle name="TotRow - Style4 2 5 3" xfId="40048"/>
    <cellStyle name="TotRow - Style4 2 5 3 2" xfId="40049"/>
    <cellStyle name="TotRow - Style4 2 5 3 3" xfId="40050"/>
    <cellStyle name="TotRow - Style4 2 5 3 4" xfId="40051"/>
    <cellStyle name="TotRow - Style4 2 5 4" xfId="40052"/>
    <cellStyle name="TotRow - Style4 2 5 5" xfId="40053"/>
    <cellStyle name="TotRow - Style4 2 5 6" xfId="40054"/>
    <cellStyle name="TotRow - Style4 2 6" xfId="40055"/>
    <cellStyle name="TotRow - Style4 2 6 2" xfId="40056"/>
    <cellStyle name="TotRow - Style4 2 6 3" xfId="40057"/>
    <cellStyle name="TotRow - Style4 2 6 4" xfId="40058"/>
    <cellStyle name="TotRow - Style4 2 7" xfId="40059"/>
    <cellStyle name="TotRow - Style4 2 7 2" xfId="40060"/>
    <cellStyle name="TotRow - Style4 2 7 3" xfId="40061"/>
    <cellStyle name="TotRow - Style4 2 7 4" xfId="40062"/>
    <cellStyle name="TotRow - Style4 2 8" xfId="40063"/>
    <cellStyle name="TotRow - Style4 2 9" xfId="40064"/>
    <cellStyle name="TotRow - Style4 3" xfId="2367"/>
    <cellStyle name="TotRow - Style4 3 2" xfId="2368"/>
    <cellStyle name="TotRow - Style4 3 2 2" xfId="8292"/>
    <cellStyle name="TotRow - Style4 3 2 2 2" xfId="40065"/>
    <cellStyle name="TotRow - Style4 3 2 2 2 2" xfId="40066"/>
    <cellStyle name="TotRow - Style4 3 2 2 3" xfId="40067"/>
    <cellStyle name="TotRow - Style4 3 2 3" xfId="40068"/>
    <cellStyle name="TotRow - Style4 3 2 3 2" xfId="40069"/>
    <cellStyle name="TotRow - Style4 3 2 3 2 2" xfId="40070"/>
    <cellStyle name="TotRow - Style4 3 2 3 3" xfId="40071"/>
    <cellStyle name="TotRow - Style4 3 2 4" xfId="40072"/>
    <cellStyle name="TotRow - Style4 3 2 4 2" xfId="40073"/>
    <cellStyle name="TotRow - Style4 3 2 4 3" xfId="40074"/>
    <cellStyle name="TotRow - Style4 3 2 5" xfId="40075"/>
    <cellStyle name="TotRow - Style4 3 2 6" xfId="40076"/>
    <cellStyle name="TotRow - Style4 3 2 7" xfId="40077"/>
    <cellStyle name="TotRow - Style4 3 2 8" xfId="40078"/>
    <cellStyle name="TotRow - Style4 3 3" xfId="8291"/>
    <cellStyle name="TotRow - Style4 3 3 2" xfId="40079"/>
    <cellStyle name="TotRow - Style4 3 3 2 2" xfId="40080"/>
    <cellStyle name="TotRow - Style4 3 3 2 3" xfId="40081"/>
    <cellStyle name="TotRow - Style4 3 3 3" xfId="40082"/>
    <cellStyle name="TotRow - Style4 3 3 3 2" xfId="40083"/>
    <cellStyle name="TotRow - Style4 3 3 4" xfId="40084"/>
    <cellStyle name="TotRow - Style4 3 3 5" xfId="40085"/>
    <cellStyle name="TotRow - Style4 3 3 6" xfId="40086"/>
    <cellStyle name="TotRow - Style4 3 4" xfId="40087"/>
    <cellStyle name="TotRow - Style4 3 4 2" xfId="40088"/>
    <cellStyle name="TotRow - Style4 3 4 3" xfId="40089"/>
    <cellStyle name="TotRow - Style4 3 4 4" xfId="40090"/>
    <cellStyle name="TotRow - Style4 3 5" xfId="40091"/>
    <cellStyle name="TotRow - Style4 3 5 2" xfId="40092"/>
    <cellStyle name="TotRow - Style4 3 5 3" xfId="40093"/>
    <cellStyle name="TotRow - Style4 3 5 4" xfId="40094"/>
    <cellStyle name="TotRow - Style4 3 6" xfId="40095"/>
    <cellStyle name="TotRow - Style4 3 7" xfId="40096"/>
    <cellStyle name="TotRow - Style4 3 8" xfId="45300"/>
    <cellStyle name="TotRow - Style4 4" xfId="2369"/>
    <cellStyle name="TotRow - Style4 4 2" xfId="7756"/>
    <cellStyle name="TotRow - Style4 4 2 2" xfId="40098"/>
    <cellStyle name="TotRow - Style4 4 2 2 2" xfId="40099"/>
    <cellStyle name="TotRow - Style4 4 2 3" xfId="40100"/>
    <cellStyle name="TotRow - Style4 4 2 4" xfId="40097"/>
    <cellStyle name="TotRow - Style4 4 3" xfId="8293"/>
    <cellStyle name="TotRow - Style4 4 3 2" xfId="40101"/>
    <cellStyle name="TotRow - Style4 4 3 2 2" xfId="40102"/>
    <cellStyle name="TotRow - Style4 4 3 3" xfId="40103"/>
    <cellStyle name="TotRow - Style4 4 4" xfId="40104"/>
    <cellStyle name="TotRow - Style4 4 4 2" xfId="40105"/>
    <cellStyle name="TotRow - Style4 4 4 2 2" xfId="40106"/>
    <cellStyle name="TotRow - Style4 4 4 3" xfId="40107"/>
    <cellStyle name="TotRow - Style4 4 5" xfId="40108"/>
    <cellStyle name="TotRow - Style4 4 5 2" xfId="40109"/>
    <cellStyle name="TotRow - Style4 4 6" xfId="40110"/>
    <cellStyle name="TotRow - Style4 4 7" xfId="40111"/>
    <cellStyle name="TotRow - Style4 4 8" xfId="40112"/>
    <cellStyle name="TotRow - Style4 4 9" xfId="43541"/>
    <cellStyle name="TotRow - Style4 5" xfId="7757"/>
    <cellStyle name="TotRow - Style4 5 2" xfId="7758"/>
    <cellStyle name="TotRow - Style4 5 2 2" xfId="40115"/>
    <cellStyle name="TotRow - Style4 5 2 2 2" xfId="40116"/>
    <cellStyle name="TotRow - Style4 5 2 3" xfId="40117"/>
    <cellStyle name="TotRow - Style4 5 2 4" xfId="40114"/>
    <cellStyle name="TotRow - Style4 5 3" xfId="40118"/>
    <cellStyle name="TotRow - Style4 5 3 2" xfId="40119"/>
    <cellStyle name="TotRow - Style4 5 3 2 2" xfId="40120"/>
    <cellStyle name="TotRow - Style4 5 3 3" xfId="40121"/>
    <cellStyle name="TotRow - Style4 5 4" xfId="40122"/>
    <cellStyle name="TotRow - Style4 5 4 2" xfId="40123"/>
    <cellStyle name="TotRow - Style4 5 4 2 2" xfId="40124"/>
    <cellStyle name="TotRow - Style4 5 4 3" xfId="40125"/>
    <cellStyle name="TotRow - Style4 5 5" xfId="40126"/>
    <cellStyle name="TotRow - Style4 5 5 2" xfId="40127"/>
    <cellStyle name="TotRow - Style4 5 6" xfId="40128"/>
    <cellStyle name="TotRow - Style4 5 7" xfId="40129"/>
    <cellStyle name="TotRow - Style4 5 8" xfId="40130"/>
    <cellStyle name="TotRow - Style4 5 9" xfId="40113"/>
    <cellStyle name="TotRow - Style4 6" xfId="7759"/>
    <cellStyle name="TotRow - Style4 6 2" xfId="40132"/>
    <cellStyle name="TotRow - Style4 6 2 2" xfId="40133"/>
    <cellStyle name="TotRow - Style4 6 2 3" xfId="40134"/>
    <cellStyle name="TotRow - Style4 6 3" xfId="40135"/>
    <cellStyle name="TotRow - Style4 6 3 2" xfId="40136"/>
    <cellStyle name="TotRow - Style4 6 4" xfId="40137"/>
    <cellStyle name="TotRow - Style4 6 5" xfId="40138"/>
    <cellStyle name="TotRow - Style4 6 6" xfId="40139"/>
    <cellStyle name="TotRow - Style4 6 7" xfId="40131"/>
    <cellStyle name="TotRow - Style4 7" xfId="7760"/>
    <cellStyle name="TotRow - Style4 7 2" xfId="40141"/>
    <cellStyle name="TotRow - Style4 7 3" xfId="40142"/>
    <cellStyle name="TotRow - Style4 7 4" xfId="40143"/>
    <cellStyle name="TotRow - Style4 7 5" xfId="40140"/>
    <cellStyle name="TotRow - Style4 8" xfId="7829"/>
    <cellStyle name="TotRow - Style4 8 2" xfId="40145"/>
    <cellStyle name="TotRow - Style4 8 3" xfId="40144"/>
    <cellStyle name="TotRow - Style4 9" xfId="8288"/>
    <cellStyle name="TotRow - Style8" xfId="2917"/>
    <cellStyle name="TotRow - Style8 2" xfId="7761"/>
    <cellStyle name="TotRow - Style8 2 10" xfId="40146"/>
    <cellStyle name="TotRow - Style8 2 2" xfId="40147"/>
    <cellStyle name="TotRow - Style8 2 2 2" xfId="40148"/>
    <cellStyle name="TotRow - Style8 2 2 2 2" xfId="40149"/>
    <cellStyle name="TotRow - Style8 2 2 2 2 2" xfId="40150"/>
    <cellStyle name="TotRow - Style8 2 2 2 3" xfId="40151"/>
    <cellStyle name="TotRow - Style8 2 2 3" xfId="40152"/>
    <cellStyle name="TotRow - Style8 2 2 3 2" xfId="40153"/>
    <cellStyle name="TotRow - Style8 2 2 3 2 2" xfId="40154"/>
    <cellStyle name="TotRow - Style8 2 2 3 3" xfId="40155"/>
    <cellStyle name="TotRow - Style8 2 2 4" xfId="40156"/>
    <cellStyle name="TotRow - Style8 2 2 4 2" xfId="40157"/>
    <cellStyle name="TotRow - Style8 2 2 4 2 2" xfId="40158"/>
    <cellStyle name="TotRow - Style8 2 2 4 3" xfId="40159"/>
    <cellStyle name="TotRow - Style8 2 2 5" xfId="40160"/>
    <cellStyle name="TotRow - Style8 2 2 5 2" xfId="40161"/>
    <cellStyle name="TotRow - Style8 2 2 6" xfId="40162"/>
    <cellStyle name="TotRow - Style8 2 2 7" xfId="40163"/>
    <cellStyle name="TotRow - Style8 2 2 8" xfId="40164"/>
    <cellStyle name="TotRow - Style8 2 3" xfId="40165"/>
    <cellStyle name="TotRow - Style8 2 3 2" xfId="40166"/>
    <cellStyle name="TotRow - Style8 2 3 2 2" xfId="40167"/>
    <cellStyle name="TotRow - Style8 2 3 2 2 2" xfId="40168"/>
    <cellStyle name="TotRow - Style8 2 3 2 3" xfId="40169"/>
    <cellStyle name="TotRow - Style8 2 3 3" xfId="40170"/>
    <cellStyle name="TotRow - Style8 2 3 3 2" xfId="40171"/>
    <cellStyle name="TotRow - Style8 2 3 3 2 2" xfId="40172"/>
    <cellStyle name="TotRow - Style8 2 3 3 3" xfId="40173"/>
    <cellStyle name="TotRow - Style8 2 3 4" xfId="40174"/>
    <cellStyle name="TotRow - Style8 2 3 4 2" xfId="40175"/>
    <cellStyle name="TotRow - Style8 2 3 4 3" xfId="40176"/>
    <cellStyle name="TotRow - Style8 2 3 4 4" xfId="40177"/>
    <cellStyle name="TotRow - Style8 2 3 5" xfId="40178"/>
    <cellStyle name="TotRow - Style8 2 3 5 2" xfId="40179"/>
    <cellStyle name="TotRow - Style8 2 3 6" xfId="40180"/>
    <cellStyle name="TotRow - Style8 2 4" xfId="40181"/>
    <cellStyle name="TotRow - Style8 2 4 2" xfId="40182"/>
    <cellStyle name="TotRow - Style8 2 4 2 2" xfId="40183"/>
    <cellStyle name="TotRow - Style8 2 4 2 3" xfId="40184"/>
    <cellStyle name="TotRow - Style8 2 4 2 4" xfId="40185"/>
    <cellStyle name="TotRow - Style8 2 4 3" xfId="40186"/>
    <cellStyle name="TotRow - Style8 2 4 3 2" xfId="40187"/>
    <cellStyle name="TotRow - Style8 2 4 3 3" xfId="40188"/>
    <cellStyle name="TotRow - Style8 2 4 3 4" xfId="40189"/>
    <cellStyle name="TotRow - Style8 2 4 4" xfId="40190"/>
    <cellStyle name="TotRow - Style8 2 4 5" xfId="40191"/>
    <cellStyle name="TotRow - Style8 2 4 6" xfId="40192"/>
    <cellStyle name="TotRow - Style8 2 5" xfId="40193"/>
    <cellStyle name="TotRow - Style8 2 5 2" xfId="40194"/>
    <cellStyle name="TotRow - Style8 2 5 2 2" xfId="40195"/>
    <cellStyle name="TotRow - Style8 2 5 2 3" xfId="40196"/>
    <cellStyle name="TotRow - Style8 2 5 2 4" xfId="40197"/>
    <cellStyle name="TotRow - Style8 2 5 3" xfId="40198"/>
    <cellStyle name="TotRow - Style8 2 5 3 2" xfId="40199"/>
    <cellStyle name="TotRow - Style8 2 5 3 3" xfId="40200"/>
    <cellStyle name="TotRow - Style8 2 5 3 4" xfId="40201"/>
    <cellStyle name="TotRow - Style8 2 5 4" xfId="40202"/>
    <cellStyle name="TotRow - Style8 2 5 5" xfId="40203"/>
    <cellStyle name="TotRow - Style8 2 5 6" xfId="40204"/>
    <cellStyle name="TotRow - Style8 2 6" xfId="40205"/>
    <cellStyle name="TotRow - Style8 2 6 2" xfId="40206"/>
    <cellStyle name="TotRow - Style8 2 6 3" xfId="40207"/>
    <cellStyle name="TotRow - Style8 2 6 4" xfId="40208"/>
    <cellStyle name="TotRow - Style8 2 7" xfId="40209"/>
    <cellStyle name="TotRow - Style8 2 7 2" xfId="40210"/>
    <cellStyle name="TotRow - Style8 2 7 3" xfId="40211"/>
    <cellStyle name="TotRow - Style8 2 7 4" xfId="40212"/>
    <cellStyle name="TotRow - Style8 2 8" xfId="40213"/>
    <cellStyle name="TotRow - Style8 2 9" xfId="40214"/>
    <cellStyle name="TotRow - Style8 3" xfId="7762"/>
    <cellStyle name="TotRow - Style8 3 2" xfId="40216"/>
    <cellStyle name="TotRow - Style8 3 2 2" xfId="40217"/>
    <cellStyle name="TotRow - Style8 3 2 2 2" xfId="40218"/>
    <cellStyle name="TotRow - Style8 3 2 2 2 2" xfId="40219"/>
    <cellStyle name="TotRow - Style8 3 2 2 3" xfId="40220"/>
    <cellStyle name="TotRow - Style8 3 2 3" xfId="40221"/>
    <cellStyle name="TotRow - Style8 3 2 3 2" xfId="40222"/>
    <cellStyle name="TotRow - Style8 3 2 3 2 2" xfId="40223"/>
    <cellStyle name="TotRow - Style8 3 2 3 3" xfId="40224"/>
    <cellStyle name="TotRow - Style8 3 2 4" xfId="40225"/>
    <cellStyle name="TotRow - Style8 3 2 4 2" xfId="40226"/>
    <cellStyle name="TotRow - Style8 3 2 4 3" xfId="40227"/>
    <cellStyle name="TotRow - Style8 3 2 5" xfId="40228"/>
    <cellStyle name="TotRow - Style8 3 2 6" xfId="40229"/>
    <cellStyle name="TotRow - Style8 3 2 7" xfId="40230"/>
    <cellStyle name="TotRow - Style8 3 2 8" xfId="40231"/>
    <cellStyle name="TotRow - Style8 3 3" xfId="40232"/>
    <cellStyle name="TotRow - Style8 3 3 2" xfId="40233"/>
    <cellStyle name="TotRow - Style8 3 3 2 2" xfId="40234"/>
    <cellStyle name="TotRow - Style8 3 3 2 3" xfId="40235"/>
    <cellStyle name="TotRow - Style8 3 3 3" xfId="40236"/>
    <cellStyle name="TotRow - Style8 3 3 3 2" xfId="40237"/>
    <cellStyle name="TotRow - Style8 3 3 4" xfId="40238"/>
    <cellStyle name="TotRow - Style8 3 3 5" xfId="40239"/>
    <cellStyle name="TotRow - Style8 3 3 6" xfId="40240"/>
    <cellStyle name="TotRow - Style8 3 4" xfId="40241"/>
    <cellStyle name="TotRow - Style8 3 4 2" xfId="40242"/>
    <cellStyle name="TotRow - Style8 3 4 3" xfId="40243"/>
    <cellStyle name="TotRow - Style8 3 4 4" xfId="40244"/>
    <cellStyle name="TotRow - Style8 3 5" xfId="40245"/>
    <cellStyle name="TotRow - Style8 3 5 2" xfId="40246"/>
    <cellStyle name="TotRow - Style8 3 5 3" xfId="40247"/>
    <cellStyle name="TotRow - Style8 3 5 4" xfId="40248"/>
    <cellStyle name="TotRow - Style8 3 6" xfId="40249"/>
    <cellStyle name="TotRow - Style8 3 7" xfId="40250"/>
    <cellStyle name="TotRow - Style8 3 8" xfId="40215"/>
    <cellStyle name="TotRow - Style8 4" xfId="7763"/>
    <cellStyle name="TotRow - Style8 4 2" xfId="7764"/>
    <cellStyle name="TotRow - Style8 4 2 2" xfId="40253"/>
    <cellStyle name="TotRow - Style8 4 2 2 2" xfId="40254"/>
    <cellStyle name="TotRow - Style8 4 2 3" xfId="40255"/>
    <cellStyle name="TotRow - Style8 4 2 4" xfId="40252"/>
    <cellStyle name="TotRow - Style8 4 3" xfId="40256"/>
    <cellStyle name="TotRow - Style8 4 3 2" xfId="40257"/>
    <cellStyle name="TotRow - Style8 4 3 2 2" xfId="40258"/>
    <cellStyle name="TotRow - Style8 4 3 3" xfId="40259"/>
    <cellStyle name="TotRow - Style8 4 4" xfId="40260"/>
    <cellStyle name="TotRow - Style8 4 4 2" xfId="40261"/>
    <cellStyle name="TotRow - Style8 4 4 2 2" xfId="40262"/>
    <cellStyle name="TotRow - Style8 4 4 3" xfId="40263"/>
    <cellStyle name="TotRow - Style8 4 5" xfId="40264"/>
    <cellStyle name="TotRow - Style8 4 5 2" xfId="40265"/>
    <cellStyle name="TotRow - Style8 4 6" xfId="40266"/>
    <cellStyle name="TotRow - Style8 4 7" xfId="40267"/>
    <cellStyle name="TotRow - Style8 4 8" xfId="40268"/>
    <cellStyle name="TotRow - Style8 4 9" xfId="40251"/>
    <cellStyle name="TotRow - Style8 5" xfId="7765"/>
    <cellStyle name="TotRow - Style8 5 2" xfId="7766"/>
    <cellStyle name="TotRow - Style8 5 2 2" xfId="40271"/>
    <cellStyle name="TotRow - Style8 5 2 2 2" xfId="40272"/>
    <cellStyle name="TotRow - Style8 5 2 3" xfId="40273"/>
    <cellStyle name="TotRow - Style8 5 2 4" xfId="40270"/>
    <cellStyle name="TotRow - Style8 5 3" xfId="40274"/>
    <cellStyle name="TotRow - Style8 5 3 2" xfId="40275"/>
    <cellStyle name="TotRow - Style8 5 3 2 2" xfId="40276"/>
    <cellStyle name="TotRow - Style8 5 3 3" xfId="40277"/>
    <cellStyle name="TotRow - Style8 5 4" xfId="40278"/>
    <cellStyle name="TotRow - Style8 5 4 2" xfId="40279"/>
    <cellStyle name="TotRow - Style8 5 4 2 2" xfId="40280"/>
    <cellStyle name="TotRow - Style8 5 4 3" xfId="40281"/>
    <cellStyle name="TotRow - Style8 5 5" xfId="40282"/>
    <cellStyle name="TotRow - Style8 5 5 2" xfId="40283"/>
    <cellStyle name="TotRow - Style8 5 6" xfId="40284"/>
    <cellStyle name="TotRow - Style8 5 7" xfId="40285"/>
    <cellStyle name="TotRow - Style8 5 8" xfId="40286"/>
    <cellStyle name="TotRow - Style8 5 9" xfId="40269"/>
    <cellStyle name="TotRow - Style8 6" xfId="7767"/>
    <cellStyle name="TotRow - Style8 6 2" xfId="40288"/>
    <cellStyle name="TotRow - Style8 6 2 2" xfId="40289"/>
    <cellStyle name="TotRow - Style8 6 2 3" xfId="40290"/>
    <cellStyle name="TotRow - Style8 6 3" xfId="40291"/>
    <cellStyle name="TotRow - Style8 6 3 2" xfId="40292"/>
    <cellStyle name="TotRow - Style8 6 4" xfId="40293"/>
    <cellStyle name="TotRow - Style8 6 5" xfId="40294"/>
    <cellStyle name="TotRow - Style8 6 6" xfId="40295"/>
    <cellStyle name="TotRow - Style8 6 7" xfId="40287"/>
    <cellStyle name="TotRow - Style8 7" xfId="7768"/>
    <cellStyle name="TotRow - Style8 7 2" xfId="40297"/>
    <cellStyle name="TotRow - Style8 7 3" xfId="40298"/>
    <cellStyle name="TotRow - Style8 7 4" xfId="40299"/>
    <cellStyle name="TotRow - Style8 7 5" xfId="40296"/>
    <cellStyle name="TotRow - Style8 8" xfId="8457"/>
    <cellStyle name="TotRow - Style8 8 2" xfId="40300"/>
    <cellStyle name="TotRow - Style8 9" xfId="40301"/>
    <cellStyle name="Tusental (0)_pldt" xfId="2370"/>
    <cellStyle name="Tusental_pldt" xfId="2371"/>
    <cellStyle name="V" xfId="7769"/>
    <cellStyle name="Value" xfId="2372"/>
    <cellStyle name="Value 2" xfId="2373"/>
    <cellStyle name="Value 2 2" xfId="42283"/>
    <cellStyle name="Value 3" xfId="42282"/>
    <cellStyle name="Valuta (0)_pldt" xfId="2374"/>
    <cellStyle name="Valuta_pldt" xfId="2375"/>
    <cellStyle name="Währung [0]_BINV" xfId="2918"/>
    <cellStyle name="Währung_BINV" xfId="2919"/>
    <cellStyle name="Warning Text 10" xfId="7770"/>
    <cellStyle name="Warning Text 11" xfId="7771"/>
    <cellStyle name="Warning Text 12" xfId="7772"/>
    <cellStyle name="Warning Text 13" xfId="7773"/>
    <cellStyle name="Warning Text 14" xfId="7774"/>
    <cellStyle name="Warning Text 15" xfId="7775"/>
    <cellStyle name="Warning Text 16" xfId="7776"/>
    <cellStyle name="Warning Text 17" xfId="7777"/>
    <cellStyle name="Warning Text 18" xfId="40302"/>
    <cellStyle name="Warning Text 2" xfId="2377"/>
    <cellStyle name="Warning Text 2 2" xfId="2378"/>
    <cellStyle name="Warning Text 2 2 2" xfId="7778"/>
    <cellStyle name="Warning Text 2 2 3" xfId="40890"/>
    <cellStyle name="Warning Text 2 3" xfId="7779"/>
    <cellStyle name="Warning Text 2 3 2" xfId="41870"/>
    <cellStyle name="Warning Text 2 4" xfId="40817"/>
    <cellStyle name="Warning Text 2 5" xfId="40675"/>
    <cellStyle name="Warning Text 3" xfId="2379"/>
    <cellStyle name="Warning Text 3 2" xfId="41334"/>
    <cellStyle name="Warning Text 4" xfId="2380"/>
    <cellStyle name="Warning Text 4 2" xfId="42284"/>
    <cellStyle name="Warning Text 5" xfId="2381"/>
    <cellStyle name="Warning Text 6" xfId="2382"/>
    <cellStyle name="Warning Text 6 2" xfId="7780"/>
    <cellStyle name="Warning Text 7" xfId="2376"/>
    <cellStyle name="Warning Text 8" xfId="7781"/>
    <cellStyle name="Warning Text 9" xfId="7782"/>
    <cellStyle name="?_Sheet3" xfId="40357"/>
    <cellStyle name="桁区切り [0.00]_Final Yamada 2004 2005 June AUDIT - cost of goods manuf " xfId="40358"/>
    <cellStyle name="桁区切り_RESULTS" xfId="2383"/>
    <cellStyle name="標準_Book1" xfId="2384"/>
    <cellStyle name="通貨 [0.00]_RESULTS" xfId="2385"/>
    <cellStyle name="通貨_RESULTS" xfId="2386"/>
  </cellStyles>
  <dxfs count="0"/>
  <tableStyles count="0" defaultTableStyle="TableStyleMedium9" defaultPivotStyle="PivotStyleLight16"/>
  <colors>
    <mruColors>
      <color rgb="FFC0C0C0"/>
      <color rgb="FF969696"/>
      <color rgb="FF7A1818"/>
      <color rgb="FFA320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6.xml"/><Relationship Id="rId84" Type="http://schemas.openxmlformats.org/officeDocument/2006/relationships/externalLink" Target="externalLinks/externalLink37.xml"/><Relationship Id="rId138" Type="http://schemas.openxmlformats.org/officeDocument/2006/relationships/externalLink" Target="externalLinks/externalLink91.xml"/><Relationship Id="rId159" Type="http://schemas.openxmlformats.org/officeDocument/2006/relationships/externalLink" Target="externalLinks/externalLink112.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6.xml"/><Relationship Id="rId74" Type="http://schemas.openxmlformats.org/officeDocument/2006/relationships/externalLink" Target="externalLinks/externalLink27.xml"/><Relationship Id="rId128" Type="http://schemas.openxmlformats.org/officeDocument/2006/relationships/externalLink" Target="externalLinks/externalLink81.xml"/><Relationship Id="rId149" Type="http://schemas.openxmlformats.org/officeDocument/2006/relationships/externalLink" Target="externalLinks/externalLink102.xml"/><Relationship Id="rId5" Type="http://schemas.openxmlformats.org/officeDocument/2006/relationships/worksheet" Target="worksheets/sheet5.xml"/><Relationship Id="rId95" Type="http://schemas.openxmlformats.org/officeDocument/2006/relationships/externalLink" Target="externalLinks/externalLink48.xml"/><Relationship Id="rId160"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7.xml"/><Relationship Id="rId118" Type="http://schemas.openxmlformats.org/officeDocument/2006/relationships/externalLink" Target="externalLinks/externalLink71.xml"/><Relationship Id="rId139" Type="http://schemas.openxmlformats.org/officeDocument/2006/relationships/externalLink" Target="externalLinks/externalLink92.xml"/><Relationship Id="rId85" Type="http://schemas.openxmlformats.org/officeDocument/2006/relationships/externalLink" Target="externalLinks/externalLink38.xml"/><Relationship Id="rId150" Type="http://schemas.openxmlformats.org/officeDocument/2006/relationships/externalLink" Target="externalLinks/externalLink10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124" Type="http://schemas.openxmlformats.org/officeDocument/2006/relationships/externalLink" Target="externalLinks/externalLink77.xml"/><Relationship Id="rId129" Type="http://schemas.openxmlformats.org/officeDocument/2006/relationships/externalLink" Target="externalLinks/externalLink82.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40" Type="http://schemas.openxmlformats.org/officeDocument/2006/relationships/externalLink" Target="externalLinks/externalLink93.xml"/><Relationship Id="rId145" Type="http://schemas.openxmlformats.org/officeDocument/2006/relationships/externalLink" Target="externalLinks/externalLink98.xml"/><Relationship Id="rId16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externalLink" Target="externalLinks/externalLink72.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130" Type="http://schemas.openxmlformats.org/officeDocument/2006/relationships/externalLink" Target="externalLinks/externalLink83.xml"/><Relationship Id="rId135" Type="http://schemas.openxmlformats.org/officeDocument/2006/relationships/externalLink" Target="externalLinks/externalLink88.xml"/><Relationship Id="rId151" Type="http://schemas.openxmlformats.org/officeDocument/2006/relationships/externalLink" Target="externalLinks/externalLink104.xml"/><Relationship Id="rId156" Type="http://schemas.openxmlformats.org/officeDocument/2006/relationships/externalLink" Target="externalLinks/externalLink10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externalLink" Target="externalLinks/externalLink73.xml"/><Relationship Id="rId125" Type="http://schemas.openxmlformats.org/officeDocument/2006/relationships/externalLink" Target="externalLinks/externalLink78.xml"/><Relationship Id="rId141" Type="http://schemas.openxmlformats.org/officeDocument/2006/relationships/externalLink" Target="externalLinks/externalLink94.xml"/><Relationship Id="rId146" Type="http://schemas.openxmlformats.org/officeDocument/2006/relationships/externalLink" Target="externalLinks/externalLink99.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131" Type="http://schemas.openxmlformats.org/officeDocument/2006/relationships/externalLink" Target="externalLinks/externalLink84.xml"/><Relationship Id="rId136" Type="http://schemas.openxmlformats.org/officeDocument/2006/relationships/externalLink" Target="externalLinks/externalLink89.xml"/><Relationship Id="rId157" Type="http://schemas.openxmlformats.org/officeDocument/2006/relationships/externalLink" Target="externalLinks/externalLink110.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52" Type="http://schemas.openxmlformats.org/officeDocument/2006/relationships/externalLink" Target="externalLinks/externalLink10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126" Type="http://schemas.openxmlformats.org/officeDocument/2006/relationships/externalLink" Target="externalLinks/externalLink79.xml"/><Relationship Id="rId147" Type="http://schemas.openxmlformats.org/officeDocument/2006/relationships/externalLink" Target="externalLinks/externalLink100.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externalLink" Target="externalLinks/externalLink74.xml"/><Relationship Id="rId142" Type="http://schemas.openxmlformats.org/officeDocument/2006/relationships/externalLink" Target="externalLinks/externalLink95.xml"/><Relationship Id="rId163"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externalLink" Target="externalLinks/externalLink69.xml"/><Relationship Id="rId137" Type="http://schemas.openxmlformats.org/officeDocument/2006/relationships/externalLink" Target="externalLinks/externalLink90.xml"/><Relationship Id="rId158" Type="http://schemas.openxmlformats.org/officeDocument/2006/relationships/externalLink" Target="externalLinks/externalLink11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32" Type="http://schemas.openxmlformats.org/officeDocument/2006/relationships/externalLink" Target="externalLinks/externalLink85.xml"/><Relationship Id="rId153" Type="http://schemas.openxmlformats.org/officeDocument/2006/relationships/externalLink" Target="externalLinks/externalLink10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27" Type="http://schemas.openxmlformats.org/officeDocument/2006/relationships/externalLink" Target="externalLinks/externalLink8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externalLink" Target="externalLinks/externalLink75.xml"/><Relationship Id="rId143" Type="http://schemas.openxmlformats.org/officeDocument/2006/relationships/externalLink" Target="externalLinks/externalLink96.xml"/><Relationship Id="rId148" Type="http://schemas.openxmlformats.org/officeDocument/2006/relationships/externalLink" Target="externalLinks/externalLink10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21.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33" Type="http://schemas.openxmlformats.org/officeDocument/2006/relationships/externalLink" Target="externalLinks/externalLink86.xml"/><Relationship Id="rId154" Type="http://schemas.openxmlformats.org/officeDocument/2006/relationships/externalLink" Target="externalLinks/externalLink107.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11.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123" Type="http://schemas.openxmlformats.org/officeDocument/2006/relationships/externalLink" Target="externalLinks/externalLink76.xml"/><Relationship Id="rId144" Type="http://schemas.openxmlformats.org/officeDocument/2006/relationships/externalLink" Target="externalLinks/externalLink97.xml"/><Relationship Id="rId90" Type="http://schemas.openxmlformats.org/officeDocument/2006/relationships/externalLink" Target="externalLinks/externalLink43.xml"/><Relationship Id="rId27" Type="http://schemas.openxmlformats.org/officeDocument/2006/relationships/worksheet" Target="worksheets/sheet27.xml"/><Relationship Id="rId48" Type="http://schemas.openxmlformats.org/officeDocument/2006/relationships/externalLink" Target="externalLinks/externalLink1.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34" Type="http://schemas.openxmlformats.org/officeDocument/2006/relationships/externalLink" Target="externalLinks/externalLink87.xml"/><Relationship Id="rId80" Type="http://schemas.openxmlformats.org/officeDocument/2006/relationships/externalLink" Target="externalLinks/externalLink33.xml"/><Relationship Id="rId155" Type="http://schemas.openxmlformats.org/officeDocument/2006/relationships/externalLink" Target="externalLinks/externalLink10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180975</xdr:colOff>
          <xdr:row>0</xdr:row>
          <xdr:rowOff>0</xdr:rowOff>
        </xdr:from>
        <xdr:to>
          <xdr:col>23</xdr:col>
          <xdr:colOff>671064</xdr:colOff>
          <xdr:row>35</xdr:row>
          <xdr:rowOff>1037</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a:extLst>
                <a:ext uri="{84589F7E-364E-4C9E-8A38-B11213B215E9}">
                  <a14:cameraTool cellRange="[108]RP!$B$3:$L$54" spid="_x0000_s174486"/>
                </a:ext>
              </a:extLst>
            </xdr:cNvPicPr>
          </xdr:nvPicPr>
          <xdr:blipFill>
            <a:blip xmlns:r="http://schemas.openxmlformats.org/officeDocument/2006/relationships" r:embed="rId1"/>
            <a:srcRect/>
            <a:stretch>
              <a:fillRect/>
            </a:stretch>
          </xdr:blipFill>
          <xdr:spPr bwMode="auto">
            <a:xfrm>
              <a:off x="14192250" y="304800"/>
              <a:ext cx="5976490" cy="650117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381000</xdr:colOff>
          <xdr:row>0</xdr:row>
          <xdr:rowOff>0</xdr:rowOff>
        </xdr:from>
        <xdr:to>
          <xdr:col>26</xdr:col>
          <xdr:colOff>116498</xdr:colOff>
          <xdr:row>34</xdr:row>
          <xdr:rowOff>14654</xdr:rowOff>
        </xdr:to>
        <xdr:pic>
          <xdr:nvPicPr>
            <xdr:cNvPr id="2" name="Picture 5">
              <a:extLst>
                <a:ext uri="{FF2B5EF4-FFF2-40B4-BE49-F238E27FC236}">
                  <a16:creationId xmlns:a16="http://schemas.microsoft.com/office/drawing/2014/main" id="{00000000-0008-0000-1200-000002000000}"/>
                </a:ext>
              </a:extLst>
            </xdr:cNvPr>
            <xdr:cNvPicPr>
              <a:picLocks noChangeAspect="1" noChangeArrowheads="1"/>
              <a:extLst>
                <a:ext uri="{84589F7E-364E-4C9E-8A38-B11213B215E9}">
                  <a14:cameraTool cellRange="[108]RP!$B$3:$L$54" spid="_x0000_s175505"/>
                </a:ext>
              </a:extLst>
            </xdr:cNvPicPr>
          </xdr:nvPicPr>
          <xdr:blipFill>
            <a:blip xmlns:r="http://schemas.openxmlformats.org/officeDocument/2006/relationships" r:embed="rId1"/>
            <a:srcRect/>
            <a:stretch>
              <a:fillRect/>
            </a:stretch>
          </xdr:blipFill>
          <xdr:spPr bwMode="auto">
            <a:xfrm>
              <a:off x="14297025" y="0"/>
              <a:ext cx="5993423" cy="649165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0</xdr:colOff>
      <xdr:row>35</xdr:row>
      <xdr:rowOff>0</xdr:rowOff>
    </xdr:from>
    <xdr:to>
      <xdr:col>10</xdr:col>
      <xdr:colOff>0</xdr:colOff>
      <xdr:row>35</xdr:row>
      <xdr:rowOff>24385</xdr:rowOff>
    </xdr:to>
    <xdr:sp macro="" textlink="">
      <xdr:nvSpPr>
        <xdr:cNvPr id="2" name="Text Box 3">
          <a:extLst>
            <a:ext uri="{FF2B5EF4-FFF2-40B4-BE49-F238E27FC236}">
              <a16:creationId xmlns:a16="http://schemas.microsoft.com/office/drawing/2014/main" id="{00000000-0008-0000-1D00-000002000000}"/>
            </a:ext>
          </a:extLst>
        </xdr:cNvPr>
        <xdr:cNvSpPr txBox="1">
          <a:spLocks noChangeArrowheads="1"/>
        </xdr:cNvSpPr>
      </xdr:nvSpPr>
      <xdr:spPr bwMode="auto">
        <a:xfrm>
          <a:off x="10134600" y="15116175"/>
          <a:ext cx="28575" cy="76201"/>
        </a:xfrm>
        <a:prstGeom prst="rect">
          <a:avLst/>
        </a:prstGeom>
        <a:noFill/>
        <a:ln>
          <a:noFill/>
        </a:ln>
      </xdr:spPr>
      <xdr:txBody>
        <a:bodyPr vertOverflow="clip" wrap="square" lIns="27432" tIns="22860" rIns="27432" bIns="0" anchor="t" upright="1"/>
        <a:lstStyle/>
        <a:p>
          <a:pPr algn="just" rtl="0">
            <a:defRPr sz="1000"/>
          </a:pPr>
          <a:r>
            <a:rPr lang="en-US" sz="900" b="0" i="0" u="none" strike="noStrike" baseline="0">
              <a:solidFill>
                <a:srgbClr val="000000"/>
              </a:solidFill>
              <a:latin typeface="Arial"/>
              <a:cs typeface="Arial"/>
            </a:rPr>
            <a:t>The Finance Act, 2008 introduced an amendment to the Workers’ Welfare Fund (WWF) Ordinance, 1971, whereby the definition of “industrial establishment” was amended to include therein, any establishment to which the West Pakistan Shops and Establishment Ordinance, 1969 (Ordinance of 1969) applies. Management Company of the Fund, based on a legal advice obtained through Mutual Funds Association of Pakistan (MUFAP) was of a firm view that Collective Investment Scheme (CIS) were not establishments and therefore, the WWF Ordinance should not be applicable to such schemes. The MUFAP had also filed a constitutional petition in the High Court of Sindh (the Court) on behalf of the members, challenging the applicability of WWF to the CIS. The said petition was dismissed by the Court vide its order dated May 25, 2010 on the main ground that the MUFAP (Petitioner) could not be held entitled to maintain a petition in respect of its members as it was not the aggrieved party.  The Judgment  recognises that the Trusts are covered by the scope of the definition of commercial establishment as contained in Ordinance of 1969 and, therefore, mutual funds and other funds appear to be covered unless it can be established that they fall with in the scope of exemption set out in Section 5 (1)(iii) of the Ordinance of 1969 i.e. the Trusts not run for profit or in the course of business does not make any profit. This could be examined when the aggrieved parties directly approached the Court for redressal.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1085850</xdr:colOff>
      <xdr:row>1</xdr:row>
      <xdr:rowOff>0</xdr:rowOff>
    </xdr:from>
    <xdr:to>
      <xdr:col>4</xdr:col>
      <xdr:colOff>476250</xdr:colOff>
      <xdr:row>2</xdr:row>
      <xdr:rowOff>104775</xdr:rowOff>
    </xdr:to>
    <xdr:pic>
      <xdr:nvPicPr>
        <xdr:cNvPr id="23798" name="Picture 1">
          <a:extLst>
            <a:ext uri="{FF2B5EF4-FFF2-40B4-BE49-F238E27FC236}">
              <a16:creationId xmlns:a16="http://schemas.microsoft.com/office/drawing/2014/main" id="{00000000-0008-0000-2C00-0000F65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161925"/>
          <a:ext cx="1524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PLKAR\VOL1\ACCOUNTS\FINALIZ\HYDEC_98\FOLDER~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mran.ahmed\Desktop\31-march-2007%20mk%20ovs%20cons\bahrain\bahrain%20%20Form%20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Users\muhammad.saqib\AppData\Local\Microsoft\Windows\Temporary%20Internet%20Files\Content.Outlook\9XMYT7WI\Worksheet%20in%202234%20%20PSAF%20FS%20June%2030,%20201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211.2.210\Current%20Data\Users\muhammad.saqib\AppData\Local\Microsoft\Windows\Temporary%20Internet%20Files\Content.Outlook\9XMYT7WI\Worksheet%20in%202234%20%20PSAF%20FS%20June%2030,%202014.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5140%20Investments%20at%20fair%20value%20through%20profit%20or%20loss%20-%20held%20for%20trading"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3423%20Remuneration%20of%20the%20trustee"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T-3server\azeem%20e\2006%20YEAR\DHL%20PAKISTAN\Fixed%20Assets%20Disposal%20Schedule%202005%20for%20Auditors.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5410-1%20T-%20Bills%20-%20AF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211.1.6\sec-c1$\Data\2016\Faysal%20Funds%20-%206\June%202016%20-%20Year%20End%20-%206\FSGF\Deliverables\Shoaib\Daily%20NAV\akdif%20pib%20rev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Topsheets\LOANS%20ADV%20PR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211.2.210\Current%20Data\Users\wajiha.batool\Desktop\MCB%20PSMF%20Accounts%20Sep%2030,%202019.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84.8.137\Audit%20C\Users\srafat001\Desktop\Accounts%20HY%202015%20(NAFA%20ISF)%20V23%20after%20consistanc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formatted%20accounts\Audit%20C\audit%20c\Documents%20and%20Settings\ext.auditor\Desktop\Audit%202010%20(ly%20workings)\NAFA%20Government%20Securities%20Liquid%20Fund\Audit%202009\Accounts\Final%20Accounts%202009.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0.84.8.137\Audit%20C\Users\mmemon007\Desktop\Element%20Income%20final%20NISF%20v2.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DOCUME~1\ALEEM~1.KHA\LOCALS~1\Temp\NMF-After%20Reiniti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ADDITION%2019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ERGUSON_AUDITO\Sharing\WINDOWS\TEMP\Book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Final\Operating%20Fixed%20Assets-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Documents%20and%20Settings\taimur.khan\Desktop\usb%20kachra\MAF%20-%20AMIML\INVESTMENTS\Documents%20and%20Settings\Administrator\Desktop\MJ-MBF\Data%20from%20office\DD\Final\Operating%20Fixed%20Assets-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htesham\shared\WINDOWS\TEMP\OVS-2002\%20LS%20APR%2002%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IMCTemp\MIS\2002-03\Final%20Budget%202002-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kkhifsr01\Audit\Documents%20and%20Settings\anosh.khan.AMIM\Local%20Settings\Temporary%20Internet%20Files\OLK154\DOCUME~1\ALI~1.ASA\LOCALS~1\Temp\notesE8DBF2\Client%20Schedules\Medical%20Students%20(Local)%20-%20December%2031,%20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Local%20Settings\Temporary%20Internet%20Files\OLK5F\OS%20WITH%20SBP%20ADS%20AS%20CUSTM%20ON%2030-06-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k-khifsr01\AuditB06\Accounts-kp\stand%20alone\2005\December%202005\Intialed%20Accounts%20from%20AFF\dom%20co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IL_THK1\AUDIT\SIGMA\AC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k-khifsr01\AUDIT\Audit%202009\Merck%20Marker%20(Private)%20Limited\Accounts\Formatted%2001%20feb%202010\Final%20Accounts%20-%20MPPL%202009%20-%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hawaja\account-bal-\FINAL%20ACCOUNTS2001\JUNE2002Account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84.8.37\Audit%20C\Documents%20and%20Settings\ubaid.rehman\Desktop\23-1-12\untitled%20folder%203\Aff1\affc\WINDOWS\TEMP\My%20Documents\er\AUG03\My%20Documents\fmmfmsl\FMMdec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ff1\affc\WINDOWS\TEMP\My%20Documents\er\AUG03\My%20Documents\fmmfmsl\FMMdec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WINDOWS\BS300603-QTR-fina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ERGUSON_AUDITO\Sharing\DOCUME~1\ADMINI~1\LOCALS~1\Temp\notesFFF692\Prior%20Year%20Portions\Investment%20Dec%202004\WINDOWS\BS300603-QTR-fin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1\ADMINI~1\LOCALS~1\Temp\Fixed%20Assets\CARs\CAR-99_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erver\IMCTemp\MIS\2002-03\MIS-Sep-02-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5BDBEE2F\APSF%20%20FS%20310309%20(Final%20Draf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DOCUME~1\ALI~1.ASA\LOCALS~1\Temp\notesE8DBF2\Documents%20and%20Settings\auditor.f\Desktop\93ABC100"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ileserver\IMCTemp\MIS\2001-2002\JPN-P&amp;L%20&amp;%20BS%20-FEB02-SA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INDUS%20MOTORS\Audit%202007\MIS\2003-04\Japan\JPN-P&amp;L%20&amp;%20BS%20-Mar%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Client%20Provided\mcr\TOTAL%20FEEL%20(30-12-20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rianfernan\In%20&amp;%20Out\WINDOWS\TEMP\Farooq\DATA\ACCOUNTS\2001\IGI-Insurance(InvestmentNo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aymond\d\MIS\2000-2001\MISOCT(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hmed-ali\Clientdata\Documents%20and%20Settings\sajid.hussain\Desktop\New%20Folder\Order%20Report\ORDER%20FILE%20Sept%2027,%2020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MHQ%20Dec-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2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hmed-ali\Clientdata\MIS\2000-2001\mis%20december%20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WINDOWS\BS3006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WINDOWS\BS3006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erver\IMCTemp\MIS\2001-2002\MISdec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0AF9A612\trav"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ACCOUNTS\fin_2000\JFOL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guson\AFF%20SHARED\AFF%20SHARED\talha%20a%20ghani\JAN%202008\CFS\Non-Statistical%20Sampling%20Template%20CF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WINDOWS\BS300603-CYRUS.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T-ADD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My%20Documents\TEM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10101\fhs%20accounts\RAHIMMALI\FHS%20ACCOUNTS\RAHIMMALI\FHS%20ACCOUNTS\Documents%20and%20Settings\iqbal.sadruddin\Local%20Settings\Temporary%20Internet%20Files\OLK6\Note%20%23%2023%2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k-khifsr01\audit\Documents%20and%20Settings\RaviPrakash\Desktop\TOD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ileserver\myasco\Data\Watts\Stat%20Accounts%202004\JUNE%202004\Consolidated\Auditors\final%20accounts%202001Complete%20Adjustmen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hmed-ali\Clientdata\Documents%20and%20Settings\auditors\Desktop\sarah\Investment%20in%20shares%20-%20HFT%20and%20AFS(emai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k-khifsr01\AuditB06\Accounts-kp\stand%20alone\September%202006\FBL%20Balance%20With%20%20a%20%20CDB%2030.09.20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92.168.1.4\Umair%20Work\DOCUME~1\SAUD~1.AHM\LOCALS~1\TEMP\WEEKLY\WEEKLY-2006\June-2006\New%20weekly-17-June-200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ileserver\IMCTemp\MIS\2001-2002\Half%20year%20-schedule-S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DOCUME~1\ALI~1.ASA\LOCALS~1\Temp\notesE8DBF2\DOCUME~1\ADMINI~1\LOCALS~1\Temp\notesE8DBF2\Substantive%20Analytics%20-%20Disaggregated%20revenue%20example%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553802B3\Related%20pty%20Muz%20APIF%20accounts%20final%20by%20noma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iqbal%20sharif%20back%20up\E%20%20back\OVS%2003\June%2003\Book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hmed-ali\Clientdata\iqbal%20sharif%20back%20up\E%20%20back\OVS%2003\June%2003\Book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84.8.37\Audit%20C\Documents%20and%20Settings\ubaid.rehman\Desktop\23-1-12\untitled%20folder%203\192.168.1.4\Umair%20Work\DOCUME~1\SAUD~1.AHM\LOCALS~1\TEMP\WEEKLY\WEEKLY-2006\June-2006\New%20weekly-17-June-200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Users\zohaib.hassan\AppData\Local\Microsoft\Windows\INetCache\Content.Outlook\MZR4NZUH\PIF%20DEC%2031,20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Worksheet%20in%20%20%20FS-1%20%20APIF%20Financial%20Statement%20June%2030,%202008"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211.2.210\Current%20Data\moiz.tanveer\AppData\Local\Deloitte.DA4\Docs\Temp\5000003225\2462263359800000515\2233%20FISGF%20FS%202016.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My%20Documents\AMK%20Projects\presentation\June%202004\Security%20Holding%20June%200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Feburary%2007\Feburary%20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Audit%20Back%20up\ubl\FJ%20June\T_Bills%20PIB%20FIB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muneer.zaidi\Desktop\June%202007\emails%20recieved\equity%20from%20Jamal\June%2020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92.168.1.3\Dept\fcil\FCIL\FCMF\Daily%20FCMF.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UBL%20-%20INTERIM%2005\Treasury\Forex\CLIENT\Reval%20All%2030-06-05audi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115.87\c$\WINDOWS\BS300603-CYRU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AHAD_JAMAL\Audit%202004\WINDOWS\BS300603-CYRU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ictsys13\accounts\TEMP\Cas1200\F-b_12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erguson_audito\half%20yearly%20audit%202007\Documents%20and%20Settings\Kashif\Desktop\kashif\Mongthly%20reporting%20to%20UAE\Affair-income%20Exp%20September%20200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Bab%20UL%20Bahrain%20Dec-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hmed-ali\clientdata\Ali%20Hussain\Loan%20&amp;%20Advances-Branches%20wise%20Detail\SOC%20-%20Dec'20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DOCUME~1\ADMINI~1\LOCALS~1\Temp\Budget\Templat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erguson_audito\half%20yearly%20audit%202007\Users\Me\Documents\Office%20stuff\NPLS%20Mar%202007\Major%20parties\Final%20NPL's%20-%203rd%20cut%2031-03-2007%20(16-04-07)%20FIN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995591E7\cllient%20sch.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nc017\Global%20Share\Personal\YEAR%20ENDED%202003-4\BUDGET\CCP%20BUSINESS%20PLAN%20FINAL%20FOR%20CE%20REVIEW%20(MAY%2015,%20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Desktop\MCR%2019%20April%202007\Fwd%20Contracts%20OS%20ON%2031-03-07.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k-khifsr01\AUDIT\AUDIT\Working%20papers\AMZ%20Funds\2008\AMZ%20Plus%20Income%20Fund\Accounts\Clients%20accounts\APIF_Financial_Statement_June_30,_2008%2015070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AEB3D72\Medical%20Students%20(Local)%20-%20December%2031,%20200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fauditors\sharing\Audit%20Back%20up\ubl\FJ%20June\T_Bills%20PIB%20FIB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ile-srv\Departments\mohsraza\AppData\Local\Deloitte.DA4\Docs\5000003222\2482382867500000979\23800.01%20Equity%20Investment.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11.2.210\Current%20Data\mohsraza\AppData\Local\Deloitte.DA4\Docs\5000003222\2482382867500000979\23800.01%20Equity%20Investment.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rv\Departments\Zohaib.Kamran\Desktop\FAAF%20-%20For%20the%20half%20year%20ended%2031%20December%202017.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11.2.210\Current%20Data\Zohaib.Kamran\Desktop\FAAF%20-%20For%20the%20half%20year%20ended%2031%20December%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production"/>
      <sheetName val="Cash Flow"/>
      <sheetName val="Anlysis"/>
      <sheetName val="Transactions - Assoc Concerns"/>
      <sheetName val="Trial Balance"/>
      <sheetName val="Database - Tran"/>
      <sheetName val="BS Commentary"/>
      <sheetName val="P&amp;L Commentary"/>
      <sheetName val="Profit Loss - Balance Sheet"/>
      <sheetName val="Printed Accounts Front"/>
      <sheetName val="Printed Accounts_ Back"/>
      <sheetName val="P_L Commentary"/>
      <sheetName val="TRANS"/>
      <sheetName val="Graph - Commentory"/>
      <sheetName val="Graph - Board of Director"/>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TB"/>
      <sheetName val="Grouping"/>
      <sheetName val="Top Sheet"/>
      <sheetName val="Shares-AFS"/>
      <sheetName val="Tickmarks"/>
      <sheetName val="Detail"/>
      <sheetName val="2009-2010"/>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RC-0997"/>
      <sheetName val="COPY"/>
      <sheetName val="Monthly Stocks-Product Basis"/>
      <sheetName val="FOLDER~1"/>
      <sheetName val="Graph_-_Commentory1"/>
      <sheetName val="Graph_-_Board_of_Director1"/>
      <sheetName val="Variation_with_Budget2"/>
      <sheetName val="Printed_ac2"/>
      <sheetName val="Graph_(2)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Top_Sheet"/>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Monthly_Stocks-Product_Basis"/>
      <sheetName val="Summary"/>
      <sheetName val="Travelling Data"/>
      <sheetName val="Data Sheet"/>
      <sheetName val="Travelling DV"/>
      <sheetName val="Notes 1-25"/>
      <sheetName val="Revenue-Fire-Marine-Motor"/>
      <sheetName val="acct"/>
      <sheetName val="KeyData"/>
      <sheetName val="Sheet2"/>
      <sheetName val="FP Analysis"/>
      <sheetName val="PAYROLL TZS"/>
      <sheetName val="DS"/>
      <sheetName val="Segment Wise"/>
      <sheetName val="Accounts"/>
      <sheetName val="Lead Sheet"/>
      <sheetName val="Sheet1 (2)"/>
      <sheetName val="P&amp;L_Commentary15"/>
      <sheetName val="Printed_ac15"/>
      <sheetName val="Graph_(2)15"/>
      <sheetName val="Variation_with_Budget15"/>
      <sheetName val="Cash_Flow15"/>
      <sheetName val="Transactions_-_Assoc_Concerns15"/>
      <sheetName val="Trial_Balance15"/>
      <sheetName val="Database_-_Tran15"/>
      <sheetName val="BS_Commentary15"/>
      <sheetName val="Profit_Loss_-_Balance_Sheet15"/>
      <sheetName val="Printed_Accounts_Front15"/>
      <sheetName val="Printed_Accounts__Back15"/>
      <sheetName val="P_L_Commentary15"/>
      <sheetName val="Graph_-_Commentory14"/>
      <sheetName val="Graph_-_Board_of_Director14"/>
      <sheetName val="Top_Sheet13"/>
      <sheetName val="Monthly_Stocks-Product_Basis1"/>
      <sheetName val="Notes_1-25"/>
      <sheetName val="Travelling_Data"/>
      <sheetName val="Data_Sheet"/>
      <sheetName val="Travelling_DV"/>
      <sheetName val="Lead_Sheet"/>
      <sheetName val="FP_Analysis"/>
      <sheetName val="PAYROLL_TZS"/>
      <sheetName val="Segment_Wise"/>
      <sheetName val="Accounting Policy"/>
      <sheetName val="PopList"/>
      <sheetName val="뜃맟뭁돽띿맟?-BLDG"/>
      <sheetName val="SUMM-2"/>
      <sheetName val="Reference"/>
      <sheetName val="TB-HHGRB"/>
      <sheetName val="FX"/>
      <sheetName val="Financial analysis (CFO)"/>
      <sheetName val="Pivot values"/>
      <sheetName val="DO Thatta 19-20"/>
      <sheetName val="Pivot_values"/>
      <sheetName val=" System note"/>
      <sheetName val="Printed_ac16"/>
      <sheetName val="Graph_(2)16"/>
      <sheetName val="Variation_with_Budget16"/>
      <sheetName val="Cash_Flow16"/>
      <sheetName val="Transactions_-_Assoc_Concerns16"/>
      <sheetName val="Trial_Balance16"/>
      <sheetName val="Database_-_Tran16"/>
      <sheetName val="BS_Commentary16"/>
      <sheetName val="P&amp;L_Commentary16"/>
      <sheetName val="Profit_Loss_-_Balance_Sheet16"/>
      <sheetName val="Printed_Accounts_Front16"/>
      <sheetName val="Printed_Accounts__Back16"/>
      <sheetName val="P_L_Commentary16"/>
      <sheetName val="Graph_-_Commentory15"/>
      <sheetName val="Graph_-_Board_of_Director15"/>
      <sheetName val="Top_Sheet14"/>
      <sheetName val="Monthly_Stocks-Product_Basis2"/>
      <sheetName val="Travelling_Data1"/>
      <sheetName val="Data_Sheet1"/>
      <sheetName val="Travelling_DV1"/>
      <sheetName val="Notes_1-251"/>
      <sheetName val="FP_Analysis1"/>
      <sheetName val="PAYROLL_TZS1"/>
      <sheetName val="Segment_Wise1"/>
      <sheetName val="Lead_Sheet1"/>
      <sheetName val="DO_Thatta_19-20"/>
      <sheetName val="Financials"/>
      <sheetName val="Test of Details- 1st yearN"/>
      <sheetName val="Graph_-_Commentory16"/>
      <sheetName val="Graph_-_Board_of_Director16"/>
      <sheetName val="Variation_with_Budget17"/>
      <sheetName val="Printed_ac17"/>
      <sheetName val="Graph_(2)17"/>
      <sheetName val="Cash_Flow17"/>
      <sheetName val="Transactions_-_Assoc_Concerns17"/>
      <sheetName val="Trial_Balance17"/>
      <sheetName val="Database_-_Tran17"/>
      <sheetName val="BS_Commentary17"/>
      <sheetName val="P&amp;L_Commentary17"/>
      <sheetName val="Profit_Loss_-_Balance_Sheet17"/>
      <sheetName val="Printed_Accounts_Front17"/>
      <sheetName val="Printed_Accounts__Back17"/>
      <sheetName val="P_L_Commentary17"/>
      <sheetName val="Top_Sheet15"/>
      <sheetName val="Monthly_Stocks-Product_Basis3"/>
      <sheetName val="Graph_-_Commentory17"/>
      <sheetName val="Graph_-_Board_of_Director17"/>
      <sheetName val="Variation_with_Budget18"/>
      <sheetName val="Printed_ac18"/>
      <sheetName val="Graph_(2)18"/>
      <sheetName val="Cash_Flow18"/>
      <sheetName val="Transactions_-_Assoc_Concerns18"/>
      <sheetName val="Trial_Balance18"/>
      <sheetName val="Database_-_Tran18"/>
      <sheetName val="BS_Commentary18"/>
      <sheetName val="P&amp;L_Commentary18"/>
      <sheetName val="Profit_Loss_-_Balance_Sheet18"/>
      <sheetName val="Printed_Accounts_Front18"/>
      <sheetName val="Printed_Accounts__Back18"/>
      <sheetName val="P_L_Commentary18"/>
      <sheetName val="Top_Sheet16"/>
      <sheetName val="Monthly_Stocks-Product_Basis4"/>
      <sheetName val="Graph_-_Commentory21"/>
      <sheetName val="Graph_-_Board_of_Director21"/>
      <sheetName val="Variation_with_Budget22"/>
      <sheetName val="Printed_ac22"/>
      <sheetName val="Graph_(2)22"/>
      <sheetName val="Cash_Flow22"/>
      <sheetName val="Transactions_-_Assoc_Concerns22"/>
      <sheetName val="Trial_Balance22"/>
      <sheetName val="Database_-_Tran22"/>
      <sheetName val="BS_Commentary22"/>
      <sheetName val="P&amp;L_Commentary22"/>
      <sheetName val="Profit_Loss_-_Balance_Sheet22"/>
      <sheetName val="Printed_Accounts_Front22"/>
      <sheetName val="Printed_Accounts__Back22"/>
      <sheetName val="P_L_Commentary22"/>
      <sheetName val="Top_Sheet20"/>
      <sheetName val="Monthly_Stocks-Product_Basis8"/>
      <sheetName val="Graph_-_Commentory20"/>
      <sheetName val="Graph_-_Board_of_Director20"/>
      <sheetName val="Variation_with_Budget21"/>
      <sheetName val="Printed_ac21"/>
      <sheetName val="Graph_(2)21"/>
      <sheetName val="Cash_Flow21"/>
      <sheetName val="Transactions_-_Assoc_Concerns21"/>
      <sheetName val="Trial_Balance21"/>
      <sheetName val="Database_-_Tran21"/>
      <sheetName val="BS_Commentary21"/>
      <sheetName val="P&amp;L_Commentary21"/>
      <sheetName val="Profit_Loss_-_Balance_Sheet21"/>
      <sheetName val="Printed_Accounts_Front21"/>
      <sheetName val="Printed_Accounts__Back21"/>
      <sheetName val="P_L_Commentary21"/>
      <sheetName val="Top_Sheet19"/>
      <sheetName val="Monthly_Stocks-Product_Basis7"/>
      <sheetName val="Graph_-_Commentory19"/>
      <sheetName val="Graph_-_Board_of_Director19"/>
      <sheetName val="Variation_with_Budget20"/>
      <sheetName val="Printed_ac20"/>
      <sheetName val="Graph_(2)20"/>
      <sheetName val="Cash_Flow20"/>
      <sheetName val="Transactions_-_Assoc_Concerns20"/>
      <sheetName val="Trial_Balance20"/>
      <sheetName val="Database_-_Tran20"/>
      <sheetName val="BS_Commentary20"/>
      <sheetName val="P&amp;L_Commentary20"/>
      <sheetName val="Profit_Loss_-_Balance_Sheet20"/>
      <sheetName val="Printed_Accounts_Front20"/>
      <sheetName val="Printed_Accounts__Back20"/>
      <sheetName val="P_L_Commentary20"/>
      <sheetName val="Top_Sheet18"/>
      <sheetName val="Monthly_Stocks-Product_Basis6"/>
      <sheetName val="Graph_-_Commentory18"/>
      <sheetName val="Graph_-_Board_of_Director18"/>
      <sheetName val="Variation_with_Budget19"/>
      <sheetName val="Printed_ac19"/>
      <sheetName val="Graph_(2)19"/>
      <sheetName val="Cash_Flow19"/>
      <sheetName val="Transactions_-_Assoc_Concerns19"/>
      <sheetName val="Trial_Balance19"/>
      <sheetName val="Database_-_Tran19"/>
      <sheetName val="BS_Commentary19"/>
      <sheetName val="P&amp;L_Commentary19"/>
      <sheetName val="Profit_Loss_-_Balance_Sheet19"/>
      <sheetName val="Printed_Accounts_Front19"/>
      <sheetName val="Printed_Accounts__Back19"/>
      <sheetName val="P_L_Commentary19"/>
      <sheetName val="Top_Sheet17"/>
      <sheetName val="Monthly_Stocks-Product_Basis5"/>
      <sheetName val="Graph_-_Commentory22"/>
      <sheetName val="Graph_-_Board_of_Director22"/>
      <sheetName val="Variation_with_Budget23"/>
      <sheetName val="Printed_ac23"/>
      <sheetName val="Graph_(2)23"/>
      <sheetName val="Cash_Flow23"/>
      <sheetName val="Transactions_-_Assoc_Concerns23"/>
      <sheetName val="Trial_Balance23"/>
      <sheetName val="Database_-_Tran23"/>
      <sheetName val="BS_Commentary23"/>
      <sheetName val="P&amp;L_Commentary23"/>
      <sheetName val="Profit_Loss_-_Balance_Sheet23"/>
      <sheetName val="Printed_Accounts_Front23"/>
      <sheetName val="Printed_Accounts__Back23"/>
      <sheetName val="P_L_Commentary23"/>
      <sheetName val="Top_Sheet21"/>
      <sheetName val="Monthly_Stocks-Product_Basis9"/>
      <sheetName val="Graph_-_Commentory23"/>
      <sheetName val="Graph_-_Board_of_Director23"/>
      <sheetName val="Variation_with_Budget24"/>
      <sheetName val="Printed_ac24"/>
      <sheetName val="Graph_(2)24"/>
      <sheetName val="Cash_Flow24"/>
      <sheetName val="Transactions_-_Assoc_Concerns24"/>
      <sheetName val="Trial_Balance24"/>
      <sheetName val="Database_-_Tran24"/>
      <sheetName val="BS_Commentary24"/>
      <sheetName val="P&amp;L_Commentary24"/>
      <sheetName val="Profit_Loss_-_Balance_Sheet24"/>
      <sheetName val="Printed_Accounts_Front24"/>
      <sheetName val="Printed_Accounts__Back24"/>
      <sheetName val="P_L_Commentary24"/>
      <sheetName val="Top_Sheet22"/>
      <sheetName val="Monthly_Stocks-Product_Basis10"/>
      <sheetName val="Graph_-_Commentory24"/>
      <sheetName val="Graph_-_Board_of_Director24"/>
      <sheetName val="Variation_with_Budget25"/>
      <sheetName val="Printed_ac25"/>
      <sheetName val="Graph_(2)25"/>
      <sheetName val="Cash_Flow25"/>
      <sheetName val="Transactions_-_Assoc_Concerns25"/>
      <sheetName val="Trial_Balance25"/>
      <sheetName val="Database_-_Tran25"/>
      <sheetName val="BS_Commentary25"/>
      <sheetName val="P&amp;L_Commentary25"/>
      <sheetName val="Profit_Loss_-_Balance_Sheet25"/>
      <sheetName val="Printed_Accounts_Front25"/>
      <sheetName val="Printed_Accounts__Back25"/>
      <sheetName val="P_L_Commentary25"/>
      <sheetName val="Top_Sheet23"/>
      <sheetName val="Monthly_Stocks-Product_Basis11"/>
      <sheetName val="Graph_-_Commentory26"/>
      <sheetName val="Graph_-_Board_of_Director26"/>
      <sheetName val="Variation_with_Budget27"/>
      <sheetName val="Printed_ac27"/>
      <sheetName val="Graph_(2)27"/>
      <sheetName val="Cash_Flow27"/>
      <sheetName val="Transactions_-_Assoc_Concerns27"/>
      <sheetName val="Trial_Balance27"/>
      <sheetName val="Database_-_Tran27"/>
      <sheetName val="BS_Commentary27"/>
      <sheetName val="P&amp;L_Commentary27"/>
      <sheetName val="Profit_Loss_-_Balance_Sheet27"/>
      <sheetName val="Printed_Accounts_Front27"/>
      <sheetName val="Printed_Accounts__Back27"/>
      <sheetName val="P_L_Commentary27"/>
      <sheetName val="Top_Sheet25"/>
      <sheetName val="Monthly_Stocks-Product_Basis13"/>
      <sheetName val="Graph_-_Commentory25"/>
      <sheetName val="Graph_-_Board_of_Director25"/>
      <sheetName val="Variation_with_Budget26"/>
      <sheetName val="Printed_ac26"/>
      <sheetName val="Graph_(2)26"/>
      <sheetName val="Cash_Flow26"/>
      <sheetName val="Transactions_-_Assoc_Concerns26"/>
      <sheetName val="Trial_Balance26"/>
      <sheetName val="Database_-_Tran26"/>
      <sheetName val="BS_Commentary26"/>
      <sheetName val="P&amp;L_Commentary26"/>
      <sheetName val="Profit_Loss_-_Balance_Sheet26"/>
      <sheetName val="Printed_Accounts_Front26"/>
      <sheetName val="Printed_Accounts__Back26"/>
      <sheetName val="P_L_Commentary26"/>
      <sheetName val="Top_Sheet24"/>
      <sheetName val="Monthly_Stocks-Product_Basis12"/>
      <sheetName val="Travelling_Data2"/>
      <sheetName val="Data_Sheet2"/>
      <sheetName val="Travelling_DV2"/>
      <sheetName val="Notes_1-252"/>
      <sheetName val="FP_Analysis2"/>
      <sheetName val="PAYROLL_TZS2"/>
      <sheetName val="Segment_Wise2"/>
      <sheetName val="Lead_Sheet2"/>
      <sheetName val="Travelling_Data3"/>
      <sheetName val="Data_Sheet3"/>
      <sheetName val="Travelling_DV3"/>
      <sheetName val="Notes_1-253"/>
      <sheetName val="FP_Analysis3"/>
      <sheetName val="PAYROLL_TZS3"/>
      <sheetName val="Segment_Wise3"/>
      <sheetName val="Lead_Sheet3"/>
      <sheetName val="Sheet1"/>
      <sheetName val="Lead"/>
      <sheetName val="GROUPING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Market Rates"/>
      <sheetName val="Sheet4"/>
      <sheetName val="Macro1"/>
      <sheetName val="INPUT"/>
      <sheetName val="Ranges"/>
      <sheetName val="BSDOMOVS"/>
      <sheetName val="BS-OVS"/>
      <sheetName val="RC-0997"/>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sheetName val="DS"/>
      <sheetName val="UHF"/>
      <sheetName val="Notes 1-6"/>
      <sheetName val="6.1 - Equity HFT"/>
      <sheetName val="6.2 Tbills"/>
      <sheetName val="6.3 - Equity AFS"/>
      <sheetName val="Notes 6.3 - 24"/>
      <sheetName val="Lead"/>
      <sheetName val="CF Working"/>
      <sheetName val="form 7"/>
      <sheetName val="Links"/>
      <sheetName val="Tickmarks"/>
      <sheetName val="Sheet1"/>
      <sheetName val="Sheet2"/>
    </sheetNames>
    <sheetDataSet>
      <sheetData sheetId="0"/>
      <sheetData sheetId="1">
        <row r="26">
          <cell r="F26">
            <v>6947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sheetName val="DS"/>
      <sheetName val="UHF"/>
      <sheetName val="Notes 1-6"/>
      <sheetName val="6.1 - Equity HFT"/>
      <sheetName val="6.2 Tbills"/>
      <sheetName val="6.3 - Equity AFS"/>
      <sheetName val="Notes 6.3 - 24"/>
      <sheetName val="Lead"/>
      <sheetName val="CF Working"/>
      <sheetName val="form 7"/>
      <sheetName val="Links"/>
      <sheetName val="Tickmarks"/>
      <sheetName val="Sheet1"/>
      <sheetName val="Sheet2"/>
    </sheetNames>
    <sheetDataSet>
      <sheetData sheetId="0"/>
      <sheetData sheetId="1">
        <row r="26">
          <cell r="F26">
            <v>6947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Tickmarks"/>
    </sheetNames>
    <sheetDataSet>
      <sheetData sheetId="0" refreshError="1"/>
      <sheetData sheetId="1">
        <row r="14">
          <cell r="Y14">
            <v>0</v>
          </cell>
        </row>
      </sheetData>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S5"/>
      <sheetName val="Tickmarks"/>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ead"/>
      <sheetName val="disposal"/>
      <sheetName val="MIS Equipments Disposal"/>
      <sheetName val="Furniture &amp; Fixtures Disposal"/>
      <sheetName val="Machinery &amp; Equipment Disposal"/>
      <sheetName val="Vehicles Disposal"/>
      <sheetName val="Sheet1"/>
      <sheetName val="TRAN"/>
      <sheetName val="7-38"/>
      <sheetName val="BS"/>
      <sheetName val="Plant and machinery"/>
      <sheetName val="Iron Curtain Method"/>
      <sheetName val="BS-JPN"/>
      <sheetName val="Rec;pay"/>
      <sheetName val="CLIENTSHEET2"/>
      <sheetName val="Air Conditioner"/>
      <sheetName val="Green Tyre Curing"/>
      <sheetName val="CURRENT-DATA"/>
      <sheetName val="RiskSim Summary 1"/>
      <sheetName val="SUMM-2"/>
      <sheetName val="FINANCE"/>
      <sheetName val="NOTES"/>
      <sheetName val="MIS_Equipments_Disposal"/>
      <sheetName val="Furniture_&amp;_Fixtures_Disposal"/>
      <sheetName val="Machinery_&amp;_Equipment_Disposal"/>
      <sheetName val="Vehicles_Disposal"/>
      <sheetName val="Sheet3"/>
      <sheetName val="Parameters"/>
      <sheetName val="Schedule "/>
      <sheetName val="Depreciation working-09"/>
      <sheetName val="dep on wdv"/>
      <sheetName val="disposal of assets"/>
      <sheetName val="Plant_and_machinery"/>
      <sheetName val="Iron_Curtain_Method"/>
    </sheetNames>
    <sheetDataSet>
      <sheetData sheetId="0">
        <row r="4">
          <cell r="A4" t="str">
            <v>Suzuki Mehran</v>
          </cell>
        </row>
      </sheetData>
      <sheetData sheetId="1">
        <row r="4">
          <cell r="A4" t="str">
            <v>Suzuki Mehran</v>
          </cell>
        </row>
      </sheetData>
      <sheetData sheetId="2">
        <row r="4">
          <cell r="A4" t="str">
            <v>Suzuki Mehran</v>
          </cell>
        </row>
      </sheetData>
      <sheetData sheetId="3">
        <row r="4">
          <cell r="A4" t="str">
            <v>Suzuki Mehran</v>
          </cell>
        </row>
      </sheetData>
      <sheetData sheetId="4">
        <row r="4">
          <cell r="A4" t="str">
            <v>Suzuki Mehran</v>
          </cell>
        </row>
      </sheetData>
      <sheetData sheetId="5">
        <row r="4">
          <cell r="A4" t="str">
            <v>Suzuki Mehran</v>
          </cell>
        </row>
      </sheetData>
      <sheetData sheetId="6">
        <row r="4">
          <cell r="A4" t="str">
            <v>Suzuki Mehran</v>
          </cell>
        </row>
      </sheetData>
      <sheetData sheetId="7" refreshError="1">
        <row r="4">
          <cell r="A4" t="str">
            <v>Suzuki Mehran</v>
          </cell>
        </row>
        <row r="5">
          <cell r="A5" t="str">
            <v>Suzuki Mehran VXR</v>
          </cell>
        </row>
        <row r="6">
          <cell r="A6" t="str">
            <v>Suzuki Mehran VXL</v>
          </cell>
        </row>
        <row r="7">
          <cell r="A7" t="str">
            <v>Suzuki Cultus</v>
          </cell>
        </row>
        <row r="8">
          <cell r="A8" t="str">
            <v>Suzuki Cultus VXR</v>
          </cell>
        </row>
        <row r="9">
          <cell r="A9" t="str">
            <v>Suzuki Cultus VXL</v>
          </cell>
        </row>
        <row r="10">
          <cell r="A10" t="str">
            <v>Honda City</v>
          </cell>
        </row>
        <row r="11">
          <cell r="A11" t="str">
            <v>Honda City Exi</v>
          </cell>
        </row>
        <row r="12">
          <cell r="A12" t="str">
            <v>Honda City Vario</v>
          </cell>
        </row>
        <row r="13">
          <cell r="A13" t="str">
            <v>Yamaha 100</v>
          </cell>
        </row>
        <row r="14">
          <cell r="A14" t="str">
            <v>Vespa Scooter</v>
          </cell>
        </row>
        <row r="15">
          <cell r="A15" t="str">
            <v>Shahzore Pickup</v>
          </cell>
        </row>
        <row r="16">
          <cell r="A16" t="str">
            <v>Suzuki Ravi</v>
          </cell>
        </row>
        <row r="17">
          <cell r="A17" t="str">
            <v>Suzuki Bolan</v>
          </cell>
        </row>
        <row r="18">
          <cell r="A18" t="str">
            <v>KIA Classic</v>
          </cell>
        </row>
        <row r="19">
          <cell r="A19" t="str">
            <v>Honda CD 70</v>
          </cell>
        </row>
        <row r="20">
          <cell r="A20" t="str">
            <v>-- end of list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Working"/>
      <sheetName val="{f} Reuter(extract)"/>
      <sheetName val="Entries"/>
      <sheetName val="XREF"/>
      <sheetName val="Tickmarks"/>
    </sheetNames>
    <sheetDataSet>
      <sheetData sheetId="0"/>
      <sheetData sheetId="1"/>
      <sheetData sheetId="2"/>
      <sheetData sheetId="3"/>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CGL"/>
      <sheetName val="Dummy"/>
      <sheetName val="18.06.2008"/>
      <sheetName val="17.06.2008"/>
      <sheetName val="16.06.2008"/>
      <sheetName val="13.06.2008"/>
      <sheetName val="12.06.2008"/>
      <sheetName val="11.06.2008"/>
      <sheetName val="10.06.2008"/>
      <sheetName val="09.06.2008"/>
      <sheetName val="06.06.2008"/>
      <sheetName val="05.06.2008"/>
      <sheetName val="04.06.2008"/>
      <sheetName val="03.06.2008"/>
      <sheetName val="02.06.2008"/>
      <sheetName val="30.05.2008"/>
      <sheetName val="29.05.2008"/>
      <sheetName val="28.05.2008"/>
      <sheetName val="27.05.2008"/>
      <sheetName val="26.05.2008"/>
      <sheetName val="23.05.2008"/>
      <sheetName val="22.05.2008"/>
      <sheetName val="21.05.2008"/>
      <sheetName val="20.05.2008"/>
      <sheetName val="19.05.2008"/>
      <sheetName val="16.05.2008"/>
      <sheetName val="15.05.2008"/>
      <sheetName val="14.05.2008"/>
      <sheetName val="13.05.2008"/>
      <sheetName val="12.05.2008"/>
      <sheetName val="09.05.2008"/>
      <sheetName val="08.05.2008"/>
      <sheetName val="07.05.2008"/>
      <sheetName val="06.05.2008"/>
      <sheetName val="05.05.2008"/>
      <sheetName val="02.05.2008"/>
      <sheetName val="30.04.2008"/>
      <sheetName val="29.04.2008"/>
      <sheetName val="28.04.2008"/>
      <sheetName val="25.04.2008"/>
      <sheetName val="24.04.2008"/>
      <sheetName val="23.04.2008"/>
      <sheetName val="22.04.2008"/>
      <sheetName val="21.04.2008"/>
      <sheetName val="18.04.2008"/>
      <sheetName val="17.04.2008"/>
      <sheetName val="16.04.2008"/>
      <sheetName val="15.04.2008"/>
      <sheetName val="14.04.2008"/>
      <sheetName val="11.04.2008"/>
      <sheetName val="10.04.2008"/>
      <sheetName val="09.04.2008"/>
      <sheetName val="08.04.2008"/>
      <sheetName val="07.04.2008"/>
      <sheetName val="04.04.2008"/>
      <sheetName val="03.04.2008"/>
      <sheetName val="02.04.2008"/>
      <sheetName val="01.04.2008"/>
      <sheetName val="31.03.2008"/>
      <sheetName val="Dis. amortization (revised)"/>
      <sheetName val="10 Y PIBs (revised)"/>
      <sheetName val="10 Y PIBs"/>
      <sheetName val="Top"/>
      <sheetName val="Dis. amortization"/>
      <sheetName val="PIB accrual"/>
      <sheetName val="Dis. amortization (6)"/>
      <sheetName val="Dis. amortization (5)"/>
      <sheetName val="Dis. amortization (2)"/>
      <sheetName val="Dis. amortization (3)"/>
      <sheetName val="Dis. amortization (4)"/>
      <sheetName val="PIB (IRR)"/>
      <sheetName val="ol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consolidatedLONG T"/>
      <sheetName val="Compilation"/>
      <sheetName val="TOP Sheet LONG Term FHS -PK"/>
      <sheetName val="TOP Sheet LONG Term Uganda"/>
      <sheetName val="TOP Sheet LONG Term IED"/>
      <sheetName val="Top sheet consolidated short te"/>
      <sheetName val="Compilation (2)"/>
      <sheetName val="TOP Sheet Short Term FHS-PK"/>
      <sheetName val="Short Term Uganda, kenya, UK"/>
      <sheetName val="TOP-SHEET short term IED"/>
      <sheetName val="Adjustments"/>
      <sheetName val="Lead Schedule"/>
      <sheetName val="sowd"/>
      <sheetName val="100042"/>
      <sheetName val="10004210000"/>
      <sheetName val="200042"/>
      <sheetName val="100082"/>
      <sheetName val="10008600000"/>
      <sheetName val="10008611550"/>
      <sheetName val="Tawana"/>
      <sheetName val="ADVANCE MC"/>
      <sheetName val="SUBS. ADV. AKUH (2005)"/>
      <sheetName val="SUBS. ADV. AKUH (2006)"/>
      <sheetName val="Bifurcation of car loan MC"/>
      <sheetName val="Car 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OCI"/>
      <sheetName val="DS"/>
      <sheetName val="UHF"/>
      <sheetName val="UHF New V2"/>
      <sheetName val="CFs"/>
      <sheetName val="1-5"/>
      <sheetName val="5-5.1.1"/>
      <sheetName val="5.2"/>
      <sheetName val="6-10"/>
      <sheetName val="5.4"/>
      <sheetName val="10.1"/>
      <sheetName val="10.2-10.3"/>
      <sheetName val="UHF New"/>
      <sheetName val="UHF OLD"/>
      <sheetName val="Sheet4"/>
      <sheetName val="5.1"/>
      <sheetName val="Sheet3"/>
      <sheetName val="11"/>
      <sheetName val="12-14"/>
      <sheetName val="RP"/>
      <sheetName val="CF Working"/>
      <sheetName val="TB MCBPSM"/>
      <sheetName val="Sheet2"/>
      <sheetName val="TB-31 Dec"/>
      <sheetName val="Associate"/>
      <sheetName val="SMAS"/>
      <sheetName val="Executive"/>
      <sheetName val="Sheet1"/>
      <sheetName val="Note 1-5 (2)"/>
      <sheetName val="5.1-5.3"/>
      <sheetName val="5.4-8"/>
      <sheetName val="5.1-5.3 (2)"/>
      <sheetName val="20-25.1.2"/>
      <sheetName val="25.1.3-25.2"/>
      <sheetName val="Note 25.2.1-30.1"/>
      <sheetName val="Element income final"/>
      <sheetName val="Element income final 2015"/>
      <sheetName val="29-31.3"/>
      <sheetName val="credit 2011"/>
      <sheetName val="bank rating"/>
      <sheetName val="Element of Income "/>
      <sheetName val="Element working"/>
      <sheetName val="Set off"/>
      <sheetName val="Trial Balance"/>
      <sheetName val="investment topsheet"/>
      <sheetName val="invst Control Sheet"/>
    </sheetNames>
    <sheetDataSet>
      <sheetData sheetId="0">
        <row r="40">
          <cell r="F40">
            <v>76.526499999999999</v>
          </cell>
        </row>
      </sheetData>
      <sheetData sheetId="1">
        <row r="21">
          <cell r="H21">
            <v>41256</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ow r="9">
          <cell r="C9">
            <v>1908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2011"/>
      <sheetName val="BS"/>
      <sheetName val="P&amp;L"/>
      <sheetName val="CI"/>
      <sheetName val="DS"/>
      <sheetName val="UHF"/>
      <sheetName val="CFs"/>
      <sheetName val="Note 1-5"/>
      <sheetName val="Note 1-5 (2)"/>
      <sheetName val="5.1-5.3 (3)"/>
      <sheetName val="5.1-5.3"/>
      <sheetName val="5.4-8"/>
      <sheetName val="5.3-15"/>
      <sheetName val="UHF Quarter"/>
      <sheetName val="CF Working"/>
      <sheetName val="RP Working Quarter"/>
      <sheetName val="5.1-5.3 (2)"/>
      <sheetName val="20-25.1.2"/>
      <sheetName val="25.1.3-25.2"/>
      <sheetName val="Note 25.2.1-30.1"/>
      <sheetName val="Element of Income (client)"/>
      <sheetName val="Element income final"/>
      <sheetName val="Element income final 2015"/>
      <sheetName val="CFs Quarter"/>
      <sheetName val="P&amp;L Quarter"/>
      <sheetName val="DS Quarter"/>
      <sheetName val="CI Quarter"/>
      <sheetName val="Element income final - abid"/>
      <sheetName val="TB"/>
      <sheetName val="29-31.3"/>
      <sheetName val="credit 2011"/>
      <sheetName val="bank rating"/>
      <sheetName val="Element of Income "/>
      <sheetName val="Element working"/>
      <sheetName val="Set off"/>
      <sheetName val="Trial Balance"/>
      <sheetName val="investment topsheet"/>
      <sheetName val="invst Control Sheet"/>
    </sheetNames>
    <sheetDataSet>
      <sheetData sheetId="0"/>
      <sheetData sheetId="1"/>
      <sheetData sheetId="2">
        <row r="15">
          <cell r="A15" t="str">
            <v>Unrealised (diminution) / appreciation on re-measurement of investments</v>
          </cell>
        </row>
        <row r="16">
          <cell r="A16" t="str">
            <v>classified as 'financial assets at fair value through profit or loss' - net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Furniture"/>
      <sheetName val="Master Exch Rate &amp; Discount"/>
      <sheetName val="UA-30"/>
      <sheetName val="IS"/>
      <sheetName val="FHBM 706"/>
      <sheetName val="Merit draft accounts FINAL 28-0"/>
      <sheetName val="Sep"/>
      <sheetName val="CLV assumptions"/>
      <sheetName val="KeyData"/>
      <sheetName val="F&amp;F"/>
      <sheetName val="OCF wtg"/>
      <sheetName val="Detail"/>
      <sheetName val="Historical"/>
      <sheetName val="Sheet5"/>
      <sheetName val="Consol with Adjustments  (2)"/>
      <sheetName val="NORMAL"/>
      <sheetName val="ASSUMPTION"/>
      <sheetName val="1-4_141"/>
      <sheetName val="5-5_31"/>
      <sheetName val="6-29_21"/>
      <sheetName val="34-38_21"/>
      <sheetName val="Range data"/>
      <sheetName val="Exc-Smy (Mn)"/>
      <sheetName val="Input"/>
      <sheetName val="POWER HOUSE"/>
      <sheetName val="PUR&amp;SAL"/>
      <sheetName val="purchase"/>
      <sheetName val="KP1590_E"/>
      <sheetName val="3.2"/>
      <sheetName val="AL905"/>
      <sheetName val="Summary"/>
      <sheetName val="Revenue-Fire-Marine-Motor"/>
      <sheetName val="PPC-ORD DTL"/>
      <sheetName val="6-19 (2016)"/>
      <sheetName val="P&amp;L_Commentary"/>
      <sheetName val="1-4_142"/>
      <sheetName val="5-5_32"/>
      <sheetName val="6-29_22"/>
      <sheetName val="34-38_22"/>
      <sheetName val="3_2"/>
      <sheetName val="Set-up"/>
      <sheetName val="Sep2004"/>
      <sheetName val="Notional Interest"/>
      <sheetName val="Trial"/>
      <sheetName val="FHBM_706"/>
      <sheetName val="Merit_draft_accounts_FINAL_28-0"/>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sheetData sheetId="63"/>
      <sheetData sheetId="6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sheetName val="Income-Statement"/>
      <sheetName val="Statement of CI"/>
      <sheetName val="Distribution"/>
      <sheetName val="funds' movement"/>
      <sheetName val="Cash Flow "/>
      <sheetName val="CASH FLOW WORKIN"/>
      <sheetName val="Note 1-4"/>
      <sheetName val="Note 5"/>
      <sheetName val="Note 6-18.6"/>
      <sheetName val="Note 21-24"/>
      <sheetName val="Note 24"/>
      <sheetName val="Adjustment"/>
      <sheetName val="Cash FLow Working"/>
      <sheetName val="trail balance"/>
      <sheetName val="trail balance (2)"/>
      <sheetName val="Yield working"/>
      <sheetName val="Maturity workings"/>
      <sheetName val="Maturity basis"/>
      <sheetName val="Sheet1"/>
      <sheetName val="TB"/>
      <sheetName val="Set-Up"/>
      <sheetName val="maturities &amp; yield risk portion"/>
      <sheetName val="preliminary exp maturity"/>
      <sheetName val="inv disclosure client"/>
      <sheetName val="inv disclosure cost"/>
      <sheetName val="Note 5 cost"/>
      <sheetName val="preliminary exp maturity (2)"/>
    </sheetNames>
    <sheetDataSet>
      <sheetData sheetId="0" refreshError="1">
        <row r="9">
          <cell r="F9">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 income final"/>
      <sheetName val="Redeem -Element"/>
      <sheetName val="Sales Element (H.S)"/>
      <sheetName val="Redeem -Element (2)"/>
      <sheetName val="Sales Element (H.S) (2)"/>
    </sheetNames>
    <sheetDataSet>
      <sheetData sheetId="0" refreshError="1"/>
      <sheetData sheetId="1">
        <row r="2">
          <cell r="B2" t="str">
            <v>July 1 to July 15</v>
          </cell>
        </row>
        <row r="1286">
          <cell r="I1286">
            <v>94535218.95159997</v>
          </cell>
        </row>
      </sheetData>
      <sheetData sheetId="2">
        <row r="3">
          <cell r="B3" t="str">
            <v>July 16 to Dec 31</v>
          </cell>
        </row>
        <row r="1783">
          <cell r="N1783">
            <v>153308337.9352999</v>
          </cell>
        </row>
      </sheetData>
      <sheetData sheetId="3">
        <row r="452">
          <cell r="I452">
            <v>37793195.065500006</v>
          </cell>
        </row>
      </sheetData>
      <sheetData sheetId="4">
        <row r="1065">
          <cell r="N1065">
            <v>44868502.886300005</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ment"/>
      <sheetName val="Comp Income"/>
      <sheetName val="Distribution"/>
      <sheetName val="Movement"/>
      <sheetName val="Cash Flow"/>
      <sheetName val="Cash FLow Working"/>
      <sheetName val="Notes 1-5.2"/>
      <sheetName val="final portfolio "/>
      <sheetName val="Note 5.2.2-9.1"/>
      <sheetName val="Sheet2"/>
      <sheetName val="Note 11-21.6"/>
      <sheetName val="Sheet3"/>
      <sheetName val="Note 22-25.1.2"/>
      <sheetName val="Note 25.1.2"/>
      <sheetName val="Note 25.1.3-25.3"/>
      <sheetName val="Note 26-29"/>
      <sheetName val="TB - 30 June"/>
      <sheetName val="Bank balance Top Sheet"/>
      <sheetName val="Profit and Dividend Rec TS"/>
      <sheetName val="ADVANCES TopSheet "/>
      <sheetName val="FLOATATION TS"/>
      <sheetName val="Payables Top Sheet"/>
      <sheetName val="Income TopSheet"/>
      <sheetName val="Expenses Top Sheet"/>
      <sheetName val="Investment Top Sheet"/>
      <sheetName val="Front End Load"/>
      <sheetName val="Sheet1"/>
      <sheetName val="Stat of Comp Income"/>
      <sheetName val="Credit Rating"/>
      <sheetName val="Brokerage"/>
      <sheetName val="ik rupee change"/>
      <sheetName val="Maturity working"/>
      <sheetName val="TB"/>
      <sheetName val="Set-Up"/>
    </sheetNames>
    <sheetDataSet>
      <sheetData sheetId="0" refreshError="1">
        <row r="20">
          <cell r="A20" t="str">
            <v>Payable to the Trustee</v>
          </cell>
        </row>
        <row r="35">
          <cell r="F35">
            <v>106362407.7969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OP_INCOME"/>
      <sheetName val="O_CHS"/>
      <sheetName val="DEF_TAX"/>
      <sheetName val="NORMAL_(2)"/>
      <sheetName val="last qrt2001"/>
      <sheetName val="last_qrt2001"/>
      <sheetName val="OP_INCOME1"/>
      <sheetName val="O_CHS1"/>
      <sheetName val="DEF_TAX1"/>
      <sheetName val="NORMAL_(2)1"/>
      <sheetName val="last_qrt20011"/>
      <sheetName val="OtherKPI"/>
      <sheetName val="34-38.2"/>
      <sheetName val="11-15"/>
      <sheetName val="PL Notes"/>
      <sheetName val="Variance Analysis"/>
      <sheetName val="Advert &amp; sales promo"/>
      <sheetName val="P&amp;L (2)"/>
      <sheetName val="BS-03-00"/>
      <sheetName val="OP_INCOME2"/>
      <sheetName val="O_CHS2"/>
      <sheetName val="DEF_TAX2"/>
      <sheetName val="NORMAL_(2)2"/>
      <sheetName val="last_qrt20012"/>
      <sheetName val="Data"/>
      <sheetName val="STOM-Data"/>
      <sheetName val="Prices"/>
      <sheetName val="Job Titles"/>
      <sheetName val="june2003statury"/>
      <sheetName val="A"/>
      <sheetName val="/´bd_x0000__x0000_/_x0000_0"/>
      <sheetName val="Balance Sheet Main"/>
      <sheetName val="OP_INCOME3"/>
      <sheetName val="O_CHS3"/>
      <sheetName val="DEF_TAX3"/>
      <sheetName val="NORMAL_(2)3"/>
      <sheetName val="last_qrt20013"/>
      <sheetName val="PL_Notes"/>
      <sheetName val="Variance_Analysis"/>
      <sheetName val="Advert_&amp;_sales_promo"/>
      <sheetName val="P&amp;L_(2)"/>
      <sheetName val="34-38_2"/>
      <sheetName val="EJ-16.1 PG Inv Breakup"/>
      <sheetName val="sayfa 3"/>
      <sheetName val="adm "/>
      <sheetName val="Assumptions"/>
      <sheetName val="t-card format"/>
      <sheetName val="notes"/>
      <sheetName val="fin inst"/>
      <sheetName val="RM-imported"/>
      <sheetName val="Brookes-stocks"/>
      <sheetName val="Revenue-Fire-Marine-Motor"/>
      <sheetName val=" Summary"/>
      <sheetName val="P&amp;L"/>
      <sheetName val="Job_Titles"/>
      <sheetName val="fin_inst"/>
      <sheetName val="new sum"/>
      <sheetName val="bus in com imp wo ss cs"/>
      <sheetName val="Sheet1 "/>
      <sheetName val="Code"/>
      <sheetName val="MAIN"/>
      <sheetName val="Sheet4"/>
      <sheetName val="Final"/>
      <sheetName val="1st Working"/>
      <sheetName val="Sheet3"/>
      <sheetName val="Avsb"/>
      <sheetName val="Mst"/>
      <sheetName val="EJ-16_1_PG_Inv_Breakup"/>
      <sheetName val="MEGA"/>
      <sheetName val="OP_INCOME4"/>
      <sheetName val="O_CHS4"/>
      <sheetName val="DEF_TAX4"/>
      <sheetName val="NORMAL_(2)4"/>
      <sheetName val="last_qrt20014"/>
      <sheetName val="PL_Notes1"/>
      <sheetName val="Variance_Analysis1"/>
      <sheetName val="Advert_&amp;_sales_promo1"/>
      <sheetName val="P&amp;L_(2)1"/>
      <sheetName val="34-38_21"/>
      <sheetName val="FitOutConfCentre"/>
      <sheetName val="Raw Data"/>
      <sheetName val="OP_INCOME5"/>
      <sheetName val="O_CHS5"/>
      <sheetName val="DEF_TAX5"/>
      <sheetName val="NORMAL_(2)5"/>
      <sheetName val="last_qrt20015"/>
      <sheetName val="34-38_22"/>
      <sheetName val="PL_Notes2"/>
      <sheetName val="Variance_Analysis2"/>
      <sheetName val="Advert_&amp;_sales_promo2"/>
      <sheetName val="P&amp;L_(2)2"/>
      <sheetName val="EJ-16_1_PG_Inv_Breakup1"/>
      <sheetName val="Job_Titles1"/>
      <sheetName val="t-card_format"/>
      <sheetName val="/´bd/0"/>
      <sheetName val="Balance_Sheet_Main"/>
      <sheetName val="sayfa_3"/>
      <sheetName val="adm_"/>
      <sheetName val="_Summary"/>
      <sheetName val="Fixed Asset Schedule"/>
      <sheetName val="BS"/>
      <sheetName val="IE"/>
      <sheetName val="OCI"/>
      <sheetName val="FM"/>
      <sheetName val="FA"/>
      <sheetName val="5-16"/>
      <sheetName val="PAJE"/>
      <sheetName val="K-LS"/>
      <sheetName val="K-1"/>
      <sheetName val="K-2"/>
      <sheetName val="K-3"/>
      <sheetName val="K-4"/>
      <sheetName val="K-5"/>
      <sheetName val="K-6"/>
      <sheetName val="K-7"/>
      <sheetName val="K-8"/>
      <sheetName val="K-9"/>
      <sheetName val="K-10"/>
      <sheetName val="Legends (K)"/>
      <sheetName val="C-LS"/>
      <sheetName val="C-1"/>
      <sheetName val="C-2"/>
      <sheetName val="R-LS"/>
      <sheetName val="R-1"/>
      <sheetName val="R-2"/>
      <sheetName val="R-3"/>
      <sheetName val="E-LS"/>
      <sheetName val="E-1"/>
      <sheetName val="E-1.1"/>
      <sheetName val="E-2"/>
      <sheetName val="E-3"/>
      <sheetName val="E-4"/>
      <sheetName val="E-5"/>
      <sheetName val="E-6"/>
      <sheetName val="Q-LS"/>
      <sheetName val="Q.1"/>
      <sheetName val="N-LS"/>
      <sheetName val="N-1"/>
      <sheetName val="N-2"/>
      <sheetName val="N-3"/>
      <sheetName val="N-4"/>
      <sheetName val="N-5"/>
      <sheetName val="N-6"/>
      <sheetName val="N-7 "/>
      <sheetName val="N-8"/>
      <sheetName val="U--LS"/>
      <sheetName val="U-1"/>
      <sheetName val="U-2"/>
      <sheetName val="U-2.1"/>
      <sheetName val="U-2.2"/>
      <sheetName val="U-2.3"/>
      <sheetName val="U-2.4"/>
      <sheetName val="U-3"/>
      <sheetName val="U-11"/>
      <sheetName val="W-LS"/>
      <sheetName val="W-1"/>
      <sheetName val="W - 1.1"/>
      <sheetName val="W-1.2"/>
      <sheetName val="W-1.3"/>
      <sheetName val="W-1.4"/>
      <sheetName val="Payroll Legends"/>
      <sheetName val="W-1.5"/>
      <sheetName val="W-1.6"/>
      <sheetName val="W-2"/>
      <sheetName val="W-3"/>
      <sheetName val="W-4"/>
      <sheetName val="W-5"/>
      <sheetName val="W-6"/>
      <sheetName val="W-7"/>
      <sheetName val="Legends (W)"/>
      <sheetName val="Mozu Schedule"/>
      <sheetName val="MN-1"/>
      <sheetName val="MN-1.1"/>
      <sheetName val="MN-1.2"/>
      <sheetName val="ME-1"/>
      <sheetName val="MC-3"/>
      <sheetName val="MU-1"/>
      <sheetName val="TB-2017-18"/>
      <sheetName val="TB-2016-17 DP"/>
      <sheetName val="TB-2016-17 MAALI"/>
      <sheetName val="PCTB-2016-17 MAAL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refreshError="1"/>
      <sheetData sheetId="11" refreshError="1"/>
      <sheetData sheetId="12">
        <row r="29">
          <cell r="E29">
            <v>29055726</v>
          </cell>
        </row>
      </sheetData>
      <sheetData sheetId="13">
        <row r="29">
          <cell r="E29">
            <v>29055726</v>
          </cell>
        </row>
      </sheetData>
      <sheetData sheetId="14">
        <row r="29">
          <cell r="E29">
            <v>29055726</v>
          </cell>
        </row>
      </sheetData>
      <sheetData sheetId="15">
        <row r="29">
          <cell r="E29">
            <v>29055726</v>
          </cell>
        </row>
      </sheetData>
      <sheetData sheetId="16" refreshError="1"/>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ow r="29">
          <cell r="E29">
            <v>29055726</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9">
          <cell r="E29">
            <v>29055726</v>
          </cell>
        </row>
      </sheetData>
      <sheetData sheetId="46">
        <row r="29">
          <cell r="E29">
            <v>29055726</v>
          </cell>
        </row>
      </sheetData>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row r="29">
          <cell r="E29">
            <v>29055726</v>
          </cell>
        </row>
      </sheetData>
      <sheetData sheetId="53">
        <row r="29">
          <cell r="E29">
            <v>29055726</v>
          </cell>
        </row>
      </sheetData>
      <sheetData sheetId="54" refreshError="1"/>
      <sheetData sheetId="55" refreshError="1"/>
      <sheetData sheetId="56" refreshError="1"/>
      <sheetData sheetId="57">
        <row r="29">
          <cell r="E29">
            <v>29055726</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ow r="29">
          <cell r="E29">
            <v>0</v>
          </cell>
        </row>
      </sheetData>
      <sheetData sheetId="75"/>
      <sheetData sheetId="76"/>
      <sheetData sheetId="77" refreshError="1"/>
      <sheetData sheetId="78" refreshError="1"/>
      <sheetData sheetId="79"/>
      <sheetData sheetId="80" refreshError="1"/>
      <sheetData sheetId="81">
        <row r="29">
          <cell r="E29">
            <v>29055726</v>
          </cell>
        </row>
      </sheetData>
      <sheetData sheetId="82">
        <row r="29">
          <cell r="E29">
            <v>29055726</v>
          </cell>
        </row>
      </sheetData>
      <sheetData sheetId="83">
        <row r="29">
          <cell r="E29">
            <v>29055726</v>
          </cell>
        </row>
      </sheetData>
      <sheetData sheetId="84"/>
      <sheetData sheetId="85"/>
      <sheetData sheetId="86">
        <row r="29">
          <cell r="E29">
            <v>29055726</v>
          </cell>
        </row>
      </sheetData>
      <sheetData sheetId="87">
        <row r="29">
          <cell r="E29">
            <v>29055726</v>
          </cell>
        </row>
      </sheetData>
      <sheetData sheetId="88">
        <row r="29">
          <cell r="E29">
            <v>29055726</v>
          </cell>
        </row>
      </sheetData>
      <sheetData sheetId="89">
        <row r="29">
          <cell r="E29">
            <v>29055726</v>
          </cell>
        </row>
      </sheetData>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ow r="29">
          <cell r="E29">
            <v>29055726</v>
          </cell>
        </row>
      </sheetData>
      <sheetData sheetId="113">
        <row r="29">
          <cell r="E29">
            <v>29055726</v>
          </cell>
        </row>
      </sheetData>
      <sheetData sheetId="114">
        <row r="29">
          <cell r="E29">
            <v>29055726</v>
          </cell>
        </row>
      </sheetData>
      <sheetData sheetId="115">
        <row r="29">
          <cell r="E29">
            <v>29055726</v>
          </cell>
        </row>
      </sheetData>
      <sheetData sheetId="116">
        <row r="29">
          <cell r="E29">
            <v>29055726</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DD1999"/>
      <sheetName val="NORMAL"/>
      <sheetName val="FG"/>
      <sheetName val="sheet2"/>
      <sheetName val="Sheet1"/>
      <sheetName val="CPMLETE TB - original"/>
      <sheetName val="bubbleDATA"/>
      <sheetName val="KWTDetail"/>
      <sheetName val="INCOME-EXP"/>
      <sheetName val="Actualization_Details"/>
      <sheetName val="EJ-16.1 PG Inv Breakup"/>
      <sheetName val="Stocks-01"/>
      <sheetName val="Cost Centre Comparison"/>
      <sheetName val="BS-03-00"/>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 val="AL905"/>
      <sheetName val="last qrt2001"/>
      <sheetName val="Sundry_Deposits"/>
      <sheetName val="BSCOMBINED_"/>
      <sheetName val="Balance_Sheet"/>
      <sheetName val="2_-_5_3"/>
      <sheetName val="6_-_9_2"/>
      <sheetName val="Note_10-10_1"/>
      <sheetName val="Note_10_2-10_7"/>
      <sheetName val="Note_11_-_12_1"/>
      <sheetName val="10-11_1"/>
      <sheetName val="12-14_9"/>
      <sheetName val="Note_16_2-18"/>
      <sheetName val="Note_22-23"/>
      <sheetName val="Maturity_Investments"/>
      <sheetName val="Maturities_of_AL_OS"/>
      <sheetName val="Int_Yield_-OS"/>
      <sheetName val="Int_Yield-_Dom"/>
      <sheetName val="27_1,_27_2"/>
      <sheetName val="27_3-DOM"/>
      <sheetName val="27_3-OVS"/>
      <sheetName val="Currency_Risk_OVS+UBL"/>
      <sheetName val="Currency_Risk_DOM"/>
      <sheetName val="Cash_flow"/>
      <sheetName val="Maturity_of_Deposits_-KP_"/>
      <sheetName val="Note_28_1-30"/>
      <sheetName val="Note_37-38"/>
      <sheetName val="Note_42_2-44"/>
      <sheetName val="Implied_Rate"/>
      <sheetName val="Revised_Budget_as_per_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DEC-05"/>
      <sheetName val="LS-UAE"/>
      <sheetName val="Note 9.2.4-9.2.7"/>
      <sheetName val="Abu_Dhabi"/>
      <sheetName val="Abu_Dhabi1"/>
      <sheetName val="Tables"/>
      <sheetName val="BS-OVS"/>
      <sheetName val="BSDOMOVS"/>
      <sheetName val="A-C CODE &amp; NAME"/>
      <sheetName val="Lookups"/>
      <sheetName val="1-bwb(cb)"/>
      <sheetName val="Abu_Dhabi2"/>
      <sheetName val="Note_9_2_4-9_2_7"/>
      <sheetName val="A-C_CODE_&amp;_NAME"/>
      <sheetName val="Summary"/>
      <sheetName val="CIBG Budget KPIs"/>
      <sheetName val="Budget 2015"/>
      <sheetName val="TFCs"/>
      <sheetName val="T Bills "/>
      <sheetName val="PIBs"/>
      <sheetName val="Conventional BS"/>
      <sheetName val="WorkSheet"/>
      <sheetName val="PiB"/>
      <sheetName val="T bills"/>
      <sheetName val="Sheet3"/>
      <sheetName val="TFC"/>
      <sheetName val="Data"/>
      <sheetName val="I-B"/>
      <sheetName val="P&amp;L Commentary"/>
      <sheetName val="Abu_Dhabi3"/>
      <sheetName val="Note_9_2_4-9_2_71"/>
      <sheetName val="A-C_CODE_&amp;_NAME1"/>
      <sheetName val="deposit"/>
      <sheetName val="FX_130"/>
      <sheetName val="Template"/>
      <sheetName val="Parameters"/>
      <sheetName val="Committments"/>
      <sheetName val="Details of Capex of FY 2019 (2)"/>
      <sheetName val="POs Issued (2)"/>
      <sheetName val="Sheet4"/>
      <sheetName val="POs Issued"/>
      <sheetName val="Details of Direct Cost FY 2019"/>
      <sheetName val="Details of Capex of FY 2019"/>
      <sheetName val="Capex Month wise 2018"/>
      <sheetName val="RC-0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
      <sheetName val="IE"/>
      <sheetName val="broker sheet-2"/>
      <sheetName val="LOCAL STUDENTS"/>
      <sheetName val="Others"/>
      <sheetName val="Stancom 29"/>
      <sheetName val="Code"/>
      <sheetName val="AL905"/>
      <sheetName val="Abu_Dhabi"/>
      <sheetName val="TOTAL_OVS_BRS_ST_AUG_02"/>
      <sheetName val="A-C_CODE_&amp;_NAME"/>
      <sheetName val="OUTSTANDING_FX-SWAP"/>
      <sheetName val="Stancom_29"/>
      <sheetName val="Abu_Dhabi1"/>
      <sheetName val="TOTAL_OVS_BRS_ST_AUG_021"/>
      <sheetName val="A-C_CODE_&amp;_NAME1"/>
      <sheetName val="OUTSTANDING_FX-SWAP1"/>
      <sheetName val="TB 201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RC-0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I- INV CO"/>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UAE"/>
      <sheetName val="LS-UK"/>
      <sheetName val="0"/>
      <sheetName val="PIB&amp;A.G.ZURICH"/>
      <sheetName val="LS-OTHERS"/>
      <sheetName val="Sheet1"/>
      <sheetName val="LS-TOTAL"/>
      <sheetName val="a"/>
      <sheetName val="LS_UAE"/>
      <sheetName val="#REF"/>
      <sheetName val="PKRV"/>
      <sheetName val="BSDOMOVS"/>
      <sheetName val="Abu Dhabi"/>
      <sheetName val="5 TO 36"/>
      <sheetName val="BS"/>
      <sheetName val="FF"/>
      <sheetName val="PIB&amp;A_G_ZURICH"/>
      <sheetName val="PIB&amp;A_G_ZURICH1"/>
      <sheetName val="Balance sheet UAE"/>
      <sheetName val="Maturity profile assump"/>
      <sheetName val="Furniture"/>
      <sheetName val="34-38.2"/>
      <sheetName val="PIB&amp;A_G_ZURICH2"/>
      <sheetName val="Abu_Dhabi"/>
      <sheetName val="5_TO_36"/>
      <sheetName val="Tables"/>
      <sheetName val="Rating"/>
      <sheetName val="Note 9.2.4-9.2.7"/>
      <sheetName val="II- INV CO"/>
      <sheetName val="Sum"/>
      <sheetName val="I-B"/>
      <sheetName val="I-BR"/>
      <sheetName val="30-34"/>
      <sheetName val="15-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nput"/>
      <sheetName val="TOTAL P&amp;L"/>
      <sheetName val="T&amp;D"/>
      <sheetName val="Prf sumry"/>
      <sheetName val="bsheet"/>
      <sheetName val="Ratios"/>
      <sheetName val="Toyota PL ckd"/>
      <sheetName val="cbu pl"/>
      <sheetName val="Toyota ckd_cbu"/>
      <sheetName val="Cuore PL ckd"/>
      <sheetName val="Cuore PL ckd_parts"/>
      <sheetName val="consld pl"/>
      <sheetName val="C Sheet ckd cbu"/>
      <sheetName val="Cashflow"/>
      <sheetName val="Invetory level"/>
      <sheetName val="comparision"/>
      <sheetName val="Sheet1 (3)"/>
      <sheetName val="Sheet1 (2)"/>
      <sheetName val="CKD Variant"/>
      <sheetName val="CBU Variant"/>
      <sheetName val="SUMMARY"/>
      <sheetName val="Sales Plan"/>
      <sheetName val="Reconcilation CKD "/>
      <sheetName val="Reconciliation 2"/>
      <sheetName val="OBJECTIVES"/>
      <sheetName val="R"/>
      <sheetName val="Final Budget 2002-2003"/>
      <sheetName val="in time arr"/>
      <sheetName val="TOTAL_P&amp;L"/>
      <sheetName val="Prf_sumry"/>
      <sheetName val="Toyota_PL_ckd"/>
      <sheetName val="cbu_pl"/>
      <sheetName val="Toyota_ckd_cbu"/>
      <sheetName val="Cuore_PL_ckd"/>
      <sheetName val="Cuore_PL_ckd_parts"/>
      <sheetName val="consld_pl"/>
      <sheetName val="C_Sheet_ckd_cbu"/>
      <sheetName val="Invetory_level"/>
      <sheetName val="Sheet1_(3)"/>
      <sheetName val="Sheet1_(2)"/>
      <sheetName val="CKD_Variant"/>
      <sheetName val="CBU_Variant"/>
      <sheetName val="Sales_Plan"/>
      <sheetName val="Reconcilation_CKD_"/>
      <sheetName val="Reconciliation_2"/>
      <sheetName val="TOTAL_P&amp;L1"/>
      <sheetName val="Prf_sumry1"/>
      <sheetName val="Toyota_PL_ckd1"/>
      <sheetName val="cbu_pl1"/>
      <sheetName val="Toyota_ckd_cbu1"/>
      <sheetName val="Cuore_PL_ckd1"/>
      <sheetName val="Cuore_PL_ckd_parts1"/>
      <sheetName val="consld_pl1"/>
      <sheetName val="C_Sheet_ckd_cbu1"/>
      <sheetName val="Invetory_level1"/>
      <sheetName val="Sheet1_(3)1"/>
      <sheetName val="Sheet1_(2)1"/>
      <sheetName val="CKD_Variant1"/>
      <sheetName val="CBU_Variant1"/>
      <sheetName val="Sales_Plan1"/>
      <sheetName val="Reconcilation_CKD_1"/>
      <sheetName val="Reconciliation_21"/>
      <sheetName val="Final_Budget_2002-2003"/>
      <sheetName val="in_time_arr"/>
      <sheetName val="ELEC. METER READINGS(Annex-A)"/>
      <sheetName val="AC-CODES"/>
      <sheetName val="ATI Payable"/>
      <sheetName val="ISBL-J10"/>
      <sheetName val="BQ Working"/>
      <sheetName val="PipWT"/>
      <sheetName val="FIB-TFC"/>
      <sheetName val="FIB"/>
      <sheetName val="ADD TAXDEP  FIG "/>
      <sheetName val="Adj_EBITDA"/>
      <sheetName val="Adj_EV"/>
      <sheetName val="BVPS"/>
      <sheetName val="EBITDA"/>
      <sheetName val="EV"/>
      <sheetName val="Gross_Yield"/>
      <sheetName val="Start &amp;_EPS"/>
      <sheetName val="PE"/>
      <sheetName val="Recomm"/>
      <sheetName val="corporate"/>
      <sheetName val="middle market"/>
      <sheetName val="sme"/>
      <sheetName val="e"/>
      <sheetName val="PROFIT AND LOSS LEADS"/>
      <sheetName val="22 - 23.1 (C)"/>
      <sheetName val="Balance Sheet Main"/>
      <sheetName val="P&amp;L Commentary"/>
      <sheetName val="Frenchise fee"/>
    </sheetNames>
    <sheetDataSet>
      <sheetData sheetId="0"/>
      <sheetData sheetId="1" refreshError="1">
        <row r="31">
          <cell r="B31">
            <v>5</v>
          </cell>
          <cell r="C31">
            <v>3</v>
          </cell>
          <cell r="D31">
            <v>2</v>
          </cell>
          <cell r="E31">
            <v>2</v>
          </cell>
          <cell r="F31">
            <v>3</v>
          </cell>
          <cell r="G31">
            <v>6</v>
          </cell>
          <cell r="H31">
            <v>5</v>
          </cell>
          <cell r="I31">
            <v>3</v>
          </cell>
          <cell r="J31">
            <v>2</v>
          </cell>
          <cell r="K31">
            <v>2</v>
          </cell>
          <cell r="L31">
            <v>3</v>
          </cell>
          <cell r="M31">
            <v>6</v>
          </cell>
          <cell r="N31">
            <v>42</v>
          </cell>
        </row>
        <row r="32">
          <cell r="B32">
            <v>10</v>
          </cell>
          <cell r="C32">
            <v>10</v>
          </cell>
          <cell r="D32">
            <v>10</v>
          </cell>
          <cell r="E32">
            <v>10</v>
          </cell>
          <cell r="F32">
            <v>10</v>
          </cell>
          <cell r="G32">
            <v>10</v>
          </cell>
          <cell r="H32">
            <v>10</v>
          </cell>
          <cell r="I32">
            <v>10</v>
          </cell>
          <cell r="J32">
            <v>10</v>
          </cell>
          <cell r="K32">
            <v>10</v>
          </cell>
          <cell r="L32">
            <v>10</v>
          </cell>
          <cell r="M32">
            <v>10</v>
          </cell>
          <cell r="N32">
            <v>120</v>
          </cell>
          <cell r="O32" t="str">
            <v>Hiace - Commuter</v>
          </cell>
        </row>
        <row r="33">
          <cell r="B33">
            <v>10</v>
          </cell>
          <cell r="C33">
            <v>10</v>
          </cell>
          <cell r="D33">
            <v>10</v>
          </cell>
          <cell r="E33">
            <v>10</v>
          </cell>
          <cell r="F33">
            <v>10</v>
          </cell>
          <cell r="G33">
            <v>10</v>
          </cell>
          <cell r="H33">
            <v>10</v>
          </cell>
          <cell r="I33">
            <v>10</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v>0</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35</v>
          </cell>
          <cell r="C37">
            <v>31</v>
          </cell>
          <cell r="D37">
            <v>30</v>
          </cell>
          <cell r="E37">
            <v>30</v>
          </cell>
          <cell r="F37">
            <v>31</v>
          </cell>
          <cell r="G37">
            <v>36</v>
          </cell>
          <cell r="H37">
            <v>35</v>
          </cell>
          <cell r="I37">
            <v>32</v>
          </cell>
          <cell r="J37">
            <v>30</v>
          </cell>
          <cell r="K37">
            <v>29</v>
          </cell>
          <cell r="L37">
            <v>31</v>
          </cell>
          <cell r="M37">
            <v>37</v>
          </cell>
          <cell r="N37">
            <v>387</v>
          </cell>
        </row>
        <row r="38">
          <cell r="B38">
            <v>1245</v>
          </cell>
          <cell r="C38">
            <v>1421</v>
          </cell>
          <cell r="D38">
            <v>1451</v>
          </cell>
          <cell r="E38">
            <v>1580</v>
          </cell>
          <cell r="F38">
            <v>1201</v>
          </cell>
          <cell r="G38">
            <v>1237</v>
          </cell>
          <cell r="H38">
            <v>1635</v>
          </cell>
          <cell r="I38">
            <v>1332</v>
          </cell>
          <cell r="J38">
            <v>1410</v>
          </cell>
          <cell r="K38">
            <v>1319</v>
          </cell>
          <cell r="L38">
            <v>1311</v>
          </cell>
          <cell r="M38">
            <v>1345</v>
          </cell>
          <cell r="N38">
            <v>16487</v>
          </cell>
        </row>
        <row r="39">
          <cell r="B39">
            <v>30</v>
          </cell>
          <cell r="C39">
            <v>25</v>
          </cell>
          <cell r="D39">
            <v>27</v>
          </cell>
          <cell r="E39">
            <v>672</v>
          </cell>
          <cell r="F39">
            <v>675</v>
          </cell>
          <cell r="G39">
            <v>671</v>
          </cell>
          <cell r="H39">
            <v>176</v>
          </cell>
          <cell r="I39">
            <v>27</v>
          </cell>
          <cell r="J39">
            <v>31</v>
          </cell>
          <cell r="K39">
            <v>25</v>
          </cell>
          <cell r="L39">
            <v>27</v>
          </cell>
          <cell r="M39">
            <v>27</v>
          </cell>
          <cell r="N39">
            <v>2413</v>
          </cell>
        </row>
        <row r="40">
          <cell r="B40">
            <v>1275</v>
          </cell>
          <cell r="C40">
            <v>1446</v>
          </cell>
          <cell r="D40">
            <v>1478</v>
          </cell>
          <cell r="E40">
            <v>2252</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v>870</v>
          </cell>
          <cell r="G41">
            <v>901</v>
          </cell>
          <cell r="H41">
            <v>1250</v>
          </cell>
          <cell r="I41">
            <v>950</v>
          </cell>
          <cell r="J41">
            <v>1030</v>
          </cell>
          <cell r="K41">
            <v>940</v>
          </cell>
          <cell r="L41">
            <v>930</v>
          </cell>
          <cell r="M41">
            <v>958</v>
          </cell>
          <cell r="N41">
            <v>12200</v>
          </cell>
        </row>
        <row r="42">
          <cell r="B42">
            <v>910</v>
          </cell>
          <cell r="C42">
            <v>1090</v>
          </cell>
          <cell r="D42">
            <v>1121</v>
          </cell>
          <cell r="E42">
            <v>1250</v>
          </cell>
          <cell r="F42">
            <v>870</v>
          </cell>
          <cell r="G42">
            <v>901</v>
          </cell>
          <cell r="H42">
            <v>1250</v>
          </cell>
          <cell r="I42">
            <v>950</v>
          </cell>
          <cell r="J42">
            <v>1030</v>
          </cell>
          <cell r="K42">
            <v>940</v>
          </cell>
          <cell r="L42">
            <v>930</v>
          </cell>
          <cell r="M42">
            <v>958</v>
          </cell>
          <cell r="N42">
            <v>12200</v>
          </cell>
        </row>
        <row r="43">
          <cell r="B43">
            <v>0</v>
          </cell>
          <cell r="C43">
            <v>0</v>
          </cell>
          <cell r="D43">
            <v>0</v>
          </cell>
          <cell r="E43">
            <v>0</v>
          </cell>
          <cell r="F43">
            <v>0</v>
          </cell>
          <cell r="G43">
            <v>0</v>
          </cell>
          <cell r="H43">
            <v>0</v>
          </cell>
          <cell r="I43">
            <v>0</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v>391.12</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200657</v>
          </cell>
          <cell r="D48">
            <v>200657</v>
          </cell>
          <cell r="E48">
            <v>200657</v>
          </cell>
          <cell r="F48">
            <v>200657</v>
          </cell>
          <cell r="G48">
            <v>200657</v>
          </cell>
          <cell r="H48">
            <v>200326</v>
          </cell>
          <cell r="I48">
            <v>200326</v>
          </cell>
          <cell r="J48">
            <v>200326</v>
          </cell>
          <cell r="K48">
            <v>200326</v>
          </cell>
          <cell r="L48">
            <v>200326</v>
          </cell>
          <cell r="M48">
            <v>200326</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208301</v>
          </cell>
          <cell r="D50">
            <v>208301</v>
          </cell>
          <cell r="E50">
            <v>208301</v>
          </cell>
          <cell r="F50">
            <v>208301</v>
          </cell>
          <cell r="G50">
            <v>208301</v>
          </cell>
          <cell r="H50">
            <v>207970</v>
          </cell>
          <cell r="I50">
            <v>207970</v>
          </cell>
          <cell r="J50">
            <v>207970</v>
          </cell>
          <cell r="K50">
            <v>207970</v>
          </cell>
          <cell r="L50">
            <v>207970</v>
          </cell>
          <cell r="M50">
            <v>207970</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0</v>
          </cell>
          <cell r="D52">
            <v>0</v>
          </cell>
          <cell r="E52">
            <v>0</v>
          </cell>
          <cell r="F52">
            <v>0</v>
          </cell>
          <cell r="G52">
            <v>0</v>
          </cell>
          <cell r="H52">
            <v>0</v>
          </cell>
          <cell r="I52">
            <v>0</v>
          </cell>
          <cell r="J52">
            <v>0</v>
          </cell>
          <cell r="K52">
            <v>0</v>
          </cell>
          <cell r="L52">
            <v>0</v>
          </cell>
          <cell r="M52">
            <v>0</v>
          </cell>
          <cell r="N52">
            <v>-1.6179027081113066E-2</v>
          </cell>
          <cell r="P52" t="str">
            <v>Salaries &amp; Wages</v>
          </cell>
        </row>
        <row r="53">
          <cell r="B53">
            <v>230311</v>
          </cell>
          <cell r="C53">
            <v>230311</v>
          </cell>
          <cell r="D53">
            <v>230311</v>
          </cell>
          <cell r="E53">
            <v>230311</v>
          </cell>
          <cell r="F53">
            <v>230311</v>
          </cell>
          <cell r="G53">
            <v>230311</v>
          </cell>
          <cell r="H53">
            <v>229980</v>
          </cell>
          <cell r="I53">
            <v>229980</v>
          </cell>
          <cell r="J53">
            <v>229980</v>
          </cell>
          <cell r="K53">
            <v>229980</v>
          </cell>
          <cell r="L53">
            <v>229980</v>
          </cell>
          <cell r="M53">
            <v>229980</v>
          </cell>
          <cell r="N53" t="e">
            <v>#DIV/0!</v>
          </cell>
          <cell r="P53" t="str">
            <v>Utilities</v>
          </cell>
        </row>
        <row r="54">
          <cell r="B54">
            <v>0</v>
          </cell>
          <cell r="C54">
            <v>0</v>
          </cell>
          <cell r="D54">
            <v>0</v>
          </cell>
          <cell r="E54">
            <v>0</v>
          </cell>
          <cell r="F54">
            <v>0</v>
          </cell>
          <cell r="G54">
            <v>0</v>
          </cell>
          <cell r="H54">
            <v>0</v>
          </cell>
          <cell r="I54">
            <v>0</v>
          </cell>
          <cell r="J54">
            <v>0</v>
          </cell>
          <cell r="K54">
            <v>0</v>
          </cell>
          <cell r="L54">
            <v>0</v>
          </cell>
          <cell r="M54">
            <v>0</v>
          </cell>
          <cell r="N54">
            <v>-8.7700644222185584E-2</v>
          </cell>
          <cell r="P54" t="str">
            <v>Depreciation</v>
          </cell>
        </row>
        <row r="55">
          <cell r="B55">
            <v>202074</v>
          </cell>
          <cell r="C55">
            <v>202074</v>
          </cell>
          <cell r="D55">
            <v>202074</v>
          </cell>
          <cell r="E55">
            <v>202074</v>
          </cell>
          <cell r="F55">
            <v>202074</v>
          </cell>
          <cell r="G55">
            <v>202074</v>
          </cell>
          <cell r="H55">
            <v>201743</v>
          </cell>
          <cell r="I55">
            <v>201743</v>
          </cell>
          <cell r="J55">
            <v>201743</v>
          </cell>
          <cell r="K55">
            <v>201743</v>
          </cell>
          <cell r="L55">
            <v>201743</v>
          </cell>
          <cell r="M55">
            <v>201743</v>
          </cell>
          <cell r="N55">
            <v>-0.12668914552994412</v>
          </cell>
          <cell r="P55" t="str">
            <v>Other Factory overhead</v>
          </cell>
        </row>
        <row r="56">
          <cell r="B56">
            <v>226394</v>
          </cell>
          <cell r="C56">
            <v>226394</v>
          </cell>
          <cell r="D56">
            <v>226394</v>
          </cell>
          <cell r="E56">
            <v>226394</v>
          </cell>
          <cell r="F56">
            <v>226394</v>
          </cell>
          <cell r="G56">
            <v>226394</v>
          </cell>
          <cell r="H56">
            <v>226063</v>
          </cell>
          <cell r="I56">
            <v>226063</v>
          </cell>
          <cell r="J56">
            <v>226063</v>
          </cell>
          <cell r="K56">
            <v>226063</v>
          </cell>
          <cell r="L56">
            <v>226063</v>
          </cell>
          <cell r="M56">
            <v>226063</v>
          </cell>
          <cell r="N56" t="e">
            <v>#DIV/0!</v>
          </cell>
          <cell r="P56" t="str">
            <v>Running Royalty</v>
          </cell>
        </row>
        <row r="57">
          <cell r="B57">
            <v>0</v>
          </cell>
          <cell r="C57">
            <v>0</v>
          </cell>
          <cell r="D57">
            <v>0</v>
          </cell>
          <cell r="E57">
            <v>0</v>
          </cell>
          <cell r="F57">
            <v>0</v>
          </cell>
          <cell r="G57">
            <v>0</v>
          </cell>
          <cell r="H57">
            <v>0</v>
          </cell>
          <cell r="I57">
            <v>0</v>
          </cell>
          <cell r="J57">
            <v>0</v>
          </cell>
          <cell r="K57">
            <v>0</v>
          </cell>
          <cell r="L57">
            <v>0</v>
          </cell>
          <cell r="M57">
            <v>0</v>
          </cell>
          <cell r="N57">
            <v>-7.5155475887966533E-2</v>
          </cell>
          <cell r="O57" t="str">
            <v>Total Conversion Cost</v>
          </cell>
        </row>
        <row r="58">
          <cell r="B58">
            <v>0</v>
          </cell>
          <cell r="C58">
            <v>0</v>
          </cell>
          <cell r="D58">
            <v>0</v>
          </cell>
          <cell r="E58">
            <v>0</v>
          </cell>
          <cell r="F58">
            <v>0</v>
          </cell>
          <cell r="G58">
            <v>0</v>
          </cell>
          <cell r="H58">
            <v>0</v>
          </cell>
          <cell r="I58">
            <v>0</v>
          </cell>
          <cell r="J58">
            <v>0</v>
          </cell>
          <cell r="K58">
            <v>0</v>
          </cell>
          <cell r="L58">
            <v>0</v>
          </cell>
          <cell r="M58">
            <v>0</v>
          </cell>
          <cell r="N58">
            <v>-0.58998714170895039</v>
          </cell>
          <cell r="O58" t="str">
            <v>Net Cost of Sales</v>
          </cell>
        </row>
        <row r="59">
          <cell r="B59">
            <v>139346</v>
          </cell>
          <cell r="C59">
            <v>139346</v>
          </cell>
          <cell r="D59">
            <v>139346</v>
          </cell>
          <cell r="E59">
            <v>139346</v>
          </cell>
          <cell r="F59">
            <v>139346</v>
          </cell>
          <cell r="G59">
            <v>139346</v>
          </cell>
          <cell r="H59">
            <v>139346</v>
          </cell>
          <cell r="I59">
            <v>139346</v>
          </cell>
          <cell r="J59">
            <v>139346</v>
          </cell>
          <cell r="K59">
            <v>139346</v>
          </cell>
          <cell r="L59">
            <v>139346</v>
          </cell>
          <cell r="M59">
            <v>139346</v>
          </cell>
          <cell r="N59">
            <v>0.28450869769358966</v>
          </cell>
          <cell r="O59" t="str">
            <v>Gross Profit</v>
          </cell>
        </row>
        <row r="60">
          <cell r="B60">
            <v>139346</v>
          </cell>
          <cell r="C60">
            <v>139346</v>
          </cell>
          <cell r="D60">
            <v>139346</v>
          </cell>
          <cell r="E60">
            <v>139346</v>
          </cell>
          <cell r="F60">
            <v>139346</v>
          </cell>
          <cell r="G60">
            <v>139346</v>
          </cell>
          <cell r="H60">
            <v>139346</v>
          </cell>
          <cell r="I60">
            <v>139346</v>
          </cell>
          <cell r="J60">
            <v>139346</v>
          </cell>
          <cell r="K60">
            <v>139346</v>
          </cell>
          <cell r="L60">
            <v>139346</v>
          </cell>
          <cell r="M60">
            <v>139346</v>
          </cell>
          <cell r="O60" t="str">
            <v>Administration &amp; selling expenses:</v>
          </cell>
        </row>
        <row r="61">
          <cell r="B61">
            <v>70231</v>
          </cell>
          <cell r="C61">
            <v>70231</v>
          </cell>
          <cell r="D61">
            <v>70231</v>
          </cell>
          <cell r="E61">
            <v>70231</v>
          </cell>
          <cell r="F61">
            <v>70231</v>
          </cell>
          <cell r="G61">
            <v>70231</v>
          </cell>
          <cell r="H61">
            <v>70231</v>
          </cell>
          <cell r="I61">
            <v>70231</v>
          </cell>
          <cell r="J61">
            <v>70231</v>
          </cell>
          <cell r="K61">
            <v>70231</v>
          </cell>
          <cell r="L61">
            <v>70231</v>
          </cell>
          <cell r="M61">
            <v>70231</v>
          </cell>
          <cell r="N61">
            <v>-8.3768148513688731E-2</v>
          </cell>
          <cell r="P61" t="str">
            <v>Selling Expenses</v>
          </cell>
        </row>
        <row r="62">
          <cell r="B62">
            <v>92231</v>
          </cell>
          <cell r="C62">
            <v>92231</v>
          </cell>
          <cell r="D62">
            <v>92231</v>
          </cell>
          <cell r="E62">
            <v>92231</v>
          </cell>
          <cell r="F62">
            <v>92231</v>
          </cell>
          <cell r="G62">
            <v>92231</v>
          </cell>
          <cell r="H62">
            <v>92231</v>
          </cell>
          <cell r="I62">
            <v>92231</v>
          </cell>
          <cell r="J62">
            <v>92231</v>
          </cell>
          <cell r="K62">
            <v>92231</v>
          </cell>
          <cell r="L62">
            <v>92231</v>
          </cell>
          <cell r="M62">
            <v>92231</v>
          </cell>
          <cell r="N62">
            <v>-0.95645551948461016</v>
          </cell>
          <cell r="P62" t="str">
            <v>Advertisement Expenses</v>
          </cell>
        </row>
        <row r="63">
          <cell r="B63">
            <v>102048</v>
          </cell>
          <cell r="C63">
            <v>102048</v>
          </cell>
          <cell r="D63">
            <v>102048</v>
          </cell>
          <cell r="E63">
            <v>102048</v>
          </cell>
          <cell r="F63">
            <v>102048</v>
          </cell>
          <cell r="G63">
            <v>102048</v>
          </cell>
          <cell r="H63">
            <v>102048</v>
          </cell>
          <cell r="I63">
            <v>102048</v>
          </cell>
          <cell r="J63">
            <v>102048</v>
          </cell>
          <cell r="K63">
            <v>102048</v>
          </cell>
          <cell r="L63">
            <v>102048</v>
          </cell>
          <cell r="M63">
            <v>102048</v>
          </cell>
          <cell r="N63">
            <v>3.6687055801899446E-2</v>
          </cell>
          <cell r="P63" t="str">
            <v>Administrative Expenses</v>
          </cell>
        </row>
        <row r="64">
          <cell r="B64">
            <v>124048</v>
          </cell>
          <cell r="C64">
            <v>124048</v>
          </cell>
          <cell r="D64">
            <v>124048</v>
          </cell>
          <cell r="E64">
            <v>124048</v>
          </cell>
          <cell r="F64">
            <v>124048</v>
          </cell>
          <cell r="G64">
            <v>124048</v>
          </cell>
          <cell r="H64">
            <v>124048</v>
          </cell>
          <cell r="I64">
            <v>124048</v>
          </cell>
          <cell r="J64">
            <v>124048</v>
          </cell>
          <cell r="K64">
            <v>124048</v>
          </cell>
          <cell r="L64">
            <v>124048</v>
          </cell>
          <cell r="M64">
            <v>124048</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t="str">
            <v>Rupees Per Unit</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136433.13680000001</v>
          </cell>
          <cell r="D68">
            <v>136433.13680000001</v>
          </cell>
          <cell r="E68">
            <v>136433.13680000001</v>
          </cell>
          <cell r="F68">
            <v>136433.13680000001</v>
          </cell>
          <cell r="G68">
            <v>136433.13680000001</v>
          </cell>
          <cell r="H68">
            <v>136433.13680000001</v>
          </cell>
          <cell r="I68">
            <v>136433.13680000001</v>
          </cell>
          <cell r="J68">
            <v>136433.13680000001</v>
          </cell>
          <cell r="K68">
            <v>136433.13680000001</v>
          </cell>
          <cell r="L68">
            <v>136433.13680000001</v>
          </cell>
          <cell r="M68">
            <v>136433.13680000001</v>
          </cell>
          <cell r="N68">
            <v>1.1830679652518139</v>
          </cell>
          <cell r="P68" t="str">
            <v>H.D. Commission</v>
          </cell>
        </row>
        <row r="69">
          <cell r="B69">
            <v>0</v>
          </cell>
          <cell r="C69">
            <v>0</v>
          </cell>
          <cell r="D69">
            <v>0</v>
          </cell>
          <cell r="E69">
            <v>0</v>
          </cell>
          <cell r="F69">
            <v>0</v>
          </cell>
          <cell r="G69">
            <v>0</v>
          </cell>
          <cell r="H69">
            <v>0</v>
          </cell>
          <cell r="I69">
            <v>0</v>
          </cell>
          <cell r="J69">
            <v>0</v>
          </cell>
          <cell r="K69">
            <v>0</v>
          </cell>
          <cell r="L69">
            <v>0</v>
          </cell>
          <cell r="M69">
            <v>0</v>
          </cell>
          <cell r="N69">
            <v>0.62250849383196516</v>
          </cell>
          <cell r="P69" t="str">
            <v>Other Income</v>
          </cell>
        </row>
        <row r="70">
          <cell r="B70">
            <v>134303.26995000002</v>
          </cell>
          <cell r="C70">
            <v>134303.26995000002</v>
          </cell>
          <cell r="D70">
            <v>134303.26995000002</v>
          </cell>
          <cell r="E70">
            <v>134303.26995000002</v>
          </cell>
          <cell r="F70">
            <v>134303.26995000002</v>
          </cell>
          <cell r="G70">
            <v>134303.26995000002</v>
          </cell>
          <cell r="H70">
            <v>134303.26995000002</v>
          </cell>
          <cell r="I70">
            <v>134303.26995000002</v>
          </cell>
          <cell r="J70">
            <v>134303.26995000002</v>
          </cell>
          <cell r="K70">
            <v>134303.26995000002</v>
          </cell>
          <cell r="L70">
            <v>134303.26995000002</v>
          </cell>
          <cell r="M70">
            <v>134303.26995000002</v>
          </cell>
          <cell r="N70">
            <v>0.7239991741935623</v>
          </cell>
        </row>
        <row r="71">
          <cell r="B71">
            <v>167695.96620000002</v>
          </cell>
          <cell r="C71">
            <v>167695.96620000002</v>
          </cell>
          <cell r="D71">
            <v>167695.96620000002</v>
          </cell>
          <cell r="E71">
            <v>167695.96620000002</v>
          </cell>
          <cell r="F71">
            <v>167695.96620000002</v>
          </cell>
          <cell r="G71">
            <v>167695.96620000002</v>
          </cell>
          <cell r="H71">
            <v>167695.96620000002</v>
          </cell>
          <cell r="I71">
            <v>167695.96620000002</v>
          </cell>
          <cell r="J71">
            <v>167695.96620000002</v>
          </cell>
          <cell r="K71">
            <v>167695.96620000002</v>
          </cell>
          <cell r="L71">
            <v>167695.96620000002</v>
          </cell>
          <cell r="M71">
            <v>167695.96620000002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169049.41589999999</v>
          </cell>
          <cell r="D73">
            <v>169049.41589999999</v>
          </cell>
          <cell r="E73">
            <v>169049.41589999999</v>
          </cell>
          <cell r="F73">
            <v>169049.41589999999</v>
          </cell>
          <cell r="G73">
            <v>169049.41589999999</v>
          </cell>
          <cell r="H73">
            <v>169049.41589999999</v>
          </cell>
          <cell r="I73">
            <v>169049.41589999999</v>
          </cell>
          <cell r="J73">
            <v>169049.41589999999</v>
          </cell>
          <cell r="K73">
            <v>169049.41589999999</v>
          </cell>
          <cell r="L73">
            <v>169049.41589999999</v>
          </cell>
          <cell r="M73">
            <v>169049.41589999999</v>
          </cell>
          <cell r="N73">
            <v>1</v>
          </cell>
          <cell r="P73" t="str">
            <v>Financial Charges - Capital Exp.</v>
          </cell>
        </row>
        <row r="74">
          <cell r="B74">
            <v>0</v>
          </cell>
          <cell r="C74">
            <v>0</v>
          </cell>
          <cell r="D74">
            <v>0</v>
          </cell>
          <cell r="E74">
            <v>0</v>
          </cell>
          <cell r="F74">
            <v>0</v>
          </cell>
          <cell r="G74">
            <v>0</v>
          </cell>
          <cell r="H74">
            <v>0</v>
          </cell>
          <cell r="I74">
            <v>0</v>
          </cell>
          <cell r="J74">
            <v>0</v>
          </cell>
          <cell r="K74">
            <v>0</v>
          </cell>
          <cell r="L74">
            <v>0</v>
          </cell>
          <cell r="M74">
            <v>0</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141809.7622</v>
          </cell>
          <cell r="K75">
            <v>141809.7622</v>
          </cell>
          <cell r="L75">
            <v>141809.7622</v>
          </cell>
          <cell r="M75">
            <v>141809.7622</v>
          </cell>
          <cell r="O75" t="str">
            <v>Other charges:</v>
          </cell>
        </row>
        <row r="76">
          <cell r="B76">
            <v>153026.83564999999</v>
          </cell>
          <cell r="C76">
            <v>153026.83564999999</v>
          </cell>
          <cell r="D76">
            <v>153026.83564999999</v>
          </cell>
          <cell r="E76">
            <v>153026.83564999999</v>
          </cell>
          <cell r="F76">
            <v>153026.83564999999</v>
          </cell>
          <cell r="G76">
            <v>153026.83564999999</v>
          </cell>
          <cell r="H76">
            <v>153026.83564999999</v>
          </cell>
          <cell r="I76">
            <v>153026.83564999999</v>
          </cell>
          <cell r="J76">
            <v>153026.83564999999</v>
          </cell>
          <cell r="K76">
            <v>153026.83564999999</v>
          </cell>
          <cell r="L76">
            <v>153026.83564999999</v>
          </cell>
          <cell r="M76">
            <v>153026.83564999999</v>
          </cell>
          <cell r="P76" t="str">
            <v>Auditor's remuneration</v>
          </cell>
        </row>
        <row r="77">
          <cell r="B77">
            <v>0</v>
          </cell>
          <cell r="C77">
            <v>0</v>
          </cell>
          <cell r="D77">
            <v>0</v>
          </cell>
          <cell r="E77">
            <v>0</v>
          </cell>
          <cell r="F77">
            <v>0</v>
          </cell>
          <cell r="G77">
            <v>0</v>
          </cell>
          <cell r="H77">
            <v>0</v>
          </cell>
          <cell r="I77">
            <v>0</v>
          </cell>
          <cell r="J77">
            <v>0</v>
          </cell>
          <cell r="K77">
            <v>0</v>
          </cell>
          <cell r="L77">
            <v>0</v>
          </cell>
          <cell r="M77">
            <v>0</v>
          </cell>
          <cell r="N77">
            <v>-0.497967108836598</v>
          </cell>
          <cell r="P77" t="str">
            <v>Charity &amp; Donation</v>
          </cell>
        </row>
        <row r="78">
          <cell r="B78">
            <v>0</v>
          </cell>
          <cell r="C78">
            <v>0</v>
          </cell>
          <cell r="D78">
            <v>0</v>
          </cell>
          <cell r="E78">
            <v>0</v>
          </cell>
          <cell r="F78">
            <v>0</v>
          </cell>
          <cell r="G78">
            <v>0</v>
          </cell>
          <cell r="H78">
            <v>0</v>
          </cell>
          <cell r="I78">
            <v>0</v>
          </cell>
          <cell r="J78">
            <v>0</v>
          </cell>
          <cell r="K78">
            <v>0</v>
          </cell>
          <cell r="L78">
            <v>0</v>
          </cell>
          <cell r="M78">
            <v>0</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t="str">
            <v>Rupees Per Unit</v>
          </cell>
          <cell r="K86">
            <v>-7741000</v>
          </cell>
          <cell r="L86">
            <v>0</v>
          </cell>
          <cell r="M86">
            <v>-7741000</v>
          </cell>
          <cell r="N86">
            <v>1</v>
          </cell>
        </row>
        <row r="87">
          <cell r="B87">
            <v>914</v>
          </cell>
          <cell r="C87">
            <v>945</v>
          </cell>
          <cell r="D87">
            <v>976</v>
          </cell>
          <cell r="E87">
            <v>1007</v>
          </cell>
          <cell r="F87">
            <v>1038</v>
          </cell>
          <cell r="G87">
            <v>1069</v>
          </cell>
          <cell r="H87">
            <v>1100</v>
          </cell>
          <cell r="I87">
            <v>1131</v>
          </cell>
          <cell r="J87">
            <v>1162</v>
          </cell>
          <cell r="K87">
            <v>1193</v>
          </cell>
          <cell r="L87">
            <v>1224</v>
          </cell>
          <cell r="M87">
            <v>1255</v>
          </cell>
        </row>
        <row r="88">
          <cell r="B88">
            <v>11365</v>
          </cell>
          <cell r="C88">
            <v>11365</v>
          </cell>
          <cell r="D88">
            <v>11365</v>
          </cell>
          <cell r="E88">
            <v>11365</v>
          </cell>
          <cell r="F88">
            <v>11365</v>
          </cell>
          <cell r="G88">
            <v>11365</v>
          </cell>
          <cell r="H88">
            <v>11365</v>
          </cell>
          <cell r="I88">
            <v>11365</v>
          </cell>
          <cell r="J88">
            <v>11365</v>
          </cell>
          <cell r="K88">
            <v>11365</v>
          </cell>
          <cell r="L88">
            <v>11365</v>
          </cell>
          <cell r="M88">
            <v>11365</v>
          </cell>
          <cell r="N88">
            <v>0</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14743</v>
          </cell>
          <cell r="D90">
            <v>14743</v>
          </cell>
          <cell r="E90">
            <v>14743</v>
          </cell>
          <cell r="F90">
            <v>14743</v>
          </cell>
          <cell r="G90">
            <v>14743</v>
          </cell>
          <cell r="H90">
            <v>14743</v>
          </cell>
          <cell r="I90">
            <v>14743</v>
          </cell>
          <cell r="J90">
            <v>14743</v>
          </cell>
          <cell r="K90">
            <v>14743</v>
          </cell>
          <cell r="L90">
            <v>14743</v>
          </cell>
          <cell r="M90">
            <v>14743</v>
          </cell>
          <cell r="N90">
            <v>0</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v>0</v>
          </cell>
          <cell r="G92">
            <v>0</v>
          </cell>
          <cell r="H92">
            <v>0</v>
          </cell>
          <cell r="I92">
            <v>0</v>
          </cell>
          <cell r="J92">
            <v>0</v>
          </cell>
          <cell r="K92">
            <v>0</v>
          </cell>
          <cell r="L92">
            <v>0</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v>0</v>
          </cell>
          <cell r="C94">
            <v>0</v>
          </cell>
          <cell r="D94">
            <v>0</v>
          </cell>
          <cell r="E94">
            <v>0</v>
          </cell>
          <cell r="F94">
            <v>0</v>
          </cell>
          <cell r="G94">
            <v>0</v>
          </cell>
          <cell r="H94">
            <v>0</v>
          </cell>
          <cell r="I94">
            <v>0</v>
          </cell>
          <cell r="J94">
            <v>0</v>
          </cell>
          <cell r="K94">
            <v>0</v>
          </cell>
          <cell r="L94">
            <v>0</v>
          </cell>
          <cell r="M94">
            <v>0</v>
          </cell>
          <cell r="N94" t="str">
            <v>Budget  2002 ~ 2003</v>
          </cell>
          <cell r="P94">
            <v>0</v>
          </cell>
        </row>
        <row r="95">
          <cell r="B95">
            <v>11355</v>
          </cell>
          <cell r="C95">
            <v>11355</v>
          </cell>
          <cell r="D95">
            <v>11355</v>
          </cell>
          <cell r="E95">
            <v>11355</v>
          </cell>
          <cell r="F95">
            <v>11355</v>
          </cell>
          <cell r="G95">
            <v>11355</v>
          </cell>
          <cell r="H95">
            <v>11355</v>
          </cell>
          <cell r="I95">
            <v>11355</v>
          </cell>
          <cell r="J95">
            <v>11355</v>
          </cell>
          <cell r="K95">
            <v>11355</v>
          </cell>
          <cell r="L95">
            <v>11355</v>
          </cell>
          <cell r="M95">
            <v>11355</v>
          </cell>
          <cell r="N95">
            <v>0</v>
          </cell>
        </row>
        <row r="96">
          <cell r="B96">
            <v>14625</v>
          </cell>
          <cell r="C96">
            <v>14625</v>
          </cell>
          <cell r="D96">
            <v>14625</v>
          </cell>
          <cell r="E96">
            <v>14625</v>
          </cell>
          <cell r="F96">
            <v>14625</v>
          </cell>
          <cell r="G96">
            <v>14625</v>
          </cell>
          <cell r="H96">
            <v>14625</v>
          </cell>
          <cell r="I96">
            <v>14625</v>
          </cell>
          <cell r="J96">
            <v>14625</v>
          </cell>
          <cell r="K96">
            <v>14625</v>
          </cell>
          <cell r="L96">
            <v>14625</v>
          </cell>
          <cell r="M96">
            <v>14625</v>
          </cell>
          <cell r="N96">
            <v>0</v>
          </cell>
          <cell r="P96" t="e">
            <v>#REF!</v>
          </cell>
        </row>
        <row r="97">
          <cell r="B97">
            <v>0</v>
          </cell>
          <cell r="C97">
            <v>0</v>
          </cell>
          <cell r="D97">
            <v>0</v>
          </cell>
          <cell r="E97">
            <v>0</v>
          </cell>
          <cell r="F97">
            <v>0</v>
          </cell>
          <cell r="G97">
            <v>0</v>
          </cell>
          <cell r="H97">
            <v>0</v>
          </cell>
          <cell r="I97">
            <v>0</v>
          </cell>
          <cell r="J97">
            <v>0</v>
          </cell>
          <cell r="K97">
            <v>0</v>
          </cell>
          <cell r="L97">
            <v>0</v>
          </cell>
          <cell r="M97">
            <v>0</v>
          </cell>
          <cell r="N97">
            <v>0</v>
          </cell>
        </row>
        <row r="98">
          <cell r="B98">
            <v>0</v>
          </cell>
          <cell r="C98">
            <v>0</v>
          </cell>
          <cell r="D98">
            <v>0</v>
          </cell>
          <cell r="E98">
            <v>0</v>
          </cell>
          <cell r="F98">
            <v>0</v>
          </cell>
          <cell r="G98">
            <v>0</v>
          </cell>
          <cell r="H98">
            <v>0</v>
          </cell>
          <cell r="I98">
            <v>0</v>
          </cell>
          <cell r="J98">
            <v>0</v>
          </cell>
          <cell r="K98">
            <v>0</v>
          </cell>
          <cell r="L98">
            <v>0</v>
          </cell>
          <cell r="M98">
            <v>0</v>
          </cell>
          <cell r="N98">
            <v>645000</v>
          </cell>
        </row>
        <row r="99">
          <cell r="B99">
            <v>11677</v>
          </cell>
          <cell r="C99">
            <v>11677</v>
          </cell>
          <cell r="D99">
            <v>11677</v>
          </cell>
          <cell r="E99">
            <v>11677</v>
          </cell>
          <cell r="F99">
            <v>11677</v>
          </cell>
          <cell r="G99">
            <v>11677</v>
          </cell>
          <cell r="H99">
            <v>11677</v>
          </cell>
          <cell r="I99">
            <v>11677</v>
          </cell>
          <cell r="J99">
            <v>11677</v>
          </cell>
          <cell r="K99">
            <v>11677</v>
          </cell>
          <cell r="L99">
            <v>11677</v>
          </cell>
          <cell r="M99">
            <v>11677</v>
          </cell>
          <cell r="N99">
            <v>0</v>
          </cell>
          <cell r="P99" t="e">
            <v>#REF!</v>
          </cell>
        </row>
        <row r="100">
          <cell r="B100">
            <v>11677</v>
          </cell>
          <cell r="C100">
            <v>11677</v>
          </cell>
          <cell r="D100">
            <v>11677</v>
          </cell>
          <cell r="E100">
            <v>11677</v>
          </cell>
          <cell r="F100">
            <v>11677</v>
          </cell>
          <cell r="G100">
            <v>11677</v>
          </cell>
          <cell r="H100">
            <v>11677</v>
          </cell>
          <cell r="I100">
            <v>11677</v>
          </cell>
          <cell r="J100">
            <v>11677</v>
          </cell>
          <cell r="K100">
            <v>11677</v>
          </cell>
          <cell r="L100">
            <v>11677</v>
          </cell>
          <cell r="M100">
            <v>11677</v>
          </cell>
          <cell r="N100">
            <v>0</v>
          </cell>
          <cell r="P100" t="e">
            <v>#REF!</v>
          </cell>
        </row>
        <row r="101">
          <cell r="B101">
            <v>3341</v>
          </cell>
          <cell r="C101">
            <v>3341</v>
          </cell>
          <cell r="D101">
            <v>3341</v>
          </cell>
          <cell r="E101">
            <v>3341</v>
          </cell>
          <cell r="F101">
            <v>3341</v>
          </cell>
          <cell r="G101">
            <v>3341</v>
          </cell>
          <cell r="H101">
            <v>3341</v>
          </cell>
          <cell r="I101">
            <v>3341</v>
          </cell>
          <cell r="J101">
            <v>3341</v>
          </cell>
          <cell r="K101">
            <v>3341</v>
          </cell>
          <cell r="L101">
            <v>3341</v>
          </cell>
          <cell r="M101">
            <v>3341</v>
          </cell>
          <cell r="N101">
            <v>12055500</v>
          </cell>
          <cell r="P101" t="e">
            <v>#REF!</v>
          </cell>
        </row>
        <row r="102">
          <cell r="B102">
            <v>3341</v>
          </cell>
          <cell r="C102">
            <v>3341</v>
          </cell>
          <cell r="D102">
            <v>3341</v>
          </cell>
          <cell r="E102">
            <v>3341</v>
          </cell>
          <cell r="F102">
            <v>3341</v>
          </cell>
          <cell r="G102">
            <v>3341</v>
          </cell>
          <cell r="H102">
            <v>3341</v>
          </cell>
          <cell r="I102">
            <v>3341</v>
          </cell>
          <cell r="J102">
            <v>3341</v>
          </cell>
          <cell r="K102">
            <v>3341</v>
          </cell>
          <cell r="L102">
            <v>3341</v>
          </cell>
          <cell r="M102">
            <v>3341</v>
          </cell>
          <cell r="P102" t="e">
            <v>#REF!</v>
          </cell>
        </row>
        <row r="103">
          <cell r="B103">
            <v>6816</v>
          </cell>
          <cell r="C103">
            <v>6816</v>
          </cell>
          <cell r="D103">
            <v>6816</v>
          </cell>
          <cell r="E103">
            <v>6816</v>
          </cell>
          <cell r="F103">
            <v>6816</v>
          </cell>
          <cell r="G103">
            <v>6816</v>
          </cell>
          <cell r="H103">
            <v>6816</v>
          </cell>
          <cell r="I103">
            <v>6816</v>
          </cell>
          <cell r="J103">
            <v>6816</v>
          </cell>
          <cell r="K103">
            <v>6816</v>
          </cell>
          <cell r="L103">
            <v>6816</v>
          </cell>
          <cell r="M103">
            <v>6816</v>
          </cell>
          <cell r="N103">
            <v>1720000</v>
          </cell>
          <cell r="P103" t="e">
            <v>#REF!</v>
          </cell>
        </row>
        <row r="104">
          <cell r="B104">
            <v>6816</v>
          </cell>
          <cell r="C104">
            <v>6816</v>
          </cell>
          <cell r="D104">
            <v>6816</v>
          </cell>
          <cell r="E104">
            <v>6816</v>
          </cell>
          <cell r="F104">
            <v>6816</v>
          </cell>
          <cell r="G104">
            <v>6816</v>
          </cell>
          <cell r="H104">
            <v>6816</v>
          </cell>
          <cell r="I104">
            <v>6816</v>
          </cell>
          <cell r="J104">
            <v>6816</v>
          </cell>
          <cell r="K104">
            <v>6816</v>
          </cell>
          <cell r="L104">
            <v>6816</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t="str">
            <v>Rupees Per Unit</v>
          </cell>
          <cell r="L106" t="str">
            <v>Cuore Special edition</v>
          </cell>
          <cell r="N106">
            <v>500000</v>
          </cell>
        </row>
        <row r="107">
          <cell r="B107">
            <v>914</v>
          </cell>
          <cell r="C107">
            <v>945</v>
          </cell>
          <cell r="D107">
            <v>976</v>
          </cell>
          <cell r="E107">
            <v>1007</v>
          </cell>
          <cell r="F107">
            <v>1038</v>
          </cell>
          <cell r="G107">
            <v>1069</v>
          </cell>
          <cell r="H107">
            <v>1100</v>
          </cell>
          <cell r="I107">
            <v>1131</v>
          </cell>
          <cell r="J107">
            <v>1162</v>
          </cell>
          <cell r="K107">
            <v>1193</v>
          </cell>
          <cell r="L107">
            <v>1224</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v>5237</v>
          </cell>
          <cell r="M108">
            <v>5237</v>
          </cell>
          <cell r="N108">
            <v>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v>5349</v>
          </cell>
          <cell r="M110">
            <v>5349</v>
          </cell>
          <cell r="N110">
            <v>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5346</v>
          </cell>
          <cell r="L116">
            <v>5346</v>
          </cell>
          <cell r="M116">
            <v>5346</v>
          </cell>
          <cell r="N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3227</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v>17536</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v>20581</v>
          </cell>
          <cell r="M172">
            <v>20581</v>
          </cell>
          <cell r="N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v>0</v>
          </cell>
          <cell r="C175">
            <v>0</v>
          </cell>
          <cell r="D175">
            <v>0</v>
          </cell>
          <cell r="E175">
            <v>0</v>
          </cell>
          <cell r="F175">
            <v>0</v>
          </cell>
          <cell r="G175">
            <v>0</v>
          </cell>
          <cell r="H175">
            <v>0</v>
          </cell>
          <cell r="I175">
            <v>0</v>
          </cell>
          <cell r="J175">
            <v>0</v>
          </cell>
          <cell r="K175">
            <v>0</v>
          </cell>
          <cell r="L175">
            <v>0</v>
          </cell>
          <cell r="M175">
            <v>0</v>
          </cell>
          <cell r="N175">
            <v>287548043.47826093</v>
          </cell>
        </row>
        <row r="176">
          <cell r="B176">
            <v>17491</v>
          </cell>
          <cell r="C176">
            <v>17491</v>
          </cell>
          <cell r="D176">
            <v>17491</v>
          </cell>
          <cell r="E176">
            <v>17491</v>
          </cell>
          <cell r="F176">
            <v>17491</v>
          </cell>
          <cell r="G176">
            <v>17491</v>
          </cell>
          <cell r="H176">
            <v>17491</v>
          </cell>
          <cell r="I176">
            <v>17491</v>
          </cell>
          <cell r="J176">
            <v>17491</v>
          </cell>
          <cell r="K176">
            <v>17491</v>
          </cell>
          <cell r="L176">
            <v>17491</v>
          </cell>
          <cell r="M176">
            <v>17491</v>
          </cell>
          <cell r="N176">
            <v>0</v>
          </cell>
        </row>
        <row r="177">
          <cell r="B177">
            <v>20760</v>
          </cell>
          <cell r="C177">
            <v>20760</v>
          </cell>
          <cell r="D177">
            <v>20760</v>
          </cell>
          <cell r="E177">
            <v>20760</v>
          </cell>
          <cell r="F177">
            <v>20760</v>
          </cell>
          <cell r="G177">
            <v>20760</v>
          </cell>
          <cell r="H177">
            <v>20760</v>
          </cell>
          <cell r="I177">
            <v>20760</v>
          </cell>
          <cell r="J177">
            <v>20760</v>
          </cell>
          <cell r="K177">
            <v>20760</v>
          </cell>
          <cell r="L177">
            <v>20760</v>
          </cell>
          <cell r="M177">
            <v>20760</v>
          </cell>
          <cell r="N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v>0</v>
          </cell>
          <cell r="H179">
            <v>0</v>
          </cell>
          <cell r="I179">
            <v>0</v>
          </cell>
          <cell r="J179">
            <v>0</v>
          </cell>
          <cell r="K179">
            <v>0</v>
          </cell>
          <cell r="L179">
            <v>0</v>
          </cell>
          <cell r="M179">
            <v>0</v>
          </cell>
          <cell r="N179">
            <v>-251696609.9015587</v>
          </cell>
        </row>
        <row r="180">
          <cell r="B180">
            <v>14945</v>
          </cell>
          <cell r="C180">
            <v>14945</v>
          </cell>
          <cell r="D180">
            <v>14945</v>
          </cell>
          <cell r="E180">
            <v>14945</v>
          </cell>
          <cell r="F180">
            <v>14945</v>
          </cell>
          <cell r="G180">
            <v>14945</v>
          </cell>
          <cell r="H180">
            <v>14945</v>
          </cell>
          <cell r="I180">
            <v>14945</v>
          </cell>
          <cell r="J180">
            <v>14945</v>
          </cell>
          <cell r="K180">
            <v>14945</v>
          </cell>
          <cell r="L180">
            <v>14945</v>
          </cell>
          <cell r="M180">
            <v>14945</v>
          </cell>
          <cell r="N180">
            <v>0</v>
          </cell>
        </row>
        <row r="181">
          <cell r="B181">
            <v>14945</v>
          </cell>
          <cell r="C181">
            <v>14945</v>
          </cell>
          <cell r="D181">
            <v>14945</v>
          </cell>
          <cell r="E181">
            <v>14945</v>
          </cell>
          <cell r="F181">
            <v>14945</v>
          </cell>
          <cell r="G181">
            <v>14945</v>
          </cell>
          <cell r="H181">
            <v>14945</v>
          </cell>
          <cell r="I181">
            <v>14945</v>
          </cell>
          <cell r="J181">
            <v>14945</v>
          </cell>
          <cell r="K181">
            <v>14945</v>
          </cell>
          <cell r="L181">
            <v>14945</v>
          </cell>
          <cell r="M181">
            <v>14945</v>
          </cell>
          <cell r="N181">
            <v>0</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v>6689</v>
          </cell>
          <cell r="H183">
            <v>6689</v>
          </cell>
          <cell r="I183">
            <v>6689</v>
          </cell>
          <cell r="J183">
            <v>6689</v>
          </cell>
          <cell r="K183">
            <v>6689</v>
          </cell>
          <cell r="L183">
            <v>6689</v>
          </cell>
          <cell r="M183">
            <v>6689</v>
          </cell>
          <cell r="N183">
            <v>35851433.576702222</v>
          </cell>
        </row>
        <row r="184">
          <cell r="B184">
            <v>10217</v>
          </cell>
          <cell r="C184">
            <v>10217</v>
          </cell>
          <cell r="D184">
            <v>10217</v>
          </cell>
          <cell r="E184">
            <v>10217</v>
          </cell>
          <cell r="F184">
            <v>10217</v>
          </cell>
          <cell r="G184">
            <v>10217</v>
          </cell>
          <cell r="H184">
            <v>10217</v>
          </cell>
          <cell r="I184">
            <v>10217</v>
          </cell>
          <cell r="J184">
            <v>10217</v>
          </cell>
          <cell r="K184">
            <v>10217</v>
          </cell>
          <cell r="L184">
            <v>10217</v>
          </cell>
          <cell r="M184">
            <v>10217</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t="str">
            <v xml:space="preserve">              </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t="str">
            <v xml:space="preserve"> </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2">
        <row r="31">
          <cell r="B31">
            <v>5</v>
          </cell>
          <cell r="C31">
            <v>3</v>
          </cell>
          <cell r="D31">
            <v>2</v>
          </cell>
          <cell r="E31">
            <v>2</v>
          </cell>
          <cell r="F31" t="str">
            <v xml:space="preserve"> Cost of Sales - T</v>
          </cell>
          <cell r="G31">
            <v>-284739130.43478262</v>
          </cell>
          <cell r="H31">
            <v>5</v>
          </cell>
          <cell r="I31">
            <v>-284739130.43478262</v>
          </cell>
          <cell r="J31">
            <v>2</v>
          </cell>
          <cell r="K31">
            <v>2</v>
          </cell>
          <cell r="L31">
            <v>3</v>
          </cell>
          <cell r="M31">
            <v>6</v>
          </cell>
          <cell r="N31">
            <v>42</v>
          </cell>
        </row>
        <row r="32">
          <cell r="B32">
            <v>57</v>
          </cell>
          <cell r="C32">
            <v>10</v>
          </cell>
          <cell r="D32">
            <v>40</v>
          </cell>
          <cell r="E32">
            <v>17</v>
          </cell>
          <cell r="F32" t="str">
            <v xml:space="preserve"> Cost of Sales - D</v>
          </cell>
          <cell r="G32">
            <v>-34539130.434782617</v>
          </cell>
          <cell r="H32">
            <v>0</v>
          </cell>
          <cell r="I32">
            <v>-34539130.434782617</v>
          </cell>
          <cell r="J32" t="str">
            <v xml:space="preserve"> Parts</v>
          </cell>
          <cell r="K32">
            <v>10</v>
          </cell>
          <cell r="L32">
            <v>10</v>
          </cell>
          <cell r="M32">
            <v>10</v>
          </cell>
          <cell r="N32">
            <v>120</v>
          </cell>
          <cell r="O32" t="str">
            <v>Hiace - Commuter</v>
          </cell>
        </row>
        <row r="33">
          <cell r="B33">
            <v>70</v>
          </cell>
          <cell r="C33">
            <v>10</v>
          </cell>
          <cell r="D33">
            <v>52</v>
          </cell>
          <cell r="E33">
            <v>18</v>
          </cell>
          <cell r="F33">
            <v>10</v>
          </cell>
          <cell r="G33">
            <v>-319278260.86956525</v>
          </cell>
          <cell r="H33">
            <v>0</v>
          </cell>
          <cell r="I33">
            <v>-319278260.86956525</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t="str">
            <v xml:space="preserve"> Taxation:</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1</v>
          </cell>
          <cell r="C37">
            <v>31</v>
          </cell>
          <cell r="D37">
            <v>1</v>
          </cell>
          <cell r="E37">
            <v>0</v>
          </cell>
          <cell r="F37" t="str">
            <v xml:space="preserve"> Net Sales </v>
          </cell>
          <cell r="G37">
            <v>58995652.173913039</v>
          </cell>
          <cell r="H37">
            <v>0</v>
          </cell>
          <cell r="I37">
            <v>58995652.173913039</v>
          </cell>
          <cell r="J37" t="str">
            <v xml:space="preserve"> Daihatsu Project:</v>
          </cell>
          <cell r="K37">
            <v>29</v>
          </cell>
          <cell r="L37">
            <v>31</v>
          </cell>
          <cell r="M37">
            <v>37</v>
          </cell>
          <cell r="N37">
            <v>387</v>
          </cell>
        </row>
        <row r="38">
          <cell r="B38">
            <v>231</v>
          </cell>
          <cell r="C38">
            <v>1421</v>
          </cell>
          <cell r="D38">
            <v>174</v>
          </cell>
          <cell r="E38">
            <v>57</v>
          </cell>
          <cell r="F38" t="str">
            <v xml:space="preserve"> Cost of Sales</v>
          </cell>
          <cell r="G38">
            <v>-50854252.173913039</v>
          </cell>
          <cell r="H38">
            <v>0</v>
          </cell>
          <cell r="I38">
            <v>-50854252.173913039</v>
          </cell>
          <cell r="J38">
            <v>1410</v>
          </cell>
          <cell r="K38">
            <v>1319</v>
          </cell>
          <cell r="L38">
            <v>1311</v>
          </cell>
          <cell r="M38">
            <v>1345</v>
          </cell>
          <cell r="N38">
            <v>16487</v>
          </cell>
        </row>
        <row r="39">
          <cell r="B39">
            <v>30</v>
          </cell>
          <cell r="C39">
            <v>25</v>
          </cell>
          <cell r="D39">
            <v>27</v>
          </cell>
          <cell r="E39">
            <v>672</v>
          </cell>
          <cell r="F39" t="str">
            <v xml:space="preserve"> G.P. - Oil</v>
          </cell>
          <cell r="G39">
            <v>8141400</v>
          </cell>
          <cell r="H39">
            <v>0</v>
          </cell>
          <cell r="I39">
            <v>8141400</v>
          </cell>
          <cell r="J39">
            <v>31</v>
          </cell>
          <cell r="K39">
            <v>25</v>
          </cell>
          <cell r="L39">
            <v>27</v>
          </cell>
          <cell r="M39">
            <v>27</v>
          </cell>
          <cell r="N39">
            <v>2413</v>
          </cell>
        </row>
        <row r="40">
          <cell r="B40">
            <v>359</v>
          </cell>
          <cell r="C40">
            <v>1446</v>
          </cell>
          <cell r="D40">
            <v>319</v>
          </cell>
          <cell r="E40">
            <v>40</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t="str">
            <v>G.P. Parts &amp; Oil</v>
          </cell>
          <cell r="G41">
            <v>52341400.00000006</v>
          </cell>
          <cell r="H41">
            <v>0</v>
          </cell>
          <cell r="I41">
            <v>52341400.00000006</v>
          </cell>
          <cell r="J41">
            <v>1030</v>
          </cell>
          <cell r="K41">
            <v>940</v>
          </cell>
          <cell r="L41">
            <v>930</v>
          </cell>
          <cell r="M41">
            <v>958</v>
          </cell>
          <cell r="N41">
            <v>12200</v>
          </cell>
        </row>
        <row r="42">
          <cell r="B42">
            <v>14590.4</v>
          </cell>
          <cell r="C42">
            <v>1090</v>
          </cell>
          <cell r="D42">
            <v>11762</v>
          </cell>
          <cell r="E42">
            <v>2828.3999999999996</v>
          </cell>
          <cell r="F42" t="str">
            <v>Sell &amp; Admin Exp.</v>
          </cell>
          <cell r="G42">
            <v>0</v>
          </cell>
          <cell r="H42">
            <v>0</v>
          </cell>
          <cell r="I42">
            <v>0</v>
          </cell>
          <cell r="J42">
            <v>1030</v>
          </cell>
          <cell r="K42">
            <v>940</v>
          </cell>
          <cell r="L42">
            <v>930</v>
          </cell>
          <cell r="M42">
            <v>958</v>
          </cell>
          <cell r="N42">
            <v>12200</v>
          </cell>
        </row>
        <row r="43">
          <cell r="B43">
            <v>0</v>
          </cell>
          <cell r="C43">
            <v>0</v>
          </cell>
          <cell r="D43">
            <v>0</v>
          </cell>
          <cell r="E43">
            <v>0</v>
          </cell>
          <cell r="F43" t="str">
            <v>N.P. Before Tax</v>
          </cell>
          <cell r="G43">
            <v>52341400.00000006</v>
          </cell>
          <cell r="H43">
            <v>0</v>
          </cell>
          <cell r="I43">
            <v>52341400.00000006</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t="str">
            <v xml:space="preserve">CBU </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11552113913.043478</v>
          </cell>
          <cell r="D48">
            <v>1101895217.3913043</v>
          </cell>
          <cell r="E48">
            <v>12654009130.434782</v>
          </cell>
          <cell r="F48">
            <v>1</v>
          </cell>
          <cell r="G48">
            <v>7455006909</v>
          </cell>
          <cell r="H48">
            <v>656280000</v>
          </cell>
          <cell r="I48">
            <v>8111286909</v>
          </cell>
          <cell r="J48">
            <v>1</v>
          </cell>
          <cell r="K48">
            <v>4097107004.043478</v>
          </cell>
          <cell r="L48">
            <v>445615217.39130425</v>
          </cell>
          <cell r="M48">
            <v>4542722221.434782</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10437121135.099457</v>
          </cell>
          <cell r="D50">
            <v>882929313.31255102</v>
          </cell>
          <cell r="E50">
            <v>11320050448.412008</v>
          </cell>
          <cell r="F50">
            <v>0.89458213059018554</v>
          </cell>
          <cell r="G50">
            <v>6510508767</v>
          </cell>
          <cell r="H50">
            <v>514853000</v>
          </cell>
          <cell r="I50">
            <v>7025361767</v>
          </cell>
          <cell r="J50">
            <v>0.86612171974892227</v>
          </cell>
          <cell r="K50">
            <v>-3926612368.0994568</v>
          </cell>
          <cell r="L50">
            <v>-368076313.31255102</v>
          </cell>
          <cell r="M50">
            <v>-4294688681.4120078</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74843761.999999985</v>
          </cell>
          <cell r="D52">
            <v>0</v>
          </cell>
          <cell r="E52">
            <v>74843761.999999985</v>
          </cell>
          <cell r="F52">
            <v>5.9146284176442993E-3</v>
          </cell>
          <cell r="G52">
            <v>73652142</v>
          </cell>
          <cell r="H52">
            <v>0</v>
          </cell>
          <cell r="I52">
            <v>73652142</v>
          </cell>
          <cell r="J52">
            <v>9.0802042667579869E-3</v>
          </cell>
          <cell r="K52">
            <v>-1191619.9999999851</v>
          </cell>
          <cell r="L52">
            <v>0</v>
          </cell>
          <cell r="M52">
            <v>-1191619.9999999851</v>
          </cell>
          <cell r="N52">
            <v>-1.6179027081113066E-2</v>
          </cell>
          <cell r="P52" t="str">
            <v>Salaries &amp; Wages</v>
          </cell>
        </row>
        <row r="53">
          <cell r="B53">
            <v>230311</v>
          </cell>
          <cell r="C53">
            <v>0</v>
          </cell>
          <cell r="D53">
            <v>0</v>
          </cell>
          <cell r="E53">
            <v>0</v>
          </cell>
          <cell r="F53">
            <v>0</v>
          </cell>
          <cell r="G53">
            <v>0</v>
          </cell>
          <cell r="H53">
            <v>0</v>
          </cell>
          <cell r="I53">
            <v>0</v>
          </cell>
          <cell r="J53">
            <v>0</v>
          </cell>
          <cell r="K53">
            <v>0</v>
          </cell>
          <cell r="L53">
            <v>0</v>
          </cell>
          <cell r="M53">
            <v>0</v>
          </cell>
          <cell r="N53" t="e">
            <v>#DIV/0!</v>
          </cell>
          <cell r="P53" t="str">
            <v>Utilities</v>
          </cell>
        </row>
        <row r="54">
          <cell r="B54">
            <v>0</v>
          </cell>
          <cell r="C54">
            <v>191295000</v>
          </cell>
          <cell r="D54">
            <v>0</v>
          </cell>
          <cell r="E54">
            <v>191295000</v>
          </cell>
          <cell r="F54">
            <v>1.5117343288452902E-2</v>
          </cell>
          <cell r="G54">
            <v>175871000</v>
          </cell>
          <cell r="H54">
            <v>0</v>
          </cell>
          <cell r="I54">
            <v>175871000</v>
          </cell>
          <cell r="J54">
            <v>2.1682256092416075E-2</v>
          </cell>
          <cell r="K54">
            <v>-15424000</v>
          </cell>
          <cell r="L54">
            <v>0</v>
          </cell>
          <cell r="M54">
            <v>-15424000</v>
          </cell>
          <cell r="N54">
            <v>-8.7700644222185584E-2</v>
          </cell>
          <cell r="P54" t="str">
            <v>Depreciation</v>
          </cell>
        </row>
        <row r="55">
          <cell r="B55">
            <v>202074</v>
          </cell>
          <cell r="C55">
            <v>46730558.999999963</v>
          </cell>
          <cell r="D55">
            <v>0</v>
          </cell>
          <cell r="E55">
            <v>46730558.999999963</v>
          </cell>
          <cell r="F55">
            <v>3.6929449408730068E-3</v>
          </cell>
          <cell r="G55">
            <v>41476000</v>
          </cell>
          <cell r="H55">
            <v>0</v>
          </cell>
          <cell r="I55">
            <v>41476000</v>
          </cell>
          <cell r="J55">
            <v>5.1133686263741557E-3</v>
          </cell>
          <cell r="K55">
            <v>-5254558.9999999627</v>
          </cell>
          <cell r="L55">
            <v>0</v>
          </cell>
          <cell r="M55">
            <v>-5254558.9999999627</v>
          </cell>
          <cell r="N55">
            <v>-0.12668914552994412</v>
          </cell>
          <cell r="P55" t="str">
            <v>Other Factory overhead</v>
          </cell>
        </row>
        <row r="56">
          <cell r="B56">
            <v>226394</v>
          </cell>
          <cell r="C56">
            <v>0</v>
          </cell>
          <cell r="D56">
            <v>0</v>
          </cell>
          <cell r="E56">
            <v>0</v>
          </cell>
          <cell r="F56">
            <v>0</v>
          </cell>
          <cell r="G56">
            <v>0</v>
          </cell>
          <cell r="H56">
            <v>0</v>
          </cell>
          <cell r="I56">
            <v>0</v>
          </cell>
          <cell r="J56">
            <v>0</v>
          </cell>
          <cell r="K56">
            <v>0</v>
          </cell>
          <cell r="L56">
            <v>0</v>
          </cell>
          <cell r="M56">
            <v>0</v>
          </cell>
          <cell r="N56" t="e">
            <v>#DIV/0!</v>
          </cell>
          <cell r="P56" t="str">
            <v>Running Royalty</v>
          </cell>
        </row>
        <row r="57">
          <cell r="B57">
            <v>0</v>
          </cell>
          <cell r="C57">
            <v>312869320.99999994</v>
          </cell>
          <cell r="D57">
            <v>0</v>
          </cell>
          <cell r="E57">
            <v>312869320.99999994</v>
          </cell>
          <cell r="F57">
            <v>2.4724916646970206E-2</v>
          </cell>
          <cell r="G57">
            <v>290999142</v>
          </cell>
          <cell r="H57">
            <v>0</v>
          </cell>
          <cell r="I57">
            <v>290999142</v>
          </cell>
          <cell r="J57">
            <v>3.5875828985548218E-2</v>
          </cell>
          <cell r="K57">
            <v>-21870178.999999948</v>
          </cell>
          <cell r="L57">
            <v>0</v>
          </cell>
          <cell r="M57">
            <v>-21870178.999999948</v>
          </cell>
          <cell r="N57">
            <v>-7.5155475887966533E-2</v>
          </cell>
          <cell r="O57" t="str">
            <v>Total Conversion Cost</v>
          </cell>
        </row>
        <row r="58">
          <cell r="B58">
            <v>0</v>
          </cell>
          <cell r="C58">
            <v>10749990456.099457</v>
          </cell>
          <cell r="D58">
            <v>882929313.31255102</v>
          </cell>
          <cell r="E58">
            <v>11632919769.412008</v>
          </cell>
          <cell r="F58">
            <v>0.91930704723715573</v>
          </cell>
          <cell r="G58">
            <v>6801507909</v>
          </cell>
          <cell r="H58">
            <v>514853000</v>
          </cell>
          <cell r="I58">
            <v>7316360909</v>
          </cell>
          <cell r="J58">
            <v>0.90199754873447047</v>
          </cell>
          <cell r="K58">
            <v>-3948482547.0994568</v>
          </cell>
          <cell r="L58">
            <v>-368076313.31255102</v>
          </cell>
          <cell r="M58">
            <v>-4316558860.4120083</v>
          </cell>
          <cell r="N58">
            <v>-0.58998714170895039</v>
          </cell>
          <cell r="O58" t="str">
            <v>Net Cost of Sales</v>
          </cell>
        </row>
        <row r="59">
          <cell r="B59">
            <v>139346</v>
          </cell>
          <cell r="C59">
            <v>802123456.94402122</v>
          </cell>
          <cell r="D59">
            <v>202965904.07875323</v>
          </cell>
          <cell r="E59">
            <v>1005089361.0227737</v>
          </cell>
          <cell r="F59">
            <v>7.9428531358127732E-2</v>
          </cell>
          <cell r="G59">
            <v>653499000</v>
          </cell>
          <cell r="H59">
            <v>141427000</v>
          </cell>
          <cell r="I59">
            <v>794926000</v>
          </cell>
          <cell r="J59">
            <v>9.8002451265529505E-2</v>
          </cell>
          <cell r="K59">
            <v>148624456.94402122</v>
          </cell>
          <cell r="L59">
            <v>77538904.078753233</v>
          </cell>
          <cell r="M59">
            <v>226163361.02277446</v>
          </cell>
          <cell r="N59">
            <v>0.28450869769358966</v>
          </cell>
          <cell r="O59" t="str">
            <v>Gross Profit</v>
          </cell>
        </row>
        <row r="60">
          <cell r="B60">
            <v>139346</v>
          </cell>
          <cell r="C60">
            <v>206300976.77992368</v>
          </cell>
          <cell r="D60">
            <v>139346</v>
          </cell>
          <cell r="E60">
            <v>139346</v>
          </cell>
          <cell r="F60">
            <v>139346</v>
          </cell>
          <cell r="G60">
            <v>653499000</v>
          </cell>
          <cell r="H60">
            <v>139346</v>
          </cell>
          <cell r="I60">
            <v>139346</v>
          </cell>
          <cell r="J60">
            <v>139346</v>
          </cell>
          <cell r="K60">
            <v>139346</v>
          </cell>
          <cell r="L60">
            <v>139346</v>
          </cell>
          <cell r="M60">
            <v>139346</v>
          </cell>
          <cell r="O60" t="str">
            <v>Administration &amp; selling expenses:</v>
          </cell>
        </row>
        <row r="61">
          <cell r="B61">
            <v>70231</v>
          </cell>
          <cell r="C61">
            <v>57137729.470650472</v>
          </cell>
          <cell r="D61">
            <v>6004474.5293495171</v>
          </cell>
          <cell r="E61">
            <v>63142203.999999985</v>
          </cell>
          <cell r="F61">
            <v>4.9898971424110605E-3</v>
          </cell>
          <cell r="G61">
            <v>53547801.007179476</v>
          </cell>
          <cell r="H61">
            <v>4713925.9928205237</v>
          </cell>
          <cell r="I61">
            <v>58261727</v>
          </cell>
          <cell r="J61">
            <v>7.18279696596046E-3</v>
          </cell>
          <cell r="K61">
            <v>-3589928.4634709954</v>
          </cell>
          <cell r="L61">
            <v>-1290548.5365289934</v>
          </cell>
          <cell r="M61">
            <v>-4880476.9999999888</v>
          </cell>
          <cell r="N61">
            <v>-8.3768148513688731E-2</v>
          </cell>
          <cell r="P61" t="str">
            <v>Selling Expenses</v>
          </cell>
        </row>
        <row r="62">
          <cell r="B62">
            <v>92231</v>
          </cell>
          <cell r="C62">
            <v>79639894.647539333</v>
          </cell>
          <cell r="D62">
            <v>5610105.3524606703</v>
          </cell>
          <cell r="E62">
            <v>85250000</v>
          </cell>
          <cell r="F62">
            <v>6.7369952970052008E-3</v>
          </cell>
          <cell r="G62">
            <v>40048171.865951262</v>
          </cell>
          <cell r="H62">
            <v>3525525.1340487376</v>
          </cell>
          <cell r="I62">
            <v>43573697</v>
          </cell>
          <cell r="J62">
            <v>5.3719831993184891E-3</v>
          </cell>
          <cell r="K62">
            <v>-39591722.78158807</v>
          </cell>
          <cell r="L62">
            <v>-2084580.2184119327</v>
          </cell>
          <cell r="M62">
            <v>-41676303</v>
          </cell>
          <cell r="N62">
            <v>-0.95645551948461016</v>
          </cell>
          <cell r="P62" t="str">
            <v>Advertisement Expenses</v>
          </cell>
        </row>
        <row r="63">
          <cell r="B63">
            <v>102048</v>
          </cell>
          <cell r="C63">
            <v>116421955.4831742</v>
          </cell>
          <cell r="D63">
            <v>12234519.516825749</v>
          </cell>
          <cell r="E63">
            <v>128656474.99999996</v>
          </cell>
          <cell r="F63">
            <v>1.0167250052835976E-2</v>
          </cell>
          <cell r="G63">
            <v>122750293.46951772</v>
          </cell>
          <cell r="H63">
            <v>10805967.530482277</v>
          </cell>
          <cell r="I63">
            <v>133556261</v>
          </cell>
          <cell r="J63">
            <v>1.6465483529106911E-2</v>
          </cell>
          <cell r="K63">
            <v>6328337.9863435179</v>
          </cell>
          <cell r="L63">
            <v>-1428551.9863434713</v>
          </cell>
          <cell r="M63">
            <v>4899786.0000000466</v>
          </cell>
          <cell r="N63">
            <v>3.6687055801899446E-2</v>
          </cell>
          <cell r="P63" t="str">
            <v>Administrative Expenses</v>
          </cell>
        </row>
        <row r="64">
          <cell r="B64">
            <v>124048</v>
          </cell>
          <cell r="C64">
            <v>32741291.826099008</v>
          </cell>
          <cell r="D64">
            <v>3440708.1739009968</v>
          </cell>
          <cell r="E64">
            <v>36182000.000000007</v>
          </cell>
          <cell r="F64">
            <v>2.8593309540908178E-3</v>
          </cell>
          <cell r="G64">
            <v>30720166.84474352</v>
          </cell>
          <cell r="H64">
            <v>2704361.15525648</v>
          </cell>
          <cell r="I64">
            <v>33424528</v>
          </cell>
          <cell r="J64">
            <v>4.1207429073817272E-3</v>
          </cell>
          <cell r="K64">
            <v>-2021124.9813554883</v>
          </cell>
          <cell r="L64">
            <v>-736347.01864451682</v>
          </cell>
          <cell r="M64">
            <v>-2757472.0000000051</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v>6.4861444663761925E-2</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0</v>
          </cell>
          <cell r="D68">
            <v>35100288</v>
          </cell>
          <cell r="E68">
            <v>35100288</v>
          </cell>
          <cell r="F68">
            <v>2.7738472161821476E-3</v>
          </cell>
          <cell r="G68">
            <v>0</v>
          </cell>
          <cell r="H68">
            <v>16078422</v>
          </cell>
          <cell r="I68">
            <v>16078422</v>
          </cell>
          <cell r="J68">
            <v>1.9822282432347383E-3</v>
          </cell>
          <cell r="K68">
            <v>0</v>
          </cell>
          <cell r="L68">
            <v>19021866</v>
          </cell>
          <cell r="M68">
            <v>19021866</v>
          </cell>
          <cell r="N68">
            <v>1.1830679652518139</v>
          </cell>
          <cell r="P68" t="str">
            <v>H.D. Commission</v>
          </cell>
        </row>
        <row r="69">
          <cell r="B69">
            <v>0</v>
          </cell>
          <cell r="C69">
            <v>118000000</v>
          </cell>
          <cell r="D69">
            <v>0</v>
          </cell>
          <cell r="E69">
            <v>118000000</v>
          </cell>
          <cell r="F69">
            <v>9.3251078597843245E-3</v>
          </cell>
          <cell r="G69">
            <v>72726892</v>
          </cell>
          <cell r="H69">
            <v>0</v>
          </cell>
          <cell r="I69">
            <v>72726892</v>
          </cell>
          <cell r="J69">
            <v>8.9661348212581142E-3</v>
          </cell>
          <cell r="K69">
            <v>45273108</v>
          </cell>
          <cell r="L69">
            <v>0</v>
          </cell>
          <cell r="M69">
            <v>45273108</v>
          </cell>
          <cell r="N69">
            <v>0.62250849383196516</v>
          </cell>
          <cell r="P69" t="str">
            <v>Other Income</v>
          </cell>
        </row>
        <row r="70">
          <cell r="B70">
            <v>134303.26995000002</v>
          </cell>
          <cell r="C70">
            <v>118000000</v>
          </cell>
          <cell r="D70">
            <v>35100288</v>
          </cell>
          <cell r="E70">
            <v>153100288</v>
          </cell>
          <cell r="F70">
            <v>1.2098955075966472E-2</v>
          </cell>
          <cell r="G70">
            <v>72726892</v>
          </cell>
          <cell r="H70">
            <v>16078422</v>
          </cell>
          <cell r="I70">
            <v>88805314</v>
          </cell>
          <cell r="J70">
            <v>1.0948363064492853E-2</v>
          </cell>
          <cell r="K70">
            <v>45273108</v>
          </cell>
          <cell r="L70">
            <v>19021866</v>
          </cell>
          <cell r="M70">
            <v>64294974</v>
          </cell>
          <cell r="N70">
            <v>0.7239991741935623</v>
          </cell>
        </row>
        <row r="71">
          <cell r="B71">
            <v>167695.96620000002</v>
          </cell>
          <cell r="C71">
            <v>634182585.51655817</v>
          </cell>
          <cell r="D71">
            <v>210776384.50621629</v>
          </cell>
          <cell r="E71">
            <v>844958970.02277374</v>
          </cell>
          <cell r="F71">
            <v>6.6774012987751152E-2</v>
          </cell>
          <cell r="G71">
            <v>479159458.812608</v>
          </cell>
          <cell r="H71">
            <v>135755642.187392</v>
          </cell>
          <cell r="I71">
            <v>614915101</v>
          </cell>
          <cell r="J71">
            <v>7.5809807728254783E-2</v>
          </cell>
          <cell r="K71">
            <v>155023126.7039502</v>
          </cell>
          <cell r="L71">
            <v>91020742.318824321</v>
          </cell>
          <cell r="M71">
            <v>246043869.02277452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0</v>
          </cell>
          <cell r="D73">
            <v>0</v>
          </cell>
          <cell r="E73">
            <v>0</v>
          </cell>
          <cell r="F73">
            <v>0</v>
          </cell>
          <cell r="G73">
            <v>20398189</v>
          </cell>
          <cell r="H73">
            <v>0</v>
          </cell>
          <cell r="I73">
            <v>20398189</v>
          </cell>
          <cell r="J73">
            <v>2.5147907143275726E-3</v>
          </cell>
          <cell r="K73">
            <v>20398189</v>
          </cell>
          <cell r="L73">
            <v>0</v>
          </cell>
          <cell r="M73">
            <v>20398189</v>
          </cell>
          <cell r="N73">
            <v>1</v>
          </cell>
          <cell r="P73" t="str">
            <v>Financial Charges - Capital Exp.</v>
          </cell>
        </row>
        <row r="74">
          <cell r="B74">
            <v>0</v>
          </cell>
          <cell r="C74">
            <v>6567543.7731114728</v>
          </cell>
          <cell r="D74">
            <v>632456.22688852809</v>
          </cell>
          <cell r="E74">
            <v>7200000.0000000009</v>
          </cell>
          <cell r="F74">
            <v>5.689896321224335E-4</v>
          </cell>
          <cell r="G74">
            <v>22339942</v>
          </cell>
          <cell r="H74">
            <v>0</v>
          </cell>
          <cell r="I74">
            <v>22339942</v>
          </cell>
          <cell r="J74">
            <v>2.7541797313583353E-3</v>
          </cell>
          <cell r="K74">
            <v>15772398.226888526</v>
          </cell>
          <cell r="L74">
            <v>-632456.22688852809</v>
          </cell>
          <cell r="M74">
            <v>15139941.999999998</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0</v>
          </cell>
          <cell r="K75">
            <v>141809.7622</v>
          </cell>
          <cell r="L75">
            <v>141809.7622</v>
          </cell>
          <cell r="M75">
            <v>141809.7622</v>
          </cell>
          <cell r="O75" t="str">
            <v>Other charges:</v>
          </cell>
        </row>
        <row r="76">
          <cell r="B76">
            <v>153026.83564999999</v>
          </cell>
          <cell r="C76">
            <v>0</v>
          </cell>
          <cell r="D76">
            <v>0</v>
          </cell>
          <cell r="E76">
            <v>0</v>
          </cell>
          <cell r="F76">
            <v>0</v>
          </cell>
          <cell r="G76">
            <v>1828512</v>
          </cell>
          <cell r="H76">
            <v>0</v>
          </cell>
          <cell r="I76">
            <v>1828512</v>
          </cell>
          <cell r="J76">
            <v>2.2542810043757016E-4</v>
          </cell>
          <cell r="K76">
            <v>1828512</v>
          </cell>
          <cell r="L76">
            <v>0</v>
          </cell>
          <cell r="M76">
            <v>1828512</v>
          </cell>
          <cell r="P76" t="str">
            <v>Auditor's remuneration</v>
          </cell>
        </row>
        <row r="77">
          <cell r="B77">
            <v>0</v>
          </cell>
          <cell r="C77">
            <v>4560794.2868829668</v>
          </cell>
          <cell r="D77">
            <v>439205.71311703336</v>
          </cell>
          <cell r="E77">
            <v>5000000</v>
          </cell>
          <cell r="F77">
            <v>3.9513168897391211E-4</v>
          </cell>
          <cell r="G77">
            <v>3067792.7282591714</v>
          </cell>
          <cell r="H77">
            <v>270064.27174082841</v>
          </cell>
          <cell r="I77">
            <v>3337857</v>
          </cell>
          <cell r="J77">
            <v>4.1150769753889863E-4</v>
          </cell>
          <cell r="K77">
            <v>-1493001.5586237954</v>
          </cell>
          <cell r="L77">
            <v>-169141.44137620495</v>
          </cell>
          <cell r="M77">
            <v>-1662143.0000000005</v>
          </cell>
          <cell r="N77">
            <v>-0.497967108836598</v>
          </cell>
          <cell r="P77" t="str">
            <v>Charity &amp; Donation</v>
          </cell>
        </row>
        <row r="78">
          <cell r="B78">
            <v>0</v>
          </cell>
          <cell r="C78">
            <v>0</v>
          </cell>
          <cell r="D78">
            <v>0</v>
          </cell>
          <cell r="E78">
            <v>0</v>
          </cell>
          <cell r="F78">
            <v>0</v>
          </cell>
          <cell r="G78">
            <v>1134666</v>
          </cell>
          <cell r="H78">
            <v>0</v>
          </cell>
          <cell r="I78">
            <v>1134666</v>
          </cell>
          <cell r="J78">
            <v>1.3988729689009204E-4</v>
          </cell>
          <cell r="K78">
            <v>-1134666</v>
          </cell>
          <cell r="L78">
            <v>0</v>
          </cell>
          <cell r="M78">
            <v>-1134666</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v>-9.5434917872413776E-4</v>
          </cell>
          <cell r="K86">
            <v>-7741000</v>
          </cell>
          <cell r="L86">
            <v>0</v>
          </cell>
          <cell r="M86">
            <v>-7741000</v>
          </cell>
          <cell r="N86">
            <v>1</v>
          </cell>
        </row>
        <row r="87">
          <cell r="B87">
            <v>914</v>
          </cell>
          <cell r="C87">
            <v>0</v>
          </cell>
          <cell r="D87">
            <v>0</v>
          </cell>
          <cell r="E87">
            <v>0</v>
          </cell>
          <cell r="F87">
            <v>0</v>
          </cell>
          <cell r="G87">
            <v>0</v>
          </cell>
          <cell r="H87">
            <v>0</v>
          </cell>
          <cell r="I87">
            <v>0</v>
          </cell>
          <cell r="J87">
            <v>0</v>
          </cell>
          <cell r="K87">
            <v>0</v>
          </cell>
          <cell r="L87">
            <v>0</v>
          </cell>
          <cell r="M87">
            <v>0</v>
          </cell>
        </row>
        <row r="88">
          <cell r="B88">
            <v>11365</v>
          </cell>
          <cell r="C88">
            <v>211234323.34074187</v>
          </cell>
          <cell r="D88">
            <v>54809897.361361779</v>
          </cell>
          <cell r="E88">
            <v>266044220.70210364</v>
          </cell>
          <cell r="F88">
            <v>2.1024500453554088E-2</v>
          </cell>
          <cell r="G88">
            <v>131885138</v>
          </cell>
          <cell r="H88">
            <v>36015862</v>
          </cell>
          <cell r="I88">
            <v>167901000</v>
          </cell>
          <cell r="J88">
            <v>2.0699674648877595E-2</v>
          </cell>
          <cell r="K88">
            <v>-79349185.340741873</v>
          </cell>
          <cell r="L88">
            <v>-18794035.361361779</v>
          </cell>
          <cell r="M88">
            <v>-98143220.702103645</v>
          </cell>
          <cell r="N88">
            <v>-0.58453029286367353</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357192026.77566421</v>
          </cell>
          <cell r="D90">
            <v>150958353.6134353</v>
          </cell>
          <cell r="E90">
            <v>508150380.38909876</v>
          </cell>
          <cell r="F90">
            <v>4.0157263611176094E-2</v>
          </cell>
          <cell r="G90">
            <v>264027376.38012683</v>
          </cell>
          <cell r="H90">
            <v>96434558.619873166</v>
          </cell>
          <cell r="I90">
            <v>360461935</v>
          </cell>
          <cell r="J90">
            <v>4.4439549364237635E-2</v>
          </cell>
          <cell r="K90">
            <v>90895318.395537347</v>
          </cell>
          <cell r="L90">
            <v>70523794.993562162</v>
          </cell>
          <cell r="M90">
            <v>161419113.38909951</v>
          </cell>
          <cell r="N90">
            <v>0.44781181510635654</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t="str">
            <v>Revenue Expenditure</v>
          </cell>
          <cell r="G92">
            <v>0</v>
          </cell>
          <cell r="H92">
            <v>0</v>
          </cell>
          <cell r="I92">
            <v>0</v>
          </cell>
          <cell r="J92">
            <v>0</v>
          </cell>
          <cell r="K92">
            <v>0</v>
          </cell>
          <cell r="L92" t="str">
            <v>Capital Expenditure</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t="str">
            <v>Budget 2002 ~ 2003</v>
          </cell>
          <cell r="C94" t="str">
            <v>Actual 2001 ~ 2002</v>
          </cell>
          <cell r="D94" t="str">
            <v>Variance</v>
          </cell>
          <cell r="E94">
            <v>0</v>
          </cell>
          <cell r="F94" t="str">
            <v>Division / Department</v>
          </cell>
          <cell r="G94">
            <v>0</v>
          </cell>
          <cell r="H94" t="str">
            <v>Budget    2002 ~ 2003</v>
          </cell>
          <cell r="I94" t="str">
            <v>Actual                    2001~ 2002</v>
          </cell>
          <cell r="J94" t="str">
            <v>Variance</v>
          </cell>
          <cell r="K94">
            <v>0</v>
          </cell>
          <cell r="L94" t="str">
            <v>Description</v>
          </cell>
          <cell r="M94">
            <v>0</v>
          </cell>
          <cell r="N94" t="str">
            <v>Budget  2002 ~ 2003</v>
          </cell>
          <cell r="P94">
            <v>0</v>
          </cell>
        </row>
        <row r="95">
          <cell r="B95">
            <v>11355</v>
          </cell>
          <cell r="C95">
            <v>11355</v>
          </cell>
          <cell r="D95">
            <v>11355</v>
          </cell>
          <cell r="E95">
            <v>11355</v>
          </cell>
          <cell r="F95" t="str">
            <v>Technical</v>
          </cell>
          <cell r="G95">
            <v>11355</v>
          </cell>
          <cell r="H95">
            <v>121574320.99999994</v>
          </cell>
          <cell r="I95">
            <v>115128142</v>
          </cell>
          <cell r="J95">
            <v>6446178.9999999404</v>
          </cell>
          <cell r="K95">
            <v>11355</v>
          </cell>
          <cell r="L95" t="str">
            <v>Furniture &amp; Fixture</v>
          </cell>
          <cell r="M95">
            <v>11355</v>
          </cell>
          <cell r="N95">
            <v>466000</v>
          </cell>
        </row>
        <row r="96">
          <cell r="B96">
            <v>451053043.47826093</v>
          </cell>
          <cell r="C96">
            <v>355186250.62</v>
          </cell>
          <cell r="D96">
            <v>95866792.85826093</v>
          </cell>
          <cell r="E96">
            <v>14625</v>
          </cell>
          <cell r="F96">
            <v>14625</v>
          </cell>
          <cell r="G96">
            <v>14625</v>
          </cell>
          <cell r="H96">
            <v>14625</v>
          </cell>
          <cell r="I96">
            <v>14625</v>
          </cell>
          <cell r="J96">
            <v>14625</v>
          </cell>
          <cell r="K96">
            <v>14625</v>
          </cell>
          <cell r="L96" t="str">
            <v>Building</v>
          </cell>
          <cell r="M96">
            <v>14625</v>
          </cell>
          <cell r="N96">
            <v>6700000</v>
          </cell>
          <cell r="P96" t="e">
            <v>#REF!</v>
          </cell>
        </row>
        <row r="97">
          <cell r="B97">
            <v>34782608.695652179</v>
          </cell>
          <cell r="C97">
            <v>22768749.379999999</v>
          </cell>
          <cell r="D97">
            <v>12013859.31565218</v>
          </cell>
          <cell r="E97">
            <v>0</v>
          </cell>
          <cell r="F97" t="str">
            <v>Advertisement</v>
          </cell>
          <cell r="G97">
            <v>0</v>
          </cell>
          <cell r="H97">
            <v>85250000</v>
          </cell>
          <cell r="I97">
            <v>80561384.189999998</v>
          </cell>
          <cell r="J97">
            <v>4688615.8100000024</v>
          </cell>
          <cell r="K97">
            <v>0</v>
          </cell>
          <cell r="L97" t="str">
            <v>Office Equipment</v>
          </cell>
          <cell r="M97">
            <v>0</v>
          </cell>
          <cell r="N97">
            <v>1770000</v>
          </cell>
        </row>
        <row r="98">
          <cell r="B98">
            <v>485835652.17391312</v>
          </cell>
          <cell r="C98">
            <v>377955000</v>
          </cell>
          <cell r="D98">
            <v>107880652.17391311</v>
          </cell>
          <cell r="E98">
            <v>0</v>
          </cell>
          <cell r="F98">
            <v>0</v>
          </cell>
          <cell r="G98">
            <v>0</v>
          </cell>
          <cell r="H98">
            <v>0</v>
          </cell>
          <cell r="I98">
            <v>0</v>
          </cell>
          <cell r="J98">
            <v>0</v>
          </cell>
          <cell r="K98">
            <v>0</v>
          </cell>
          <cell r="L98" t="str">
            <v>EDP Equipment / Software</v>
          </cell>
          <cell r="M98">
            <v>0</v>
          </cell>
          <cell r="N98">
            <v>645000</v>
          </cell>
        </row>
        <row r="99">
          <cell r="B99">
            <v>11677</v>
          </cell>
          <cell r="C99">
            <v>11677</v>
          </cell>
          <cell r="D99">
            <v>11677</v>
          </cell>
          <cell r="E99">
            <v>11677</v>
          </cell>
          <cell r="F99" t="str">
            <v>Selling &amp; Administrative Expenses</v>
          </cell>
          <cell r="G99">
            <v>11677</v>
          </cell>
          <cell r="H99">
            <v>191798678.99999994</v>
          </cell>
          <cell r="I99">
            <v>191817988</v>
          </cell>
          <cell r="J99">
            <v>-19309.000000059605</v>
          </cell>
          <cell r="K99">
            <v>11677</v>
          </cell>
          <cell r="L99" t="str">
            <v>Vehicles</v>
          </cell>
          <cell r="M99">
            <v>11677</v>
          </cell>
          <cell r="N99">
            <v>399000</v>
          </cell>
          <cell r="P99" t="e">
            <v>#REF!</v>
          </cell>
        </row>
        <row r="100">
          <cell r="B100">
            <v>386134609.9015587</v>
          </cell>
          <cell r="C100">
            <v>291361624.54000002</v>
          </cell>
          <cell r="D100">
            <v>-94772985.361558676</v>
          </cell>
          <cell r="E100">
            <v>11677</v>
          </cell>
          <cell r="F100" t="str">
            <v>TOTAL</v>
          </cell>
          <cell r="G100">
            <v>11677</v>
          </cell>
          <cell r="H100">
            <v>398622999.99999988</v>
          </cell>
          <cell r="I100">
            <v>387507514.19</v>
          </cell>
          <cell r="J100">
            <v>11115485.809999883</v>
          </cell>
          <cell r="K100">
            <v>11677</v>
          </cell>
          <cell r="L100" t="str">
            <v>Loose Tools &amp; Equipment</v>
          </cell>
          <cell r="M100">
            <v>11677</v>
          </cell>
          <cell r="N100">
            <v>2075500</v>
          </cell>
          <cell r="P100" t="e">
            <v>#REF!</v>
          </cell>
        </row>
        <row r="101">
          <cell r="B101">
            <v>27908121.410992622</v>
          </cell>
          <cell r="C101">
            <v>18940375.460000001</v>
          </cell>
          <cell r="D101">
            <v>-8967745.9509926215</v>
          </cell>
          <cell r="E101">
            <v>3341</v>
          </cell>
          <cell r="F101" t="str">
            <v>Add: Utilities</v>
          </cell>
          <cell r="G101">
            <v>3341</v>
          </cell>
          <cell r="H101">
            <v>60859999.999999993</v>
          </cell>
          <cell r="I101">
            <v>45549326</v>
          </cell>
          <cell r="J101">
            <v>15310673.999999993</v>
          </cell>
          <cell r="K101">
            <v>3341</v>
          </cell>
          <cell r="L101" t="str">
            <v>Total capex without project cost</v>
          </cell>
          <cell r="M101">
            <v>3341</v>
          </cell>
          <cell r="N101">
            <v>12055500</v>
          </cell>
          <cell r="P101" t="e">
            <v>#REF!</v>
          </cell>
        </row>
        <row r="102">
          <cell r="B102">
            <v>414042731.31255132</v>
          </cell>
          <cell r="C102">
            <v>310302000</v>
          </cell>
          <cell r="D102">
            <v>-103740731.31255129</v>
          </cell>
          <cell r="E102">
            <v>3341</v>
          </cell>
          <cell r="F102" t="str">
            <v xml:space="preserve">         Depreciation</v>
          </cell>
          <cell r="G102">
            <v>3341</v>
          </cell>
          <cell r="H102">
            <v>227477000</v>
          </cell>
          <cell r="I102">
            <v>209295528</v>
          </cell>
          <cell r="J102">
            <v>18181472</v>
          </cell>
          <cell r="K102">
            <v>3341</v>
          </cell>
          <cell r="L102" t="str">
            <v>PROJECTS</v>
          </cell>
          <cell r="M102">
            <v>3341</v>
          </cell>
          <cell r="P102" t="e">
            <v>#REF!</v>
          </cell>
        </row>
        <row r="103">
          <cell r="B103">
            <v>6816</v>
          </cell>
          <cell r="C103">
            <v>6816</v>
          </cell>
          <cell r="D103">
            <v>6816</v>
          </cell>
          <cell r="E103">
            <v>6816</v>
          </cell>
          <cell r="F103" t="str">
            <v>Less: Advertising subsidy</v>
          </cell>
          <cell r="G103">
            <v>6816</v>
          </cell>
          <cell r="H103">
            <v>-22000000</v>
          </cell>
          <cell r="I103">
            <v>-36987687.189999998</v>
          </cell>
          <cell r="J103">
            <v>14987687.189999998</v>
          </cell>
          <cell r="K103">
            <v>6816</v>
          </cell>
          <cell r="L103" t="str">
            <v>Kaizen</v>
          </cell>
          <cell r="M103">
            <v>6816</v>
          </cell>
          <cell r="N103">
            <v>1720000</v>
          </cell>
          <cell r="P103" t="e">
            <v>#REF!</v>
          </cell>
        </row>
        <row r="104">
          <cell r="B104">
            <v>64918433.576702222</v>
          </cell>
          <cell r="C104">
            <v>63824626.079999983</v>
          </cell>
          <cell r="D104">
            <v>1093807.4967022389</v>
          </cell>
          <cell r="E104">
            <v>6816</v>
          </cell>
          <cell r="F104" t="str">
            <v>Total of IMC without subsidy</v>
          </cell>
          <cell r="G104">
            <v>6816</v>
          </cell>
          <cell r="H104">
            <v>664959999.99999988</v>
          </cell>
          <cell r="I104">
            <v>605364681</v>
          </cell>
          <cell r="J104">
            <v>59595318.999999881</v>
          </cell>
          <cell r="K104">
            <v>6816</v>
          </cell>
          <cell r="L104" t="str">
            <v>Hilux exclusive line</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v>61257461.999999881</v>
          </cell>
          <cell r="L106" t="str">
            <v>Cuore Special edition</v>
          </cell>
          <cell r="N106">
            <v>500000</v>
          </cell>
        </row>
        <row r="107">
          <cell r="B107">
            <v>71792920.861361772</v>
          </cell>
          <cell r="C107">
            <v>67652999.999999985</v>
          </cell>
          <cell r="D107">
            <v>4139920.8613617979</v>
          </cell>
          <cell r="E107">
            <v>1007</v>
          </cell>
          <cell r="F107">
            <v>1038</v>
          </cell>
          <cell r="G107">
            <v>1069</v>
          </cell>
          <cell r="H107">
            <v>1100</v>
          </cell>
          <cell r="I107">
            <v>1131</v>
          </cell>
          <cell r="J107">
            <v>1162</v>
          </cell>
          <cell r="K107">
            <v>1193</v>
          </cell>
          <cell r="L107" t="str">
            <v>Bumper and Booth extension</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t="str">
            <v>Total project cost</v>
          </cell>
          <cell r="M108">
            <v>5237</v>
          </cell>
          <cell r="N108">
            <v>16380000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t="str">
            <v>Total Capital expenditure</v>
          </cell>
          <cell r="M110">
            <v>5349</v>
          </cell>
          <cell r="N110">
            <v>28435500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135505000</v>
          </cell>
          <cell r="L116">
            <v>5346</v>
          </cell>
          <cell r="M116">
            <v>5346</v>
          </cell>
          <cell r="N116">
            <v>0</v>
          </cell>
        </row>
        <row r="117">
          <cell r="B117">
            <v>0</v>
          </cell>
          <cell r="C117">
            <v>0</v>
          </cell>
          <cell r="D117">
            <v>0</v>
          </cell>
          <cell r="E117">
            <v>0</v>
          </cell>
          <cell r="F117">
            <v>0</v>
          </cell>
          <cell r="G117">
            <v>0</v>
          </cell>
          <cell r="H117">
            <v>0</v>
          </cell>
          <cell r="I117">
            <v>0</v>
          </cell>
          <cell r="J117">
            <v>0</v>
          </cell>
          <cell r="K117">
            <v>801054207.19000006</v>
          </cell>
          <cell r="L117">
            <v>0</v>
          </cell>
          <cell r="M117">
            <v>0</v>
          </cell>
          <cell r="N117">
            <v>0</v>
          </cell>
        </row>
        <row r="118">
          <cell r="B118">
            <v>0</v>
          </cell>
          <cell r="C118">
            <v>0</v>
          </cell>
          <cell r="D118">
            <v>0</v>
          </cell>
          <cell r="E118">
            <v>0</v>
          </cell>
          <cell r="F118">
            <v>0</v>
          </cell>
          <cell r="G118">
            <v>0</v>
          </cell>
          <cell r="H118">
            <v>0</v>
          </cell>
          <cell r="I118">
            <v>0</v>
          </cell>
          <cell r="J118">
            <v>0</v>
          </cell>
          <cell r="K118">
            <v>339152000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461902207.19000006</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t="str">
            <v>INDUS MOTOR COMPANY LIMITED</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t="str">
            <v>Parts &amp; Oil Operations - Toyota &amp; Daihatsu</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t="str">
            <v>Budget                  2000 ~ 2001</v>
          </cell>
          <cell r="M172" t="str">
            <v>Actual                    1999 ~ 2000</v>
          </cell>
          <cell r="N172" t="str">
            <v>Variance</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t="str">
            <v>JULY '00</v>
          </cell>
          <cell r="C175" t="str">
            <v>AUGUST '00</v>
          </cell>
          <cell r="D175" t="str">
            <v>JAN '01</v>
          </cell>
          <cell r="E175">
            <v>0</v>
          </cell>
          <cell r="F175">
            <v>0</v>
          </cell>
          <cell r="G175" t="str">
            <v>Net Sales - Toyota Parts &amp; Oil</v>
          </cell>
          <cell r="H175">
            <v>0</v>
          </cell>
          <cell r="I175">
            <v>0</v>
          </cell>
          <cell r="J175">
            <v>0</v>
          </cell>
          <cell r="K175">
            <v>0</v>
          </cell>
          <cell r="L175">
            <v>451053043.47826093</v>
          </cell>
          <cell r="M175">
            <v>163505000</v>
          </cell>
          <cell r="N175">
            <v>287548043.47826093</v>
          </cell>
        </row>
        <row r="176">
          <cell r="B176">
            <v>349000</v>
          </cell>
          <cell r="C176">
            <v>0</v>
          </cell>
          <cell r="D176">
            <v>349000</v>
          </cell>
          <cell r="E176">
            <v>17491</v>
          </cell>
          <cell r="F176">
            <v>17491</v>
          </cell>
          <cell r="G176" t="str">
            <v>Net Sales - Daihatsu Parts</v>
          </cell>
          <cell r="H176">
            <v>17491</v>
          </cell>
          <cell r="I176">
            <v>17491</v>
          </cell>
          <cell r="J176">
            <v>17491</v>
          </cell>
          <cell r="K176">
            <v>17491</v>
          </cell>
          <cell r="L176">
            <v>34782608.695652179</v>
          </cell>
          <cell r="M176">
            <v>0</v>
          </cell>
          <cell r="N176">
            <v>34782608.695652179</v>
          </cell>
        </row>
        <row r="177">
          <cell r="B177">
            <v>379000</v>
          </cell>
          <cell r="C177">
            <v>379000</v>
          </cell>
          <cell r="D177">
            <v>379000</v>
          </cell>
          <cell r="E177">
            <v>20760</v>
          </cell>
          <cell r="F177">
            <v>20760</v>
          </cell>
          <cell r="G177">
            <v>20760</v>
          </cell>
          <cell r="H177">
            <v>20760</v>
          </cell>
          <cell r="I177">
            <v>20760</v>
          </cell>
          <cell r="J177">
            <v>20760</v>
          </cell>
          <cell r="K177">
            <v>20760</v>
          </cell>
          <cell r="L177">
            <v>485835652.17391312</v>
          </cell>
          <cell r="M177">
            <v>163505000</v>
          </cell>
          <cell r="N177">
            <v>322330652.17391312</v>
          </cell>
        </row>
        <row r="178">
          <cell r="B178">
            <v>399000</v>
          </cell>
          <cell r="C178">
            <v>0</v>
          </cell>
          <cell r="D178">
            <v>399000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t="str">
            <v>Cost of Sales - Toyota Parts &amp; Oil</v>
          </cell>
          <cell r="H179">
            <v>0</v>
          </cell>
          <cell r="I179">
            <v>0</v>
          </cell>
          <cell r="J179">
            <v>0</v>
          </cell>
          <cell r="K179">
            <v>0</v>
          </cell>
          <cell r="L179">
            <v>386134609.9015587</v>
          </cell>
          <cell r="M179">
            <v>134438000</v>
          </cell>
          <cell r="N179">
            <v>-251696609.9015587</v>
          </cell>
        </row>
        <row r="180">
          <cell r="B180">
            <v>14945</v>
          </cell>
          <cell r="C180">
            <v>14945</v>
          </cell>
          <cell r="D180">
            <v>14945</v>
          </cell>
          <cell r="E180">
            <v>14945</v>
          </cell>
          <cell r="F180">
            <v>14945</v>
          </cell>
          <cell r="G180" t="str">
            <v>Cost of Sales - Daihatsu Parts</v>
          </cell>
          <cell r="H180">
            <v>14945</v>
          </cell>
          <cell r="I180">
            <v>14945</v>
          </cell>
          <cell r="J180">
            <v>14945</v>
          </cell>
          <cell r="K180">
            <v>14945</v>
          </cell>
          <cell r="L180">
            <v>27908121.410992622</v>
          </cell>
          <cell r="M180">
            <v>0</v>
          </cell>
          <cell r="N180">
            <v>-27908121.410992622</v>
          </cell>
        </row>
        <row r="181">
          <cell r="B181">
            <v>14945</v>
          </cell>
          <cell r="C181">
            <v>14945</v>
          </cell>
          <cell r="D181">
            <v>14945</v>
          </cell>
          <cell r="E181">
            <v>14945</v>
          </cell>
          <cell r="F181">
            <v>14945</v>
          </cell>
          <cell r="G181">
            <v>14945</v>
          </cell>
          <cell r="H181">
            <v>14945</v>
          </cell>
          <cell r="I181">
            <v>14945</v>
          </cell>
          <cell r="J181">
            <v>14945</v>
          </cell>
          <cell r="K181">
            <v>14945</v>
          </cell>
          <cell r="L181">
            <v>414042731.31255132</v>
          </cell>
          <cell r="M181">
            <v>134438000</v>
          </cell>
          <cell r="N181">
            <v>-279604731.31255132</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t="str">
            <v>Gross Profit - Parts &amp; Oil</v>
          </cell>
          <cell r="H183">
            <v>6689</v>
          </cell>
          <cell r="I183">
            <v>6689</v>
          </cell>
          <cell r="J183">
            <v>6689</v>
          </cell>
          <cell r="K183">
            <v>6689</v>
          </cell>
          <cell r="L183">
            <v>64918433.576702222</v>
          </cell>
          <cell r="M183">
            <v>29067000</v>
          </cell>
          <cell r="N183">
            <v>35851433.576702222</v>
          </cell>
        </row>
        <row r="184">
          <cell r="B184">
            <v>10217</v>
          </cell>
          <cell r="C184">
            <v>10217</v>
          </cell>
          <cell r="D184">
            <v>10217</v>
          </cell>
          <cell r="E184">
            <v>10217</v>
          </cell>
          <cell r="F184">
            <v>10217</v>
          </cell>
          <cell r="G184" t="str">
            <v>Gross Profit - Daihatsu Parts</v>
          </cell>
          <cell r="H184">
            <v>10217</v>
          </cell>
          <cell r="I184">
            <v>10217</v>
          </cell>
          <cell r="J184">
            <v>10217</v>
          </cell>
          <cell r="K184">
            <v>10217</v>
          </cell>
          <cell r="L184">
            <v>6874487.284659557</v>
          </cell>
          <cell r="M184">
            <v>0</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t="str">
            <v xml:space="preserve">              </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t="str">
            <v xml:space="preserve"> </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3">
        <row r="31">
          <cell r="B31">
            <v>520239394.56162417</v>
          </cell>
          <cell r="C31">
            <v>169685518.30003542</v>
          </cell>
          <cell r="D31">
            <v>689924912.86166</v>
          </cell>
          <cell r="E31">
            <v>-4056809.0450671501</v>
          </cell>
          <cell r="F31">
            <v>5990578.2061808193</v>
          </cell>
          <cell r="G31">
            <v>1933769.1611136692</v>
          </cell>
          <cell r="H31">
            <v>516182585.51655704</v>
          </cell>
          <cell r="I31">
            <v>175676096.50621623</v>
          </cell>
          <cell r="J31">
            <v>691858682.02277362</v>
          </cell>
          <cell r="K31">
            <v>357.77728590124383</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v>0</v>
          </cell>
          <cell r="C33">
            <v>35100288</v>
          </cell>
          <cell r="D33">
            <v>35100288</v>
          </cell>
          <cell r="E33">
            <v>0</v>
          </cell>
          <cell r="F33">
            <v>0</v>
          </cell>
          <cell r="G33">
            <v>0</v>
          </cell>
          <cell r="H33">
            <v>0</v>
          </cell>
          <cell r="I33">
            <v>35100288</v>
          </cell>
          <cell r="J33">
            <v>35100288</v>
          </cell>
          <cell r="K33" t="e">
            <v>#DIV/0!</v>
          </cell>
          <cell r="L33">
            <v>0</v>
          </cell>
          <cell r="M33">
            <v>0</v>
          </cell>
          <cell r="N33">
            <v>0</v>
          </cell>
          <cell r="O33">
            <v>0</v>
          </cell>
        </row>
        <row r="34">
          <cell r="B34">
            <v>106800000</v>
          </cell>
          <cell r="C34">
            <v>0</v>
          </cell>
          <cell r="D34">
            <v>106800000</v>
          </cell>
          <cell r="E34">
            <v>11200000.000000004</v>
          </cell>
          <cell r="F34">
            <v>0</v>
          </cell>
          <cell r="G34">
            <v>11200000.000000004</v>
          </cell>
          <cell r="H34">
            <v>118000000</v>
          </cell>
          <cell r="I34">
            <v>0</v>
          </cell>
          <cell r="J34">
            <v>118000000</v>
          </cell>
          <cell r="K34">
            <v>10.535714285714283</v>
          </cell>
          <cell r="L34">
            <v>110</v>
          </cell>
          <cell r="M34">
            <v>110</v>
          </cell>
          <cell r="N34">
            <v>110</v>
          </cell>
          <cell r="O34">
            <v>1100</v>
          </cell>
        </row>
        <row r="35">
          <cell r="B35">
            <v>106800000</v>
          </cell>
          <cell r="C35">
            <v>35100288</v>
          </cell>
          <cell r="D35">
            <v>141900288</v>
          </cell>
          <cell r="E35">
            <v>11200000.000000004</v>
          </cell>
          <cell r="F35">
            <v>0</v>
          </cell>
          <cell r="G35">
            <v>11200000.000000004</v>
          </cell>
          <cell r="H35">
            <v>118000000</v>
          </cell>
          <cell r="I35">
            <v>35100288</v>
          </cell>
          <cell r="J35">
            <v>153100288</v>
          </cell>
          <cell r="K35">
            <v>13.669668571428566</v>
          </cell>
          <cell r="L35">
            <v>0</v>
          </cell>
          <cell r="M35">
            <v>0</v>
          </cell>
          <cell r="N35">
            <v>0</v>
          </cell>
          <cell r="O35">
            <v>0</v>
          </cell>
        </row>
        <row r="36">
          <cell r="B36">
            <v>627039394.56162417</v>
          </cell>
          <cell r="C36">
            <v>204785806.30003542</v>
          </cell>
          <cell r="D36">
            <v>831825200.86166</v>
          </cell>
          <cell r="E36">
            <v>7143190.9549328536</v>
          </cell>
          <cell r="F36">
            <v>5990578.2061808193</v>
          </cell>
          <cell r="G36">
            <v>13133769.161113672</v>
          </cell>
          <cell r="H36">
            <v>634182585.51655698</v>
          </cell>
          <cell r="I36">
            <v>210776384.50621623</v>
          </cell>
          <cell r="J36">
            <v>844958970.02277362</v>
          </cell>
          <cell r="K36">
            <v>64.33484247039452</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v>0</v>
          </cell>
          <cell r="C38">
            <v>0</v>
          </cell>
          <cell r="D38">
            <v>0</v>
          </cell>
          <cell r="E38">
            <v>0</v>
          </cell>
          <cell r="F38">
            <v>0</v>
          </cell>
          <cell r="G38">
            <v>0</v>
          </cell>
          <cell r="H38">
            <v>0</v>
          </cell>
          <cell r="I38">
            <v>0</v>
          </cell>
          <cell r="J38">
            <v>0</v>
          </cell>
          <cell r="K38" t="e">
            <v>#DIV/0!</v>
          </cell>
          <cell r="L38">
            <v>0</v>
          </cell>
          <cell r="M38">
            <v>0</v>
          </cell>
          <cell r="N38">
            <v>40237148</v>
          </cell>
          <cell r="O38">
            <v>0</v>
          </cell>
        </row>
        <row r="39">
          <cell r="B39">
            <v>5836488.6583706383</v>
          </cell>
          <cell r="C39">
            <v>612506.85273003567</v>
          </cell>
          <cell r="D39">
            <v>6448995.511100674</v>
          </cell>
          <cell r="E39">
            <v>731055.11474083434</v>
          </cell>
          <cell r="F39">
            <v>19949.374158492421</v>
          </cell>
          <cell r="G39">
            <v>751004.48889932677</v>
          </cell>
          <cell r="H39">
            <v>6567543.7731114728</v>
          </cell>
          <cell r="I39">
            <v>632456.22688852809</v>
          </cell>
          <cell r="J39">
            <v>7200000.0000000009</v>
          </cell>
          <cell r="K39">
            <v>9.5871597392877526</v>
          </cell>
          <cell r="L39">
            <v>0</v>
          </cell>
          <cell r="M39">
            <v>0</v>
          </cell>
          <cell r="N39">
            <v>11827577</v>
          </cell>
          <cell r="O39">
            <v>127178.24731182796</v>
          </cell>
        </row>
        <row r="40">
          <cell r="B40" t="str">
            <v>Hilux  4 X 2 Std</v>
          </cell>
          <cell r="C40">
            <v>51</v>
          </cell>
          <cell r="D40">
            <v>50</v>
          </cell>
          <cell r="E40">
            <v>44</v>
          </cell>
          <cell r="F40">
            <v>55</v>
          </cell>
          <cell r="G40">
            <v>98</v>
          </cell>
          <cell r="H40">
            <v>0</v>
          </cell>
          <cell r="I40">
            <v>0</v>
          </cell>
          <cell r="J40">
            <v>0</v>
          </cell>
          <cell r="K40">
            <v>280</v>
          </cell>
          <cell r="L40">
            <v>120</v>
          </cell>
          <cell r="M40">
            <v>120</v>
          </cell>
          <cell r="N40">
            <v>128</v>
          </cell>
          <cell r="O40">
            <v>1121</v>
          </cell>
        </row>
        <row r="41">
          <cell r="B41">
            <v>0</v>
          </cell>
          <cell r="C41">
            <v>0</v>
          </cell>
          <cell r="D41">
            <v>0</v>
          </cell>
          <cell r="E41">
            <v>0</v>
          </cell>
          <cell r="F41">
            <v>0</v>
          </cell>
          <cell r="G41">
            <v>0</v>
          </cell>
          <cell r="H41">
            <v>0</v>
          </cell>
          <cell r="I41">
            <v>0</v>
          </cell>
          <cell r="J41">
            <v>0</v>
          </cell>
          <cell r="K41" t="e">
            <v>#DIV/0!</v>
          </cell>
          <cell r="L41">
            <v>0</v>
          </cell>
          <cell r="M41">
            <v>0</v>
          </cell>
          <cell r="N41">
            <v>0</v>
          </cell>
          <cell r="O41">
            <v>1479</v>
          </cell>
        </row>
        <row r="42">
          <cell r="B42">
            <v>4053117.123868498</v>
          </cell>
          <cell r="C42">
            <v>425351.98106252472</v>
          </cell>
          <cell r="D42">
            <v>4478469.104931023</v>
          </cell>
          <cell r="E42">
            <v>507677.16301446839</v>
          </cell>
          <cell r="F42">
            <v>13853.732054508624</v>
          </cell>
          <cell r="G42">
            <v>521530.89506897703</v>
          </cell>
          <cell r="H42">
            <v>4560794.2868829668</v>
          </cell>
          <cell r="I42">
            <v>439205.71311703336</v>
          </cell>
          <cell r="J42">
            <v>5000000</v>
          </cell>
          <cell r="K42">
            <v>9.587159739287749</v>
          </cell>
          <cell r="L42">
            <v>90</v>
          </cell>
          <cell r="M42">
            <v>90</v>
          </cell>
          <cell r="N42">
            <v>-1339815</v>
          </cell>
          <cell r="O42">
            <v>1080</v>
          </cell>
        </row>
        <row r="43">
          <cell r="B43">
            <v>37908415.220867746</v>
          </cell>
          <cell r="C43">
            <v>3936471.5914136693</v>
          </cell>
          <cell r="D43">
            <v>41844886.812281415</v>
          </cell>
          <cell r="E43">
            <v>593061.6888572583</v>
          </cell>
          <cell r="F43">
            <v>0</v>
          </cell>
          <cell r="G43">
            <v>593061.6888572583</v>
          </cell>
          <cell r="H43">
            <v>38501476.909725003</v>
          </cell>
          <cell r="I43">
            <v>3936471.5914136693</v>
          </cell>
          <cell r="J43">
            <v>42437948.501138672</v>
          </cell>
          <cell r="K43">
            <v>71.557393266980853</v>
          </cell>
          <cell r="L43">
            <v>15</v>
          </cell>
          <cell r="M43">
            <v>15</v>
          </cell>
          <cell r="N43">
            <v>-31116214.501138672</v>
          </cell>
          <cell r="O43">
            <v>90</v>
          </cell>
        </row>
        <row r="44">
          <cell r="B44">
            <v>15901056.98866694</v>
          </cell>
          <cell r="C44">
            <v>0</v>
          </cell>
          <cell r="D44">
            <v>15901056.98866694</v>
          </cell>
          <cell r="E44">
            <v>225363.44176575818</v>
          </cell>
          <cell r="F44">
            <v>0</v>
          </cell>
          <cell r="G44">
            <v>225363.44176575818</v>
          </cell>
          <cell r="H44">
            <v>16126420.430432698</v>
          </cell>
          <cell r="I44">
            <v>0</v>
          </cell>
          <cell r="J44">
            <v>16126420.430432698</v>
          </cell>
          <cell r="K44">
            <v>71.557393266980867</v>
          </cell>
          <cell r="L44">
            <v>210</v>
          </cell>
          <cell r="M44">
            <v>210</v>
          </cell>
          <cell r="N44">
            <v>-11824147.430432698</v>
          </cell>
          <cell r="O44">
            <v>2520</v>
          </cell>
        </row>
        <row r="45">
          <cell r="B45">
            <v>63699077.991773814</v>
          </cell>
          <cell r="C45">
            <v>4974330.42520623</v>
          </cell>
          <cell r="D45">
            <v>68673408.416980058</v>
          </cell>
          <cell r="E45">
            <v>2057157.4083783193</v>
          </cell>
          <cell r="F45">
            <v>33803.106213001047</v>
          </cell>
          <cell r="G45">
            <v>2090960.5145913204</v>
          </cell>
          <cell r="H45">
            <v>65756235.400152132</v>
          </cell>
          <cell r="I45">
            <v>5008133.5314192306</v>
          </cell>
          <cell r="J45">
            <v>70764368.931571379</v>
          </cell>
          <cell r="K45">
            <v>33.842996286996993</v>
          </cell>
          <cell r="L45">
            <v>35</v>
          </cell>
          <cell r="M45">
            <v>35</v>
          </cell>
          <cell r="N45">
            <v>35</v>
          </cell>
          <cell r="O45">
            <v>210</v>
          </cell>
        </row>
        <row r="46">
          <cell r="B46">
            <v>563340316.56985033</v>
          </cell>
          <cell r="C46">
            <v>199811475.87482917</v>
          </cell>
          <cell r="D46">
            <v>763151792.44467998</v>
          </cell>
          <cell r="E46">
            <v>5086033.5465545338</v>
          </cell>
          <cell r="F46">
            <v>5956775.0999678187</v>
          </cell>
          <cell r="G46">
            <v>11042808.646522352</v>
          </cell>
          <cell r="H46">
            <v>568426350.11640489</v>
          </cell>
          <cell r="I46">
            <v>205768250.97479698</v>
          </cell>
          <cell r="J46">
            <v>774194601.09120238</v>
          </cell>
          <cell r="K46">
            <v>70.1084865157937</v>
          </cell>
          <cell r="L46">
            <v>1290</v>
          </cell>
          <cell r="M46">
            <v>1280</v>
          </cell>
          <cell r="N46">
            <v>1308</v>
          </cell>
          <cell r="O46">
            <v>16100</v>
          </cell>
        </row>
        <row r="48">
          <cell r="J48">
            <v>-109601463.54879451</v>
          </cell>
        </row>
        <row r="49">
          <cell r="B49">
            <v>0</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v>0</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v>209454211.59944785</v>
          </cell>
          <cell r="C53">
            <v>53135410.076702222</v>
          </cell>
          <cell r="D53">
            <v>262589621.67615008</v>
          </cell>
          <cell r="E53">
            <v>1780111.7412940233</v>
          </cell>
          <cell r="F53">
            <v>1674487.2846595573</v>
          </cell>
          <cell r="G53">
            <v>3454599.0259535806</v>
          </cell>
          <cell r="H53">
            <v>211234323.34074187</v>
          </cell>
          <cell r="I53">
            <v>54809897.361361779</v>
          </cell>
          <cell r="J53">
            <v>266044220.70210367</v>
          </cell>
          <cell r="K53">
            <v>77.011606471077172</v>
          </cell>
          <cell r="L53">
            <v>37352</v>
          </cell>
          <cell r="M53">
            <v>37383</v>
          </cell>
          <cell r="N53">
            <v>37414</v>
          </cell>
        </row>
        <row r="54">
          <cell r="D54">
            <v>290555210.76911294</v>
          </cell>
          <cell r="E54">
            <v>-27965589.092962861</v>
          </cell>
          <cell r="F54">
            <v>1865265.5037923935</v>
          </cell>
          <cell r="G54">
            <v>1589333.5221611871</v>
          </cell>
        </row>
        <row r="55">
          <cell r="B55">
            <v>353886104.97040248</v>
          </cell>
          <cell r="C55">
            <v>146676065.79812694</v>
          </cell>
          <cell r="D55">
            <v>500562170.76852989</v>
          </cell>
          <cell r="E55">
            <v>3305921.8052605102</v>
          </cell>
          <cell r="F55">
            <v>4282287.8153082617</v>
          </cell>
          <cell r="G55">
            <v>7588209.6205687718</v>
          </cell>
          <cell r="H55">
            <v>357192026.77566302</v>
          </cell>
          <cell r="I55">
            <v>150958353.61343521</v>
          </cell>
          <cell r="J55">
            <v>508150380.38909864</v>
          </cell>
          <cell r="K55">
            <v>66.96578057249431</v>
          </cell>
          <cell r="L55">
            <v>718260.86956521741</v>
          </cell>
          <cell r="M55">
            <v>718260.86956521741</v>
          </cell>
          <cell r="N55">
            <v>-377319098.38909864</v>
          </cell>
          <cell r="O55">
            <v>-178312462.63367501</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INDUS MOTOR COMPANY LIMITED</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Parts &amp; Oil Operations - Toyota &amp; Daihatsu</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t="str">
            <v>Budget                  2002 ~ 2003</v>
          </cell>
          <cell r="E60">
            <v>981521.73913043481</v>
          </cell>
          <cell r="F60" t="str">
            <v>Actual                    2001~ 2002</v>
          </cell>
          <cell r="G60">
            <v>981521.73913043481</v>
          </cell>
          <cell r="H60" t="str">
            <v>Variance</v>
          </cell>
          <cell r="I60">
            <v>981521.73913043481</v>
          </cell>
          <cell r="J60">
            <v>981521.73913043481</v>
          </cell>
          <cell r="K60">
            <v>981521.73913043481</v>
          </cell>
          <cell r="L60" t="e">
            <v>#REF!</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t="e">
            <v>#REF!</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t="e">
            <v>#REF!</v>
          </cell>
          <cell r="M62">
            <v>848695.65217391308</v>
          </cell>
          <cell r="N62">
            <v>848695.65217391308</v>
          </cell>
          <cell r="O62">
            <v>10184347.826086957</v>
          </cell>
        </row>
        <row r="63">
          <cell r="B63" t="str">
            <v>Net Sales - Toyota Parts &amp; Oil</v>
          </cell>
          <cell r="C63">
            <v>998913.04347826086</v>
          </cell>
          <cell r="D63">
            <v>451053043.47826093</v>
          </cell>
          <cell r="E63">
            <v>998913.04347826086</v>
          </cell>
          <cell r="F63">
            <v>355186250.62</v>
          </cell>
          <cell r="G63">
            <v>998913.04347826086</v>
          </cell>
          <cell r="H63">
            <v>95866792.85826093</v>
          </cell>
          <cell r="I63">
            <v>998913.04347826086</v>
          </cell>
          <cell r="J63">
            <v>998913.04347826086</v>
          </cell>
          <cell r="K63">
            <v>998913.04347826086</v>
          </cell>
          <cell r="L63" t="e">
            <v>#REF!</v>
          </cell>
          <cell r="M63">
            <v>998913.04347826086</v>
          </cell>
          <cell r="N63">
            <v>998913.04347826086</v>
          </cell>
          <cell r="O63">
            <v>11986956.521739133</v>
          </cell>
        </row>
        <row r="64">
          <cell r="B64" t="str">
            <v>Net Sales - Daihatsu Parts</v>
          </cell>
          <cell r="C64">
            <v>0</v>
          </cell>
          <cell r="D64">
            <v>34782608.695652179</v>
          </cell>
          <cell r="E64">
            <v>0</v>
          </cell>
          <cell r="F64">
            <v>22768749.379999999</v>
          </cell>
          <cell r="G64">
            <v>0</v>
          </cell>
          <cell r="H64">
            <v>12013859.31565218</v>
          </cell>
          <cell r="I64">
            <v>0</v>
          </cell>
          <cell r="J64">
            <v>0</v>
          </cell>
          <cell r="K64">
            <v>0</v>
          </cell>
          <cell r="L64" t="e">
            <v>#REF!</v>
          </cell>
          <cell r="M64">
            <v>0</v>
          </cell>
          <cell r="N64">
            <v>0</v>
          </cell>
          <cell r="O64">
            <v>0</v>
          </cell>
        </row>
        <row r="65">
          <cell r="B65">
            <v>0</v>
          </cell>
          <cell r="C65">
            <v>0</v>
          </cell>
          <cell r="D65">
            <v>485835652.17391312</v>
          </cell>
          <cell r="E65">
            <v>0</v>
          </cell>
          <cell r="F65">
            <v>377955000</v>
          </cell>
          <cell r="G65">
            <v>0</v>
          </cell>
          <cell r="H65">
            <v>107880652.17391311</v>
          </cell>
          <cell r="I65">
            <v>0</v>
          </cell>
          <cell r="J65">
            <v>0</v>
          </cell>
          <cell r="K65">
            <v>0</v>
          </cell>
          <cell r="L65" t="e">
            <v>#REF!</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t="e">
            <v>#REF!</v>
          </cell>
          <cell r="M66">
            <v>674782.60869565222</v>
          </cell>
          <cell r="N66">
            <v>674782.60869565222</v>
          </cell>
          <cell r="O66">
            <v>8097391.3043478271</v>
          </cell>
        </row>
        <row r="67">
          <cell r="B67" t="str">
            <v>Cost of Sales - Toyota Parts &amp; Oil</v>
          </cell>
          <cell r="C67">
            <v>645217.39130434778</v>
          </cell>
          <cell r="D67">
            <v>386134609.9015587</v>
          </cell>
          <cell r="E67">
            <v>645217.39130434778</v>
          </cell>
          <cell r="F67">
            <v>291361624.54000002</v>
          </cell>
          <cell r="G67">
            <v>645217.39130434778</v>
          </cell>
          <cell r="H67">
            <v>-94772985.361558676</v>
          </cell>
          <cell r="I67">
            <v>645217.39130434778</v>
          </cell>
          <cell r="J67">
            <v>645217.39130434778</v>
          </cell>
          <cell r="K67">
            <v>645217.39130434778</v>
          </cell>
          <cell r="L67" t="e">
            <v>#REF!</v>
          </cell>
          <cell r="M67">
            <v>645217.39130434778</v>
          </cell>
          <cell r="N67">
            <v>645217.39130434778</v>
          </cell>
          <cell r="O67">
            <v>7742608.6956521729</v>
          </cell>
        </row>
        <row r="68">
          <cell r="B68" t="str">
            <v>Cost of Sales - Daihatsu Parts</v>
          </cell>
          <cell r="C68">
            <v>297478.26086956525</v>
          </cell>
          <cell r="D68">
            <v>27908121.410992622</v>
          </cell>
          <cell r="E68">
            <v>297478.26086956525</v>
          </cell>
          <cell r="F68">
            <v>18940375.460000001</v>
          </cell>
          <cell r="G68">
            <v>297478.26086956525</v>
          </cell>
          <cell r="H68">
            <v>-8967745.9509926215</v>
          </cell>
          <cell r="I68">
            <v>297478.26086956525</v>
          </cell>
          <cell r="J68">
            <v>297478.26086956525</v>
          </cell>
          <cell r="K68">
            <v>297478.26086956525</v>
          </cell>
          <cell r="L68" t="e">
            <v>#REF!</v>
          </cell>
          <cell r="M68">
            <v>297478.26086956525</v>
          </cell>
          <cell r="N68">
            <v>297478.26086956525</v>
          </cell>
          <cell r="O68">
            <v>3569739.1304347836</v>
          </cell>
        </row>
        <row r="69">
          <cell r="B69" t="str">
            <v>Cuore - Cl+AC</v>
          </cell>
          <cell r="C69">
            <v>323565.21739130432</v>
          </cell>
          <cell r="D69">
            <v>414042731.31255132</v>
          </cell>
          <cell r="E69">
            <v>323565.21739130432</v>
          </cell>
          <cell r="F69">
            <v>310302000</v>
          </cell>
          <cell r="G69">
            <v>323565.21739130432</v>
          </cell>
          <cell r="H69">
            <v>-103740731.31255129</v>
          </cell>
          <cell r="I69">
            <v>323565.21739130432</v>
          </cell>
          <cell r="J69">
            <v>323565.21739130432</v>
          </cell>
          <cell r="K69">
            <v>323565.21739130432</v>
          </cell>
          <cell r="L69" t="e">
            <v>#REF!</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t="e">
            <v>#REF!</v>
          </cell>
          <cell r="M70">
            <v>336956.52173913043</v>
          </cell>
          <cell r="N70">
            <v>336956.52173913043</v>
          </cell>
          <cell r="O70">
            <v>4043478.260869565</v>
          </cell>
        </row>
        <row r="71">
          <cell r="B71" t="str">
            <v>Gross Profit - Parts &amp; Oil</v>
          </cell>
          <cell r="C71">
            <v>363043.47826086957</v>
          </cell>
          <cell r="D71">
            <v>64918433.576702222</v>
          </cell>
          <cell r="E71">
            <v>363043.47826086957</v>
          </cell>
          <cell r="F71">
            <v>63824626.079999983</v>
          </cell>
          <cell r="G71">
            <v>363043.47826086957</v>
          </cell>
          <cell r="H71">
            <v>1093807.4967022389</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6874487.284659557</v>
          </cell>
          <cell r="E72">
            <v>7888217.3913043486</v>
          </cell>
          <cell r="F72">
            <v>3828373.9199999981</v>
          </cell>
          <cell r="G72">
            <v>7888217.3913043486</v>
          </cell>
          <cell r="H72">
            <v>3046113.364659559</v>
          </cell>
          <cell r="I72">
            <v>7888217.3913043486</v>
          </cell>
          <cell r="J72">
            <v>7888217.3913043486</v>
          </cell>
          <cell r="K72">
            <v>7888217.3913043486</v>
          </cell>
          <cell r="L72" t="e">
            <v>#REF!</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t="str">
            <v>ANNEXURE 'B'</v>
          </cell>
          <cell r="K83">
            <v>0</v>
          </cell>
          <cell r="L83">
            <v>0</v>
          </cell>
          <cell r="M83">
            <v>0</v>
          </cell>
          <cell r="N83">
            <v>0</v>
          </cell>
          <cell r="O83">
            <v>0</v>
          </cell>
        </row>
        <row r="84">
          <cell r="B84" t="str">
            <v>TOYOTA</v>
          </cell>
          <cell r="C84">
            <v>78521739.130434781</v>
          </cell>
          <cell r="D84">
            <v>88336956.52173914</v>
          </cell>
          <cell r="E84" t="str">
            <v>DAIHATSU</v>
          </cell>
          <cell r="F84">
            <v>88336956.52173914</v>
          </cell>
          <cell r="G84">
            <v>58891304.347826086</v>
          </cell>
          <cell r="H84" t="str">
            <v>TOTAL &lt; TOYOTA + DAIHATSU&gt;</v>
          </cell>
          <cell r="I84">
            <v>107967391.30434783</v>
          </cell>
          <cell r="J84">
            <v>88336956.52173914</v>
          </cell>
          <cell r="K84">
            <v>88336956.52173914</v>
          </cell>
          <cell r="L84">
            <v>107967391.30434783</v>
          </cell>
          <cell r="M84">
            <v>107967391.30434783</v>
          </cell>
          <cell r="N84">
            <v>107967391.30434783</v>
          </cell>
          <cell r="O84">
            <v>1079673913.0434783</v>
          </cell>
        </row>
        <row r="85">
          <cell r="B85" t="str">
            <v>CKD</v>
          </cell>
          <cell r="C85" t="str">
            <v xml:space="preserve">CBU </v>
          </cell>
          <cell r="D85" t="str">
            <v>Total</v>
          </cell>
          <cell r="E85" t="str">
            <v xml:space="preserve">CKD </v>
          </cell>
          <cell r="F85" t="str">
            <v>Parts</v>
          </cell>
          <cell r="G85" t="str">
            <v>Total</v>
          </cell>
          <cell r="H85" t="str">
            <v xml:space="preserve">CKD </v>
          </cell>
          <cell r="I85" t="str">
            <v xml:space="preserve">CBU </v>
          </cell>
          <cell r="J85" t="str">
            <v>Total</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v>6142</v>
          </cell>
          <cell r="C87">
            <v>193</v>
          </cell>
          <cell r="D87">
            <v>6335</v>
          </cell>
          <cell r="E87">
            <v>1800</v>
          </cell>
          <cell r="F87">
            <v>289684782.60869563</v>
          </cell>
          <cell r="G87">
            <v>1800</v>
          </cell>
          <cell r="H87">
            <v>7942</v>
          </cell>
          <cell r="I87">
            <v>193</v>
          </cell>
          <cell r="J87">
            <v>8135</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5122156956.521739</v>
          </cell>
          <cell r="C89">
            <v>515736956.52173913</v>
          </cell>
          <cell r="D89">
            <v>5637893913.043478</v>
          </cell>
          <cell r="E89">
            <v>585203478.26086962</v>
          </cell>
          <cell r="F89">
            <v>13913043.478260871</v>
          </cell>
          <cell r="G89">
            <v>599116521.7391305</v>
          </cell>
          <cell r="H89">
            <v>5707360434.782609</v>
          </cell>
          <cell r="I89">
            <v>529650000</v>
          </cell>
          <cell r="J89">
            <v>6237010434.782608</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v>4641484998.7717171</v>
          </cell>
          <cell r="C91">
            <v>413794760.17063165</v>
          </cell>
          <cell r="D91">
            <v>5055279758.9423485</v>
          </cell>
          <cell r="E91">
            <v>528027255.178482</v>
          </cell>
          <cell r="F91">
            <v>11163248.564397048</v>
          </cell>
          <cell r="G91">
            <v>539190503.74287903</v>
          </cell>
          <cell r="H91">
            <v>5169512253.9501991</v>
          </cell>
          <cell r="I91">
            <v>424958008.73502868</v>
          </cell>
          <cell r="J91">
            <v>5594470262.6852274</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v>29107106.06535428</v>
          </cell>
          <cell r="C93">
            <v>0</v>
          </cell>
          <cell r="D93">
            <v>29107106.06535428</v>
          </cell>
          <cell r="E93">
            <v>8314774.9346457142</v>
          </cell>
          <cell r="F93">
            <v>0</v>
          </cell>
          <cell r="G93">
            <v>8314774.9346457142</v>
          </cell>
          <cell r="H93">
            <v>37421880.999999993</v>
          </cell>
          <cell r="I93">
            <v>0</v>
          </cell>
          <cell r="J93">
            <v>37421880.999999993</v>
          </cell>
          <cell r="K93">
            <v>4853478.2608695645</v>
          </cell>
          <cell r="L93">
            <v>4853478.2608695645</v>
          </cell>
          <cell r="M93">
            <v>4853478.2608695645</v>
          </cell>
          <cell r="N93">
            <v>4853478.2608695645</v>
          </cell>
          <cell r="O93">
            <v>29120869.565217383</v>
          </cell>
        </row>
        <row r="94">
          <cell r="B94">
            <v>0</v>
          </cell>
          <cell r="C94">
            <v>0</v>
          </cell>
          <cell r="D94">
            <v>0</v>
          </cell>
          <cell r="E94">
            <v>0</v>
          </cell>
          <cell r="F94">
            <v>0</v>
          </cell>
          <cell r="G94">
            <v>0</v>
          </cell>
          <cell r="H94">
            <v>0</v>
          </cell>
          <cell r="I94">
            <v>0</v>
          </cell>
          <cell r="J94">
            <v>0</v>
          </cell>
          <cell r="K94">
            <v>70760869.565217391</v>
          </cell>
          <cell r="L94">
            <v>70760869.565217391</v>
          </cell>
          <cell r="M94">
            <v>70760869.565217391</v>
          </cell>
          <cell r="N94">
            <v>70760869.565217391</v>
          </cell>
          <cell r="O94">
            <v>849130434.78260863</v>
          </cell>
        </row>
        <row r="95">
          <cell r="B95">
            <v>60879500.000000007</v>
          </cell>
          <cell r="C95">
            <v>0</v>
          </cell>
          <cell r="D95">
            <v>60879500.000000007</v>
          </cell>
          <cell r="E95">
            <v>34768000.000000007</v>
          </cell>
          <cell r="F95">
            <v>0</v>
          </cell>
          <cell r="G95">
            <v>34768000.000000007</v>
          </cell>
          <cell r="H95">
            <v>95647500.000000015</v>
          </cell>
          <cell r="I95">
            <v>0</v>
          </cell>
          <cell r="J95">
            <v>95647500.000000015</v>
          </cell>
          <cell r="K95">
            <v>12706521.739130436</v>
          </cell>
          <cell r="L95">
            <v>12706521.739130436</v>
          </cell>
          <cell r="M95">
            <v>12706521.739130436</v>
          </cell>
          <cell r="N95">
            <v>12706521.739130436</v>
          </cell>
          <cell r="O95">
            <v>76239130.434782609</v>
          </cell>
        </row>
        <row r="96">
          <cell r="B96">
            <v>18173743.55535863</v>
          </cell>
          <cell r="C96">
            <v>0</v>
          </cell>
          <cell r="D96">
            <v>18173743.55535863</v>
          </cell>
          <cell r="E96">
            <v>5191535.9446413508</v>
          </cell>
          <cell r="F96">
            <v>0</v>
          </cell>
          <cell r="G96">
            <v>5191535.9446413508</v>
          </cell>
          <cell r="H96">
            <v>23365279.499999981</v>
          </cell>
          <cell r="I96">
            <v>0</v>
          </cell>
          <cell r="J96">
            <v>23365279.499999981</v>
          </cell>
          <cell r="K96">
            <v>978389565.21739137</v>
          </cell>
          <cell r="L96">
            <v>937367826.0869565</v>
          </cell>
          <cell r="M96">
            <v>926074347.826087</v>
          </cell>
          <cell r="N96">
            <v>949948695.652174</v>
          </cell>
          <cell r="O96">
            <v>11552113913.043478</v>
          </cell>
        </row>
        <row r="97">
          <cell r="B97">
            <v>0</v>
          </cell>
          <cell r="C97">
            <v>0</v>
          </cell>
          <cell r="D97">
            <v>0</v>
          </cell>
          <cell r="E97">
            <v>0</v>
          </cell>
          <cell r="F97">
            <v>0</v>
          </cell>
          <cell r="G97">
            <v>0</v>
          </cell>
          <cell r="H97">
            <v>0</v>
          </cell>
          <cell r="I97">
            <v>0</v>
          </cell>
          <cell r="J97">
            <v>0</v>
          </cell>
        </row>
        <row r="98">
          <cell r="B98">
            <v>108160349.62071292</v>
          </cell>
          <cell r="C98">
            <v>0</v>
          </cell>
          <cell r="D98">
            <v>108160349.62071292</v>
          </cell>
          <cell r="E98">
            <v>48274310.879287072</v>
          </cell>
          <cell r="F98">
            <v>0</v>
          </cell>
          <cell r="G98">
            <v>48274310.879287072</v>
          </cell>
          <cell r="H98">
            <v>156434660.5</v>
          </cell>
          <cell r="I98">
            <v>0</v>
          </cell>
          <cell r="J98">
            <v>156434660.5</v>
          </cell>
        </row>
        <row r="99">
          <cell r="B99">
            <v>4749645348.3924303</v>
          </cell>
          <cell r="C99">
            <v>413794760.17063165</v>
          </cell>
          <cell r="D99">
            <v>5163440108.5630617</v>
          </cell>
          <cell r="E99">
            <v>576301566.05776906</v>
          </cell>
          <cell r="F99">
            <v>11163248.564397048</v>
          </cell>
          <cell r="G99">
            <v>587464814.62216616</v>
          </cell>
          <cell r="H99">
            <v>5325946914.4501991</v>
          </cell>
          <cell r="I99">
            <v>424958008.73502868</v>
          </cell>
          <cell r="J99">
            <v>5750904923.1852283</v>
          </cell>
          <cell r="K99">
            <v>940037608.69565225</v>
          </cell>
          <cell r="L99">
            <v>957878695.652174</v>
          </cell>
          <cell r="M99">
            <v>931721086.95652175</v>
          </cell>
          <cell r="N99">
            <v>938011521.7391305</v>
          </cell>
          <cell r="O99">
            <v>-11552113913.043478</v>
          </cell>
        </row>
        <row r="100">
          <cell r="B100">
            <v>372511608.1293087</v>
          </cell>
          <cell r="C100">
            <v>93942196.351107478</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v>7.2725535607613842E-2</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v>26131153.932724353</v>
          </cell>
          <cell r="C106">
            <v>2468846.0672756531</v>
          </cell>
          <cell r="D106">
            <v>28600000.000000007</v>
          </cell>
          <cell r="E106">
            <v>16595257.600410657</v>
          </cell>
          <cell r="F106">
            <v>399742.39958934317</v>
          </cell>
          <cell r="G106">
            <v>16995000</v>
          </cell>
          <cell r="H106">
            <v>42726411.533135012</v>
          </cell>
          <cell r="I106">
            <v>2868588.4668649961</v>
          </cell>
          <cell r="J106">
            <v>45595000.000000007</v>
          </cell>
          <cell r="K106">
            <v>186648.19134000002</v>
          </cell>
          <cell r="L106">
            <v>186648.19134000002</v>
          </cell>
          <cell r="M106">
            <v>186648.19134000002</v>
          </cell>
          <cell r="N106">
            <v>186648.19134000002</v>
          </cell>
        </row>
        <row r="107">
          <cell r="B107">
            <v>58338201.244475268</v>
          </cell>
          <cell r="C107">
            <v>5990036.2555247191</v>
          </cell>
          <cell r="D107">
            <v>64328237.499999985</v>
          </cell>
          <cell r="E107">
            <v>0</v>
          </cell>
          <cell r="F107">
            <v>0</v>
          </cell>
          <cell r="G107">
            <v>0</v>
          </cell>
          <cell r="H107">
            <v>58338201.244475268</v>
          </cell>
          <cell r="I107">
            <v>5990036.2555247191</v>
          </cell>
          <cell r="J107">
            <v>64328237.499999985</v>
          </cell>
          <cell r="K107">
            <v>186648.19134000002</v>
          </cell>
          <cell r="L107">
            <v>186648.19134000002</v>
          </cell>
          <cell r="M107">
            <v>186648.19134000002</v>
          </cell>
          <cell r="N107">
            <v>186648.19134000002</v>
          </cell>
        </row>
        <row r="108">
          <cell r="B108">
            <v>16406424.918975938</v>
          </cell>
          <cell r="C108">
            <v>1684575.0810240638</v>
          </cell>
          <cell r="D108">
            <v>18091000</v>
          </cell>
          <cell r="E108">
            <v>0</v>
          </cell>
          <cell r="F108">
            <v>0</v>
          </cell>
          <cell r="G108">
            <v>0</v>
          </cell>
          <cell r="H108">
            <v>16406424.918975938</v>
          </cell>
          <cell r="I108">
            <v>1684575.0810240638</v>
          </cell>
          <cell r="J108">
            <v>18091000</v>
          </cell>
          <cell r="K108">
            <v>225024.45498000004</v>
          </cell>
          <cell r="L108">
            <v>225024.45498000004</v>
          </cell>
          <cell r="M108">
            <v>225024.45498000004</v>
          </cell>
          <cell r="N108">
            <v>225024.45498000004</v>
          </cell>
        </row>
        <row r="109">
          <cell r="B109">
            <v>129507083.75945182</v>
          </cell>
          <cell r="C109">
            <v>13083255.740548166</v>
          </cell>
          <cell r="D109">
            <v>142590339.5</v>
          </cell>
          <cell r="E109">
            <v>16595257.600410657</v>
          </cell>
          <cell r="F109">
            <v>399742.39958934317</v>
          </cell>
          <cell r="G109">
            <v>16995000</v>
          </cell>
          <cell r="H109">
            <v>146102341.35986248</v>
          </cell>
          <cell r="I109">
            <v>13482998.140137509</v>
          </cell>
          <cell r="J109">
            <v>159585339.5</v>
          </cell>
          <cell r="K109">
            <v>271981.38786000002</v>
          </cell>
          <cell r="L109">
            <v>271981.38786000002</v>
          </cell>
          <cell r="M109">
            <v>271981.38786000002</v>
          </cell>
          <cell r="N109">
            <v>271981.38786000002</v>
          </cell>
        </row>
        <row r="110">
          <cell r="B110">
            <v>243004524.36985689</v>
          </cell>
          <cell r="C110">
            <v>80858940.610559314</v>
          </cell>
          <cell r="D110">
            <v>323863464.9804163</v>
          </cell>
          <cell r="E110">
            <v>-7693345.3973100949</v>
          </cell>
          <cell r="F110">
            <v>2350052.5142744798</v>
          </cell>
          <cell r="G110">
            <v>-5343292.8830356151</v>
          </cell>
          <cell r="H110">
            <v>235311178.97254679</v>
          </cell>
          <cell r="I110">
            <v>83208993.124833792</v>
          </cell>
          <cell r="J110">
            <v>318520172.0973807</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v>0</v>
          </cell>
          <cell r="C112">
            <v>30097948</v>
          </cell>
          <cell r="D112">
            <v>30097948</v>
          </cell>
          <cell r="E112">
            <v>0</v>
          </cell>
          <cell r="F112">
            <v>0</v>
          </cell>
          <cell r="G112">
            <v>0</v>
          </cell>
          <cell r="H112">
            <v>0</v>
          </cell>
          <cell r="I112">
            <v>30097948</v>
          </cell>
          <cell r="J112">
            <v>30097948</v>
          </cell>
          <cell r="K112">
            <v>320919.44430000003</v>
          </cell>
          <cell r="L112">
            <v>320919.44430000003</v>
          </cell>
          <cell r="M112">
            <v>320919.44430000003</v>
          </cell>
          <cell r="N112">
            <v>320919.44430000003</v>
          </cell>
        </row>
        <row r="113">
          <cell r="B113">
            <v>68400000</v>
          </cell>
          <cell r="C113">
            <v>0</v>
          </cell>
          <cell r="D113">
            <v>68400000</v>
          </cell>
          <cell r="E113">
            <v>5600000</v>
          </cell>
          <cell r="F113">
            <v>0</v>
          </cell>
          <cell r="G113">
            <v>5600000</v>
          </cell>
          <cell r="H113">
            <v>74000000</v>
          </cell>
          <cell r="I113">
            <v>0</v>
          </cell>
          <cell r="J113">
            <v>74000000</v>
          </cell>
          <cell r="K113">
            <v>271367.20806000003</v>
          </cell>
          <cell r="L113">
            <v>271367.20806000003</v>
          </cell>
          <cell r="M113">
            <v>271367.20806000003</v>
          </cell>
          <cell r="N113">
            <v>271367.20806000003</v>
          </cell>
        </row>
        <row r="114">
          <cell r="B114">
            <v>68400000</v>
          </cell>
          <cell r="C114">
            <v>30097948</v>
          </cell>
          <cell r="D114">
            <v>98497948</v>
          </cell>
          <cell r="E114">
            <v>5600000</v>
          </cell>
          <cell r="F114">
            <v>0</v>
          </cell>
          <cell r="G114">
            <v>5600000</v>
          </cell>
          <cell r="H114">
            <v>74000000</v>
          </cell>
          <cell r="I114">
            <v>30097948</v>
          </cell>
          <cell r="J114">
            <v>104097948</v>
          </cell>
          <cell r="K114">
            <v>271367.20806000003</v>
          </cell>
          <cell r="L114">
            <v>271367.20806000003</v>
          </cell>
          <cell r="M114">
            <v>271367.20806000003</v>
          </cell>
          <cell r="N114">
            <v>271367.20806000003</v>
          </cell>
        </row>
        <row r="115">
          <cell r="B115">
            <v>311404524.36985689</v>
          </cell>
          <cell r="C115">
            <v>110956888.61055931</v>
          </cell>
          <cell r="D115">
            <v>422361412.9804163</v>
          </cell>
          <cell r="E115">
            <v>-2093345.3973100949</v>
          </cell>
          <cell r="F115">
            <v>2350052.5142744798</v>
          </cell>
          <cell r="G115">
            <v>256707.11696438491</v>
          </cell>
          <cell r="H115">
            <v>309311178.97254682</v>
          </cell>
          <cell r="I115">
            <v>113306941.12483379</v>
          </cell>
          <cell r="J115">
            <v>422618120.0973807</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v>0</v>
          </cell>
          <cell r="C117">
            <v>0</v>
          </cell>
          <cell r="D117">
            <v>0</v>
          </cell>
          <cell r="E117">
            <v>0</v>
          </cell>
          <cell r="F117">
            <v>0</v>
          </cell>
          <cell r="G117">
            <v>0</v>
          </cell>
          <cell r="H117">
            <v>0</v>
          </cell>
          <cell r="I117">
            <v>0</v>
          </cell>
          <cell r="J117">
            <v>0</v>
          </cell>
          <cell r="K117">
            <v>373139.95056000008</v>
          </cell>
          <cell r="L117">
            <v>373139.95056000008</v>
          </cell>
          <cell r="M117">
            <v>373139.95056000008</v>
          </cell>
          <cell r="N117">
            <v>373139.95056000008</v>
          </cell>
        </row>
        <row r="118">
          <cell r="B118">
            <v>2948262.3495776374</v>
          </cell>
          <cell r="C118">
            <v>302152.07955382654</v>
          </cell>
          <cell r="D118">
            <v>3250414.4291314641</v>
          </cell>
          <cell r="E118">
            <v>341411.63835720194</v>
          </cell>
          <cell r="F118">
            <v>8173.9325113344839</v>
          </cell>
          <cell r="G118">
            <v>349585.57086853642</v>
          </cell>
          <cell r="H118">
            <v>3289673.9879348394</v>
          </cell>
          <cell r="I118">
            <v>310326.01206516102</v>
          </cell>
          <cell r="J118">
            <v>3600000.0000000005</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0</v>
          </cell>
          <cell r="I119">
            <v>0</v>
          </cell>
          <cell r="J119">
            <v>0</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0</v>
          </cell>
          <cell r="H120">
            <v>0</v>
          </cell>
          <cell r="I120">
            <v>0</v>
          </cell>
          <cell r="J120">
            <v>0</v>
          </cell>
          <cell r="K120">
            <v>134495.40234</v>
          </cell>
          <cell r="L120">
            <v>134495.40234</v>
          </cell>
          <cell r="M120">
            <v>134495.40234</v>
          </cell>
          <cell r="N120">
            <v>134495.40234</v>
          </cell>
        </row>
        <row r="121">
          <cell r="B121">
            <v>2047404.4094289145</v>
          </cell>
          <cell r="C121">
            <v>209827.83302349065</v>
          </cell>
          <cell r="D121">
            <v>2257232.2424524054</v>
          </cell>
          <cell r="E121">
            <v>237091.41552583475</v>
          </cell>
          <cell r="F121">
            <v>5676.3420217600587</v>
          </cell>
          <cell r="G121">
            <v>242767.75754759481</v>
          </cell>
          <cell r="H121">
            <v>2284495.8249547491</v>
          </cell>
          <cell r="I121">
            <v>215504.17504525071</v>
          </cell>
          <cell r="J121">
            <v>2500000</v>
          </cell>
          <cell r="K121">
            <v>134495.40234</v>
          </cell>
          <cell r="L121">
            <v>134495.40234</v>
          </cell>
          <cell r="M121">
            <v>134495.40234</v>
          </cell>
          <cell r="N121">
            <v>134495.40234</v>
          </cell>
        </row>
        <row r="122">
          <cell r="B122">
            <v>19244326.139099281</v>
          </cell>
          <cell r="C122">
            <v>1998362.1763423786</v>
          </cell>
          <cell r="D122">
            <v>21242688.315441661</v>
          </cell>
          <cell r="E122">
            <v>-16782.310572591134</v>
          </cell>
          <cell r="F122">
            <v>0</v>
          </cell>
          <cell r="G122">
            <v>-16782.310572591134</v>
          </cell>
          <cell r="H122">
            <v>19227543.828526691</v>
          </cell>
          <cell r="I122">
            <v>1998362.1763423786</v>
          </cell>
          <cell r="J122">
            <v>21225906.00486907</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v>32312214.457973666</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v>0</v>
          </cell>
          <cell r="C128">
            <v>24201458.568498768</v>
          </cell>
          <cell r="D128">
            <v>24201458.568498768</v>
          </cell>
          <cell r="E128">
            <v>0</v>
          </cell>
          <cell r="F128">
            <v>669794.91386382282</v>
          </cell>
          <cell r="G128">
            <v>669794.91386382282</v>
          </cell>
          <cell r="H128">
            <v>0</v>
          </cell>
          <cell r="I128">
            <v>24871253.482362591</v>
          </cell>
          <cell r="J128">
            <v>24871253.482362591</v>
          </cell>
          <cell r="K128">
            <v>70457.540606837661</v>
          </cell>
          <cell r="L128">
            <v>70457.540606837661</v>
          </cell>
          <cell r="M128">
            <v>70457.540606837661</v>
          </cell>
          <cell r="N128">
            <v>70457.540606837661</v>
          </cell>
          <cell r="O128">
            <v>0</v>
          </cell>
        </row>
        <row r="129">
          <cell r="B129">
            <v>108216590.26915957</v>
          </cell>
          <cell r="C129">
            <v>1260567</v>
          </cell>
          <cell r="D129">
            <v>109477157.26915957</v>
          </cell>
          <cell r="E129">
            <v>-927041.10191104526</v>
          </cell>
          <cell r="F129">
            <v>0</v>
          </cell>
          <cell r="G129">
            <v>-927041.10191104526</v>
          </cell>
          <cell r="H129">
            <v>107289549.16724853</v>
          </cell>
          <cell r="I129">
            <v>1260567</v>
          </cell>
          <cell r="J129">
            <v>108550116.16724853</v>
          </cell>
          <cell r="K129">
            <v>70457.540606837661</v>
          </cell>
          <cell r="L129">
            <v>70457.540606837661</v>
          </cell>
          <cell r="M129">
            <v>70457.540606837661</v>
          </cell>
          <cell r="N129">
            <v>70457.540606837661</v>
          </cell>
          <cell r="O129">
            <v>0</v>
          </cell>
        </row>
        <row r="130">
          <cell r="B130">
            <v>0</v>
          </cell>
          <cell r="C130">
            <v>0</v>
          </cell>
          <cell r="D130">
            <v>0</v>
          </cell>
          <cell r="E130">
            <v>0</v>
          </cell>
          <cell r="F130">
            <v>0</v>
          </cell>
          <cell r="G130">
            <v>0</v>
          </cell>
          <cell r="H130">
            <v>0</v>
          </cell>
          <cell r="I130">
            <v>0</v>
          </cell>
          <cell r="J130">
            <v>0</v>
          </cell>
          <cell r="K130">
            <v>84841.334002636053</v>
          </cell>
          <cell r="L130">
            <v>84841.334002636053</v>
          </cell>
          <cell r="M130">
            <v>84841.334002636053</v>
          </cell>
          <cell r="N130">
            <v>84841.334002636053</v>
          </cell>
          <cell r="O130" t="e">
            <v>#REF!</v>
          </cell>
        </row>
        <row r="131">
          <cell r="B131">
            <v>0</v>
          </cell>
          <cell r="C131">
            <v>0</v>
          </cell>
          <cell r="D131">
            <v>0</v>
          </cell>
          <cell r="E131">
            <v>0</v>
          </cell>
          <cell r="F131">
            <v>0</v>
          </cell>
          <cell r="G131">
            <v>0</v>
          </cell>
          <cell r="H131">
            <v>0</v>
          </cell>
          <cell r="I131">
            <v>0</v>
          </cell>
          <cell r="J131">
            <v>0</v>
          </cell>
          <cell r="K131">
            <v>102441.24491064579</v>
          </cell>
          <cell r="L131">
            <v>102441.24491064579</v>
          </cell>
          <cell r="M131">
            <v>102441.24491064579</v>
          </cell>
          <cell r="N131">
            <v>102441.24491064579</v>
          </cell>
          <cell r="O131">
            <v>0</v>
          </cell>
        </row>
        <row r="132">
          <cell r="B132">
            <v>108216590.26915957</v>
          </cell>
          <cell r="C132">
            <v>25462025.568498768</v>
          </cell>
          <cell r="D132">
            <v>133678615.83765835</v>
          </cell>
          <cell r="E132">
            <v>-927041.10191104526</v>
          </cell>
          <cell r="F132">
            <v>669794.91386382282</v>
          </cell>
          <cell r="G132">
            <v>-257246.18804722244</v>
          </cell>
          <cell r="H132">
            <v>107289549.16724853</v>
          </cell>
          <cell r="I132">
            <v>26131820.482362591</v>
          </cell>
          <cell r="J132">
            <v>133421369.64961113</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v>170875719.64272368</v>
          </cell>
          <cell r="C134">
            <v>82984520.953140855</v>
          </cell>
          <cell r="D134">
            <v>253860240.59586459</v>
          </cell>
          <cell r="E134">
            <v>-1721647.7606919105</v>
          </cell>
          <cell r="F134">
            <v>1666407.3258775626</v>
          </cell>
          <cell r="G134">
            <v>-55240.434814347769</v>
          </cell>
          <cell r="H134">
            <v>169154071.88203177</v>
          </cell>
          <cell r="I134">
            <v>84650928.279018417</v>
          </cell>
          <cell r="J134">
            <v>253805000.16105026</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INDUS MOTOR COMPANY LIMITED</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Parts &amp; Oil Operations - Toyota &amp; Daihatsu</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t="str">
            <v>Budget                  2001 ~ 2002</v>
          </cell>
          <cell r="E139">
            <v>83409.564184176721</v>
          </cell>
          <cell r="F139" t="str">
            <v>Actual                    2000~ 2001</v>
          </cell>
          <cell r="G139">
            <v>83409.564184176721</v>
          </cell>
          <cell r="H139" t="str">
            <v>Variance</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Net Sales - Toyota Parts &amp; Oil</v>
          </cell>
          <cell r="C142">
            <v>50910.172759156616</v>
          </cell>
          <cell r="D142">
            <v>451053043.47826093</v>
          </cell>
          <cell r="E142">
            <v>50910.172759156616</v>
          </cell>
          <cell r="F142">
            <v>163505000</v>
          </cell>
          <cell r="G142">
            <v>50910.172759156616</v>
          </cell>
          <cell r="H142">
            <v>287548043.47826093</v>
          </cell>
          <cell r="I142">
            <v>50910.172759156616</v>
          </cell>
          <cell r="J142">
            <v>50910.172759156616</v>
          </cell>
          <cell r="K142">
            <v>50910.172759156616</v>
          </cell>
          <cell r="L142">
            <v>50910.172759156616</v>
          </cell>
          <cell r="M142">
            <v>50910.172759156616</v>
          </cell>
          <cell r="N142">
            <v>50910.172759156616</v>
          </cell>
          <cell r="O142">
            <v>0</v>
          </cell>
        </row>
        <row r="143">
          <cell r="B143" t="str">
            <v>Net Sales - Daihatsu Parts</v>
          </cell>
          <cell r="C143">
            <v>50910.172759156616</v>
          </cell>
          <cell r="D143">
            <v>34782608.695652179</v>
          </cell>
          <cell r="E143">
            <v>50910.172759156616</v>
          </cell>
          <cell r="F143">
            <v>0</v>
          </cell>
          <cell r="G143">
            <v>50910.172759156616</v>
          </cell>
          <cell r="H143">
            <v>34782608.695652179</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485835652.17391312</v>
          </cell>
          <cell r="E144">
            <v>50910.172759156616</v>
          </cell>
          <cell r="F144">
            <v>163505000</v>
          </cell>
          <cell r="G144">
            <v>50910.172759156616</v>
          </cell>
          <cell r="H144">
            <v>322330652.17391312</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Cost of Sales - Daihatsu Parts</v>
          </cell>
          <cell r="D147">
            <v>27908121.410992622</v>
          </cell>
          <cell r="F147">
            <v>0</v>
          </cell>
          <cell r="H147">
            <v>-27908121.410992622</v>
          </cell>
        </row>
        <row r="148">
          <cell r="B148" t="str">
            <v>Product</v>
          </cell>
          <cell r="C148">
            <v>35977</v>
          </cell>
          <cell r="D148">
            <v>414042731.31255132</v>
          </cell>
          <cell r="E148">
            <v>36039</v>
          </cell>
          <cell r="F148">
            <v>134438000</v>
          </cell>
          <cell r="G148">
            <v>36101</v>
          </cell>
          <cell r="H148">
            <v>-279604731.31255132</v>
          </cell>
          <cell r="I148">
            <v>36163</v>
          </cell>
          <cell r="J148">
            <v>36194</v>
          </cell>
          <cell r="K148">
            <v>36225</v>
          </cell>
          <cell r="L148">
            <v>36256</v>
          </cell>
          <cell r="M148">
            <v>36287</v>
          </cell>
          <cell r="N148">
            <v>36318</v>
          </cell>
        </row>
        <row r="150">
          <cell r="B150" t="str">
            <v>Gross Profit - Parts &amp; Oil</v>
          </cell>
          <cell r="C150">
            <v>261146.48864729228</v>
          </cell>
          <cell r="D150">
            <v>64918433.576702222</v>
          </cell>
          <cell r="E150">
            <v>261146.48864729228</v>
          </cell>
          <cell r="F150">
            <v>29067000</v>
          </cell>
          <cell r="G150">
            <v>257105.73194683768</v>
          </cell>
          <cell r="H150">
            <v>35851433.576702222</v>
          </cell>
          <cell r="I150">
            <v>257105.73194683768</v>
          </cell>
          <cell r="J150">
            <v>257105.73194683768</v>
          </cell>
          <cell r="K150">
            <v>257105.73194683768</v>
          </cell>
          <cell r="L150">
            <v>257105.73194683768</v>
          </cell>
          <cell r="M150">
            <v>257105.73194683768</v>
          </cell>
          <cell r="N150">
            <v>257105.73194683768</v>
          </cell>
        </row>
        <row r="151">
          <cell r="B151" t="str">
            <v>Gross Profit - Daihatsu Parts</v>
          </cell>
          <cell r="C151">
            <v>261146.48864729228</v>
          </cell>
          <cell r="D151">
            <v>6874487.284659557</v>
          </cell>
          <cell r="E151">
            <v>261146.48864729228</v>
          </cell>
          <cell r="F151">
            <v>0</v>
          </cell>
          <cell r="G151">
            <v>257105.73194683768</v>
          </cell>
          <cell r="H151">
            <v>6874487.284659557</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Total Gross Profit Parts &amp; Oil</v>
          </cell>
          <cell r="C153">
            <v>380307.31398791802</v>
          </cell>
          <cell r="D153">
            <v>71792920.861361772</v>
          </cell>
          <cell r="E153">
            <v>380307.31398791802</v>
          </cell>
          <cell r="F153">
            <v>29067000</v>
          </cell>
          <cell r="G153">
            <v>374422.63277064578</v>
          </cell>
          <cell r="H153">
            <v>42725920.861361779</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t="str">
            <v>ANNEXURE 'B'</v>
          </cell>
          <cell r="K163">
            <v>185405.57509915662</v>
          </cell>
          <cell r="L163">
            <v>185405.57509915662</v>
          </cell>
          <cell r="M163">
            <v>185405.57509915662</v>
          </cell>
          <cell r="N163">
            <v>185405.57509915662</v>
          </cell>
        </row>
        <row r="164">
          <cell r="B164" t="str">
            <v>TOYOTA</v>
          </cell>
          <cell r="C164">
            <v>185405.57509915662</v>
          </cell>
          <cell r="D164">
            <v>185405.57509915662</v>
          </cell>
          <cell r="E164" t="str">
            <v>DAIHATSU</v>
          </cell>
          <cell r="F164">
            <v>185405.57509915662</v>
          </cell>
          <cell r="G164">
            <v>185405.57509915662</v>
          </cell>
          <cell r="H164" t="str">
            <v>TOTAL &lt; TOYOTA + DAIHATSU&gt;</v>
          </cell>
          <cell r="I164">
            <v>185405.57509915662</v>
          </cell>
          <cell r="J164">
            <v>185405.57509915662</v>
          </cell>
          <cell r="K164">
            <v>185405.57509915662</v>
          </cell>
          <cell r="L164">
            <v>185405.57509915662</v>
          </cell>
          <cell r="M164">
            <v>185405.57509915662</v>
          </cell>
          <cell r="N164">
            <v>185405.57509915662</v>
          </cell>
        </row>
        <row r="165">
          <cell r="B165" t="str">
            <v>CKD</v>
          </cell>
          <cell r="C165" t="str">
            <v xml:space="preserve">CBU </v>
          </cell>
          <cell r="D165" t="str">
            <v>Total</v>
          </cell>
          <cell r="E165" t="str">
            <v xml:space="preserve">CKD </v>
          </cell>
          <cell r="F165" t="str">
            <v>Parts</v>
          </cell>
          <cell r="G165" t="str">
            <v>Total</v>
          </cell>
          <cell r="H165" t="str">
            <v xml:space="preserve">CKD </v>
          </cell>
          <cell r="I165" t="str">
            <v xml:space="preserve">CBU </v>
          </cell>
          <cell r="J165" t="str">
            <v>Total</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v>5154190000</v>
          </cell>
          <cell r="C169">
            <v>551375652.173913</v>
          </cell>
          <cell r="D169">
            <v>5705565652.173913</v>
          </cell>
          <cell r="E169">
            <v>690563478.2608695</v>
          </cell>
          <cell r="F169">
            <v>20869565.217391305</v>
          </cell>
          <cell r="G169">
            <v>711433043.47826076</v>
          </cell>
          <cell r="H169">
            <v>5844753478.26087</v>
          </cell>
          <cell r="I169">
            <v>572245217.39130425</v>
          </cell>
          <cell r="J169">
            <v>6416998695.652174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v>4644977083.4410305</v>
          </cell>
          <cell r="C171">
            <v>441226431.73092699</v>
          </cell>
          <cell r="D171">
            <v>5086203515.171957</v>
          </cell>
          <cell r="E171">
            <v>622631797.70822895</v>
          </cell>
          <cell r="F171">
            <v>16744872.84659557</v>
          </cell>
          <cell r="G171">
            <v>639376670.55482447</v>
          </cell>
          <cell r="H171">
            <v>5267608881.1492596</v>
          </cell>
          <cell r="I171">
            <v>457971304.57752258</v>
          </cell>
          <cell r="J171">
            <v>5725580185.7267818</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v>29107106.065354288</v>
          </cell>
          <cell r="C173">
            <v>0</v>
          </cell>
          <cell r="D173">
            <v>29107106.065354288</v>
          </cell>
          <cell r="E173">
            <v>8314774.9346457142</v>
          </cell>
          <cell r="F173">
            <v>0</v>
          </cell>
          <cell r="G173">
            <v>8314774.9346457142</v>
          </cell>
          <cell r="H173">
            <v>37421881</v>
          </cell>
          <cell r="I173">
            <v>0</v>
          </cell>
          <cell r="J173">
            <v>37421881</v>
          </cell>
          <cell r="K173">
            <v>41186489.604771033</v>
          </cell>
          <cell r="L173">
            <v>48674942.260183953</v>
          </cell>
          <cell r="M173">
            <v>48674942.260183953</v>
          </cell>
          <cell r="N173">
            <v>48674942.260183953</v>
          </cell>
          <cell r="O173">
            <v>488455980.1548484</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v>60879500.000000007</v>
          </cell>
          <cell r="C175">
            <v>0</v>
          </cell>
          <cell r="D175">
            <v>60879500.000000007</v>
          </cell>
          <cell r="E175">
            <v>34768000</v>
          </cell>
          <cell r="F175">
            <v>0</v>
          </cell>
          <cell r="G175">
            <v>34768000</v>
          </cell>
          <cell r="H175">
            <v>95647500</v>
          </cell>
          <cell r="I175">
            <v>0</v>
          </cell>
          <cell r="J175">
            <v>95647500</v>
          </cell>
          <cell r="K175">
            <v>39753282.988667354</v>
          </cell>
          <cell r="L175">
            <v>48587345.875037879</v>
          </cell>
          <cell r="M175">
            <v>48587345.875037879</v>
          </cell>
          <cell r="N175">
            <v>48587345.875037879</v>
          </cell>
          <cell r="O175">
            <v>485873458.75037885</v>
          </cell>
        </row>
        <row r="176">
          <cell r="B176">
            <v>18173743.55535863</v>
          </cell>
          <cell r="C176">
            <v>0</v>
          </cell>
          <cell r="D176">
            <v>18173743.55535863</v>
          </cell>
          <cell r="E176">
            <v>5191535.9446413508</v>
          </cell>
          <cell r="F176">
            <v>0</v>
          </cell>
          <cell r="G176">
            <v>5191535.9446413508</v>
          </cell>
          <cell r="H176">
            <v>23365279.499999981</v>
          </cell>
          <cell r="I176">
            <v>0</v>
          </cell>
          <cell r="J176">
            <v>23365279.499999981</v>
          </cell>
          <cell r="K176">
            <v>0</v>
          </cell>
          <cell r="L176">
            <v>0</v>
          </cell>
          <cell r="M176">
            <v>0</v>
          </cell>
          <cell r="N176">
            <v>0</v>
          </cell>
          <cell r="O176">
            <v>0</v>
          </cell>
        </row>
        <row r="177">
          <cell r="B177">
            <v>0</v>
          </cell>
          <cell r="C177">
            <v>0</v>
          </cell>
          <cell r="D177">
            <v>0</v>
          </cell>
          <cell r="E177">
            <v>0</v>
          </cell>
          <cell r="F177">
            <v>0</v>
          </cell>
          <cell r="G177">
            <v>0</v>
          </cell>
          <cell r="H177">
            <v>0</v>
          </cell>
          <cell r="I177">
            <v>0</v>
          </cell>
          <cell r="J177">
            <v>0</v>
          </cell>
          <cell r="K177">
            <v>56036737.869529754</v>
          </cell>
          <cell r="L177">
            <v>59772520.394165069</v>
          </cell>
          <cell r="M177">
            <v>56036737.869529754</v>
          </cell>
          <cell r="N177">
            <v>59772520.394165069</v>
          </cell>
          <cell r="O177">
            <v>690257223.07793915</v>
          </cell>
        </row>
        <row r="178">
          <cell r="B178">
            <v>108160349.62071292</v>
          </cell>
          <cell r="C178">
            <v>0</v>
          </cell>
          <cell r="D178">
            <v>108160349.62071292</v>
          </cell>
          <cell r="E178">
            <v>48274310.879287064</v>
          </cell>
          <cell r="F178">
            <v>0</v>
          </cell>
          <cell r="G178">
            <v>48274310.879287064</v>
          </cell>
          <cell r="H178">
            <v>156434660.5</v>
          </cell>
          <cell r="I178">
            <v>0</v>
          </cell>
          <cell r="J178">
            <v>156434660.5</v>
          </cell>
          <cell r="K178">
            <v>89658780.591247603</v>
          </cell>
          <cell r="L178">
            <v>97130345.640518233</v>
          </cell>
          <cell r="M178">
            <v>93394563.115882918</v>
          </cell>
          <cell r="N178">
            <v>97130345.640518233</v>
          </cell>
          <cell r="O178">
            <v>1102776513.863663</v>
          </cell>
        </row>
        <row r="179">
          <cell r="B179">
            <v>4753137433.0617437</v>
          </cell>
          <cell r="C179">
            <v>441226431.73092699</v>
          </cell>
          <cell r="D179">
            <v>5194363864.7926702</v>
          </cell>
          <cell r="E179">
            <v>670906108.58751607</v>
          </cell>
          <cell r="F179">
            <v>16744872.84659557</v>
          </cell>
          <cell r="G179">
            <v>687650981.4341116</v>
          </cell>
          <cell r="H179">
            <v>5424043541.6492596</v>
          </cell>
          <cell r="I179">
            <v>457971304.57752258</v>
          </cell>
          <cell r="J179">
            <v>5882014846.2267818</v>
          </cell>
          <cell r="K179">
            <v>0</v>
          </cell>
          <cell r="L179">
            <v>0</v>
          </cell>
          <cell r="M179">
            <v>0</v>
          </cell>
          <cell r="N179">
            <v>0</v>
          </cell>
          <cell r="O179">
            <v>0</v>
          </cell>
        </row>
        <row r="180">
          <cell r="B180">
            <v>401052566.93825626</v>
          </cell>
          <cell r="C180">
            <v>102149220.44298601</v>
          </cell>
          <cell r="D180">
            <v>503201787.38124275</v>
          </cell>
          <cell r="E180">
            <v>19657369.673353434</v>
          </cell>
          <cell r="F180">
            <v>4124692.3707957342</v>
          </cell>
          <cell r="G180">
            <v>23782062.044149168</v>
          </cell>
          <cell r="H180">
            <v>420709936.6116097</v>
          </cell>
          <cell r="I180">
            <v>106273912.81378174</v>
          </cell>
          <cell r="J180">
            <v>526983849.42539191</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v>7.7810978434682515E-2</v>
          </cell>
          <cell r="C182">
            <v>0.18526247947337082</v>
          </cell>
          <cell r="D182">
            <v>8.8194899166485749E-2</v>
          </cell>
          <cell r="E182">
            <v>2.8465695467792464E-2</v>
          </cell>
          <cell r="F182">
            <v>0.02</v>
          </cell>
          <cell r="G182">
            <v>3.3428391135554382E-2</v>
          </cell>
          <cell r="H182">
            <v>7.1980783822005373E-2</v>
          </cell>
          <cell r="I182">
            <v>0.18571393798318298</v>
          </cell>
          <cell r="J182">
            <v>8.212310371551873E-2</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v>28506425.807374209</v>
          </cell>
          <cell r="C185">
            <v>3064676.1926257876</v>
          </cell>
          <cell r="D185">
            <v>31571101.999999996</v>
          </cell>
          <cell r="E185">
            <v>0</v>
          </cell>
          <cell r="F185">
            <v>0</v>
          </cell>
          <cell r="G185">
            <v>0</v>
          </cell>
          <cell r="H185">
            <v>28506425.807374209</v>
          </cell>
          <cell r="I185">
            <v>3064676.1926257876</v>
          </cell>
          <cell r="J185">
            <v>31571101.999999996</v>
          </cell>
          <cell r="K185">
            <v>38935170.77082289</v>
          </cell>
          <cell r="L185">
            <v>38935170.77082289</v>
          </cell>
          <cell r="M185">
            <v>38935170.77082289</v>
          </cell>
          <cell r="N185">
            <v>38935170.77082289</v>
          </cell>
          <cell r="O185">
            <v>467222049.24987465</v>
          </cell>
        </row>
        <row r="186">
          <cell r="B186">
            <v>20892649.793293718</v>
          </cell>
          <cell r="C186">
            <v>2257350.206706279</v>
          </cell>
          <cell r="D186">
            <v>23149999.999999996</v>
          </cell>
          <cell r="E186">
            <v>16020833.321110606</v>
          </cell>
          <cell r="F186">
            <v>484166.67888939416</v>
          </cell>
          <cell r="G186">
            <v>16505000</v>
          </cell>
          <cell r="H186">
            <v>36913483.114404321</v>
          </cell>
          <cell r="I186">
            <v>2741516.8855956732</v>
          </cell>
          <cell r="J186">
            <v>39655000</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1756133.092876933</v>
          </cell>
          <cell r="D188">
            <v>18091000</v>
          </cell>
          <cell r="E188">
            <v>0</v>
          </cell>
          <cell r="F188">
            <v>0</v>
          </cell>
          <cell r="G188">
            <v>0</v>
          </cell>
          <cell r="H188">
            <v>16334866.907123068</v>
          </cell>
          <cell r="I188">
            <v>1756133.092876933</v>
          </cell>
          <cell r="J188">
            <v>18091000</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4">
        <row r="31">
          <cell r="B31">
            <v>0</v>
          </cell>
          <cell r="C31">
            <v>0</v>
          </cell>
          <cell r="D31">
            <v>0</v>
          </cell>
          <cell r="E31">
            <v>0</v>
          </cell>
          <cell r="F31">
            <v>0</v>
          </cell>
          <cell r="G31">
            <v>0</v>
          </cell>
          <cell r="H31">
            <v>0</v>
          </cell>
          <cell r="I31">
            <v>0</v>
          </cell>
          <cell r="J31">
            <v>0</v>
          </cell>
          <cell r="K31">
            <v>0</v>
          </cell>
        </row>
        <row r="32">
          <cell r="B32">
            <v>0</v>
          </cell>
          <cell r="C32">
            <v>0</v>
          </cell>
          <cell r="D32">
            <v>0</v>
          </cell>
          <cell r="E32">
            <v>0</v>
          </cell>
          <cell r="F32">
            <v>0</v>
          </cell>
          <cell r="G32">
            <v>0</v>
          </cell>
          <cell r="H32">
            <v>0</v>
          </cell>
          <cell r="I32">
            <v>0</v>
          </cell>
          <cell r="J32">
            <v>0</v>
          </cell>
          <cell r="K32">
            <v>0</v>
          </cell>
        </row>
        <row r="34">
          <cell r="B34">
            <v>0</v>
          </cell>
          <cell r="C34">
            <v>0</v>
          </cell>
          <cell r="D34">
            <v>0</v>
          </cell>
          <cell r="E34">
            <v>0</v>
          </cell>
          <cell r="F34">
            <v>0</v>
          </cell>
          <cell r="G34">
            <v>0</v>
          </cell>
          <cell r="H34">
            <v>0</v>
          </cell>
          <cell r="I34">
            <v>0</v>
          </cell>
          <cell r="J34">
            <v>0</v>
          </cell>
          <cell r="K34">
            <v>0</v>
          </cell>
        </row>
        <row r="35">
          <cell r="B35">
            <v>0</v>
          </cell>
          <cell r="C35">
            <v>0</v>
          </cell>
          <cell r="D35">
            <v>0</v>
          </cell>
          <cell r="E35">
            <v>0</v>
          </cell>
          <cell r="F35">
            <v>0</v>
          </cell>
          <cell r="G35">
            <v>0</v>
          </cell>
          <cell r="H35">
            <v>0</v>
          </cell>
          <cell r="I35">
            <v>0</v>
          </cell>
          <cell r="J35">
            <v>0</v>
          </cell>
          <cell r="K35">
            <v>0</v>
          </cell>
        </row>
        <row r="36">
          <cell r="B36">
            <v>106800</v>
          </cell>
          <cell r="C36">
            <v>11200.000000000004</v>
          </cell>
          <cell r="D36">
            <v>118000</v>
          </cell>
          <cell r="E36">
            <v>35100.288</v>
          </cell>
          <cell r="F36">
            <v>0</v>
          </cell>
          <cell r="G36">
            <v>0</v>
          </cell>
          <cell r="H36">
            <v>0</v>
          </cell>
          <cell r="I36">
            <v>0</v>
          </cell>
          <cell r="J36">
            <v>35100.288</v>
          </cell>
          <cell r="K36">
            <v>153100.288</v>
          </cell>
        </row>
        <row r="38">
          <cell r="B38">
            <v>627039.39456162462</v>
          </cell>
          <cell r="C38">
            <v>7143.1909549328666</v>
          </cell>
          <cell r="D38">
            <v>634182.58551655745</v>
          </cell>
          <cell r="E38">
            <v>139867.3727233331</v>
          </cell>
          <cell r="F38">
            <v>8790.8699999999953</v>
          </cell>
          <cell r="G38">
            <v>56127.563576702261</v>
          </cell>
          <cell r="H38">
            <v>5990.5782061808159</v>
          </cell>
          <cell r="I38">
            <v>70909.011782883041</v>
          </cell>
          <cell r="J38">
            <v>210776.38450621627</v>
          </cell>
          <cell r="K38">
            <v>844958.97002277221</v>
          </cell>
        </row>
        <row r="41">
          <cell r="B41">
            <v>0</v>
          </cell>
          <cell r="C41">
            <v>0</v>
          </cell>
          <cell r="D41">
            <v>0</v>
          </cell>
          <cell r="E41">
            <v>0</v>
          </cell>
          <cell r="F41">
            <v>0</v>
          </cell>
          <cell r="G41">
            <v>0</v>
          </cell>
          <cell r="H41">
            <v>0</v>
          </cell>
          <cell r="I41">
            <v>0</v>
          </cell>
          <cell r="J41">
            <v>0</v>
          </cell>
          <cell r="K41">
            <v>0</v>
          </cell>
        </row>
        <row r="42">
          <cell r="B42">
            <v>5836.4886583706384</v>
          </cell>
          <cell r="C42">
            <v>731.05511474083437</v>
          </cell>
          <cell r="D42">
            <v>6567.5437731114725</v>
          </cell>
          <cell r="E42">
            <v>612.50685273003569</v>
          </cell>
          <cell r="F42">
            <v>0</v>
          </cell>
          <cell r="G42">
            <v>0</v>
          </cell>
          <cell r="H42">
            <v>19.949374158492422</v>
          </cell>
          <cell r="I42">
            <v>19.949374158492422</v>
          </cell>
          <cell r="J42">
            <v>632.45622688852814</v>
          </cell>
          <cell r="K42">
            <v>7200.0000000000009</v>
          </cell>
        </row>
        <row r="43">
          <cell r="B43">
            <v>4053.1171238684979</v>
          </cell>
          <cell r="C43">
            <v>507.67716301446836</v>
          </cell>
          <cell r="D43">
            <v>4560.7942868829659</v>
          </cell>
          <cell r="E43">
            <v>425.35198106252471</v>
          </cell>
          <cell r="F43">
            <v>0</v>
          </cell>
          <cell r="G43">
            <v>0</v>
          </cell>
          <cell r="H43">
            <v>13.853732054508624</v>
          </cell>
          <cell r="I43">
            <v>13.853732054508624</v>
          </cell>
          <cell r="J43">
            <v>439.20571311703333</v>
          </cell>
          <cell r="K43">
            <v>4999.9999999999991</v>
          </cell>
        </row>
        <row r="44">
          <cell r="B44">
            <v>37908.415220867748</v>
          </cell>
          <cell r="C44">
            <v>593.06168885725833</v>
          </cell>
          <cell r="D44">
            <v>38501.476909725003</v>
          </cell>
          <cell r="E44">
            <v>3936.4715914136691</v>
          </cell>
          <cell r="F44">
            <v>0</v>
          </cell>
          <cell r="G44">
            <v>0</v>
          </cell>
          <cell r="H44">
            <v>0</v>
          </cell>
          <cell r="I44">
            <v>0</v>
          </cell>
          <cell r="J44">
            <v>3936.4715914136691</v>
          </cell>
          <cell r="K44">
            <v>42437.948501138671</v>
          </cell>
        </row>
        <row r="45">
          <cell r="B45">
            <v>15901.05698866694</v>
          </cell>
          <cell r="C45">
            <v>225.36344176575818</v>
          </cell>
          <cell r="D45">
            <v>16126.420430432698</v>
          </cell>
          <cell r="E45">
            <v>0</v>
          </cell>
          <cell r="F45">
            <v>0</v>
          </cell>
          <cell r="G45">
            <v>0</v>
          </cell>
          <cell r="H45">
            <v>0</v>
          </cell>
          <cell r="I45">
            <v>0</v>
          </cell>
          <cell r="J45">
            <v>0</v>
          </cell>
          <cell r="K45">
            <v>16126.420430432698</v>
          </cell>
        </row>
        <row r="46">
          <cell r="B46">
            <v>63699.077991773825</v>
          </cell>
          <cell r="C46">
            <v>2057.1574083783194</v>
          </cell>
          <cell r="D46">
            <v>65756.235400152145</v>
          </cell>
          <cell r="E46">
            <v>4974.3304252062298</v>
          </cell>
          <cell r="F46">
            <v>0</v>
          </cell>
          <cell r="G46">
            <v>0</v>
          </cell>
          <cell r="H46">
            <v>33.803106213001044</v>
          </cell>
          <cell r="I46">
            <v>33.803106213001044</v>
          </cell>
          <cell r="J46">
            <v>5008.1335314192311</v>
          </cell>
          <cell r="K46">
            <v>70764.368931571371</v>
          </cell>
        </row>
        <row r="48">
          <cell r="B48">
            <v>563340.31656985078</v>
          </cell>
          <cell r="C48">
            <v>5086.0335465545468</v>
          </cell>
          <cell r="D48">
            <v>568426.35011640529</v>
          </cell>
          <cell r="E48">
            <v>134893.04229812688</v>
          </cell>
          <cell r="F48">
            <v>8790.8699999999953</v>
          </cell>
          <cell r="G48">
            <v>56127.563576702261</v>
          </cell>
          <cell r="H48">
            <v>5956.7750999678146</v>
          </cell>
          <cell r="I48">
            <v>70875.208676670067</v>
          </cell>
          <cell r="J48">
            <v>205768.25097479703</v>
          </cell>
          <cell r="K48">
            <v>774194.60109120084</v>
          </cell>
        </row>
        <row r="49">
          <cell r="D49">
            <v>0</v>
          </cell>
        </row>
        <row r="50">
          <cell r="B50">
            <v>209454.21159944785</v>
          </cell>
          <cell r="C50">
            <v>1780.1117412940234</v>
          </cell>
          <cell r="D50">
            <v>211234.32334074189</v>
          </cell>
          <cell r="E50">
            <v>30021.042000000016</v>
          </cell>
          <cell r="F50">
            <v>3076.8045000000002</v>
          </cell>
          <cell r="G50">
            <v>20037.56357670221</v>
          </cell>
          <cell r="H50">
            <v>1674.4872846595572</v>
          </cell>
          <cell r="I50">
            <v>24788.855361361766</v>
          </cell>
          <cell r="J50">
            <v>54809.897361361785</v>
          </cell>
          <cell r="K50">
            <v>266044.22070210369</v>
          </cell>
        </row>
        <row r="52">
          <cell r="B52">
            <v>353886.1049704029</v>
          </cell>
          <cell r="C52">
            <v>3305.9218052605233</v>
          </cell>
          <cell r="D52">
            <v>357192.02677566337</v>
          </cell>
          <cell r="E52">
            <v>104872.00029812686</v>
          </cell>
          <cell r="F52">
            <v>5714.0654999999952</v>
          </cell>
          <cell r="G52">
            <v>36090.000000000051</v>
          </cell>
          <cell r="H52">
            <v>4282.2878153082574</v>
          </cell>
          <cell r="I52">
            <v>46086.353315308297</v>
          </cell>
          <cell r="J52">
            <v>150958.35361343523</v>
          </cell>
          <cell r="K52">
            <v>508150.38038909715</v>
          </cell>
        </row>
        <row r="54">
          <cell r="I54" t="str">
            <v xml:space="preserve">               Net profit %</v>
          </cell>
          <cell r="K54">
            <v>4.0208103598008353E-2</v>
          </cell>
        </row>
        <row r="62">
          <cell r="B62" t="str">
            <v>CKD</v>
          </cell>
          <cell r="D62" t="str">
            <v xml:space="preserve">TOTAL OF </v>
          </cell>
          <cell r="E62" t="str">
            <v>TOYOTA</v>
          </cell>
          <cell r="H62" t="str">
            <v xml:space="preserve">Daihatsu </v>
          </cell>
          <cell r="I62" t="str">
            <v>TOTAL                      OF                  PARTS &amp; OIL</v>
          </cell>
          <cell r="J62" t="str">
            <v>TOTAL OF CBU  PARTS &amp; MOTOR OIL</v>
          </cell>
          <cell r="K62" t="str">
            <v>TOTAL OF CKD &amp; CBU</v>
          </cell>
        </row>
        <row r="63">
          <cell r="B63" t="str">
            <v>Toyota</v>
          </cell>
          <cell r="C63" t="str">
            <v>Daihatsu</v>
          </cell>
          <cell r="D63" t="str">
            <v>CKD</v>
          </cell>
          <cell r="E63" t="str">
            <v xml:space="preserve">CBU </v>
          </cell>
          <cell r="F63" t="str">
            <v>Motor Oil</v>
          </cell>
          <cell r="G63" t="str">
            <v xml:space="preserve">Parts </v>
          </cell>
          <cell r="H63" t="str">
            <v>Parts</v>
          </cell>
        </row>
        <row r="66">
          <cell r="B66">
            <v>9477</v>
          </cell>
          <cell r="C66">
            <v>3052</v>
          </cell>
          <cell r="D66">
            <v>12529</v>
          </cell>
          <cell r="J66">
            <v>0</v>
          </cell>
          <cell r="K66">
            <v>12529</v>
          </cell>
        </row>
        <row r="67">
          <cell r="D67">
            <v>0</v>
          </cell>
          <cell r="E67">
            <v>135</v>
          </cell>
          <cell r="J67">
            <v>135</v>
          </cell>
          <cell r="K67">
            <v>135</v>
          </cell>
        </row>
        <row r="68">
          <cell r="D68">
            <v>0</v>
          </cell>
          <cell r="E68">
            <v>316</v>
          </cell>
          <cell r="J68">
            <v>316</v>
          </cell>
          <cell r="K68">
            <v>316</v>
          </cell>
        </row>
        <row r="69">
          <cell r="B69">
            <v>9477</v>
          </cell>
          <cell r="C69">
            <v>3052</v>
          </cell>
          <cell r="D69">
            <v>12529</v>
          </cell>
          <cell r="E69">
            <v>451</v>
          </cell>
          <cell r="J69">
            <v>451</v>
          </cell>
          <cell r="K69">
            <v>12980</v>
          </cell>
        </row>
        <row r="72">
          <cell r="B72">
            <v>7409747</v>
          </cell>
          <cell r="C72">
            <v>1082171</v>
          </cell>
          <cell r="D72">
            <v>8491918</v>
          </cell>
          <cell r="E72">
            <v>208976</v>
          </cell>
          <cell r="F72">
            <v>24908</v>
          </cell>
          <cell r="G72">
            <v>309135</v>
          </cell>
          <cell r="H72">
            <v>19793</v>
          </cell>
          <cell r="I72">
            <v>353836</v>
          </cell>
          <cell r="J72">
            <v>562812</v>
          </cell>
          <cell r="K72">
            <v>9054730</v>
          </cell>
        </row>
        <row r="74">
          <cell r="B74">
            <v>6866121</v>
          </cell>
          <cell r="C74">
            <v>1091642</v>
          </cell>
          <cell r="D74">
            <v>7957763</v>
          </cell>
          <cell r="E74">
            <v>178809</v>
          </cell>
          <cell r="F74">
            <v>20883</v>
          </cell>
          <cell r="G74">
            <v>267780</v>
          </cell>
          <cell r="H74">
            <v>15744</v>
          </cell>
          <cell r="I74">
            <v>304407</v>
          </cell>
          <cell r="J74">
            <v>483216</v>
          </cell>
          <cell r="K74">
            <v>8440979</v>
          </cell>
        </row>
        <row r="76">
          <cell r="B76">
            <v>543626</v>
          </cell>
          <cell r="C76">
            <v>-9471</v>
          </cell>
          <cell r="D76">
            <v>534155</v>
          </cell>
          <cell r="E76">
            <v>30167</v>
          </cell>
          <cell r="F76">
            <v>4025</v>
          </cell>
          <cell r="G76">
            <v>41355</v>
          </cell>
          <cell r="H76">
            <v>4049</v>
          </cell>
          <cell r="I76">
            <v>49429</v>
          </cell>
          <cell r="J76">
            <v>79596</v>
          </cell>
          <cell r="K76">
            <v>613751</v>
          </cell>
        </row>
        <row r="78">
          <cell r="B78">
            <v>7.3366337609097859E-2</v>
          </cell>
          <cell r="C78">
            <v>-8.7518516020111421E-3</v>
          </cell>
          <cell r="D78">
            <v>6.2901573001529223E-2</v>
          </cell>
          <cell r="E78">
            <v>0.14435628971747952</v>
          </cell>
          <cell r="F78">
            <v>0.16159466837963707</v>
          </cell>
          <cell r="G78">
            <v>0.13377650541025765</v>
          </cell>
          <cell r="H78">
            <v>0</v>
          </cell>
          <cell r="I78">
            <v>0.13969466080331</v>
          </cell>
          <cell r="J78">
            <v>0.14142555595829515</v>
          </cell>
          <cell r="K78">
            <v>6.7782363471909163E-2</v>
          </cell>
        </row>
        <row r="80">
          <cell r="B80">
            <v>243681.97192627497</v>
          </cell>
          <cell r="C80">
            <v>35589.010426594716</v>
          </cell>
          <cell r="D80">
            <v>279270.9823528697</v>
          </cell>
          <cell r="E80">
            <v>6872.526655129418</v>
          </cell>
          <cell r="F80">
            <v>819.14140344328314</v>
          </cell>
          <cell r="G80">
            <v>10166.423548797147</v>
          </cell>
          <cell r="H80">
            <v>650.92603976043461</v>
          </cell>
          <cell r="I80">
            <v>11636.490992000865</v>
          </cell>
          <cell r="J80">
            <v>18509.017647130284</v>
          </cell>
          <cell r="K80">
            <v>297780</v>
          </cell>
        </row>
        <row r="82">
          <cell r="B82">
            <v>299944.02807372506</v>
          </cell>
          <cell r="C82">
            <v>-45060.010426594716</v>
          </cell>
          <cell r="D82">
            <v>254884.0176471303</v>
          </cell>
          <cell r="E82">
            <v>23294.473344870581</v>
          </cell>
          <cell r="F82">
            <v>3205.8585965567167</v>
          </cell>
          <cell r="G82">
            <v>31188.576451202855</v>
          </cell>
          <cell r="H82">
            <v>3398.0739602395652</v>
          </cell>
          <cell r="I82">
            <v>37792.509007999135</v>
          </cell>
          <cell r="J82">
            <v>61086.982352869716</v>
          </cell>
          <cell r="K82">
            <v>315971</v>
          </cell>
        </row>
        <row r="85">
          <cell r="B85">
            <v>19660</v>
          </cell>
          <cell r="C85">
            <v>44203</v>
          </cell>
          <cell r="D85">
            <v>63863</v>
          </cell>
          <cell r="F85">
            <v>0</v>
          </cell>
          <cell r="H85">
            <v>0</v>
          </cell>
          <cell r="I85">
            <v>0</v>
          </cell>
          <cell r="J85">
            <v>0</v>
          </cell>
          <cell r="K85">
            <v>63863</v>
          </cell>
        </row>
        <row r="86">
          <cell r="B86">
            <v>4971</v>
          </cell>
          <cell r="C86">
            <v>0</v>
          </cell>
          <cell r="D86">
            <v>4971</v>
          </cell>
          <cell r="E86">
            <v>0</v>
          </cell>
          <cell r="F86">
            <v>0</v>
          </cell>
          <cell r="G86">
            <v>0</v>
          </cell>
          <cell r="H86">
            <v>0</v>
          </cell>
          <cell r="I86">
            <v>0</v>
          </cell>
          <cell r="J86">
            <v>0</v>
          </cell>
          <cell r="K86">
            <v>4971</v>
          </cell>
        </row>
        <row r="87">
          <cell r="B87">
            <v>23764.270484045355</v>
          </cell>
          <cell r="C87">
            <v>3470.6993847414556</v>
          </cell>
          <cell r="D87">
            <v>27234.969868786811</v>
          </cell>
          <cell r="E87">
            <v>670.22020976881697</v>
          </cell>
          <cell r="F87">
            <v>79.884029672889199</v>
          </cell>
          <cell r="G87">
            <v>991.44650365057817</v>
          </cell>
          <cell r="H87">
            <v>63.479388120904765</v>
          </cell>
          <cell r="I87">
            <v>1134.8099214443721</v>
          </cell>
          <cell r="J87">
            <v>1805.0301312131892</v>
          </cell>
          <cell r="K87">
            <v>29040</v>
          </cell>
        </row>
        <row r="88">
          <cell r="B88">
            <v>0</v>
          </cell>
          <cell r="C88">
            <v>0</v>
          </cell>
          <cell r="D88">
            <v>0</v>
          </cell>
          <cell r="E88">
            <v>22242</v>
          </cell>
          <cell r="I88">
            <v>0</v>
          </cell>
          <cell r="J88">
            <v>22242</v>
          </cell>
          <cell r="K88">
            <v>22242</v>
          </cell>
          <cell r="M88">
            <v>-55915</v>
          </cell>
        </row>
        <row r="89">
          <cell r="B89">
            <v>48395.270484045352</v>
          </cell>
          <cell r="C89">
            <v>47673.699384741456</v>
          </cell>
          <cell r="D89">
            <v>96068.969868786808</v>
          </cell>
          <cell r="E89">
            <v>22912.220209768817</v>
          </cell>
          <cell r="F89">
            <v>79.884029672889199</v>
          </cell>
          <cell r="G89">
            <v>991.44650365057817</v>
          </cell>
          <cell r="H89">
            <v>63.479388120904765</v>
          </cell>
          <cell r="I89">
            <v>1134.8099214443721</v>
          </cell>
          <cell r="J89">
            <v>24047.030131213189</v>
          </cell>
          <cell r="K89">
            <v>120116</v>
          </cell>
        </row>
        <row r="91">
          <cell r="B91">
            <v>348339.29855777044</v>
          </cell>
          <cell r="C91">
            <v>2613.6889581467403</v>
          </cell>
          <cell r="D91">
            <v>350952.98751591711</v>
          </cell>
          <cell r="E91">
            <v>46206.693554639394</v>
          </cell>
          <cell r="F91">
            <v>3285.7426262296058</v>
          </cell>
          <cell r="G91">
            <v>32180.022954853433</v>
          </cell>
          <cell r="H91">
            <v>3461.55334836047</v>
          </cell>
          <cell r="I91">
            <v>38927.318929443507</v>
          </cell>
          <cell r="J91">
            <v>85134.012484082894</v>
          </cell>
          <cell r="K91">
            <v>436087</v>
          </cell>
        </row>
        <row r="94">
          <cell r="B94">
            <v>3102</v>
          </cell>
          <cell r="C94">
            <v>34679</v>
          </cell>
          <cell r="D94">
            <v>37781</v>
          </cell>
          <cell r="E94">
            <v>0</v>
          </cell>
          <cell r="F94">
            <v>0</v>
          </cell>
          <cell r="G94">
            <v>0</v>
          </cell>
          <cell r="H94">
            <v>0</v>
          </cell>
          <cell r="I94">
            <v>0</v>
          </cell>
          <cell r="J94">
            <v>0</v>
          </cell>
          <cell r="K94">
            <v>37781</v>
          </cell>
        </row>
        <row r="95">
          <cell r="B95">
            <v>24396.838703197111</v>
          </cell>
          <cell r="C95">
            <v>3563.0840481162882</v>
          </cell>
          <cell r="D95">
            <v>27959.922751313399</v>
          </cell>
          <cell r="E95">
            <v>688.06043780432981</v>
          </cell>
          <cell r="F95">
            <v>82.01041930571094</v>
          </cell>
          <cell r="G95">
            <v>1017.8372800735085</v>
          </cell>
          <cell r="H95">
            <v>65.169111503048683</v>
          </cell>
          <cell r="I95">
            <v>1165.0168108822681</v>
          </cell>
          <cell r="J95">
            <v>1853.0772486865981</v>
          </cell>
          <cell r="K95">
            <v>29812.999999999996</v>
          </cell>
        </row>
        <row r="96">
          <cell r="B96">
            <v>2108.0151779235825</v>
          </cell>
          <cell r="C96">
            <v>307.86920162169389</v>
          </cell>
          <cell r="D96">
            <v>2415.8843795452763</v>
          </cell>
          <cell r="E96">
            <v>59.452040646159524</v>
          </cell>
          <cell r="F96">
            <v>7.08613155776042</v>
          </cell>
          <cell r="G96">
            <v>87.946494263219336</v>
          </cell>
          <cell r="H96">
            <v>5.6309539875843901</v>
          </cell>
          <cell r="I96">
            <v>100.66357980856415</v>
          </cell>
          <cell r="J96">
            <v>160.11562045472368</v>
          </cell>
          <cell r="K96">
            <v>2576</v>
          </cell>
        </row>
        <row r="97">
          <cell r="B97">
            <v>1200</v>
          </cell>
          <cell r="C97">
            <v>0</v>
          </cell>
          <cell r="D97">
            <v>1200</v>
          </cell>
          <cell r="E97">
            <v>0</v>
          </cell>
          <cell r="F97">
            <v>0</v>
          </cell>
          <cell r="G97">
            <v>0</v>
          </cell>
          <cell r="H97">
            <v>0</v>
          </cell>
          <cell r="I97">
            <v>0</v>
          </cell>
          <cell r="J97">
            <v>0</v>
          </cell>
          <cell r="K97">
            <v>1200</v>
          </cell>
        </row>
        <row r="98">
          <cell r="B98">
            <v>14923.045335642255</v>
          </cell>
          <cell r="C98">
            <v>2179.4653574430158</v>
          </cell>
          <cell r="D98">
            <v>17102.510693085271</v>
          </cell>
          <cell r="E98">
            <v>420.87244302149264</v>
          </cell>
          <cell r="F98">
            <v>50.16408970781017</v>
          </cell>
          <cell r="G98">
            <v>622.59016668636173</v>
          </cell>
          <cell r="H98">
            <v>39.862607499064026</v>
          </cell>
          <cell r="I98">
            <v>712.61686389323586</v>
          </cell>
          <cell r="J98">
            <v>1133.4893069147286</v>
          </cell>
          <cell r="K98">
            <v>18236</v>
          </cell>
        </row>
        <row r="99">
          <cell r="B99">
            <v>6599.2060404963877</v>
          </cell>
          <cell r="C99">
            <v>963.79395950361277</v>
          </cell>
          <cell r="D99">
            <v>7563</v>
          </cell>
          <cell r="E99">
            <v>0</v>
          </cell>
          <cell r="F99">
            <v>0</v>
          </cell>
          <cell r="G99">
            <v>0</v>
          </cell>
          <cell r="H99">
            <v>0</v>
          </cell>
          <cell r="I99">
            <v>0</v>
          </cell>
          <cell r="J99">
            <v>0</v>
          </cell>
          <cell r="K99">
            <v>7563</v>
          </cell>
        </row>
        <row r="100">
          <cell r="B100">
            <v>52329.105257259333</v>
          </cell>
          <cell r="C100">
            <v>41693.212566684611</v>
          </cell>
          <cell r="D100">
            <v>94022.317823943944</v>
          </cell>
          <cell r="E100">
            <v>1168.3849214719819</v>
          </cell>
          <cell r="F100">
            <v>139.26064057128153</v>
          </cell>
          <cell r="G100">
            <v>1728.3739410230896</v>
          </cell>
          <cell r="H100">
            <v>110.6626729896971</v>
          </cell>
          <cell r="I100">
            <v>1978.2972545840682</v>
          </cell>
          <cell r="J100">
            <v>3146.6821760560506</v>
          </cell>
          <cell r="K100">
            <v>97169</v>
          </cell>
        </row>
        <row r="102">
          <cell r="B102">
            <v>296010.19330051111</v>
          </cell>
          <cell r="C102">
            <v>-39079.523608537871</v>
          </cell>
          <cell r="D102">
            <v>256930.66969197316</v>
          </cell>
          <cell r="E102">
            <v>45038.308633167413</v>
          </cell>
          <cell r="F102">
            <v>3146.4819856583244</v>
          </cell>
          <cell r="G102">
            <v>30451.649013830345</v>
          </cell>
          <cell r="H102">
            <v>3350.8906753707729</v>
          </cell>
          <cell r="I102">
            <v>36949.021674859439</v>
          </cell>
          <cell r="J102">
            <v>81987.330308026852</v>
          </cell>
          <cell r="K102">
            <v>338918</v>
          </cell>
        </row>
        <row r="104">
          <cell r="B104">
            <v>103468</v>
          </cell>
          <cell r="C104">
            <v>0</v>
          </cell>
          <cell r="D104">
            <v>103468</v>
          </cell>
          <cell r="E104">
            <v>12939.215882310933</v>
          </cell>
          <cell r="F104">
            <v>0</v>
          </cell>
          <cell r="G104">
            <v>19140.784117689069</v>
          </cell>
          <cell r="I104">
            <v>19140.784117689069</v>
          </cell>
          <cell r="J104">
            <v>32080</v>
          </cell>
          <cell r="K104">
            <v>135548</v>
          </cell>
        </row>
        <row r="106">
          <cell r="B106">
            <v>192542.19330051111</v>
          </cell>
          <cell r="C106">
            <v>-39079.523608537871</v>
          </cell>
          <cell r="D106">
            <v>153462.66969197316</v>
          </cell>
          <cell r="E106">
            <v>32099.092750856478</v>
          </cell>
          <cell r="F106">
            <v>3146.4819856583244</v>
          </cell>
          <cell r="G106">
            <v>11310.864896141276</v>
          </cell>
          <cell r="H106">
            <v>3350.8906753707729</v>
          </cell>
          <cell r="I106">
            <v>17808.237557170371</v>
          </cell>
          <cell r="J106">
            <v>49907.330308026852</v>
          </cell>
          <cell r="K106">
            <v>203370</v>
          </cell>
        </row>
        <row r="107">
          <cell r="I107" t="str">
            <v xml:space="preserve">               Net profit %</v>
          </cell>
          <cell r="K107">
            <v>2.2460084397878236E-2</v>
          </cell>
        </row>
        <row r="113">
          <cell r="B113" t="str">
            <v>CKD</v>
          </cell>
          <cell r="D113" t="str">
            <v xml:space="preserve">TOTAL OF </v>
          </cell>
          <cell r="E113" t="str">
            <v>TOYOTA</v>
          </cell>
          <cell r="H113" t="str">
            <v xml:space="preserve">Daihatsu </v>
          </cell>
          <cell r="I113" t="str">
            <v>TOTAL                      OF                  PARTS &amp; OIL</v>
          </cell>
          <cell r="J113" t="str">
            <v>TOTAL OF CBU  PARTS &amp; MOTOR OIL</v>
          </cell>
          <cell r="K113" t="str">
            <v>TOTAL OF CKD &amp; CBU</v>
          </cell>
        </row>
        <row r="114">
          <cell r="B114" t="str">
            <v>Toyota</v>
          </cell>
          <cell r="C114" t="str">
            <v>Daihatsu</v>
          </cell>
          <cell r="D114" t="str">
            <v>CKD</v>
          </cell>
          <cell r="E114" t="str">
            <v xml:space="preserve">CBU </v>
          </cell>
          <cell r="F114" t="str">
            <v>Motor Oil</v>
          </cell>
          <cell r="G114" t="str">
            <v xml:space="preserve">Parts </v>
          </cell>
          <cell r="H114" t="str">
            <v>Parts</v>
          </cell>
        </row>
        <row r="117">
          <cell r="B117">
            <v>10002</v>
          </cell>
          <cell r="C117">
            <v>1267</v>
          </cell>
          <cell r="D117">
            <v>11269</v>
          </cell>
          <cell r="J117">
            <v>0</v>
          </cell>
          <cell r="K117">
            <v>11269</v>
          </cell>
        </row>
        <row r="118">
          <cell r="D118">
            <v>0</v>
          </cell>
          <cell r="E118">
            <v>174</v>
          </cell>
          <cell r="J118">
            <v>174</v>
          </cell>
          <cell r="K118">
            <v>174</v>
          </cell>
        </row>
        <row r="119">
          <cell r="D119">
            <v>0</v>
          </cell>
          <cell r="E119">
            <v>319</v>
          </cell>
          <cell r="J119">
            <v>319</v>
          </cell>
          <cell r="K119">
            <v>319</v>
          </cell>
        </row>
        <row r="120">
          <cell r="B120">
            <v>10002</v>
          </cell>
          <cell r="C120">
            <v>1267</v>
          </cell>
          <cell r="D120">
            <v>11269</v>
          </cell>
          <cell r="E120">
            <v>493</v>
          </cell>
          <cell r="J120">
            <v>493</v>
          </cell>
          <cell r="K120">
            <v>11762</v>
          </cell>
        </row>
        <row r="123">
          <cell r="B123">
            <v>7429652</v>
          </cell>
          <cell r="C123">
            <v>420881</v>
          </cell>
          <cell r="D123">
            <v>7850533</v>
          </cell>
          <cell r="E123">
            <v>232223</v>
          </cell>
          <cell r="F123">
            <v>30570</v>
          </cell>
          <cell r="G123">
            <v>132943</v>
          </cell>
          <cell r="H123">
            <v>0</v>
          </cell>
          <cell r="I123">
            <v>163513</v>
          </cell>
          <cell r="J123">
            <v>395736</v>
          </cell>
          <cell r="K123">
            <v>8246269</v>
          </cell>
        </row>
        <row r="125">
          <cell r="B125">
            <v>6922161</v>
          </cell>
          <cell r="C125">
            <v>449036</v>
          </cell>
          <cell r="D125">
            <v>7371197</v>
          </cell>
          <cell r="E125">
            <v>201766</v>
          </cell>
          <cell r="F125">
            <v>26181</v>
          </cell>
          <cell r="G125">
            <v>107754</v>
          </cell>
          <cell r="H125">
            <v>0</v>
          </cell>
          <cell r="I125">
            <v>133935</v>
          </cell>
          <cell r="J125">
            <v>335701</v>
          </cell>
          <cell r="K125">
            <v>7706898</v>
          </cell>
        </row>
        <row r="127">
          <cell r="B127">
            <v>507491</v>
          </cell>
          <cell r="C127">
            <v>-28155</v>
          </cell>
          <cell r="D127">
            <v>479336</v>
          </cell>
          <cell r="E127">
            <v>30457</v>
          </cell>
          <cell r="F127">
            <v>4389</v>
          </cell>
          <cell r="G127">
            <v>25189</v>
          </cell>
          <cell r="H127">
            <v>0</v>
          </cell>
          <cell r="I127">
            <v>29578</v>
          </cell>
          <cell r="J127">
            <v>60035</v>
          </cell>
          <cell r="K127">
            <v>539371</v>
          </cell>
        </row>
        <row r="129">
          <cell r="B129">
            <v>6.830616023469202E-2</v>
          </cell>
          <cell r="C129">
            <v>-6.6895393234667283E-2</v>
          </cell>
          <cell r="D129">
            <v>6.1057765122444554E-2</v>
          </cell>
          <cell r="E129">
            <v>0.13115410618241949</v>
          </cell>
          <cell r="F129">
            <v>0.1435721295387635</v>
          </cell>
          <cell r="G129">
            <v>0.18947217980638317</v>
          </cell>
          <cell r="H129">
            <v>0</v>
          </cell>
          <cell r="I129">
            <v>0.18089081602074453</v>
          </cell>
          <cell r="J129">
            <v>0.15170467180140296</v>
          </cell>
          <cell r="K129">
            <v>6.5407883249988572E-2</v>
          </cell>
        </row>
        <row r="131">
          <cell r="B131">
            <v>240788</v>
          </cell>
          <cell r="C131">
            <v>13640</v>
          </cell>
          <cell r="D131">
            <v>254428</v>
          </cell>
          <cell r="E131">
            <v>7526</v>
          </cell>
          <cell r="F131">
            <v>991</v>
          </cell>
          <cell r="G131">
            <v>4309</v>
          </cell>
          <cell r="H131">
            <v>0</v>
          </cell>
          <cell r="I131">
            <v>5300</v>
          </cell>
          <cell r="J131">
            <v>12826</v>
          </cell>
          <cell r="K131">
            <v>267254</v>
          </cell>
        </row>
        <row r="133">
          <cell r="B133">
            <v>266703</v>
          </cell>
          <cell r="C133">
            <v>-41795</v>
          </cell>
          <cell r="D133">
            <v>224908</v>
          </cell>
          <cell r="E133">
            <v>22931</v>
          </cell>
          <cell r="F133">
            <v>3398</v>
          </cell>
          <cell r="G133">
            <v>20880</v>
          </cell>
          <cell r="H133">
            <v>0</v>
          </cell>
          <cell r="I133">
            <v>24278</v>
          </cell>
          <cell r="J133">
            <v>47209</v>
          </cell>
          <cell r="K133">
            <v>272117</v>
          </cell>
        </row>
        <row r="136">
          <cell r="B136">
            <v>14298</v>
          </cell>
          <cell r="C136">
            <v>0</v>
          </cell>
          <cell r="D136">
            <v>14298</v>
          </cell>
          <cell r="F136">
            <v>0</v>
          </cell>
          <cell r="H136">
            <v>0</v>
          </cell>
          <cell r="I136">
            <v>0</v>
          </cell>
          <cell r="J136">
            <v>0</v>
          </cell>
          <cell r="K136">
            <v>14298</v>
          </cell>
        </row>
        <row r="137">
          <cell r="B137">
            <v>6577</v>
          </cell>
          <cell r="C137">
            <v>0</v>
          </cell>
          <cell r="D137">
            <v>6577</v>
          </cell>
          <cell r="E137">
            <v>0</v>
          </cell>
          <cell r="F137">
            <v>0</v>
          </cell>
          <cell r="G137">
            <v>0</v>
          </cell>
          <cell r="H137">
            <v>0</v>
          </cell>
          <cell r="I137">
            <v>0</v>
          </cell>
          <cell r="J137">
            <v>0</v>
          </cell>
          <cell r="K137">
            <v>6577</v>
          </cell>
        </row>
        <row r="138">
          <cell r="B138">
            <v>34048</v>
          </cell>
          <cell r="C138">
            <v>1929</v>
          </cell>
          <cell r="D138">
            <v>35977</v>
          </cell>
          <cell r="E138">
            <v>1064</v>
          </cell>
          <cell r="F138">
            <v>140</v>
          </cell>
          <cell r="G138">
            <v>609</v>
          </cell>
          <cell r="H138">
            <v>0</v>
          </cell>
          <cell r="I138">
            <v>749</v>
          </cell>
          <cell r="J138">
            <v>1813</v>
          </cell>
          <cell r="K138">
            <v>37790</v>
          </cell>
        </row>
        <row r="139">
          <cell r="B139">
            <v>0</v>
          </cell>
          <cell r="C139">
            <v>0</v>
          </cell>
          <cell r="D139">
            <v>0</v>
          </cell>
          <cell r="E139">
            <v>6476</v>
          </cell>
          <cell r="I139">
            <v>0</v>
          </cell>
          <cell r="J139">
            <v>6476</v>
          </cell>
          <cell r="K139">
            <v>6476</v>
          </cell>
        </row>
        <row r="140">
          <cell r="B140">
            <v>54923</v>
          </cell>
          <cell r="C140">
            <v>1929</v>
          </cell>
          <cell r="D140">
            <v>56852</v>
          </cell>
          <cell r="E140">
            <v>7540</v>
          </cell>
          <cell r="F140">
            <v>140</v>
          </cell>
          <cell r="G140">
            <v>609</v>
          </cell>
          <cell r="H140">
            <v>0</v>
          </cell>
          <cell r="I140">
            <v>749</v>
          </cell>
          <cell r="J140">
            <v>8289</v>
          </cell>
          <cell r="K140">
            <v>65141</v>
          </cell>
        </row>
        <row r="142">
          <cell r="B142">
            <v>321626</v>
          </cell>
          <cell r="C142">
            <v>-39866</v>
          </cell>
          <cell r="D142">
            <v>281760</v>
          </cell>
          <cell r="E142">
            <v>30471</v>
          </cell>
          <cell r="F142">
            <v>3538</v>
          </cell>
          <cell r="G142">
            <v>21490</v>
          </cell>
          <cell r="H142">
            <v>0</v>
          </cell>
          <cell r="I142">
            <v>25028</v>
          </cell>
          <cell r="J142">
            <v>55499</v>
          </cell>
          <cell r="K142">
            <v>337259</v>
          </cell>
        </row>
        <row r="145">
          <cell r="B145">
            <v>4220</v>
          </cell>
          <cell r="C145">
            <v>9932</v>
          </cell>
          <cell r="D145">
            <v>14152</v>
          </cell>
          <cell r="E145">
            <v>0</v>
          </cell>
          <cell r="F145">
            <v>0</v>
          </cell>
          <cell r="G145">
            <v>0</v>
          </cell>
          <cell r="H145">
            <v>0</v>
          </cell>
          <cell r="I145">
            <v>0</v>
          </cell>
          <cell r="J145">
            <v>0</v>
          </cell>
          <cell r="K145">
            <v>14152</v>
          </cell>
        </row>
        <row r="146">
          <cell r="B146">
            <v>18251</v>
          </cell>
          <cell r="C146">
            <v>1034</v>
          </cell>
          <cell r="D146">
            <v>19285</v>
          </cell>
          <cell r="E146">
            <v>570</v>
          </cell>
          <cell r="F146">
            <v>75</v>
          </cell>
          <cell r="G146">
            <v>327</v>
          </cell>
          <cell r="H146">
            <v>0</v>
          </cell>
          <cell r="I146">
            <v>402</v>
          </cell>
          <cell r="J146">
            <v>972</v>
          </cell>
          <cell r="K146">
            <v>20257</v>
          </cell>
        </row>
        <row r="147">
          <cell r="B147">
            <v>4961</v>
          </cell>
          <cell r="C147">
            <v>281</v>
          </cell>
          <cell r="D147">
            <v>5242</v>
          </cell>
          <cell r="E147">
            <v>155</v>
          </cell>
          <cell r="F147">
            <v>20</v>
          </cell>
          <cell r="G147">
            <v>89</v>
          </cell>
          <cell r="H147">
            <v>0</v>
          </cell>
          <cell r="I147">
            <v>109</v>
          </cell>
          <cell r="J147">
            <v>264</v>
          </cell>
          <cell r="K147">
            <v>5506</v>
          </cell>
        </row>
        <row r="148">
          <cell r="B148">
            <v>675</v>
          </cell>
          <cell r="C148">
            <v>0</v>
          </cell>
          <cell r="D148">
            <v>675</v>
          </cell>
          <cell r="E148">
            <v>0</v>
          </cell>
          <cell r="F148">
            <v>0</v>
          </cell>
          <cell r="G148">
            <v>0</v>
          </cell>
          <cell r="H148">
            <v>0</v>
          </cell>
          <cell r="I148">
            <v>0</v>
          </cell>
          <cell r="J148">
            <v>0</v>
          </cell>
          <cell r="K148">
            <v>675</v>
          </cell>
        </row>
        <row r="149">
          <cell r="B149">
            <v>13364</v>
          </cell>
          <cell r="C149">
            <v>757</v>
          </cell>
          <cell r="D149">
            <v>14121</v>
          </cell>
          <cell r="E149">
            <v>418</v>
          </cell>
          <cell r="F149">
            <v>55</v>
          </cell>
          <cell r="G149">
            <v>239</v>
          </cell>
          <cell r="H149">
            <v>0</v>
          </cell>
          <cell r="I149">
            <v>294</v>
          </cell>
          <cell r="J149">
            <v>712</v>
          </cell>
          <cell r="K149">
            <v>14833</v>
          </cell>
        </row>
        <row r="150">
          <cell r="B150">
            <v>1518</v>
          </cell>
          <cell r="C150">
            <v>86</v>
          </cell>
          <cell r="D150">
            <v>1604</v>
          </cell>
          <cell r="E150">
            <v>0</v>
          </cell>
          <cell r="F150">
            <v>0</v>
          </cell>
          <cell r="G150">
            <v>0</v>
          </cell>
          <cell r="H150">
            <v>0</v>
          </cell>
          <cell r="I150">
            <v>0</v>
          </cell>
          <cell r="J150">
            <v>0</v>
          </cell>
          <cell r="K150">
            <v>1604</v>
          </cell>
        </row>
        <row r="151">
          <cell r="B151">
            <v>42989</v>
          </cell>
          <cell r="C151">
            <v>12090</v>
          </cell>
          <cell r="D151">
            <v>55079</v>
          </cell>
          <cell r="E151">
            <v>1143</v>
          </cell>
          <cell r="F151">
            <v>150</v>
          </cell>
          <cell r="G151">
            <v>655</v>
          </cell>
          <cell r="H151">
            <v>0</v>
          </cell>
          <cell r="I151">
            <v>805</v>
          </cell>
          <cell r="J151">
            <v>1948</v>
          </cell>
          <cell r="K151">
            <v>57027</v>
          </cell>
        </row>
        <row r="153">
          <cell r="B153">
            <v>278637</v>
          </cell>
          <cell r="C153">
            <v>-51956</v>
          </cell>
          <cell r="D153">
            <v>226681</v>
          </cell>
          <cell r="E153">
            <v>29328</v>
          </cell>
          <cell r="F153">
            <v>3388</v>
          </cell>
          <cell r="G153">
            <v>20835</v>
          </cell>
          <cell r="H153">
            <v>0</v>
          </cell>
          <cell r="I153">
            <v>24223</v>
          </cell>
          <cell r="J153">
            <v>53551</v>
          </cell>
          <cell r="K153">
            <v>280231</v>
          </cell>
        </row>
        <row r="155">
          <cell r="B155">
            <v>88502</v>
          </cell>
          <cell r="C155">
            <v>0</v>
          </cell>
          <cell r="D155">
            <v>88502</v>
          </cell>
          <cell r="E155">
            <v>12384</v>
          </cell>
          <cell r="G155">
            <v>7090</v>
          </cell>
          <cell r="H155">
            <v>0</v>
          </cell>
          <cell r="I155">
            <v>7090</v>
          </cell>
          <cell r="J155">
            <v>19474</v>
          </cell>
          <cell r="K155">
            <v>107976</v>
          </cell>
        </row>
        <row r="157">
          <cell r="B157">
            <v>190135</v>
          </cell>
          <cell r="C157">
            <v>-51956</v>
          </cell>
          <cell r="D157">
            <v>138179</v>
          </cell>
          <cell r="E157">
            <v>16944</v>
          </cell>
          <cell r="F157">
            <v>3388</v>
          </cell>
          <cell r="G157">
            <v>13745</v>
          </cell>
          <cell r="H157">
            <v>0</v>
          </cell>
          <cell r="I157">
            <v>17133</v>
          </cell>
          <cell r="J157">
            <v>34077</v>
          </cell>
          <cell r="K157">
            <v>172255</v>
          </cell>
        </row>
        <row r="158">
          <cell r="I158" t="str">
            <v xml:space="preserve">               Net profit %</v>
          </cell>
          <cell r="K158">
            <v>2.0888840759378576E-2</v>
          </cell>
        </row>
      </sheetData>
      <sheetData sheetId="5">
        <row r="32">
          <cell r="K32" t="str">
            <v>Advance income tax</v>
          </cell>
          <cell r="O32">
            <v>72970</v>
          </cell>
          <cell r="P32">
            <v>59908</v>
          </cell>
        </row>
        <row r="33">
          <cell r="C33" t="str">
            <v>Finance under mark-up arrangements</v>
          </cell>
          <cell r="G33">
            <v>-4181341.2998515274</v>
          </cell>
          <cell r="H33">
            <v>406343</v>
          </cell>
        </row>
        <row r="34">
          <cell r="K34" t="str">
            <v>Other receivable</v>
          </cell>
          <cell r="O34">
            <v>24768</v>
          </cell>
          <cell r="P34">
            <v>24768</v>
          </cell>
        </row>
        <row r="36">
          <cell r="C36" t="str">
            <v>Creditors, accrued and other liabilities</v>
          </cell>
          <cell r="G36">
            <v>578615</v>
          </cell>
          <cell r="H36">
            <v>594906</v>
          </cell>
          <cell r="K36" t="str">
            <v>Cash and bank balances</v>
          </cell>
          <cell r="O36">
            <v>5000</v>
          </cell>
          <cell r="P36">
            <v>488294</v>
          </cell>
        </row>
        <row r="37">
          <cell r="Q37" t="str">
            <v>ca</v>
          </cell>
        </row>
        <row r="38">
          <cell r="O38">
            <v>1559133</v>
          </cell>
          <cell r="P38">
            <v>2029365</v>
          </cell>
          <cell r="Q38">
            <v>-470232</v>
          </cell>
        </row>
        <row r="39">
          <cell r="G39">
            <v>-3588458.2998515274</v>
          </cell>
          <cell r="H39">
            <v>1015517</v>
          </cell>
        </row>
        <row r="44">
          <cell r="G44">
            <v>-1456761.1720107854</v>
          </cell>
          <cell r="H44">
            <v>3104371</v>
          </cell>
          <cell r="O44">
            <v>2865022</v>
          </cell>
          <cell r="P44">
            <v>3104371</v>
          </cell>
        </row>
        <row r="45">
          <cell r="O45">
            <v>4321783.172010785</v>
          </cell>
        </row>
        <row r="46">
          <cell r="O46">
            <v>2160891.5860053925</v>
          </cell>
        </row>
        <row r="47">
          <cell r="O47">
            <v>480198.13022342057</v>
          </cell>
        </row>
        <row r="49">
          <cell r="B49" t="str">
            <v>INDUS MOTOR COMPANY LIMITED</v>
          </cell>
        </row>
        <row r="50">
          <cell r="B50" t="str">
            <v>BUDGETED PROFIT AND LOSS ACCOUNT</v>
          </cell>
        </row>
        <row r="51">
          <cell r="B51" t="str">
            <v>FOR THE YEAR 2000-2001</v>
          </cell>
        </row>
        <row r="53">
          <cell r="H53" t="str">
            <v>Budget</v>
          </cell>
          <cell r="I53">
            <v>0</v>
          </cell>
          <cell r="J53" t="str">
            <v>Actual</v>
          </cell>
        </row>
        <row r="54">
          <cell r="H54">
            <v>2000</v>
          </cell>
          <cell r="J54">
            <v>1999</v>
          </cell>
        </row>
        <row r="55">
          <cell r="H55" t="str">
            <v>(Rupees in thousand)</v>
          </cell>
        </row>
        <row r="57">
          <cell r="B57" t="str">
            <v>Sales</v>
          </cell>
          <cell r="H57">
            <v>12654009.130434781</v>
          </cell>
          <cell r="J57">
            <v>8111286.909</v>
          </cell>
        </row>
        <row r="59">
          <cell r="B59" t="str">
            <v>Cost of Sales</v>
          </cell>
          <cell r="H59">
            <v>312869.32099999994</v>
          </cell>
          <cell r="J59">
            <v>290999.14199999999</v>
          </cell>
        </row>
        <row r="61">
          <cell r="B61" t="str">
            <v>Gross Profit</v>
          </cell>
          <cell r="H61">
            <v>12341139.809434781</v>
          </cell>
          <cell r="J61">
            <v>7820287.767</v>
          </cell>
        </row>
        <row r="63">
          <cell r="B63" t="str">
            <v>Administrative and selling expenses</v>
          </cell>
          <cell r="H63">
            <v>36182.000000000007</v>
          </cell>
          <cell r="J63">
            <v>33424.527999999998</v>
          </cell>
        </row>
        <row r="65">
          <cell r="B65" t="str">
            <v>Operating Profit</v>
          </cell>
          <cell r="H65">
            <v>12304957.809434781</v>
          </cell>
          <cell r="J65">
            <v>7786863.2390000001</v>
          </cell>
        </row>
        <row r="67">
          <cell r="B67" t="str">
            <v>Financial charges</v>
          </cell>
          <cell r="H67">
            <v>0</v>
          </cell>
          <cell r="J67">
            <v>20398.188999999998</v>
          </cell>
        </row>
        <row r="68">
          <cell r="B68" t="str">
            <v>Other charges</v>
          </cell>
          <cell r="H68">
            <v>47437.948501138671</v>
          </cell>
          <cell r="J68">
            <v>34596.035000000003</v>
          </cell>
        </row>
        <row r="69">
          <cell r="H69">
            <v>47437.948501138671</v>
          </cell>
          <cell r="J69">
            <v>54994.224000000002</v>
          </cell>
        </row>
        <row r="70">
          <cell r="H70">
            <v>12257519.860933643</v>
          </cell>
          <cell r="J70">
            <v>7731869.0149999997</v>
          </cell>
        </row>
        <row r="72">
          <cell r="B72" t="str">
            <v>Other income</v>
          </cell>
          <cell r="H72">
            <v>118000</v>
          </cell>
          <cell r="J72">
            <v>72726.892000000007</v>
          </cell>
        </row>
        <row r="73">
          <cell r="B73" t="str">
            <v>Profit before taxation</v>
          </cell>
          <cell r="H73">
            <v>12375519.860933643</v>
          </cell>
          <cell r="J73">
            <v>7804595.9069999997</v>
          </cell>
        </row>
        <row r="75">
          <cell r="B75" t="str">
            <v>Provision for taxation</v>
          </cell>
        </row>
        <row r="76">
          <cell r="C76" t="str">
            <v>Current</v>
          </cell>
          <cell r="H76">
            <v>51733.09286136178</v>
          </cell>
          <cell r="J76">
            <v>36015.862000000001</v>
          </cell>
        </row>
        <row r="77">
          <cell r="C77" t="str">
            <v>Deferred</v>
          </cell>
          <cell r="H77">
            <v>214311.12784074189</v>
          </cell>
          <cell r="J77">
            <v>139626.13800000001</v>
          </cell>
        </row>
        <row r="78">
          <cell r="H78">
            <v>266044.22070210369</v>
          </cell>
          <cell r="J78">
            <v>175642</v>
          </cell>
        </row>
        <row r="79">
          <cell r="B79" t="str">
            <v>Net profit for the year</v>
          </cell>
          <cell r="H79">
            <v>12109475.640231539</v>
          </cell>
          <cell r="J79">
            <v>7628953.9069999997</v>
          </cell>
        </row>
        <row r="81">
          <cell r="B81" t="str">
            <v>Unappropriated profit brought forward</v>
          </cell>
          <cell r="H81">
            <v>0</v>
          </cell>
          <cell r="J81">
            <v>403</v>
          </cell>
        </row>
        <row r="83">
          <cell r="H83">
            <v>12109475.640231539</v>
          </cell>
          <cell r="J83">
            <v>7629356.9069999997</v>
          </cell>
        </row>
        <row r="87">
          <cell r="B87" t="str">
            <v>INDUS MOTOR COMPANY LIMITED</v>
          </cell>
        </row>
        <row r="88">
          <cell r="B88" t="str">
            <v>BUDGETED CASH FLOW STATEMENT</v>
          </cell>
        </row>
        <row r="89">
          <cell r="B89" t="str">
            <v>FOR THE YEAR 1999-00</v>
          </cell>
        </row>
        <row r="91">
          <cell r="J91" t="str">
            <v>Budget</v>
          </cell>
          <cell r="L91" t="str">
            <v>Actual</v>
          </cell>
        </row>
        <row r="92">
          <cell r="J92">
            <v>2000</v>
          </cell>
          <cell r="L92">
            <v>1999</v>
          </cell>
        </row>
        <row r="93">
          <cell r="J93" t="str">
            <v>Rs ' 000</v>
          </cell>
          <cell r="L93">
            <v>0</v>
          </cell>
        </row>
        <row r="95">
          <cell r="B95" t="str">
            <v>CASH FLOW FROM OPERATING ACTIVITIES</v>
          </cell>
        </row>
        <row r="96">
          <cell r="C96" t="str">
            <v>Profit before taxation</v>
          </cell>
          <cell r="J96">
            <v>70764.368931571371</v>
          </cell>
          <cell r="L96">
            <v>501310</v>
          </cell>
        </row>
        <row r="97">
          <cell r="C97" t="str">
            <v>Adjustment for non-cash charges and other items</v>
          </cell>
        </row>
        <row r="98">
          <cell r="D98" t="str">
            <v>Depreciation</v>
          </cell>
          <cell r="J98">
            <v>157941</v>
          </cell>
          <cell r="L98">
            <v>110788</v>
          </cell>
        </row>
        <row r="99">
          <cell r="D99" t="str">
            <v>Gain on sale of fixed assets</v>
          </cell>
          <cell r="J99">
            <v>0</v>
          </cell>
          <cell r="L99">
            <v>-2599</v>
          </cell>
        </row>
        <row r="100">
          <cell r="D100" t="str">
            <v>Financial charges</v>
          </cell>
          <cell r="J100">
            <v>0</v>
          </cell>
          <cell r="L100">
            <v>42314</v>
          </cell>
        </row>
        <row r="101">
          <cell r="D101" t="str">
            <v>Provision for warranty obligations</v>
          </cell>
          <cell r="J101">
            <v>0</v>
          </cell>
          <cell r="L101">
            <v>2601</v>
          </cell>
        </row>
        <row r="102">
          <cell r="D102" t="str">
            <v>Working capital changes</v>
          </cell>
          <cell r="J102">
            <v>-16288</v>
          </cell>
          <cell r="L102">
            <v>-1054419</v>
          </cell>
        </row>
        <row r="104">
          <cell r="J104">
            <v>212417.36893157137</v>
          </cell>
          <cell r="L104">
            <v>-400005</v>
          </cell>
        </row>
        <row r="106">
          <cell r="C106" t="str">
            <v>Financial charges paid</v>
          </cell>
          <cell r="J106">
            <v>0</v>
          </cell>
          <cell r="L106">
            <v>-26085</v>
          </cell>
        </row>
        <row r="107">
          <cell r="C107" t="str">
            <v>Income tax paid</v>
          </cell>
          <cell r="J107">
            <v>-177858.60557670222</v>
          </cell>
          <cell r="L107">
            <v>-233865</v>
          </cell>
        </row>
        <row r="108">
          <cell r="C108" t="str">
            <v>Long term deposits</v>
          </cell>
          <cell r="J108">
            <v>0</v>
          </cell>
          <cell r="L108">
            <v>837</v>
          </cell>
        </row>
        <row r="109">
          <cell r="C109" t="str">
            <v>Long term loans - net</v>
          </cell>
          <cell r="J109">
            <v>0</v>
          </cell>
          <cell r="L109">
            <v>449</v>
          </cell>
        </row>
        <row r="111">
          <cell r="B111" t="str">
            <v>NET CASH   INFLOW FROM OPERATING ACTIVITIES</v>
          </cell>
          <cell r="J111">
            <v>34558.763354869152</v>
          </cell>
          <cell r="L111">
            <v>-658669</v>
          </cell>
        </row>
        <row r="113">
          <cell r="B113" t="str">
            <v>CASH FLOW FROM INVESTING ACTIVITIES</v>
          </cell>
        </row>
        <row r="114">
          <cell r="C114" t="str">
            <v>Fixed capital expenditure ( Including Daihatsu)</v>
          </cell>
          <cell r="J114">
            <v>-336537</v>
          </cell>
          <cell r="L114">
            <v>-213592</v>
          </cell>
        </row>
        <row r="115">
          <cell r="C115" t="str">
            <v>Sale proceeds of fixed assets</v>
          </cell>
          <cell r="J115">
            <v>0</v>
          </cell>
          <cell r="L115">
            <v>13520</v>
          </cell>
        </row>
        <row r="116">
          <cell r="C116" t="str">
            <v>Long term investment</v>
          </cell>
          <cell r="J116">
            <v>0</v>
          </cell>
          <cell r="L116">
            <v>-1875</v>
          </cell>
        </row>
        <row r="118">
          <cell r="B118" t="str">
            <v>NET CASH  (OUTFLOW) FROM INVESTING ACTIVITIES</v>
          </cell>
          <cell r="J118">
            <v>-336537</v>
          </cell>
          <cell r="L118">
            <v>-201947</v>
          </cell>
        </row>
        <row r="120">
          <cell r="J120">
            <v>-301978.23664513085</v>
          </cell>
          <cell r="L120">
            <v>-860616</v>
          </cell>
        </row>
        <row r="121">
          <cell r="B121" t="str">
            <v>CASH FLOW FROM FINANCING ACTIVITIES</v>
          </cell>
        </row>
        <row r="122">
          <cell r="C122" t="str">
            <v>Long term loan borrowed</v>
          </cell>
          <cell r="J122">
            <v>0</v>
          </cell>
          <cell r="L122">
            <v>283799</v>
          </cell>
        </row>
        <row r="123">
          <cell r="C123" t="str">
            <v>Repayment of locally manufactured machinery loan</v>
          </cell>
          <cell r="J123">
            <v>-14268</v>
          </cell>
          <cell r="L123">
            <v>-6725</v>
          </cell>
        </row>
        <row r="124">
          <cell r="C124" t="str">
            <v>Repayment of suppliers credit loan</v>
          </cell>
          <cell r="J124">
            <v>0</v>
          </cell>
          <cell r="L124">
            <v>-54806</v>
          </cell>
        </row>
        <row r="125">
          <cell r="C125" t="str">
            <v>Dividend paid</v>
          </cell>
          <cell r="J125">
            <v>-157200</v>
          </cell>
          <cell r="L125">
            <v>-113737</v>
          </cell>
        </row>
        <row r="127">
          <cell r="B127" t="str">
            <v>NET CASH  (OUTFLOW)  FROM FINANCING ACTIVITIES</v>
          </cell>
          <cell r="J127">
            <v>-171468</v>
          </cell>
          <cell r="L127">
            <v>108531</v>
          </cell>
        </row>
        <row r="129">
          <cell r="B129" t="str">
            <v>NET (DECREASE)  IN  CASH AND CASH EQUIVALENTS</v>
          </cell>
          <cell r="J129">
            <v>-473446.23664513085</v>
          </cell>
          <cell r="L129">
            <v>-752085</v>
          </cell>
        </row>
        <row r="131">
          <cell r="B131" t="str">
            <v>CASH AND CASH EQUIVALNETS AT BEGINNING OF THE YEAR</v>
          </cell>
          <cell r="J131">
            <v>81951</v>
          </cell>
          <cell r="L131">
            <v>834036</v>
          </cell>
        </row>
        <row r="133">
          <cell r="B133" t="str">
            <v>CASH AND CASH EQUIVALNETS AT END OF THE YEAR</v>
          </cell>
          <cell r="J133">
            <v>-391495.23664513085</v>
          </cell>
          <cell r="L133">
            <v>81951</v>
          </cell>
        </row>
        <row r="134">
          <cell r="J134">
            <v>4176341.2998515274</v>
          </cell>
        </row>
        <row r="135">
          <cell r="J135">
            <v>4567836.5364966579</v>
          </cell>
        </row>
        <row r="137">
          <cell r="B137" t="str">
            <v>INDUS MOTOR COMPANY LIMITED</v>
          </cell>
        </row>
        <row r="138">
          <cell r="B138" t="str">
            <v>SUMMARY OF CASH FLOW</v>
          </cell>
        </row>
        <row r="139">
          <cell r="B139" t="str">
            <v>FOR THE YEAR 1999~00</v>
          </cell>
        </row>
        <row r="141">
          <cell r="H141" t="str">
            <v>Rs '000</v>
          </cell>
          <cell r="I141" t="str">
            <v>Rs '000</v>
          </cell>
        </row>
        <row r="143">
          <cell r="C143" t="str">
            <v>Profit before taxation</v>
          </cell>
          <cell r="I143">
            <v>70764.368931571371</v>
          </cell>
        </row>
        <row r="144">
          <cell r="B144" t="str">
            <v>Add:</v>
          </cell>
          <cell r="C144" t="str">
            <v>Depreciation</v>
          </cell>
          <cell r="I144">
            <v>157941</v>
          </cell>
        </row>
        <row r="145">
          <cell r="I145">
            <v>228705.36893157137</v>
          </cell>
        </row>
        <row r="147">
          <cell r="C147" t="str">
            <v>INFLOWS</v>
          </cell>
          <cell r="I147">
            <v>0</v>
          </cell>
        </row>
        <row r="148">
          <cell r="I148">
            <v>228705.36893157137</v>
          </cell>
        </row>
        <row r="149">
          <cell r="C149" t="str">
            <v>OUTFLOWS</v>
          </cell>
        </row>
        <row r="150">
          <cell r="D150" t="str">
            <v>Decrease in creditors accrued and other liabilities</v>
          </cell>
          <cell r="H150">
            <v>-16288</v>
          </cell>
        </row>
        <row r="151">
          <cell r="D151" t="str">
            <v>Income tax paid</v>
          </cell>
          <cell r="H151">
            <v>-177858.60557670222</v>
          </cell>
        </row>
        <row r="152">
          <cell r="D152" t="str">
            <v>Fixed capital expenditure ( Including Daihatsu)</v>
          </cell>
          <cell r="H152">
            <v>-336537</v>
          </cell>
        </row>
        <row r="153">
          <cell r="D153" t="str">
            <v>Repayment of locally manufactured machinery loan</v>
          </cell>
          <cell r="H153">
            <v>-14268</v>
          </cell>
        </row>
        <row r="154">
          <cell r="D154" t="str">
            <v>Dividend paid</v>
          </cell>
          <cell r="H154">
            <v>-157200</v>
          </cell>
        </row>
        <row r="156">
          <cell r="D156" t="str">
            <v>Total of  Inflow</v>
          </cell>
          <cell r="I156">
            <v>-702151.60557670216</v>
          </cell>
        </row>
        <row r="157">
          <cell r="I157">
            <v>-473446.23664513079</v>
          </cell>
        </row>
        <row r="159">
          <cell r="C159" t="str">
            <v>Opening  Cash and Bank Balance ( 01st July ' 99)</v>
          </cell>
          <cell r="I159">
            <v>81951</v>
          </cell>
        </row>
        <row r="161">
          <cell r="C161" t="str">
            <v>Closing  Cash and Bank Balance</v>
          </cell>
          <cell r="I161">
            <v>-391495.23664513079</v>
          </cell>
        </row>
        <row r="167">
          <cell r="B167" t="str">
            <v>INDUS MOTOR COMPANY LIMITED</v>
          </cell>
        </row>
        <row r="168">
          <cell r="B168" t="str">
            <v xml:space="preserve">SUPPORTS OF BUDGETED BALANCE SHEET </v>
          </cell>
        </row>
        <row r="169">
          <cell r="B169" t="str">
            <v>AS ON 1999-00</v>
          </cell>
          <cell r="J169" t="str">
            <v>Rs' 000</v>
          </cell>
        </row>
        <row r="171">
          <cell r="H171" t="str">
            <v>Budget</v>
          </cell>
          <cell r="I171" t="str">
            <v>Actual</v>
          </cell>
          <cell r="J171" t="str">
            <v>Varinace</v>
          </cell>
        </row>
        <row r="173">
          <cell r="B173" t="str">
            <v>Unappropriated Profit</v>
          </cell>
          <cell r="H173">
            <v>95060</v>
          </cell>
          <cell r="I173">
            <v>252260</v>
          </cell>
          <cell r="J173">
            <v>-157200</v>
          </cell>
        </row>
        <row r="175">
          <cell r="B175" t="str">
            <v>Opening balance</v>
          </cell>
          <cell r="J175">
            <v>252260</v>
          </cell>
        </row>
        <row r="176">
          <cell r="B176" t="str">
            <v>Less: Dividend  for 98~99</v>
          </cell>
          <cell r="J176">
            <v>-157200</v>
          </cell>
        </row>
        <row r="177">
          <cell r="B177" t="str">
            <v>Add: Projected net profit for 99~00</v>
          </cell>
          <cell r="J177">
            <v>0</v>
          </cell>
        </row>
        <row r="178">
          <cell r="B178" t="str">
            <v>Closing balance</v>
          </cell>
          <cell r="J178">
            <v>95060</v>
          </cell>
        </row>
        <row r="181">
          <cell r="B181" t="str">
            <v>Long Term Loans</v>
          </cell>
          <cell r="H181">
            <v>310415</v>
          </cell>
          <cell r="I181">
            <v>324683</v>
          </cell>
          <cell r="J181">
            <v>-14268</v>
          </cell>
        </row>
        <row r="183">
          <cell r="B183" t="str">
            <v>Opening balance</v>
          </cell>
          <cell r="J183">
            <v>324683</v>
          </cell>
        </row>
        <row r="184">
          <cell r="B184" t="str">
            <v>Repayment of loan</v>
          </cell>
          <cell r="J184">
            <v>-14268</v>
          </cell>
        </row>
        <row r="185">
          <cell r="B185" t="str">
            <v>Closing balance</v>
          </cell>
          <cell r="J185">
            <v>310415</v>
          </cell>
        </row>
        <row r="188">
          <cell r="B188" t="str">
            <v>Creditors, accrued and other liabilities</v>
          </cell>
          <cell r="H188">
            <v>578615</v>
          </cell>
          <cell r="I188">
            <v>594906</v>
          </cell>
          <cell r="J188">
            <v>-16291</v>
          </cell>
        </row>
        <row r="190">
          <cell r="B190" t="str">
            <v>Opening balance</v>
          </cell>
          <cell r="J190">
            <v>594906</v>
          </cell>
        </row>
        <row r="191">
          <cell r="B191" t="str">
            <v>Payment of running royalty (Last year 98~99)</v>
          </cell>
          <cell r="J191">
            <v>-33179</v>
          </cell>
        </row>
        <row r="192">
          <cell r="B192" t="str">
            <v>Payment of  W.P.P.F (Last year 98~99)</v>
          </cell>
          <cell r="J192">
            <v>-26925</v>
          </cell>
        </row>
        <row r="193">
          <cell r="B193" t="str">
            <v>Payment of W.W.F (Last year 98~99)</v>
          </cell>
          <cell r="J193">
            <v>-10231</v>
          </cell>
        </row>
        <row r="194">
          <cell r="B194" t="str">
            <v>Payment of markup - short term</v>
          </cell>
          <cell r="J194">
            <v>-25170</v>
          </cell>
        </row>
        <row r="195">
          <cell r="B195" t="str">
            <v>Payment of markup - long term loan</v>
          </cell>
          <cell r="J195">
            <v>-4132</v>
          </cell>
        </row>
        <row r="196">
          <cell r="J196">
            <v>495269</v>
          </cell>
        </row>
        <row r="197">
          <cell r="B197" t="str">
            <v>Provision for running royalty</v>
          </cell>
          <cell r="J197">
            <v>39956</v>
          </cell>
        </row>
        <row r="198">
          <cell r="B198" t="str">
            <v xml:space="preserve">Provision for   W.P.P.F </v>
          </cell>
          <cell r="J198">
            <v>12882</v>
          </cell>
        </row>
        <row r="199">
          <cell r="B199" t="str">
            <v xml:space="preserve">Provision for  W.W.F </v>
          </cell>
          <cell r="J199">
            <v>3661</v>
          </cell>
        </row>
        <row r="200">
          <cell r="B200" t="str">
            <v>Provision for markup - short term</v>
          </cell>
          <cell r="J200">
            <v>4220</v>
          </cell>
        </row>
        <row r="201">
          <cell r="B201" t="str">
            <v>Provision for markup - long  term loan</v>
          </cell>
          <cell r="J201">
            <v>22302</v>
          </cell>
        </row>
        <row r="202">
          <cell r="B202" t="str">
            <v>Provision of expenses</v>
          </cell>
          <cell r="J202">
            <v>325</v>
          </cell>
        </row>
        <row r="203">
          <cell r="B203" t="str">
            <v>Closing balance</v>
          </cell>
          <cell r="J203">
            <v>578615</v>
          </cell>
        </row>
        <row r="206">
          <cell r="B206" t="str">
            <v>Tangible Fixed Assets</v>
          </cell>
          <cell r="H206">
            <v>1014205</v>
          </cell>
          <cell r="I206">
            <v>958644</v>
          </cell>
          <cell r="J206">
            <v>55561</v>
          </cell>
        </row>
        <row r="208">
          <cell r="B208" t="str">
            <v>Opening balance</v>
          </cell>
          <cell r="J208">
            <v>958644</v>
          </cell>
        </row>
        <row r="209">
          <cell r="B209" t="str">
            <v>Addition</v>
          </cell>
          <cell r="J209">
            <v>161214</v>
          </cell>
        </row>
        <row r="210">
          <cell r="B210" t="str">
            <v>Depreciation</v>
          </cell>
          <cell r="J210">
            <v>-157941</v>
          </cell>
        </row>
        <row r="211">
          <cell r="B211" t="str">
            <v>Closing balance</v>
          </cell>
          <cell r="J211">
            <v>961917</v>
          </cell>
        </row>
        <row r="213">
          <cell r="B213" t="str">
            <v>Capital work in progress - D</v>
          </cell>
        </row>
        <row r="215">
          <cell r="B215" t="str">
            <v>Opening balance</v>
          </cell>
          <cell r="J215">
            <v>76347</v>
          </cell>
        </row>
        <row r="216">
          <cell r="B216" t="str">
            <v>Expenditure</v>
          </cell>
          <cell r="J216">
            <v>207452</v>
          </cell>
        </row>
        <row r="217">
          <cell r="B217" t="str">
            <v>Total expenditure of HBL loan</v>
          </cell>
          <cell r="J217">
            <v>283799</v>
          </cell>
        </row>
        <row r="221">
          <cell r="B221" t="str">
            <v>Advance income tax</v>
          </cell>
          <cell r="H221">
            <v>72970</v>
          </cell>
          <cell r="I221">
            <v>59908</v>
          </cell>
          <cell r="J221">
            <v>13062</v>
          </cell>
        </row>
        <row r="223">
          <cell r="B223" t="str">
            <v>Opening balance</v>
          </cell>
          <cell r="J223">
            <v>59908</v>
          </cell>
        </row>
        <row r="224">
          <cell r="B224" t="str">
            <v>Normal taxation</v>
          </cell>
          <cell r="J224">
            <v>-66938</v>
          </cell>
        </row>
        <row r="225">
          <cell r="B225" t="str">
            <v>Advance taxation</v>
          </cell>
          <cell r="J225">
            <v>80000</v>
          </cell>
        </row>
        <row r="226">
          <cell r="B226" t="str">
            <v>Closing balance</v>
          </cell>
          <cell r="J226">
            <v>72970</v>
          </cell>
        </row>
        <row r="228">
          <cell r="B228" t="str">
            <v>INDUS MOTOR COMPANY LIMITED</v>
          </cell>
        </row>
        <row r="229">
          <cell r="B229" t="str">
            <v>SUPPORTS OF BUDGETED CASH FLOW STATEMENT</v>
          </cell>
        </row>
        <row r="230">
          <cell r="B230" t="str">
            <v>FOR THE YEAR 1999~00</v>
          </cell>
          <cell r="J230" t="str">
            <v>Rs' 000</v>
          </cell>
        </row>
        <row r="233">
          <cell r="B233" t="str">
            <v>Fixed capital expenditure</v>
          </cell>
        </row>
        <row r="235">
          <cell r="C235" t="str">
            <v>Capital expenditure budget  - (Toyota)</v>
          </cell>
          <cell r="J235">
            <v>161214</v>
          </cell>
        </row>
        <row r="237">
          <cell r="C237" t="str">
            <v>Capital expenditure             - (Daihatsu)</v>
          </cell>
          <cell r="J237">
            <v>283799</v>
          </cell>
        </row>
        <row r="239">
          <cell r="J239">
            <v>445013</v>
          </cell>
        </row>
        <row r="241">
          <cell r="C241" t="str">
            <v>Less: Already incurred  in 98-99</v>
          </cell>
        </row>
        <row r="243">
          <cell r="D243" t="str">
            <v>Toyota</v>
          </cell>
          <cell r="J243">
            <v>32130</v>
          </cell>
        </row>
        <row r="245">
          <cell r="D245" t="str">
            <v>Daihatsu</v>
          </cell>
          <cell r="J245">
            <v>76347</v>
          </cell>
        </row>
        <row r="246">
          <cell r="J246">
            <v>108477</v>
          </cell>
        </row>
        <row r="248">
          <cell r="C248" t="str">
            <v>To be spent in 99~00</v>
          </cell>
          <cell r="J248">
            <v>336536</v>
          </cell>
        </row>
        <row r="252">
          <cell r="B252" t="str">
            <v>INDUS MOTOR COMPANY LIMITED</v>
          </cell>
        </row>
        <row r="253">
          <cell r="B253" t="str">
            <v>NOTES TO THE ACCOUNTS FOR THE YEAR ENDED</v>
          </cell>
        </row>
        <row r="254">
          <cell r="B254" t="str">
            <v>JUNE 30 , 1999</v>
          </cell>
        </row>
        <row r="255">
          <cell r="I255">
            <v>0</v>
          </cell>
        </row>
        <row r="256">
          <cell r="H256" t="str">
            <v>Budget</v>
          </cell>
          <cell r="I256">
            <v>0</v>
          </cell>
          <cell r="J256" t="str">
            <v>Actual</v>
          </cell>
        </row>
        <row r="257">
          <cell r="H257">
            <v>2000</v>
          </cell>
          <cell r="J257">
            <v>1999</v>
          </cell>
        </row>
        <row r="258">
          <cell r="H258" t="str">
            <v>(Rupees in thousand)</v>
          </cell>
        </row>
        <row r="259">
          <cell r="B259">
            <v>3</v>
          </cell>
          <cell r="C259" t="str">
            <v>RESERVES</v>
          </cell>
        </row>
        <row r="260">
          <cell r="C260" t="str">
            <v>Capital reserve</v>
          </cell>
        </row>
        <row r="261">
          <cell r="D261" t="str">
            <v>Premium on issue of Ordinary shares</v>
          </cell>
          <cell r="H261">
            <v>196500</v>
          </cell>
          <cell r="J261">
            <v>196500</v>
          </cell>
        </row>
        <row r="263">
          <cell r="C263" t="str">
            <v>Revenue reserve</v>
          </cell>
        </row>
        <row r="264">
          <cell r="D264" t="str">
            <v>Balance brought forward</v>
          </cell>
          <cell r="H264">
            <v>418500</v>
          </cell>
          <cell r="J264">
            <v>418500</v>
          </cell>
        </row>
        <row r="266">
          <cell r="D266" t="str">
            <v>Transferred from Profit and Loss account</v>
          </cell>
          <cell r="H266">
            <v>252260</v>
          </cell>
          <cell r="J266">
            <v>0</v>
          </cell>
        </row>
        <row r="267">
          <cell r="H267">
            <v>670760</v>
          </cell>
          <cell r="J267">
            <v>418500</v>
          </cell>
        </row>
        <row r="269">
          <cell r="D269" t="str">
            <v>Unappropriated profit</v>
          </cell>
          <cell r="H269">
            <v>0</v>
          </cell>
          <cell r="J269">
            <v>252260</v>
          </cell>
        </row>
        <row r="271">
          <cell r="H271">
            <v>867260</v>
          </cell>
          <cell r="J271">
            <v>867260</v>
          </cell>
        </row>
        <row r="273">
          <cell r="B273">
            <v>4</v>
          </cell>
          <cell r="C273" t="str">
            <v>LONG TERM LOANS - secured</v>
          </cell>
        </row>
        <row r="275">
          <cell r="D275" t="str">
            <v>Locally manufactured machinery loan</v>
          </cell>
          <cell r="H275">
            <v>40884</v>
          </cell>
          <cell r="J275">
            <v>55152</v>
          </cell>
        </row>
        <row r="276">
          <cell r="D276" t="str">
            <v>Less: Current maturity shown under currnet liabilities</v>
          </cell>
          <cell r="H276">
            <v>14268</v>
          </cell>
          <cell r="J276">
            <v>14268</v>
          </cell>
        </row>
        <row r="277">
          <cell r="H277">
            <v>26616</v>
          </cell>
          <cell r="J277">
            <v>40884</v>
          </cell>
        </row>
        <row r="279">
          <cell r="D279" t="str">
            <v>Term loan</v>
          </cell>
          <cell r="H279">
            <v>283799</v>
          </cell>
          <cell r="J279">
            <v>283799</v>
          </cell>
        </row>
        <row r="281">
          <cell r="H281">
            <v>310415</v>
          </cell>
          <cell r="J281">
            <v>324683</v>
          </cell>
        </row>
        <row r="283">
          <cell r="B283">
            <v>5</v>
          </cell>
          <cell r="C283" t="str">
            <v>CREDITORS , ACCRUED AND OTHER LIABILITIES</v>
          </cell>
        </row>
        <row r="284">
          <cell r="C284" t="str">
            <v>Creditors</v>
          </cell>
        </row>
        <row r="285">
          <cell r="D285" t="str">
            <v>Associated undertakings</v>
          </cell>
          <cell r="H285">
            <v>131355</v>
          </cell>
          <cell r="J285">
            <v>131355</v>
          </cell>
        </row>
        <row r="286">
          <cell r="D286" t="str">
            <v>Other trade creditodrs</v>
          </cell>
          <cell r="H286">
            <v>94622</v>
          </cell>
          <cell r="J286">
            <v>94622</v>
          </cell>
        </row>
        <row r="287">
          <cell r="H287">
            <v>225977</v>
          </cell>
          <cell r="J287">
            <v>225977</v>
          </cell>
        </row>
        <row r="288">
          <cell r="C288" t="str">
            <v>Accrued liabilities</v>
          </cell>
        </row>
        <row r="289">
          <cell r="D289" t="str">
            <v>Accrued expenses</v>
          </cell>
          <cell r="H289">
            <v>62961</v>
          </cell>
          <cell r="J289">
            <v>62636</v>
          </cell>
        </row>
        <row r="290">
          <cell r="D290" t="str">
            <v>Mark-up on secured long therm loans</v>
          </cell>
          <cell r="H290">
            <v>2418</v>
          </cell>
          <cell r="J290">
            <v>2330</v>
          </cell>
        </row>
        <row r="291">
          <cell r="D291" t="str">
            <v>Mark-up on secured short term running finances</v>
          </cell>
          <cell r="H291">
            <v>8341</v>
          </cell>
          <cell r="J291">
            <v>11209</v>
          </cell>
          <cell r="K291">
            <v>13539</v>
          </cell>
          <cell r="L291">
            <v>0</v>
          </cell>
          <cell r="M291">
            <v>13539</v>
          </cell>
          <cell r="N291">
            <v>-7200</v>
          </cell>
          <cell r="O291">
            <v>6339</v>
          </cell>
        </row>
        <row r="292">
          <cell r="H292">
            <v>73720</v>
          </cell>
          <cell r="J292">
            <v>76175</v>
          </cell>
        </row>
        <row r="293">
          <cell r="C293" t="str">
            <v>Other liabilities</v>
          </cell>
        </row>
        <row r="294">
          <cell r="D294" t="str">
            <v>Advances from customers and dealers</v>
          </cell>
          <cell r="H294">
            <v>185864</v>
          </cell>
          <cell r="J294">
            <v>185864</v>
          </cell>
        </row>
        <row r="295">
          <cell r="D295" t="str">
            <v>Commission payable</v>
          </cell>
          <cell r="H295">
            <v>198</v>
          </cell>
          <cell r="J295">
            <v>198</v>
          </cell>
        </row>
        <row r="296">
          <cell r="D296" t="str">
            <v>Interest income</v>
          </cell>
          <cell r="H296">
            <v>0</v>
          </cell>
          <cell r="J296">
            <v>0</v>
          </cell>
        </row>
        <row r="297">
          <cell r="D297" t="str">
            <v>Due to an associated undertakings - running royalty</v>
          </cell>
          <cell r="H297">
            <v>36922</v>
          </cell>
          <cell r="J297">
            <v>30145</v>
          </cell>
        </row>
        <row r="298">
          <cell r="D298" t="str">
            <v>Technical fee</v>
          </cell>
          <cell r="H298">
            <v>3112</v>
          </cell>
          <cell r="J298">
            <v>3112</v>
          </cell>
        </row>
        <row r="299">
          <cell r="D299" t="str">
            <v>Warranty obligations</v>
          </cell>
          <cell r="H299">
            <v>20097</v>
          </cell>
          <cell r="J299">
            <v>20097</v>
          </cell>
        </row>
        <row r="300">
          <cell r="D300" t="str">
            <v>Retention money</v>
          </cell>
          <cell r="H300">
            <v>1050</v>
          </cell>
          <cell r="J300">
            <v>1050</v>
          </cell>
        </row>
        <row r="301">
          <cell r="D301" t="str">
            <v>Worker's profit participation fund</v>
          </cell>
          <cell r="H301">
            <v>12882</v>
          </cell>
          <cell r="J301">
            <v>26925</v>
          </cell>
        </row>
        <row r="302">
          <cell r="D302" t="str">
            <v>Workers welfare fund</v>
          </cell>
          <cell r="H302">
            <v>3976</v>
          </cell>
          <cell r="J302">
            <v>10546</v>
          </cell>
        </row>
        <row r="303">
          <cell r="D303" t="str">
            <v>Tax deducted at source</v>
          </cell>
          <cell r="H303">
            <v>4552</v>
          </cell>
          <cell r="J303">
            <v>4552</v>
          </cell>
        </row>
        <row r="304">
          <cell r="D304" t="str">
            <v>Exchange risk and other charges</v>
          </cell>
          <cell r="H304">
            <v>0</v>
          </cell>
          <cell r="J304">
            <v>0</v>
          </cell>
        </row>
        <row r="305">
          <cell r="D305" t="str">
            <v>Payable to employees</v>
          </cell>
          <cell r="H305">
            <v>3379</v>
          </cell>
          <cell r="J305">
            <v>3379</v>
          </cell>
        </row>
        <row r="306">
          <cell r="D306" t="str">
            <v>Unclaimed dividend</v>
          </cell>
          <cell r="H306">
            <v>6886</v>
          </cell>
          <cell r="J306">
            <v>6886</v>
          </cell>
        </row>
        <row r="307">
          <cell r="H307">
            <v>0</v>
          </cell>
          <cell r="J307">
            <v>0</v>
          </cell>
        </row>
        <row r="309">
          <cell r="H309">
            <v>278918</v>
          </cell>
          <cell r="J309">
            <v>292754</v>
          </cell>
        </row>
        <row r="311">
          <cell r="H311">
            <v>578615</v>
          </cell>
          <cell r="J311">
            <v>594906</v>
          </cell>
        </row>
        <row r="313">
          <cell r="B313">
            <v>6</v>
          </cell>
          <cell r="C313" t="str">
            <v>TRADE DEBTS</v>
          </cell>
        </row>
        <row r="314">
          <cell r="C314" t="str">
            <v>Considered good - unsecured</v>
          </cell>
        </row>
        <row r="315">
          <cell r="D315" t="str">
            <v>Government agencies</v>
          </cell>
          <cell r="H315">
            <v>96414</v>
          </cell>
          <cell r="J315">
            <v>96414</v>
          </cell>
        </row>
        <row r="316">
          <cell r="D316" t="str">
            <v>Others</v>
          </cell>
          <cell r="H316">
            <v>347485</v>
          </cell>
          <cell r="J316">
            <v>347485</v>
          </cell>
        </row>
        <row r="318">
          <cell r="H318">
            <v>443899</v>
          </cell>
          <cell r="J318">
            <v>443899</v>
          </cell>
        </row>
        <row r="321">
          <cell r="B321">
            <v>7</v>
          </cell>
          <cell r="C321" t="str">
            <v>LOANS , ADVANCES AND PREPAYMENTS</v>
          </cell>
        </row>
        <row r="323">
          <cell r="C323" t="str">
            <v>Considered good</v>
          </cell>
        </row>
        <row r="325">
          <cell r="C325" t="str">
            <v>Loans and advances</v>
          </cell>
        </row>
        <row r="327">
          <cell r="D327" t="str">
            <v>Executives</v>
          </cell>
          <cell r="H327">
            <v>2016</v>
          </cell>
          <cell r="J327">
            <v>2016</v>
          </cell>
        </row>
        <row r="328">
          <cell r="D328" t="str">
            <v>Staff</v>
          </cell>
          <cell r="H328">
            <v>1612</v>
          </cell>
          <cell r="J328">
            <v>1612</v>
          </cell>
        </row>
        <row r="329">
          <cell r="H329">
            <v>3628</v>
          </cell>
          <cell r="J329">
            <v>3628</v>
          </cell>
        </row>
        <row r="331">
          <cell r="H331">
            <v>0</v>
          </cell>
          <cell r="J331">
            <v>0</v>
          </cell>
        </row>
        <row r="332">
          <cell r="C332" t="str">
            <v>receivable against scrap</v>
          </cell>
          <cell r="H332">
            <v>0</v>
          </cell>
          <cell r="J332">
            <v>0</v>
          </cell>
        </row>
        <row r="333">
          <cell r="C333" t="str">
            <v>Advances to suppliers and contractors</v>
          </cell>
          <cell r="H333">
            <v>64229</v>
          </cell>
          <cell r="J333">
            <v>64229</v>
          </cell>
        </row>
        <row r="334">
          <cell r="H334">
            <v>0</v>
          </cell>
          <cell r="J334">
            <v>0</v>
          </cell>
        </row>
        <row r="335">
          <cell r="K335">
            <v>13062</v>
          </cell>
        </row>
        <row r="336">
          <cell r="H336">
            <v>67857</v>
          </cell>
          <cell r="J336">
            <v>67857</v>
          </cell>
        </row>
        <row r="338">
          <cell r="C338" t="str">
            <v>Prepayments</v>
          </cell>
        </row>
        <row r="339">
          <cell r="D339" t="str">
            <v>Rent</v>
          </cell>
          <cell r="H339">
            <v>2180</v>
          </cell>
          <cell r="J339">
            <v>2180</v>
          </cell>
        </row>
        <row r="340">
          <cell r="D340" t="str">
            <v>Interest</v>
          </cell>
          <cell r="H340">
            <v>0</v>
          </cell>
          <cell r="J340">
            <v>0</v>
          </cell>
        </row>
        <row r="341">
          <cell r="D341" t="str">
            <v>Insurance</v>
          </cell>
          <cell r="H341">
            <v>7</v>
          </cell>
          <cell r="J341">
            <v>7</v>
          </cell>
        </row>
        <row r="342">
          <cell r="H342">
            <v>2187</v>
          </cell>
          <cell r="J342">
            <v>2187</v>
          </cell>
        </row>
        <row r="344">
          <cell r="H344">
            <v>70044</v>
          </cell>
          <cell r="J344">
            <v>70044</v>
          </cell>
        </row>
        <row r="347">
          <cell r="C347" t="str">
            <v>WORKING OF BUDGETED BALANCE SHEET</v>
          </cell>
          <cell r="G347" t="str">
            <v xml:space="preserve">As per </v>
          </cell>
          <cell r="H347" t="str">
            <v xml:space="preserve">As per </v>
          </cell>
        </row>
        <row r="348">
          <cell r="G348" t="str">
            <v>P&amp;L</v>
          </cell>
          <cell r="H348" t="str">
            <v>Cashflow</v>
          </cell>
          <cell r="I348" t="str">
            <v>Diff</v>
          </cell>
        </row>
        <row r="349">
          <cell r="C349" t="str">
            <v>Creditors,Accrued  and Other Liabilities</v>
          </cell>
        </row>
        <row r="350">
          <cell r="C350" t="str">
            <v>Accrued and Other liabilities:</v>
          </cell>
        </row>
        <row r="351">
          <cell r="D351" t="str">
            <v>Production expenses</v>
          </cell>
          <cell r="G351">
            <v>-46730.558999999965</v>
          </cell>
          <cell r="H351">
            <v>94561.699241425827</v>
          </cell>
          <cell r="I351">
            <v>-141292.25824142579</v>
          </cell>
        </row>
        <row r="352">
          <cell r="D352" t="str">
            <v>Running Royalty</v>
          </cell>
          <cell r="G352">
            <v>46730.558999999965</v>
          </cell>
          <cell r="H352">
            <v>30000</v>
          </cell>
          <cell r="I352">
            <v>16730.558999999965</v>
          </cell>
        </row>
        <row r="353">
          <cell r="D353" t="str">
            <v>Selling expenses</v>
          </cell>
          <cell r="G353">
            <v>0</v>
          </cell>
          <cell r="H353">
            <v>63142.203999999991</v>
          </cell>
          <cell r="I353">
            <v>-63142.203999999991</v>
          </cell>
        </row>
        <row r="354">
          <cell r="D354" t="str">
            <v>Adminstrative expenses</v>
          </cell>
          <cell r="G354">
            <v>85250</v>
          </cell>
          <cell r="H354">
            <v>128656.47499999998</v>
          </cell>
          <cell r="I354">
            <v>-43406.474999999977</v>
          </cell>
        </row>
        <row r="355">
          <cell r="D355" t="str">
            <v>Charity &amp; donation</v>
          </cell>
          <cell r="G355">
            <v>0</v>
          </cell>
          <cell r="H355">
            <v>4478.4691049310231</v>
          </cell>
          <cell r="I355">
            <v>-4478.4691049310231</v>
          </cell>
        </row>
        <row r="356">
          <cell r="D356" t="str">
            <v>W.P.P.F</v>
          </cell>
          <cell r="G356">
            <v>5000</v>
          </cell>
          <cell r="H356">
            <v>54000</v>
          </cell>
          <cell r="I356">
            <v>-49000</v>
          </cell>
        </row>
        <row r="357">
          <cell r="D357" t="str">
            <v>W.W.F</v>
          </cell>
          <cell r="G357">
            <v>42437.948501138671</v>
          </cell>
          <cell r="H357">
            <v>20000</v>
          </cell>
          <cell r="I357">
            <v>22437.948501138671</v>
          </cell>
        </row>
        <row r="358">
          <cell r="G358">
            <v>0</v>
          </cell>
          <cell r="H358">
            <v>0</v>
          </cell>
          <cell r="I358">
            <v>0</v>
          </cell>
        </row>
        <row r="359">
          <cell r="D359" t="str">
            <v>Financial charges : Capital expenditure</v>
          </cell>
          <cell r="G359">
            <v>0</v>
          </cell>
          <cell r="H359">
            <v>-14268</v>
          </cell>
          <cell r="I359">
            <v>14268</v>
          </cell>
        </row>
        <row r="360">
          <cell r="D360" t="str">
            <v>Financial charges : Working Capital</v>
          </cell>
          <cell r="G360">
            <v>0</v>
          </cell>
          <cell r="H360">
            <v>7200</v>
          </cell>
          <cell r="I360">
            <v>-7200</v>
          </cell>
        </row>
        <row r="361">
          <cell r="D361" t="str">
            <v>Taxation - Normal</v>
          </cell>
          <cell r="G361">
            <v>0</v>
          </cell>
          <cell r="H361">
            <v>0</v>
          </cell>
          <cell r="I361">
            <v>0</v>
          </cell>
        </row>
        <row r="363">
          <cell r="G363">
            <v>132687.94850113866</v>
          </cell>
          <cell r="H363">
            <v>387770.84734635684</v>
          </cell>
          <cell r="I363">
            <v>-255082.89884521818</v>
          </cell>
        </row>
        <row r="365">
          <cell r="C365" t="str">
            <v>Payment of dividend</v>
          </cell>
          <cell r="G365">
            <v>0</v>
          </cell>
          <cell r="H365">
            <v>157200</v>
          </cell>
          <cell r="I365">
            <v>-157200</v>
          </cell>
        </row>
        <row r="367">
          <cell r="G367">
            <v>0</v>
          </cell>
          <cell r="H367">
            <v>157200</v>
          </cell>
          <cell r="I367">
            <v>-157200</v>
          </cell>
        </row>
        <row r="369">
          <cell r="C369" t="str">
            <v>Fixed Assets</v>
          </cell>
        </row>
        <row r="370">
          <cell r="C370" t="str">
            <v>Capital work in progress:</v>
          </cell>
        </row>
        <row r="371">
          <cell r="D371" t="str">
            <v xml:space="preserve">Project investment </v>
          </cell>
          <cell r="G371" t="e">
            <v>#REF!</v>
          </cell>
          <cell r="H371">
            <v>18000</v>
          </cell>
          <cell r="I371" t="e">
            <v>#REF!</v>
          </cell>
        </row>
        <row r="373">
          <cell r="G373" t="e">
            <v>#REF!</v>
          </cell>
          <cell r="H373">
            <v>18000</v>
          </cell>
          <cell r="I373" t="e">
            <v>#REF!</v>
          </cell>
        </row>
        <row r="375">
          <cell r="C375" t="str">
            <v>Debtors</v>
          </cell>
        </row>
        <row r="376">
          <cell r="C376" t="str">
            <v>Sales</v>
          </cell>
          <cell r="D376" t="str">
            <v>CKD</v>
          </cell>
          <cell r="G376">
            <v>11552113.913043479</v>
          </cell>
          <cell r="H376">
            <v>10276346.956521738</v>
          </cell>
          <cell r="I376">
            <v>1275766.9565217402</v>
          </cell>
        </row>
        <row r="377">
          <cell r="C377" t="str">
            <v>Sales</v>
          </cell>
          <cell r="D377" t="str">
            <v>CBU</v>
          </cell>
          <cell r="G377">
            <v>1101895.2173913042</v>
          </cell>
          <cell r="H377">
            <v>1067112.6086956523</v>
          </cell>
          <cell r="I377">
            <v>34782.60869565187</v>
          </cell>
        </row>
        <row r="379">
          <cell r="G379">
            <v>12654009.130434783</v>
          </cell>
          <cell r="H379">
            <v>11343459.565217391</v>
          </cell>
          <cell r="I379">
            <v>1310549.5652173921</v>
          </cell>
        </row>
        <row r="381">
          <cell r="C381" t="str">
            <v>Advance Deposits Perepayments and other receivables</v>
          </cell>
        </row>
        <row r="382">
          <cell r="C382" t="str">
            <v>Advances &amp; Other receivable</v>
          </cell>
        </row>
        <row r="383">
          <cell r="C383" t="str">
            <v>CKD Cost</v>
          </cell>
          <cell r="G383">
            <v>0</v>
          </cell>
          <cell r="H383">
            <v>8742459.5609221719</v>
          </cell>
          <cell r="I383">
            <v>-8742459.5609221719</v>
          </cell>
        </row>
        <row r="384">
          <cell r="C384" t="str">
            <v>CBU Cost</v>
          </cell>
          <cell r="G384">
            <v>0</v>
          </cell>
          <cell r="H384">
            <v>882929.31331255147</v>
          </cell>
          <cell r="I384">
            <v>-882929.31331255147</v>
          </cell>
        </row>
        <row r="385">
          <cell r="C385" t="str">
            <v>30% Margin on L/C CKD</v>
          </cell>
          <cell r="G385">
            <v>0</v>
          </cell>
          <cell r="H385">
            <v>0</v>
          </cell>
          <cell r="I385">
            <v>0</v>
          </cell>
        </row>
        <row r="386">
          <cell r="C386" t="str">
            <v>30% Margin on L/C CBU</v>
          </cell>
          <cell r="G386">
            <v>0</v>
          </cell>
          <cell r="H386">
            <v>0</v>
          </cell>
          <cell r="I386">
            <v>0</v>
          </cell>
        </row>
        <row r="387">
          <cell r="C387" t="str">
            <v>Presumptive tax</v>
          </cell>
          <cell r="G387">
            <v>0</v>
          </cell>
          <cell r="H387">
            <v>50058.605576702212</v>
          </cell>
          <cell r="I387">
            <v>-50058.605576702212</v>
          </cell>
        </row>
        <row r="388">
          <cell r="C388" t="str">
            <v>Advance tax payment</v>
          </cell>
          <cell r="G388">
            <v>0</v>
          </cell>
          <cell r="H388">
            <v>127800</v>
          </cell>
          <cell r="I388">
            <v>-127800</v>
          </cell>
        </row>
        <row r="389">
          <cell r="C389" t="str">
            <v>Interest income</v>
          </cell>
          <cell r="G389">
            <v>0</v>
          </cell>
          <cell r="H389" t="e">
            <v>#REF!</v>
          </cell>
          <cell r="I389" t="e">
            <v>#REF!</v>
          </cell>
        </row>
        <row r="390">
          <cell r="C390" t="str">
            <v>HD income</v>
          </cell>
          <cell r="G390">
            <v>0</v>
          </cell>
          <cell r="H390">
            <v>35100.288</v>
          </cell>
          <cell r="I390">
            <v>-35100.288</v>
          </cell>
        </row>
        <row r="391">
          <cell r="C391" t="str">
            <v>Other income</v>
          </cell>
          <cell r="G391">
            <v>35100.288</v>
          </cell>
          <cell r="H391">
            <v>4800</v>
          </cell>
          <cell r="I391">
            <v>30300.288</v>
          </cell>
        </row>
        <row r="393">
          <cell r="G393">
            <v>35100.288</v>
          </cell>
          <cell r="H393" t="e">
            <v>#REF!</v>
          </cell>
          <cell r="I393" t="e">
            <v>#REF!</v>
          </cell>
        </row>
        <row r="395">
          <cell r="C395" t="str">
            <v>Imprest account</v>
          </cell>
          <cell r="G395">
            <v>0</v>
          </cell>
          <cell r="H395">
            <v>0</v>
          </cell>
          <cell r="I395">
            <v>0</v>
          </cell>
        </row>
      </sheetData>
      <sheetData sheetId="6">
        <row r="31">
          <cell r="B31" t="str">
            <v>Shareholders</v>
          </cell>
        </row>
        <row r="32">
          <cell r="B32" t="str">
            <v>Earning per share</v>
          </cell>
          <cell r="C32" t="str">
            <v xml:space="preserve">(Profit after taxation / No of Shares ) </v>
          </cell>
          <cell r="D32">
            <v>0</v>
          </cell>
          <cell r="E32">
            <v>0</v>
          </cell>
        </row>
        <row r="34">
          <cell r="B34" t="str">
            <v>Price earning ratio</v>
          </cell>
          <cell r="C34" t="str">
            <v>(Market Price of Share  / Earning per share ) = Times</v>
          </cell>
          <cell r="D34" t="e">
            <v>#DIV/0!</v>
          </cell>
          <cell r="E34" t="e">
            <v>#DIV/0!</v>
          </cell>
        </row>
        <row r="37">
          <cell r="B37" t="str">
            <v>Debt and Gearing Ratio</v>
          </cell>
        </row>
        <row r="39">
          <cell r="B39" t="str">
            <v>Debt / Equity Ratio</v>
          </cell>
          <cell r="C39" t="str">
            <v>(Share Capital + Reserves + Long Term loan ) / Long</v>
          </cell>
          <cell r="D39" t="str">
            <v xml:space="preserve">      03 :   97</v>
          </cell>
          <cell r="E39" t="str">
            <v xml:space="preserve">      04 :   96</v>
          </cell>
        </row>
        <row r="40">
          <cell r="C40" t="str">
            <v xml:space="preserve">                                                                                Term Loan</v>
          </cell>
        </row>
        <row r="42">
          <cell r="B42" t="str">
            <v>Debt Ratio</v>
          </cell>
          <cell r="C42" t="str">
            <v>(Total Debts  /  Total Assets)</v>
          </cell>
          <cell r="D42" t="str">
            <v>02 : 100</v>
          </cell>
          <cell r="E42" t="str">
            <v>04 : 100</v>
          </cell>
        </row>
        <row r="65">
          <cell r="J65" t="str">
            <v xml:space="preserve">C:\MIS\2002-03\[MIS-Aug-02-Sep17-QP.xls]Variantwise </v>
          </cell>
        </row>
        <row r="66">
          <cell r="C66" t="str">
            <v>XE</v>
          </cell>
          <cell r="D66" t="str">
            <v>XEG</v>
          </cell>
          <cell r="E66" t="str">
            <v>GL</v>
          </cell>
          <cell r="F66" t="str">
            <v>GLi</v>
          </cell>
          <cell r="G66" t="str">
            <v>GLi A/T</v>
          </cell>
          <cell r="H66" t="str">
            <v xml:space="preserve">2.0.D </v>
          </cell>
          <cell r="I66" t="str">
            <v>2.0.D G</v>
          </cell>
          <cell r="J66" t="str">
            <v>2.0.D Ltd</v>
          </cell>
          <cell r="K66" t="str">
            <v>4x2</v>
          </cell>
          <cell r="L66" t="str">
            <v>4x4</v>
          </cell>
          <cell r="M66" t="str">
            <v>Total</v>
          </cell>
        </row>
        <row r="67">
          <cell r="C67">
            <v>1460</v>
          </cell>
          <cell r="D67">
            <v>0</v>
          </cell>
          <cell r="E67">
            <v>960</v>
          </cell>
          <cell r="F67">
            <v>1300</v>
          </cell>
          <cell r="G67">
            <v>1100</v>
          </cell>
          <cell r="H67">
            <v>1840</v>
          </cell>
          <cell r="I67">
            <v>2940</v>
          </cell>
          <cell r="J67">
            <v>0</v>
          </cell>
          <cell r="K67">
            <v>1121</v>
          </cell>
          <cell r="L67">
            <v>1479</v>
          </cell>
          <cell r="M67">
            <v>12200</v>
          </cell>
        </row>
        <row r="68">
          <cell r="C68">
            <v>718260.86956521741</v>
          </cell>
          <cell r="D68" t="e">
            <v>#DIV/0!</v>
          </cell>
          <cell r="E68">
            <v>796521.73913043481</v>
          </cell>
          <cell r="F68">
            <v>903260.86956521741</v>
          </cell>
          <cell r="G68">
            <v>981521.73913043481</v>
          </cell>
          <cell r="H68">
            <v>848695.65217391308</v>
          </cell>
          <cell r="I68">
            <v>998913.04347826086</v>
          </cell>
          <cell r="J68" t="e">
            <v>#DIV/0!</v>
          </cell>
          <cell r="K68">
            <v>674782.60869565222</v>
          </cell>
          <cell r="L68">
            <v>645217.39130434778</v>
          </cell>
        </row>
        <row r="71">
          <cell r="B71" t="str">
            <v>CKD Cost</v>
          </cell>
          <cell r="C71">
            <v>258268.14140861234</v>
          </cell>
          <cell r="D71" t="e">
            <v>#DIV/0!</v>
          </cell>
          <cell r="E71">
            <v>311231.2087725295</v>
          </cell>
          <cell r="F71">
            <v>375735.3693498834</v>
          </cell>
          <cell r="G71">
            <v>441703.1443185262</v>
          </cell>
          <cell r="H71">
            <v>375139.79515105387</v>
          </cell>
          <cell r="I71">
            <v>514635.2303835096</v>
          </cell>
          <cell r="J71" t="e">
            <v>#DIV/0!</v>
          </cell>
          <cell r="K71">
            <v>456549.51474417682</v>
          </cell>
          <cell r="L71">
            <v>456549.51474417676</v>
          </cell>
        </row>
        <row r="72">
          <cell r="B72" t="str">
            <v>Vendor parts</v>
          </cell>
          <cell r="C72">
            <v>200507.36986301371</v>
          </cell>
          <cell r="D72" t="e">
            <v>#DIV/0!</v>
          </cell>
          <cell r="E72">
            <v>208145.84375</v>
          </cell>
          <cell r="F72">
            <v>230068.13076923077</v>
          </cell>
          <cell r="G72">
            <v>230124.43636363637</v>
          </cell>
          <cell r="H72">
            <v>201910.29891304349</v>
          </cell>
          <cell r="I72">
            <v>226227.37414965985</v>
          </cell>
          <cell r="J72" t="e">
            <v>#DIV/0!</v>
          </cell>
          <cell r="K72">
            <v>139346</v>
          </cell>
          <cell r="L72">
            <v>139346</v>
          </cell>
        </row>
        <row r="73">
          <cell r="B73" t="str">
            <v>Paints &amp; Chemicals</v>
          </cell>
          <cell r="C73">
            <v>11365</v>
          </cell>
          <cell r="D73" t="e">
            <v>#DIV/0!</v>
          </cell>
          <cell r="E73">
            <v>14743</v>
          </cell>
          <cell r="F73">
            <v>14450</v>
          </cell>
          <cell r="G73">
            <v>14623</v>
          </cell>
          <cell r="H73">
            <v>11355</v>
          </cell>
          <cell r="I73">
            <v>14625</v>
          </cell>
          <cell r="J73" t="e">
            <v>#DIV/0!</v>
          </cell>
          <cell r="K73">
            <v>11677</v>
          </cell>
          <cell r="L73">
            <v>11677</v>
          </cell>
        </row>
        <row r="74">
          <cell r="B74" t="str">
            <v>Consumables</v>
          </cell>
          <cell r="C74">
            <v>5237</v>
          </cell>
          <cell r="D74" t="e">
            <v>#DIV/0!</v>
          </cell>
          <cell r="E74">
            <v>5349</v>
          </cell>
          <cell r="F74">
            <v>5342</v>
          </cell>
          <cell r="G74">
            <v>5347</v>
          </cell>
          <cell r="H74">
            <v>5236</v>
          </cell>
          <cell r="I74">
            <v>5346</v>
          </cell>
          <cell r="J74" t="e">
            <v>#DIV/0!</v>
          </cell>
          <cell r="K74">
            <v>3227</v>
          </cell>
          <cell r="L74">
            <v>3227</v>
          </cell>
        </row>
        <row r="75">
          <cell r="B75" t="str">
            <v>KD Parts</v>
          </cell>
          <cell r="C75">
            <v>0</v>
          </cell>
          <cell r="D75" t="e">
            <v>#DIV/0!</v>
          </cell>
          <cell r="E75">
            <v>0</v>
          </cell>
          <cell r="F75">
            <v>0</v>
          </cell>
          <cell r="G75">
            <v>0</v>
          </cell>
          <cell r="H75">
            <v>0</v>
          </cell>
          <cell r="I75">
            <v>0</v>
          </cell>
          <cell r="J75" t="e">
            <v>#DIV/0!</v>
          </cell>
          <cell r="K75">
            <v>0</v>
          </cell>
          <cell r="L75">
            <v>0</v>
          </cell>
        </row>
        <row r="76">
          <cell r="B76" t="str">
            <v>Spare parts</v>
          </cell>
          <cell r="C76">
            <v>934</v>
          </cell>
          <cell r="D76" t="e">
            <v>#DIV/0!</v>
          </cell>
          <cell r="E76">
            <v>1002</v>
          </cell>
          <cell r="F76">
            <v>789</v>
          </cell>
          <cell r="G76">
            <v>779</v>
          </cell>
          <cell r="H76">
            <v>900</v>
          </cell>
          <cell r="I76">
            <v>789</v>
          </cell>
          <cell r="J76" t="e">
            <v>#DIV/0!</v>
          </cell>
          <cell r="K76">
            <v>41</v>
          </cell>
          <cell r="L76">
            <v>41</v>
          </cell>
        </row>
        <row r="77">
          <cell r="C77">
            <v>476311.51127162605</v>
          </cell>
          <cell r="D77" t="e">
            <v>#DIV/0!</v>
          </cell>
          <cell r="E77">
            <v>540471.0525225295</v>
          </cell>
          <cell r="F77">
            <v>626384.50011911418</v>
          </cell>
          <cell r="G77">
            <v>692576.58068216254</v>
          </cell>
          <cell r="H77">
            <v>594541.09406409739</v>
          </cell>
          <cell r="I77">
            <v>761622.60453316942</v>
          </cell>
          <cell r="J77" t="e">
            <v>#DIV/0!</v>
          </cell>
          <cell r="K77">
            <v>610840.51474417676</v>
          </cell>
          <cell r="L77">
            <v>610840.51474417676</v>
          </cell>
        </row>
        <row r="78">
          <cell r="C78">
            <v>241949.35829359136</v>
          </cell>
          <cell r="D78" t="e">
            <v>#DIV/0!</v>
          </cell>
          <cell r="E78">
            <v>256050.68660790531</v>
          </cell>
          <cell r="F78">
            <v>276876.36944610323</v>
          </cell>
          <cell r="G78">
            <v>288945.15844827227</v>
          </cell>
          <cell r="H78">
            <v>254154.5581098157</v>
          </cell>
          <cell r="I78">
            <v>237290.43894509145</v>
          </cell>
          <cell r="J78" t="e">
            <v>#DIV/0!</v>
          </cell>
          <cell r="K78">
            <v>63942.093951475457</v>
          </cell>
          <cell r="L78">
            <v>34376.876560171018</v>
          </cell>
        </row>
        <row r="81">
          <cell r="B81" t="str">
            <v xml:space="preserve">Salaries &amp; Wages </v>
          </cell>
          <cell r="C81">
            <v>4767.3094589713646</v>
          </cell>
          <cell r="D81" t="e">
            <v>#DIV/0!</v>
          </cell>
          <cell r="E81">
            <v>4776.2706326331272</v>
          </cell>
          <cell r="F81">
            <v>4813.6072934044723</v>
          </cell>
          <cell r="G81">
            <v>4805.592923404879</v>
          </cell>
          <cell r="H81">
            <v>4789.5499302359103</v>
          </cell>
          <cell r="I81">
            <v>4794.2758030354353</v>
          </cell>
          <cell r="J81" t="e">
            <v>#DIV/0!</v>
          </cell>
          <cell r="K81">
            <v>4847.8178592124559</v>
          </cell>
          <cell r="L81">
            <v>4585.8906446085002</v>
          </cell>
        </row>
        <row r="82">
          <cell r="B82" t="str">
            <v xml:space="preserve">Utilities </v>
          </cell>
          <cell r="C82">
            <v>0</v>
          </cell>
          <cell r="D82" t="e">
            <v>#DIV/0!</v>
          </cell>
          <cell r="E82">
            <v>0</v>
          </cell>
          <cell r="F82">
            <v>0</v>
          </cell>
          <cell r="G82">
            <v>0</v>
          </cell>
          <cell r="H82">
            <v>0</v>
          </cell>
          <cell r="I82">
            <v>0</v>
          </cell>
          <cell r="J82" t="e">
            <v>#DIV/0!</v>
          </cell>
          <cell r="K82">
            <v>0</v>
          </cell>
          <cell r="L82">
            <v>0</v>
          </cell>
        </row>
        <row r="83">
          <cell r="B83" t="str">
            <v>Depreciation</v>
          </cell>
          <cell r="C83">
            <v>9971.1532831807308</v>
          </cell>
          <cell r="D83" t="e">
            <v>#DIV/0!</v>
          </cell>
          <cell r="E83">
            <v>9989.8961898343987</v>
          </cell>
          <cell r="F83">
            <v>10067.98836548132</v>
          </cell>
          <cell r="G83">
            <v>10051.225763342349</v>
          </cell>
          <cell r="H83">
            <v>10017.670747586497</v>
          </cell>
          <cell r="I83">
            <v>10027.555233266825</v>
          </cell>
          <cell r="J83" t="e">
            <v>#DIV/0!</v>
          </cell>
          <cell r="K83">
            <v>10139.542100037777</v>
          </cell>
          <cell r="L83">
            <v>9591.7034442236982</v>
          </cell>
        </row>
        <row r="84">
          <cell r="B84" t="str">
            <v xml:space="preserve">Other Factory overhead </v>
          </cell>
          <cell r="C84">
            <v>2976.5878944422811</v>
          </cell>
          <cell r="D84" t="e">
            <v>#DIV/0!</v>
          </cell>
          <cell r="E84">
            <v>2982.1830254634915</v>
          </cell>
          <cell r="F84">
            <v>3005.4950956001894</v>
          </cell>
          <cell r="G84">
            <v>3000.4911249270708</v>
          </cell>
          <cell r="H84">
            <v>2990.4742842607898</v>
          </cell>
          <cell r="I84">
            <v>2993.4250001492392</v>
          </cell>
          <cell r="J84" t="e">
            <v>#DIV/0!</v>
          </cell>
          <cell r="K84">
            <v>3026.8553108164328</v>
          </cell>
          <cell r="L84">
            <v>2863.3145583385476</v>
          </cell>
        </row>
        <row r="85">
          <cell r="B85" t="str">
            <v>Running Royalty</v>
          </cell>
          <cell r="C85">
            <v>0</v>
          </cell>
          <cell r="D85" t="e">
            <v>#DIV/0!</v>
          </cell>
          <cell r="E85">
            <v>0</v>
          </cell>
          <cell r="F85">
            <v>0</v>
          </cell>
          <cell r="G85">
            <v>0</v>
          </cell>
          <cell r="H85">
            <v>0</v>
          </cell>
          <cell r="I85">
            <v>0</v>
          </cell>
          <cell r="J85" t="e">
            <v>#DIV/0!</v>
          </cell>
          <cell r="K85">
            <v>0</v>
          </cell>
          <cell r="L85">
            <v>0</v>
          </cell>
        </row>
        <row r="86">
          <cell r="C86">
            <v>17715.050636594377</v>
          </cell>
          <cell r="D86" t="e">
            <v>#DIV/0!</v>
          </cell>
          <cell r="E86">
            <v>17748.349847931018</v>
          </cell>
          <cell r="F86">
            <v>17887.09075448598</v>
          </cell>
          <cell r="G86">
            <v>17857.309811674299</v>
          </cell>
          <cell r="H86">
            <v>17797.694962083195</v>
          </cell>
          <cell r="I86">
            <v>17815.256036451501</v>
          </cell>
          <cell r="J86" t="e">
            <v>#DIV/0!</v>
          </cell>
          <cell r="K86">
            <v>18014.215270066667</v>
          </cell>
          <cell r="L86">
            <v>17040.908647170745</v>
          </cell>
        </row>
        <row r="88">
          <cell r="B88" t="str">
            <v>Selling Expenses</v>
          </cell>
          <cell r="C88">
            <v>4679.3131875264999</v>
          </cell>
          <cell r="D88" t="e">
            <v>#DIV/0!</v>
          </cell>
          <cell r="E88">
            <v>4687.3968481846014</v>
          </cell>
          <cell r="F88">
            <v>4720.8663972868326</v>
          </cell>
          <cell r="G88">
            <v>4713.6700629854558</v>
          </cell>
          <cell r="H88">
            <v>4700.2870861829688</v>
          </cell>
          <cell r="I88">
            <v>4704.2368746297925</v>
          </cell>
          <cell r="J88" t="e">
            <v>#DIV/0!</v>
          </cell>
          <cell r="K88">
            <v>4754.0094573397191</v>
          </cell>
          <cell r="L88">
            <v>4513.6163659104886</v>
          </cell>
        </row>
        <row r="89">
          <cell r="B89" t="str">
            <v>Administrative Expenses</v>
          </cell>
          <cell r="C89">
            <v>9534.4144168324146</v>
          </cell>
          <cell r="D89" t="e">
            <v>#DIV/0!</v>
          </cell>
          <cell r="E89">
            <v>9550.8854175179094</v>
          </cell>
          <cell r="F89">
            <v>9619.0818682995832</v>
          </cell>
          <cell r="G89">
            <v>9604.4188545704965</v>
          </cell>
          <cell r="H89">
            <v>9577.1501418658409</v>
          </cell>
          <cell r="I89">
            <v>9585.1981007011727</v>
          </cell>
          <cell r="J89" t="e">
            <v>#DIV/0!</v>
          </cell>
          <cell r="K89">
            <v>9686.6130757486881</v>
          </cell>
          <cell r="L89">
            <v>9196.7960310722374</v>
          </cell>
        </row>
        <row r="90">
          <cell r="B90" t="str">
            <v>Depreciation (Admin. &amp; Selling )</v>
          </cell>
          <cell r="C90">
            <v>2681.3588855891667</v>
          </cell>
          <cell r="D90" t="e">
            <v>#DIV/0!</v>
          </cell>
          <cell r="E90">
            <v>2685.9910173711269</v>
          </cell>
          <cell r="F90">
            <v>2705.1698731744018</v>
          </cell>
          <cell r="G90">
            <v>2701.0462007144979</v>
          </cell>
          <cell r="H90">
            <v>2693.3774334559516</v>
          </cell>
          <cell r="I90">
            <v>2695.6407571369405</v>
          </cell>
          <cell r="J90" t="e">
            <v>#DIV/0!</v>
          </cell>
          <cell r="K90">
            <v>2724.161642907899</v>
          </cell>
          <cell r="L90">
            <v>2586.4106256312061</v>
          </cell>
        </row>
        <row r="91">
          <cell r="B91" t="str">
            <v>Financial Charges -Capital Exp.</v>
          </cell>
          <cell r="C91">
            <v>0</v>
          </cell>
          <cell r="D91" t="e">
            <v>#DIV/0!</v>
          </cell>
          <cell r="E91">
            <v>0</v>
          </cell>
          <cell r="F91">
            <v>0</v>
          </cell>
          <cell r="G91">
            <v>0</v>
          </cell>
          <cell r="H91">
            <v>0</v>
          </cell>
          <cell r="I91">
            <v>0</v>
          </cell>
          <cell r="J91" t="e">
            <v>#DIV/0!</v>
          </cell>
          <cell r="K91">
            <v>0</v>
          </cell>
          <cell r="L91">
            <v>0</v>
          </cell>
        </row>
        <row r="92">
          <cell r="B92" t="str">
            <v>Financial  Charges -Working Capital</v>
          </cell>
          <cell r="C92">
            <v>478.34439743817239</v>
          </cell>
          <cell r="D92" t="e">
            <v>#DIV/0!</v>
          </cell>
          <cell r="E92">
            <v>478.990235132571</v>
          </cell>
          <cell r="F92">
            <v>481.46179131188364</v>
          </cell>
          <cell r="G92">
            <v>480.78854332672643</v>
          </cell>
          <cell r="H92">
            <v>480.04688878990646</v>
          </cell>
          <cell r="I92">
            <v>480.345049334686</v>
          </cell>
          <cell r="J92" t="e">
            <v>#DIV/0!</v>
          </cell>
          <cell r="K92">
            <v>483.44771997155902</v>
          </cell>
          <cell r="L92">
            <v>463.86874341667806</v>
          </cell>
        </row>
        <row r="93">
          <cell r="B93" t="str">
            <v>Other Expenses (Charity &amp; Donation)</v>
          </cell>
          <cell r="C93">
            <v>332.18360933206418</v>
          </cell>
          <cell r="D93" t="e">
            <v>#DIV/0!</v>
          </cell>
          <cell r="E93">
            <v>332.6321077309521</v>
          </cell>
          <cell r="F93">
            <v>334.34846618880817</v>
          </cell>
          <cell r="G93">
            <v>333.88093286578226</v>
          </cell>
          <cell r="H93">
            <v>333.36589499299072</v>
          </cell>
          <cell r="I93">
            <v>333.57295092686536</v>
          </cell>
          <cell r="J93" t="e">
            <v>#DIV/0!</v>
          </cell>
          <cell r="K93">
            <v>335.72758331358267</v>
          </cell>
          <cell r="L93">
            <v>322.13107181713752</v>
          </cell>
        </row>
        <row r="94">
          <cell r="B94" t="str">
            <v>Other Expenses ( W.P.P.F.)</v>
          </cell>
          <cell r="C94">
            <v>3113.0223166230039</v>
          </cell>
          <cell r="D94" t="e">
            <v>#DIV/0!</v>
          </cell>
          <cell r="E94">
            <v>3116.7216157076987</v>
          </cell>
          <cell r="F94">
            <v>3114.6457909837077</v>
          </cell>
          <cell r="G94">
            <v>3117.0570936799472</v>
          </cell>
          <cell r="H94">
            <v>3119.5358576199865</v>
          </cell>
          <cell r="I94">
            <v>3119.1015038384944</v>
          </cell>
          <cell r="J94" t="e">
            <v>#DIV/0!</v>
          </cell>
          <cell r="K94">
            <v>3082.8948197717668</v>
          </cell>
          <cell r="L94">
            <v>3061.2022068437518</v>
          </cell>
        </row>
        <row r="95">
          <cell r="B95" t="str">
            <v>Workers Welfare Fund</v>
          </cell>
          <cell r="C95">
            <v>1305.7877776005132</v>
          </cell>
          <cell r="D95" t="e">
            <v>#DIV/0!</v>
          </cell>
          <cell r="E95">
            <v>1307.3394849251572</v>
          </cell>
          <cell r="F95">
            <v>1306.4687598620717</v>
          </cell>
          <cell r="G95">
            <v>1307.4802044546884</v>
          </cell>
          <cell r="H95">
            <v>1308.5199463284221</v>
          </cell>
          <cell r="I95">
            <v>1308.3377523698375</v>
          </cell>
          <cell r="J95" t="e">
            <v>#DIV/0!</v>
          </cell>
          <cell r="K95">
            <v>1293.1505032231421</v>
          </cell>
          <cell r="L95">
            <v>1284.0513237298362</v>
          </cell>
        </row>
        <row r="96">
          <cell r="C96">
            <v>22124.424590941831</v>
          </cell>
          <cell r="D96" t="e">
            <v>#DIV/0!</v>
          </cell>
          <cell r="E96">
            <v>22159.956726570013</v>
          </cell>
          <cell r="F96">
            <v>22282.042947107289</v>
          </cell>
          <cell r="G96">
            <v>22258.341892597597</v>
          </cell>
          <cell r="H96">
            <v>22212.283249236072</v>
          </cell>
          <cell r="I96">
            <v>22226.432988937788</v>
          </cell>
          <cell r="J96" t="e">
            <v>#DIV/0!</v>
          </cell>
          <cell r="K96">
            <v>22360.004802276359</v>
          </cell>
          <cell r="L96">
            <v>21428.076368421334</v>
          </cell>
        </row>
        <row r="97">
          <cell r="C97">
            <v>39839.475227536212</v>
          </cell>
          <cell r="D97" t="e">
            <v>#DIV/0!</v>
          </cell>
          <cell r="E97">
            <v>39908.306574501032</v>
          </cell>
          <cell r="F97">
            <v>40169.133701593266</v>
          </cell>
          <cell r="G97">
            <v>40115.651704271892</v>
          </cell>
          <cell r="H97">
            <v>40009.978211319263</v>
          </cell>
          <cell r="I97">
            <v>40041.689025389293</v>
          </cell>
          <cell r="J97" t="e">
            <v>#DIV/0!</v>
          </cell>
          <cell r="K97">
            <v>40374.220072343029</v>
          </cell>
          <cell r="L97">
            <v>38468.985015592079</v>
          </cell>
        </row>
        <row r="100">
          <cell r="B100" t="str">
            <v xml:space="preserve">Break Even </v>
          </cell>
        </row>
        <row r="101">
          <cell r="B101" t="str">
            <v>Net Sales Revenue</v>
          </cell>
        </row>
        <row r="102">
          <cell r="B102" t="str">
            <v>Fixed Cost / C.M ratio                     Rs</v>
          </cell>
          <cell r="C102">
            <v>172672905.72614285</v>
          </cell>
          <cell r="D102" t="e">
            <v>#DIV/0!</v>
          </cell>
          <cell r="E102">
            <v>119180779.44802934</v>
          </cell>
          <cell r="F102">
            <v>170358231.44618037</v>
          </cell>
          <cell r="G102">
            <v>149896343.24533701</v>
          </cell>
          <cell r="H102">
            <v>245833017.67029431</v>
          </cell>
          <cell r="I102">
            <v>495572459.41659939</v>
          </cell>
          <cell r="J102" t="e">
            <v>#DIV/0!</v>
          </cell>
          <cell r="K102">
            <v>477624707.98227441</v>
          </cell>
          <cell r="L102">
            <v>1067870408.5072734</v>
          </cell>
          <cell r="M102" t="e">
            <v>#DIV/0!</v>
          </cell>
        </row>
        <row r="103">
          <cell r="B103" t="str">
            <v>Units yearly</v>
          </cell>
          <cell r="C103">
            <v>240</v>
          </cell>
          <cell r="D103" t="e">
            <v>#DIV/0!</v>
          </cell>
          <cell r="E103">
            <v>150</v>
          </cell>
          <cell r="F103">
            <v>189</v>
          </cell>
          <cell r="G103">
            <v>153</v>
          </cell>
          <cell r="H103">
            <v>290</v>
          </cell>
          <cell r="I103">
            <v>496</v>
          </cell>
          <cell r="J103" t="e">
            <v>#DIV/0!</v>
          </cell>
          <cell r="K103">
            <v>708</v>
          </cell>
          <cell r="L103">
            <v>1655</v>
          </cell>
          <cell r="M103" t="e">
            <v>#DIV/0!</v>
          </cell>
        </row>
        <row r="104">
          <cell r="B104" t="str">
            <v>Units monthly</v>
          </cell>
          <cell r="C104">
            <v>20</v>
          </cell>
          <cell r="D104" t="e">
            <v>#DIV/0!</v>
          </cell>
          <cell r="E104">
            <v>13</v>
          </cell>
          <cell r="F104">
            <v>16</v>
          </cell>
          <cell r="G104">
            <v>13</v>
          </cell>
          <cell r="H104">
            <v>24</v>
          </cell>
          <cell r="I104">
            <v>41</v>
          </cell>
          <cell r="J104" t="e">
            <v>#DIV/0!</v>
          </cell>
          <cell r="K104">
            <v>59</v>
          </cell>
          <cell r="L104">
            <v>138</v>
          </cell>
          <cell r="M104" t="e">
            <v>#DIV/0!</v>
          </cell>
        </row>
        <row r="106">
          <cell r="B106" t="str">
            <v>Safety Factor</v>
          </cell>
        </row>
        <row r="107">
          <cell r="B107" t="str">
            <v xml:space="preserve">Units </v>
          </cell>
          <cell r="C107">
            <v>1220</v>
          </cell>
          <cell r="D107" t="e">
            <v>#DIV/0!</v>
          </cell>
          <cell r="E107">
            <v>810</v>
          </cell>
          <cell r="F107">
            <v>1111</v>
          </cell>
          <cell r="G107">
            <v>947</v>
          </cell>
          <cell r="H107">
            <v>1550</v>
          </cell>
          <cell r="I107">
            <v>2444</v>
          </cell>
          <cell r="J107" t="e">
            <v>#DIV/0!</v>
          </cell>
          <cell r="K107">
            <v>413</v>
          </cell>
          <cell r="L107">
            <v>-176</v>
          </cell>
          <cell r="M107" t="e">
            <v>#DIV/0!</v>
          </cell>
        </row>
        <row r="108">
          <cell r="B108" t="str">
            <v>Percentage</v>
          </cell>
          <cell r="C108">
            <v>0.83561643835616439</v>
          </cell>
          <cell r="D108" t="e">
            <v>#DIV/0!</v>
          </cell>
          <cell r="E108">
            <v>0.84375</v>
          </cell>
          <cell r="F108">
            <v>0.85461538461538467</v>
          </cell>
          <cell r="G108">
            <v>0.86090909090909096</v>
          </cell>
          <cell r="H108">
            <v>0.84239130434782605</v>
          </cell>
          <cell r="I108">
            <v>0.83129251700680273</v>
          </cell>
          <cell r="J108" t="e">
            <v>#DIV/0!</v>
          </cell>
          <cell r="K108">
            <v>0.36842105263157893</v>
          </cell>
          <cell r="L108">
            <v>-0.11899932386747802</v>
          </cell>
          <cell r="M108" t="e">
            <v>#DIV/0!</v>
          </cell>
        </row>
        <row r="111">
          <cell r="B111" t="str">
            <v>Contribution Margin Ratio</v>
          </cell>
          <cell r="C111">
            <v>0.33685443345960053</v>
          </cell>
          <cell r="D111" t="e">
            <v>#DIV/0!</v>
          </cell>
          <cell r="E111">
            <v>0.32146101484616935</v>
          </cell>
          <cell r="F111">
            <v>0.30652979529532487</v>
          </cell>
          <cell r="G111">
            <v>0.29438487903921429</v>
          </cell>
          <cell r="H111">
            <v>0.29946489941218035</v>
          </cell>
          <cell r="I111">
            <v>0.23754864399290981</v>
          </cell>
          <cell r="J111" t="e">
            <v>#DIV/0!</v>
          </cell>
          <cell r="K111">
            <v>9.4759546448707183E-2</v>
          </cell>
          <cell r="L111">
            <v>5.3279525666033251E-2</v>
          </cell>
        </row>
      </sheetData>
      <sheetData sheetId="7">
        <row r="31">
          <cell r="C31" t="str">
            <v>Administrative Expenses</v>
          </cell>
          <cell r="E31">
            <v>9610261.4690381344</v>
          </cell>
          <cell r="F31">
            <v>9832911.6091950051</v>
          </cell>
          <cell r="G31">
            <v>9869393.092399193</v>
          </cell>
          <cell r="H31">
            <v>9927328.7090709955</v>
          </cell>
          <cell r="I31">
            <v>9588907.7903762609</v>
          </cell>
          <cell r="J31">
            <v>9509398.5743956808</v>
          </cell>
          <cell r="K31">
            <v>9793397.0329585802</v>
          </cell>
          <cell r="L31">
            <v>9615683.6491548289</v>
          </cell>
          <cell r="M31">
            <v>9743526.3912282288</v>
          </cell>
          <cell r="N31">
            <v>9716595.6573620625</v>
          </cell>
          <cell r="O31">
            <v>9662847.7578013577</v>
          </cell>
          <cell r="P31">
            <v>9551703.7501938995</v>
          </cell>
          <cell r="Q31">
            <v>116421955.4831742</v>
          </cell>
          <cell r="R31">
            <v>58338201.244475268</v>
          </cell>
          <cell r="S31">
            <v>58083754.238698952</v>
          </cell>
          <cell r="T31">
            <v>116421955.48317422</v>
          </cell>
          <cell r="U31" t="str">
            <v>Administrative Expenses</v>
          </cell>
        </row>
        <row r="32">
          <cell r="C32" t="str">
            <v>Depreciation (Admin. &amp; Selling )</v>
          </cell>
          <cell r="E32">
            <v>2702689.3164353981</v>
          </cell>
          <cell r="F32">
            <v>2765305.1107135788</v>
          </cell>
          <cell r="G32">
            <v>2775564.7810900123</v>
          </cell>
          <cell r="H32">
            <v>2791857.9873388167</v>
          </cell>
          <cell r="I32">
            <v>2696684.0314208353</v>
          </cell>
          <cell r="J32">
            <v>2674323.6919772951</v>
          </cell>
          <cell r="K32">
            <v>2754192.4450091408</v>
          </cell>
          <cell r="L32">
            <v>2704214.1936013722</v>
          </cell>
          <cell r="M32">
            <v>2740167.3478728519</v>
          </cell>
          <cell r="N32">
            <v>2732593.630244216</v>
          </cell>
          <cell r="O32">
            <v>2717478.1337104784</v>
          </cell>
          <cell r="P32">
            <v>2686221.1566850073</v>
          </cell>
          <cell r="Q32">
            <v>32741291.826099008</v>
          </cell>
          <cell r="R32">
            <v>16406424.918975938</v>
          </cell>
          <cell r="S32">
            <v>16334866.907123068</v>
          </cell>
          <cell r="T32">
            <v>32741291.826099008</v>
          </cell>
          <cell r="U32" t="str">
            <v>Depreciation (Admin. &amp; Selling )</v>
          </cell>
        </row>
        <row r="33">
          <cell r="C33" t="str">
            <v>Financial Charges -Capital Exp.</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Financial Charges -Capital Exp.</v>
          </cell>
        </row>
        <row r="34">
          <cell r="C34" t="str">
            <v>Financial Charges -Working Capital</v>
          </cell>
          <cell r="E34">
            <v>482404.14502184925</v>
          </cell>
          <cell r="F34">
            <v>500093.05899224279</v>
          </cell>
          <cell r="G34">
            <v>502758.27500108583</v>
          </cell>
          <cell r="H34">
            <v>509976.18082393525</v>
          </cell>
          <cell r="I34">
            <v>477507.75782574253</v>
          </cell>
          <cell r="J34">
            <v>475522.93191278144</v>
          </cell>
          <cell r="K34">
            <v>496201.66105324955</v>
          </cell>
          <cell r="L34">
            <v>474034.81972427724</v>
          </cell>
          <cell r="M34">
            <v>484767.44876841549</v>
          </cell>
          <cell r="N34">
            <v>480920.01958029496</v>
          </cell>
          <cell r="O34">
            <v>477800.47150196694</v>
          </cell>
          <cell r="P34">
            <v>474501.88816479594</v>
          </cell>
          <cell r="Q34">
            <v>5836488.6583706383</v>
          </cell>
          <cell r="R34">
            <v>2948262.3495776374</v>
          </cell>
          <cell r="S34">
            <v>2888226.3087929999</v>
          </cell>
          <cell r="T34">
            <v>5836488.6583706373</v>
          </cell>
          <cell r="U34" t="str">
            <v>Financial Charges -Working Capital</v>
          </cell>
        </row>
        <row r="35">
          <cell r="C35" t="str">
            <v>Other Expenses  - (Charity &amp; Donation)</v>
          </cell>
          <cell r="E35">
            <v>335002.87848739536</v>
          </cell>
          <cell r="F35">
            <v>347286.84652239084</v>
          </cell>
          <cell r="G35">
            <v>349137.69097297621</v>
          </cell>
          <cell r="H35">
            <v>354150.12557217735</v>
          </cell>
          <cell r="I35">
            <v>331602.60960121016</v>
          </cell>
          <cell r="J35">
            <v>330224.25827276486</v>
          </cell>
          <cell r="K35">
            <v>344584.48684253445</v>
          </cell>
          <cell r="L35">
            <v>329190.84703074809</v>
          </cell>
          <cell r="M35">
            <v>336644.06164473307</v>
          </cell>
          <cell r="N35">
            <v>333972.23581964942</v>
          </cell>
          <cell r="O35">
            <v>331805.882987477</v>
          </cell>
          <cell r="P35">
            <v>329515.20011444169</v>
          </cell>
          <cell r="Q35">
            <v>4053117.123868498</v>
          </cell>
          <cell r="R35">
            <v>2047404.4094289145</v>
          </cell>
          <cell r="S35">
            <v>2005712.7144395835</v>
          </cell>
          <cell r="T35">
            <v>4053117.123868498</v>
          </cell>
          <cell r="U35" t="str">
            <v>Other Expenses  - (Charity &amp; Donation)</v>
          </cell>
        </row>
        <row r="36">
          <cell r="C36" t="str">
            <v>W.P.P.F.</v>
          </cell>
          <cell r="E36">
            <v>3252073.9031108925</v>
          </cell>
          <cell r="F36">
            <v>3553509.3976374501</v>
          </cell>
          <cell r="G36">
            <v>3215260.9362302129</v>
          </cell>
          <cell r="H36">
            <v>3687963.8606835259</v>
          </cell>
          <cell r="I36">
            <v>2596533.2677252637</v>
          </cell>
          <cell r="J36">
            <v>2938984.7737119384</v>
          </cell>
          <cell r="K36">
            <v>4026779.1265603094</v>
          </cell>
          <cell r="L36">
            <v>2562594.7501644297</v>
          </cell>
          <cell r="M36">
            <v>2963857.6643554028</v>
          </cell>
          <cell r="N36">
            <v>3083451.8893780885</v>
          </cell>
          <cell r="O36">
            <v>2708025.8694477342</v>
          </cell>
          <cell r="P36">
            <v>3319379.7818624973</v>
          </cell>
          <cell r="Q36">
            <v>37908415.220867746</v>
          </cell>
          <cell r="R36">
            <v>19244326.139099281</v>
          </cell>
          <cell r="S36">
            <v>18664089.081768461</v>
          </cell>
          <cell r="T36">
            <v>37908415.220867738</v>
          </cell>
          <cell r="U36" t="str">
            <v>W.P.P.F.</v>
          </cell>
        </row>
        <row r="37">
          <cell r="C37" t="str">
            <v>Workers Welfare Fund</v>
          </cell>
          <cell r="E37">
            <v>1364114.3309060526</v>
          </cell>
          <cell r="F37">
            <v>1490554.4088926227</v>
          </cell>
          <cell r="G37">
            <v>1348672.7704799296</v>
          </cell>
          <cell r="H37">
            <v>1546952.6536311514</v>
          </cell>
          <cell r="I37">
            <v>1089141.3746133363</v>
          </cell>
          <cell r="J37">
            <v>1232786.0213447402</v>
          </cell>
          <cell r="K37">
            <v>1689072.0437440719</v>
          </cell>
          <cell r="L37">
            <v>1074905.5301787574</v>
          </cell>
          <cell r="M37">
            <v>1243219.1995530683</v>
          </cell>
          <cell r="N37">
            <v>1293384.1715394033</v>
          </cell>
          <cell r="O37">
            <v>1135908.0411562263</v>
          </cell>
          <cell r="P37">
            <v>1392346.4426275794</v>
          </cell>
          <cell r="Q37">
            <v>15901056.98866694</v>
          </cell>
          <cell r="R37">
            <v>8072221.5598678328</v>
          </cell>
          <cell r="S37">
            <v>7828835.4287991058</v>
          </cell>
          <cell r="T37">
            <v>15901056.988666939</v>
          </cell>
          <cell r="U37" t="str">
            <v>Workers Welfare Fund</v>
          </cell>
        </row>
        <row r="38">
          <cell r="E38">
            <v>23191379.96600645</v>
          </cell>
          <cell r="F38">
            <v>24372464.840335585</v>
          </cell>
          <cell r="G38">
            <v>31163997.363285858</v>
          </cell>
          <cell r="H38">
            <v>32359474.098765984</v>
          </cell>
          <cell r="I38">
            <v>28183053.119735744</v>
          </cell>
          <cell r="J38">
            <v>22548928.829295874</v>
          </cell>
          <cell r="K38">
            <v>24835508.08036685</v>
          </cell>
          <cell r="L38">
            <v>25930542.52019091</v>
          </cell>
          <cell r="M38">
            <v>27849130.890162524</v>
          </cell>
          <cell r="N38">
            <v>23145996.713560048</v>
          </cell>
          <cell r="O38">
            <v>29943968.022873018</v>
          </cell>
          <cell r="P38">
            <v>23499414.053136751</v>
          </cell>
          <cell r="Q38">
            <v>317023858.49771565</v>
          </cell>
          <cell r="R38">
            <v>161819298.2174255</v>
          </cell>
          <cell r="S38">
            <v>155204560.2802901</v>
          </cell>
          <cell r="T38">
            <v>317023858.49771559</v>
          </cell>
        </row>
        <row r="39">
          <cell r="B39" t="str">
            <v>Operating Profit</v>
          </cell>
          <cell r="E39">
            <v>34629770.98322732</v>
          </cell>
          <cell r="F39">
            <v>42004029.818067335</v>
          </cell>
          <cell r="G39">
            <v>35862189.604134485</v>
          </cell>
          <cell r="H39">
            <v>46079587.449266776</v>
          </cell>
          <cell r="I39">
            <v>23665898.882856105</v>
          </cell>
          <cell r="J39">
            <v>28450833.1743325</v>
          </cell>
          <cell r="K39">
            <v>55931151.308221579</v>
          </cell>
          <cell r="L39">
            <v>30829241.487566873</v>
          </cell>
          <cell r="M39">
            <v>39551844.653943002</v>
          </cell>
          <cell r="N39">
            <v>42029847.106232226</v>
          </cell>
          <cell r="O39">
            <v>34426329.655551702</v>
          </cell>
          <cell r="P39">
            <v>43079592.446451142</v>
          </cell>
          <cell r="Q39">
            <v>456540316.56985098</v>
          </cell>
          <cell r="R39">
            <v>210692309.91188452</v>
          </cell>
          <cell r="S39">
            <v>245848006.65796655</v>
          </cell>
          <cell r="T39">
            <v>456540316.56985104</v>
          </cell>
          <cell r="U39" t="str">
            <v>Operating Profit</v>
          </cell>
        </row>
        <row r="40">
          <cell r="H40">
            <v>2885725.1981790732</v>
          </cell>
          <cell r="S40">
            <v>0</v>
          </cell>
          <cell r="T40">
            <v>0</v>
          </cell>
        </row>
        <row r="41">
          <cell r="B41" t="str">
            <v>Other Income</v>
          </cell>
          <cell r="S41">
            <v>0</v>
          </cell>
          <cell r="T41">
            <v>0</v>
          </cell>
          <cell r="U41" t="str">
            <v>Other Income</v>
          </cell>
        </row>
        <row r="42">
          <cell r="C42" t="str">
            <v>H.D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t="str">
            <v>H.D</v>
          </cell>
        </row>
        <row r="43">
          <cell r="C43" t="str">
            <v>Scrap income</v>
          </cell>
          <cell r="E43">
            <v>16400000</v>
          </cell>
          <cell r="F43">
            <v>16400000</v>
          </cell>
          <cell r="G43">
            <v>16400000.000000004</v>
          </cell>
          <cell r="H43">
            <v>6400000</v>
          </cell>
          <cell r="I43">
            <v>6400000</v>
          </cell>
          <cell r="J43">
            <v>6400000</v>
          </cell>
          <cell r="K43">
            <v>6400000</v>
          </cell>
          <cell r="L43">
            <v>6400000</v>
          </cell>
          <cell r="M43">
            <v>6400000.0000000009</v>
          </cell>
          <cell r="N43">
            <v>6399999.9999999991</v>
          </cell>
          <cell r="O43">
            <v>6400000</v>
          </cell>
          <cell r="P43">
            <v>6400000.0000000009</v>
          </cell>
          <cell r="Q43">
            <v>106800000</v>
          </cell>
          <cell r="R43">
            <v>68400000</v>
          </cell>
          <cell r="S43">
            <v>38400000</v>
          </cell>
          <cell r="T43">
            <v>106800000</v>
          </cell>
          <cell r="U43" t="str">
            <v>Scrap income</v>
          </cell>
        </row>
        <row r="44">
          <cell r="E44">
            <v>16400000</v>
          </cell>
          <cell r="F44">
            <v>16400000</v>
          </cell>
          <cell r="G44">
            <v>16400000.000000004</v>
          </cell>
          <cell r="H44">
            <v>6400000</v>
          </cell>
          <cell r="I44">
            <v>6400000</v>
          </cell>
          <cell r="J44">
            <v>6400000</v>
          </cell>
          <cell r="K44">
            <v>6400000</v>
          </cell>
          <cell r="L44">
            <v>6400000</v>
          </cell>
          <cell r="M44">
            <v>6400000.0000000009</v>
          </cell>
          <cell r="N44">
            <v>6399999.9999999991</v>
          </cell>
          <cell r="O44">
            <v>6400000</v>
          </cell>
          <cell r="P44">
            <v>6400000.0000000009</v>
          </cell>
          <cell r="Q44">
            <v>106800000</v>
          </cell>
          <cell r="R44">
            <v>68400000</v>
          </cell>
          <cell r="S44">
            <v>38400000</v>
          </cell>
          <cell r="T44">
            <v>106800000</v>
          </cell>
        </row>
        <row r="45">
          <cell r="B45" t="str">
            <v>Profit Before Tax</v>
          </cell>
          <cell r="E45">
            <v>51029770.98322732</v>
          </cell>
          <cell r="F45">
            <v>58404029.818067335</v>
          </cell>
          <cell r="G45">
            <v>52262189.604134485</v>
          </cell>
          <cell r="H45">
            <v>52479587.449266776</v>
          </cell>
          <cell r="I45">
            <v>30065898.882856105</v>
          </cell>
          <cell r="J45">
            <v>34850833.1743325</v>
          </cell>
          <cell r="K45">
            <v>62331151.308221579</v>
          </cell>
          <cell r="L45">
            <v>37229241.487566873</v>
          </cell>
          <cell r="M45">
            <v>45951844.653943002</v>
          </cell>
          <cell r="N45">
            <v>48429847.106232226</v>
          </cell>
          <cell r="O45">
            <v>40826329.655551702</v>
          </cell>
          <cell r="P45">
            <v>49479592.446451142</v>
          </cell>
          <cell r="Q45">
            <v>563340316.56985116</v>
          </cell>
          <cell r="R45">
            <v>279092309.91188455</v>
          </cell>
          <cell r="S45">
            <v>284248006.65796655</v>
          </cell>
          <cell r="T45">
            <v>563340316.56985116</v>
          </cell>
          <cell r="U45" t="str">
            <v>Profit Before Tax</v>
          </cell>
        </row>
        <row r="46">
          <cell r="E46">
            <v>51567098.98322732</v>
          </cell>
          <cell r="F46">
            <v>58831957.818067335</v>
          </cell>
          <cell r="G46">
            <v>52770149.604134485</v>
          </cell>
          <cell r="H46">
            <v>62005035.449266776</v>
          </cell>
          <cell r="I46">
            <v>39653866.882856101</v>
          </cell>
          <cell r="J46">
            <v>44362149.1743325</v>
          </cell>
          <cell r="K46">
            <v>64877911.308221579</v>
          </cell>
          <cell r="L46">
            <v>37704049.487566873</v>
          </cell>
          <cell r="M46">
            <v>46521920.653943002</v>
          </cell>
          <cell r="N46">
            <v>48857775.106232226</v>
          </cell>
          <cell r="O46">
            <v>41301137.655551702</v>
          </cell>
          <cell r="P46">
            <v>49987552.446451142</v>
          </cell>
          <cell r="R46">
            <v>309190257.91188455</v>
          </cell>
          <cell r="S46">
            <v>289250346.65796655</v>
          </cell>
          <cell r="T46">
            <v>598440604.56985116</v>
          </cell>
        </row>
        <row r="47">
          <cell r="B47" t="str">
            <v>Taxation</v>
          </cell>
          <cell r="E47">
            <v>18048484.644129559</v>
          </cell>
          <cell r="F47">
            <v>20591185.236323565</v>
          </cell>
          <cell r="G47">
            <v>18469552.36144707</v>
          </cell>
          <cell r="H47">
            <v>21701762.407243371</v>
          </cell>
          <cell r="I47">
            <v>13878853.408999635</v>
          </cell>
          <cell r="J47">
            <v>15526752.211016374</v>
          </cell>
          <cell r="K47">
            <v>22707268.95787755</v>
          </cell>
          <cell r="L47">
            <v>13196417.320648406</v>
          </cell>
          <cell r="M47">
            <v>16282672.22888005</v>
          </cell>
          <cell r="N47">
            <v>17100221.287181277</v>
          </cell>
          <cell r="O47">
            <v>14455398.179443095</v>
          </cell>
          <cell r="P47">
            <v>17495643.356257901</v>
          </cell>
          <cell r="Q47">
            <v>209454211.59944785</v>
          </cell>
          <cell r="R47">
            <v>108216590.26915957</v>
          </cell>
          <cell r="S47">
            <v>101237621.33028828</v>
          </cell>
          <cell r="T47">
            <v>209454211.59944785</v>
          </cell>
          <cell r="U47" t="str">
            <v>Taxation</v>
          </cell>
        </row>
        <row r="48">
          <cell r="C48" t="str">
            <v>Normal</v>
          </cell>
          <cell r="E48">
            <v>18048484.644129559</v>
          </cell>
          <cell r="F48">
            <v>20591185.236323565</v>
          </cell>
          <cell r="G48">
            <v>18469552.36144707</v>
          </cell>
          <cell r="H48">
            <v>21701762.407243371</v>
          </cell>
          <cell r="I48">
            <v>13878853.408999635</v>
          </cell>
          <cell r="J48">
            <v>15526752.211016374</v>
          </cell>
          <cell r="K48">
            <v>22707268.95787755</v>
          </cell>
          <cell r="L48">
            <v>13196417.320648406</v>
          </cell>
          <cell r="M48">
            <v>16282672.22888005</v>
          </cell>
          <cell r="N48">
            <v>17100221.287181277</v>
          </cell>
          <cell r="O48">
            <v>14455398.179443095</v>
          </cell>
          <cell r="P48">
            <v>17495643.356257901</v>
          </cell>
          <cell r="Q48">
            <v>209454211.59944785</v>
          </cell>
          <cell r="R48">
            <v>108216590.26915957</v>
          </cell>
          <cell r="S48">
            <v>101237621.33028828</v>
          </cell>
          <cell r="T48">
            <v>209454211.59944785</v>
          </cell>
          <cell r="U48" t="str">
            <v>Normal</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Deferred</v>
          </cell>
        </row>
        <row r="50">
          <cell r="E50">
            <v>18048484.644129559</v>
          </cell>
          <cell r="F50">
            <v>20591185.236323565</v>
          </cell>
          <cell r="G50">
            <v>18469552.36144707</v>
          </cell>
          <cell r="H50">
            <v>21701762.407243371</v>
          </cell>
          <cell r="I50">
            <v>13878853.408999635</v>
          </cell>
          <cell r="J50">
            <v>15526752.211016374</v>
          </cell>
          <cell r="K50">
            <v>22707268.95787755</v>
          </cell>
          <cell r="L50">
            <v>13196417.320648406</v>
          </cell>
          <cell r="M50">
            <v>16282672.22888005</v>
          </cell>
          <cell r="N50">
            <v>17100221.287181277</v>
          </cell>
          <cell r="O50">
            <v>14455398.179443095</v>
          </cell>
          <cell r="P50">
            <v>17495643.356257901</v>
          </cell>
          <cell r="Q50">
            <v>209454211.59944785</v>
          </cell>
          <cell r="R50">
            <v>108216590.26915957</v>
          </cell>
          <cell r="S50">
            <v>101237621.33028828</v>
          </cell>
          <cell r="T50">
            <v>209454211.59944785</v>
          </cell>
        </row>
        <row r="51">
          <cell r="R51">
            <v>0</v>
          </cell>
          <cell r="S51">
            <v>0</v>
          </cell>
          <cell r="T51">
            <v>0</v>
          </cell>
        </row>
        <row r="52">
          <cell r="B52" t="str">
            <v>Profit After Tax</v>
          </cell>
          <cell r="E52">
            <v>32981286.339097761</v>
          </cell>
          <cell r="F52">
            <v>37812844.581743769</v>
          </cell>
          <cell r="G52">
            <v>33792637.242687419</v>
          </cell>
          <cell r="H52">
            <v>30777825.042023405</v>
          </cell>
          <cell r="I52">
            <v>16187045.47385647</v>
          </cell>
          <cell r="J52">
            <v>19324080.963316128</v>
          </cell>
          <cell r="K52">
            <v>39623882.350344032</v>
          </cell>
          <cell r="L52">
            <v>24032824.166918468</v>
          </cell>
          <cell r="M52">
            <v>29669172.425062954</v>
          </cell>
          <cell r="N52">
            <v>31329625.819050949</v>
          </cell>
          <cell r="O52">
            <v>26370931.476108607</v>
          </cell>
          <cell r="P52">
            <v>31983949.090193242</v>
          </cell>
          <cell r="Q52">
            <v>353886104.97040331</v>
          </cell>
          <cell r="R52">
            <v>170875719.64272493</v>
          </cell>
          <cell r="S52">
            <v>183010385.32767826</v>
          </cell>
          <cell r="T52">
            <v>353886104.97040319</v>
          </cell>
          <cell r="U52" t="str">
            <v>Profit After Tax</v>
          </cell>
        </row>
        <row r="53">
          <cell r="E53">
            <v>32981286.339097656</v>
          </cell>
          <cell r="F53">
            <v>37812844.581743702</v>
          </cell>
          <cell r="G53">
            <v>33792637.242687404</v>
          </cell>
          <cell r="H53">
            <v>30777825.042023405</v>
          </cell>
          <cell r="I53">
            <v>16187045.473856321</v>
          </cell>
          <cell r="J53">
            <v>19324080.963316113</v>
          </cell>
          <cell r="K53">
            <v>39623882.350344047</v>
          </cell>
          <cell r="L53">
            <v>24032824.166918483</v>
          </cell>
          <cell r="M53">
            <v>29669172.425063103</v>
          </cell>
          <cell r="N53">
            <v>31329625.819050897</v>
          </cell>
          <cell r="O53">
            <v>26370931.476108592</v>
          </cell>
          <cell r="P53">
            <v>31983949.090193182</v>
          </cell>
          <cell r="Q53">
            <v>353886104.97040296</v>
          </cell>
          <cell r="R53">
            <v>170875719.6427246</v>
          </cell>
          <cell r="S53">
            <v>183010385.32767829</v>
          </cell>
          <cell r="T53">
            <v>353886104.9704029</v>
          </cell>
        </row>
        <row r="54">
          <cell r="E54">
            <v>1.0430812835693359E-7</v>
          </cell>
          <cell r="F54">
            <v>6.7055225372314453E-8</v>
          </cell>
          <cell r="G54">
            <v>0</v>
          </cell>
          <cell r="H54">
            <v>0</v>
          </cell>
          <cell r="I54">
            <v>1.4901161193847656E-7</v>
          </cell>
          <cell r="J54">
            <v>0</v>
          </cell>
          <cell r="K54">
            <v>0</v>
          </cell>
          <cell r="L54">
            <v>0</v>
          </cell>
          <cell r="M54">
            <v>-1.4901161193847656E-7</v>
          </cell>
          <cell r="N54">
            <v>5.2154064178466797E-8</v>
          </cell>
          <cell r="O54">
            <v>0</v>
          </cell>
          <cell r="P54">
            <v>5.9604644775390625E-8</v>
          </cell>
          <cell r="Q54">
            <v>0</v>
          </cell>
        </row>
        <row r="55">
          <cell r="S55">
            <v>500562170.76853019</v>
          </cell>
        </row>
        <row r="56">
          <cell r="B56" t="str">
            <v>INDUS MOTOR COMPANY LIMITED</v>
          </cell>
        </row>
        <row r="57">
          <cell r="B57" t="str">
            <v>PERUNIT PROFIT &amp; LOSS ACCOUNT - TOYOTA  (CKD)</v>
          </cell>
        </row>
        <row r="58">
          <cell r="B58" t="str">
            <v>FOR THE YEAR 2001~02</v>
          </cell>
        </row>
        <row r="59">
          <cell r="AA59" t="str">
            <v xml:space="preserve">C:\MIS\2002-03\[MIS-Aug-02-Sep17-QP.xls]Variantwise </v>
          </cell>
        </row>
        <row r="60">
          <cell r="AB60" t="str">
            <v>Rs.</v>
          </cell>
          <cell r="AC60" t="str">
            <v>XLI</v>
          </cell>
        </row>
        <row r="61">
          <cell r="E61">
            <v>37438</v>
          </cell>
          <cell r="G61">
            <v>37469</v>
          </cell>
          <cell r="I61">
            <v>37500</v>
          </cell>
          <cell r="K61">
            <v>37531</v>
          </cell>
          <cell r="M61">
            <v>37562</v>
          </cell>
          <cell r="O61">
            <v>37593</v>
          </cell>
          <cell r="Q61">
            <v>37624</v>
          </cell>
          <cell r="S61">
            <v>37655</v>
          </cell>
          <cell r="U61">
            <v>37686</v>
          </cell>
          <cell r="W61">
            <v>37717</v>
          </cell>
          <cell r="Y61">
            <v>37748</v>
          </cell>
          <cell r="AA61">
            <v>37779</v>
          </cell>
          <cell r="AC61" t="str">
            <v>Yearly</v>
          </cell>
        </row>
        <row r="62">
          <cell r="D62" t="str">
            <v>XLI</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row>
        <row r="64">
          <cell r="C64" t="str">
            <v>Sales Units</v>
          </cell>
          <cell r="E64">
            <v>1</v>
          </cell>
          <cell r="F64">
            <v>140</v>
          </cell>
          <cell r="G64">
            <v>1</v>
          </cell>
          <cell r="H64">
            <v>140</v>
          </cell>
          <cell r="I64">
            <v>1</v>
          </cell>
          <cell r="J64">
            <v>140</v>
          </cell>
          <cell r="K64">
            <v>1</v>
          </cell>
          <cell r="L64">
            <v>160</v>
          </cell>
          <cell r="M64">
            <v>1</v>
          </cell>
          <cell r="N64">
            <v>110</v>
          </cell>
          <cell r="O64">
            <v>1</v>
          </cell>
          <cell r="P64">
            <v>110</v>
          </cell>
          <cell r="Q64">
            <v>1</v>
          </cell>
          <cell r="R64">
            <v>150</v>
          </cell>
          <cell r="S64">
            <v>1</v>
          </cell>
          <cell r="T64">
            <v>120</v>
          </cell>
          <cell r="U64">
            <v>1</v>
          </cell>
          <cell r="V64">
            <v>100</v>
          </cell>
          <cell r="W64">
            <v>1</v>
          </cell>
          <cell r="X64">
            <v>90</v>
          </cell>
          <cell r="Y64">
            <v>1</v>
          </cell>
          <cell r="Z64">
            <v>100</v>
          </cell>
          <cell r="AA64">
            <v>1</v>
          </cell>
          <cell r="AB64">
            <v>100</v>
          </cell>
          <cell r="AC64">
            <v>1460</v>
          </cell>
        </row>
        <row r="66">
          <cell r="C66" t="str">
            <v>Selling Price</v>
          </cell>
          <cell r="E66">
            <v>849000</v>
          </cell>
          <cell r="F66">
            <v>118860000</v>
          </cell>
          <cell r="G66">
            <v>849000</v>
          </cell>
          <cell r="H66">
            <v>118860000</v>
          </cell>
          <cell r="I66">
            <v>849000</v>
          </cell>
          <cell r="J66">
            <v>118860000</v>
          </cell>
          <cell r="K66">
            <v>849000</v>
          </cell>
          <cell r="L66">
            <v>135840000</v>
          </cell>
          <cell r="M66">
            <v>849000</v>
          </cell>
          <cell r="N66">
            <v>93390000</v>
          </cell>
          <cell r="O66">
            <v>849000</v>
          </cell>
          <cell r="P66">
            <v>93390000</v>
          </cell>
          <cell r="Q66">
            <v>849000</v>
          </cell>
          <cell r="R66">
            <v>127350000</v>
          </cell>
          <cell r="S66">
            <v>849000</v>
          </cell>
          <cell r="T66">
            <v>101880000</v>
          </cell>
          <cell r="U66">
            <v>849000</v>
          </cell>
          <cell r="V66">
            <v>84900000</v>
          </cell>
          <cell r="W66">
            <v>849000</v>
          </cell>
          <cell r="X66">
            <v>76410000</v>
          </cell>
          <cell r="Y66">
            <v>849000</v>
          </cell>
          <cell r="Z66">
            <v>84900000</v>
          </cell>
          <cell r="AA66">
            <v>849000</v>
          </cell>
          <cell r="AB66">
            <v>84900000</v>
          </cell>
          <cell r="AC66">
            <v>849000</v>
          </cell>
        </row>
        <row r="67">
          <cell r="C67" t="str">
            <v>Less: Dealer commission</v>
          </cell>
          <cell r="E67">
            <v>-20000</v>
          </cell>
          <cell r="F67">
            <v>-2800000</v>
          </cell>
          <cell r="G67">
            <v>-20000</v>
          </cell>
          <cell r="H67">
            <v>-2800000</v>
          </cell>
          <cell r="I67">
            <v>-20000</v>
          </cell>
          <cell r="J67">
            <v>-2800000</v>
          </cell>
          <cell r="K67">
            <v>-20000</v>
          </cell>
          <cell r="L67">
            <v>-3200000</v>
          </cell>
          <cell r="M67">
            <v>-20000</v>
          </cell>
          <cell r="N67">
            <v>-2200000</v>
          </cell>
          <cell r="O67">
            <v>-20000</v>
          </cell>
          <cell r="P67">
            <v>-2200000</v>
          </cell>
          <cell r="Q67">
            <v>-20000</v>
          </cell>
          <cell r="R67">
            <v>-3000000</v>
          </cell>
          <cell r="S67">
            <v>-20000</v>
          </cell>
          <cell r="T67">
            <v>-2400000</v>
          </cell>
          <cell r="U67">
            <v>-20000</v>
          </cell>
          <cell r="V67">
            <v>-2000000</v>
          </cell>
          <cell r="W67">
            <v>-20000</v>
          </cell>
          <cell r="X67">
            <v>-1800000</v>
          </cell>
          <cell r="Y67">
            <v>-20000</v>
          </cell>
          <cell r="Z67">
            <v>-2000000</v>
          </cell>
          <cell r="AA67">
            <v>-20000</v>
          </cell>
          <cell r="AB67">
            <v>-2000000</v>
          </cell>
          <cell r="AC67">
            <v>-20000</v>
          </cell>
        </row>
        <row r="68">
          <cell r="D68" t="str">
            <v xml:space="preserve">  Sales tax</v>
          </cell>
          <cell r="E68">
            <v>-110739.13043478261</v>
          </cell>
          <cell r="F68">
            <v>-15503478.260869564</v>
          </cell>
          <cell r="G68">
            <v>-110739.13043478261</v>
          </cell>
          <cell r="H68">
            <v>-15503478.260869564</v>
          </cell>
          <cell r="I68">
            <v>-110739.13043478261</v>
          </cell>
          <cell r="J68">
            <v>-15503478.260869564</v>
          </cell>
          <cell r="K68">
            <v>-110739.13043478261</v>
          </cell>
          <cell r="L68">
            <v>-17718260.869565219</v>
          </cell>
          <cell r="M68">
            <v>-110739.13043478261</v>
          </cell>
          <cell r="N68">
            <v>-12181304.347826086</v>
          </cell>
          <cell r="O68">
            <v>-110739.13043478261</v>
          </cell>
          <cell r="P68">
            <v>-12181304.347826086</v>
          </cell>
          <cell r="Q68">
            <v>-110739.13043478261</v>
          </cell>
          <cell r="R68">
            <v>-16610869.565217391</v>
          </cell>
          <cell r="S68">
            <v>-110739.13043478261</v>
          </cell>
          <cell r="T68">
            <v>-13288695.652173912</v>
          </cell>
          <cell r="U68">
            <v>-110739.13043478261</v>
          </cell>
          <cell r="V68">
            <v>-11073913.043478262</v>
          </cell>
          <cell r="W68">
            <v>-110739.13043478261</v>
          </cell>
          <cell r="X68">
            <v>-9966521.7391304355</v>
          </cell>
          <cell r="Y68">
            <v>-110739.13043478261</v>
          </cell>
          <cell r="Z68">
            <v>-11073913.043478262</v>
          </cell>
          <cell r="AA68">
            <v>-110739.13043478261</v>
          </cell>
          <cell r="AB68">
            <v>-11073913.043478262</v>
          </cell>
          <cell r="AC68">
            <v>-110739.13043478259</v>
          </cell>
        </row>
        <row r="69">
          <cell r="C69" t="str">
            <v>Net Sales</v>
          </cell>
          <cell r="E69">
            <v>718260.86956521741</v>
          </cell>
          <cell r="F69">
            <v>100556521.73913044</v>
          </cell>
          <cell r="G69">
            <v>718260.86956521741</v>
          </cell>
          <cell r="H69">
            <v>100556521.73913044</v>
          </cell>
          <cell r="I69">
            <v>718260.86956521741</v>
          </cell>
          <cell r="J69">
            <v>100556521.73913044</v>
          </cell>
          <cell r="K69">
            <v>718260.86956521741</v>
          </cell>
          <cell r="L69">
            <v>114921739.13043478</v>
          </cell>
          <cell r="M69">
            <v>718260.86956521741</v>
          </cell>
          <cell r="N69">
            <v>79008695.652173907</v>
          </cell>
          <cell r="O69">
            <v>718260.86956521741</v>
          </cell>
          <cell r="P69">
            <v>79008695.652173907</v>
          </cell>
          <cell r="Q69">
            <v>718260.86956521741</v>
          </cell>
          <cell r="R69">
            <v>107739130.43478261</v>
          </cell>
          <cell r="S69">
            <v>718260.86956521741</v>
          </cell>
          <cell r="T69">
            <v>86191304.347826093</v>
          </cell>
          <cell r="U69">
            <v>718260.86956521741</v>
          </cell>
          <cell r="V69">
            <v>71826086.956521735</v>
          </cell>
          <cell r="W69">
            <v>718260.86956521741</v>
          </cell>
          <cell r="X69">
            <v>64643478.260869563</v>
          </cell>
          <cell r="Y69">
            <v>718260.86956521741</v>
          </cell>
          <cell r="Z69">
            <v>71826086.956521735</v>
          </cell>
          <cell r="AA69">
            <v>718260.86956521741</v>
          </cell>
          <cell r="AB69">
            <v>71826086.956521735</v>
          </cell>
          <cell r="AC69">
            <v>718260.86956521741</v>
          </cell>
          <cell r="AE69">
            <v>1048660869.5652175</v>
          </cell>
        </row>
        <row r="71">
          <cell r="C71" t="str">
            <v>Variable Cost of Sales</v>
          </cell>
          <cell r="AD71" t="str">
            <v>Variable Cost of Sales</v>
          </cell>
        </row>
        <row r="72">
          <cell r="D72" t="str">
            <v>CKD Cost</v>
          </cell>
          <cell r="E72">
            <v>261146.48864729228</v>
          </cell>
          <cell r="F72">
            <v>36560508.41062092</v>
          </cell>
          <cell r="G72">
            <v>261146.48864729228</v>
          </cell>
          <cell r="H72">
            <v>36560508.41062092</v>
          </cell>
          <cell r="I72">
            <v>261146.48864729228</v>
          </cell>
          <cell r="J72">
            <v>36560508.41062092</v>
          </cell>
          <cell r="K72">
            <v>257105.73194683768</v>
          </cell>
          <cell r="L72">
            <v>41136917.111494027</v>
          </cell>
          <cell r="M72">
            <v>257105.73194683768</v>
          </cell>
          <cell r="N72">
            <v>28281630.514152143</v>
          </cell>
          <cell r="O72">
            <v>257105.73194683768</v>
          </cell>
          <cell r="P72">
            <v>28281630.514152143</v>
          </cell>
          <cell r="Q72">
            <v>257105.73194683768</v>
          </cell>
          <cell r="R72">
            <v>38565859.792025656</v>
          </cell>
          <cell r="S72">
            <v>257105.73194683768</v>
          </cell>
          <cell r="T72">
            <v>30852687.833620522</v>
          </cell>
          <cell r="U72">
            <v>257105.73194683768</v>
          </cell>
          <cell r="V72">
            <v>25710573.194683768</v>
          </cell>
          <cell r="W72">
            <v>257105.73194683768</v>
          </cell>
          <cell r="X72">
            <v>23139515.875215393</v>
          </cell>
          <cell r="Y72">
            <v>257105.73194683768</v>
          </cell>
          <cell r="Z72">
            <v>25710573.194683768</v>
          </cell>
          <cell r="AA72">
            <v>257105.73194683768</v>
          </cell>
          <cell r="AB72">
            <v>25710573.194683768</v>
          </cell>
          <cell r="AC72">
            <v>258268.14140861234</v>
          </cell>
          <cell r="AE72" t="str">
            <v>CKD Cost</v>
          </cell>
          <cell r="AF72">
            <v>377071486.45657402</v>
          </cell>
        </row>
        <row r="73">
          <cell r="D73" t="str">
            <v>Vendor parts</v>
          </cell>
          <cell r="E73">
            <v>200657</v>
          </cell>
          <cell r="F73">
            <v>28091980</v>
          </cell>
          <cell r="G73">
            <v>200657</v>
          </cell>
          <cell r="H73">
            <v>28091980</v>
          </cell>
          <cell r="I73">
            <v>200657</v>
          </cell>
          <cell r="J73">
            <v>28091980</v>
          </cell>
          <cell r="K73">
            <v>200657</v>
          </cell>
          <cell r="L73">
            <v>32105120</v>
          </cell>
          <cell r="M73">
            <v>200657</v>
          </cell>
          <cell r="N73">
            <v>22072270</v>
          </cell>
          <cell r="O73">
            <v>200657</v>
          </cell>
          <cell r="P73">
            <v>22072270</v>
          </cell>
          <cell r="Q73">
            <v>200326</v>
          </cell>
          <cell r="R73">
            <v>30048900</v>
          </cell>
          <cell r="S73">
            <v>200326</v>
          </cell>
          <cell r="T73">
            <v>24039120</v>
          </cell>
          <cell r="U73">
            <v>200326</v>
          </cell>
          <cell r="V73">
            <v>20032600</v>
          </cell>
          <cell r="W73">
            <v>200326</v>
          </cell>
          <cell r="X73">
            <v>18029340</v>
          </cell>
          <cell r="Y73">
            <v>200326</v>
          </cell>
          <cell r="Z73">
            <v>20032600</v>
          </cell>
          <cell r="AA73">
            <v>200326</v>
          </cell>
          <cell r="AB73">
            <v>20032600</v>
          </cell>
          <cell r="AC73">
            <v>200507.36986301371</v>
          </cell>
          <cell r="AE73" t="str">
            <v>Vendor parts</v>
          </cell>
          <cell r="AF73">
            <v>292740760</v>
          </cell>
        </row>
        <row r="74">
          <cell r="D74" t="str">
            <v>Multi Source Parts</v>
          </cell>
          <cell r="E74">
            <v>136433.13680000001</v>
          </cell>
          <cell r="F74">
            <v>19100639.152000003</v>
          </cell>
          <cell r="G74">
            <v>136433.13680000001</v>
          </cell>
          <cell r="H74">
            <v>19100639.152000003</v>
          </cell>
          <cell r="I74">
            <v>136433.13680000001</v>
          </cell>
          <cell r="J74">
            <v>19100639.152000003</v>
          </cell>
          <cell r="K74">
            <v>136433.13680000001</v>
          </cell>
          <cell r="L74">
            <v>21829301.888</v>
          </cell>
          <cell r="M74">
            <v>136433.13680000001</v>
          </cell>
          <cell r="N74">
            <v>15007645.048</v>
          </cell>
          <cell r="O74">
            <v>136433.13680000001</v>
          </cell>
          <cell r="P74">
            <v>15007645.048</v>
          </cell>
          <cell r="Q74">
            <v>136433.13680000001</v>
          </cell>
          <cell r="R74">
            <v>20464970.52</v>
          </cell>
          <cell r="S74">
            <v>136433.13680000001</v>
          </cell>
          <cell r="T74">
            <v>16371976.416000001</v>
          </cell>
          <cell r="U74">
            <v>136433.13680000001</v>
          </cell>
          <cell r="V74">
            <v>13643313.680000002</v>
          </cell>
          <cell r="W74">
            <v>136433.13680000001</v>
          </cell>
          <cell r="X74">
            <v>12278982.312000001</v>
          </cell>
          <cell r="Y74">
            <v>136433.13680000001</v>
          </cell>
          <cell r="Z74">
            <v>13643313.680000002</v>
          </cell>
          <cell r="AA74">
            <v>136433.13680000001</v>
          </cell>
          <cell r="AB74">
            <v>13643313.680000002</v>
          </cell>
          <cell r="AC74">
            <v>136433.13680000004</v>
          </cell>
          <cell r="AE74" t="str">
            <v>Nomi Parts</v>
          </cell>
          <cell r="AF74">
            <v>199192379.72800004</v>
          </cell>
        </row>
        <row r="75">
          <cell r="D75" t="str">
            <v>Paints &amp; Chemicals</v>
          </cell>
          <cell r="E75">
            <v>11365</v>
          </cell>
          <cell r="F75">
            <v>1591100</v>
          </cell>
          <cell r="G75">
            <v>11365</v>
          </cell>
          <cell r="H75">
            <v>1591100</v>
          </cell>
          <cell r="I75">
            <v>11365</v>
          </cell>
          <cell r="J75">
            <v>1591100</v>
          </cell>
          <cell r="K75">
            <v>11365</v>
          </cell>
          <cell r="L75">
            <v>1818400</v>
          </cell>
          <cell r="M75">
            <v>11365</v>
          </cell>
          <cell r="N75">
            <v>1250150</v>
          </cell>
          <cell r="O75">
            <v>11365</v>
          </cell>
          <cell r="P75">
            <v>1250150</v>
          </cell>
          <cell r="Q75">
            <v>11365</v>
          </cell>
          <cell r="R75">
            <v>1704750</v>
          </cell>
          <cell r="S75">
            <v>11365</v>
          </cell>
          <cell r="T75">
            <v>1363800</v>
          </cell>
          <cell r="U75">
            <v>11365</v>
          </cell>
          <cell r="V75">
            <v>1136500</v>
          </cell>
          <cell r="W75">
            <v>11365</v>
          </cell>
          <cell r="X75">
            <v>1022850</v>
          </cell>
          <cell r="Y75">
            <v>11365</v>
          </cell>
          <cell r="Z75">
            <v>1136500</v>
          </cell>
          <cell r="AA75">
            <v>11365</v>
          </cell>
          <cell r="AB75">
            <v>1136500</v>
          </cell>
          <cell r="AC75">
            <v>11365</v>
          </cell>
          <cell r="AE75" t="str">
            <v>Paints &amp; Chemicals</v>
          </cell>
          <cell r="AF75">
            <v>16592900</v>
          </cell>
        </row>
        <row r="76">
          <cell r="D76" t="str">
            <v>Consumables</v>
          </cell>
          <cell r="E76">
            <v>5237</v>
          </cell>
          <cell r="F76">
            <v>733180</v>
          </cell>
          <cell r="G76">
            <v>5237</v>
          </cell>
          <cell r="H76">
            <v>733180</v>
          </cell>
          <cell r="I76">
            <v>5237</v>
          </cell>
          <cell r="J76">
            <v>733180</v>
          </cell>
          <cell r="K76">
            <v>5237</v>
          </cell>
          <cell r="L76">
            <v>837920</v>
          </cell>
          <cell r="M76">
            <v>5237</v>
          </cell>
          <cell r="N76">
            <v>576070</v>
          </cell>
          <cell r="O76">
            <v>5237</v>
          </cell>
          <cell r="P76">
            <v>576070</v>
          </cell>
          <cell r="Q76">
            <v>5237</v>
          </cell>
          <cell r="R76">
            <v>785550</v>
          </cell>
          <cell r="S76">
            <v>5237</v>
          </cell>
          <cell r="T76">
            <v>628440</v>
          </cell>
          <cell r="U76">
            <v>5237</v>
          </cell>
          <cell r="V76">
            <v>523700</v>
          </cell>
          <cell r="W76">
            <v>5237</v>
          </cell>
          <cell r="X76">
            <v>471330</v>
          </cell>
          <cell r="Y76">
            <v>5237</v>
          </cell>
          <cell r="Z76">
            <v>523700</v>
          </cell>
          <cell r="AA76">
            <v>5237</v>
          </cell>
          <cell r="AB76">
            <v>523700</v>
          </cell>
          <cell r="AC76">
            <v>5237</v>
          </cell>
          <cell r="AE76" t="str">
            <v>Consumables</v>
          </cell>
          <cell r="AF76">
            <v>7646020</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E77" t="str">
            <v>KD Parts</v>
          </cell>
          <cell r="AF77">
            <v>0</v>
          </cell>
        </row>
        <row r="78">
          <cell r="D78" t="str">
            <v>Spare parts</v>
          </cell>
          <cell r="E78">
            <v>934</v>
          </cell>
          <cell r="F78">
            <v>130760</v>
          </cell>
          <cell r="G78">
            <v>934</v>
          </cell>
          <cell r="H78">
            <v>130760</v>
          </cell>
          <cell r="I78">
            <v>934</v>
          </cell>
          <cell r="J78">
            <v>130760</v>
          </cell>
          <cell r="K78">
            <v>934</v>
          </cell>
          <cell r="L78">
            <v>149440</v>
          </cell>
          <cell r="M78">
            <v>934</v>
          </cell>
          <cell r="N78">
            <v>102740</v>
          </cell>
          <cell r="O78">
            <v>934</v>
          </cell>
          <cell r="P78">
            <v>102740</v>
          </cell>
          <cell r="Q78">
            <v>934</v>
          </cell>
          <cell r="R78">
            <v>140100</v>
          </cell>
          <cell r="S78">
            <v>934</v>
          </cell>
          <cell r="T78">
            <v>112080</v>
          </cell>
          <cell r="U78">
            <v>934</v>
          </cell>
          <cell r="V78">
            <v>93400</v>
          </cell>
          <cell r="W78">
            <v>934</v>
          </cell>
          <cell r="X78">
            <v>84060</v>
          </cell>
          <cell r="Y78">
            <v>934</v>
          </cell>
          <cell r="Z78">
            <v>93400</v>
          </cell>
          <cell r="AA78">
            <v>934</v>
          </cell>
          <cell r="AB78">
            <v>93400</v>
          </cell>
          <cell r="AC78">
            <v>934</v>
          </cell>
          <cell r="AE78" t="str">
            <v>Spare parts</v>
          </cell>
          <cell r="AF78">
            <v>1363640</v>
          </cell>
        </row>
        <row r="79">
          <cell r="D79" t="str">
            <v>Utilites</v>
          </cell>
          <cell r="E79">
            <v>4866</v>
          </cell>
          <cell r="F79">
            <v>681240</v>
          </cell>
          <cell r="G79">
            <v>4866</v>
          </cell>
          <cell r="H79">
            <v>681240</v>
          </cell>
          <cell r="I79">
            <v>4866</v>
          </cell>
          <cell r="J79">
            <v>681240</v>
          </cell>
          <cell r="K79">
            <v>4866</v>
          </cell>
          <cell r="L79">
            <v>778560</v>
          </cell>
          <cell r="M79">
            <v>4866</v>
          </cell>
          <cell r="N79">
            <v>535260</v>
          </cell>
          <cell r="O79">
            <v>4866</v>
          </cell>
          <cell r="P79">
            <v>535260</v>
          </cell>
          <cell r="Q79">
            <v>4866</v>
          </cell>
          <cell r="R79">
            <v>729900</v>
          </cell>
          <cell r="S79">
            <v>4866</v>
          </cell>
          <cell r="T79">
            <v>583920</v>
          </cell>
          <cell r="U79">
            <v>4866</v>
          </cell>
          <cell r="V79">
            <v>486600</v>
          </cell>
          <cell r="W79">
            <v>4866</v>
          </cell>
          <cell r="X79">
            <v>437940</v>
          </cell>
          <cell r="Y79">
            <v>4866</v>
          </cell>
          <cell r="Z79">
            <v>486600</v>
          </cell>
          <cell r="AA79">
            <v>4866</v>
          </cell>
          <cell r="AB79">
            <v>486600</v>
          </cell>
          <cell r="AC79">
            <v>4866</v>
          </cell>
          <cell r="AE79" t="str">
            <v>Utilites</v>
          </cell>
          <cell r="AF79">
            <v>7104360</v>
          </cell>
        </row>
        <row r="80">
          <cell r="D80" t="str">
            <v>Royalty</v>
          </cell>
          <cell r="E80">
            <v>6674</v>
          </cell>
          <cell r="F80">
            <v>934360</v>
          </cell>
          <cell r="G80">
            <v>6674</v>
          </cell>
          <cell r="H80">
            <v>934360</v>
          </cell>
          <cell r="I80">
            <v>6674</v>
          </cell>
          <cell r="J80">
            <v>934360</v>
          </cell>
          <cell r="K80">
            <v>6674</v>
          </cell>
          <cell r="L80">
            <v>1067840</v>
          </cell>
          <cell r="M80">
            <v>6674</v>
          </cell>
          <cell r="N80">
            <v>734140</v>
          </cell>
          <cell r="O80">
            <v>6674</v>
          </cell>
          <cell r="P80">
            <v>734140</v>
          </cell>
          <cell r="Q80">
            <v>6674</v>
          </cell>
          <cell r="R80">
            <v>1001100</v>
          </cell>
          <cell r="S80">
            <v>6674</v>
          </cell>
          <cell r="T80">
            <v>800880</v>
          </cell>
          <cell r="U80">
            <v>6674</v>
          </cell>
          <cell r="V80">
            <v>667400</v>
          </cell>
          <cell r="W80">
            <v>6674</v>
          </cell>
          <cell r="X80">
            <v>600660</v>
          </cell>
          <cell r="Y80">
            <v>6674</v>
          </cell>
          <cell r="Z80">
            <v>667400</v>
          </cell>
          <cell r="AA80">
            <v>6674</v>
          </cell>
          <cell r="AB80">
            <v>667400</v>
          </cell>
          <cell r="AC80">
            <v>6674</v>
          </cell>
          <cell r="AE80" t="str">
            <v>Royalty</v>
          </cell>
          <cell r="AF80">
            <v>9744040</v>
          </cell>
        </row>
        <row r="82">
          <cell r="E82">
            <v>627312.62544729223</v>
          </cell>
          <cell r="F82">
            <v>87823767.562620923</v>
          </cell>
          <cell r="G82">
            <v>627312.62544729223</v>
          </cell>
          <cell r="H82">
            <v>87823767.562620923</v>
          </cell>
          <cell r="I82">
            <v>627312.62544729223</v>
          </cell>
          <cell r="J82">
            <v>87823767.562620923</v>
          </cell>
          <cell r="K82">
            <v>623271.86874683772</v>
          </cell>
          <cell r="L82">
            <v>99723498.999494031</v>
          </cell>
          <cell r="M82">
            <v>623271.86874683772</v>
          </cell>
          <cell r="N82">
            <v>68559905.562152147</v>
          </cell>
          <cell r="O82">
            <v>623271.86874683772</v>
          </cell>
          <cell r="P82">
            <v>68559905.562152147</v>
          </cell>
          <cell r="Q82">
            <v>622940.86874683772</v>
          </cell>
          <cell r="R82">
            <v>93441130.312025651</v>
          </cell>
          <cell r="S82">
            <v>622940.86874683772</v>
          </cell>
          <cell r="T82">
            <v>74752904.249620527</v>
          </cell>
          <cell r="U82">
            <v>622940.86874683772</v>
          </cell>
          <cell r="V82">
            <v>62294086.874683768</v>
          </cell>
          <cell r="W82">
            <v>622940.86874683772</v>
          </cell>
          <cell r="X82">
            <v>56064678.187215395</v>
          </cell>
          <cell r="Y82">
            <v>622940.86874683772</v>
          </cell>
          <cell r="Z82">
            <v>62294086.874683768</v>
          </cell>
          <cell r="AA82">
            <v>622940.86874683772</v>
          </cell>
          <cell r="AB82">
            <v>62294086.874683768</v>
          </cell>
          <cell r="AC82">
            <v>624284.64807162608</v>
          </cell>
          <cell r="AF82">
            <v>911455586.18457389</v>
          </cell>
        </row>
        <row r="83">
          <cell r="C83" t="str">
            <v>Contribution Margin</v>
          </cell>
          <cell r="E83">
            <v>90948.244117925176</v>
          </cell>
          <cell r="F83">
            <v>12732754.176509514</v>
          </cell>
          <cell r="G83">
            <v>90948.244117925176</v>
          </cell>
          <cell r="H83">
            <v>12732754.176509514</v>
          </cell>
          <cell r="I83">
            <v>90948.244117925176</v>
          </cell>
          <cell r="J83">
            <v>12732754.176509514</v>
          </cell>
          <cell r="K83">
            <v>94989.000818379689</v>
          </cell>
          <cell r="L83">
            <v>15198240.13094075</v>
          </cell>
          <cell r="M83">
            <v>94989.000818379689</v>
          </cell>
          <cell r="N83">
            <v>10448790.090021759</v>
          </cell>
          <cell r="O83">
            <v>94989.000818379689</v>
          </cell>
          <cell r="P83">
            <v>10448790.090021759</v>
          </cell>
          <cell r="Q83">
            <v>95320.000818379689</v>
          </cell>
          <cell r="R83">
            <v>14298000.122756958</v>
          </cell>
          <cell r="S83">
            <v>95320.000818379689</v>
          </cell>
          <cell r="T83">
            <v>11438400.098205566</v>
          </cell>
          <cell r="U83">
            <v>95320.000818379689</v>
          </cell>
          <cell r="V83">
            <v>9532000.081837967</v>
          </cell>
          <cell r="W83">
            <v>95320.000818379689</v>
          </cell>
          <cell r="X83">
            <v>8578800.0736541674</v>
          </cell>
          <cell r="Y83">
            <v>95320.000818379689</v>
          </cell>
          <cell r="Z83">
            <v>9532000.081837967</v>
          </cell>
          <cell r="AA83">
            <v>95320.000818379689</v>
          </cell>
          <cell r="AB83">
            <v>9532000.081837967</v>
          </cell>
          <cell r="AC83">
            <v>93976.221493591322</v>
          </cell>
          <cell r="AD83" t="str">
            <v>Contribution Margin</v>
          </cell>
        </row>
        <row r="85">
          <cell r="C85" t="str">
            <v>Production cost</v>
          </cell>
          <cell r="AD85" t="str">
            <v>Production cost</v>
          </cell>
        </row>
        <row r="86">
          <cell r="D86" t="str">
            <v xml:space="preserve">Salaries &amp; Wages </v>
          </cell>
          <cell r="E86">
            <v>5330.971806841444</v>
          </cell>
          <cell r="F86">
            <v>746336.0529578022</v>
          </cell>
          <cell r="G86">
            <v>4450.6278387391867</v>
          </cell>
          <cell r="H86">
            <v>623087.89742348611</v>
          </cell>
          <cell r="I86">
            <v>4327.5507084975143</v>
          </cell>
          <cell r="J86">
            <v>605857.09918965201</v>
          </cell>
          <cell r="K86">
            <v>3880.9474753805712</v>
          </cell>
          <cell r="L86">
            <v>620951.5960608914</v>
          </cell>
          <cell r="M86">
            <v>5576.0739588801307</v>
          </cell>
          <cell r="N86">
            <v>613368.13547681435</v>
          </cell>
          <cell r="O86">
            <v>5384.2223576312035</v>
          </cell>
          <cell r="P86">
            <v>592264.45933943242</v>
          </cell>
          <cell r="Q86">
            <v>3880.9474753805712</v>
          </cell>
          <cell r="R86">
            <v>582142.12130708573</v>
          </cell>
          <cell r="S86">
            <v>5106.5098360270676</v>
          </cell>
          <cell r="T86">
            <v>612781.18032324815</v>
          </cell>
          <cell r="U86">
            <v>4709.8877128404993</v>
          </cell>
          <cell r="V86">
            <v>470988.7712840499</v>
          </cell>
          <cell r="W86">
            <v>5160.8344087507594</v>
          </cell>
          <cell r="X86">
            <v>464475.09678756836</v>
          </cell>
          <cell r="Y86">
            <v>5216.3272518556068</v>
          </cell>
          <cell r="Z86">
            <v>521632.7251855607</v>
          </cell>
          <cell r="AA86">
            <v>5063.8667476260061</v>
          </cell>
          <cell r="AB86">
            <v>506386.67476260063</v>
          </cell>
          <cell r="AC86">
            <v>4767.3094589713646</v>
          </cell>
          <cell r="AE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E87" t="str">
            <v xml:space="preserve">Utilities </v>
          </cell>
        </row>
        <row r="88">
          <cell r="D88" t="str">
            <v>Depreciation</v>
          </cell>
          <cell r="E88">
            <v>11150.091575091576</v>
          </cell>
          <cell r="F88">
            <v>1561012.8205128205</v>
          </cell>
          <cell r="G88">
            <v>9308.7920489296648</v>
          </cell>
          <cell r="H88">
            <v>1303230.8868501531</v>
          </cell>
          <cell r="I88">
            <v>9051.3678263455258</v>
          </cell>
          <cell r="J88">
            <v>1267191.4956883737</v>
          </cell>
          <cell r="K88">
            <v>8117.2666666666673</v>
          </cell>
          <cell r="L88">
            <v>1298762.6666666667</v>
          </cell>
          <cell r="M88">
            <v>11662.739463601532</v>
          </cell>
          <cell r="N88">
            <v>1282901.3409961686</v>
          </cell>
          <cell r="O88">
            <v>11261.468738438773</v>
          </cell>
          <cell r="P88">
            <v>1238761.5612282651</v>
          </cell>
          <cell r="Q88">
            <v>8117.2666666666673</v>
          </cell>
          <cell r="R88">
            <v>1217590</v>
          </cell>
          <cell r="S88">
            <v>10680.614035087719</v>
          </cell>
          <cell r="T88">
            <v>1281673.6842105263</v>
          </cell>
          <cell r="U88">
            <v>9851.0517799352765</v>
          </cell>
          <cell r="V88">
            <v>985105.17799352761</v>
          </cell>
          <cell r="W88">
            <v>10794.237588652482</v>
          </cell>
          <cell r="X88">
            <v>971481.38297872338</v>
          </cell>
          <cell r="Y88">
            <v>10910.304659498208</v>
          </cell>
          <cell r="Z88">
            <v>1091030.4659498208</v>
          </cell>
          <cell r="AA88">
            <v>10591.423103688239</v>
          </cell>
          <cell r="AB88">
            <v>1059142.3103688238</v>
          </cell>
          <cell r="AC88">
            <v>9971.1532831807308</v>
          </cell>
          <cell r="AE88" t="str">
            <v>Depreciation</v>
          </cell>
        </row>
        <row r="89">
          <cell r="D89" t="str">
            <v xml:space="preserve">Other Factory overhead </v>
          </cell>
          <cell r="E89">
            <v>3328.5244606883934</v>
          </cell>
          <cell r="F89">
            <v>465993.42449637508</v>
          </cell>
          <cell r="G89">
            <v>2778.859870849943</v>
          </cell>
          <cell r="H89">
            <v>389040.38191899203</v>
          </cell>
          <cell r="I89">
            <v>2702.0136121556093</v>
          </cell>
          <cell r="J89">
            <v>378281.90570178529</v>
          </cell>
          <cell r="K89">
            <v>2423.1658073811504</v>
          </cell>
          <cell r="L89">
            <v>387706.52918098407</v>
          </cell>
          <cell r="M89">
            <v>3481.5600680763655</v>
          </cell>
          <cell r="N89">
            <v>382971.60748840019</v>
          </cell>
          <cell r="O89">
            <v>3361.7727627374452</v>
          </cell>
          <cell r="P89">
            <v>369795.00390111899</v>
          </cell>
          <cell r="Q89">
            <v>2423.1658073811504</v>
          </cell>
          <cell r="R89">
            <v>363474.87110717257</v>
          </cell>
          <cell r="S89">
            <v>3188.3760623436192</v>
          </cell>
          <cell r="T89">
            <v>382605.12748123432</v>
          </cell>
          <cell r="U89">
            <v>2940.735203132464</v>
          </cell>
          <cell r="V89">
            <v>294073.52031324641</v>
          </cell>
          <cell r="W89">
            <v>3222.2949566238703</v>
          </cell>
          <cell r="X89">
            <v>290006.54609614832</v>
          </cell>
          <cell r="Y89">
            <v>3256.9432894907936</v>
          </cell>
          <cell r="Z89">
            <v>325694.32894907938</v>
          </cell>
          <cell r="AA89">
            <v>3161.7507925119394</v>
          </cell>
          <cell r="AB89">
            <v>316175.07925119397</v>
          </cell>
          <cell r="AC89">
            <v>2976.5878944422811</v>
          </cell>
          <cell r="AE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E90" t="str">
            <v>Running Royalty</v>
          </cell>
        </row>
        <row r="91">
          <cell r="E91">
            <v>19809.587842621411</v>
          </cell>
          <cell r="F91">
            <v>2773342.2979669976</v>
          </cell>
          <cell r="G91">
            <v>16538.279758518795</v>
          </cell>
          <cell r="H91">
            <v>2315359.1661926312</v>
          </cell>
          <cell r="I91">
            <v>16080.93214699865</v>
          </cell>
          <cell r="J91">
            <v>2251330.5005798112</v>
          </cell>
          <cell r="K91">
            <v>14421.379949428388</v>
          </cell>
          <cell r="L91">
            <v>2307420.7919085422</v>
          </cell>
          <cell r="M91">
            <v>20720.373490558028</v>
          </cell>
          <cell r="N91">
            <v>2279241.083961383</v>
          </cell>
          <cell r="O91">
            <v>20007.463858807419</v>
          </cell>
          <cell r="P91">
            <v>2200821.0244688164</v>
          </cell>
          <cell r="Q91">
            <v>14421.379949428388</v>
          </cell>
          <cell r="R91">
            <v>2163206.9924142584</v>
          </cell>
          <cell r="S91">
            <v>18975.499933458406</v>
          </cell>
          <cell r="T91">
            <v>2277059.9920150088</v>
          </cell>
          <cell r="U91">
            <v>17501.674695908237</v>
          </cell>
          <cell r="V91">
            <v>1750167.4695908239</v>
          </cell>
          <cell r="W91">
            <v>19177.366954027111</v>
          </cell>
          <cell r="X91">
            <v>1725963.02586244</v>
          </cell>
          <cell r="Y91">
            <v>19383.575200844611</v>
          </cell>
          <cell r="Z91">
            <v>1938357.520084461</v>
          </cell>
          <cell r="AA91">
            <v>18817.040643826185</v>
          </cell>
          <cell r="AB91">
            <v>1881704.0643826183</v>
          </cell>
          <cell r="AC91">
            <v>17715.050636594377</v>
          </cell>
        </row>
        <row r="92">
          <cell r="C92" t="str">
            <v>Gross Profit</v>
          </cell>
          <cell r="E92">
            <v>71138.656275303772</v>
          </cell>
          <cell r="F92">
            <v>9959411.8785425164</v>
          </cell>
          <cell r="G92">
            <v>74409.964359406382</v>
          </cell>
          <cell r="H92">
            <v>10417395.010316882</v>
          </cell>
          <cell r="I92">
            <v>74867.31197092653</v>
          </cell>
          <cell r="J92">
            <v>10481423.675929703</v>
          </cell>
          <cell r="K92">
            <v>80567.620868951301</v>
          </cell>
          <cell r="L92">
            <v>12890819.339032209</v>
          </cell>
          <cell r="M92">
            <v>74268.627327821654</v>
          </cell>
          <cell r="N92">
            <v>8169549.0060603768</v>
          </cell>
          <cell r="O92">
            <v>74981.536959572273</v>
          </cell>
          <cell r="P92">
            <v>8247969.0655529425</v>
          </cell>
          <cell r="Q92">
            <v>80898.620868951301</v>
          </cell>
          <cell r="R92">
            <v>12134793.1303427</v>
          </cell>
          <cell r="S92">
            <v>76344.50088492129</v>
          </cell>
          <cell r="T92">
            <v>9161340.1061905585</v>
          </cell>
          <cell r="U92">
            <v>77818.326122471452</v>
          </cell>
          <cell r="V92">
            <v>7781832.6122471429</v>
          </cell>
          <cell r="W92">
            <v>76142.633864352581</v>
          </cell>
          <cell r="X92">
            <v>6852837.0477917269</v>
          </cell>
          <cell r="Y92">
            <v>75936.425617535075</v>
          </cell>
          <cell r="Z92">
            <v>7593642.5617535058</v>
          </cell>
          <cell r="AA92">
            <v>76502.960174553504</v>
          </cell>
          <cell r="AB92">
            <v>7650296.0174553487</v>
          </cell>
          <cell r="AC92">
            <v>76261.170856996949</v>
          </cell>
          <cell r="AD92" t="str">
            <v>Gross Profit</v>
          </cell>
        </row>
        <row r="93">
          <cell r="E93">
            <v>9.9042923385713486</v>
          </cell>
          <cell r="F93">
            <v>9.9042923385713362</v>
          </cell>
          <cell r="G93">
            <v>10.359740800643745</v>
          </cell>
          <cell r="H93">
            <v>10.359740800643733</v>
          </cell>
          <cell r="I93">
            <v>10.423415104911077</v>
          </cell>
          <cell r="J93">
            <v>10.423415104911067</v>
          </cell>
          <cell r="K93">
            <v>11.217041646403631</v>
          </cell>
          <cell r="L93">
            <v>11.217041646403631</v>
          </cell>
          <cell r="M93">
            <v>10.340063126754831</v>
          </cell>
          <cell r="N93">
            <v>10.340063126754826</v>
          </cell>
          <cell r="O93">
            <v>10.439318099698319</v>
          </cell>
          <cell r="P93">
            <v>10.43931809969831</v>
          </cell>
          <cell r="Q93">
            <v>11.26312518151259</v>
          </cell>
          <cell r="R93">
            <v>11.263125181512594</v>
          </cell>
          <cell r="S93">
            <v>10.629076999716643</v>
          </cell>
          <cell r="T93">
            <v>10.629076999716649</v>
          </cell>
          <cell r="U93">
            <v>10.834270586058373</v>
          </cell>
          <cell r="V93">
            <v>10.834270586058372</v>
          </cell>
          <cell r="W93">
            <v>10.600972027119306</v>
          </cell>
          <cell r="X93">
            <v>10.600972027119299</v>
          </cell>
          <cell r="Y93">
            <v>10.57226264650912</v>
          </cell>
          <cell r="Z93">
            <v>10.572262646509119</v>
          </cell>
          <cell r="AA93">
            <v>10.651138523091589</v>
          </cell>
          <cell r="AB93">
            <v>10.651138523091589</v>
          </cell>
          <cell r="AC93">
            <v>10.617475361446306</v>
          </cell>
        </row>
        <row r="94">
          <cell r="C94" t="str">
            <v>Other Expenses</v>
          </cell>
          <cell r="AD94" t="str">
            <v>Other Expenses</v>
          </cell>
        </row>
        <row r="95">
          <cell r="D95" t="str">
            <v>Selling Expenses</v>
          </cell>
          <cell r="E95">
            <v>5183.0082521448167</v>
          </cell>
          <cell r="F95">
            <v>725621.15530027437</v>
          </cell>
          <cell r="G95">
            <v>4427.3486746392564</v>
          </cell>
          <cell r="H95">
            <v>619828.81444949587</v>
          </cell>
          <cell r="I95">
            <v>4320.887144065181</v>
          </cell>
          <cell r="J95">
            <v>604924.20016912534</v>
          </cell>
          <cell r="K95">
            <v>3897.7185689144208</v>
          </cell>
          <cell r="L95">
            <v>623634.97102630732</v>
          </cell>
          <cell r="M95">
            <v>5409.2615187305564</v>
          </cell>
          <cell r="N95">
            <v>595018.76706036122</v>
          </cell>
          <cell r="O95">
            <v>5179.8400416559607</v>
          </cell>
          <cell r="P95">
            <v>569782.40458215564</v>
          </cell>
          <cell r="Q95">
            <v>3845.1336292747983</v>
          </cell>
          <cell r="R95">
            <v>576770.04439121974</v>
          </cell>
          <cell r="S95">
            <v>4967.5774890123712</v>
          </cell>
          <cell r="T95">
            <v>596109.29868148454</v>
          </cell>
          <cell r="U95">
            <v>4642.661605420024</v>
          </cell>
          <cell r="V95">
            <v>464266.16054200241</v>
          </cell>
          <cell r="W95">
            <v>5073.1110111757944</v>
          </cell>
          <cell r="X95">
            <v>456579.9910058215</v>
          </cell>
          <cell r="Y95">
            <v>5099.2966467698334</v>
          </cell>
          <cell r="Z95">
            <v>509929.66467698332</v>
          </cell>
          <cell r="AA95">
            <v>4893.3178190345943</v>
          </cell>
          <cell r="AB95">
            <v>489331.78190345946</v>
          </cell>
          <cell r="AC95">
            <v>4679.3131875264999</v>
          </cell>
          <cell r="AE95" t="str">
            <v>Selling Expenses</v>
          </cell>
        </row>
        <row r="96">
          <cell r="D96" t="str">
            <v>Advertisement Expenses</v>
          </cell>
          <cell r="E96">
            <v>800.32572918126152</v>
          </cell>
          <cell r="F96">
            <v>112045.60208537661</v>
          </cell>
          <cell r="G96">
            <v>969.71958993165515</v>
          </cell>
          <cell r="H96">
            <v>135760.74259043174</v>
          </cell>
          <cell r="I96">
            <v>7367.9708551430685</v>
          </cell>
          <cell r="J96">
            <v>1031515.9197200296</v>
          </cell>
          <cell r="K96">
            <v>6935.2770964018819</v>
          </cell>
          <cell r="L96">
            <v>1109644.3354243012</v>
          </cell>
          <cell r="M96">
            <v>7697.2629504339211</v>
          </cell>
          <cell r="N96">
            <v>846698.92454773129</v>
          </cell>
          <cell r="O96">
            <v>799.8365151483406</v>
          </cell>
          <cell r="P96">
            <v>87982.01666631746</v>
          </cell>
          <cell r="Q96">
            <v>739.89139808437483</v>
          </cell>
          <cell r="R96">
            <v>110983.70971265623</v>
          </cell>
          <cell r="S96">
            <v>4684.9685429207811</v>
          </cell>
          <cell r="T96">
            <v>562196.22515049379</v>
          </cell>
          <cell r="U96">
            <v>5393.2109933565007</v>
          </cell>
          <cell r="V96">
            <v>539321.0993356501</v>
          </cell>
          <cell r="W96">
            <v>783.35612673520234</v>
          </cell>
          <cell r="X96">
            <v>70502.051406168204</v>
          </cell>
          <cell r="Y96">
            <v>8782.5333169589612</v>
          </cell>
          <cell r="Z96">
            <v>878253.33169589611</v>
          </cell>
          <cell r="AA96">
            <v>1104.3291887822443</v>
          </cell>
          <cell r="AB96">
            <v>110432.91887822443</v>
          </cell>
          <cell r="AC96">
            <v>3832.4225186392314</v>
          </cell>
        </row>
        <row r="97">
          <cell r="D97" t="str">
            <v>Administrative Expenses</v>
          </cell>
          <cell r="E97">
            <v>10560.726889052896</v>
          </cell>
          <cell r="F97">
            <v>1478501.7644674054</v>
          </cell>
          <cell r="G97">
            <v>9021.0198249495461</v>
          </cell>
          <cell r="H97">
            <v>1262942.7754929364</v>
          </cell>
          <cell r="I97">
            <v>8804.0973170376383</v>
          </cell>
          <cell r="J97">
            <v>1232573.6243852694</v>
          </cell>
          <cell r="K97">
            <v>7941.8629672567968</v>
          </cell>
          <cell r="L97">
            <v>1270698.0747610875</v>
          </cell>
          <cell r="M97">
            <v>11021.733092386507</v>
          </cell>
          <cell r="N97">
            <v>1212390.6401625157</v>
          </cell>
          <cell r="O97">
            <v>10554.271447719957</v>
          </cell>
          <cell r="P97">
            <v>1160969.8592491953</v>
          </cell>
          <cell r="Q97">
            <v>7834.7176263668644</v>
          </cell>
          <cell r="R97">
            <v>1175207.6439550295</v>
          </cell>
          <cell r="S97">
            <v>10121.772262268241</v>
          </cell>
          <cell r="T97">
            <v>1214612.671472189</v>
          </cell>
          <cell r="U97">
            <v>9459.7343604157559</v>
          </cell>
          <cell r="V97">
            <v>945973.43604157562</v>
          </cell>
          <cell r="W97">
            <v>10336.803890810705</v>
          </cell>
          <cell r="X97">
            <v>930312.35017296346</v>
          </cell>
          <cell r="Y97">
            <v>10390.158879356299</v>
          </cell>
          <cell r="Z97">
            <v>1039015.8879356298</v>
          </cell>
          <cell r="AA97">
            <v>9970.4632047953019</v>
          </cell>
          <cell r="AB97">
            <v>997046.32047953014</v>
          </cell>
          <cell r="AC97">
            <v>9534.4144168324146</v>
          </cell>
          <cell r="AE97" t="str">
            <v>Administrative Expenses</v>
          </cell>
        </row>
        <row r="98">
          <cell r="D98" t="str">
            <v>Depreciation (Admin. &amp; Selling )</v>
          </cell>
          <cell r="E98">
            <v>2969.9882598191184</v>
          </cell>
          <cell r="F98">
            <v>415798.35637467657</v>
          </cell>
          <cell r="G98">
            <v>2536.9771657922738</v>
          </cell>
          <cell r="H98">
            <v>355176.80321091833</v>
          </cell>
          <cell r="I98">
            <v>2475.9721508385478</v>
          </cell>
          <cell r="J98">
            <v>346636.10111739667</v>
          </cell>
          <cell r="K98">
            <v>2233.4863898710532</v>
          </cell>
          <cell r="L98">
            <v>357357.82237936853</v>
          </cell>
          <cell r="M98">
            <v>3099.6368177250984</v>
          </cell>
          <cell r="N98">
            <v>340960.04994976084</v>
          </cell>
          <cell r="O98">
            <v>2968.1727990868981</v>
          </cell>
          <cell r="P98">
            <v>326499.00789955881</v>
          </cell>
          <cell r="Q98">
            <v>2203.3539560073127</v>
          </cell>
          <cell r="R98">
            <v>330503.09340109694</v>
          </cell>
          <cell r="S98">
            <v>2846.5412564224971</v>
          </cell>
          <cell r="T98">
            <v>341584.95077069965</v>
          </cell>
          <cell r="U98">
            <v>2660.3566484202443</v>
          </cell>
          <cell r="V98">
            <v>266035.66484202445</v>
          </cell>
          <cell r="W98">
            <v>2907.0145002598042</v>
          </cell>
          <cell r="X98">
            <v>261631.30502338239</v>
          </cell>
          <cell r="Y98">
            <v>2922.0194986134175</v>
          </cell>
          <cell r="Z98">
            <v>292201.94986134174</v>
          </cell>
          <cell r="AA98">
            <v>2803.9886812995901</v>
          </cell>
          <cell r="AB98">
            <v>280398.86812995898</v>
          </cell>
          <cell r="AC98">
            <v>2681.3588855891667</v>
          </cell>
          <cell r="AE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E99" t="str">
            <v>Financial Charges -Capital Exp.</v>
          </cell>
        </row>
        <row r="100">
          <cell r="D100" t="str">
            <v>Financial  Charges -Working Capital</v>
          </cell>
          <cell r="E100">
            <v>530.11444507895521</v>
          </cell>
          <cell r="F100">
            <v>74216.022311053734</v>
          </cell>
          <cell r="G100">
            <v>458.80097155251627</v>
          </cell>
          <cell r="H100">
            <v>64232.136017352277</v>
          </cell>
          <cell r="I100">
            <v>448.49087868071882</v>
          </cell>
          <cell r="J100">
            <v>62788.723015300639</v>
          </cell>
          <cell r="K100">
            <v>407.98094465914818</v>
          </cell>
          <cell r="L100">
            <v>65276.95114546371</v>
          </cell>
          <cell r="M100">
            <v>548.85949175372707</v>
          </cell>
          <cell r="N100">
            <v>60374.544092909979</v>
          </cell>
          <cell r="O100">
            <v>527.77239945924691</v>
          </cell>
          <cell r="P100">
            <v>58054.963940517162</v>
          </cell>
          <cell r="Q100">
            <v>396.96132884259964</v>
          </cell>
          <cell r="R100">
            <v>59544.199326389949</v>
          </cell>
          <cell r="S100">
            <v>498.98402076239711</v>
          </cell>
          <cell r="T100">
            <v>59878.08249148765</v>
          </cell>
          <cell r="U100">
            <v>470.64800851302482</v>
          </cell>
          <cell r="V100">
            <v>47064.800851302483</v>
          </cell>
          <cell r="W100">
            <v>511.61704210669683</v>
          </cell>
          <cell r="X100">
            <v>46045.533789602712</v>
          </cell>
          <cell r="Y100">
            <v>513.76394785157731</v>
          </cell>
          <cell r="Z100">
            <v>51376.394785157732</v>
          </cell>
          <cell r="AA100">
            <v>495.30468493193735</v>
          </cell>
          <cell r="AB100">
            <v>49530.468493193737</v>
          </cell>
          <cell r="AC100">
            <v>478.34439743817239</v>
          </cell>
          <cell r="AE100" t="str">
            <v>Financial  Charges -Working Capital</v>
          </cell>
        </row>
        <row r="101">
          <cell r="D101" t="str">
            <v>Other Expenses (Charity &amp; Donation)</v>
          </cell>
          <cell r="E101">
            <v>368.13503130483002</v>
          </cell>
          <cell r="F101">
            <v>51538.904382676206</v>
          </cell>
          <cell r="G101">
            <v>318.61178580035858</v>
          </cell>
          <cell r="H101">
            <v>44605.650012050202</v>
          </cell>
          <cell r="I101">
            <v>311.4519990838325</v>
          </cell>
          <cell r="J101">
            <v>43603.279871736551</v>
          </cell>
          <cell r="K101">
            <v>283.32010045774183</v>
          </cell>
          <cell r="L101">
            <v>45331.216073238691</v>
          </cell>
          <cell r="M101">
            <v>381.15242482897719</v>
          </cell>
          <cell r="N101">
            <v>41926.76673118749</v>
          </cell>
          <cell r="O101">
            <v>366.50861073558809</v>
          </cell>
          <cell r="P101">
            <v>40315.947180914693</v>
          </cell>
          <cell r="Q101">
            <v>275.66758947402758</v>
          </cell>
          <cell r="R101">
            <v>41350.138421104137</v>
          </cell>
          <cell r="S101">
            <v>346.51668108499797</v>
          </cell>
          <cell r="T101">
            <v>41582.001730199758</v>
          </cell>
          <cell r="U101">
            <v>326.83889480071173</v>
          </cell>
          <cell r="V101">
            <v>32683.889480071171</v>
          </cell>
          <cell r="W101">
            <v>355.28961257409514</v>
          </cell>
          <cell r="X101">
            <v>31976.065131668562</v>
          </cell>
          <cell r="Y101">
            <v>356.78051934137312</v>
          </cell>
          <cell r="Z101">
            <v>35678.051934137315</v>
          </cell>
          <cell r="AA101">
            <v>343.96158675828985</v>
          </cell>
          <cell r="AB101">
            <v>34396.158675828985</v>
          </cell>
          <cell r="AC101">
            <v>332.18360933206418</v>
          </cell>
          <cell r="AE101" t="str">
            <v>Other Expenses (Charity &amp; Donation)</v>
          </cell>
        </row>
        <row r="102">
          <cell r="D102" t="str">
            <v>Other Expenses ( W.P.P.F.)</v>
          </cell>
          <cell r="E102">
            <v>3573.7075858361454</v>
          </cell>
          <cell r="F102">
            <v>500319.06201706035</v>
          </cell>
          <cell r="G102">
            <v>3260.1003648049996</v>
          </cell>
          <cell r="H102">
            <v>456414.05107269995</v>
          </cell>
          <cell r="I102">
            <v>2868.2077932472907</v>
          </cell>
          <cell r="J102">
            <v>401549.09105462069</v>
          </cell>
          <cell r="K102">
            <v>2950.3710885468208</v>
          </cell>
          <cell r="L102">
            <v>472059.37416749133</v>
          </cell>
          <cell r="M102">
            <v>2984.5209973853607</v>
          </cell>
          <cell r="N102">
            <v>328297.30971238966</v>
          </cell>
          <cell r="O102">
            <v>3261.9142882485439</v>
          </cell>
          <cell r="P102">
            <v>358810.57170733984</v>
          </cell>
          <cell r="Q102">
            <v>3221.4233012482478</v>
          </cell>
          <cell r="R102">
            <v>483213.49518723716</v>
          </cell>
          <cell r="S102">
            <v>2697.4681580678207</v>
          </cell>
          <cell r="T102">
            <v>323696.17896813847</v>
          </cell>
          <cell r="U102">
            <v>2877.5317129664104</v>
          </cell>
          <cell r="V102">
            <v>287753.17129664106</v>
          </cell>
          <cell r="W102">
            <v>3280.2679674234987</v>
          </cell>
          <cell r="X102">
            <v>295224.11706811487</v>
          </cell>
          <cell r="Y102">
            <v>2911.8557735997142</v>
          </cell>
          <cell r="Z102">
            <v>291185.57735997142</v>
          </cell>
          <cell r="AA102">
            <v>3464.9058265788067</v>
          </cell>
          <cell r="AB102">
            <v>346490.58265788067</v>
          </cell>
          <cell r="AC102">
            <v>3113.0223166230039</v>
          </cell>
          <cell r="AE102" t="str">
            <v>Other Expenses ( W.P.P.F.)</v>
          </cell>
        </row>
        <row r="103">
          <cell r="D103" t="str">
            <v>Workers Welfare Fund</v>
          </cell>
          <cell r="E103">
            <v>1499.0267372593985</v>
          </cell>
          <cell r="F103">
            <v>209863.74321631578</v>
          </cell>
          <cell r="G103">
            <v>1367.4811090758005</v>
          </cell>
          <cell r="H103">
            <v>191447.35527061208</v>
          </cell>
          <cell r="I103">
            <v>1203.0979219267881</v>
          </cell>
          <cell r="J103">
            <v>168433.70906975033</v>
          </cell>
          <cell r="K103">
            <v>1237.5621229049211</v>
          </cell>
          <cell r="L103">
            <v>198009.93966478738</v>
          </cell>
          <cell r="M103">
            <v>1251.8866374865934</v>
          </cell>
          <cell r="N103">
            <v>137707.53012352527</v>
          </cell>
          <cell r="O103">
            <v>1368.2419770751833</v>
          </cell>
          <cell r="P103">
            <v>150506.61747827017</v>
          </cell>
          <cell r="Q103">
            <v>1351.2576349952574</v>
          </cell>
          <cell r="R103">
            <v>202688.64524928862</v>
          </cell>
          <cell r="S103">
            <v>1131.4795054513236</v>
          </cell>
          <cell r="T103">
            <v>135777.54065415883</v>
          </cell>
          <cell r="U103">
            <v>1207.0089316049207</v>
          </cell>
          <cell r="V103">
            <v>120700.89316049207</v>
          </cell>
          <cell r="W103">
            <v>1375.9406080206418</v>
          </cell>
          <cell r="X103">
            <v>123834.65472185776</v>
          </cell>
          <cell r="Y103">
            <v>1221.4064958669101</v>
          </cell>
          <cell r="Z103">
            <v>122140.64958669101</v>
          </cell>
          <cell r="AA103">
            <v>1453.3887710099996</v>
          </cell>
          <cell r="AB103">
            <v>145338.87710099996</v>
          </cell>
          <cell r="AC103">
            <v>1305.7877776005132</v>
          </cell>
          <cell r="AE103" t="str">
            <v>Workers Welfare Fund</v>
          </cell>
        </row>
        <row r="104">
          <cell r="E104">
            <v>25485.032929677422</v>
          </cell>
          <cell r="F104">
            <v>3567904.6101548392</v>
          </cell>
          <cell r="G104">
            <v>22360.059486546405</v>
          </cell>
          <cell r="H104">
            <v>3130408.328116497</v>
          </cell>
          <cell r="I104">
            <v>27800.176060023059</v>
          </cell>
          <cell r="J104">
            <v>3892024.6484032292</v>
          </cell>
          <cell r="K104">
            <v>25887.579279012789</v>
          </cell>
          <cell r="L104">
            <v>4142012.6846420458</v>
          </cell>
          <cell r="M104">
            <v>32394.313930730743</v>
          </cell>
          <cell r="N104">
            <v>3563374.5323803816</v>
          </cell>
          <cell r="O104">
            <v>25026.558079129718</v>
          </cell>
          <cell r="P104">
            <v>2752921.3887042687</v>
          </cell>
          <cell r="Q104">
            <v>19868.406464293483</v>
          </cell>
          <cell r="R104">
            <v>2980260.9696440222</v>
          </cell>
          <cell r="S104">
            <v>27295.30791599043</v>
          </cell>
          <cell r="T104">
            <v>3275436.9499188517</v>
          </cell>
          <cell r="U104">
            <v>27037.991155497592</v>
          </cell>
          <cell r="V104">
            <v>2703799.1155497599</v>
          </cell>
          <cell r="W104">
            <v>24623.40075910644</v>
          </cell>
          <cell r="X104">
            <v>2216106.0683195796</v>
          </cell>
          <cell r="Y104">
            <v>32197.815078358082</v>
          </cell>
          <cell r="Z104">
            <v>3219781.5078358091</v>
          </cell>
          <cell r="AA104">
            <v>24529.659763190764</v>
          </cell>
          <cell r="AB104">
            <v>2452965.9763190765</v>
          </cell>
          <cell r="AC104">
            <v>25956.84710958106</v>
          </cell>
        </row>
        <row r="105">
          <cell r="D105" t="str">
            <v>Operating Profit</v>
          </cell>
          <cell r="E105">
            <v>45653.623345626351</v>
          </cell>
          <cell r="F105">
            <v>6391507.2683876771</v>
          </cell>
          <cell r="G105">
            <v>52049.904872859974</v>
          </cell>
          <cell r="H105">
            <v>7286986.6822003853</v>
          </cell>
          <cell r="I105">
            <v>47067.135910903467</v>
          </cell>
          <cell r="J105">
            <v>6589399.0275264736</v>
          </cell>
          <cell r="K105">
            <v>54680.041589938512</v>
          </cell>
          <cell r="L105">
            <v>8748806.6543901637</v>
          </cell>
          <cell r="M105">
            <v>41874.313397090911</v>
          </cell>
          <cell r="N105">
            <v>4606174.4736799952</v>
          </cell>
          <cell r="O105">
            <v>49954.978880442555</v>
          </cell>
          <cell r="P105">
            <v>5495047.6768486742</v>
          </cell>
          <cell r="Q105">
            <v>61030.214404657818</v>
          </cell>
          <cell r="R105">
            <v>9154532.1606986783</v>
          </cell>
          <cell r="S105">
            <v>49049.19296893086</v>
          </cell>
          <cell r="T105">
            <v>5885903.1562717073</v>
          </cell>
          <cell r="U105">
            <v>50780.33496697386</v>
          </cell>
          <cell r="V105">
            <v>5078033.496697383</v>
          </cell>
          <cell r="W105">
            <v>51519.233105246138</v>
          </cell>
          <cell r="X105">
            <v>4636730.9794721473</v>
          </cell>
          <cell r="Y105">
            <v>43738.610539176996</v>
          </cell>
          <cell r="Z105">
            <v>4373861.0539176967</v>
          </cell>
          <cell r="AA105">
            <v>51973.300411362739</v>
          </cell>
          <cell r="AB105">
            <v>5197330.0411362723</v>
          </cell>
          <cell r="AC105">
            <v>50304.323747415889</v>
          </cell>
          <cell r="AE105" t="str">
            <v>Operating Profit</v>
          </cell>
        </row>
        <row r="107">
          <cell r="C107" t="str">
            <v>Other Income</v>
          </cell>
          <cell r="AD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E108" t="str">
            <v>H.D</v>
          </cell>
        </row>
        <row r="109">
          <cell r="D109" t="str">
            <v>Others</v>
          </cell>
          <cell r="E109">
            <v>18021.978021978022</v>
          </cell>
          <cell r="F109">
            <v>2523076.923076923</v>
          </cell>
          <cell r="G109">
            <v>15045.871559633028</v>
          </cell>
          <cell r="H109">
            <v>2106422</v>
          </cell>
          <cell r="I109">
            <v>14629.794826048172</v>
          </cell>
          <cell r="J109">
            <v>2048171.2756467441</v>
          </cell>
          <cell r="K109">
            <v>5120</v>
          </cell>
          <cell r="L109">
            <v>819200</v>
          </cell>
          <cell r="M109">
            <v>7356.3218390804595</v>
          </cell>
          <cell r="N109">
            <v>809195.40229885059</v>
          </cell>
          <cell r="O109">
            <v>7103.2186459489458</v>
          </cell>
          <cell r="P109">
            <v>781354.05105438409</v>
          </cell>
          <cell r="Q109">
            <v>5120</v>
          </cell>
          <cell r="R109">
            <v>768000</v>
          </cell>
          <cell r="S109">
            <v>6736.8421052631575</v>
          </cell>
          <cell r="T109">
            <v>808421.05263157887</v>
          </cell>
          <cell r="U109">
            <v>6213.5922330097092</v>
          </cell>
          <cell r="V109">
            <v>621359.22330097086</v>
          </cell>
          <cell r="W109">
            <v>6808.510638297872</v>
          </cell>
          <cell r="X109">
            <v>612765.95744680846</v>
          </cell>
          <cell r="Y109">
            <v>6881.7204301075271</v>
          </cell>
          <cell r="Z109">
            <v>688172.04301075276</v>
          </cell>
          <cell r="AA109">
            <v>6680.5845511482257</v>
          </cell>
          <cell r="AB109">
            <v>668058.4551148226</v>
          </cell>
          <cell r="AC109">
            <v>9078.2167010834492</v>
          </cell>
          <cell r="AE109" t="str">
            <v>Others</v>
          </cell>
        </row>
        <row r="110">
          <cell r="E110">
            <v>18021.978021978022</v>
          </cell>
          <cell r="F110">
            <v>2523076.923076923</v>
          </cell>
          <cell r="G110">
            <v>15045.871559633028</v>
          </cell>
          <cell r="H110">
            <v>2106422</v>
          </cell>
          <cell r="I110">
            <v>14629.794826048172</v>
          </cell>
          <cell r="J110">
            <v>2048171.2756467441</v>
          </cell>
          <cell r="K110">
            <v>5120</v>
          </cell>
          <cell r="L110">
            <v>819200</v>
          </cell>
          <cell r="M110">
            <v>7356.3218390804595</v>
          </cell>
          <cell r="N110">
            <v>809195.40229885059</v>
          </cell>
          <cell r="O110">
            <v>7103.2186459489458</v>
          </cell>
          <cell r="P110">
            <v>781354.05105438409</v>
          </cell>
          <cell r="Q110">
            <v>5120</v>
          </cell>
          <cell r="R110">
            <v>768000</v>
          </cell>
          <cell r="S110">
            <v>6736.8421052631575</v>
          </cell>
          <cell r="T110">
            <v>808421.05263157887</v>
          </cell>
          <cell r="U110">
            <v>6213.5922330097092</v>
          </cell>
          <cell r="V110">
            <v>621359.22330097086</v>
          </cell>
          <cell r="W110">
            <v>6808.510638297872</v>
          </cell>
          <cell r="X110">
            <v>612765.95744680846</v>
          </cell>
          <cell r="Y110">
            <v>6881.7204301075271</v>
          </cell>
          <cell r="Z110">
            <v>688172.04301075276</v>
          </cell>
          <cell r="AA110">
            <v>6680.5845511482257</v>
          </cell>
          <cell r="AB110">
            <v>668058.4551148226</v>
          </cell>
          <cell r="AC110">
            <v>9078.2167010834492</v>
          </cell>
        </row>
        <row r="112">
          <cell r="C112" t="str">
            <v>Profit / (Loss) before tax</v>
          </cell>
          <cell r="E112">
            <v>63675.601367604373</v>
          </cell>
          <cell r="F112">
            <v>8914584.1914645992</v>
          </cell>
          <cell r="G112">
            <v>67095.776432493003</v>
          </cell>
          <cell r="H112">
            <v>9393408.6822003853</v>
          </cell>
          <cell r="I112">
            <v>61696.930736951639</v>
          </cell>
          <cell r="J112">
            <v>8637570.3031732179</v>
          </cell>
          <cell r="K112">
            <v>59800.041589938512</v>
          </cell>
          <cell r="L112">
            <v>9568006.6543901637</v>
          </cell>
          <cell r="M112">
            <v>49230.635236171373</v>
          </cell>
          <cell r="N112">
            <v>5415369.8759788461</v>
          </cell>
          <cell r="O112">
            <v>57058.197526391501</v>
          </cell>
          <cell r="P112">
            <v>6276401.7279030588</v>
          </cell>
          <cell r="Q112">
            <v>66150.214404657818</v>
          </cell>
          <cell r="R112">
            <v>9922532.1606986783</v>
          </cell>
          <cell r="S112">
            <v>55786.03507419402</v>
          </cell>
          <cell r="T112">
            <v>6694324.2089032866</v>
          </cell>
          <cell r="U112">
            <v>56993.927199983569</v>
          </cell>
          <cell r="V112">
            <v>5699392.7199983541</v>
          </cell>
          <cell r="W112">
            <v>58327.743743544008</v>
          </cell>
          <cell r="X112">
            <v>5249496.9369189553</v>
          </cell>
          <cell r="Y112">
            <v>50620.330969284521</v>
          </cell>
          <cell r="Z112">
            <v>5062033.0969284493</v>
          </cell>
          <cell r="AA112">
            <v>58653.884962510965</v>
          </cell>
          <cell r="AB112">
            <v>5865388.4962510951</v>
          </cell>
          <cell r="AC112">
            <v>59382.540448499334</v>
          </cell>
          <cell r="AD112" t="str">
            <v>Profit before tax</v>
          </cell>
          <cell r="AE112">
            <v>86698509.054809079</v>
          </cell>
        </row>
        <row r="114">
          <cell r="C114" t="str">
            <v>Taxation</v>
          </cell>
          <cell r="AD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E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E116" t="str">
            <v>Deferred</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t="str">
            <v>Net Profit after taxation</v>
          </cell>
          <cell r="E118">
            <v>63675.601367604373</v>
          </cell>
          <cell r="F118">
            <v>8914584.1914645992</v>
          </cell>
          <cell r="G118">
            <v>67095.776432493003</v>
          </cell>
          <cell r="H118">
            <v>9393408.6822003853</v>
          </cell>
          <cell r="I118">
            <v>61696.930736951639</v>
          </cell>
          <cell r="J118">
            <v>8637570.3031732179</v>
          </cell>
          <cell r="K118">
            <v>59800.041589938512</v>
          </cell>
          <cell r="L118">
            <v>9568006.6543901637</v>
          </cell>
          <cell r="M118">
            <v>49230.635236171373</v>
          </cell>
          <cell r="N118">
            <v>5415369.8759788461</v>
          </cell>
          <cell r="O118">
            <v>57058.197526391501</v>
          </cell>
          <cell r="P118">
            <v>6276401.7279030588</v>
          </cell>
          <cell r="Q118">
            <v>66150.214404657818</v>
          </cell>
          <cell r="R118">
            <v>9922532.1606986783</v>
          </cell>
          <cell r="S118">
            <v>55786.03507419402</v>
          </cell>
          <cell r="T118">
            <v>6694324.2089032866</v>
          </cell>
          <cell r="U118">
            <v>56993.927199983569</v>
          </cell>
          <cell r="V118">
            <v>5699392.7199983541</v>
          </cell>
          <cell r="W118">
            <v>58327.743743544008</v>
          </cell>
          <cell r="X118">
            <v>5249496.9369189553</v>
          </cell>
          <cell r="Y118">
            <v>50620.330969284521</v>
          </cell>
          <cell r="Z118">
            <v>5062033.0969284493</v>
          </cell>
          <cell r="AA118">
            <v>58653.884962510965</v>
          </cell>
          <cell r="AB118">
            <v>5865388.4962510951</v>
          </cell>
          <cell r="AC118">
            <v>59382.540448499334</v>
          </cell>
          <cell r="AD118" t="str">
            <v>Net Profit after taxation</v>
          </cell>
        </row>
        <row r="120">
          <cell r="AC120" t="str">
            <v>XE G</v>
          </cell>
        </row>
        <row r="121">
          <cell r="E121">
            <v>37438</v>
          </cell>
          <cell r="F121">
            <v>37469</v>
          </cell>
          <cell r="G121">
            <v>37500</v>
          </cell>
          <cell r="H121">
            <v>37531</v>
          </cell>
          <cell r="I121">
            <v>37562</v>
          </cell>
          <cell r="J121">
            <v>37593</v>
          </cell>
          <cell r="K121">
            <v>37624</v>
          </cell>
          <cell r="L121">
            <v>37655</v>
          </cell>
          <cell r="M121">
            <v>37686</v>
          </cell>
          <cell r="N121">
            <v>37717</v>
          </cell>
          <cell r="O121">
            <v>37748</v>
          </cell>
          <cell r="P121">
            <v>37779</v>
          </cell>
          <cell r="Q121">
            <v>37779</v>
          </cell>
          <cell r="S121">
            <v>37810</v>
          </cell>
          <cell r="U121">
            <v>37841</v>
          </cell>
          <cell r="W121">
            <v>37872</v>
          </cell>
          <cell r="Y121">
            <v>37903</v>
          </cell>
          <cell r="AA121">
            <v>37934</v>
          </cell>
          <cell r="AC121" t="str">
            <v>Yearly</v>
          </cell>
        </row>
        <row r="122">
          <cell r="D122" t="str">
            <v>XE 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E122" t="str">
            <v>XE 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0</v>
          </cell>
          <cell r="S124">
            <v>1</v>
          </cell>
          <cell r="T124">
            <v>0</v>
          </cell>
          <cell r="U124">
            <v>1</v>
          </cell>
          <cell r="V124">
            <v>0</v>
          </cell>
          <cell r="W124">
            <v>1</v>
          </cell>
          <cell r="X124">
            <v>0</v>
          </cell>
          <cell r="Y124">
            <v>1</v>
          </cell>
          <cell r="Z124">
            <v>0</v>
          </cell>
          <cell r="AA124">
            <v>1</v>
          </cell>
          <cell r="AB124">
            <v>0</v>
          </cell>
          <cell r="AC124">
            <v>0</v>
          </cell>
          <cell r="AD124" t="str">
            <v>Sales Units</v>
          </cell>
        </row>
        <row r="126">
          <cell r="C126" t="str">
            <v>Selling Price</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t="e">
            <v>#DIV/0!</v>
          </cell>
          <cell r="AD126" t="str">
            <v>Selling Price</v>
          </cell>
        </row>
        <row r="127">
          <cell r="C127" t="str">
            <v>Less: Dealer commission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t="e">
            <v>#DIV/0!</v>
          </cell>
          <cell r="AD127" t="str">
            <v>Less: Dealer commission</v>
          </cell>
        </row>
        <row r="128">
          <cell r="D128" t="str">
            <v xml:space="preserve">  Sales tax</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t="e">
            <v>#DIV/0!</v>
          </cell>
          <cell r="AE128" t="str">
            <v xml:space="preserve">  Sales tax</v>
          </cell>
        </row>
        <row r="129">
          <cell r="C129" t="str">
            <v>Net 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t="e">
            <v>#DIV/0!</v>
          </cell>
          <cell r="AD129" t="str">
            <v>Net Sales</v>
          </cell>
        </row>
        <row r="131">
          <cell r="C131" t="str">
            <v>Variable Cost of Sales</v>
          </cell>
          <cell r="AD131" t="str">
            <v>Variable Cost of Sales</v>
          </cell>
        </row>
        <row r="132">
          <cell r="D132" t="str">
            <v>CKD Cost</v>
          </cell>
          <cell r="E132">
            <v>261146.48864729228</v>
          </cell>
          <cell r="F132">
            <v>0</v>
          </cell>
          <cell r="G132">
            <v>261146.48864729228</v>
          </cell>
          <cell r="H132">
            <v>0</v>
          </cell>
          <cell r="I132">
            <v>261146.48864729228</v>
          </cell>
          <cell r="J132">
            <v>0</v>
          </cell>
          <cell r="K132">
            <v>257105.73194683768</v>
          </cell>
          <cell r="L132">
            <v>0</v>
          </cell>
          <cell r="M132">
            <v>257105.73194683768</v>
          </cell>
          <cell r="N132">
            <v>0</v>
          </cell>
          <cell r="O132">
            <v>257105.73194683768</v>
          </cell>
          <cell r="P132">
            <v>0</v>
          </cell>
          <cell r="Q132">
            <v>257105.73194683768</v>
          </cell>
          <cell r="R132">
            <v>0</v>
          </cell>
          <cell r="S132">
            <v>257105.73194683768</v>
          </cell>
          <cell r="T132">
            <v>0</v>
          </cell>
          <cell r="U132">
            <v>257105.73194683768</v>
          </cell>
          <cell r="V132">
            <v>0</v>
          </cell>
          <cell r="W132">
            <v>257105.73194683768</v>
          </cell>
          <cell r="X132">
            <v>0</v>
          </cell>
          <cell r="Y132">
            <v>257105.73194683768</v>
          </cell>
          <cell r="Z132">
            <v>0</v>
          </cell>
          <cell r="AA132">
            <v>257105.73194683768</v>
          </cell>
          <cell r="AB132">
            <v>0</v>
          </cell>
          <cell r="AC132" t="e">
            <v>#DIV/0!</v>
          </cell>
          <cell r="AE132" t="str">
            <v>CKD Cost</v>
          </cell>
        </row>
        <row r="133">
          <cell r="D133" t="str">
            <v>Vendor parts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t="e">
            <v>#DIV/0!</v>
          </cell>
          <cell r="AE133" t="str">
            <v>Vendor parts</v>
          </cell>
        </row>
        <row r="134">
          <cell r="D134" t="str">
            <v>Nomi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t="e">
            <v>#DIV/0!</v>
          </cell>
          <cell r="AE134" t="str">
            <v>Nomi Parts</v>
          </cell>
        </row>
        <row r="135">
          <cell r="D135" t="str">
            <v>Paints &amp; Chemicals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t="e">
            <v>#DIV/0!</v>
          </cell>
          <cell r="AE135" t="str">
            <v>Paints &amp; Chemicals</v>
          </cell>
        </row>
        <row r="136">
          <cell r="D136" t="str">
            <v>Consumables</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t="e">
            <v>#DIV/0!</v>
          </cell>
          <cell r="AE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t="e">
            <v>#DIV/0!</v>
          </cell>
          <cell r="AE137" t="str">
            <v>KD Parts</v>
          </cell>
        </row>
        <row r="138">
          <cell r="D138" t="str">
            <v>Spare parts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t="e">
            <v>#DIV/0!</v>
          </cell>
          <cell r="AE138" t="str">
            <v>Spare parts</v>
          </cell>
        </row>
        <row r="139">
          <cell r="D139" t="str">
            <v>Utilities</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t="e">
            <v>#DIV/0!</v>
          </cell>
          <cell r="AE139" t="str">
            <v>Utilities</v>
          </cell>
        </row>
        <row r="140">
          <cell r="D140" t="str">
            <v>Royalty</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t="e">
            <v>#DIV/0!</v>
          </cell>
          <cell r="AE140" t="str">
            <v>Royalty</v>
          </cell>
        </row>
        <row r="142">
          <cell r="E142">
            <v>261146.48864729228</v>
          </cell>
          <cell r="F142">
            <v>0</v>
          </cell>
          <cell r="G142">
            <v>261146.48864729228</v>
          </cell>
          <cell r="H142">
            <v>0</v>
          </cell>
          <cell r="I142">
            <v>261146.48864729228</v>
          </cell>
          <cell r="J142">
            <v>0</v>
          </cell>
          <cell r="K142">
            <v>257105.73194683768</v>
          </cell>
          <cell r="L142">
            <v>0</v>
          </cell>
          <cell r="M142">
            <v>257105.73194683768</v>
          </cell>
          <cell r="N142">
            <v>0</v>
          </cell>
          <cell r="O142">
            <v>257105.73194683768</v>
          </cell>
          <cell r="P142">
            <v>0</v>
          </cell>
          <cell r="Q142">
            <v>257105.73194683768</v>
          </cell>
          <cell r="R142">
            <v>0</v>
          </cell>
          <cell r="S142">
            <v>257105.73194683768</v>
          </cell>
          <cell r="T142">
            <v>0</v>
          </cell>
          <cell r="U142">
            <v>257105.73194683768</v>
          </cell>
          <cell r="V142">
            <v>0</v>
          </cell>
          <cell r="W142">
            <v>257105.73194683768</v>
          </cell>
          <cell r="X142">
            <v>0</v>
          </cell>
          <cell r="Y142">
            <v>257105.73194683768</v>
          </cell>
          <cell r="Z142">
            <v>0</v>
          </cell>
          <cell r="AA142">
            <v>257105.73194683768</v>
          </cell>
          <cell r="AB142">
            <v>0</v>
          </cell>
          <cell r="AC142" t="e">
            <v>#DIV/0!</v>
          </cell>
        </row>
        <row r="143">
          <cell r="C143" t="str">
            <v>Contribution Margin</v>
          </cell>
          <cell r="E143">
            <v>-261146.48864729228</v>
          </cell>
          <cell r="F143">
            <v>0</v>
          </cell>
          <cell r="G143">
            <v>-261146.48864729228</v>
          </cell>
          <cell r="H143">
            <v>0</v>
          </cell>
          <cell r="I143">
            <v>-261146.48864729228</v>
          </cell>
          <cell r="J143">
            <v>0</v>
          </cell>
          <cell r="K143">
            <v>-257105.73194683768</v>
          </cell>
          <cell r="L143">
            <v>0</v>
          </cell>
          <cell r="M143">
            <v>-257105.73194683768</v>
          </cell>
          <cell r="N143">
            <v>0</v>
          </cell>
          <cell r="O143">
            <v>-257105.73194683768</v>
          </cell>
          <cell r="P143">
            <v>0</v>
          </cell>
          <cell r="Q143">
            <v>-257105.73194683768</v>
          </cell>
          <cell r="R143">
            <v>0</v>
          </cell>
          <cell r="S143">
            <v>-257105.73194683768</v>
          </cell>
          <cell r="T143">
            <v>0</v>
          </cell>
          <cell r="U143">
            <v>-257105.73194683768</v>
          </cell>
          <cell r="V143">
            <v>0</v>
          </cell>
          <cell r="W143">
            <v>-257105.73194683768</v>
          </cell>
          <cell r="X143">
            <v>0</v>
          </cell>
          <cell r="Y143">
            <v>-257105.73194683768</v>
          </cell>
          <cell r="Z143">
            <v>0</v>
          </cell>
          <cell r="AA143">
            <v>-257105.73194683768</v>
          </cell>
          <cell r="AB143">
            <v>0</v>
          </cell>
          <cell r="AC143" t="e">
            <v>#DIV/0!</v>
          </cell>
          <cell r="AD143" t="str">
            <v>Contribution Margin</v>
          </cell>
        </row>
        <row r="145">
          <cell r="C145" t="str">
            <v>Production cost</v>
          </cell>
          <cell r="AD145" t="str">
            <v>Production cost</v>
          </cell>
        </row>
        <row r="146">
          <cell r="D146" t="str">
            <v xml:space="preserve">Salaries &amp; Wages </v>
          </cell>
          <cell r="E146">
            <v>5330.971806841444</v>
          </cell>
          <cell r="F146">
            <v>0</v>
          </cell>
          <cell r="G146">
            <v>4450.6278387391867</v>
          </cell>
          <cell r="H146">
            <v>0</v>
          </cell>
          <cell r="I146">
            <v>4327.5507084975143</v>
          </cell>
          <cell r="J146">
            <v>0</v>
          </cell>
          <cell r="K146">
            <v>3880.9474753805712</v>
          </cell>
          <cell r="L146">
            <v>0</v>
          </cell>
          <cell r="M146">
            <v>5576.0739588801307</v>
          </cell>
          <cell r="N146">
            <v>0</v>
          </cell>
          <cell r="O146">
            <v>5384.2223576312035</v>
          </cell>
          <cell r="P146">
            <v>0</v>
          </cell>
          <cell r="Q146">
            <v>3880.9474753805712</v>
          </cell>
          <cell r="R146">
            <v>0</v>
          </cell>
          <cell r="S146">
            <v>5106.5098360270676</v>
          </cell>
          <cell r="T146">
            <v>0</v>
          </cell>
          <cell r="U146">
            <v>4709.8877128404993</v>
          </cell>
          <cell r="V146">
            <v>0</v>
          </cell>
          <cell r="W146">
            <v>5160.8344087507594</v>
          </cell>
          <cell r="X146">
            <v>0</v>
          </cell>
          <cell r="Y146">
            <v>5216.3272518556068</v>
          </cell>
          <cell r="Z146">
            <v>0</v>
          </cell>
          <cell r="AA146">
            <v>5063.8667476260061</v>
          </cell>
          <cell r="AB146">
            <v>0</v>
          </cell>
          <cell r="AC146" t="e">
            <v>#DIV/0!</v>
          </cell>
          <cell r="AE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t="e">
            <v>#DIV/0!</v>
          </cell>
          <cell r="AE147" t="str">
            <v xml:space="preserve">Utilities </v>
          </cell>
        </row>
        <row r="148">
          <cell r="D148" t="str">
            <v>Depreciation</v>
          </cell>
          <cell r="E148">
            <v>11150.091575091576</v>
          </cell>
          <cell r="F148">
            <v>0</v>
          </cell>
          <cell r="G148">
            <v>9308.7920489296648</v>
          </cell>
          <cell r="H148">
            <v>0</v>
          </cell>
          <cell r="I148">
            <v>9051.3678263455258</v>
          </cell>
          <cell r="J148">
            <v>0</v>
          </cell>
          <cell r="K148">
            <v>8117.2666666666673</v>
          </cell>
          <cell r="L148">
            <v>0</v>
          </cell>
          <cell r="M148">
            <v>11662.739463601532</v>
          </cell>
          <cell r="N148">
            <v>0</v>
          </cell>
          <cell r="O148">
            <v>11261.468738438773</v>
          </cell>
          <cell r="P148">
            <v>0</v>
          </cell>
          <cell r="Q148">
            <v>8117.2666666666673</v>
          </cell>
          <cell r="R148">
            <v>0</v>
          </cell>
          <cell r="S148">
            <v>10680.614035087719</v>
          </cell>
          <cell r="T148">
            <v>0</v>
          </cell>
          <cell r="U148">
            <v>9851.0517799352765</v>
          </cell>
          <cell r="V148">
            <v>0</v>
          </cell>
          <cell r="W148">
            <v>10794.237588652482</v>
          </cell>
          <cell r="X148">
            <v>0</v>
          </cell>
          <cell r="Y148">
            <v>10910.304659498208</v>
          </cell>
          <cell r="Z148">
            <v>0</v>
          </cell>
          <cell r="AA148">
            <v>10591.423103688239</v>
          </cell>
          <cell r="AB148">
            <v>0</v>
          </cell>
          <cell r="AC148" t="e">
            <v>#DIV/0!</v>
          </cell>
          <cell r="AE148" t="str">
            <v>Depreciation</v>
          </cell>
        </row>
        <row r="149">
          <cell r="D149" t="str">
            <v xml:space="preserve">Other Factory overhead </v>
          </cell>
          <cell r="E149">
            <v>3328.5244606883934</v>
          </cell>
          <cell r="F149">
            <v>0</v>
          </cell>
          <cell r="G149">
            <v>2778.859870849943</v>
          </cell>
          <cell r="H149">
            <v>0</v>
          </cell>
          <cell r="I149">
            <v>2702.0136121556093</v>
          </cell>
          <cell r="J149">
            <v>0</v>
          </cell>
          <cell r="K149">
            <v>2423.1658073811504</v>
          </cell>
          <cell r="L149">
            <v>0</v>
          </cell>
          <cell r="M149">
            <v>3481.5600680763655</v>
          </cell>
          <cell r="N149">
            <v>0</v>
          </cell>
          <cell r="O149">
            <v>3361.7727627374452</v>
          </cell>
          <cell r="P149">
            <v>0</v>
          </cell>
          <cell r="Q149">
            <v>2423.1658073811504</v>
          </cell>
          <cell r="R149">
            <v>0</v>
          </cell>
          <cell r="S149">
            <v>3188.3760623436192</v>
          </cell>
          <cell r="T149">
            <v>0</v>
          </cell>
          <cell r="U149">
            <v>2940.735203132464</v>
          </cell>
          <cell r="V149">
            <v>0</v>
          </cell>
          <cell r="W149">
            <v>3222.2949566238703</v>
          </cell>
          <cell r="X149">
            <v>0</v>
          </cell>
          <cell r="Y149">
            <v>3256.9432894907936</v>
          </cell>
          <cell r="Z149">
            <v>0</v>
          </cell>
          <cell r="AA149">
            <v>3161.7507925119394</v>
          </cell>
          <cell r="AB149">
            <v>0</v>
          </cell>
          <cell r="AC149" t="e">
            <v>#DIV/0!</v>
          </cell>
          <cell r="AE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t="e">
            <v>#DIV/0!</v>
          </cell>
          <cell r="AE150" t="str">
            <v>Running Royalty</v>
          </cell>
        </row>
        <row r="151">
          <cell r="E151">
            <v>19809.587842621411</v>
          </cell>
          <cell r="F151">
            <v>0</v>
          </cell>
          <cell r="G151">
            <v>16538.279758518795</v>
          </cell>
          <cell r="H151">
            <v>0</v>
          </cell>
          <cell r="I151">
            <v>16080.93214699865</v>
          </cell>
          <cell r="J151">
            <v>0</v>
          </cell>
          <cell r="K151">
            <v>14421.379949428388</v>
          </cell>
          <cell r="L151">
            <v>0</v>
          </cell>
          <cell r="M151">
            <v>20720.373490558028</v>
          </cell>
          <cell r="N151">
            <v>0</v>
          </cell>
          <cell r="O151">
            <v>20007.463858807419</v>
          </cell>
          <cell r="P151">
            <v>0</v>
          </cell>
          <cell r="Q151">
            <v>14421.379949428388</v>
          </cell>
          <cell r="R151">
            <v>0</v>
          </cell>
          <cell r="S151">
            <v>18975.499933458406</v>
          </cell>
          <cell r="T151">
            <v>0</v>
          </cell>
          <cell r="U151">
            <v>17501.674695908237</v>
          </cell>
          <cell r="V151">
            <v>0</v>
          </cell>
          <cell r="W151">
            <v>19177.366954027111</v>
          </cell>
          <cell r="X151">
            <v>0</v>
          </cell>
          <cell r="Y151">
            <v>19383.575200844611</v>
          </cell>
          <cell r="Z151">
            <v>0</v>
          </cell>
          <cell r="AA151">
            <v>18817.040643826185</v>
          </cell>
          <cell r="AB151">
            <v>0</v>
          </cell>
          <cell r="AC151" t="e">
            <v>#DIV/0!</v>
          </cell>
        </row>
        <row r="152">
          <cell r="C152" t="str">
            <v>Gross Profit</v>
          </cell>
          <cell r="E152">
            <v>-280956.07648991368</v>
          </cell>
          <cell r="F152">
            <v>0</v>
          </cell>
          <cell r="G152">
            <v>-277684.76840581105</v>
          </cell>
          <cell r="H152">
            <v>0</v>
          </cell>
          <cell r="I152">
            <v>-277227.42079429096</v>
          </cell>
          <cell r="J152">
            <v>0</v>
          </cell>
          <cell r="K152">
            <v>-271527.11189626605</v>
          </cell>
          <cell r="L152">
            <v>0</v>
          </cell>
          <cell r="M152">
            <v>-277826.10543739569</v>
          </cell>
          <cell r="N152">
            <v>0</v>
          </cell>
          <cell r="O152">
            <v>-277113.19580564508</v>
          </cell>
          <cell r="P152">
            <v>0</v>
          </cell>
          <cell r="Q152">
            <v>-271527.11189626605</v>
          </cell>
          <cell r="R152">
            <v>0</v>
          </cell>
          <cell r="S152">
            <v>-276081.23188029608</v>
          </cell>
          <cell r="T152">
            <v>0</v>
          </cell>
          <cell r="U152">
            <v>-274607.40664274595</v>
          </cell>
          <cell r="V152">
            <v>0</v>
          </cell>
          <cell r="W152">
            <v>-276283.09890086477</v>
          </cell>
          <cell r="X152">
            <v>0</v>
          </cell>
          <cell r="Y152">
            <v>-276489.3071476823</v>
          </cell>
          <cell r="Z152">
            <v>0</v>
          </cell>
          <cell r="AA152">
            <v>-275922.77259066387</v>
          </cell>
          <cell r="AB152">
            <v>0</v>
          </cell>
          <cell r="AC152" t="e">
            <v>#DIV/0!</v>
          </cell>
          <cell r="AD152" t="str">
            <v>Gross Profit</v>
          </cell>
        </row>
        <row r="154">
          <cell r="C154" t="str">
            <v>Other Expenses</v>
          </cell>
          <cell r="AD154" t="str">
            <v>Other Expenses</v>
          </cell>
        </row>
        <row r="155">
          <cell r="D155" t="str">
            <v>Selling Expenses</v>
          </cell>
          <cell r="E155">
            <v>5183.0082521448167</v>
          </cell>
          <cell r="F155">
            <v>0</v>
          </cell>
          <cell r="G155">
            <v>4427.3486746392564</v>
          </cell>
          <cell r="H155">
            <v>0</v>
          </cell>
          <cell r="I155">
            <v>4320.887144065181</v>
          </cell>
          <cell r="J155">
            <v>0</v>
          </cell>
          <cell r="K155">
            <v>3897.7185689144208</v>
          </cell>
          <cell r="L155">
            <v>0</v>
          </cell>
          <cell r="M155">
            <v>5409.2615187305564</v>
          </cell>
          <cell r="N155">
            <v>0</v>
          </cell>
          <cell r="O155">
            <v>5179.8400416559607</v>
          </cell>
          <cell r="P155">
            <v>0</v>
          </cell>
          <cell r="Q155">
            <v>3845.1336292747983</v>
          </cell>
          <cell r="R155">
            <v>0</v>
          </cell>
          <cell r="S155">
            <v>4967.5774890123712</v>
          </cell>
          <cell r="T155">
            <v>0</v>
          </cell>
          <cell r="U155">
            <v>4642.661605420024</v>
          </cell>
          <cell r="V155">
            <v>0</v>
          </cell>
          <cell r="W155">
            <v>5073.1110111757944</v>
          </cell>
          <cell r="X155">
            <v>0</v>
          </cell>
          <cell r="Y155">
            <v>5099.2966467698334</v>
          </cell>
          <cell r="Z155">
            <v>0</v>
          </cell>
          <cell r="AA155">
            <v>4893.3178190345943</v>
          </cell>
          <cell r="AB155">
            <v>0</v>
          </cell>
          <cell r="AC155" t="e">
            <v>#DIV/0!</v>
          </cell>
          <cell r="AE155" t="str">
            <v>Selling Expenses</v>
          </cell>
        </row>
        <row r="156">
          <cell r="D156" t="str">
            <v>Advertisement Expenses</v>
          </cell>
          <cell r="E156">
            <v>800.32572918126152</v>
          </cell>
          <cell r="F156">
            <v>0</v>
          </cell>
          <cell r="G156">
            <v>969.71958993165515</v>
          </cell>
          <cell r="H156">
            <v>0</v>
          </cell>
          <cell r="I156">
            <v>7367.9708551430685</v>
          </cell>
          <cell r="J156">
            <v>0</v>
          </cell>
          <cell r="K156">
            <v>6935.2770964018819</v>
          </cell>
          <cell r="L156">
            <v>0</v>
          </cell>
          <cell r="M156">
            <v>7697.2629504339211</v>
          </cell>
          <cell r="N156">
            <v>0</v>
          </cell>
          <cell r="O156">
            <v>799.8365151483406</v>
          </cell>
          <cell r="P156">
            <v>0</v>
          </cell>
          <cell r="Q156">
            <v>739.89139808437483</v>
          </cell>
          <cell r="R156">
            <v>0</v>
          </cell>
          <cell r="S156">
            <v>4684.9685429207811</v>
          </cell>
          <cell r="T156">
            <v>0</v>
          </cell>
          <cell r="U156">
            <v>5393.2109933565007</v>
          </cell>
          <cell r="V156">
            <v>0</v>
          </cell>
          <cell r="W156">
            <v>783.35612673520234</v>
          </cell>
          <cell r="X156">
            <v>0</v>
          </cell>
          <cell r="Y156">
            <v>8782.5333169589612</v>
          </cell>
          <cell r="Z156">
            <v>0</v>
          </cell>
          <cell r="AA156">
            <v>1104.3291887822443</v>
          </cell>
          <cell r="AB156">
            <v>0</v>
          </cell>
          <cell r="AC156" t="e">
            <v>#DIV/0!</v>
          </cell>
        </row>
        <row r="157">
          <cell r="D157" t="str">
            <v>Administrative Expenses</v>
          </cell>
          <cell r="E157">
            <v>10560.726889052896</v>
          </cell>
          <cell r="F157">
            <v>0</v>
          </cell>
          <cell r="G157">
            <v>9021.0198249495461</v>
          </cell>
          <cell r="H157">
            <v>0</v>
          </cell>
          <cell r="I157">
            <v>8804.0973170376383</v>
          </cell>
          <cell r="J157">
            <v>0</v>
          </cell>
          <cell r="K157">
            <v>7941.8629672567968</v>
          </cell>
          <cell r="L157">
            <v>0</v>
          </cell>
          <cell r="M157">
            <v>11021.733092386507</v>
          </cell>
          <cell r="N157">
            <v>0</v>
          </cell>
          <cell r="O157">
            <v>10554.271447719957</v>
          </cell>
          <cell r="P157">
            <v>0</v>
          </cell>
          <cell r="Q157">
            <v>7834.7176263668644</v>
          </cell>
          <cell r="R157">
            <v>0</v>
          </cell>
          <cell r="S157">
            <v>10121.772262268241</v>
          </cell>
          <cell r="T157">
            <v>0</v>
          </cell>
          <cell r="U157">
            <v>9459.7343604157559</v>
          </cell>
          <cell r="V157">
            <v>0</v>
          </cell>
          <cell r="W157">
            <v>10336.803890810705</v>
          </cell>
          <cell r="X157">
            <v>0</v>
          </cell>
          <cell r="Y157">
            <v>10390.158879356299</v>
          </cell>
          <cell r="Z157">
            <v>0</v>
          </cell>
          <cell r="AA157">
            <v>9970.4632047953019</v>
          </cell>
          <cell r="AB157">
            <v>0</v>
          </cell>
          <cell r="AC157" t="e">
            <v>#DIV/0!</v>
          </cell>
          <cell r="AE157" t="str">
            <v>Administrative Expenses</v>
          </cell>
        </row>
        <row r="158">
          <cell r="D158" t="str">
            <v>Depreciation (Admin. &amp; Selling )</v>
          </cell>
          <cell r="E158">
            <v>2969.9882598191184</v>
          </cell>
          <cell r="F158">
            <v>0</v>
          </cell>
          <cell r="G158">
            <v>2536.9771657922738</v>
          </cell>
          <cell r="H158">
            <v>0</v>
          </cell>
          <cell r="I158">
            <v>2475.9721508385478</v>
          </cell>
          <cell r="J158">
            <v>0</v>
          </cell>
          <cell r="K158">
            <v>2233.4863898710532</v>
          </cell>
          <cell r="L158">
            <v>0</v>
          </cell>
          <cell r="M158">
            <v>3099.6368177250984</v>
          </cell>
          <cell r="N158">
            <v>0</v>
          </cell>
          <cell r="O158">
            <v>2968.1727990868981</v>
          </cell>
          <cell r="P158">
            <v>0</v>
          </cell>
          <cell r="Q158">
            <v>2203.3539560073127</v>
          </cell>
          <cell r="R158">
            <v>0</v>
          </cell>
          <cell r="S158">
            <v>2846.5412564224971</v>
          </cell>
          <cell r="T158">
            <v>0</v>
          </cell>
          <cell r="U158">
            <v>2660.3566484202443</v>
          </cell>
          <cell r="V158">
            <v>0</v>
          </cell>
          <cell r="W158">
            <v>2907.0145002598042</v>
          </cell>
          <cell r="X158">
            <v>0</v>
          </cell>
          <cell r="Y158">
            <v>2922.0194986134175</v>
          </cell>
          <cell r="Z158">
            <v>0</v>
          </cell>
          <cell r="AA158">
            <v>2803.9886812995901</v>
          </cell>
          <cell r="AB158">
            <v>0</v>
          </cell>
          <cell r="AC158" t="e">
            <v>#DIV/0!</v>
          </cell>
          <cell r="AE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t="e">
            <v>#DIV/0!</v>
          </cell>
          <cell r="AE159" t="str">
            <v>Financial Charges -Capital Exp.</v>
          </cell>
        </row>
        <row r="160">
          <cell r="D160" t="str">
            <v>Financial  Charges -Working Capital</v>
          </cell>
          <cell r="E160">
            <v>530.11444507895521</v>
          </cell>
          <cell r="F160">
            <v>0</v>
          </cell>
          <cell r="G160">
            <v>458.80097155251627</v>
          </cell>
          <cell r="H160">
            <v>0</v>
          </cell>
          <cell r="I160">
            <v>448.49087868071882</v>
          </cell>
          <cell r="J160">
            <v>0</v>
          </cell>
          <cell r="K160">
            <v>407.98094465914818</v>
          </cell>
          <cell r="L160">
            <v>0</v>
          </cell>
          <cell r="M160">
            <v>548.85949175372707</v>
          </cell>
          <cell r="N160">
            <v>0</v>
          </cell>
          <cell r="O160">
            <v>527.77239945924691</v>
          </cell>
          <cell r="P160">
            <v>0</v>
          </cell>
          <cell r="Q160">
            <v>396.96132884259964</v>
          </cell>
          <cell r="R160">
            <v>0</v>
          </cell>
          <cell r="S160">
            <v>498.98402076239711</v>
          </cell>
          <cell r="T160">
            <v>0</v>
          </cell>
          <cell r="U160">
            <v>470.64800851302482</v>
          </cell>
          <cell r="V160">
            <v>0</v>
          </cell>
          <cell r="W160">
            <v>511.61704210669683</v>
          </cell>
          <cell r="X160">
            <v>0</v>
          </cell>
          <cell r="Y160">
            <v>513.76394785157731</v>
          </cell>
          <cell r="Z160">
            <v>0</v>
          </cell>
          <cell r="AA160">
            <v>495.30468493193735</v>
          </cell>
          <cell r="AB160">
            <v>0</v>
          </cell>
          <cell r="AC160" t="e">
            <v>#DIV/0!</v>
          </cell>
          <cell r="AE160" t="str">
            <v>Financial  Charges -Working Capital</v>
          </cell>
        </row>
        <row r="161">
          <cell r="D161" t="str">
            <v>Other Expenses (Charity &amp; Donation)</v>
          </cell>
          <cell r="E161">
            <v>368.13503130483002</v>
          </cell>
          <cell r="F161">
            <v>0</v>
          </cell>
          <cell r="G161">
            <v>318.61178580035858</v>
          </cell>
          <cell r="H161">
            <v>0</v>
          </cell>
          <cell r="I161">
            <v>311.4519990838325</v>
          </cell>
          <cell r="J161">
            <v>0</v>
          </cell>
          <cell r="K161">
            <v>283.32010045774183</v>
          </cell>
          <cell r="L161">
            <v>0</v>
          </cell>
          <cell r="M161">
            <v>381.15242482897719</v>
          </cell>
          <cell r="N161">
            <v>0</v>
          </cell>
          <cell r="O161">
            <v>366.50861073558809</v>
          </cell>
          <cell r="P161">
            <v>0</v>
          </cell>
          <cell r="Q161">
            <v>275.66758947402758</v>
          </cell>
          <cell r="R161">
            <v>0</v>
          </cell>
          <cell r="S161">
            <v>346.51668108499797</v>
          </cell>
          <cell r="T161">
            <v>0</v>
          </cell>
          <cell r="U161">
            <v>326.83889480071173</v>
          </cell>
          <cell r="V161">
            <v>0</v>
          </cell>
          <cell r="W161">
            <v>355.28961257409514</v>
          </cell>
          <cell r="X161">
            <v>0</v>
          </cell>
          <cell r="Y161">
            <v>356.78051934137312</v>
          </cell>
          <cell r="Z161">
            <v>0</v>
          </cell>
          <cell r="AA161">
            <v>343.96158675828985</v>
          </cell>
          <cell r="AB161">
            <v>0</v>
          </cell>
          <cell r="AC161" t="e">
            <v>#DIV/0!</v>
          </cell>
          <cell r="AE161" t="str">
            <v>Other Expenses (Charity &amp; Donation)</v>
          </cell>
        </row>
        <row r="162">
          <cell r="D162" t="str">
            <v>Other Expenses ( W.P.P.F.)</v>
          </cell>
          <cell r="E162">
            <v>3573.7075858361454</v>
          </cell>
          <cell r="F162">
            <v>0</v>
          </cell>
          <cell r="G162">
            <v>3260.1003648049996</v>
          </cell>
          <cell r="H162">
            <v>0</v>
          </cell>
          <cell r="I162">
            <v>2868.2077932472907</v>
          </cell>
          <cell r="J162">
            <v>0</v>
          </cell>
          <cell r="K162">
            <v>2950.3710885468208</v>
          </cell>
          <cell r="L162">
            <v>0</v>
          </cell>
          <cell r="M162">
            <v>2984.5209973853607</v>
          </cell>
          <cell r="N162">
            <v>0</v>
          </cell>
          <cell r="O162">
            <v>3261.9142882485439</v>
          </cell>
          <cell r="P162">
            <v>0</v>
          </cell>
          <cell r="Q162">
            <v>3221.4233012482478</v>
          </cell>
          <cell r="R162">
            <v>0</v>
          </cell>
          <cell r="S162">
            <v>2697.4681580678207</v>
          </cell>
          <cell r="T162">
            <v>0</v>
          </cell>
          <cell r="U162">
            <v>2877.5317129664104</v>
          </cell>
          <cell r="V162">
            <v>0</v>
          </cell>
          <cell r="W162">
            <v>3280.2679674234987</v>
          </cell>
          <cell r="X162">
            <v>0</v>
          </cell>
          <cell r="Y162">
            <v>2911.8557735997142</v>
          </cell>
          <cell r="Z162">
            <v>0</v>
          </cell>
          <cell r="AA162">
            <v>3464.9058265788067</v>
          </cell>
          <cell r="AB162">
            <v>0</v>
          </cell>
          <cell r="AC162" t="e">
            <v>#DIV/0!</v>
          </cell>
          <cell r="AE162" t="str">
            <v>Other Expenses ( W.P.P.F.)</v>
          </cell>
        </row>
        <row r="163">
          <cell r="D163" t="str">
            <v>Workers Welfare Fund</v>
          </cell>
          <cell r="E163">
            <v>1499.0267372593985</v>
          </cell>
          <cell r="F163">
            <v>0</v>
          </cell>
          <cell r="G163">
            <v>1367.4811090758005</v>
          </cell>
          <cell r="H163">
            <v>0</v>
          </cell>
          <cell r="I163">
            <v>1203.0979219267881</v>
          </cell>
          <cell r="J163">
            <v>0</v>
          </cell>
          <cell r="K163">
            <v>1237.5621229049211</v>
          </cell>
          <cell r="L163">
            <v>0</v>
          </cell>
          <cell r="M163">
            <v>1251.8866374865934</v>
          </cell>
          <cell r="N163">
            <v>0</v>
          </cell>
          <cell r="O163">
            <v>1368.2419770751833</v>
          </cell>
          <cell r="P163">
            <v>0</v>
          </cell>
          <cell r="Q163">
            <v>1351.2576349952574</v>
          </cell>
          <cell r="R163">
            <v>0</v>
          </cell>
          <cell r="S163">
            <v>1131.4795054513236</v>
          </cell>
          <cell r="T163">
            <v>0</v>
          </cell>
          <cell r="U163">
            <v>1207.0089316049207</v>
          </cell>
          <cell r="V163">
            <v>0</v>
          </cell>
          <cell r="W163">
            <v>1375.9406080206418</v>
          </cell>
          <cell r="X163">
            <v>0</v>
          </cell>
          <cell r="Y163">
            <v>1221.4064958669101</v>
          </cell>
          <cell r="Z163">
            <v>0</v>
          </cell>
          <cell r="AA163">
            <v>1453.3887710099996</v>
          </cell>
          <cell r="AB163">
            <v>0</v>
          </cell>
          <cell r="AC163" t="e">
            <v>#DIV/0!</v>
          </cell>
          <cell r="AE163" t="str">
            <v>Workers Welfare Fund</v>
          </cell>
        </row>
        <row r="164">
          <cell r="E164">
            <v>25485.032929677422</v>
          </cell>
          <cell r="F164">
            <v>0</v>
          </cell>
          <cell r="G164">
            <v>22360.059486546405</v>
          </cell>
          <cell r="H164">
            <v>0</v>
          </cell>
          <cell r="I164">
            <v>27800.176060023059</v>
          </cell>
          <cell r="J164">
            <v>0</v>
          </cell>
          <cell r="K164">
            <v>25887.579279012789</v>
          </cell>
          <cell r="L164">
            <v>0</v>
          </cell>
          <cell r="M164">
            <v>32394.313930730743</v>
          </cell>
          <cell r="N164">
            <v>0</v>
          </cell>
          <cell r="O164">
            <v>25026.558079129718</v>
          </cell>
          <cell r="P164">
            <v>0</v>
          </cell>
          <cell r="Q164">
            <v>19868.406464293483</v>
          </cell>
          <cell r="R164">
            <v>0</v>
          </cell>
          <cell r="S164">
            <v>27295.30791599043</v>
          </cell>
          <cell r="T164">
            <v>0</v>
          </cell>
          <cell r="U164">
            <v>27037.991155497592</v>
          </cell>
          <cell r="V164">
            <v>0</v>
          </cell>
          <cell r="W164">
            <v>24623.40075910644</v>
          </cell>
          <cell r="X164">
            <v>0</v>
          </cell>
          <cell r="Y164">
            <v>32197.815078358082</v>
          </cell>
          <cell r="Z164">
            <v>0</v>
          </cell>
          <cell r="AA164">
            <v>24529.659763190764</v>
          </cell>
          <cell r="AB164">
            <v>0</v>
          </cell>
          <cell r="AC164" t="e">
            <v>#DIV/0!</v>
          </cell>
        </row>
        <row r="165">
          <cell r="D165" t="str">
            <v>Operating Profit</v>
          </cell>
          <cell r="E165">
            <v>-306441.10941959108</v>
          </cell>
          <cell r="F165">
            <v>0</v>
          </cell>
          <cell r="G165">
            <v>-300044.82789235743</v>
          </cell>
          <cell r="H165">
            <v>0</v>
          </cell>
          <cell r="I165">
            <v>-305027.59685431403</v>
          </cell>
          <cell r="J165">
            <v>0</v>
          </cell>
          <cell r="K165">
            <v>-297414.69117527886</v>
          </cell>
          <cell r="L165">
            <v>0</v>
          </cell>
          <cell r="M165">
            <v>-310220.41936812643</v>
          </cell>
          <cell r="N165">
            <v>0</v>
          </cell>
          <cell r="O165">
            <v>-302139.75388477481</v>
          </cell>
          <cell r="P165">
            <v>0</v>
          </cell>
          <cell r="Q165">
            <v>-291395.51836055954</v>
          </cell>
          <cell r="R165">
            <v>0</v>
          </cell>
          <cell r="S165">
            <v>-303376.5397962865</v>
          </cell>
          <cell r="T165">
            <v>0</v>
          </cell>
          <cell r="U165">
            <v>-301645.39779824356</v>
          </cell>
          <cell r="V165">
            <v>0</v>
          </cell>
          <cell r="W165">
            <v>-300906.49965997122</v>
          </cell>
          <cell r="X165">
            <v>0</v>
          </cell>
          <cell r="Y165">
            <v>-308687.1222260404</v>
          </cell>
          <cell r="Z165">
            <v>0</v>
          </cell>
          <cell r="AA165">
            <v>-300452.43235385465</v>
          </cell>
          <cell r="AB165">
            <v>0</v>
          </cell>
          <cell r="AC165" t="e">
            <v>#DIV/0!</v>
          </cell>
          <cell r="AE165" t="str">
            <v>Operating Profit</v>
          </cell>
        </row>
        <row r="167">
          <cell r="C167" t="str">
            <v>Other Income</v>
          </cell>
          <cell r="AD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t="e">
            <v>#DIV/0!</v>
          </cell>
          <cell r="AE168" t="str">
            <v>H.D</v>
          </cell>
        </row>
        <row r="169">
          <cell r="D169" t="str">
            <v>Others</v>
          </cell>
          <cell r="E169">
            <v>18021.978021978022</v>
          </cell>
          <cell r="F169">
            <v>0</v>
          </cell>
          <cell r="G169">
            <v>15045.871559633028</v>
          </cell>
          <cell r="H169">
            <v>0</v>
          </cell>
          <cell r="I169">
            <v>14629.794826048172</v>
          </cell>
          <cell r="J169">
            <v>0</v>
          </cell>
          <cell r="K169">
            <v>5120</v>
          </cell>
          <cell r="L169">
            <v>0</v>
          </cell>
          <cell r="M169">
            <v>7356.3218390804595</v>
          </cell>
          <cell r="N169">
            <v>0</v>
          </cell>
          <cell r="O169">
            <v>7103.2186459489458</v>
          </cell>
          <cell r="P169">
            <v>0</v>
          </cell>
          <cell r="Q169">
            <v>5120</v>
          </cell>
          <cell r="R169">
            <v>0</v>
          </cell>
          <cell r="S169">
            <v>6736.8421052631575</v>
          </cell>
          <cell r="T169">
            <v>0</v>
          </cell>
          <cell r="U169">
            <v>6213.5922330097092</v>
          </cell>
          <cell r="V169">
            <v>0</v>
          </cell>
          <cell r="W169">
            <v>6808.510638297872</v>
          </cell>
          <cell r="X169">
            <v>0</v>
          </cell>
          <cell r="Y169">
            <v>6881.7204301075271</v>
          </cell>
          <cell r="Z169">
            <v>0</v>
          </cell>
          <cell r="AA169">
            <v>6680.5845511482257</v>
          </cell>
          <cell r="AB169">
            <v>0</v>
          </cell>
          <cell r="AC169" t="e">
            <v>#DIV/0!</v>
          </cell>
          <cell r="AE169" t="str">
            <v>Others</v>
          </cell>
        </row>
        <row r="170">
          <cell r="E170">
            <v>18021.978021978022</v>
          </cell>
          <cell r="F170">
            <v>0</v>
          </cell>
          <cell r="G170">
            <v>15045.871559633028</v>
          </cell>
          <cell r="H170">
            <v>0</v>
          </cell>
          <cell r="I170">
            <v>14629.794826048172</v>
          </cell>
          <cell r="J170">
            <v>0</v>
          </cell>
          <cell r="K170">
            <v>5120</v>
          </cell>
          <cell r="L170">
            <v>0</v>
          </cell>
          <cell r="M170">
            <v>7356.3218390804595</v>
          </cell>
          <cell r="N170">
            <v>0</v>
          </cell>
          <cell r="O170">
            <v>7103.2186459489458</v>
          </cell>
          <cell r="P170">
            <v>0</v>
          </cell>
          <cell r="Q170">
            <v>5120</v>
          </cell>
          <cell r="R170">
            <v>0</v>
          </cell>
          <cell r="S170">
            <v>6736.8421052631575</v>
          </cell>
          <cell r="T170">
            <v>0</v>
          </cell>
          <cell r="U170">
            <v>6213.5922330097092</v>
          </cell>
          <cell r="V170">
            <v>0</v>
          </cell>
          <cell r="W170">
            <v>6808.510638297872</v>
          </cell>
          <cell r="X170">
            <v>0</v>
          </cell>
          <cell r="Y170">
            <v>6881.7204301075271</v>
          </cell>
          <cell r="Z170">
            <v>0</v>
          </cell>
          <cell r="AA170">
            <v>6680.5845511482257</v>
          </cell>
          <cell r="AB170">
            <v>0</v>
          </cell>
          <cell r="AC170" t="e">
            <v>#DIV/0!</v>
          </cell>
        </row>
        <row r="172">
          <cell r="C172" t="str">
            <v>Profit / (Loss) before tax</v>
          </cell>
          <cell r="E172">
            <v>-288419.13139761309</v>
          </cell>
          <cell r="F172">
            <v>0</v>
          </cell>
          <cell r="G172">
            <v>-284998.95633272443</v>
          </cell>
          <cell r="H172">
            <v>0</v>
          </cell>
          <cell r="I172">
            <v>-290397.80202826584</v>
          </cell>
          <cell r="J172">
            <v>0</v>
          </cell>
          <cell r="K172">
            <v>-292294.69117527886</v>
          </cell>
          <cell r="L172">
            <v>0</v>
          </cell>
          <cell r="M172">
            <v>-302864.09752904595</v>
          </cell>
          <cell r="N172">
            <v>0</v>
          </cell>
          <cell r="O172">
            <v>-295036.53523882583</v>
          </cell>
          <cell r="P172">
            <v>0</v>
          </cell>
          <cell r="Q172">
            <v>-286275.51836055954</v>
          </cell>
          <cell r="R172">
            <v>0</v>
          </cell>
          <cell r="S172">
            <v>-296639.69769102335</v>
          </cell>
          <cell r="T172">
            <v>0</v>
          </cell>
          <cell r="U172">
            <v>-295431.80556523387</v>
          </cell>
          <cell r="V172">
            <v>0</v>
          </cell>
          <cell r="W172">
            <v>-294097.98902167333</v>
          </cell>
          <cell r="X172">
            <v>0</v>
          </cell>
          <cell r="Y172">
            <v>-301805.40179593285</v>
          </cell>
          <cell r="Z172">
            <v>0</v>
          </cell>
          <cell r="AA172">
            <v>-293771.84780270641</v>
          </cell>
          <cell r="AB172">
            <v>0</v>
          </cell>
          <cell r="AC172" t="e">
            <v>#DIV/0!</v>
          </cell>
          <cell r="AD172" t="str">
            <v>Profit before tax</v>
          </cell>
        </row>
        <row r="174">
          <cell r="C174" t="str">
            <v>Taxation</v>
          </cell>
          <cell r="AD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t="e">
            <v>#DIV/0!</v>
          </cell>
          <cell r="AE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t="e">
            <v>#DIV/0!</v>
          </cell>
          <cell r="AE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t="e">
            <v>#DIV/0!</v>
          </cell>
        </row>
        <row r="179">
          <cell r="C179" t="str">
            <v>Net Profit after taxation</v>
          </cell>
          <cell r="E179">
            <v>6</v>
          </cell>
          <cell r="F179">
            <v>0</v>
          </cell>
          <cell r="G179">
            <v>-284998.95633272443</v>
          </cell>
          <cell r="H179">
            <v>0</v>
          </cell>
          <cell r="I179">
            <v>-290397.80202826584</v>
          </cell>
          <cell r="J179">
            <v>0</v>
          </cell>
          <cell r="K179">
            <v>-292294.69117527886</v>
          </cell>
          <cell r="L179">
            <v>0</v>
          </cell>
          <cell r="M179">
            <v>-302864.09752904595</v>
          </cell>
          <cell r="N179">
            <v>0</v>
          </cell>
          <cell r="O179">
            <v>-295036.53523882583</v>
          </cell>
          <cell r="P179">
            <v>0</v>
          </cell>
          <cell r="Q179">
            <v>-286275.51836055954</v>
          </cell>
          <cell r="R179">
            <v>0</v>
          </cell>
          <cell r="S179">
            <v>-296639.69769102335</v>
          </cell>
          <cell r="T179">
            <v>0</v>
          </cell>
          <cell r="U179">
            <v>-295431.80556523387</v>
          </cell>
          <cell r="V179">
            <v>0</v>
          </cell>
          <cell r="W179">
            <v>-294097.98902167333</v>
          </cell>
          <cell r="X179">
            <v>0</v>
          </cell>
          <cell r="Y179">
            <v>-301805.40179593285</v>
          </cell>
          <cell r="Z179">
            <v>0</v>
          </cell>
          <cell r="AA179">
            <v>-293771.84780270641</v>
          </cell>
          <cell r="AB179">
            <v>0</v>
          </cell>
          <cell r="AC179" t="e">
            <v>#DIV/0!</v>
          </cell>
          <cell r="AD179" t="str">
            <v>Net Profit after taxation</v>
          </cell>
        </row>
        <row r="182">
          <cell r="AC182" t="str">
            <v>GLI</v>
          </cell>
        </row>
        <row r="183">
          <cell r="E183">
            <v>37438</v>
          </cell>
          <cell r="G183">
            <v>37469</v>
          </cell>
          <cell r="I183">
            <v>37500</v>
          </cell>
          <cell r="K183">
            <v>37531</v>
          </cell>
          <cell r="M183">
            <v>37562</v>
          </cell>
          <cell r="O183">
            <v>37593</v>
          </cell>
          <cell r="Q183">
            <v>37624</v>
          </cell>
          <cell r="S183">
            <v>37655</v>
          </cell>
          <cell r="U183">
            <v>37686</v>
          </cell>
          <cell r="W183">
            <v>37717</v>
          </cell>
          <cell r="Y183">
            <v>37748</v>
          </cell>
          <cell r="AA183">
            <v>37779</v>
          </cell>
          <cell r="AC183" t="str">
            <v>Yearly</v>
          </cell>
        </row>
        <row r="184">
          <cell r="D184" t="str">
            <v>GLI</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D184">
            <v>0</v>
          </cell>
          <cell r="AE184" t="str">
            <v>GL</v>
          </cell>
        </row>
        <row r="186">
          <cell r="C186" t="str">
            <v>Sales Units</v>
          </cell>
          <cell r="E186">
            <v>1</v>
          </cell>
          <cell r="F186">
            <v>90</v>
          </cell>
          <cell r="G186">
            <v>1</v>
          </cell>
          <cell r="H186">
            <v>90</v>
          </cell>
          <cell r="I186">
            <v>1</v>
          </cell>
          <cell r="J186">
            <v>90</v>
          </cell>
          <cell r="K186">
            <v>1</v>
          </cell>
          <cell r="L186">
            <v>100</v>
          </cell>
          <cell r="M186">
            <v>1</v>
          </cell>
          <cell r="N186">
            <v>70</v>
          </cell>
          <cell r="O186">
            <v>1</v>
          </cell>
          <cell r="P186">
            <v>70</v>
          </cell>
          <cell r="Q186">
            <v>1</v>
          </cell>
          <cell r="R186">
            <v>100</v>
          </cell>
          <cell r="S186">
            <v>1</v>
          </cell>
          <cell r="T186">
            <v>80</v>
          </cell>
          <cell r="U186">
            <v>1</v>
          </cell>
          <cell r="V186">
            <v>60</v>
          </cell>
          <cell r="W186">
            <v>1</v>
          </cell>
          <cell r="X186">
            <v>70</v>
          </cell>
          <cell r="Y186">
            <v>1</v>
          </cell>
          <cell r="Z186">
            <v>70</v>
          </cell>
          <cell r="AA186">
            <v>1</v>
          </cell>
          <cell r="AB186">
            <v>70</v>
          </cell>
          <cell r="AC186">
            <v>960</v>
          </cell>
          <cell r="AD186" t="str">
            <v>Sales Units</v>
          </cell>
        </row>
        <row r="188">
          <cell r="C188" t="str">
            <v>Selling Price</v>
          </cell>
          <cell r="E188">
            <v>939000</v>
          </cell>
          <cell r="F188">
            <v>84510000</v>
          </cell>
          <cell r="G188">
            <v>939000</v>
          </cell>
          <cell r="H188">
            <v>84510000</v>
          </cell>
          <cell r="I188">
            <v>939000</v>
          </cell>
          <cell r="J188">
            <v>84510000</v>
          </cell>
          <cell r="K188">
            <v>939000</v>
          </cell>
          <cell r="L188">
            <v>93900000</v>
          </cell>
          <cell r="M188">
            <v>939000</v>
          </cell>
          <cell r="N188">
            <v>65730000</v>
          </cell>
          <cell r="O188">
            <v>939000</v>
          </cell>
          <cell r="P188">
            <v>65730000</v>
          </cell>
          <cell r="Q188">
            <v>939000</v>
          </cell>
          <cell r="R188">
            <v>93900000</v>
          </cell>
          <cell r="S188">
            <v>939000</v>
          </cell>
          <cell r="T188">
            <v>75120000</v>
          </cell>
          <cell r="U188">
            <v>939000</v>
          </cell>
          <cell r="V188">
            <v>56340000</v>
          </cell>
          <cell r="W188">
            <v>939000</v>
          </cell>
          <cell r="X188">
            <v>65730000</v>
          </cell>
          <cell r="Y188">
            <v>939000</v>
          </cell>
          <cell r="Z188">
            <v>65730000</v>
          </cell>
          <cell r="AA188">
            <v>939000</v>
          </cell>
          <cell r="AB188">
            <v>65730000</v>
          </cell>
          <cell r="AC188">
            <v>939000</v>
          </cell>
          <cell r="AD188" t="str">
            <v>Selling Price</v>
          </cell>
        </row>
        <row r="189">
          <cell r="C189" t="str">
            <v>Less: Dealer commission</v>
          </cell>
          <cell r="E189">
            <v>-20000</v>
          </cell>
          <cell r="F189">
            <v>-1800000</v>
          </cell>
          <cell r="G189">
            <v>-20000</v>
          </cell>
          <cell r="H189">
            <v>-1800000</v>
          </cell>
          <cell r="I189">
            <v>-20000</v>
          </cell>
          <cell r="J189">
            <v>-1800000</v>
          </cell>
          <cell r="K189">
            <v>-20000</v>
          </cell>
          <cell r="L189">
            <v>-2000000</v>
          </cell>
          <cell r="M189">
            <v>-20000</v>
          </cell>
          <cell r="N189">
            <v>-1400000</v>
          </cell>
          <cell r="O189">
            <v>-20000</v>
          </cell>
          <cell r="P189">
            <v>-1400000</v>
          </cell>
          <cell r="Q189">
            <v>-20000</v>
          </cell>
          <cell r="R189">
            <v>-2000000</v>
          </cell>
          <cell r="S189">
            <v>-20000</v>
          </cell>
          <cell r="T189">
            <v>-1600000</v>
          </cell>
          <cell r="U189">
            <v>-20000</v>
          </cell>
          <cell r="V189">
            <v>-1200000</v>
          </cell>
          <cell r="W189">
            <v>-20000</v>
          </cell>
          <cell r="X189">
            <v>-1400000</v>
          </cell>
          <cell r="Y189">
            <v>-20000</v>
          </cell>
          <cell r="Z189">
            <v>-1400000</v>
          </cell>
          <cell r="AA189">
            <v>-20000</v>
          </cell>
          <cell r="AB189">
            <v>-1400000</v>
          </cell>
          <cell r="AC189">
            <v>-20000</v>
          </cell>
          <cell r="AD189" t="str">
            <v>Less: Dealer commission</v>
          </cell>
        </row>
        <row r="190">
          <cell r="D190" t="str">
            <v xml:space="preserve">  Sales tax</v>
          </cell>
          <cell r="E190">
            <v>-122478.26086956522</v>
          </cell>
          <cell r="F190">
            <v>-11023043.478260869</v>
          </cell>
          <cell r="G190">
            <v>-122478.26086956522</v>
          </cell>
          <cell r="H190">
            <v>-11023043.478260869</v>
          </cell>
          <cell r="I190">
            <v>-122478.26086956522</v>
          </cell>
          <cell r="J190">
            <v>-11023043.478260869</v>
          </cell>
          <cell r="K190">
            <v>-122478.26086956522</v>
          </cell>
          <cell r="L190">
            <v>-12247826.086956521</v>
          </cell>
          <cell r="M190">
            <v>-122478.26086956522</v>
          </cell>
          <cell r="N190">
            <v>-8573478.2608695645</v>
          </cell>
          <cell r="O190">
            <v>-122478.26086956522</v>
          </cell>
          <cell r="P190">
            <v>-8573478.2608695645</v>
          </cell>
          <cell r="Q190">
            <v>-122478.26086956522</v>
          </cell>
          <cell r="R190">
            <v>-12247826.086956521</v>
          </cell>
          <cell r="S190">
            <v>-122478.26086956522</v>
          </cell>
          <cell r="T190">
            <v>-9798260.8695652168</v>
          </cell>
          <cell r="U190">
            <v>-122478.26086956522</v>
          </cell>
          <cell r="V190">
            <v>-7348695.6521739131</v>
          </cell>
          <cell r="W190">
            <v>-122478.26086956522</v>
          </cell>
          <cell r="X190">
            <v>-8573478.2608695645</v>
          </cell>
          <cell r="Y190">
            <v>-122478.26086956522</v>
          </cell>
          <cell r="Z190">
            <v>-8573478.2608695645</v>
          </cell>
          <cell r="AA190">
            <v>-122478.26086956522</v>
          </cell>
          <cell r="AB190">
            <v>-8573478.2608695645</v>
          </cell>
          <cell r="AC190">
            <v>-122478.2608695652</v>
          </cell>
          <cell r="AE190" t="str">
            <v xml:space="preserve">  Sales tax</v>
          </cell>
        </row>
        <row r="191">
          <cell r="C191" t="str">
            <v>Net Sales</v>
          </cell>
          <cell r="E191">
            <v>796521.73913043481</v>
          </cell>
          <cell r="F191">
            <v>71686956.521739125</v>
          </cell>
          <cell r="G191">
            <v>796521.73913043481</v>
          </cell>
          <cell r="H191">
            <v>71686956.521739125</v>
          </cell>
          <cell r="I191">
            <v>796521.73913043481</v>
          </cell>
          <cell r="J191">
            <v>71686956.521739125</v>
          </cell>
          <cell r="K191">
            <v>796521.73913043481</v>
          </cell>
          <cell r="L191">
            <v>79652173.913043484</v>
          </cell>
          <cell r="M191">
            <v>796521.73913043481</v>
          </cell>
          <cell r="N191">
            <v>55756521.739130437</v>
          </cell>
          <cell r="O191">
            <v>796521.73913043481</v>
          </cell>
          <cell r="P191">
            <v>55756521.739130437</v>
          </cell>
          <cell r="Q191">
            <v>796521.73913043481</v>
          </cell>
          <cell r="R191">
            <v>79652173.913043484</v>
          </cell>
          <cell r="S191">
            <v>796521.73913043481</v>
          </cell>
          <cell r="T191">
            <v>63721739.130434781</v>
          </cell>
          <cell r="U191">
            <v>796521.73913043481</v>
          </cell>
          <cell r="V191">
            <v>47791304.347826086</v>
          </cell>
          <cell r="W191">
            <v>796521.73913043481</v>
          </cell>
          <cell r="X191">
            <v>55756521.739130437</v>
          </cell>
          <cell r="Y191">
            <v>796521.73913043481</v>
          </cell>
          <cell r="Z191">
            <v>55756521.739130437</v>
          </cell>
          <cell r="AA191">
            <v>796521.73913043481</v>
          </cell>
          <cell r="AB191">
            <v>55756521.739130437</v>
          </cell>
          <cell r="AC191">
            <v>796521.73913043481</v>
          </cell>
          <cell r="AD191" t="str">
            <v>Net Sales</v>
          </cell>
          <cell r="AE191">
            <v>764660869.56521749</v>
          </cell>
        </row>
        <row r="193">
          <cell r="C193" t="str">
            <v>Variable Cost of Sales</v>
          </cell>
          <cell r="AD193" t="str">
            <v>Variable Cost of Sales</v>
          </cell>
        </row>
        <row r="194">
          <cell r="D194" t="str">
            <v>CKD Cost</v>
          </cell>
          <cell r="E194">
            <v>314720.61490225716</v>
          </cell>
          <cell r="F194">
            <v>28324855.341203146</v>
          </cell>
          <cell r="G194">
            <v>314720.61490225716</v>
          </cell>
          <cell r="H194">
            <v>28324855.341203146</v>
          </cell>
          <cell r="I194">
            <v>314720.61490225716</v>
          </cell>
          <cell r="J194">
            <v>28324855.341203146</v>
          </cell>
          <cell r="K194">
            <v>309865.78898263606</v>
          </cell>
          <cell r="L194">
            <v>30986578.898263607</v>
          </cell>
          <cell r="M194">
            <v>309865.78898263606</v>
          </cell>
          <cell r="N194">
            <v>21690605.228784524</v>
          </cell>
          <cell r="O194">
            <v>309865.78898263606</v>
          </cell>
          <cell r="P194">
            <v>21690605.228784524</v>
          </cell>
          <cell r="Q194">
            <v>309865.78898263606</v>
          </cell>
          <cell r="R194">
            <v>30986578.898263607</v>
          </cell>
          <cell r="S194">
            <v>309865.78898263606</v>
          </cell>
          <cell r="T194">
            <v>24789263.118610885</v>
          </cell>
          <cell r="U194">
            <v>309865.78898263606</v>
          </cell>
          <cell r="V194">
            <v>18591947.338958163</v>
          </cell>
          <cell r="W194">
            <v>309865.78898263606</v>
          </cell>
          <cell r="X194">
            <v>21690605.228784524</v>
          </cell>
          <cell r="Y194">
            <v>309865.78898263606</v>
          </cell>
          <cell r="Z194">
            <v>21690605.228784524</v>
          </cell>
          <cell r="AA194">
            <v>309865.78898263606</v>
          </cell>
          <cell r="AB194">
            <v>21690605.228784524</v>
          </cell>
          <cell r="AC194">
            <v>311231.2087725295</v>
          </cell>
          <cell r="AE194" t="str">
            <v>CKD Cost</v>
          </cell>
          <cell r="AF194">
            <v>298781960.4216283</v>
          </cell>
        </row>
        <row r="195">
          <cell r="D195" t="str">
            <v>Vendor parts</v>
          </cell>
          <cell r="E195">
            <v>208301</v>
          </cell>
          <cell r="F195">
            <v>18747090</v>
          </cell>
          <cell r="G195">
            <v>208301</v>
          </cell>
          <cell r="H195">
            <v>18747090</v>
          </cell>
          <cell r="I195">
            <v>208301</v>
          </cell>
          <cell r="J195">
            <v>18747090</v>
          </cell>
          <cell r="K195">
            <v>208301</v>
          </cell>
          <cell r="L195">
            <v>20830100</v>
          </cell>
          <cell r="M195">
            <v>208301</v>
          </cell>
          <cell r="N195">
            <v>14581070</v>
          </cell>
          <cell r="O195">
            <v>208301</v>
          </cell>
          <cell r="P195">
            <v>14581070</v>
          </cell>
          <cell r="Q195">
            <v>207970</v>
          </cell>
          <cell r="R195">
            <v>20797000</v>
          </cell>
          <cell r="S195">
            <v>207970</v>
          </cell>
          <cell r="T195">
            <v>16637600</v>
          </cell>
          <cell r="U195">
            <v>207970</v>
          </cell>
          <cell r="V195">
            <v>12478200</v>
          </cell>
          <cell r="W195">
            <v>207970</v>
          </cell>
          <cell r="X195">
            <v>14557900</v>
          </cell>
          <cell r="Y195">
            <v>207970</v>
          </cell>
          <cell r="Z195">
            <v>14557900</v>
          </cell>
          <cell r="AA195">
            <v>207970</v>
          </cell>
          <cell r="AB195">
            <v>14557900</v>
          </cell>
          <cell r="AC195">
            <v>208145.84375</v>
          </cell>
          <cell r="AE195" t="str">
            <v>Vendor parts</v>
          </cell>
          <cell r="AF195">
            <v>199820010</v>
          </cell>
        </row>
        <row r="196">
          <cell r="D196" t="str">
            <v>Multi Source Parts</v>
          </cell>
          <cell r="E196">
            <v>134303.26995000002</v>
          </cell>
          <cell r="F196">
            <v>12087294.295500001</v>
          </cell>
          <cell r="G196">
            <v>134303.26995000002</v>
          </cell>
          <cell r="H196">
            <v>12087294.295500001</v>
          </cell>
          <cell r="I196">
            <v>134303.26995000002</v>
          </cell>
          <cell r="J196">
            <v>12087294.295500001</v>
          </cell>
          <cell r="K196">
            <v>134303.26995000002</v>
          </cell>
          <cell r="L196">
            <v>13430326.995000001</v>
          </cell>
          <cell r="M196">
            <v>134303.26995000002</v>
          </cell>
          <cell r="N196">
            <v>9401228.8965000007</v>
          </cell>
          <cell r="O196">
            <v>134303.26995000002</v>
          </cell>
          <cell r="P196">
            <v>9401228.8965000007</v>
          </cell>
          <cell r="Q196">
            <v>134303.26995000002</v>
          </cell>
          <cell r="R196">
            <v>13430326.995000001</v>
          </cell>
          <cell r="S196">
            <v>134303.26995000002</v>
          </cell>
          <cell r="T196">
            <v>10744261.596000001</v>
          </cell>
          <cell r="U196">
            <v>134303.26995000002</v>
          </cell>
          <cell r="V196">
            <v>8058196.1970000006</v>
          </cell>
          <cell r="W196">
            <v>134303.26995000002</v>
          </cell>
          <cell r="X196">
            <v>9401228.8965000007</v>
          </cell>
          <cell r="Y196">
            <v>134303.26995000002</v>
          </cell>
          <cell r="Z196">
            <v>9401228.8965000007</v>
          </cell>
          <cell r="AA196">
            <v>134303.26995000002</v>
          </cell>
          <cell r="AB196">
            <v>9401228.8965000007</v>
          </cell>
          <cell r="AC196">
            <v>134303.26995000002</v>
          </cell>
          <cell r="AE196" t="str">
            <v>Nomi Parts</v>
          </cell>
          <cell r="AF196">
            <v>128931139.15200002</v>
          </cell>
        </row>
        <row r="197">
          <cell r="D197" t="str">
            <v>Paints &amp; Chemicals</v>
          </cell>
          <cell r="E197">
            <v>14743</v>
          </cell>
          <cell r="F197">
            <v>1326870</v>
          </cell>
          <cell r="G197">
            <v>14743</v>
          </cell>
          <cell r="H197">
            <v>1326870</v>
          </cell>
          <cell r="I197">
            <v>14743</v>
          </cell>
          <cell r="J197">
            <v>1326870</v>
          </cell>
          <cell r="K197">
            <v>14743</v>
          </cell>
          <cell r="L197">
            <v>1474300</v>
          </cell>
          <cell r="M197">
            <v>14743</v>
          </cell>
          <cell r="N197">
            <v>1032010</v>
          </cell>
          <cell r="O197">
            <v>14743</v>
          </cell>
          <cell r="P197">
            <v>1032010</v>
          </cell>
          <cell r="Q197">
            <v>14743</v>
          </cell>
          <cell r="R197">
            <v>1474300</v>
          </cell>
          <cell r="S197">
            <v>14743</v>
          </cell>
          <cell r="T197">
            <v>1179440</v>
          </cell>
          <cell r="U197">
            <v>14743</v>
          </cell>
          <cell r="V197">
            <v>884580</v>
          </cell>
          <cell r="W197">
            <v>14743</v>
          </cell>
          <cell r="X197">
            <v>1032010</v>
          </cell>
          <cell r="Y197">
            <v>14743</v>
          </cell>
          <cell r="Z197">
            <v>1032010</v>
          </cell>
          <cell r="AA197">
            <v>14743</v>
          </cell>
          <cell r="AB197">
            <v>1032010</v>
          </cell>
          <cell r="AC197">
            <v>14743</v>
          </cell>
          <cell r="AE197" t="str">
            <v>Paints &amp; Chemicals</v>
          </cell>
          <cell r="AF197">
            <v>14153280</v>
          </cell>
        </row>
        <row r="198">
          <cell r="D198" t="str">
            <v>Consumables</v>
          </cell>
          <cell r="E198">
            <v>5349</v>
          </cell>
          <cell r="F198">
            <v>481410</v>
          </cell>
          <cell r="G198">
            <v>5349</v>
          </cell>
          <cell r="H198">
            <v>481410</v>
          </cell>
          <cell r="I198">
            <v>5349</v>
          </cell>
          <cell r="J198">
            <v>481410</v>
          </cell>
          <cell r="K198">
            <v>5349</v>
          </cell>
          <cell r="L198">
            <v>534900</v>
          </cell>
          <cell r="M198">
            <v>5349</v>
          </cell>
          <cell r="N198">
            <v>374430</v>
          </cell>
          <cell r="O198">
            <v>5349</v>
          </cell>
          <cell r="P198">
            <v>374430</v>
          </cell>
          <cell r="Q198">
            <v>5349</v>
          </cell>
          <cell r="R198">
            <v>534900</v>
          </cell>
          <cell r="S198">
            <v>5349</v>
          </cell>
          <cell r="T198">
            <v>427920</v>
          </cell>
          <cell r="U198">
            <v>5349</v>
          </cell>
          <cell r="V198">
            <v>320940</v>
          </cell>
          <cell r="W198">
            <v>5349</v>
          </cell>
          <cell r="X198">
            <v>374430</v>
          </cell>
          <cell r="Y198">
            <v>5349</v>
          </cell>
          <cell r="Z198">
            <v>374430</v>
          </cell>
          <cell r="AA198">
            <v>5349</v>
          </cell>
          <cell r="AB198">
            <v>374430</v>
          </cell>
          <cell r="AC198">
            <v>5349</v>
          </cell>
          <cell r="AE198" t="str">
            <v>Consumables</v>
          </cell>
          <cell r="AF198">
            <v>5135040</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E199" t="str">
            <v>KD Parts</v>
          </cell>
          <cell r="AF199">
            <v>0</v>
          </cell>
        </row>
        <row r="200">
          <cell r="D200" t="str">
            <v>Spare parts</v>
          </cell>
          <cell r="E200">
            <v>1002</v>
          </cell>
          <cell r="F200">
            <v>90180</v>
          </cell>
          <cell r="G200">
            <v>1002</v>
          </cell>
          <cell r="H200">
            <v>90180</v>
          </cell>
          <cell r="I200">
            <v>1002</v>
          </cell>
          <cell r="J200">
            <v>90180</v>
          </cell>
          <cell r="K200">
            <v>1002</v>
          </cell>
          <cell r="L200">
            <v>100200</v>
          </cell>
          <cell r="M200">
            <v>1002</v>
          </cell>
          <cell r="N200">
            <v>70140</v>
          </cell>
          <cell r="O200">
            <v>1002</v>
          </cell>
          <cell r="P200">
            <v>70140</v>
          </cell>
          <cell r="Q200">
            <v>1002</v>
          </cell>
          <cell r="R200">
            <v>100200</v>
          </cell>
          <cell r="S200">
            <v>1002</v>
          </cell>
          <cell r="T200">
            <v>80160</v>
          </cell>
          <cell r="U200">
            <v>1002</v>
          </cell>
          <cell r="V200">
            <v>60120</v>
          </cell>
          <cell r="W200">
            <v>1002</v>
          </cell>
          <cell r="X200">
            <v>70140</v>
          </cell>
          <cell r="Y200">
            <v>1002</v>
          </cell>
          <cell r="Z200">
            <v>70140</v>
          </cell>
          <cell r="AA200">
            <v>1002</v>
          </cell>
          <cell r="AB200">
            <v>70140</v>
          </cell>
          <cell r="AC200">
            <v>1002</v>
          </cell>
          <cell r="AE200" t="str">
            <v>Spare parts</v>
          </cell>
          <cell r="AF200">
            <v>961920</v>
          </cell>
        </row>
        <row r="201">
          <cell r="D201" t="str">
            <v>Utilities</v>
          </cell>
          <cell r="E201">
            <v>4030</v>
          </cell>
          <cell r="F201">
            <v>362700</v>
          </cell>
          <cell r="G201">
            <v>4030</v>
          </cell>
          <cell r="H201">
            <v>362700</v>
          </cell>
          <cell r="I201">
            <v>4030</v>
          </cell>
          <cell r="J201">
            <v>362700</v>
          </cell>
          <cell r="K201">
            <v>4030</v>
          </cell>
          <cell r="L201">
            <v>403000</v>
          </cell>
          <cell r="M201">
            <v>4030</v>
          </cell>
          <cell r="N201">
            <v>282100</v>
          </cell>
          <cell r="O201">
            <v>4030</v>
          </cell>
          <cell r="P201">
            <v>282100</v>
          </cell>
          <cell r="Q201">
            <v>4030</v>
          </cell>
          <cell r="R201">
            <v>403000</v>
          </cell>
          <cell r="S201">
            <v>4030</v>
          </cell>
          <cell r="T201">
            <v>322400</v>
          </cell>
          <cell r="U201">
            <v>4030</v>
          </cell>
          <cell r="V201">
            <v>241800</v>
          </cell>
          <cell r="W201">
            <v>4030</v>
          </cell>
          <cell r="X201">
            <v>282100</v>
          </cell>
          <cell r="Y201">
            <v>4030</v>
          </cell>
          <cell r="Z201">
            <v>282100</v>
          </cell>
          <cell r="AA201">
            <v>4030</v>
          </cell>
          <cell r="AB201">
            <v>282100</v>
          </cell>
          <cell r="AC201">
            <v>4030</v>
          </cell>
          <cell r="AE201" t="str">
            <v>Utilites</v>
          </cell>
          <cell r="AF201">
            <v>3868800</v>
          </cell>
        </row>
        <row r="202">
          <cell r="D202" t="str">
            <v>Royalties</v>
          </cell>
          <cell r="E202">
            <v>6987</v>
          </cell>
          <cell r="F202">
            <v>628830</v>
          </cell>
          <cell r="G202">
            <v>6987</v>
          </cell>
          <cell r="H202">
            <v>628830</v>
          </cell>
          <cell r="I202">
            <v>6987</v>
          </cell>
          <cell r="J202">
            <v>628830</v>
          </cell>
          <cell r="K202">
            <v>6987</v>
          </cell>
          <cell r="L202">
            <v>698700</v>
          </cell>
          <cell r="M202">
            <v>6987</v>
          </cell>
          <cell r="N202">
            <v>489090</v>
          </cell>
          <cell r="O202">
            <v>6987</v>
          </cell>
          <cell r="P202">
            <v>489090</v>
          </cell>
          <cell r="Q202">
            <v>6987</v>
          </cell>
          <cell r="R202">
            <v>698700</v>
          </cell>
          <cell r="S202">
            <v>6987</v>
          </cell>
          <cell r="T202">
            <v>558960</v>
          </cell>
          <cell r="U202">
            <v>6987</v>
          </cell>
          <cell r="V202">
            <v>419220</v>
          </cell>
          <cell r="W202">
            <v>6987</v>
          </cell>
          <cell r="X202">
            <v>489090</v>
          </cell>
          <cell r="Y202">
            <v>6987</v>
          </cell>
          <cell r="Z202">
            <v>489090</v>
          </cell>
          <cell r="AA202">
            <v>6987</v>
          </cell>
          <cell r="AB202">
            <v>489090</v>
          </cell>
          <cell r="AC202">
            <v>6987</v>
          </cell>
          <cell r="AE202" t="str">
            <v>Royalty</v>
          </cell>
          <cell r="AF202">
            <v>6707520</v>
          </cell>
        </row>
        <row r="204">
          <cell r="E204">
            <v>689435.88485225721</v>
          </cell>
          <cell r="F204">
            <v>62049229.636703148</v>
          </cell>
          <cell r="G204">
            <v>689435.88485225721</v>
          </cell>
          <cell r="H204">
            <v>62049229.636703148</v>
          </cell>
          <cell r="I204">
            <v>689435.88485225721</v>
          </cell>
          <cell r="J204">
            <v>62049229.636703148</v>
          </cell>
          <cell r="K204">
            <v>684581.05893263605</v>
          </cell>
          <cell r="L204">
            <v>68458105.893263608</v>
          </cell>
          <cell r="M204">
            <v>684581.05893263605</v>
          </cell>
          <cell r="N204">
            <v>47920674.125284523</v>
          </cell>
          <cell r="O204">
            <v>684581.05893263605</v>
          </cell>
          <cell r="P204">
            <v>47920674.125284523</v>
          </cell>
          <cell r="Q204">
            <v>684250.05893263605</v>
          </cell>
          <cell r="R204">
            <v>68425005.893263608</v>
          </cell>
          <cell r="S204">
            <v>684250.05893263605</v>
          </cell>
          <cell r="T204">
            <v>54740004.71461089</v>
          </cell>
          <cell r="U204">
            <v>684250.05893263605</v>
          </cell>
          <cell r="V204">
            <v>41055003.535958163</v>
          </cell>
          <cell r="W204">
            <v>684250.05893263605</v>
          </cell>
          <cell r="X204">
            <v>47897504.125284523</v>
          </cell>
          <cell r="Y204">
            <v>684250.05893263605</v>
          </cell>
          <cell r="Z204">
            <v>47897504.125284523</v>
          </cell>
          <cell r="AA204">
            <v>684250.05893263605</v>
          </cell>
          <cell r="AB204">
            <v>47897504.125284523</v>
          </cell>
          <cell r="AC204">
            <v>685791.32247252949</v>
          </cell>
          <cell r="AF204">
            <v>658359669.57362831</v>
          </cell>
        </row>
        <row r="205">
          <cell r="C205" t="str">
            <v>Contribution Margin</v>
          </cell>
          <cell r="E205">
            <v>107085.85427817761</v>
          </cell>
          <cell r="F205">
            <v>9637726.8850359768</v>
          </cell>
          <cell r="G205">
            <v>107085.85427817761</v>
          </cell>
          <cell r="H205">
            <v>9637726.8850359768</v>
          </cell>
          <cell r="I205">
            <v>107085.85427817761</v>
          </cell>
          <cell r="J205">
            <v>9637726.8850359768</v>
          </cell>
          <cell r="K205">
            <v>111940.68019779876</v>
          </cell>
          <cell r="L205">
            <v>11194068.019779876</v>
          </cell>
          <cell r="M205">
            <v>111940.68019779876</v>
          </cell>
          <cell r="N205">
            <v>7835847.6138459146</v>
          </cell>
          <cell r="O205">
            <v>111940.68019779876</v>
          </cell>
          <cell r="P205">
            <v>7835847.6138459146</v>
          </cell>
          <cell r="Q205">
            <v>112271.68019779876</v>
          </cell>
          <cell r="R205">
            <v>11227168.019779876</v>
          </cell>
          <cell r="S205">
            <v>112271.68019779876</v>
          </cell>
          <cell r="T205">
            <v>8981734.4158238918</v>
          </cell>
          <cell r="U205">
            <v>112271.68019779876</v>
          </cell>
          <cell r="V205">
            <v>6736300.8118679225</v>
          </cell>
          <cell r="W205">
            <v>112271.68019779876</v>
          </cell>
          <cell r="X205">
            <v>7859017.6138459146</v>
          </cell>
          <cell r="Y205">
            <v>112271.68019779876</v>
          </cell>
          <cell r="Z205">
            <v>7859017.6138459146</v>
          </cell>
          <cell r="AA205">
            <v>112271.68019779876</v>
          </cell>
          <cell r="AB205">
            <v>7859017.6138459146</v>
          </cell>
          <cell r="AC205">
            <v>110730.41665790533</v>
          </cell>
          <cell r="AD205" t="str">
            <v>Contribution Margin</v>
          </cell>
        </row>
        <row r="207">
          <cell r="C207" t="str">
            <v>Production cost</v>
          </cell>
          <cell r="AD207" t="str">
            <v>Production cost</v>
          </cell>
        </row>
        <row r="208">
          <cell r="D208" t="str">
            <v xml:space="preserve">Salaries &amp; Wages </v>
          </cell>
          <cell r="E208">
            <v>5330.971806841444</v>
          </cell>
          <cell r="F208">
            <v>479787.46261572995</v>
          </cell>
          <cell r="G208">
            <v>4450.6278387391867</v>
          </cell>
          <cell r="H208">
            <v>400556.50548652682</v>
          </cell>
          <cell r="I208">
            <v>4327.5507084975143</v>
          </cell>
          <cell r="J208">
            <v>389479.56376477628</v>
          </cell>
          <cell r="K208">
            <v>3880.9474753805712</v>
          </cell>
          <cell r="L208">
            <v>388094.7475380571</v>
          </cell>
          <cell r="M208">
            <v>5576.0739588801307</v>
          </cell>
          <cell r="N208">
            <v>390325.17712160916</v>
          </cell>
          <cell r="O208">
            <v>5384.2223576312035</v>
          </cell>
          <cell r="P208">
            <v>376895.56503418426</v>
          </cell>
          <cell r="Q208">
            <v>3880.9474753805712</v>
          </cell>
          <cell r="R208">
            <v>388094.7475380571</v>
          </cell>
          <cell r="S208">
            <v>5106.5098360270676</v>
          </cell>
          <cell r="T208">
            <v>408520.78688216541</v>
          </cell>
          <cell r="U208">
            <v>4709.8877128404993</v>
          </cell>
          <cell r="V208">
            <v>282593.26277042995</v>
          </cell>
          <cell r="W208">
            <v>5160.8344087507594</v>
          </cell>
          <cell r="X208">
            <v>361258.40861255315</v>
          </cell>
          <cell r="Y208">
            <v>5216.3272518556068</v>
          </cell>
          <cell r="Z208">
            <v>365142.90762989246</v>
          </cell>
          <cell r="AA208">
            <v>5063.8667476260061</v>
          </cell>
          <cell r="AB208">
            <v>354470.67233382043</v>
          </cell>
          <cell r="AC208">
            <v>4776.2706326331272</v>
          </cell>
          <cell r="AE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E209" t="str">
            <v xml:space="preserve">Utilities </v>
          </cell>
        </row>
        <row r="210">
          <cell r="D210" t="str">
            <v>Depreciation</v>
          </cell>
          <cell r="E210">
            <v>11150.091575091576</v>
          </cell>
          <cell r="F210">
            <v>1003508.2417582418</v>
          </cell>
          <cell r="G210">
            <v>9308.7920489296648</v>
          </cell>
          <cell r="H210">
            <v>837791.28440366988</v>
          </cell>
          <cell r="I210">
            <v>9051.3678263455258</v>
          </cell>
          <cell r="J210">
            <v>814623.10437109729</v>
          </cell>
          <cell r="K210">
            <v>8117.2666666666673</v>
          </cell>
          <cell r="L210">
            <v>811726.66666666674</v>
          </cell>
          <cell r="M210">
            <v>11662.739463601532</v>
          </cell>
          <cell r="N210">
            <v>816391.76245210727</v>
          </cell>
          <cell r="O210">
            <v>11261.468738438773</v>
          </cell>
          <cell r="P210">
            <v>788302.81169071409</v>
          </cell>
          <cell r="Q210">
            <v>8117.2666666666673</v>
          </cell>
          <cell r="R210">
            <v>811726.66666666674</v>
          </cell>
          <cell r="S210">
            <v>10680.614035087719</v>
          </cell>
          <cell r="T210">
            <v>854449.12280701753</v>
          </cell>
          <cell r="U210">
            <v>9851.0517799352765</v>
          </cell>
          <cell r="V210">
            <v>591063.10679611657</v>
          </cell>
          <cell r="W210">
            <v>10794.237588652482</v>
          </cell>
          <cell r="X210">
            <v>755596.6312056738</v>
          </cell>
          <cell r="Y210">
            <v>10910.304659498208</v>
          </cell>
          <cell r="Z210">
            <v>763721.3261648746</v>
          </cell>
          <cell r="AA210">
            <v>10591.423103688239</v>
          </cell>
          <cell r="AB210">
            <v>741399.61725817679</v>
          </cell>
          <cell r="AC210">
            <v>9989.8961898343987</v>
          </cell>
          <cell r="AE210" t="str">
            <v>Depreciation</v>
          </cell>
        </row>
        <row r="211">
          <cell r="D211" t="str">
            <v xml:space="preserve">Other Factory overhead </v>
          </cell>
          <cell r="E211">
            <v>3328.5244606883934</v>
          </cell>
          <cell r="F211">
            <v>299567.20146195544</v>
          </cell>
          <cell r="G211">
            <v>2778.859870849943</v>
          </cell>
          <cell r="H211">
            <v>250097.38837649487</v>
          </cell>
          <cell r="I211">
            <v>2702.0136121556093</v>
          </cell>
          <cell r="J211">
            <v>243181.22509400483</v>
          </cell>
          <cell r="K211">
            <v>2423.1658073811504</v>
          </cell>
          <cell r="L211">
            <v>242316.58073811504</v>
          </cell>
          <cell r="M211">
            <v>3481.5600680763655</v>
          </cell>
          <cell r="N211">
            <v>243709.20476534558</v>
          </cell>
          <cell r="O211">
            <v>3361.7727627374452</v>
          </cell>
          <cell r="P211">
            <v>235324.09339162117</v>
          </cell>
          <cell r="Q211">
            <v>2423.1658073811504</v>
          </cell>
          <cell r="R211">
            <v>242316.58073811504</v>
          </cell>
          <cell r="S211">
            <v>3188.3760623436192</v>
          </cell>
          <cell r="T211">
            <v>255070.08498748954</v>
          </cell>
          <cell r="U211">
            <v>2940.735203132464</v>
          </cell>
          <cell r="V211">
            <v>176444.11218794785</v>
          </cell>
          <cell r="W211">
            <v>3222.2949566238703</v>
          </cell>
          <cell r="X211">
            <v>225560.64696367094</v>
          </cell>
          <cell r="Y211">
            <v>3256.9432894907936</v>
          </cell>
          <cell r="Z211">
            <v>227986.03026435556</v>
          </cell>
          <cell r="AA211">
            <v>3161.7507925119394</v>
          </cell>
          <cell r="AB211">
            <v>221322.55547583575</v>
          </cell>
          <cell r="AC211">
            <v>2982.1830254634915</v>
          </cell>
          <cell r="AE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E212" t="str">
            <v>Running Royalty</v>
          </cell>
        </row>
        <row r="213">
          <cell r="E213">
            <v>19809.587842621411</v>
          </cell>
          <cell r="F213">
            <v>1782862.9058359272</v>
          </cell>
          <cell r="G213">
            <v>16538.279758518795</v>
          </cell>
          <cell r="H213">
            <v>1488445.1782666915</v>
          </cell>
          <cell r="I213">
            <v>16080.93214699865</v>
          </cell>
          <cell r="J213">
            <v>1447283.8932298783</v>
          </cell>
          <cell r="K213">
            <v>14421.379949428388</v>
          </cell>
          <cell r="L213">
            <v>1442137.994942839</v>
          </cell>
          <cell r="M213">
            <v>20720.373490558028</v>
          </cell>
          <cell r="N213">
            <v>1450426.144339062</v>
          </cell>
          <cell r="O213">
            <v>20007.463858807419</v>
          </cell>
          <cell r="P213">
            <v>1400522.4701165196</v>
          </cell>
          <cell r="Q213">
            <v>14421.379949428388</v>
          </cell>
          <cell r="R213">
            <v>1442137.994942839</v>
          </cell>
          <cell r="S213">
            <v>18975.499933458406</v>
          </cell>
          <cell r="T213">
            <v>1518039.9946766724</v>
          </cell>
          <cell r="U213">
            <v>17501.674695908237</v>
          </cell>
          <cell r="V213">
            <v>1050100.4817544944</v>
          </cell>
          <cell r="W213">
            <v>19177.366954027111</v>
          </cell>
          <cell r="X213">
            <v>1342415.6867818977</v>
          </cell>
          <cell r="Y213">
            <v>19383.575200844611</v>
          </cell>
          <cell r="Z213">
            <v>1356850.2640591224</v>
          </cell>
          <cell r="AA213">
            <v>18817.040643826185</v>
          </cell>
          <cell r="AB213">
            <v>1317192.8450678329</v>
          </cell>
          <cell r="AC213">
            <v>17748.349847931018</v>
          </cell>
        </row>
        <row r="214">
          <cell r="C214" t="str">
            <v>Gross Profit</v>
          </cell>
          <cell r="E214">
            <v>87276.266435556201</v>
          </cell>
          <cell r="F214">
            <v>7854863.9792000493</v>
          </cell>
          <cell r="G214">
            <v>90547.57451965881</v>
          </cell>
          <cell r="H214">
            <v>8149281.7067692857</v>
          </cell>
          <cell r="I214">
            <v>91004.922131178959</v>
          </cell>
          <cell r="J214">
            <v>8190442.9918060983</v>
          </cell>
          <cell r="K214">
            <v>97519.300248370375</v>
          </cell>
          <cell r="L214">
            <v>9751930.0248370375</v>
          </cell>
          <cell r="M214">
            <v>91220.306707240728</v>
          </cell>
          <cell r="N214">
            <v>6385421.4695068523</v>
          </cell>
          <cell r="O214">
            <v>91933.216338991348</v>
          </cell>
          <cell r="P214">
            <v>6435325.1437293952</v>
          </cell>
          <cell r="Q214">
            <v>97850.300248370375</v>
          </cell>
          <cell r="R214">
            <v>9785030.0248370375</v>
          </cell>
          <cell r="S214">
            <v>93296.180264340364</v>
          </cell>
          <cell r="T214">
            <v>7463694.4211472198</v>
          </cell>
          <cell r="U214">
            <v>94770.005501890526</v>
          </cell>
          <cell r="V214">
            <v>5686200.3301134277</v>
          </cell>
          <cell r="W214">
            <v>93094.313243771656</v>
          </cell>
          <cell r="X214">
            <v>6516601.9270640165</v>
          </cell>
          <cell r="Y214">
            <v>92888.104996954149</v>
          </cell>
          <cell r="Z214">
            <v>6502167.349786792</v>
          </cell>
          <cell r="AA214">
            <v>93454.639553972578</v>
          </cell>
          <cell r="AB214">
            <v>6541824.768778082</v>
          </cell>
          <cell r="AC214">
            <v>92982.066809974305</v>
          </cell>
          <cell r="AD214" t="str">
            <v>Gross Profit</v>
          </cell>
        </row>
        <row r="215">
          <cell r="E215">
            <v>10.957173187870046</v>
          </cell>
          <cell r="F215">
            <v>10.957173187870035</v>
          </cell>
          <cell r="G215">
            <v>11.367872346900395</v>
          </cell>
          <cell r="H215">
            <v>11.367872346900388</v>
          </cell>
          <cell r="I215">
            <v>11.425290442233166</v>
          </cell>
          <cell r="J215">
            <v>11.425290442233155</v>
          </cell>
          <cell r="K215">
            <v>12.243143590133835</v>
          </cell>
          <cell r="L215">
            <v>12.243143590133835</v>
          </cell>
          <cell r="M215">
            <v>11.452331082240921</v>
          </cell>
          <cell r="N215">
            <v>11.452331082240923</v>
          </cell>
          <cell r="O215">
            <v>11.541833929021838</v>
          </cell>
          <cell r="P215">
            <v>11.541833929021839</v>
          </cell>
          <cell r="Q215">
            <v>12.284699266989731</v>
          </cell>
          <cell r="R215">
            <v>12.28469926698973</v>
          </cell>
          <cell r="S215">
            <v>11.71294839563225</v>
          </cell>
          <cell r="T215">
            <v>11.712948395632235</v>
          </cell>
          <cell r="U215">
            <v>11.897981040084508</v>
          </cell>
          <cell r="V215">
            <v>11.897981040084501</v>
          </cell>
          <cell r="W215">
            <v>11.687604828639454</v>
          </cell>
          <cell r="X215">
            <v>11.687604828639456</v>
          </cell>
          <cell r="Y215">
            <v>11.661716238700576</v>
          </cell>
          <cell r="Z215">
            <v>11.661716238700578</v>
          </cell>
          <cell r="AA215">
            <v>11.732842302081711</v>
          </cell>
          <cell r="AB215">
            <v>11.732842302081712</v>
          </cell>
          <cell r="AC215">
            <v>11.673512754527342</v>
          </cell>
        </row>
        <row r="216">
          <cell r="C216" t="str">
            <v>Other Expenses</v>
          </cell>
          <cell r="AD216" t="str">
            <v>Other Expenses</v>
          </cell>
        </row>
        <row r="217">
          <cell r="D217" t="str">
            <v>Selling Expenses</v>
          </cell>
          <cell r="E217">
            <v>5183.0082521448167</v>
          </cell>
          <cell r="F217">
            <v>466470.74269303348</v>
          </cell>
          <cell r="G217">
            <v>4427.3486746392564</v>
          </cell>
          <cell r="H217">
            <v>398461.38071753306</v>
          </cell>
          <cell r="I217">
            <v>4320.887144065181</v>
          </cell>
          <cell r="J217">
            <v>388879.84296586626</v>
          </cell>
          <cell r="K217">
            <v>3897.7185689144208</v>
          </cell>
          <cell r="L217">
            <v>389771.85689144209</v>
          </cell>
          <cell r="M217">
            <v>5409.2615187305564</v>
          </cell>
          <cell r="N217">
            <v>378648.30631113896</v>
          </cell>
          <cell r="O217">
            <v>5179.8400416559607</v>
          </cell>
          <cell r="P217">
            <v>362588.80291591724</v>
          </cell>
          <cell r="Q217">
            <v>3845.1336292747983</v>
          </cell>
          <cell r="R217">
            <v>384513.36292747984</v>
          </cell>
          <cell r="S217">
            <v>4967.5774890123712</v>
          </cell>
          <cell r="T217">
            <v>397406.19912098971</v>
          </cell>
          <cell r="U217">
            <v>4642.661605420024</v>
          </cell>
          <cell r="V217">
            <v>278559.69632520142</v>
          </cell>
          <cell r="W217">
            <v>5073.1110111757944</v>
          </cell>
          <cell r="X217">
            <v>355117.77078230563</v>
          </cell>
          <cell r="Y217">
            <v>5099.2966467698334</v>
          </cell>
          <cell r="Z217">
            <v>356950.76527388836</v>
          </cell>
          <cell r="AA217">
            <v>4893.3178190345943</v>
          </cell>
          <cell r="AB217">
            <v>342532.2473324216</v>
          </cell>
          <cell r="AC217">
            <v>4687.3968481846014</v>
          </cell>
          <cell r="AE217" t="str">
            <v>Selling Expenses</v>
          </cell>
        </row>
        <row r="218">
          <cell r="D218" t="str">
            <v>Advertisement Expenses</v>
          </cell>
          <cell r="E218">
            <v>800.32572918126152</v>
          </cell>
          <cell r="F218">
            <v>72029.315626313532</v>
          </cell>
          <cell r="G218">
            <v>969.71958993165515</v>
          </cell>
          <cell r="H218">
            <v>87274.76309384896</v>
          </cell>
          <cell r="I218">
            <v>7367.9708551430685</v>
          </cell>
          <cell r="J218">
            <v>663117.37696287618</v>
          </cell>
          <cell r="K218">
            <v>6935.2770964018819</v>
          </cell>
          <cell r="L218">
            <v>693527.70964018814</v>
          </cell>
          <cell r="M218">
            <v>7697.2629504339211</v>
          </cell>
          <cell r="N218">
            <v>538808.40653037443</v>
          </cell>
          <cell r="O218">
            <v>799.8365151483406</v>
          </cell>
          <cell r="P218">
            <v>55988.556060383838</v>
          </cell>
          <cell r="Q218">
            <v>739.89139808437483</v>
          </cell>
          <cell r="R218">
            <v>73989.139808437481</v>
          </cell>
          <cell r="S218">
            <v>4684.9685429207811</v>
          </cell>
          <cell r="T218">
            <v>374797.48343366251</v>
          </cell>
          <cell r="U218">
            <v>5393.2109933565007</v>
          </cell>
          <cell r="V218">
            <v>323592.65960139001</v>
          </cell>
          <cell r="W218">
            <v>783.35612673520234</v>
          </cell>
          <cell r="X218">
            <v>54834.928871464166</v>
          </cell>
          <cell r="Y218">
            <v>8782.5333169589612</v>
          </cell>
          <cell r="Z218">
            <v>614777.33218712732</v>
          </cell>
          <cell r="AA218">
            <v>1104.3291887822443</v>
          </cell>
          <cell r="AB218">
            <v>77303.043214757097</v>
          </cell>
          <cell r="AC218">
            <v>3781.2924114904404</v>
          </cell>
        </row>
        <row r="219">
          <cell r="D219" t="str">
            <v>Administrative Expenses</v>
          </cell>
          <cell r="E219">
            <v>10560.726889052896</v>
          </cell>
          <cell r="F219">
            <v>950465.42001476057</v>
          </cell>
          <cell r="G219">
            <v>9021.0198249495461</v>
          </cell>
          <cell r="H219">
            <v>811891.78424545913</v>
          </cell>
          <cell r="I219">
            <v>8804.0973170376383</v>
          </cell>
          <cell r="J219">
            <v>792368.75853338744</v>
          </cell>
          <cell r="K219">
            <v>7941.8629672567968</v>
          </cell>
          <cell r="L219">
            <v>794186.29672567965</v>
          </cell>
          <cell r="M219">
            <v>11021.733092386507</v>
          </cell>
          <cell r="N219">
            <v>771521.31646705547</v>
          </cell>
          <cell r="O219">
            <v>10554.271447719957</v>
          </cell>
          <cell r="P219">
            <v>738799.00134039694</v>
          </cell>
          <cell r="Q219">
            <v>7834.7176263668644</v>
          </cell>
          <cell r="R219">
            <v>783471.76263668644</v>
          </cell>
          <cell r="S219">
            <v>10121.772262268241</v>
          </cell>
          <cell r="T219">
            <v>809741.78098145931</v>
          </cell>
          <cell r="U219">
            <v>9459.7343604157559</v>
          </cell>
          <cell r="V219">
            <v>567584.06162494537</v>
          </cell>
          <cell r="W219">
            <v>10336.803890810705</v>
          </cell>
          <cell r="X219">
            <v>723576.27235674928</v>
          </cell>
          <cell r="Y219">
            <v>10390.158879356299</v>
          </cell>
          <cell r="Z219">
            <v>727311.12155494094</v>
          </cell>
          <cell r="AA219">
            <v>9970.4632047953019</v>
          </cell>
          <cell r="AB219">
            <v>697932.42433567112</v>
          </cell>
          <cell r="AC219">
            <v>9550.8854175179094</v>
          </cell>
          <cell r="AE219" t="str">
            <v>Administrative Expenses</v>
          </cell>
        </row>
        <row r="220">
          <cell r="D220" t="str">
            <v>Depreciation (Admin. &amp; Selling )</v>
          </cell>
          <cell r="E220">
            <v>2969.9882598191184</v>
          </cell>
          <cell r="F220">
            <v>267298.94338372065</v>
          </cell>
          <cell r="G220">
            <v>2536.9771657922738</v>
          </cell>
          <cell r="H220">
            <v>228327.94492130465</v>
          </cell>
          <cell r="I220">
            <v>2475.9721508385478</v>
          </cell>
          <cell r="J220">
            <v>222837.4935754693</v>
          </cell>
          <cell r="K220">
            <v>2233.4863898710532</v>
          </cell>
          <cell r="L220">
            <v>223348.63898710531</v>
          </cell>
          <cell r="M220">
            <v>3099.6368177250984</v>
          </cell>
          <cell r="N220">
            <v>216974.57724075689</v>
          </cell>
          <cell r="O220">
            <v>2968.1727990868981</v>
          </cell>
          <cell r="P220">
            <v>207772.09593608286</v>
          </cell>
          <cell r="Q220">
            <v>2203.3539560073127</v>
          </cell>
          <cell r="R220">
            <v>220335.39560073128</v>
          </cell>
          <cell r="S220">
            <v>2846.5412564224971</v>
          </cell>
          <cell r="T220">
            <v>227723.30051379977</v>
          </cell>
          <cell r="U220">
            <v>2660.3566484202443</v>
          </cell>
          <cell r="V220">
            <v>159621.39890521465</v>
          </cell>
          <cell r="W220">
            <v>2907.0145002598042</v>
          </cell>
          <cell r="X220">
            <v>203491.0150181863</v>
          </cell>
          <cell r="Y220">
            <v>2922.0194986134175</v>
          </cell>
          <cell r="Z220">
            <v>204541.36490293921</v>
          </cell>
          <cell r="AA220">
            <v>2803.9886812995901</v>
          </cell>
          <cell r="AB220">
            <v>196279.20769097132</v>
          </cell>
          <cell r="AC220">
            <v>2685.9910173711269</v>
          </cell>
          <cell r="AE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E221" t="str">
            <v>Financial Charges -Capital Exp.</v>
          </cell>
        </row>
        <row r="222">
          <cell r="D222" t="str">
            <v>Financial  Charges -Working Capital</v>
          </cell>
          <cell r="E222">
            <v>530.11444507895521</v>
          </cell>
          <cell r="F222">
            <v>47710.300057105967</v>
          </cell>
          <cell r="G222">
            <v>458.80097155251627</v>
          </cell>
          <cell r="H222">
            <v>41292.087439726463</v>
          </cell>
          <cell r="I222">
            <v>448.49087868071882</v>
          </cell>
          <cell r="J222">
            <v>40364.179081264694</v>
          </cell>
          <cell r="K222">
            <v>407.98094465914818</v>
          </cell>
          <cell r="L222">
            <v>40798.094465914815</v>
          </cell>
          <cell r="M222">
            <v>548.85949175372707</v>
          </cell>
          <cell r="N222">
            <v>38420.164422760892</v>
          </cell>
          <cell r="O222">
            <v>527.77239945924691</v>
          </cell>
          <cell r="P222">
            <v>36944.067962147281</v>
          </cell>
          <cell r="Q222">
            <v>396.96132884259964</v>
          </cell>
          <cell r="R222">
            <v>39696.132884259961</v>
          </cell>
          <cell r="S222">
            <v>498.98402076239711</v>
          </cell>
          <cell r="T222">
            <v>39918.721660991767</v>
          </cell>
          <cell r="U222">
            <v>470.64800851302482</v>
          </cell>
          <cell r="V222">
            <v>28238.880510781488</v>
          </cell>
          <cell r="W222">
            <v>511.61704210669683</v>
          </cell>
          <cell r="X222">
            <v>35813.192947468779</v>
          </cell>
          <cell r="Y222">
            <v>513.76394785157731</v>
          </cell>
          <cell r="Z222">
            <v>35963.476349610413</v>
          </cell>
          <cell r="AA222">
            <v>495.30468493193735</v>
          </cell>
          <cell r="AB222">
            <v>34671.327945235615</v>
          </cell>
          <cell r="AC222">
            <v>478.990235132571</v>
          </cell>
          <cell r="AE222" t="str">
            <v>Financial  Charges -Working Capital</v>
          </cell>
        </row>
        <row r="223">
          <cell r="D223" t="str">
            <v>Other Expenses (Charity &amp; Donation)</v>
          </cell>
          <cell r="E223">
            <v>368.13503130483002</v>
          </cell>
          <cell r="F223">
            <v>33132.152817434704</v>
          </cell>
          <cell r="G223">
            <v>318.61178580035858</v>
          </cell>
          <cell r="H223">
            <v>28675.060722032271</v>
          </cell>
          <cell r="I223">
            <v>311.4519990838325</v>
          </cell>
          <cell r="J223">
            <v>28030.679917544927</v>
          </cell>
          <cell r="K223">
            <v>283.32010045774183</v>
          </cell>
          <cell r="L223">
            <v>28332.010045774183</v>
          </cell>
          <cell r="M223">
            <v>381.15242482897719</v>
          </cell>
          <cell r="N223">
            <v>26680.669738028402</v>
          </cell>
          <cell r="O223">
            <v>366.50861073558809</v>
          </cell>
          <cell r="P223">
            <v>25655.602751491166</v>
          </cell>
          <cell r="Q223">
            <v>275.66758947402758</v>
          </cell>
          <cell r="R223">
            <v>27566.758947402759</v>
          </cell>
          <cell r="S223">
            <v>346.51668108499797</v>
          </cell>
          <cell r="T223">
            <v>27721.334486799838</v>
          </cell>
          <cell r="U223">
            <v>326.83889480071173</v>
          </cell>
          <cell r="V223">
            <v>19610.333688042705</v>
          </cell>
          <cell r="W223">
            <v>355.28961257409514</v>
          </cell>
          <cell r="X223">
            <v>24870.272880186661</v>
          </cell>
          <cell r="Y223">
            <v>356.78051934137312</v>
          </cell>
          <cell r="Z223">
            <v>24974.63635389612</v>
          </cell>
          <cell r="AA223">
            <v>343.96158675828985</v>
          </cell>
          <cell r="AB223">
            <v>24077.311073080291</v>
          </cell>
          <cell r="AC223">
            <v>332.6321077309521</v>
          </cell>
          <cell r="AE223" t="str">
            <v>Other Expenses (Charity &amp; Donation)</v>
          </cell>
        </row>
        <row r="224">
          <cell r="D224" t="str">
            <v>Other Expenses ( W.P.P.F.)</v>
          </cell>
          <cell r="E224">
            <v>3573.7075858361454</v>
          </cell>
          <cell r="F224">
            <v>321633.68272525311</v>
          </cell>
          <cell r="G224">
            <v>3260.1003648049996</v>
          </cell>
          <cell r="H224">
            <v>293409.03283244994</v>
          </cell>
          <cell r="I224">
            <v>2868.2077932472907</v>
          </cell>
          <cell r="J224">
            <v>258138.70139225616</v>
          </cell>
          <cell r="K224">
            <v>2950.3710885468208</v>
          </cell>
          <cell r="L224">
            <v>295037.10885468207</v>
          </cell>
          <cell r="M224">
            <v>2984.5209973853607</v>
          </cell>
          <cell r="N224">
            <v>208916.46981697524</v>
          </cell>
          <cell r="O224">
            <v>3261.9142882485439</v>
          </cell>
          <cell r="P224">
            <v>228334.00017739806</v>
          </cell>
          <cell r="Q224">
            <v>3221.4233012482478</v>
          </cell>
          <cell r="R224">
            <v>322142.33012482477</v>
          </cell>
          <cell r="S224">
            <v>2697.4681580678207</v>
          </cell>
          <cell r="T224">
            <v>215797.45264542566</v>
          </cell>
          <cell r="U224">
            <v>2877.5317129664104</v>
          </cell>
          <cell r="V224">
            <v>172651.90277798462</v>
          </cell>
          <cell r="W224">
            <v>3280.2679674234987</v>
          </cell>
          <cell r="X224">
            <v>229618.7577196449</v>
          </cell>
          <cell r="Y224">
            <v>2911.8557735997142</v>
          </cell>
          <cell r="Z224">
            <v>203829.90415198001</v>
          </cell>
          <cell r="AA224">
            <v>3464.9058265788067</v>
          </cell>
          <cell r="AB224">
            <v>242543.40786051645</v>
          </cell>
          <cell r="AC224">
            <v>3116.7216157076987</v>
          </cell>
          <cell r="AE224" t="str">
            <v>Other Expenses ( W.P.P.F.)</v>
          </cell>
        </row>
        <row r="225">
          <cell r="D225" t="str">
            <v>Workers Welfare Fund</v>
          </cell>
          <cell r="E225">
            <v>1499.0267372593985</v>
          </cell>
          <cell r="F225">
            <v>134912.40635334587</v>
          </cell>
          <cell r="G225">
            <v>1367.4811090758005</v>
          </cell>
          <cell r="H225">
            <v>123073.29981682205</v>
          </cell>
          <cell r="I225">
            <v>1203.0979219267881</v>
          </cell>
          <cell r="J225">
            <v>108278.81297341092</v>
          </cell>
          <cell r="K225">
            <v>1237.5621229049211</v>
          </cell>
          <cell r="L225">
            <v>123756.21229049211</v>
          </cell>
          <cell r="M225">
            <v>1251.8866374865934</v>
          </cell>
          <cell r="N225">
            <v>87632.064624061532</v>
          </cell>
          <cell r="O225">
            <v>1368.2419770751833</v>
          </cell>
          <cell r="P225">
            <v>95776.938395262827</v>
          </cell>
          <cell r="Q225">
            <v>1351.2576349952574</v>
          </cell>
          <cell r="R225">
            <v>135125.76349952572</v>
          </cell>
          <cell r="S225">
            <v>1131.4795054513236</v>
          </cell>
          <cell r="T225">
            <v>90518.360436105882</v>
          </cell>
          <cell r="U225">
            <v>1207.0089316049207</v>
          </cell>
          <cell r="V225">
            <v>72420.535896295245</v>
          </cell>
          <cell r="W225">
            <v>1375.9406080206418</v>
          </cell>
          <cell r="X225">
            <v>96315.842561444922</v>
          </cell>
          <cell r="Y225">
            <v>1221.4064958669101</v>
          </cell>
          <cell r="Z225">
            <v>85498.454710683698</v>
          </cell>
          <cell r="AA225">
            <v>1453.3887710099996</v>
          </cell>
          <cell r="AB225">
            <v>101737.21397069997</v>
          </cell>
          <cell r="AC225">
            <v>1307.3394849251572</v>
          </cell>
          <cell r="AE225" t="str">
            <v>Workers Welfare Fund</v>
          </cell>
        </row>
        <row r="226">
          <cell r="E226">
            <v>25485.032929677422</v>
          </cell>
          <cell r="F226">
            <v>2293652.9636709681</v>
          </cell>
          <cell r="G226">
            <v>22360.059486546405</v>
          </cell>
          <cell r="H226">
            <v>2012405.3537891768</v>
          </cell>
          <cell r="I226">
            <v>27800.176060023059</v>
          </cell>
          <cell r="J226">
            <v>2502015.8454020759</v>
          </cell>
          <cell r="K226">
            <v>25887.579279012789</v>
          </cell>
          <cell r="L226">
            <v>2588757.9279012782</v>
          </cell>
          <cell r="M226">
            <v>32394.313930730743</v>
          </cell>
          <cell r="N226">
            <v>2267601.9751511514</v>
          </cell>
          <cell r="O226">
            <v>25026.558079129718</v>
          </cell>
          <cell r="P226">
            <v>1751859.0655390802</v>
          </cell>
          <cell r="Q226">
            <v>19868.406464293483</v>
          </cell>
          <cell r="R226">
            <v>1986840.6464293483</v>
          </cell>
          <cell r="S226">
            <v>27295.30791599043</v>
          </cell>
          <cell r="T226">
            <v>2183624.6332792346</v>
          </cell>
          <cell r="U226">
            <v>27037.991155497592</v>
          </cell>
          <cell r="V226">
            <v>1622279.4693298554</v>
          </cell>
          <cell r="W226">
            <v>24623.40075910644</v>
          </cell>
          <cell r="X226">
            <v>1723638.0531374505</v>
          </cell>
          <cell r="Y226">
            <v>32197.815078358082</v>
          </cell>
          <cell r="Z226">
            <v>2253847.055485066</v>
          </cell>
          <cell r="AA226">
            <v>24529.659763190764</v>
          </cell>
          <cell r="AB226">
            <v>1717076.1834233536</v>
          </cell>
          <cell r="AC226">
            <v>25941.249138060459</v>
          </cell>
        </row>
        <row r="227">
          <cell r="D227" t="str">
            <v>Operating Profit</v>
          </cell>
          <cell r="E227">
            <v>61791.233505878779</v>
          </cell>
          <cell r="F227">
            <v>5561211.0155290812</v>
          </cell>
          <cell r="G227">
            <v>68187.515033112402</v>
          </cell>
          <cell r="H227">
            <v>6136876.3529801089</v>
          </cell>
          <cell r="I227">
            <v>63204.746071155896</v>
          </cell>
          <cell r="J227">
            <v>5688427.1464040224</v>
          </cell>
          <cell r="K227">
            <v>71631.720969357586</v>
          </cell>
          <cell r="L227">
            <v>7163172.0969357593</v>
          </cell>
          <cell r="M227">
            <v>58825.992776509986</v>
          </cell>
          <cell r="N227">
            <v>4117819.4943557009</v>
          </cell>
          <cell r="O227">
            <v>66906.658259861637</v>
          </cell>
          <cell r="P227">
            <v>4683466.0781903155</v>
          </cell>
          <cell r="Q227">
            <v>77981.893784076892</v>
          </cell>
          <cell r="R227">
            <v>7798189.3784076888</v>
          </cell>
          <cell r="S227">
            <v>66000.872348349934</v>
          </cell>
          <cell r="T227">
            <v>5280069.7878679857</v>
          </cell>
          <cell r="U227">
            <v>67732.014346392942</v>
          </cell>
          <cell r="V227">
            <v>4063920.8607835723</v>
          </cell>
          <cell r="W227">
            <v>68470.912484665212</v>
          </cell>
          <cell r="X227">
            <v>4792963.873926566</v>
          </cell>
          <cell r="Y227">
            <v>60690.28991859607</v>
          </cell>
          <cell r="Z227">
            <v>4248320.2943017259</v>
          </cell>
          <cell r="AA227">
            <v>68924.979790781814</v>
          </cell>
          <cell r="AB227">
            <v>4824748.5853547286</v>
          </cell>
          <cell r="AC227">
            <v>67040.817671913843</v>
          </cell>
          <cell r="AE227" t="str">
            <v>Operating Profit</v>
          </cell>
        </row>
        <row r="229">
          <cell r="C229" t="str">
            <v>Other Income</v>
          </cell>
          <cell r="AD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E230" t="str">
            <v>H.D</v>
          </cell>
        </row>
        <row r="231">
          <cell r="D231" t="str">
            <v>Others</v>
          </cell>
          <cell r="E231">
            <v>18021.978021978022</v>
          </cell>
          <cell r="F231">
            <v>1621978.0219780221</v>
          </cell>
          <cell r="G231">
            <v>15045.871559633028</v>
          </cell>
          <cell r="H231">
            <v>1354128</v>
          </cell>
          <cell r="I231">
            <v>14629.794826048172</v>
          </cell>
          <cell r="J231">
            <v>1316681.5343443356</v>
          </cell>
          <cell r="K231">
            <v>5120</v>
          </cell>
          <cell r="L231">
            <v>512000</v>
          </cell>
          <cell r="M231">
            <v>7356.3218390804595</v>
          </cell>
          <cell r="N231">
            <v>514942.52873563219</v>
          </cell>
          <cell r="O231">
            <v>7103.2186459489458</v>
          </cell>
          <cell r="P231">
            <v>497225.3052164262</v>
          </cell>
          <cell r="Q231">
            <v>5120</v>
          </cell>
          <cell r="R231">
            <v>512000</v>
          </cell>
          <cell r="S231">
            <v>6736.8421052631575</v>
          </cell>
          <cell r="T231">
            <v>538947.36842105258</v>
          </cell>
          <cell r="U231">
            <v>6213.5922330097092</v>
          </cell>
          <cell r="V231">
            <v>372815.53398058255</v>
          </cell>
          <cell r="W231">
            <v>6808.510638297872</v>
          </cell>
          <cell r="X231">
            <v>476595.74468085106</v>
          </cell>
          <cell r="Y231">
            <v>6881.7204301075271</v>
          </cell>
          <cell r="Z231">
            <v>481720.43010752689</v>
          </cell>
          <cell r="AA231">
            <v>6680.5845511482257</v>
          </cell>
          <cell r="AB231">
            <v>467640.91858037579</v>
          </cell>
          <cell r="AC231">
            <v>9027.7868604633368</v>
          </cell>
          <cell r="AE231" t="str">
            <v>Others</v>
          </cell>
        </row>
        <row r="232">
          <cell r="E232">
            <v>18021.978021978022</v>
          </cell>
          <cell r="F232">
            <v>1621978.0219780221</v>
          </cell>
          <cell r="G232">
            <v>15045.871559633028</v>
          </cell>
          <cell r="H232">
            <v>1354128</v>
          </cell>
          <cell r="I232">
            <v>14629.794826048172</v>
          </cell>
          <cell r="J232">
            <v>1316681.5343443356</v>
          </cell>
          <cell r="K232">
            <v>5120</v>
          </cell>
          <cell r="L232">
            <v>512000</v>
          </cell>
          <cell r="M232">
            <v>7356.3218390804595</v>
          </cell>
          <cell r="N232">
            <v>514942.52873563219</v>
          </cell>
          <cell r="O232">
            <v>7103.2186459489458</v>
          </cell>
          <cell r="P232">
            <v>497225.3052164262</v>
          </cell>
          <cell r="Q232">
            <v>5120</v>
          </cell>
          <cell r="R232">
            <v>512000</v>
          </cell>
          <cell r="S232">
            <v>6736.8421052631575</v>
          </cell>
          <cell r="T232">
            <v>538947.36842105258</v>
          </cell>
          <cell r="U232">
            <v>6213.5922330097092</v>
          </cell>
          <cell r="V232">
            <v>372815.53398058255</v>
          </cell>
          <cell r="W232">
            <v>6808.510638297872</v>
          </cell>
          <cell r="X232">
            <v>476595.74468085106</v>
          </cell>
          <cell r="Y232">
            <v>6881.7204301075271</v>
          </cell>
          <cell r="Z232">
            <v>481720.43010752689</v>
          </cell>
          <cell r="AA232">
            <v>6680.5845511482257</v>
          </cell>
          <cell r="AB232">
            <v>467640.91858037579</v>
          </cell>
          <cell r="AC232">
            <v>9027.7868604633368</v>
          </cell>
        </row>
        <row r="234">
          <cell r="C234" t="str">
            <v>Profit / (Loss) before tax</v>
          </cell>
          <cell r="E234">
            <v>79813.211527856794</v>
          </cell>
          <cell r="F234">
            <v>7183189.0375071038</v>
          </cell>
          <cell r="G234">
            <v>83233.386592745432</v>
          </cell>
          <cell r="H234">
            <v>7491004.3529801089</v>
          </cell>
          <cell r="I234">
            <v>77834.540897204075</v>
          </cell>
          <cell r="J234">
            <v>7005108.6807483584</v>
          </cell>
          <cell r="K234">
            <v>76751.720969357586</v>
          </cell>
          <cell r="L234">
            <v>7675172.0969357593</v>
          </cell>
          <cell r="M234">
            <v>66182.31461559044</v>
          </cell>
          <cell r="N234">
            <v>4632762.023091333</v>
          </cell>
          <cell r="O234">
            <v>74009.876905810583</v>
          </cell>
          <cell r="P234">
            <v>5180691.3834067415</v>
          </cell>
          <cell r="Q234">
            <v>83101.893784076892</v>
          </cell>
          <cell r="R234">
            <v>8310189.3784076888</v>
          </cell>
          <cell r="S234">
            <v>72737.714453613095</v>
          </cell>
          <cell r="T234">
            <v>5819017.1562890382</v>
          </cell>
          <cell r="U234">
            <v>73945.606579402651</v>
          </cell>
          <cell r="V234">
            <v>4436736.3947641551</v>
          </cell>
          <cell r="W234">
            <v>75279.423122963082</v>
          </cell>
          <cell r="X234">
            <v>5269559.6186074167</v>
          </cell>
          <cell r="Y234">
            <v>67572.010348703596</v>
          </cell>
          <cell r="Z234">
            <v>4730040.7244092524</v>
          </cell>
          <cell r="AA234">
            <v>75605.564341930032</v>
          </cell>
          <cell r="AB234">
            <v>5292389.5039351042</v>
          </cell>
          <cell r="AC234">
            <v>76068.604532377183</v>
          </cell>
          <cell r="AD234" t="str">
            <v>Profit before tax</v>
          </cell>
        </row>
        <row r="236">
          <cell r="C236" t="str">
            <v>Taxation</v>
          </cell>
          <cell r="AD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E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E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79813.211527856794</v>
          </cell>
          <cell r="F241">
            <v>7183189.0375071038</v>
          </cell>
          <cell r="G241">
            <v>83233.386592745432</v>
          </cell>
          <cell r="H241">
            <v>7491004.3529801089</v>
          </cell>
          <cell r="I241">
            <v>77834.540897204075</v>
          </cell>
          <cell r="J241">
            <v>7005108.6807483584</v>
          </cell>
          <cell r="K241">
            <v>76751.720969357586</v>
          </cell>
          <cell r="L241">
            <v>7675172.0969357593</v>
          </cell>
          <cell r="M241">
            <v>66182.31461559044</v>
          </cell>
          <cell r="N241">
            <v>4632762.023091333</v>
          </cell>
          <cell r="O241">
            <v>74009.876905810583</v>
          </cell>
          <cell r="P241">
            <v>5180691.3834067415</v>
          </cell>
          <cell r="Q241">
            <v>83101.893784076892</v>
          </cell>
          <cell r="R241">
            <v>8310189.3784076888</v>
          </cell>
          <cell r="S241">
            <v>72737.714453613095</v>
          </cell>
          <cell r="T241">
            <v>5819017.1562890382</v>
          </cell>
          <cell r="U241">
            <v>73945.606579402651</v>
          </cell>
          <cell r="V241">
            <v>4436736.3947641551</v>
          </cell>
          <cell r="W241">
            <v>75279.423122963082</v>
          </cell>
          <cell r="X241">
            <v>5269559.6186074167</v>
          </cell>
          <cell r="Y241">
            <v>67572.010348703596</v>
          </cell>
          <cell r="Z241">
            <v>4730040.7244092524</v>
          </cell>
          <cell r="AA241">
            <v>75605.564341930032</v>
          </cell>
          <cell r="AB241">
            <v>5292389.5039351042</v>
          </cell>
          <cell r="AC241">
            <v>76068.604532377183</v>
          </cell>
          <cell r="AD241" t="str">
            <v>Net Profit after taxation</v>
          </cell>
        </row>
        <row r="243">
          <cell r="AC243" t="str">
            <v>SE SALOON</v>
          </cell>
        </row>
        <row r="244">
          <cell r="E244">
            <v>37438</v>
          </cell>
          <cell r="G244">
            <v>37469</v>
          </cell>
          <cell r="I244">
            <v>37500</v>
          </cell>
          <cell r="K244">
            <v>37531</v>
          </cell>
          <cell r="M244">
            <v>37562</v>
          </cell>
          <cell r="O244">
            <v>37593</v>
          </cell>
          <cell r="Q244">
            <v>37624</v>
          </cell>
          <cell r="S244">
            <v>37655</v>
          </cell>
          <cell r="U244">
            <v>37686</v>
          </cell>
          <cell r="W244">
            <v>37717</v>
          </cell>
          <cell r="Y244">
            <v>37748</v>
          </cell>
          <cell r="AA244">
            <v>37779</v>
          </cell>
          <cell r="AC244" t="str">
            <v>Yearly</v>
          </cell>
        </row>
        <row r="245">
          <cell r="D245" t="str">
            <v>SE SALOON</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cell r="AD245">
            <v>0</v>
          </cell>
          <cell r="AE245" t="str">
            <v>Gli</v>
          </cell>
        </row>
        <row r="247">
          <cell r="C247" t="str">
            <v>Sales Units</v>
          </cell>
          <cell r="E247">
            <v>1</v>
          </cell>
          <cell r="F247">
            <v>90</v>
          </cell>
          <cell r="G247">
            <v>1</v>
          </cell>
          <cell r="H247">
            <v>100</v>
          </cell>
          <cell r="I247">
            <v>1</v>
          </cell>
          <cell r="J247">
            <v>100</v>
          </cell>
          <cell r="K247">
            <v>1</v>
          </cell>
          <cell r="L247">
            <v>110</v>
          </cell>
          <cell r="M247">
            <v>1</v>
          </cell>
          <cell r="N247">
            <v>90</v>
          </cell>
          <cell r="O247">
            <v>1</v>
          </cell>
          <cell r="P247">
            <v>80</v>
          </cell>
          <cell r="Q247">
            <v>1</v>
          </cell>
          <cell r="R247">
            <v>130</v>
          </cell>
          <cell r="S247">
            <v>1</v>
          </cell>
          <cell r="T247">
            <v>100</v>
          </cell>
          <cell r="U247">
            <v>1</v>
          </cell>
          <cell r="V247">
            <v>110</v>
          </cell>
          <cell r="W247">
            <v>1</v>
          </cell>
          <cell r="X247">
            <v>130</v>
          </cell>
          <cell r="Y247">
            <v>1</v>
          </cell>
          <cell r="Z247">
            <v>130</v>
          </cell>
          <cell r="AA247">
            <v>1</v>
          </cell>
          <cell r="AB247">
            <v>130</v>
          </cell>
          <cell r="AC247">
            <v>1300</v>
          </cell>
          <cell r="AD247" t="str">
            <v>Sales Units</v>
          </cell>
        </row>
        <row r="249">
          <cell r="C249" t="str">
            <v>Selling Price</v>
          </cell>
          <cell r="E249">
            <v>1079000</v>
          </cell>
          <cell r="F249">
            <v>97110000</v>
          </cell>
          <cell r="G249">
            <v>1079000</v>
          </cell>
          <cell r="H249">
            <v>107900000</v>
          </cell>
          <cell r="I249">
            <v>1079000</v>
          </cell>
          <cell r="J249">
            <v>107900000</v>
          </cell>
          <cell r="K249">
            <v>1079000</v>
          </cell>
          <cell r="L249">
            <v>118690000</v>
          </cell>
          <cell r="M249">
            <v>1079000</v>
          </cell>
          <cell r="N249">
            <v>97110000</v>
          </cell>
          <cell r="O249">
            <v>1079000</v>
          </cell>
          <cell r="P249">
            <v>86320000</v>
          </cell>
          <cell r="Q249">
            <v>1079000</v>
          </cell>
          <cell r="R249">
            <v>140270000</v>
          </cell>
          <cell r="S249">
            <v>1079000</v>
          </cell>
          <cell r="T249">
            <v>107900000</v>
          </cell>
          <cell r="U249">
            <v>1079000</v>
          </cell>
          <cell r="V249">
            <v>118690000</v>
          </cell>
          <cell r="W249">
            <v>1079000</v>
          </cell>
          <cell r="X249">
            <v>140270000</v>
          </cell>
          <cell r="Y249">
            <v>1079000</v>
          </cell>
          <cell r="Z249">
            <v>140270000</v>
          </cell>
          <cell r="AA249">
            <v>1079000</v>
          </cell>
          <cell r="AB249">
            <v>140270000</v>
          </cell>
          <cell r="AC249">
            <v>1079000</v>
          </cell>
          <cell r="AD249" t="str">
            <v>Selling Price</v>
          </cell>
        </row>
        <row r="250">
          <cell r="C250" t="str">
            <v>Less: Dealer commission</v>
          </cell>
          <cell r="E250">
            <v>-35000</v>
          </cell>
          <cell r="F250">
            <v>-3150000</v>
          </cell>
          <cell r="G250">
            <v>-35000</v>
          </cell>
          <cell r="H250">
            <v>-3500000</v>
          </cell>
          <cell r="I250">
            <v>-35000</v>
          </cell>
          <cell r="J250">
            <v>-3500000</v>
          </cell>
          <cell r="K250">
            <v>-35000</v>
          </cell>
          <cell r="L250">
            <v>-3850000</v>
          </cell>
          <cell r="M250">
            <v>-35000</v>
          </cell>
          <cell r="N250">
            <v>-3150000</v>
          </cell>
          <cell r="O250">
            <v>-35000</v>
          </cell>
          <cell r="P250">
            <v>-2800000</v>
          </cell>
          <cell r="Q250">
            <v>-35000</v>
          </cell>
          <cell r="R250">
            <v>-4550000</v>
          </cell>
          <cell r="S250">
            <v>-35000</v>
          </cell>
          <cell r="T250">
            <v>-3500000</v>
          </cell>
          <cell r="U250">
            <v>-35000</v>
          </cell>
          <cell r="V250">
            <v>-3850000</v>
          </cell>
          <cell r="W250">
            <v>-35000</v>
          </cell>
          <cell r="X250">
            <v>-4550000</v>
          </cell>
          <cell r="Y250">
            <v>-35000</v>
          </cell>
          <cell r="Z250">
            <v>-4550000</v>
          </cell>
          <cell r="AA250">
            <v>-35000</v>
          </cell>
          <cell r="AB250">
            <v>-4550000</v>
          </cell>
          <cell r="AC250">
            <v>-35000</v>
          </cell>
          <cell r="AD250" t="str">
            <v>Less: Dealer commission</v>
          </cell>
        </row>
        <row r="251">
          <cell r="D251" t="str">
            <v xml:space="preserve">  Sales tax</v>
          </cell>
          <cell r="E251">
            <v>-140739.13043478262</v>
          </cell>
          <cell r="F251">
            <v>-12666521.739130436</v>
          </cell>
          <cell r="G251">
            <v>-140739.13043478262</v>
          </cell>
          <cell r="H251">
            <v>-14073913.043478262</v>
          </cell>
          <cell r="I251">
            <v>-140739.13043478262</v>
          </cell>
          <cell r="J251">
            <v>-14073913.043478262</v>
          </cell>
          <cell r="K251">
            <v>-140739.13043478262</v>
          </cell>
          <cell r="L251">
            <v>-15481304.347826088</v>
          </cell>
          <cell r="M251">
            <v>-140739.13043478262</v>
          </cell>
          <cell r="N251">
            <v>-12666521.739130436</v>
          </cell>
          <cell r="O251">
            <v>-140739.13043478262</v>
          </cell>
          <cell r="P251">
            <v>-11259130.434782609</v>
          </cell>
          <cell r="Q251">
            <v>-140739.13043478262</v>
          </cell>
          <cell r="R251">
            <v>-18296086.956521742</v>
          </cell>
          <cell r="S251">
            <v>-140739.13043478262</v>
          </cell>
          <cell r="T251">
            <v>-14073913.043478262</v>
          </cell>
          <cell r="U251">
            <v>-140739.13043478262</v>
          </cell>
          <cell r="V251">
            <v>-15481304.347826088</v>
          </cell>
          <cell r="W251">
            <v>-140739.13043478262</v>
          </cell>
          <cell r="X251">
            <v>-18296086.956521742</v>
          </cell>
          <cell r="Y251">
            <v>-140739.13043478262</v>
          </cell>
          <cell r="Z251">
            <v>-18296086.956521742</v>
          </cell>
          <cell r="AA251">
            <v>-140739.13043478262</v>
          </cell>
          <cell r="AB251">
            <v>-18296086.956521742</v>
          </cell>
          <cell r="AC251">
            <v>-140739.13043478262</v>
          </cell>
          <cell r="AE251" t="str">
            <v xml:space="preserve">  Sales tax</v>
          </cell>
        </row>
        <row r="252">
          <cell r="C252" t="str">
            <v>Net Sales</v>
          </cell>
          <cell r="E252">
            <v>903260.86956521741</v>
          </cell>
          <cell r="F252">
            <v>81293478.260869563</v>
          </cell>
          <cell r="G252">
            <v>903260.86956521741</v>
          </cell>
          <cell r="H252">
            <v>90326086.956521735</v>
          </cell>
          <cell r="I252">
            <v>903260.86956521741</v>
          </cell>
          <cell r="J252">
            <v>90326086.956521735</v>
          </cell>
          <cell r="K252">
            <v>903260.86956521741</v>
          </cell>
          <cell r="L252">
            <v>99358695.652173907</v>
          </cell>
          <cell r="M252">
            <v>903260.86956521741</v>
          </cell>
          <cell r="N252">
            <v>81293478.260869563</v>
          </cell>
          <cell r="O252">
            <v>903260.86956521741</v>
          </cell>
          <cell r="P252">
            <v>72260869.565217391</v>
          </cell>
          <cell r="Q252">
            <v>903260.86956521741</v>
          </cell>
          <cell r="R252">
            <v>117423913.04347825</v>
          </cell>
          <cell r="S252">
            <v>903260.86956521741</v>
          </cell>
          <cell r="T252">
            <v>90326086.956521735</v>
          </cell>
          <cell r="U252">
            <v>903260.86956521741</v>
          </cell>
          <cell r="V252">
            <v>99358695.652173907</v>
          </cell>
          <cell r="W252">
            <v>903260.86956521741</v>
          </cell>
          <cell r="X252">
            <v>117423913.04347825</v>
          </cell>
          <cell r="Y252">
            <v>903260.86956521741</v>
          </cell>
          <cell r="Z252">
            <v>117423913.04347825</v>
          </cell>
          <cell r="AA252">
            <v>903260.86956521741</v>
          </cell>
          <cell r="AB252">
            <v>117423913.04347825</v>
          </cell>
          <cell r="AC252">
            <v>903260.86956521741</v>
          </cell>
          <cell r="AD252" t="str">
            <v>Net Sales</v>
          </cell>
          <cell r="AE252">
            <v>1174239130.4347825</v>
          </cell>
        </row>
        <row r="254">
          <cell r="C254" t="str">
            <v>Variable Cost of Sales</v>
          </cell>
          <cell r="AD254" t="str">
            <v>Variable Cost of Sales</v>
          </cell>
        </row>
        <row r="255">
          <cell r="D255" t="str">
            <v>CKD Cost</v>
          </cell>
          <cell r="E255">
            <v>380307.31398791802</v>
          </cell>
          <cell r="F255">
            <v>34227658.258912623</v>
          </cell>
          <cell r="G255">
            <v>380307.31398791802</v>
          </cell>
          <cell r="H255">
            <v>38030731.398791805</v>
          </cell>
          <cell r="I255">
            <v>380307.31398791802</v>
          </cell>
          <cell r="J255">
            <v>38030731.398791805</v>
          </cell>
          <cell r="K255">
            <v>374422.63277064578</v>
          </cell>
          <cell r="L255">
            <v>41186489.604771033</v>
          </cell>
          <cell r="M255">
            <v>374422.63277064578</v>
          </cell>
          <cell r="N255">
            <v>33698036.949358121</v>
          </cell>
          <cell r="O255">
            <v>374422.63277064578</v>
          </cell>
          <cell r="P255">
            <v>29953810.621651664</v>
          </cell>
          <cell r="Q255">
            <v>374422.63277064578</v>
          </cell>
          <cell r="R255">
            <v>48674942.260183953</v>
          </cell>
          <cell r="S255">
            <v>374422.63277064578</v>
          </cell>
          <cell r="T255">
            <v>37442263.277064577</v>
          </cell>
          <cell r="U255">
            <v>374422.63277064578</v>
          </cell>
          <cell r="V255">
            <v>41186489.604771033</v>
          </cell>
          <cell r="W255">
            <v>374422.63277064578</v>
          </cell>
          <cell r="X255">
            <v>48674942.260183953</v>
          </cell>
          <cell r="Y255">
            <v>374422.63277064578</v>
          </cell>
          <cell r="Z255">
            <v>48674942.260183953</v>
          </cell>
          <cell r="AA255">
            <v>374422.63277064578</v>
          </cell>
          <cell r="AB255">
            <v>48674942.260183953</v>
          </cell>
          <cell r="AC255">
            <v>375735.3693498834</v>
          </cell>
          <cell r="AE255" t="str">
            <v>CKD Cost</v>
          </cell>
          <cell r="AF255">
            <v>488455980.1548484</v>
          </cell>
        </row>
        <row r="256">
          <cell r="D256" t="str">
            <v>Vendor parts</v>
          </cell>
          <cell r="E256">
            <v>230254</v>
          </cell>
          <cell r="F256">
            <v>20722860</v>
          </cell>
          <cell r="G256">
            <v>230254</v>
          </cell>
          <cell r="H256">
            <v>23025400</v>
          </cell>
          <cell r="I256">
            <v>230254</v>
          </cell>
          <cell r="J256">
            <v>23025400</v>
          </cell>
          <cell r="K256">
            <v>230254</v>
          </cell>
          <cell r="L256">
            <v>25327940</v>
          </cell>
          <cell r="M256">
            <v>230254</v>
          </cell>
          <cell r="N256">
            <v>20722860</v>
          </cell>
          <cell r="O256">
            <v>230254</v>
          </cell>
          <cell r="P256">
            <v>18420320</v>
          </cell>
          <cell r="Q256">
            <v>229923</v>
          </cell>
          <cell r="R256">
            <v>29889990</v>
          </cell>
          <cell r="S256">
            <v>229923</v>
          </cell>
          <cell r="T256">
            <v>22992300</v>
          </cell>
          <cell r="U256">
            <v>229923</v>
          </cell>
          <cell r="V256">
            <v>25291530</v>
          </cell>
          <cell r="W256">
            <v>229923</v>
          </cell>
          <cell r="X256">
            <v>29889990</v>
          </cell>
          <cell r="Y256">
            <v>229923</v>
          </cell>
          <cell r="Z256">
            <v>29889990</v>
          </cell>
          <cell r="AA256">
            <v>229923</v>
          </cell>
          <cell r="AB256">
            <v>29889990</v>
          </cell>
          <cell r="AC256">
            <v>230068.13076923077</v>
          </cell>
          <cell r="AE256" t="str">
            <v>Vendor parts</v>
          </cell>
          <cell r="AF256">
            <v>299088570</v>
          </cell>
        </row>
        <row r="257">
          <cell r="D257" t="str">
            <v>Multi Source Parts</v>
          </cell>
          <cell r="E257">
            <v>167695.96620000002</v>
          </cell>
          <cell r="F257">
            <v>15092636.958000002</v>
          </cell>
          <cell r="G257">
            <v>167695.96620000002</v>
          </cell>
          <cell r="H257">
            <v>16769596.620000003</v>
          </cell>
          <cell r="I257">
            <v>167695.96620000002</v>
          </cell>
          <cell r="J257">
            <v>16769596.620000003</v>
          </cell>
          <cell r="K257">
            <v>167695.96620000002</v>
          </cell>
          <cell r="L257">
            <v>18446556.282000002</v>
          </cell>
          <cell r="M257">
            <v>167695.96620000002</v>
          </cell>
          <cell r="N257">
            <v>15092636.958000002</v>
          </cell>
          <cell r="O257">
            <v>167695.96620000002</v>
          </cell>
          <cell r="P257">
            <v>13415677.296000002</v>
          </cell>
          <cell r="Q257">
            <v>167695.96620000002</v>
          </cell>
          <cell r="R257">
            <v>21800475.606000002</v>
          </cell>
          <cell r="S257">
            <v>167695.96620000002</v>
          </cell>
          <cell r="T257">
            <v>16769596.620000003</v>
          </cell>
          <cell r="U257">
            <v>167695.96620000002</v>
          </cell>
          <cell r="V257">
            <v>18446556.282000002</v>
          </cell>
          <cell r="W257">
            <v>167695.96620000002</v>
          </cell>
          <cell r="X257">
            <v>21800475.606000002</v>
          </cell>
          <cell r="Y257">
            <v>167695.96620000002</v>
          </cell>
          <cell r="Z257">
            <v>21800475.606000002</v>
          </cell>
          <cell r="AA257">
            <v>167695.96620000002</v>
          </cell>
          <cell r="AB257">
            <v>21800475.606000002</v>
          </cell>
          <cell r="AC257">
            <v>167695.96620000002</v>
          </cell>
          <cell r="AE257" t="str">
            <v>Nomi Parts</v>
          </cell>
          <cell r="AF257">
            <v>218004756.06000003</v>
          </cell>
        </row>
        <row r="258">
          <cell r="D258" t="str">
            <v>Paints &amp; Chemicals</v>
          </cell>
          <cell r="E258">
            <v>14450</v>
          </cell>
          <cell r="F258">
            <v>1300500</v>
          </cell>
          <cell r="G258">
            <v>14450</v>
          </cell>
          <cell r="H258">
            <v>1445000</v>
          </cell>
          <cell r="I258">
            <v>14450</v>
          </cell>
          <cell r="J258">
            <v>1445000</v>
          </cell>
          <cell r="K258">
            <v>14450</v>
          </cell>
          <cell r="L258">
            <v>1589500</v>
          </cell>
          <cell r="M258">
            <v>14450</v>
          </cell>
          <cell r="N258">
            <v>1300500</v>
          </cell>
          <cell r="O258">
            <v>14450</v>
          </cell>
          <cell r="P258">
            <v>1156000</v>
          </cell>
          <cell r="Q258">
            <v>14450</v>
          </cell>
          <cell r="R258">
            <v>1878500</v>
          </cell>
          <cell r="S258">
            <v>14450</v>
          </cell>
          <cell r="T258">
            <v>1445000</v>
          </cell>
          <cell r="U258">
            <v>14450</v>
          </cell>
          <cell r="V258">
            <v>1589500</v>
          </cell>
          <cell r="W258">
            <v>14450</v>
          </cell>
          <cell r="X258">
            <v>1878500</v>
          </cell>
          <cell r="Y258">
            <v>14450</v>
          </cell>
          <cell r="Z258">
            <v>1878500</v>
          </cell>
          <cell r="AA258">
            <v>14450</v>
          </cell>
          <cell r="AB258">
            <v>1878500</v>
          </cell>
          <cell r="AC258">
            <v>14450</v>
          </cell>
          <cell r="AE258" t="str">
            <v>Paints &amp; Chemicals</v>
          </cell>
          <cell r="AF258">
            <v>18785000</v>
          </cell>
        </row>
        <row r="259">
          <cell r="D259" t="str">
            <v>Consumables</v>
          </cell>
          <cell r="E259">
            <v>5342</v>
          </cell>
          <cell r="F259">
            <v>480780</v>
          </cell>
          <cell r="G259">
            <v>5342</v>
          </cell>
          <cell r="H259">
            <v>534200</v>
          </cell>
          <cell r="I259">
            <v>5342</v>
          </cell>
          <cell r="J259">
            <v>534200</v>
          </cell>
          <cell r="K259">
            <v>5342</v>
          </cell>
          <cell r="L259">
            <v>587620</v>
          </cell>
          <cell r="M259">
            <v>5342</v>
          </cell>
          <cell r="N259">
            <v>480780</v>
          </cell>
          <cell r="O259">
            <v>5342</v>
          </cell>
          <cell r="P259">
            <v>427360</v>
          </cell>
          <cell r="Q259">
            <v>5342</v>
          </cell>
          <cell r="R259">
            <v>694460</v>
          </cell>
          <cell r="S259">
            <v>5342</v>
          </cell>
          <cell r="T259">
            <v>534200</v>
          </cell>
          <cell r="U259">
            <v>5342</v>
          </cell>
          <cell r="V259">
            <v>587620</v>
          </cell>
          <cell r="W259">
            <v>5342</v>
          </cell>
          <cell r="X259">
            <v>694460</v>
          </cell>
          <cell r="Y259">
            <v>5342</v>
          </cell>
          <cell r="Z259">
            <v>694460</v>
          </cell>
          <cell r="AA259">
            <v>5342</v>
          </cell>
          <cell r="AB259">
            <v>694460</v>
          </cell>
          <cell r="AC259">
            <v>5342</v>
          </cell>
          <cell r="AE259" t="str">
            <v>Consumables</v>
          </cell>
          <cell r="AF259">
            <v>6944600</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E260" t="str">
            <v>KD Parts</v>
          </cell>
          <cell r="AF260">
            <v>0</v>
          </cell>
        </row>
        <row r="261">
          <cell r="D261" t="str">
            <v>Spare parts</v>
          </cell>
          <cell r="E261">
            <v>789</v>
          </cell>
          <cell r="F261">
            <v>71010</v>
          </cell>
          <cell r="G261">
            <v>789</v>
          </cell>
          <cell r="H261">
            <v>78900</v>
          </cell>
          <cell r="I261">
            <v>789</v>
          </cell>
          <cell r="J261">
            <v>78900</v>
          </cell>
          <cell r="K261">
            <v>789</v>
          </cell>
          <cell r="L261">
            <v>86790</v>
          </cell>
          <cell r="M261">
            <v>789</v>
          </cell>
          <cell r="N261">
            <v>71010</v>
          </cell>
          <cell r="O261">
            <v>789</v>
          </cell>
          <cell r="P261">
            <v>63120</v>
          </cell>
          <cell r="Q261">
            <v>789</v>
          </cell>
          <cell r="R261">
            <v>102570</v>
          </cell>
          <cell r="S261">
            <v>789</v>
          </cell>
          <cell r="T261">
            <v>78900</v>
          </cell>
          <cell r="U261">
            <v>789</v>
          </cell>
          <cell r="V261">
            <v>86790</v>
          </cell>
          <cell r="W261">
            <v>789</v>
          </cell>
          <cell r="X261">
            <v>102570</v>
          </cell>
          <cell r="Y261">
            <v>789</v>
          </cell>
          <cell r="Z261">
            <v>102570</v>
          </cell>
          <cell r="AA261">
            <v>789</v>
          </cell>
          <cell r="AB261">
            <v>102570</v>
          </cell>
          <cell r="AC261">
            <v>789</v>
          </cell>
          <cell r="AE261" t="str">
            <v>Spare parts</v>
          </cell>
          <cell r="AF261">
            <v>1025700</v>
          </cell>
        </row>
        <row r="262">
          <cell r="D262" t="str">
            <v>Utilities</v>
          </cell>
          <cell r="E262">
            <v>4841</v>
          </cell>
          <cell r="F262">
            <v>435690</v>
          </cell>
          <cell r="G262">
            <v>4841</v>
          </cell>
          <cell r="H262">
            <v>484100</v>
          </cell>
          <cell r="I262">
            <v>4841</v>
          </cell>
          <cell r="J262">
            <v>484100</v>
          </cell>
          <cell r="K262">
            <v>4841</v>
          </cell>
          <cell r="L262">
            <v>532510</v>
          </cell>
          <cell r="M262">
            <v>4841</v>
          </cell>
          <cell r="N262">
            <v>435690</v>
          </cell>
          <cell r="O262">
            <v>4841</v>
          </cell>
          <cell r="P262">
            <v>387280</v>
          </cell>
          <cell r="Q262">
            <v>4841</v>
          </cell>
          <cell r="R262">
            <v>629330</v>
          </cell>
          <cell r="S262">
            <v>4841</v>
          </cell>
          <cell r="T262">
            <v>484100</v>
          </cell>
          <cell r="U262">
            <v>4841</v>
          </cell>
          <cell r="V262">
            <v>532510</v>
          </cell>
          <cell r="W262">
            <v>4841</v>
          </cell>
          <cell r="X262">
            <v>629330</v>
          </cell>
          <cell r="Y262">
            <v>4841</v>
          </cell>
          <cell r="Z262">
            <v>629330</v>
          </cell>
          <cell r="AA262">
            <v>4841</v>
          </cell>
          <cell r="AB262">
            <v>629330</v>
          </cell>
          <cell r="AC262">
            <v>4841</v>
          </cell>
          <cell r="AE262" t="str">
            <v>Utilites</v>
          </cell>
          <cell r="AF262">
            <v>6293300</v>
          </cell>
        </row>
        <row r="263">
          <cell r="D263" t="str">
            <v>Royalties</v>
          </cell>
          <cell r="E263">
            <v>7155</v>
          </cell>
          <cell r="F263">
            <v>643950</v>
          </cell>
          <cell r="G263">
            <v>7155</v>
          </cell>
          <cell r="H263">
            <v>715500</v>
          </cell>
          <cell r="I263">
            <v>7155</v>
          </cell>
          <cell r="J263">
            <v>715500</v>
          </cell>
          <cell r="K263">
            <v>7155</v>
          </cell>
          <cell r="L263">
            <v>787050</v>
          </cell>
          <cell r="M263">
            <v>7155</v>
          </cell>
          <cell r="N263">
            <v>643950</v>
          </cell>
          <cell r="O263">
            <v>7155</v>
          </cell>
          <cell r="P263">
            <v>572400</v>
          </cell>
          <cell r="Q263">
            <v>7155</v>
          </cell>
          <cell r="R263">
            <v>930150</v>
          </cell>
          <cell r="S263">
            <v>7155</v>
          </cell>
          <cell r="T263">
            <v>715500</v>
          </cell>
          <cell r="U263">
            <v>7155</v>
          </cell>
          <cell r="V263">
            <v>787050</v>
          </cell>
          <cell r="W263">
            <v>7155</v>
          </cell>
          <cell r="X263">
            <v>930150</v>
          </cell>
          <cell r="Y263">
            <v>7155</v>
          </cell>
          <cell r="Z263">
            <v>930150</v>
          </cell>
          <cell r="AA263">
            <v>7155</v>
          </cell>
          <cell r="AB263">
            <v>930150</v>
          </cell>
          <cell r="AC263">
            <v>7155</v>
          </cell>
          <cell r="AE263" t="str">
            <v>Royalty</v>
          </cell>
          <cell r="AF263">
            <v>9301500</v>
          </cell>
        </row>
        <row r="265">
          <cell r="E265">
            <v>810834.28018791799</v>
          </cell>
          <cell r="F265">
            <v>72975085.216912627</v>
          </cell>
          <cell r="G265">
            <v>810834.28018791799</v>
          </cell>
          <cell r="H265">
            <v>81083428.01879181</v>
          </cell>
          <cell r="I265">
            <v>810834.28018791799</v>
          </cell>
          <cell r="J265">
            <v>81083428.01879181</v>
          </cell>
          <cell r="K265">
            <v>804949.59897064581</v>
          </cell>
          <cell r="L265">
            <v>88544455.886771038</v>
          </cell>
          <cell r="M265">
            <v>804949.59897064581</v>
          </cell>
          <cell r="N265">
            <v>72445463.907358125</v>
          </cell>
          <cell r="O265">
            <v>804949.59897064581</v>
          </cell>
          <cell r="P265">
            <v>64395967.917651668</v>
          </cell>
          <cell r="Q265">
            <v>804618.59897064581</v>
          </cell>
          <cell r="R265">
            <v>104600417.86618397</v>
          </cell>
          <cell r="S265">
            <v>804618.59897064581</v>
          </cell>
          <cell r="T265">
            <v>80461859.897064582</v>
          </cell>
          <cell r="U265">
            <v>804618.59897064581</v>
          </cell>
          <cell r="V265">
            <v>88508045.886771038</v>
          </cell>
          <cell r="W265">
            <v>804618.59897064581</v>
          </cell>
          <cell r="X265">
            <v>104600417.86618397</v>
          </cell>
          <cell r="Y265">
            <v>804618.59897064581</v>
          </cell>
          <cell r="Z265">
            <v>104600417.86618397</v>
          </cell>
          <cell r="AA265">
            <v>804618.59897064581</v>
          </cell>
          <cell r="AB265">
            <v>104600417.86618397</v>
          </cell>
          <cell r="AC265">
            <v>806076.4663191142</v>
          </cell>
          <cell r="AF265">
            <v>1047899406.2148486</v>
          </cell>
        </row>
        <row r="266">
          <cell r="C266" t="str">
            <v>Contribution Margin</v>
          </cell>
          <cell r="E266">
            <v>92426.589377299417</v>
          </cell>
          <cell r="F266">
            <v>8318393.0439569354</v>
          </cell>
          <cell r="G266">
            <v>92426.589377299417</v>
          </cell>
          <cell r="H266">
            <v>9242658.9377299249</v>
          </cell>
          <cell r="I266">
            <v>92426.589377299417</v>
          </cell>
          <cell r="J266">
            <v>9242658.9377299249</v>
          </cell>
          <cell r="K266">
            <v>98311.270594571601</v>
          </cell>
          <cell r="L266">
            <v>10814239.765402868</v>
          </cell>
          <cell r="M266">
            <v>98311.270594571601</v>
          </cell>
          <cell r="N266">
            <v>8848014.3535114378</v>
          </cell>
          <cell r="O266">
            <v>98311.270594571601</v>
          </cell>
          <cell r="P266">
            <v>7864901.6475657225</v>
          </cell>
          <cell r="Q266">
            <v>98642.270594571601</v>
          </cell>
          <cell r="R266">
            <v>12823495.177294284</v>
          </cell>
          <cell r="S266">
            <v>98642.270594571601</v>
          </cell>
          <cell r="T266">
            <v>9864227.0594571531</v>
          </cell>
          <cell r="U266">
            <v>98642.270594571601</v>
          </cell>
          <cell r="V266">
            <v>10850649.765402868</v>
          </cell>
          <cell r="W266">
            <v>98642.270594571601</v>
          </cell>
          <cell r="X266">
            <v>12823495.177294284</v>
          </cell>
          <cell r="Y266">
            <v>98642.270594571601</v>
          </cell>
          <cell r="Z266">
            <v>12823495.177294284</v>
          </cell>
          <cell r="AA266">
            <v>98642.270594571601</v>
          </cell>
          <cell r="AB266">
            <v>12823495.177294284</v>
          </cell>
          <cell r="AC266">
            <v>97184.403246103204</v>
          </cell>
          <cell r="AD266" t="str">
            <v>Contribution Margin</v>
          </cell>
        </row>
        <row r="268">
          <cell r="C268" t="str">
            <v>Production cost</v>
          </cell>
          <cell r="AD268" t="str">
            <v>Production cost</v>
          </cell>
        </row>
        <row r="269">
          <cell r="D269" t="str">
            <v xml:space="preserve">Salaries &amp; Wages </v>
          </cell>
          <cell r="E269">
            <v>5330.971806841444</v>
          </cell>
          <cell r="F269">
            <v>479787.46261572995</v>
          </cell>
          <cell r="G269">
            <v>4450.6278387391867</v>
          </cell>
          <cell r="H269">
            <v>445062.7838739187</v>
          </cell>
          <cell r="I269">
            <v>4327.5507084975143</v>
          </cell>
          <cell r="J269">
            <v>432755.07084975141</v>
          </cell>
          <cell r="K269">
            <v>3880.9474753805712</v>
          </cell>
          <cell r="L269">
            <v>426904.22229186282</v>
          </cell>
          <cell r="M269">
            <v>5576.0739588801307</v>
          </cell>
          <cell r="N269">
            <v>501846.65629921178</v>
          </cell>
          <cell r="O269">
            <v>5384.2223576312035</v>
          </cell>
          <cell r="P269">
            <v>430737.78861049627</v>
          </cell>
          <cell r="Q269">
            <v>3880.9474753805712</v>
          </cell>
          <cell r="R269">
            <v>504523.17179947428</v>
          </cell>
          <cell r="S269">
            <v>5106.5098360270676</v>
          </cell>
          <cell r="T269">
            <v>510650.98360270675</v>
          </cell>
          <cell r="U269">
            <v>4709.8877128404993</v>
          </cell>
          <cell r="V269">
            <v>518087.64841245493</v>
          </cell>
          <cell r="W269">
            <v>5160.8344087507594</v>
          </cell>
          <cell r="X269">
            <v>670908.47313759872</v>
          </cell>
          <cell r="Y269">
            <v>5216.3272518556068</v>
          </cell>
          <cell r="Z269">
            <v>678122.54274122894</v>
          </cell>
          <cell r="AA269">
            <v>5063.8667476260061</v>
          </cell>
          <cell r="AB269">
            <v>658302.67719138076</v>
          </cell>
          <cell r="AC269">
            <v>4813.6072934044723</v>
          </cell>
          <cell r="AE269" t="str">
            <v xml:space="preserve">Salaries &amp; Wages </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E270" t="str">
            <v xml:space="preserve">Utilities </v>
          </cell>
        </row>
        <row r="271">
          <cell r="D271" t="str">
            <v>Depreciation</v>
          </cell>
          <cell r="E271">
            <v>11150.091575091576</v>
          </cell>
          <cell r="F271">
            <v>1003508.2417582418</v>
          </cell>
          <cell r="G271">
            <v>9308.7920489296648</v>
          </cell>
          <cell r="H271">
            <v>930879.20489296643</v>
          </cell>
          <cell r="I271">
            <v>9051.3678263455258</v>
          </cell>
          <cell r="J271">
            <v>905136.78263455257</v>
          </cell>
          <cell r="K271">
            <v>8117.2666666666673</v>
          </cell>
          <cell r="L271">
            <v>892899.33333333337</v>
          </cell>
          <cell r="M271">
            <v>11662.739463601532</v>
          </cell>
          <cell r="N271">
            <v>1049646.551724138</v>
          </cell>
          <cell r="O271">
            <v>11261.468738438773</v>
          </cell>
          <cell r="P271">
            <v>900917.4990751018</v>
          </cell>
          <cell r="Q271">
            <v>8117.2666666666673</v>
          </cell>
          <cell r="R271">
            <v>1055244.6666666667</v>
          </cell>
          <cell r="S271">
            <v>10680.614035087719</v>
          </cell>
          <cell r="T271">
            <v>1068061.4035087719</v>
          </cell>
          <cell r="U271">
            <v>9851.0517799352765</v>
          </cell>
          <cell r="V271">
            <v>1083615.6957928804</v>
          </cell>
          <cell r="W271">
            <v>10794.237588652482</v>
          </cell>
          <cell r="X271">
            <v>1403250.8865248228</v>
          </cell>
          <cell r="Y271">
            <v>10910.304659498208</v>
          </cell>
          <cell r="Z271">
            <v>1418339.6057347669</v>
          </cell>
          <cell r="AA271">
            <v>10591.423103688239</v>
          </cell>
          <cell r="AB271">
            <v>1376885.0034794712</v>
          </cell>
          <cell r="AC271">
            <v>10067.98836548132</v>
          </cell>
          <cell r="AE271" t="str">
            <v>Depreciation</v>
          </cell>
        </row>
        <row r="272">
          <cell r="D272" t="str">
            <v xml:space="preserve">Other Factory overhead </v>
          </cell>
          <cell r="E272">
            <v>3328.5244606883934</v>
          </cell>
          <cell r="F272">
            <v>299567.20146195544</v>
          </cell>
          <cell r="G272">
            <v>2778.859870849943</v>
          </cell>
          <cell r="H272">
            <v>277885.98708499433</v>
          </cell>
          <cell r="I272">
            <v>2702.0136121556093</v>
          </cell>
          <cell r="J272">
            <v>270201.36121556093</v>
          </cell>
          <cell r="K272">
            <v>2423.1658073811504</v>
          </cell>
          <cell r="L272">
            <v>266548.23881192657</v>
          </cell>
          <cell r="M272">
            <v>3481.5600680763655</v>
          </cell>
          <cell r="N272">
            <v>313340.40612687287</v>
          </cell>
          <cell r="O272">
            <v>3361.7727627374452</v>
          </cell>
          <cell r="P272">
            <v>268941.8210189956</v>
          </cell>
          <cell r="Q272">
            <v>2423.1658073811504</v>
          </cell>
          <cell r="R272">
            <v>315011.55495954957</v>
          </cell>
          <cell r="S272">
            <v>3188.3760623436192</v>
          </cell>
          <cell r="T272">
            <v>318837.60623436194</v>
          </cell>
          <cell r="U272">
            <v>2940.735203132464</v>
          </cell>
          <cell r="V272">
            <v>323480.87234457105</v>
          </cell>
          <cell r="W272">
            <v>3222.2949566238703</v>
          </cell>
          <cell r="X272">
            <v>418898.34436110314</v>
          </cell>
          <cell r="Y272">
            <v>3256.9432894907936</v>
          </cell>
          <cell r="Z272">
            <v>423402.62763380317</v>
          </cell>
          <cell r="AA272">
            <v>3161.7507925119394</v>
          </cell>
          <cell r="AB272">
            <v>411027.60302655213</v>
          </cell>
          <cell r="AC272">
            <v>3005.4950956001894</v>
          </cell>
          <cell r="AE272" t="str">
            <v xml:space="preserve">Other Factory overhead </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E273" t="str">
            <v>Running Royalty</v>
          </cell>
        </row>
        <row r="274">
          <cell r="E274">
            <v>19809.587842621411</v>
          </cell>
          <cell r="F274">
            <v>1782862.9058359272</v>
          </cell>
          <cell r="G274">
            <v>16538.279758518795</v>
          </cell>
          <cell r="H274">
            <v>1653827.9758518795</v>
          </cell>
          <cell r="I274">
            <v>16080.93214699865</v>
          </cell>
          <cell r="J274">
            <v>1608093.2146998649</v>
          </cell>
          <cell r="K274">
            <v>14421.379949428388</v>
          </cell>
          <cell r="L274">
            <v>1586351.7944371225</v>
          </cell>
          <cell r="M274">
            <v>20720.373490558028</v>
          </cell>
          <cell r="N274">
            <v>1864833.6141502226</v>
          </cell>
          <cell r="O274">
            <v>20007.463858807419</v>
          </cell>
          <cell r="P274">
            <v>1600597.1087045935</v>
          </cell>
          <cell r="Q274">
            <v>14421.379949428388</v>
          </cell>
          <cell r="R274">
            <v>1874779.3934256905</v>
          </cell>
          <cell r="S274">
            <v>18975.499933458406</v>
          </cell>
          <cell r="T274">
            <v>1897549.9933458406</v>
          </cell>
          <cell r="U274">
            <v>17501.674695908237</v>
          </cell>
          <cell r="V274">
            <v>1925184.2165499064</v>
          </cell>
          <cell r="W274">
            <v>19177.366954027111</v>
          </cell>
          <cell r="X274">
            <v>2493057.7040235247</v>
          </cell>
          <cell r="Y274">
            <v>19383.575200844611</v>
          </cell>
          <cell r="Z274">
            <v>2519864.7761097988</v>
          </cell>
          <cell r="AA274">
            <v>18817.040643826185</v>
          </cell>
          <cell r="AB274">
            <v>2446215.283697404</v>
          </cell>
          <cell r="AC274">
            <v>17887.09075448598</v>
          </cell>
        </row>
        <row r="275">
          <cell r="C275" t="str">
            <v>Gross Profit</v>
          </cell>
          <cell r="E275">
            <v>72617.001534678013</v>
          </cell>
          <cell r="F275">
            <v>6535530.1381210079</v>
          </cell>
          <cell r="G275">
            <v>75888.309618780622</v>
          </cell>
          <cell r="H275">
            <v>7588830.9618780455</v>
          </cell>
          <cell r="I275">
            <v>76345.657230300771</v>
          </cell>
          <cell r="J275">
            <v>7634565.7230300605</v>
          </cell>
          <cell r="K275">
            <v>83889.890645143212</v>
          </cell>
          <cell r="L275">
            <v>9227887.9709657468</v>
          </cell>
          <cell r="M275">
            <v>77590.897104013566</v>
          </cell>
          <cell r="N275">
            <v>6983180.7393612154</v>
          </cell>
          <cell r="O275">
            <v>78303.806735764185</v>
          </cell>
          <cell r="P275">
            <v>6264304.5388611294</v>
          </cell>
          <cell r="Q275">
            <v>84220.890645143212</v>
          </cell>
          <cell r="R275">
            <v>10948715.783868594</v>
          </cell>
          <cell r="S275">
            <v>79666.770661113202</v>
          </cell>
          <cell r="T275">
            <v>7966677.0661113122</v>
          </cell>
          <cell r="U275">
            <v>81140.595898663363</v>
          </cell>
          <cell r="V275">
            <v>8925465.5488529615</v>
          </cell>
          <cell r="W275">
            <v>79464.903640544493</v>
          </cell>
          <cell r="X275">
            <v>10330437.473270759</v>
          </cell>
          <cell r="Y275">
            <v>79258.695393726986</v>
          </cell>
          <cell r="Z275">
            <v>10303630.401184484</v>
          </cell>
          <cell r="AA275">
            <v>79825.229950745415</v>
          </cell>
          <cell r="AB275">
            <v>10377279.89359688</v>
          </cell>
          <cell r="AC275">
            <v>79297.312491617224</v>
          </cell>
          <cell r="AD275" t="str">
            <v>Gross Profit</v>
          </cell>
        </row>
        <row r="276">
          <cell r="E276">
            <v>8.0394273660534026</v>
          </cell>
          <cell r="F276">
            <v>8.0394273660533866</v>
          </cell>
          <cell r="G276">
            <v>8.4015938446784801</v>
          </cell>
          <cell r="H276">
            <v>8.4015938446784624</v>
          </cell>
          <cell r="I276">
            <v>8.4522267932462949</v>
          </cell>
          <cell r="J276">
            <v>8.4522267932462771</v>
          </cell>
          <cell r="K276">
            <v>9.2874487838185029</v>
          </cell>
          <cell r="L276">
            <v>9.2874487838184958</v>
          </cell>
          <cell r="M276">
            <v>8.5900872846802017</v>
          </cell>
          <cell r="N276">
            <v>8.5900872846801946</v>
          </cell>
          <cell r="O276">
            <v>8.6690135014323761</v>
          </cell>
          <cell r="P276">
            <v>8.669013501432369</v>
          </cell>
          <cell r="Q276">
            <v>9.3240937898353504</v>
          </cell>
          <cell r="R276">
            <v>9.3240937898353309</v>
          </cell>
          <cell r="S276">
            <v>8.8199072212062752</v>
          </cell>
          <cell r="T276">
            <v>8.8199072212062664</v>
          </cell>
          <cell r="U276">
            <v>8.9830743955198908</v>
          </cell>
          <cell r="V276">
            <v>8.983074395519882</v>
          </cell>
          <cell r="W276">
            <v>8.79755852578832</v>
          </cell>
          <cell r="X276">
            <v>8.7975585257882987</v>
          </cell>
          <cell r="Y276">
            <v>8.7747292132645995</v>
          </cell>
          <cell r="Z276">
            <v>8.77472921326458</v>
          </cell>
          <cell r="AA276">
            <v>8.8374502472546066</v>
          </cell>
          <cell r="AB276">
            <v>8.8374502472545871</v>
          </cell>
          <cell r="AC276">
            <v>8.7790045117073223</v>
          </cell>
        </row>
        <row r="277">
          <cell r="C277" t="str">
            <v>Other Expenses</v>
          </cell>
          <cell r="AD277" t="str">
            <v>Other Expenses</v>
          </cell>
        </row>
        <row r="278">
          <cell r="D278" t="str">
            <v>Selling Expenses</v>
          </cell>
          <cell r="E278">
            <v>5183.0082521448167</v>
          </cell>
          <cell r="F278">
            <v>466470.74269303348</v>
          </cell>
          <cell r="G278">
            <v>4427.3486746392564</v>
          </cell>
          <cell r="H278">
            <v>442734.86746392562</v>
          </cell>
          <cell r="I278">
            <v>4320.887144065181</v>
          </cell>
          <cell r="J278">
            <v>432088.71440651809</v>
          </cell>
          <cell r="K278">
            <v>3897.7185689144208</v>
          </cell>
          <cell r="L278">
            <v>428749.04258058628</v>
          </cell>
          <cell r="M278">
            <v>5409.2615187305564</v>
          </cell>
          <cell r="N278">
            <v>486833.53668575006</v>
          </cell>
          <cell r="O278">
            <v>5179.8400416559607</v>
          </cell>
          <cell r="P278">
            <v>414387.20333247684</v>
          </cell>
          <cell r="Q278">
            <v>3845.1336292747983</v>
          </cell>
          <cell r="R278">
            <v>499867.37180572376</v>
          </cell>
          <cell r="S278">
            <v>4967.5774890123712</v>
          </cell>
          <cell r="T278">
            <v>496757.74890123709</v>
          </cell>
          <cell r="U278">
            <v>4642.661605420024</v>
          </cell>
          <cell r="V278">
            <v>510692.77659620263</v>
          </cell>
          <cell r="W278">
            <v>5073.1110111757944</v>
          </cell>
          <cell r="X278">
            <v>659504.43145285326</v>
          </cell>
          <cell r="Y278">
            <v>5099.2966467698334</v>
          </cell>
          <cell r="Z278">
            <v>662908.56408007839</v>
          </cell>
          <cell r="AA278">
            <v>4893.3178190345943</v>
          </cell>
          <cell r="AB278">
            <v>636131.31647449732</v>
          </cell>
          <cell r="AC278">
            <v>4720.8663972868326</v>
          </cell>
          <cell r="AE278" t="str">
            <v>Selling Expenses</v>
          </cell>
        </row>
        <row r="279">
          <cell r="D279" t="str">
            <v>Advertisement Expenses</v>
          </cell>
          <cell r="E279">
            <v>800.32572918126152</v>
          </cell>
          <cell r="F279">
            <v>72029.315626313532</v>
          </cell>
          <cell r="G279">
            <v>969.71958993165515</v>
          </cell>
          <cell r="H279">
            <v>96971.958993165521</v>
          </cell>
          <cell r="I279">
            <v>7367.9708551430685</v>
          </cell>
          <cell r="J279">
            <v>736797.08551430691</v>
          </cell>
          <cell r="K279">
            <v>6935.2770964018819</v>
          </cell>
          <cell r="L279">
            <v>762880.48060420703</v>
          </cell>
          <cell r="M279">
            <v>7697.2629504339211</v>
          </cell>
          <cell r="N279">
            <v>692753.66553905292</v>
          </cell>
          <cell r="O279">
            <v>799.8365151483406</v>
          </cell>
          <cell r="P279">
            <v>63986.921211867244</v>
          </cell>
          <cell r="Q279">
            <v>739.89139808437483</v>
          </cell>
          <cell r="R279">
            <v>96185.881750968721</v>
          </cell>
          <cell r="S279">
            <v>4684.9685429207811</v>
          </cell>
          <cell r="T279">
            <v>468496.85429207812</v>
          </cell>
          <cell r="U279">
            <v>5393.2109933565007</v>
          </cell>
          <cell r="V279">
            <v>593253.20926921512</v>
          </cell>
          <cell r="W279">
            <v>783.35612673520234</v>
          </cell>
          <cell r="X279">
            <v>101836.29647557631</v>
          </cell>
          <cell r="Y279">
            <v>8782.5333169589612</v>
          </cell>
          <cell r="Z279">
            <v>1141729.3312046649</v>
          </cell>
          <cell r="AA279">
            <v>1104.3291887822443</v>
          </cell>
          <cell r="AB279">
            <v>143562.79454169175</v>
          </cell>
          <cell r="AC279">
            <v>3823.4490730946977</v>
          </cell>
        </row>
        <row r="280">
          <cell r="D280" t="str">
            <v>Administrative Expenses</v>
          </cell>
          <cell r="E280">
            <v>10560.726889052896</v>
          </cell>
          <cell r="F280">
            <v>950465.42001476057</v>
          </cell>
          <cell r="G280">
            <v>9021.0198249495461</v>
          </cell>
          <cell r="H280">
            <v>902101.9824949546</v>
          </cell>
          <cell r="I280">
            <v>8804.0973170376383</v>
          </cell>
          <cell r="J280">
            <v>880409.73170376383</v>
          </cell>
          <cell r="K280">
            <v>7941.8629672567968</v>
          </cell>
          <cell r="L280">
            <v>873604.9263982476</v>
          </cell>
          <cell r="M280">
            <v>11021.733092386507</v>
          </cell>
          <cell r="N280">
            <v>991955.97831478564</v>
          </cell>
          <cell r="O280">
            <v>10554.271447719957</v>
          </cell>
          <cell r="P280">
            <v>844341.71581759653</v>
          </cell>
          <cell r="Q280">
            <v>7834.7176263668644</v>
          </cell>
          <cell r="R280">
            <v>1018513.2914276924</v>
          </cell>
          <cell r="S280">
            <v>10121.772262268241</v>
          </cell>
          <cell r="T280">
            <v>1012177.2262268241</v>
          </cell>
          <cell r="U280">
            <v>9459.7343604157559</v>
          </cell>
          <cell r="V280">
            <v>1040570.7796457332</v>
          </cell>
          <cell r="W280">
            <v>10336.803890810705</v>
          </cell>
          <cell r="X280">
            <v>1343784.5058053916</v>
          </cell>
          <cell r="Y280">
            <v>10390.158879356299</v>
          </cell>
          <cell r="Z280">
            <v>1350720.6543163189</v>
          </cell>
          <cell r="AA280">
            <v>9970.4632047953019</v>
          </cell>
          <cell r="AB280">
            <v>1296160.2166233892</v>
          </cell>
          <cell r="AC280">
            <v>9619.0818682995832</v>
          </cell>
          <cell r="AE280" t="str">
            <v>Administrative Expenses</v>
          </cell>
        </row>
        <row r="281">
          <cell r="D281" t="str">
            <v>Depreciation (Admin. &amp; Selling )</v>
          </cell>
          <cell r="E281">
            <v>2969.9882598191184</v>
          </cell>
          <cell r="F281">
            <v>267298.94338372065</v>
          </cell>
          <cell r="G281">
            <v>2536.9771657922738</v>
          </cell>
          <cell r="H281">
            <v>253697.71657922739</v>
          </cell>
          <cell r="I281">
            <v>2475.9721508385478</v>
          </cell>
          <cell r="J281">
            <v>247597.21508385477</v>
          </cell>
          <cell r="K281">
            <v>2233.4863898710532</v>
          </cell>
          <cell r="L281">
            <v>245683.50288581586</v>
          </cell>
          <cell r="M281">
            <v>3099.6368177250984</v>
          </cell>
          <cell r="N281">
            <v>278967.31359525886</v>
          </cell>
          <cell r="O281">
            <v>2968.1727990868981</v>
          </cell>
          <cell r="P281">
            <v>237453.82392695185</v>
          </cell>
          <cell r="Q281">
            <v>2203.3539560073127</v>
          </cell>
          <cell r="R281">
            <v>286436.01428095065</v>
          </cell>
          <cell r="S281">
            <v>2846.5412564224971</v>
          </cell>
          <cell r="T281">
            <v>284654.12564224971</v>
          </cell>
          <cell r="U281">
            <v>2660.3566484202443</v>
          </cell>
          <cell r="V281">
            <v>292639.23132622684</v>
          </cell>
          <cell r="W281">
            <v>2907.0145002598042</v>
          </cell>
          <cell r="X281">
            <v>377911.88503377454</v>
          </cell>
          <cell r="Y281">
            <v>2922.0194986134175</v>
          </cell>
          <cell r="Z281">
            <v>379862.53481974429</v>
          </cell>
          <cell r="AA281">
            <v>2803.9886812995901</v>
          </cell>
          <cell r="AB281">
            <v>364518.5285689467</v>
          </cell>
          <cell r="AC281">
            <v>2705.1698731744018</v>
          </cell>
          <cell r="AE281" t="str">
            <v>Depreciation (Admin. &amp; Selling )</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E282" t="str">
            <v>Financial Charges -Capital Exp.</v>
          </cell>
        </row>
        <row r="283">
          <cell r="D283" t="str">
            <v>Financial  Charges -Working Capital</v>
          </cell>
          <cell r="E283">
            <v>530.11444507895521</v>
          </cell>
          <cell r="F283">
            <v>47710.300057105967</v>
          </cell>
          <cell r="G283">
            <v>458.80097155251627</v>
          </cell>
          <cell r="H283">
            <v>45880.097155251628</v>
          </cell>
          <cell r="I283">
            <v>448.49087868071882</v>
          </cell>
          <cell r="J283">
            <v>44849.087868071882</v>
          </cell>
          <cell r="K283">
            <v>407.98094465914818</v>
          </cell>
          <cell r="L283">
            <v>44877.903912506299</v>
          </cell>
          <cell r="M283">
            <v>548.85949175372707</v>
          </cell>
          <cell r="N283">
            <v>49397.354257835439</v>
          </cell>
          <cell r="O283">
            <v>527.77239945924691</v>
          </cell>
          <cell r="P283">
            <v>42221.791956739755</v>
          </cell>
          <cell r="Q283">
            <v>396.96132884259964</v>
          </cell>
          <cell r="R283">
            <v>51604.972749537956</v>
          </cell>
          <cell r="S283">
            <v>498.98402076239711</v>
          </cell>
          <cell r="T283">
            <v>49898.402076239712</v>
          </cell>
          <cell r="U283">
            <v>470.64800851302482</v>
          </cell>
          <cell r="V283">
            <v>51771.280936432733</v>
          </cell>
          <cell r="W283">
            <v>511.61704210669683</v>
          </cell>
          <cell r="X283">
            <v>66510.215473870587</v>
          </cell>
          <cell r="Y283">
            <v>513.76394785157731</v>
          </cell>
          <cell r="Z283">
            <v>66789.313220705051</v>
          </cell>
          <cell r="AA283">
            <v>495.30468493193735</v>
          </cell>
          <cell r="AB283">
            <v>64389.609041151853</v>
          </cell>
          <cell r="AC283">
            <v>481.46179131188364</v>
          </cell>
          <cell r="AE283" t="str">
            <v>Financial  Charges -Working Capital</v>
          </cell>
        </row>
        <row r="284">
          <cell r="D284" t="str">
            <v>Other Expenses (Charity &amp; Donation)</v>
          </cell>
          <cell r="E284">
            <v>368.13503130483002</v>
          </cell>
          <cell r="F284">
            <v>33132.152817434704</v>
          </cell>
          <cell r="G284">
            <v>318.61178580035858</v>
          </cell>
          <cell r="H284">
            <v>31861.178580035856</v>
          </cell>
          <cell r="I284">
            <v>311.4519990838325</v>
          </cell>
          <cell r="J284">
            <v>31145.199908383249</v>
          </cell>
          <cell r="K284">
            <v>283.32010045774183</v>
          </cell>
          <cell r="L284">
            <v>31165.211050351601</v>
          </cell>
          <cell r="M284">
            <v>381.15242482897719</v>
          </cell>
          <cell r="N284">
            <v>34303.71823460795</v>
          </cell>
          <cell r="O284">
            <v>366.50861073558809</v>
          </cell>
          <cell r="P284">
            <v>29320.688858847047</v>
          </cell>
          <cell r="Q284">
            <v>275.66758947402758</v>
          </cell>
          <cell r="R284">
            <v>35836.786631623589</v>
          </cell>
          <cell r="S284">
            <v>346.51668108499797</v>
          </cell>
          <cell r="T284">
            <v>34651.668108499798</v>
          </cell>
          <cell r="U284">
            <v>326.83889480071173</v>
          </cell>
          <cell r="V284">
            <v>35952.278428078287</v>
          </cell>
          <cell r="W284">
            <v>355.28961257409514</v>
          </cell>
          <cell r="X284">
            <v>46187.649634632369</v>
          </cell>
          <cell r="Y284">
            <v>356.78051934137312</v>
          </cell>
          <cell r="Z284">
            <v>46381.467514378506</v>
          </cell>
          <cell r="AA284">
            <v>343.96158675828985</v>
          </cell>
          <cell r="AB284">
            <v>44715.006278577683</v>
          </cell>
          <cell r="AC284">
            <v>334.34846618880817</v>
          </cell>
          <cell r="AE284" t="str">
            <v>Other Expenses (Charity &amp; Donation)</v>
          </cell>
        </row>
        <row r="285">
          <cell r="D285" t="str">
            <v>Other Expenses ( W.P.P.F.)</v>
          </cell>
          <cell r="E285">
            <v>3573.7075858361454</v>
          </cell>
          <cell r="F285">
            <v>321633.68272525311</v>
          </cell>
          <cell r="G285">
            <v>3260.1003648049996</v>
          </cell>
          <cell r="H285">
            <v>326010.03648049996</v>
          </cell>
          <cell r="I285">
            <v>2868.2077932472907</v>
          </cell>
          <cell r="J285">
            <v>286820.77932472905</v>
          </cell>
          <cell r="K285">
            <v>2950.3710885468208</v>
          </cell>
          <cell r="L285">
            <v>324540.8197401503</v>
          </cell>
          <cell r="M285">
            <v>2984.5209973853607</v>
          </cell>
          <cell r="N285">
            <v>268606.88976468245</v>
          </cell>
          <cell r="O285">
            <v>3261.9142882485439</v>
          </cell>
          <cell r="P285">
            <v>260953.1430598835</v>
          </cell>
          <cell r="Q285">
            <v>3221.4233012482478</v>
          </cell>
          <cell r="R285">
            <v>418785.02916227223</v>
          </cell>
          <cell r="S285">
            <v>2697.4681580678207</v>
          </cell>
          <cell r="T285">
            <v>269746.81580678205</v>
          </cell>
          <cell r="U285">
            <v>2877.5317129664104</v>
          </cell>
          <cell r="V285">
            <v>316528.48842630512</v>
          </cell>
          <cell r="W285">
            <v>3280.2679674234987</v>
          </cell>
          <cell r="X285">
            <v>426434.83576505486</v>
          </cell>
          <cell r="Y285">
            <v>2911.8557735997142</v>
          </cell>
          <cell r="Z285">
            <v>378541.25056796282</v>
          </cell>
          <cell r="AA285">
            <v>3464.9058265788067</v>
          </cell>
          <cell r="AB285">
            <v>450437.75745524489</v>
          </cell>
          <cell r="AC285">
            <v>3114.6457909837077</v>
          </cell>
          <cell r="AE285" t="str">
            <v>Other Expenses ( W.P.P.F.)</v>
          </cell>
        </row>
        <row r="286">
          <cell r="D286" t="str">
            <v>Workers Welfare Fund</v>
          </cell>
          <cell r="E286">
            <v>1499.0267372593985</v>
          </cell>
          <cell r="F286">
            <v>134912.40635334587</v>
          </cell>
          <cell r="G286">
            <v>1367.4811090758005</v>
          </cell>
          <cell r="H286">
            <v>136748.11090758006</v>
          </cell>
          <cell r="I286">
            <v>1203.0979219267881</v>
          </cell>
          <cell r="J286">
            <v>120309.79219267881</v>
          </cell>
          <cell r="K286">
            <v>1237.5621229049211</v>
          </cell>
          <cell r="L286">
            <v>136131.83351954131</v>
          </cell>
          <cell r="M286">
            <v>1251.8866374865934</v>
          </cell>
          <cell r="N286">
            <v>112669.79737379341</v>
          </cell>
          <cell r="O286">
            <v>1368.2419770751833</v>
          </cell>
          <cell r="P286">
            <v>109459.35816601466</v>
          </cell>
          <cell r="Q286">
            <v>1351.2576349952574</v>
          </cell>
          <cell r="R286">
            <v>175663.49254938346</v>
          </cell>
          <cell r="S286">
            <v>1131.4795054513236</v>
          </cell>
          <cell r="T286">
            <v>113147.95054513236</v>
          </cell>
          <cell r="U286">
            <v>1207.0089316049207</v>
          </cell>
          <cell r="V286">
            <v>132770.98247654128</v>
          </cell>
          <cell r="W286">
            <v>1375.9406080206418</v>
          </cell>
          <cell r="X286">
            <v>178872.27904268343</v>
          </cell>
          <cell r="Y286">
            <v>1221.4064958669101</v>
          </cell>
          <cell r="Z286">
            <v>158782.8444626983</v>
          </cell>
          <cell r="AA286">
            <v>1453.3887710099996</v>
          </cell>
          <cell r="AB286">
            <v>188940.54023129994</v>
          </cell>
          <cell r="AC286">
            <v>1306.4687598620717</v>
          </cell>
          <cell r="AE286" t="str">
            <v>Workers Welfare Fund</v>
          </cell>
        </row>
        <row r="287">
          <cell r="E287">
            <v>25485.032929677422</v>
          </cell>
          <cell r="F287">
            <v>2293652.9636709681</v>
          </cell>
          <cell r="G287">
            <v>22360.059486546405</v>
          </cell>
          <cell r="H287">
            <v>2236005.9486546409</v>
          </cell>
          <cell r="I287">
            <v>27800.176060023059</v>
          </cell>
          <cell r="J287">
            <v>2780017.606002307</v>
          </cell>
          <cell r="K287">
            <v>25887.579279012789</v>
          </cell>
          <cell r="L287">
            <v>2847633.7206914062</v>
          </cell>
          <cell r="M287">
            <v>32394.313930730743</v>
          </cell>
          <cell r="N287">
            <v>2915488.2537657665</v>
          </cell>
          <cell r="O287">
            <v>25026.558079129718</v>
          </cell>
          <cell r="P287">
            <v>2002124.6463303776</v>
          </cell>
          <cell r="Q287">
            <v>19868.406464293483</v>
          </cell>
          <cell r="R287">
            <v>2582892.840358153</v>
          </cell>
          <cell r="S287">
            <v>27295.30791599043</v>
          </cell>
          <cell r="T287">
            <v>2729530.7915990422</v>
          </cell>
          <cell r="U287">
            <v>27037.991155497592</v>
          </cell>
          <cell r="V287">
            <v>2974179.0271047349</v>
          </cell>
          <cell r="W287">
            <v>24623.40075910644</v>
          </cell>
          <cell r="X287">
            <v>3201042.0986838373</v>
          </cell>
          <cell r="Y287">
            <v>32197.815078358082</v>
          </cell>
          <cell r="Z287">
            <v>4185715.9601865513</v>
          </cell>
          <cell r="AA287">
            <v>24529.659763190764</v>
          </cell>
          <cell r="AB287">
            <v>3188855.7692148001</v>
          </cell>
          <cell r="AC287">
            <v>26105.492020201989</v>
          </cell>
        </row>
        <row r="288">
          <cell r="D288" t="str">
            <v>Operating Profit</v>
          </cell>
          <cell r="E288">
            <v>47131.968605000591</v>
          </cell>
          <cell r="F288">
            <v>4241877.1744500399</v>
          </cell>
          <cell r="G288">
            <v>53528.250132234214</v>
          </cell>
          <cell r="H288">
            <v>5352825.0132234041</v>
          </cell>
          <cell r="I288">
            <v>48545.481170277708</v>
          </cell>
          <cell r="J288">
            <v>4854548.117027754</v>
          </cell>
          <cell r="K288">
            <v>58002.311366130423</v>
          </cell>
          <cell r="L288">
            <v>6380254.2502743406</v>
          </cell>
          <cell r="M288">
            <v>45196.583173282823</v>
          </cell>
          <cell r="N288">
            <v>4067692.4855954489</v>
          </cell>
          <cell r="O288">
            <v>53277.248656634467</v>
          </cell>
          <cell r="P288">
            <v>4262179.8925307523</v>
          </cell>
          <cell r="Q288">
            <v>64352.484180849729</v>
          </cell>
          <cell r="R288">
            <v>8365822.9435104411</v>
          </cell>
          <cell r="S288">
            <v>52371.462745122772</v>
          </cell>
          <cell r="T288">
            <v>5237146.2745122705</v>
          </cell>
          <cell r="U288">
            <v>54102.604743165772</v>
          </cell>
          <cell r="V288">
            <v>5951286.5217482261</v>
          </cell>
          <cell r="W288">
            <v>54841.502881438049</v>
          </cell>
          <cell r="X288">
            <v>7129395.3745869212</v>
          </cell>
          <cell r="Y288">
            <v>47060.880315368908</v>
          </cell>
          <cell r="Z288">
            <v>6117914.440997933</v>
          </cell>
          <cell r="AA288">
            <v>55295.570187554651</v>
          </cell>
          <cell r="AB288">
            <v>7188424.1243820805</v>
          </cell>
          <cell r="AC288">
            <v>53191.820471415238</v>
          </cell>
          <cell r="AE288" t="str">
            <v>Operating Profit</v>
          </cell>
        </row>
        <row r="290">
          <cell r="C290" t="str">
            <v>Other Income</v>
          </cell>
          <cell r="AD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E291" t="str">
            <v>H.D</v>
          </cell>
        </row>
        <row r="292">
          <cell r="D292" t="str">
            <v>Others</v>
          </cell>
          <cell r="E292">
            <v>18021.978021978022</v>
          </cell>
          <cell r="F292">
            <v>1621978.0219780221</v>
          </cell>
          <cell r="G292">
            <v>15045.871559633028</v>
          </cell>
          <cell r="H292">
            <v>1504587</v>
          </cell>
          <cell r="I292">
            <v>14629.794826048172</v>
          </cell>
          <cell r="J292">
            <v>1462979.4826048173</v>
          </cell>
          <cell r="K292">
            <v>5120</v>
          </cell>
          <cell r="L292">
            <v>563200</v>
          </cell>
          <cell r="M292">
            <v>7356.3218390804595</v>
          </cell>
          <cell r="N292">
            <v>662068.96551724139</v>
          </cell>
          <cell r="O292">
            <v>7103.2186459489458</v>
          </cell>
          <cell r="P292">
            <v>568257.49167591566</v>
          </cell>
          <cell r="Q292">
            <v>5120</v>
          </cell>
          <cell r="R292">
            <v>665600</v>
          </cell>
          <cell r="S292">
            <v>6736.8421052631575</v>
          </cell>
          <cell r="T292">
            <v>673684.21052631573</v>
          </cell>
          <cell r="U292">
            <v>6213.5922330097092</v>
          </cell>
          <cell r="V292">
            <v>683495.14563106804</v>
          </cell>
          <cell r="W292">
            <v>6808.510638297872</v>
          </cell>
          <cell r="X292">
            <v>885106.38297872338</v>
          </cell>
          <cell r="Y292">
            <v>6881.7204301075271</v>
          </cell>
          <cell r="Z292">
            <v>894623.65591397858</v>
          </cell>
          <cell r="AA292">
            <v>6680.5845511482257</v>
          </cell>
          <cell r="AB292">
            <v>868475.99164926936</v>
          </cell>
          <cell r="AC292">
            <v>8503.1202680579627</v>
          </cell>
          <cell r="AE292" t="str">
            <v>Others</v>
          </cell>
        </row>
        <row r="293">
          <cell r="E293">
            <v>18021.978021978022</v>
          </cell>
          <cell r="F293">
            <v>1621978.0219780221</v>
          </cell>
          <cell r="G293">
            <v>15045.871559633028</v>
          </cell>
          <cell r="H293">
            <v>1504587</v>
          </cell>
          <cell r="I293">
            <v>14629.794826048172</v>
          </cell>
          <cell r="J293">
            <v>1462979.4826048173</v>
          </cell>
          <cell r="K293">
            <v>5120</v>
          </cell>
          <cell r="L293">
            <v>563200</v>
          </cell>
          <cell r="M293">
            <v>7356.3218390804595</v>
          </cell>
          <cell r="N293">
            <v>662068.96551724139</v>
          </cell>
          <cell r="O293">
            <v>7103.2186459489458</v>
          </cell>
          <cell r="P293">
            <v>568257.49167591566</v>
          </cell>
          <cell r="Q293">
            <v>5120</v>
          </cell>
          <cell r="R293">
            <v>665600</v>
          </cell>
          <cell r="S293">
            <v>6736.8421052631575</v>
          </cell>
          <cell r="T293">
            <v>673684.21052631573</v>
          </cell>
          <cell r="U293">
            <v>6213.5922330097092</v>
          </cell>
          <cell r="V293">
            <v>683495.14563106804</v>
          </cell>
          <cell r="W293">
            <v>6808.510638297872</v>
          </cell>
          <cell r="X293">
            <v>885106.38297872338</v>
          </cell>
          <cell r="Y293">
            <v>6881.7204301075271</v>
          </cell>
          <cell r="Z293">
            <v>894623.65591397858</v>
          </cell>
          <cell r="AA293">
            <v>6680.5845511482257</v>
          </cell>
          <cell r="AB293">
            <v>868475.99164926936</v>
          </cell>
          <cell r="AC293">
            <v>8503.1202680579627</v>
          </cell>
        </row>
        <row r="295">
          <cell r="C295" t="str">
            <v>Profit / (Loss) before tax</v>
          </cell>
          <cell r="E295">
            <v>65153.946626978613</v>
          </cell>
          <cell r="F295">
            <v>5863855.1964280624</v>
          </cell>
          <cell r="G295">
            <v>68574.121691867243</v>
          </cell>
          <cell r="H295">
            <v>6857412.0132234041</v>
          </cell>
          <cell r="I295">
            <v>63175.27599632588</v>
          </cell>
          <cell r="J295">
            <v>6317527.5996325715</v>
          </cell>
          <cell r="K295">
            <v>63122.311366130423</v>
          </cell>
          <cell r="L295">
            <v>6943454.2502743406</v>
          </cell>
          <cell r="M295">
            <v>52552.905012363284</v>
          </cell>
          <cell r="N295">
            <v>4729761.4511126904</v>
          </cell>
          <cell r="O295">
            <v>60380.467302583413</v>
          </cell>
          <cell r="P295">
            <v>4830437.3842066675</v>
          </cell>
          <cell r="Q295">
            <v>69472.484180849729</v>
          </cell>
          <cell r="R295">
            <v>9031422.9435104411</v>
          </cell>
          <cell r="S295">
            <v>59108.304850385932</v>
          </cell>
          <cell r="T295">
            <v>5910830.485038586</v>
          </cell>
          <cell r="U295">
            <v>60316.196976175481</v>
          </cell>
          <cell r="V295">
            <v>6634781.6673792945</v>
          </cell>
          <cell r="W295">
            <v>61650.01351973592</v>
          </cell>
          <cell r="X295">
            <v>8014501.7575656446</v>
          </cell>
          <cell r="Y295">
            <v>53942.600745476433</v>
          </cell>
          <cell r="Z295">
            <v>7012538.0969119119</v>
          </cell>
          <cell r="AA295">
            <v>61976.154738702877</v>
          </cell>
          <cell r="AB295">
            <v>8056900.1160313496</v>
          </cell>
          <cell r="AC295">
            <v>61694.940739473197</v>
          </cell>
          <cell r="AD295" t="str">
            <v>Profit before tax</v>
          </cell>
        </row>
        <row r="297">
          <cell r="C297" t="str">
            <v>Taxation</v>
          </cell>
          <cell r="AD297" t="str">
            <v>Taxation</v>
          </cell>
        </row>
        <row r="298">
          <cell r="D298" t="str">
            <v>Current</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E298" t="str">
            <v>Current</v>
          </cell>
        </row>
        <row r="299">
          <cell r="D299" t="str">
            <v>Deferred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E299" t="str">
            <v>Deferred</v>
          </cell>
        </row>
        <row r="300">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row>
        <row r="302">
          <cell r="C302" t="str">
            <v>Net Profit after taxation</v>
          </cell>
          <cell r="E302">
            <v>65153.946626978613</v>
          </cell>
          <cell r="F302">
            <v>5863855.1964280624</v>
          </cell>
          <cell r="G302">
            <v>68574.121691867243</v>
          </cell>
          <cell r="H302">
            <v>6857412.0132234041</v>
          </cell>
          <cell r="I302">
            <v>63175.27599632588</v>
          </cell>
          <cell r="J302">
            <v>6317527.5996325715</v>
          </cell>
          <cell r="K302">
            <v>63122.311366130423</v>
          </cell>
          <cell r="L302">
            <v>6943454.2502743406</v>
          </cell>
          <cell r="M302">
            <v>52552.905012363284</v>
          </cell>
          <cell r="N302">
            <v>4729761.4511126904</v>
          </cell>
          <cell r="O302">
            <v>60380.467302583413</v>
          </cell>
          <cell r="P302">
            <v>4830437.3842066675</v>
          </cell>
          <cell r="Q302">
            <v>69472.484180849729</v>
          </cell>
          <cell r="R302">
            <v>9031422.9435104411</v>
          </cell>
          <cell r="S302">
            <v>59108.304850385932</v>
          </cell>
          <cell r="T302">
            <v>5910830.485038586</v>
          </cell>
          <cell r="U302">
            <v>60316.196976175481</v>
          </cell>
          <cell r="V302">
            <v>6634781.6673792945</v>
          </cell>
          <cell r="W302">
            <v>61650.01351973592</v>
          </cell>
          <cell r="X302">
            <v>8014501.7575656446</v>
          </cell>
          <cell r="Y302">
            <v>53942.600745476433</v>
          </cell>
          <cell r="Z302">
            <v>7012538.0969119119</v>
          </cell>
          <cell r="AA302">
            <v>61976.154738702877</v>
          </cell>
          <cell r="AB302">
            <v>8056900.1160313496</v>
          </cell>
          <cell r="AC302">
            <v>61694.940739473197</v>
          </cell>
          <cell r="AD302" t="str">
            <v>Net Profit after taxation</v>
          </cell>
        </row>
        <row r="304">
          <cell r="AC304" t="str">
            <v>XE  LIMITED</v>
          </cell>
        </row>
        <row r="305">
          <cell r="E305">
            <v>37438</v>
          </cell>
          <cell r="F305">
            <v>37469</v>
          </cell>
          <cell r="G305">
            <v>37500</v>
          </cell>
          <cell r="H305">
            <v>37531</v>
          </cell>
          <cell r="I305">
            <v>37562</v>
          </cell>
          <cell r="J305">
            <v>37593</v>
          </cell>
          <cell r="K305">
            <v>37624</v>
          </cell>
          <cell r="L305">
            <v>37655</v>
          </cell>
          <cell r="M305">
            <v>37686</v>
          </cell>
          <cell r="N305">
            <v>37717</v>
          </cell>
          <cell r="O305">
            <v>37748</v>
          </cell>
          <cell r="P305">
            <v>37779</v>
          </cell>
          <cell r="Q305">
            <v>37779</v>
          </cell>
          <cell r="S305">
            <v>37810</v>
          </cell>
          <cell r="U305">
            <v>37841</v>
          </cell>
          <cell r="W305">
            <v>37872</v>
          </cell>
          <cell r="Y305">
            <v>37903</v>
          </cell>
          <cell r="AA305">
            <v>37934</v>
          </cell>
          <cell r="AC305" t="str">
            <v>Yearly</v>
          </cell>
        </row>
        <row r="306">
          <cell r="D306" t="str">
            <v>XE  LIMITED</v>
          </cell>
          <cell r="E306" t="str">
            <v>Per Unit</v>
          </cell>
          <cell r="F306" t="str">
            <v>Total</v>
          </cell>
          <cell r="G306" t="str">
            <v>Per Unit</v>
          </cell>
          <cell r="H306" t="str">
            <v>Total</v>
          </cell>
          <cell r="I306" t="str">
            <v>Per Unit</v>
          </cell>
          <cell r="J306" t="str">
            <v>Total</v>
          </cell>
          <cell r="K306" t="str">
            <v>Per Unit</v>
          </cell>
          <cell r="L306" t="str">
            <v>Total</v>
          </cell>
          <cell r="M306" t="str">
            <v>Per Unit</v>
          </cell>
          <cell r="N306" t="str">
            <v>Total</v>
          </cell>
          <cell r="O306" t="str">
            <v>Per Unit</v>
          </cell>
          <cell r="P306" t="str">
            <v>Total</v>
          </cell>
          <cell r="Q306" t="str">
            <v>Per Unit</v>
          </cell>
          <cell r="R306" t="str">
            <v>Total</v>
          </cell>
          <cell r="S306" t="str">
            <v>Per Unit</v>
          </cell>
          <cell r="T306" t="str">
            <v>Total</v>
          </cell>
          <cell r="U306" t="str">
            <v>Per Unit</v>
          </cell>
          <cell r="V306" t="str">
            <v>Total</v>
          </cell>
          <cell r="W306" t="str">
            <v>Per Unit</v>
          </cell>
          <cell r="X306" t="str">
            <v>Total</v>
          </cell>
          <cell r="Y306" t="str">
            <v>Per Unit</v>
          </cell>
          <cell r="Z306" t="str">
            <v>Total</v>
          </cell>
          <cell r="AA306" t="str">
            <v>Per Unit</v>
          </cell>
          <cell r="AB306" t="str">
            <v>Total</v>
          </cell>
          <cell r="AC306" t="str">
            <v>Average</v>
          </cell>
          <cell r="AD306" t="str">
            <v>XE  LIMITED</v>
          </cell>
        </row>
        <row r="308">
          <cell r="C308" t="str">
            <v>Sales Units</v>
          </cell>
          <cell r="F308">
            <v>0</v>
          </cell>
          <cell r="H308">
            <v>0</v>
          </cell>
          <cell r="J308">
            <v>0</v>
          </cell>
          <cell r="L308">
            <v>0</v>
          </cell>
          <cell r="N308">
            <v>0</v>
          </cell>
          <cell r="P308">
            <v>0</v>
          </cell>
          <cell r="R308">
            <v>0</v>
          </cell>
          <cell r="T308">
            <v>0</v>
          </cell>
          <cell r="V308">
            <v>0</v>
          </cell>
          <cell r="X308">
            <v>0</v>
          </cell>
          <cell r="Z308">
            <v>0</v>
          </cell>
          <cell r="AB308">
            <v>0</v>
          </cell>
          <cell r="AC308">
            <v>0</v>
          </cell>
          <cell r="AD308" t="str">
            <v>Sales Units</v>
          </cell>
        </row>
        <row r="310">
          <cell r="C310" t="str">
            <v>Selling Price</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t="e">
            <v>#DIV/0!</v>
          </cell>
          <cell r="AD310" t="str">
            <v>Selling Price</v>
          </cell>
        </row>
        <row r="311">
          <cell r="C311" t="str">
            <v>Less: Dealer commission</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t="e">
            <v>#DIV/0!</v>
          </cell>
          <cell r="AD311" t="str">
            <v>Less: Dealer commission</v>
          </cell>
        </row>
        <row r="312">
          <cell r="D312" t="str">
            <v xml:space="preserve">  Sales tax</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t="e">
            <v>#DIV/0!</v>
          </cell>
          <cell r="AE312" t="str">
            <v xml:space="preserve">  Sales tax</v>
          </cell>
        </row>
        <row r="313">
          <cell r="C313" t="str">
            <v>Net Sales</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t="e">
            <v>#DIV/0!</v>
          </cell>
          <cell r="AD313" t="str">
            <v>Net Sales</v>
          </cell>
        </row>
        <row r="315">
          <cell r="C315" t="str">
            <v>Variable Cost of Sales</v>
          </cell>
          <cell r="AD315" t="str">
            <v>Variable Cost of Sales</v>
          </cell>
        </row>
        <row r="316">
          <cell r="D316" t="str">
            <v>CKD Cost</v>
          </cell>
          <cell r="E316">
            <v>261146.48864729228</v>
          </cell>
          <cell r="F316">
            <v>0</v>
          </cell>
          <cell r="G316">
            <v>261146.48864729228</v>
          </cell>
          <cell r="H316">
            <v>0</v>
          </cell>
          <cell r="I316">
            <v>261146.48864729228</v>
          </cell>
          <cell r="J316">
            <v>0</v>
          </cell>
          <cell r="K316">
            <v>257105.73194683768</v>
          </cell>
          <cell r="L316">
            <v>0</v>
          </cell>
          <cell r="M316">
            <v>257105.73194683768</v>
          </cell>
          <cell r="N316">
            <v>0</v>
          </cell>
          <cell r="O316">
            <v>257105.73194683768</v>
          </cell>
          <cell r="P316">
            <v>0</v>
          </cell>
          <cell r="Q316">
            <v>257105.73194683768</v>
          </cell>
          <cell r="R316">
            <v>0</v>
          </cell>
          <cell r="S316">
            <v>257105.73194683768</v>
          </cell>
          <cell r="T316">
            <v>0</v>
          </cell>
          <cell r="U316">
            <v>257105.73194683768</v>
          </cell>
          <cell r="V316">
            <v>0</v>
          </cell>
          <cell r="W316">
            <v>257105.73194683768</v>
          </cell>
          <cell r="X316">
            <v>0</v>
          </cell>
          <cell r="Y316">
            <v>257105.73194683768</v>
          </cell>
          <cell r="Z316">
            <v>0</v>
          </cell>
          <cell r="AA316">
            <v>257105.73194683768</v>
          </cell>
          <cell r="AB316">
            <v>0</v>
          </cell>
          <cell r="AC316" t="e">
            <v>#DIV/0!</v>
          </cell>
          <cell r="AE316" t="str">
            <v>CKD Cost</v>
          </cell>
        </row>
        <row r="317">
          <cell r="D317" t="str">
            <v>Vendor parts</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t="e">
            <v>#DIV/0!</v>
          </cell>
          <cell r="AE317" t="str">
            <v>Vendor parts</v>
          </cell>
        </row>
        <row r="318">
          <cell r="D318" t="str">
            <v>Nomi Parts</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t="e">
            <v>#DIV/0!</v>
          </cell>
          <cell r="AE318" t="str">
            <v>Nomi Parts</v>
          </cell>
        </row>
        <row r="319">
          <cell r="D319" t="str">
            <v>Paints &amp; Chemicals</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t="e">
            <v>#DIV/0!</v>
          </cell>
          <cell r="AE319" t="str">
            <v>Paints &amp; Chemicals</v>
          </cell>
        </row>
        <row r="320">
          <cell r="D320" t="str">
            <v>Consumables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t="e">
            <v>#DIV/0!</v>
          </cell>
          <cell r="AE320" t="str">
            <v>Consumables</v>
          </cell>
        </row>
        <row r="321">
          <cell r="D321" t="str">
            <v>KD Parts</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t="e">
            <v>#DIV/0!</v>
          </cell>
          <cell r="AE321" t="str">
            <v>KD Parts</v>
          </cell>
        </row>
        <row r="322">
          <cell r="D322" t="str">
            <v>Spare parts</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t="e">
            <v>#DIV/0!</v>
          </cell>
          <cell r="AE322" t="str">
            <v>Spare parts</v>
          </cell>
        </row>
        <row r="323">
          <cell r="D323" t="str">
            <v>Utilities</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t="e">
            <v>#DIV/0!</v>
          </cell>
          <cell r="AE323" t="str">
            <v>Utilities</v>
          </cell>
        </row>
        <row r="324">
          <cell r="D324" t="str">
            <v>Royalties</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t="e">
            <v>#DIV/0!</v>
          </cell>
          <cell r="AE324" t="str">
            <v>Royalties</v>
          </cell>
        </row>
        <row r="326">
          <cell r="E326">
            <v>261146.48864729228</v>
          </cell>
          <cell r="F326">
            <v>0</v>
          </cell>
          <cell r="G326">
            <v>261146.48864729228</v>
          </cell>
          <cell r="H326">
            <v>0</v>
          </cell>
          <cell r="I326">
            <v>261146.48864729228</v>
          </cell>
          <cell r="J326">
            <v>0</v>
          </cell>
          <cell r="K326">
            <v>257105.73194683768</v>
          </cell>
          <cell r="L326">
            <v>0</v>
          </cell>
          <cell r="M326">
            <v>257105.73194683768</v>
          </cell>
          <cell r="N326">
            <v>0</v>
          </cell>
          <cell r="O326">
            <v>257105.73194683768</v>
          </cell>
          <cell r="P326">
            <v>0</v>
          </cell>
          <cell r="Q326">
            <v>257105.73194683768</v>
          </cell>
          <cell r="R326">
            <v>0</v>
          </cell>
          <cell r="S326">
            <v>257105.73194683768</v>
          </cell>
          <cell r="T326">
            <v>0</v>
          </cell>
          <cell r="U326">
            <v>257105.73194683768</v>
          </cell>
          <cell r="V326">
            <v>0</v>
          </cell>
          <cell r="W326">
            <v>257105.73194683768</v>
          </cell>
          <cell r="X326">
            <v>0</v>
          </cell>
          <cell r="Y326">
            <v>257105.73194683768</v>
          </cell>
          <cell r="Z326">
            <v>0</v>
          </cell>
          <cell r="AA326">
            <v>257105.73194683768</v>
          </cell>
          <cell r="AB326">
            <v>0</v>
          </cell>
          <cell r="AC326" t="e">
            <v>#DIV/0!</v>
          </cell>
        </row>
        <row r="327">
          <cell r="C327" t="str">
            <v>Contribution Margin</v>
          </cell>
          <cell r="E327">
            <v>-261146.48864729228</v>
          </cell>
          <cell r="F327">
            <v>0</v>
          </cell>
          <cell r="G327">
            <v>-261146.48864729228</v>
          </cell>
          <cell r="H327">
            <v>0</v>
          </cell>
          <cell r="I327">
            <v>-261146.48864729228</v>
          </cell>
          <cell r="J327">
            <v>0</v>
          </cell>
          <cell r="K327">
            <v>-257105.73194683768</v>
          </cell>
          <cell r="L327">
            <v>0</v>
          </cell>
          <cell r="M327">
            <v>-257105.73194683768</v>
          </cell>
          <cell r="N327">
            <v>0</v>
          </cell>
          <cell r="O327">
            <v>-257105.73194683768</v>
          </cell>
          <cell r="P327">
            <v>0</v>
          </cell>
          <cell r="Q327">
            <v>-257105.73194683768</v>
          </cell>
          <cell r="R327">
            <v>0</v>
          </cell>
          <cell r="S327">
            <v>-257105.73194683768</v>
          </cell>
          <cell r="T327">
            <v>0</v>
          </cell>
          <cell r="U327">
            <v>-257105.73194683768</v>
          </cell>
          <cell r="V327">
            <v>0</v>
          </cell>
          <cell r="W327">
            <v>-257105.73194683768</v>
          </cell>
          <cell r="X327">
            <v>0</v>
          </cell>
          <cell r="Y327">
            <v>-257105.73194683768</v>
          </cell>
          <cell r="Z327">
            <v>0</v>
          </cell>
          <cell r="AA327">
            <v>-257105.73194683768</v>
          </cell>
          <cell r="AB327">
            <v>0</v>
          </cell>
          <cell r="AC327" t="e">
            <v>#DIV/0!</v>
          </cell>
          <cell r="AD327" t="str">
            <v>Contribution Margin</v>
          </cell>
        </row>
        <row r="329">
          <cell r="C329" t="str">
            <v>Production cost</v>
          </cell>
          <cell r="AD329" t="str">
            <v>Production cost</v>
          </cell>
        </row>
        <row r="330">
          <cell r="D330" t="str">
            <v xml:space="preserve">Salaries &amp; Wages </v>
          </cell>
          <cell r="E330">
            <v>5330.971806841444</v>
          </cell>
          <cell r="F330">
            <v>0</v>
          </cell>
          <cell r="G330">
            <v>4450.6278387391867</v>
          </cell>
          <cell r="H330">
            <v>0</v>
          </cell>
          <cell r="I330">
            <v>4327.5507084975143</v>
          </cell>
          <cell r="J330">
            <v>0</v>
          </cell>
          <cell r="K330">
            <v>3880.9474753805712</v>
          </cell>
          <cell r="L330">
            <v>0</v>
          </cell>
          <cell r="M330">
            <v>5576.0739588801307</v>
          </cell>
          <cell r="N330">
            <v>0</v>
          </cell>
          <cell r="O330">
            <v>5384.2223576312035</v>
          </cell>
          <cell r="P330">
            <v>0</v>
          </cell>
          <cell r="Q330">
            <v>3880.9474753805712</v>
          </cell>
          <cell r="R330">
            <v>0</v>
          </cell>
          <cell r="S330">
            <v>5106.5098360270676</v>
          </cell>
          <cell r="T330">
            <v>0</v>
          </cell>
          <cell r="U330">
            <v>4709.8877128404993</v>
          </cell>
          <cell r="V330">
            <v>0</v>
          </cell>
          <cell r="W330">
            <v>5160.8344087507594</v>
          </cell>
          <cell r="X330">
            <v>0</v>
          </cell>
          <cell r="Y330">
            <v>5216.3272518556068</v>
          </cell>
          <cell r="Z330">
            <v>0</v>
          </cell>
          <cell r="AA330">
            <v>5063.8667476260061</v>
          </cell>
          <cell r="AB330">
            <v>0</v>
          </cell>
          <cell r="AC330" t="e">
            <v>#DIV/0!</v>
          </cell>
          <cell r="AE330" t="str">
            <v xml:space="preserve">Salaries &amp; Wages </v>
          </cell>
        </row>
        <row r="331">
          <cell r="D331" t="str">
            <v xml:space="preserve">Utilities </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E331" t="str">
            <v xml:space="preserve">Utilities </v>
          </cell>
        </row>
        <row r="332">
          <cell r="D332" t="str">
            <v>Depreciation</v>
          </cell>
          <cell r="E332">
            <v>11150.091575091576</v>
          </cell>
          <cell r="F332">
            <v>0</v>
          </cell>
          <cell r="G332">
            <v>9308.7920489296648</v>
          </cell>
          <cell r="H332">
            <v>0</v>
          </cell>
          <cell r="I332">
            <v>9051.3678263455258</v>
          </cell>
          <cell r="J332">
            <v>0</v>
          </cell>
          <cell r="K332">
            <v>8117.2666666666673</v>
          </cell>
          <cell r="L332">
            <v>0</v>
          </cell>
          <cell r="M332">
            <v>11662.739463601532</v>
          </cell>
          <cell r="N332">
            <v>0</v>
          </cell>
          <cell r="O332">
            <v>11261.468738438773</v>
          </cell>
          <cell r="P332">
            <v>0</v>
          </cell>
          <cell r="Q332">
            <v>8117.2666666666673</v>
          </cell>
          <cell r="R332">
            <v>0</v>
          </cell>
          <cell r="S332">
            <v>10680.614035087719</v>
          </cell>
          <cell r="T332">
            <v>0</v>
          </cell>
          <cell r="U332">
            <v>9851.0517799352765</v>
          </cell>
          <cell r="V332">
            <v>0</v>
          </cell>
          <cell r="W332">
            <v>10794.237588652482</v>
          </cell>
          <cell r="X332">
            <v>0</v>
          </cell>
          <cell r="Y332">
            <v>10910.304659498208</v>
          </cell>
          <cell r="Z332">
            <v>0</v>
          </cell>
          <cell r="AA332">
            <v>10591.423103688239</v>
          </cell>
          <cell r="AB332">
            <v>0</v>
          </cell>
          <cell r="AC332" t="e">
            <v>#DIV/0!</v>
          </cell>
          <cell r="AE332" t="str">
            <v>Depreciation</v>
          </cell>
        </row>
        <row r="333">
          <cell r="D333" t="str">
            <v xml:space="preserve">Other Factory overhead </v>
          </cell>
          <cell r="E333">
            <v>3328.5244606883934</v>
          </cell>
          <cell r="F333">
            <v>0</v>
          </cell>
          <cell r="G333">
            <v>2778.859870849943</v>
          </cell>
          <cell r="H333">
            <v>0</v>
          </cell>
          <cell r="I333">
            <v>2702.0136121556093</v>
          </cell>
          <cell r="J333">
            <v>0</v>
          </cell>
          <cell r="K333">
            <v>2423.1658073811504</v>
          </cell>
          <cell r="L333">
            <v>0</v>
          </cell>
          <cell r="M333">
            <v>3481.5600680763655</v>
          </cell>
          <cell r="N333">
            <v>0</v>
          </cell>
          <cell r="O333">
            <v>3361.7727627374452</v>
          </cell>
          <cell r="P333">
            <v>0</v>
          </cell>
          <cell r="Q333">
            <v>2423.1658073811504</v>
          </cell>
          <cell r="R333">
            <v>0</v>
          </cell>
          <cell r="S333">
            <v>3188.3760623436192</v>
          </cell>
          <cell r="T333">
            <v>0</v>
          </cell>
          <cell r="U333">
            <v>2940.735203132464</v>
          </cell>
          <cell r="V333">
            <v>0</v>
          </cell>
          <cell r="W333">
            <v>3222.2949566238703</v>
          </cell>
          <cell r="X333">
            <v>0</v>
          </cell>
          <cell r="Y333">
            <v>3256.9432894907936</v>
          </cell>
          <cell r="Z333">
            <v>0</v>
          </cell>
          <cell r="AA333">
            <v>3161.7507925119394</v>
          </cell>
          <cell r="AB333">
            <v>0</v>
          </cell>
          <cell r="AC333" t="e">
            <v>#DIV/0!</v>
          </cell>
          <cell r="AE333" t="str">
            <v xml:space="preserve">Other Factory overhead </v>
          </cell>
        </row>
        <row r="334">
          <cell r="D334" t="str">
            <v>Running Royalty</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E334" t="str">
            <v>Running Royalty</v>
          </cell>
        </row>
        <row r="335">
          <cell r="E335">
            <v>19809.587842621411</v>
          </cell>
          <cell r="F335">
            <v>0</v>
          </cell>
          <cell r="G335">
            <v>16538.279758518795</v>
          </cell>
          <cell r="H335">
            <v>0</v>
          </cell>
          <cell r="I335">
            <v>16080.93214699865</v>
          </cell>
          <cell r="J335">
            <v>0</v>
          </cell>
          <cell r="K335">
            <v>14421.379949428388</v>
          </cell>
          <cell r="L335">
            <v>0</v>
          </cell>
          <cell r="M335">
            <v>20720.373490558028</v>
          </cell>
          <cell r="N335">
            <v>0</v>
          </cell>
          <cell r="O335">
            <v>20007.463858807419</v>
          </cell>
          <cell r="P335">
            <v>0</v>
          </cell>
          <cell r="Q335">
            <v>14421.379949428388</v>
          </cell>
          <cell r="R335">
            <v>0</v>
          </cell>
          <cell r="S335">
            <v>18975.499933458406</v>
          </cell>
          <cell r="T335">
            <v>0</v>
          </cell>
          <cell r="U335">
            <v>17501.674695908237</v>
          </cell>
          <cell r="V335">
            <v>0</v>
          </cell>
          <cell r="W335">
            <v>19177.366954027111</v>
          </cell>
          <cell r="X335">
            <v>0</v>
          </cell>
          <cell r="Y335">
            <v>19383.575200844611</v>
          </cell>
          <cell r="Z335">
            <v>0</v>
          </cell>
          <cell r="AA335">
            <v>18817.040643826185</v>
          </cell>
          <cell r="AB335">
            <v>0</v>
          </cell>
          <cell r="AC335" t="e">
            <v>#DIV/0!</v>
          </cell>
        </row>
        <row r="336">
          <cell r="C336" t="str">
            <v>Gross Profit</v>
          </cell>
          <cell r="E336">
            <v>-280956.07648991368</v>
          </cell>
          <cell r="F336">
            <v>0</v>
          </cell>
          <cell r="G336">
            <v>-277684.76840581105</v>
          </cell>
          <cell r="H336">
            <v>0</v>
          </cell>
          <cell r="I336">
            <v>-277227.42079429096</v>
          </cell>
          <cell r="J336">
            <v>0</v>
          </cell>
          <cell r="K336">
            <v>-271527.11189626605</v>
          </cell>
          <cell r="L336">
            <v>0</v>
          </cell>
          <cell r="M336">
            <v>-277826.10543739569</v>
          </cell>
          <cell r="N336">
            <v>0</v>
          </cell>
          <cell r="O336">
            <v>-277113.19580564508</v>
          </cell>
          <cell r="P336">
            <v>0</v>
          </cell>
          <cell r="Q336">
            <v>-271527.11189626605</v>
          </cell>
          <cell r="R336">
            <v>0</v>
          </cell>
          <cell r="S336">
            <v>-276081.23188029608</v>
          </cell>
          <cell r="T336">
            <v>0</v>
          </cell>
          <cell r="U336">
            <v>-274607.40664274595</v>
          </cell>
          <cell r="V336">
            <v>0</v>
          </cell>
          <cell r="W336">
            <v>-276283.09890086477</v>
          </cell>
          <cell r="X336">
            <v>0</v>
          </cell>
          <cell r="Y336">
            <v>-276489.3071476823</v>
          </cell>
          <cell r="Z336">
            <v>0</v>
          </cell>
          <cell r="AA336">
            <v>-275922.77259066387</v>
          </cell>
          <cell r="AB336">
            <v>0</v>
          </cell>
          <cell r="AC336" t="e">
            <v>#DIV/0!</v>
          </cell>
          <cell r="AD336" t="str">
            <v>Gross Profit</v>
          </cell>
        </row>
        <row r="338">
          <cell r="C338" t="str">
            <v>Other Expenses</v>
          </cell>
          <cell r="AD338" t="str">
            <v>Other Expenses</v>
          </cell>
        </row>
        <row r="339">
          <cell r="D339" t="str">
            <v>Selling Expenses</v>
          </cell>
          <cell r="E339">
            <v>5183.0082521448167</v>
          </cell>
          <cell r="F339">
            <v>0</v>
          </cell>
          <cell r="G339">
            <v>4427.3486746392564</v>
          </cell>
          <cell r="H339">
            <v>0</v>
          </cell>
          <cell r="I339">
            <v>4320.887144065181</v>
          </cell>
          <cell r="J339">
            <v>0</v>
          </cell>
          <cell r="K339">
            <v>3897.7185689144208</v>
          </cell>
          <cell r="L339">
            <v>0</v>
          </cell>
          <cell r="M339">
            <v>5409.2615187305564</v>
          </cell>
          <cell r="N339">
            <v>0</v>
          </cell>
          <cell r="O339">
            <v>5179.8400416559607</v>
          </cell>
          <cell r="P339">
            <v>0</v>
          </cell>
          <cell r="Q339">
            <v>3845.1336292747983</v>
          </cell>
          <cell r="R339">
            <v>0</v>
          </cell>
          <cell r="S339">
            <v>4967.5774890123712</v>
          </cell>
          <cell r="T339">
            <v>0</v>
          </cell>
          <cell r="U339">
            <v>4642.661605420024</v>
          </cell>
          <cell r="V339">
            <v>0</v>
          </cell>
          <cell r="W339">
            <v>5073.1110111757944</v>
          </cell>
          <cell r="X339">
            <v>0</v>
          </cell>
          <cell r="Y339">
            <v>5099.2966467698334</v>
          </cell>
          <cell r="Z339">
            <v>0</v>
          </cell>
          <cell r="AA339">
            <v>4893.3178190345943</v>
          </cell>
          <cell r="AB339">
            <v>0</v>
          </cell>
          <cell r="AC339" t="e">
            <v>#DIV/0!</v>
          </cell>
          <cell r="AE339" t="str">
            <v>Selling Expenses</v>
          </cell>
        </row>
        <row r="340">
          <cell r="D340" t="str">
            <v>Advertisement Expenses</v>
          </cell>
          <cell r="E340">
            <v>800.32572918126152</v>
          </cell>
          <cell r="F340">
            <v>0</v>
          </cell>
          <cell r="G340">
            <v>969.71958993165515</v>
          </cell>
          <cell r="H340">
            <v>0</v>
          </cell>
          <cell r="I340">
            <v>7367.9708551430685</v>
          </cell>
          <cell r="J340">
            <v>0</v>
          </cell>
          <cell r="K340">
            <v>6935.2770964018819</v>
          </cell>
          <cell r="L340">
            <v>0</v>
          </cell>
          <cell r="M340">
            <v>7697.2629504339211</v>
          </cell>
          <cell r="N340">
            <v>0</v>
          </cell>
          <cell r="O340">
            <v>799.8365151483406</v>
          </cell>
          <cell r="P340">
            <v>0</v>
          </cell>
          <cell r="Q340">
            <v>739.89139808437483</v>
          </cell>
          <cell r="R340">
            <v>0</v>
          </cell>
          <cell r="S340">
            <v>4684.9685429207811</v>
          </cell>
          <cell r="T340">
            <v>0</v>
          </cell>
          <cell r="U340">
            <v>5393.2109933565007</v>
          </cell>
          <cell r="V340">
            <v>0</v>
          </cell>
          <cell r="W340">
            <v>783.35612673520234</v>
          </cell>
          <cell r="X340">
            <v>0</v>
          </cell>
          <cell r="Y340">
            <v>8782.5333169589612</v>
          </cell>
          <cell r="Z340">
            <v>0</v>
          </cell>
          <cell r="AA340">
            <v>1104.3291887822443</v>
          </cell>
          <cell r="AB340">
            <v>0</v>
          </cell>
          <cell r="AC340" t="e">
            <v>#DIV/0!</v>
          </cell>
          <cell r="AE340" t="str">
            <v>Advertisement Expenses</v>
          </cell>
        </row>
        <row r="341">
          <cell r="D341" t="str">
            <v>Administrative Expenses</v>
          </cell>
          <cell r="E341">
            <v>10560.726889052896</v>
          </cell>
          <cell r="F341">
            <v>0</v>
          </cell>
          <cell r="G341">
            <v>9021.0198249495461</v>
          </cell>
          <cell r="H341">
            <v>0</v>
          </cell>
          <cell r="I341">
            <v>8804.0973170376383</v>
          </cell>
          <cell r="J341">
            <v>0</v>
          </cell>
          <cell r="K341">
            <v>7941.8629672567968</v>
          </cell>
          <cell r="L341">
            <v>0</v>
          </cell>
          <cell r="M341">
            <v>11021.733092386507</v>
          </cell>
          <cell r="N341">
            <v>0</v>
          </cell>
          <cell r="O341">
            <v>10554.271447719957</v>
          </cell>
          <cell r="P341">
            <v>0</v>
          </cell>
          <cell r="Q341">
            <v>7834.7176263668644</v>
          </cell>
          <cell r="R341">
            <v>0</v>
          </cell>
          <cell r="S341">
            <v>10121.772262268241</v>
          </cell>
          <cell r="T341">
            <v>0</v>
          </cell>
          <cell r="U341">
            <v>9459.7343604157559</v>
          </cell>
          <cell r="V341">
            <v>0</v>
          </cell>
          <cell r="W341">
            <v>10336.803890810705</v>
          </cell>
          <cell r="X341">
            <v>0</v>
          </cell>
          <cell r="Y341">
            <v>10390.158879356299</v>
          </cell>
          <cell r="Z341">
            <v>0</v>
          </cell>
          <cell r="AA341">
            <v>9970.4632047953019</v>
          </cell>
          <cell r="AB341">
            <v>0</v>
          </cell>
          <cell r="AC341" t="e">
            <v>#DIV/0!</v>
          </cell>
          <cell r="AE341" t="str">
            <v>Administrative Expenses</v>
          </cell>
        </row>
        <row r="342">
          <cell r="D342" t="str">
            <v>Depreciation (Admin. &amp; Selling )</v>
          </cell>
          <cell r="E342">
            <v>2969.9882598191184</v>
          </cell>
          <cell r="F342">
            <v>0</v>
          </cell>
          <cell r="G342">
            <v>2536.9771657922738</v>
          </cell>
          <cell r="H342">
            <v>0</v>
          </cell>
          <cell r="I342">
            <v>2475.9721508385478</v>
          </cell>
          <cell r="J342">
            <v>0</v>
          </cell>
          <cell r="K342">
            <v>2233.4863898710532</v>
          </cell>
          <cell r="L342">
            <v>0</v>
          </cell>
          <cell r="M342">
            <v>3099.6368177250984</v>
          </cell>
          <cell r="N342">
            <v>0</v>
          </cell>
          <cell r="O342">
            <v>2968.1727990868981</v>
          </cell>
          <cell r="P342">
            <v>0</v>
          </cell>
          <cell r="Q342">
            <v>2203.3539560073127</v>
          </cell>
          <cell r="R342">
            <v>0</v>
          </cell>
          <cell r="S342">
            <v>2846.5412564224971</v>
          </cell>
          <cell r="T342">
            <v>0</v>
          </cell>
          <cell r="U342">
            <v>2660.3566484202443</v>
          </cell>
          <cell r="V342">
            <v>0</v>
          </cell>
          <cell r="W342">
            <v>2907.0145002598042</v>
          </cell>
          <cell r="X342">
            <v>0</v>
          </cell>
          <cell r="Y342">
            <v>2922.0194986134175</v>
          </cell>
          <cell r="Z342">
            <v>0</v>
          </cell>
          <cell r="AA342">
            <v>2803.9886812995901</v>
          </cell>
          <cell r="AB342">
            <v>0</v>
          </cell>
          <cell r="AC342" t="e">
            <v>#DIV/0!</v>
          </cell>
          <cell r="AE342" t="str">
            <v>Depreciation (Admin. &amp; Selling )</v>
          </cell>
        </row>
        <row r="343">
          <cell r="D343" t="str">
            <v>Financial Charges -Capital Exp.</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t="e">
            <v>#DIV/0!</v>
          </cell>
          <cell r="AE343" t="str">
            <v>Financial Charges -Capital Exp.</v>
          </cell>
        </row>
        <row r="344">
          <cell r="D344" t="str">
            <v>Financial  Charges -Working Capital</v>
          </cell>
          <cell r="E344">
            <v>530.11444507895521</v>
          </cell>
          <cell r="F344">
            <v>0</v>
          </cell>
          <cell r="G344">
            <v>458.80097155251627</v>
          </cell>
          <cell r="H344">
            <v>0</v>
          </cell>
          <cell r="I344">
            <v>448.49087868071882</v>
          </cell>
          <cell r="J344">
            <v>0</v>
          </cell>
          <cell r="K344">
            <v>407.98094465914818</v>
          </cell>
          <cell r="L344">
            <v>0</v>
          </cell>
          <cell r="M344">
            <v>548.85949175372707</v>
          </cell>
          <cell r="N344">
            <v>0</v>
          </cell>
          <cell r="O344">
            <v>527.77239945924691</v>
          </cell>
          <cell r="P344">
            <v>0</v>
          </cell>
          <cell r="Q344">
            <v>396.96132884259964</v>
          </cell>
          <cell r="R344">
            <v>0</v>
          </cell>
          <cell r="S344">
            <v>498.98402076239711</v>
          </cell>
          <cell r="T344">
            <v>0</v>
          </cell>
          <cell r="U344">
            <v>470.64800851302482</v>
          </cell>
          <cell r="V344">
            <v>0</v>
          </cell>
          <cell r="W344">
            <v>511.61704210669683</v>
          </cell>
          <cell r="X344">
            <v>0</v>
          </cell>
          <cell r="Y344">
            <v>513.76394785157731</v>
          </cell>
          <cell r="Z344">
            <v>0</v>
          </cell>
          <cell r="AA344">
            <v>495.30468493193735</v>
          </cell>
          <cell r="AB344">
            <v>0</v>
          </cell>
          <cell r="AC344" t="e">
            <v>#DIV/0!</v>
          </cell>
          <cell r="AE344" t="str">
            <v>Financial  Charges -Working Capital</v>
          </cell>
        </row>
        <row r="345">
          <cell r="D345" t="str">
            <v>Other Expenses (Charity &amp; Donation)</v>
          </cell>
          <cell r="E345">
            <v>368.13503130483002</v>
          </cell>
          <cell r="F345">
            <v>0</v>
          </cell>
          <cell r="G345">
            <v>318.61178580035858</v>
          </cell>
          <cell r="H345">
            <v>0</v>
          </cell>
          <cell r="I345">
            <v>311.4519990838325</v>
          </cell>
          <cell r="J345">
            <v>0</v>
          </cell>
          <cell r="K345">
            <v>283.32010045774183</v>
          </cell>
          <cell r="L345">
            <v>0</v>
          </cell>
          <cell r="M345">
            <v>381.15242482897719</v>
          </cell>
          <cell r="N345">
            <v>0</v>
          </cell>
          <cell r="O345">
            <v>366.50861073558809</v>
          </cell>
          <cell r="P345">
            <v>0</v>
          </cell>
          <cell r="Q345">
            <v>275.66758947402758</v>
          </cell>
          <cell r="R345">
            <v>0</v>
          </cell>
          <cell r="S345">
            <v>346.51668108499797</v>
          </cell>
          <cell r="T345">
            <v>0</v>
          </cell>
          <cell r="U345">
            <v>326.83889480071173</v>
          </cell>
          <cell r="V345">
            <v>0</v>
          </cell>
          <cell r="W345">
            <v>355.28961257409514</v>
          </cell>
          <cell r="X345">
            <v>0</v>
          </cell>
          <cell r="Y345">
            <v>356.78051934137312</v>
          </cell>
          <cell r="Z345">
            <v>0</v>
          </cell>
          <cell r="AA345">
            <v>343.96158675828985</v>
          </cell>
          <cell r="AB345">
            <v>0</v>
          </cell>
          <cell r="AC345" t="e">
            <v>#DIV/0!</v>
          </cell>
          <cell r="AE345" t="str">
            <v>Other Expenses (Charity &amp; Donation)</v>
          </cell>
        </row>
        <row r="346">
          <cell r="D346" t="str">
            <v>Other Expenses ( W.P.P.F.)</v>
          </cell>
          <cell r="E346">
            <v>3573.7075858361454</v>
          </cell>
          <cell r="F346">
            <v>0</v>
          </cell>
          <cell r="G346">
            <v>3260.1003648049996</v>
          </cell>
          <cell r="H346">
            <v>0</v>
          </cell>
          <cell r="I346">
            <v>2868.2077932472907</v>
          </cell>
          <cell r="J346">
            <v>0</v>
          </cell>
          <cell r="K346">
            <v>2950.3710885468208</v>
          </cell>
          <cell r="L346">
            <v>0</v>
          </cell>
          <cell r="M346">
            <v>2984.5209973853607</v>
          </cell>
          <cell r="N346">
            <v>0</v>
          </cell>
          <cell r="O346">
            <v>2911.8557735997142</v>
          </cell>
          <cell r="P346">
            <v>0</v>
          </cell>
          <cell r="Q346">
            <v>3221.4233012482478</v>
          </cell>
          <cell r="R346">
            <v>0</v>
          </cell>
          <cell r="S346">
            <v>2697.4681580678207</v>
          </cell>
          <cell r="T346">
            <v>0</v>
          </cell>
          <cell r="U346">
            <v>2877.5317129664104</v>
          </cell>
          <cell r="V346">
            <v>0</v>
          </cell>
          <cell r="W346">
            <v>3280.2679674234987</v>
          </cell>
          <cell r="X346">
            <v>0</v>
          </cell>
          <cell r="Y346">
            <v>2911.8557735997142</v>
          </cell>
          <cell r="Z346">
            <v>0</v>
          </cell>
          <cell r="AA346">
            <v>3464.9058265788067</v>
          </cell>
          <cell r="AB346">
            <v>0</v>
          </cell>
          <cell r="AC346" t="e">
            <v>#DIV/0!</v>
          </cell>
          <cell r="AE346" t="str">
            <v>Other Expenses ( W.P.P.F.)</v>
          </cell>
        </row>
        <row r="347">
          <cell r="D347" t="str">
            <v>Workers Welfare Fund</v>
          </cell>
          <cell r="E347">
            <v>1499.0267372593985</v>
          </cell>
          <cell r="F347">
            <v>0</v>
          </cell>
          <cell r="G347">
            <v>1367.4811090758005</v>
          </cell>
          <cell r="H347">
            <v>0</v>
          </cell>
          <cell r="I347">
            <v>1203.0979219267881</v>
          </cell>
          <cell r="J347">
            <v>0</v>
          </cell>
          <cell r="K347">
            <v>1237.5621229049211</v>
          </cell>
          <cell r="L347">
            <v>0</v>
          </cell>
          <cell r="M347">
            <v>1251.8866374865934</v>
          </cell>
          <cell r="N347">
            <v>0</v>
          </cell>
          <cell r="O347">
            <v>1221.4064958669101</v>
          </cell>
          <cell r="P347">
            <v>0</v>
          </cell>
          <cell r="Q347">
            <v>1351.2576349952574</v>
          </cell>
          <cell r="R347">
            <v>0</v>
          </cell>
          <cell r="S347">
            <v>1131.4795054513236</v>
          </cell>
          <cell r="T347">
            <v>0</v>
          </cell>
          <cell r="U347">
            <v>1207.0089316049207</v>
          </cell>
          <cell r="V347">
            <v>0</v>
          </cell>
          <cell r="W347">
            <v>1375.9406080206418</v>
          </cell>
          <cell r="X347">
            <v>0</v>
          </cell>
          <cell r="Y347">
            <v>1221.4064958669101</v>
          </cell>
          <cell r="Z347">
            <v>0</v>
          </cell>
          <cell r="AA347">
            <v>1453.3887710099996</v>
          </cell>
          <cell r="AB347">
            <v>0</v>
          </cell>
          <cell r="AC347" t="e">
            <v>#DIV/0!</v>
          </cell>
          <cell r="AE347" t="str">
            <v>Workers Welfare Fund</v>
          </cell>
        </row>
        <row r="348">
          <cell r="E348">
            <v>25485.032929677422</v>
          </cell>
          <cell r="F348">
            <v>0</v>
          </cell>
          <cell r="G348">
            <v>22360.059486546405</v>
          </cell>
          <cell r="H348">
            <v>0</v>
          </cell>
          <cell r="I348">
            <v>27800.176060023059</v>
          </cell>
          <cell r="J348">
            <v>0</v>
          </cell>
          <cell r="K348">
            <v>25887.579279012789</v>
          </cell>
          <cell r="L348">
            <v>0</v>
          </cell>
          <cell r="M348">
            <v>32394.313930730743</v>
          </cell>
          <cell r="N348">
            <v>0</v>
          </cell>
          <cell r="O348">
            <v>24529.664083272615</v>
          </cell>
          <cell r="P348">
            <v>0</v>
          </cell>
          <cell r="Q348">
            <v>19868.406464293483</v>
          </cell>
          <cell r="R348">
            <v>0</v>
          </cell>
          <cell r="S348">
            <v>27295.30791599043</v>
          </cell>
          <cell r="T348">
            <v>0</v>
          </cell>
          <cell r="U348">
            <v>27037.991155497592</v>
          </cell>
          <cell r="V348">
            <v>0</v>
          </cell>
          <cell r="W348">
            <v>24623.40075910644</v>
          </cell>
          <cell r="X348">
            <v>0</v>
          </cell>
          <cell r="Y348">
            <v>32197.815078358082</v>
          </cell>
          <cell r="Z348">
            <v>0</v>
          </cell>
          <cell r="AA348">
            <v>24529.659763190764</v>
          </cell>
          <cell r="AB348">
            <v>0</v>
          </cell>
          <cell r="AC348" t="e">
            <v>#DIV/0!</v>
          </cell>
        </row>
        <row r="349">
          <cell r="D349" t="str">
            <v>Operating Profit</v>
          </cell>
          <cell r="E349">
            <v>-306441.10941959108</v>
          </cell>
          <cell r="F349">
            <v>0</v>
          </cell>
          <cell r="G349">
            <v>-300044.82789235743</v>
          </cell>
          <cell r="H349">
            <v>0</v>
          </cell>
          <cell r="I349">
            <v>-305027.59685431403</v>
          </cell>
          <cell r="J349">
            <v>0</v>
          </cell>
          <cell r="K349">
            <v>-297414.69117527886</v>
          </cell>
          <cell r="L349">
            <v>0</v>
          </cell>
          <cell r="M349">
            <v>-310220.41936812643</v>
          </cell>
          <cell r="N349">
            <v>0</v>
          </cell>
          <cell r="O349">
            <v>-301642.85988891771</v>
          </cell>
          <cell r="P349">
            <v>0</v>
          </cell>
          <cell r="Q349">
            <v>-291395.51836055954</v>
          </cell>
          <cell r="R349">
            <v>0</v>
          </cell>
          <cell r="S349">
            <v>-303376.5397962865</v>
          </cell>
          <cell r="T349">
            <v>0</v>
          </cell>
          <cell r="U349">
            <v>-301645.39779824356</v>
          </cell>
          <cell r="V349">
            <v>0</v>
          </cell>
          <cell r="W349">
            <v>-300906.49965997122</v>
          </cell>
          <cell r="X349">
            <v>0</v>
          </cell>
          <cell r="Y349">
            <v>-308687.1222260404</v>
          </cell>
          <cell r="Z349">
            <v>0</v>
          </cell>
          <cell r="AA349">
            <v>-300452.43235385465</v>
          </cell>
          <cell r="AB349">
            <v>0</v>
          </cell>
          <cell r="AC349" t="e">
            <v>#DIV/0!</v>
          </cell>
          <cell r="AE349" t="str">
            <v>Operating Profit</v>
          </cell>
        </row>
        <row r="351">
          <cell r="C351" t="str">
            <v>Other Income</v>
          </cell>
          <cell r="AD351" t="str">
            <v>Other Income</v>
          </cell>
        </row>
        <row r="352">
          <cell r="D352" t="str">
            <v>H.D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t="e">
            <v>#DIV/0!</v>
          </cell>
          <cell r="AE352" t="str">
            <v>H.D</v>
          </cell>
        </row>
        <row r="353">
          <cell r="D353" t="str">
            <v>Others</v>
          </cell>
          <cell r="E353">
            <v>18021.978021978022</v>
          </cell>
          <cell r="F353">
            <v>0</v>
          </cell>
          <cell r="G353">
            <v>15045.871559633028</v>
          </cell>
          <cell r="H353">
            <v>0</v>
          </cell>
          <cell r="I353">
            <v>14629.794826048172</v>
          </cell>
          <cell r="J353">
            <v>0</v>
          </cell>
          <cell r="K353">
            <v>5120</v>
          </cell>
          <cell r="L353">
            <v>0</v>
          </cell>
          <cell r="M353">
            <v>7356.3218390804595</v>
          </cell>
          <cell r="N353">
            <v>0</v>
          </cell>
          <cell r="O353">
            <v>7103.2186459489458</v>
          </cell>
          <cell r="P353">
            <v>0</v>
          </cell>
          <cell r="Q353">
            <v>5120</v>
          </cell>
          <cell r="R353">
            <v>0</v>
          </cell>
          <cell r="S353">
            <v>6736.8421052631575</v>
          </cell>
          <cell r="T353">
            <v>0</v>
          </cell>
          <cell r="U353">
            <v>6213.5922330097092</v>
          </cell>
          <cell r="V353">
            <v>0</v>
          </cell>
          <cell r="W353">
            <v>6808.510638297872</v>
          </cell>
          <cell r="X353">
            <v>0</v>
          </cell>
          <cell r="Y353">
            <v>6881.7204301075271</v>
          </cell>
          <cell r="Z353">
            <v>0</v>
          </cell>
          <cell r="AA353">
            <v>6680.5845511482257</v>
          </cell>
          <cell r="AB353">
            <v>0</v>
          </cell>
          <cell r="AC353" t="e">
            <v>#DIV/0!</v>
          </cell>
          <cell r="AE353" t="str">
            <v>Others</v>
          </cell>
        </row>
        <row r="354">
          <cell r="E354">
            <v>18021.978021978022</v>
          </cell>
          <cell r="F354">
            <v>0</v>
          </cell>
          <cell r="G354">
            <v>15045.871559633028</v>
          </cell>
          <cell r="H354">
            <v>0</v>
          </cell>
          <cell r="I354">
            <v>14629.794826048172</v>
          </cell>
          <cell r="J354">
            <v>0</v>
          </cell>
          <cell r="K354">
            <v>5120</v>
          </cell>
          <cell r="L354">
            <v>0</v>
          </cell>
          <cell r="M354">
            <v>7356.3218390804595</v>
          </cell>
          <cell r="N354">
            <v>0</v>
          </cell>
          <cell r="O354">
            <v>7103.2186459489458</v>
          </cell>
          <cell r="P354">
            <v>0</v>
          </cell>
          <cell r="Q354">
            <v>5120</v>
          </cell>
          <cell r="R354">
            <v>0</v>
          </cell>
          <cell r="S354">
            <v>6736.8421052631575</v>
          </cell>
          <cell r="T354">
            <v>0</v>
          </cell>
          <cell r="U354">
            <v>6213.5922330097092</v>
          </cell>
          <cell r="V354">
            <v>0</v>
          </cell>
          <cell r="W354">
            <v>6808.510638297872</v>
          </cell>
          <cell r="X354">
            <v>0</v>
          </cell>
          <cell r="Y354">
            <v>6881.7204301075271</v>
          </cell>
          <cell r="Z354">
            <v>0</v>
          </cell>
          <cell r="AA354">
            <v>6680.5845511482257</v>
          </cell>
          <cell r="AB354">
            <v>0</v>
          </cell>
          <cell r="AC354" t="e">
            <v>#DIV/0!</v>
          </cell>
        </row>
        <row r="355">
          <cell r="H355">
            <v>0</v>
          </cell>
          <cell r="J355">
            <v>0</v>
          </cell>
          <cell r="L355">
            <v>0</v>
          </cell>
          <cell r="N355">
            <v>0</v>
          </cell>
          <cell r="P355">
            <v>0</v>
          </cell>
          <cell r="R355">
            <v>0</v>
          </cell>
        </row>
        <row r="356">
          <cell r="C356" t="str">
            <v>Profit / (Loss) before tax</v>
          </cell>
          <cell r="E356">
            <v>-288419.13139761309</v>
          </cell>
          <cell r="F356">
            <v>0</v>
          </cell>
          <cell r="G356">
            <v>-284998.95633272443</v>
          </cell>
          <cell r="H356">
            <v>0</v>
          </cell>
          <cell r="I356">
            <v>-290397.80202826584</v>
          </cell>
          <cell r="J356">
            <v>0</v>
          </cell>
          <cell r="K356">
            <v>-292294.69117527886</v>
          </cell>
          <cell r="L356">
            <v>0</v>
          </cell>
          <cell r="M356">
            <v>-302864.09752904595</v>
          </cell>
          <cell r="N356">
            <v>0</v>
          </cell>
          <cell r="O356">
            <v>-294539.64124296873</v>
          </cell>
          <cell r="P356">
            <v>0</v>
          </cell>
          <cell r="Q356">
            <v>-286275.51836055954</v>
          </cell>
          <cell r="R356">
            <v>0</v>
          </cell>
          <cell r="S356">
            <v>-296639.69769102335</v>
          </cell>
          <cell r="T356">
            <v>0</v>
          </cell>
          <cell r="U356">
            <v>-295431.80556523387</v>
          </cell>
          <cell r="V356">
            <v>0</v>
          </cell>
          <cell r="W356">
            <v>-294097.98902167333</v>
          </cell>
          <cell r="X356">
            <v>0</v>
          </cell>
          <cell r="Y356">
            <v>-301805.40179593285</v>
          </cell>
          <cell r="Z356">
            <v>0</v>
          </cell>
          <cell r="AA356">
            <v>-293771.84780270641</v>
          </cell>
          <cell r="AB356">
            <v>0</v>
          </cell>
          <cell r="AC356" t="e">
            <v>#DIV/0!</v>
          </cell>
          <cell r="AD356" t="str">
            <v>Profit before tax</v>
          </cell>
        </row>
        <row r="358">
          <cell r="C358" t="str">
            <v>Taxation</v>
          </cell>
          <cell r="AD358" t="str">
            <v>Taxation</v>
          </cell>
        </row>
        <row r="359">
          <cell r="D359" t="str">
            <v>Current</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t="e">
            <v>#DIV/0!</v>
          </cell>
          <cell r="AE359" t="str">
            <v>Current</v>
          </cell>
        </row>
        <row r="360">
          <cell r="D360" t="str">
            <v>Deferred</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t="e">
            <v>#DIV/0!</v>
          </cell>
          <cell r="AE360" t="str">
            <v>Deferred</v>
          </cell>
        </row>
        <row r="361">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t="e">
            <v>#DIV/0!</v>
          </cell>
        </row>
        <row r="362">
          <cell r="H362">
            <v>0</v>
          </cell>
          <cell r="J362">
            <v>0</v>
          </cell>
          <cell r="L362">
            <v>0</v>
          </cell>
          <cell r="N362">
            <v>0</v>
          </cell>
          <cell r="P362">
            <v>0</v>
          </cell>
          <cell r="R362">
            <v>0</v>
          </cell>
        </row>
        <row r="363">
          <cell r="C363" t="str">
            <v>Net Profit after taxation</v>
          </cell>
          <cell r="E363">
            <v>-288419.13139761309</v>
          </cell>
          <cell r="F363">
            <v>0</v>
          </cell>
          <cell r="G363">
            <v>-284998.95633272443</v>
          </cell>
          <cell r="H363">
            <v>0</v>
          </cell>
          <cell r="I363">
            <v>-290397.80202826584</v>
          </cell>
          <cell r="J363">
            <v>0</v>
          </cell>
          <cell r="K363">
            <v>-292294.69117527886</v>
          </cell>
          <cell r="L363">
            <v>0</v>
          </cell>
          <cell r="M363">
            <v>-302864.09752904595</v>
          </cell>
          <cell r="N363">
            <v>0</v>
          </cell>
          <cell r="O363">
            <v>-294539.64124296873</v>
          </cell>
          <cell r="P363">
            <v>0</v>
          </cell>
          <cell r="Q363">
            <v>-286275.51836055954</v>
          </cell>
          <cell r="R363">
            <v>0</v>
          </cell>
          <cell r="S363">
            <v>-296639.69769102335</v>
          </cell>
          <cell r="T363">
            <v>0</v>
          </cell>
          <cell r="U363">
            <v>-295431.80556523387</v>
          </cell>
          <cell r="V363">
            <v>0</v>
          </cell>
          <cell r="W363">
            <v>-294097.98902167333</v>
          </cell>
          <cell r="X363">
            <v>0</v>
          </cell>
          <cell r="Y363">
            <v>-301805.40179593285</v>
          </cell>
          <cell r="Z363">
            <v>0</v>
          </cell>
          <cell r="AA363">
            <v>-293771.84780270641</v>
          </cell>
          <cell r="AB363">
            <v>0</v>
          </cell>
          <cell r="AC363" t="e">
            <v>#DIV/0!</v>
          </cell>
          <cell r="AD363" t="str">
            <v>Net Profit after taxation</v>
          </cell>
        </row>
        <row r="366">
          <cell r="AC366" t="str">
            <v>SE SALOON AT</v>
          </cell>
        </row>
        <row r="367">
          <cell r="E367">
            <v>37438</v>
          </cell>
          <cell r="G367">
            <v>37469</v>
          </cell>
          <cell r="I367">
            <v>37500</v>
          </cell>
          <cell r="K367">
            <v>37531</v>
          </cell>
          <cell r="M367">
            <v>37562</v>
          </cell>
          <cell r="O367">
            <v>37593</v>
          </cell>
          <cell r="Q367">
            <v>37624</v>
          </cell>
          <cell r="S367">
            <v>37655</v>
          </cell>
          <cell r="U367">
            <v>37686</v>
          </cell>
          <cell r="W367">
            <v>37717</v>
          </cell>
          <cell r="Y367">
            <v>37748</v>
          </cell>
          <cell r="AA367">
            <v>37779</v>
          </cell>
          <cell r="AC367" t="str">
            <v>Yearly</v>
          </cell>
        </row>
        <row r="368">
          <cell r="D368" t="str">
            <v>SE SALOON AT</v>
          </cell>
          <cell r="E368" t="str">
            <v>Per Unit</v>
          </cell>
          <cell r="F368" t="str">
            <v>Total</v>
          </cell>
          <cell r="G368" t="str">
            <v>Per Unit</v>
          </cell>
          <cell r="H368" t="str">
            <v>Total</v>
          </cell>
          <cell r="I368" t="str">
            <v>Per Unit</v>
          </cell>
          <cell r="J368" t="str">
            <v>Total</v>
          </cell>
          <cell r="K368" t="str">
            <v>Per Unit</v>
          </cell>
          <cell r="L368" t="str">
            <v>Total</v>
          </cell>
          <cell r="M368" t="str">
            <v>Per Unit</v>
          </cell>
          <cell r="N368" t="str">
            <v>Total</v>
          </cell>
          <cell r="O368" t="str">
            <v>Per Unit</v>
          </cell>
          <cell r="P368" t="str">
            <v>Total</v>
          </cell>
          <cell r="Q368" t="str">
            <v>Per Unit</v>
          </cell>
          <cell r="R368" t="str">
            <v>Total</v>
          </cell>
          <cell r="S368" t="str">
            <v>Per Unit</v>
          </cell>
          <cell r="T368" t="str">
            <v>Total</v>
          </cell>
          <cell r="U368" t="str">
            <v>Per Unit</v>
          </cell>
          <cell r="V368" t="str">
            <v>Total</v>
          </cell>
          <cell r="W368" t="str">
            <v>Per Unit</v>
          </cell>
          <cell r="X368" t="str">
            <v>Total</v>
          </cell>
          <cell r="Y368" t="str">
            <v>Per Unit</v>
          </cell>
          <cell r="Z368" t="str">
            <v>Total</v>
          </cell>
          <cell r="AA368" t="str">
            <v>Per Unit</v>
          </cell>
          <cell r="AB368" t="str">
            <v>Total</v>
          </cell>
          <cell r="AC368" t="str">
            <v>Average</v>
          </cell>
          <cell r="AD368">
            <v>0</v>
          </cell>
          <cell r="AE368" t="str">
            <v>GLi Auto</v>
          </cell>
        </row>
        <row r="370">
          <cell r="C370" t="str">
            <v>Sales Units</v>
          </cell>
          <cell r="E370">
            <v>1</v>
          </cell>
          <cell r="F370">
            <v>80</v>
          </cell>
          <cell r="G370">
            <v>1</v>
          </cell>
          <cell r="H370">
            <v>90</v>
          </cell>
          <cell r="I370">
            <v>1</v>
          </cell>
          <cell r="J370">
            <v>90</v>
          </cell>
          <cell r="K370">
            <v>1</v>
          </cell>
          <cell r="L370">
            <v>90</v>
          </cell>
          <cell r="M370">
            <v>1</v>
          </cell>
          <cell r="N370">
            <v>60</v>
          </cell>
          <cell r="O370">
            <v>1</v>
          </cell>
          <cell r="P370">
            <v>70</v>
          </cell>
          <cell r="Q370">
            <v>1</v>
          </cell>
          <cell r="R370">
            <v>110</v>
          </cell>
          <cell r="S370">
            <v>1</v>
          </cell>
          <cell r="T370">
            <v>90</v>
          </cell>
          <cell r="U370">
            <v>1</v>
          </cell>
          <cell r="V370">
            <v>90</v>
          </cell>
          <cell r="W370">
            <v>1</v>
          </cell>
          <cell r="X370">
            <v>110</v>
          </cell>
          <cell r="Y370">
            <v>1</v>
          </cell>
          <cell r="Z370">
            <v>110</v>
          </cell>
          <cell r="AA370">
            <v>1</v>
          </cell>
          <cell r="AB370">
            <v>110</v>
          </cell>
          <cell r="AC370">
            <v>1100</v>
          </cell>
          <cell r="AD370" t="str">
            <v>Sales Units</v>
          </cell>
        </row>
        <row r="372">
          <cell r="C372" t="str">
            <v>Selling Price</v>
          </cell>
          <cell r="E372">
            <v>1169000</v>
          </cell>
          <cell r="F372">
            <v>93520000</v>
          </cell>
          <cell r="G372">
            <v>1169000</v>
          </cell>
          <cell r="H372">
            <v>105210000</v>
          </cell>
          <cell r="I372">
            <v>1169000</v>
          </cell>
          <cell r="J372">
            <v>105210000</v>
          </cell>
          <cell r="K372">
            <v>1169000</v>
          </cell>
          <cell r="L372">
            <v>105210000</v>
          </cell>
          <cell r="M372">
            <v>1169000</v>
          </cell>
          <cell r="N372">
            <v>70140000</v>
          </cell>
          <cell r="O372">
            <v>1169000</v>
          </cell>
          <cell r="P372">
            <v>81830000</v>
          </cell>
          <cell r="Q372">
            <v>1169000</v>
          </cell>
          <cell r="R372">
            <v>128590000</v>
          </cell>
          <cell r="S372">
            <v>1169000</v>
          </cell>
          <cell r="T372">
            <v>105210000</v>
          </cell>
          <cell r="U372">
            <v>1169000</v>
          </cell>
          <cell r="V372">
            <v>105210000</v>
          </cell>
          <cell r="W372">
            <v>1169000</v>
          </cell>
          <cell r="X372">
            <v>128590000</v>
          </cell>
          <cell r="Y372">
            <v>1169000</v>
          </cell>
          <cell r="Z372">
            <v>128590000</v>
          </cell>
          <cell r="AA372">
            <v>1169000</v>
          </cell>
          <cell r="AB372">
            <v>128590000</v>
          </cell>
          <cell r="AC372">
            <v>1169000</v>
          </cell>
          <cell r="AD372" t="str">
            <v>Selling Price</v>
          </cell>
        </row>
        <row r="373">
          <cell r="C373" t="str">
            <v>Less: Dealer commission</v>
          </cell>
          <cell r="E373">
            <v>-35000</v>
          </cell>
          <cell r="F373">
            <v>-2800000</v>
          </cell>
          <cell r="G373">
            <v>-35000</v>
          </cell>
          <cell r="H373">
            <v>-3150000</v>
          </cell>
          <cell r="I373">
            <v>-35000</v>
          </cell>
          <cell r="J373">
            <v>-3150000</v>
          </cell>
          <cell r="K373">
            <v>-35000</v>
          </cell>
          <cell r="L373">
            <v>-3150000</v>
          </cell>
          <cell r="M373">
            <v>-35000</v>
          </cell>
          <cell r="N373">
            <v>-2100000</v>
          </cell>
          <cell r="O373">
            <v>-35000</v>
          </cell>
          <cell r="P373">
            <v>-2450000</v>
          </cell>
          <cell r="Q373">
            <v>-35000</v>
          </cell>
          <cell r="R373">
            <v>-3850000</v>
          </cell>
          <cell r="S373">
            <v>-35000</v>
          </cell>
          <cell r="T373">
            <v>-3150000</v>
          </cell>
          <cell r="U373">
            <v>-35000</v>
          </cell>
          <cell r="V373">
            <v>-3150000</v>
          </cell>
          <cell r="W373">
            <v>-35000</v>
          </cell>
          <cell r="X373">
            <v>-3850000</v>
          </cell>
          <cell r="Y373">
            <v>-35000</v>
          </cell>
          <cell r="Z373">
            <v>-3850000</v>
          </cell>
          <cell r="AA373">
            <v>-35000</v>
          </cell>
          <cell r="AB373">
            <v>-3850000</v>
          </cell>
          <cell r="AC373">
            <v>-35000</v>
          </cell>
          <cell r="AD373" t="str">
            <v>Less: Dealer commission</v>
          </cell>
        </row>
        <row r="374">
          <cell r="D374" t="str">
            <v xml:space="preserve">  Sales tax</v>
          </cell>
          <cell r="E374">
            <v>-152478.26086956522</v>
          </cell>
          <cell r="F374">
            <v>-12198260.869565217</v>
          </cell>
          <cell r="G374">
            <v>-152478.26086956522</v>
          </cell>
          <cell r="H374">
            <v>-13723043.478260869</v>
          </cell>
          <cell r="I374">
            <v>-152478.26086956522</v>
          </cell>
          <cell r="J374">
            <v>-13723043.478260869</v>
          </cell>
          <cell r="K374">
            <v>-152478.26086956522</v>
          </cell>
          <cell r="L374">
            <v>-13723043.478260869</v>
          </cell>
          <cell r="M374">
            <v>-152478.26086956522</v>
          </cell>
          <cell r="N374">
            <v>-9148695.6521739122</v>
          </cell>
          <cell r="O374">
            <v>-152478.26086956522</v>
          </cell>
          <cell r="P374">
            <v>-10673478.260869564</v>
          </cell>
          <cell r="Q374">
            <v>-152478.26086956522</v>
          </cell>
          <cell r="R374">
            <v>-16772608.695652174</v>
          </cell>
          <cell r="S374">
            <v>-152478.26086956522</v>
          </cell>
          <cell r="T374">
            <v>-13723043.478260869</v>
          </cell>
          <cell r="U374">
            <v>-152478.26086956522</v>
          </cell>
          <cell r="V374">
            <v>-13723043.478260869</v>
          </cell>
          <cell r="W374">
            <v>-152478.26086956522</v>
          </cell>
          <cell r="X374">
            <v>-16772608.695652174</v>
          </cell>
          <cell r="Y374">
            <v>-152478.26086956522</v>
          </cell>
          <cell r="Z374">
            <v>-16772608.695652174</v>
          </cell>
          <cell r="AA374">
            <v>-152478.26086956522</v>
          </cell>
          <cell r="AB374">
            <v>-16772608.695652174</v>
          </cell>
          <cell r="AC374">
            <v>-152478.26086956522</v>
          </cell>
          <cell r="AE374" t="str">
            <v xml:space="preserve">  Sales tax</v>
          </cell>
        </row>
        <row r="375">
          <cell r="C375" t="str">
            <v>Net Sales</v>
          </cell>
          <cell r="E375">
            <v>981521.73913043481</v>
          </cell>
          <cell r="F375">
            <v>78521739.130434781</v>
          </cell>
          <cell r="G375">
            <v>981521.73913043481</v>
          </cell>
          <cell r="H375">
            <v>88336956.521739125</v>
          </cell>
          <cell r="I375">
            <v>981521.73913043481</v>
          </cell>
          <cell r="J375">
            <v>88336956.521739125</v>
          </cell>
          <cell r="K375">
            <v>981521.73913043481</v>
          </cell>
          <cell r="L375">
            <v>88336956.521739125</v>
          </cell>
          <cell r="M375">
            <v>981521.73913043481</v>
          </cell>
          <cell r="N375">
            <v>58891304.347826086</v>
          </cell>
          <cell r="O375">
            <v>981521.73913043481</v>
          </cell>
          <cell r="P375">
            <v>68706521.739130437</v>
          </cell>
          <cell r="Q375">
            <v>981521.73913043481</v>
          </cell>
          <cell r="R375">
            <v>107967391.30434783</v>
          </cell>
          <cell r="S375">
            <v>981521.73913043481</v>
          </cell>
          <cell r="T375">
            <v>88336956.521739125</v>
          </cell>
          <cell r="U375">
            <v>981521.73913043481</v>
          </cell>
          <cell r="V375">
            <v>88336956.521739125</v>
          </cell>
          <cell r="W375">
            <v>981521.73913043481</v>
          </cell>
          <cell r="X375">
            <v>107967391.30434783</v>
          </cell>
          <cell r="Y375">
            <v>981521.73913043481</v>
          </cell>
          <cell r="Z375">
            <v>107967391.30434783</v>
          </cell>
          <cell r="AA375">
            <v>981521.73913043481</v>
          </cell>
          <cell r="AB375">
            <v>107967391.30434783</v>
          </cell>
          <cell r="AC375">
            <v>981521.73913043481</v>
          </cell>
          <cell r="AD375" t="str">
            <v>Net Sales</v>
          </cell>
          <cell r="AE375">
            <v>1079673913.0434783</v>
          </cell>
        </row>
        <row r="377">
          <cell r="C377" t="str">
            <v>Variable Cost of Sales</v>
          </cell>
          <cell r="AD377" t="str">
            <v>Variable Cost of Sales</v>
          </cell>
        </row>
        <row r="378">
          <cell r="D378" t="str">
            <v>CKD Cost</v>
          </cell>
          <cell r="E378">
            <v>441703.14431852615</v>
          </cell>
          <cell r="F378">
            <v>35336251.545482092</v>
          </cell>
          <cell r="G378">
            <v>441703.14431852615</v>
          </cell>
          <cell r="H378">
            <v>39753282.988667354</v>
          </cell>
          <cell r="I378">
            <v>441703.14431852615</v>
          </cell>
          <cell r="J378">
            <v>39753282.988667354</v>
          </cell>
          <cell r="K378">
            <v>441703.14431852615</v>
          </cell>
          <cell r="L378">
            <v>39753282.988667354</v>
          </cell>
          <cell r="M378">
            <v>441703.14431852615</v>
          </cell>
          <cell r="N378">
            <v>26502188.659111567</v>
          </cell>
          <cell r="O378">
            <v>441703.14431852615</v>
          </cell>
          <cell r="P378">
            <v>30919220.102296829</v>
          </cell>
          <cell r="Q378">
            <v>441703.14431852615</v>
          </cell>
          <cell r="R378">
            <v>48587345.875037879</v>
          </cell>
          <cell r="S378">
            <v>441703.14431852615</v>
          </cell>
          <cell r="T378">
            <v>39753282.988667354</v>
          </cell>
          <cell r="U378">
            <v>441703.14431852615</v>
          </cell>
          <cell r="V378">
            <v>39753282.988667354</v>
          </cell>
          <cell r="W378">
            <v>441703.14431852615</v>
          </cell>
          <cell r="X378">
            <v>48587345.875037879</v>
          </cell>
          <cell r="Y378">
            <v>441703.14431852615</v>
          </cell>
          <cell r="Z378">
            <v>48587345.875037879</v>
          </cell>
          <cell r="AA378">
            <v>441703.14431852615</v>
          </cell>
          <cell r="AB378">
            <v>48587345.875037879</v>
          </cell>
          <cell r="AC378">
            <v>441703.1443185262</v>
          </cell>
          <cell r="AE378" t="str">
            <v>CKD Cost</v>
          </cell>
          <cell r="AF378">
            <v>485873458.75037885</v>
          </cell>
        </row>
        <row r="379">
          <cell r="D379" t="str">
            <v>Vendor parts</v>
          </cell>
          <cell r="E379">
            <v>230311</v>
          </cell>
          <cell r="F379">
            <v>18424880</v>
          </cell>
          <cell r="G379">
            <v>230311</v>
          </cell>
          <cell r="H379">
            <v>20727990</v>
          </cell>
          <cell r="I379">
            <v>230311</v>
          </cell>
          <cell r="J379">
            <v>20727990</v>
          </cell>
          <cell r="K379">
            <v>230311</v>
          </cell>
          <cell r="L379">
            <v>20727990</v>
          </cell>
          <cell r="M379">
            <v>230311</v>
          </cell>
          <cell r="N379">
            <v>13818660</v>
          </cell>
          <cell r="O379">
            <v>230311</v>
          </cell>
          <cell r="P379">
            <v>16121770</v>
          </cell>
          <cell r="Q379">
            <v>229980</v>
          </cell>
          <cell r="R379">
            <v>25297800</v>
          </cell>
          <cell r="S379">
            <v>229980</v>
          </cell>
          <cell r="T379">
            <v>20698200</v>
          </cell>
          <cell r="U379">
            <v>229980</v>
          </cell>
          <cell r="V379">
            <v>20698200</v>
          </cell>
          <cell r="W379">
            <v>229980</v>
          </cell>
          <cell r="X379">
            <v>25297800</v>
          </cell>
          <cell r="Y379">
            <v>229980</v>
          </cell>
          <cell r="Z379">
            <v>25297800</v>
          </cell>
          <cell r="AA379">
            <v>229980</v>
          </cell>
          <cell r="AB379">
            <v>25297800</v>
          </cell>
          <cell r="AC379">
            <v>230124.43636363637</v>
          </cell>
          <cell r="AE379" t="str">
            <v>Vendor parts</v>
          </cell>
          <cell r="AF379">
            <v>253136880</v>
          </cell>
        </row>
        <row r="380">
          <cell r="D380" t="str">
            <v>Multi Source Parts</v>
          </cell>
          <cell r="E380">
            <v>169049.41589999999</v>
          </cell>
          <cell r="F380">
            <v>13523953.272</v>
          </cell>
          <cell r="G380">
            <v>169049.41589999999</v>
          </cell>
          <cell r="H380">
            <v>15214447.431</v>
          </cell>
          <cell r="I380">
            <v>169049.41589999999</v>
          </cell>
          <cell r="J380">
            <v>15214447.431</v>
          </cell>
          <cell r="K380">
            <v>169049.41589999999</v>
          </cell>
          <cell r="L380">
            <v>15214447.431</v>
          </cell>
          <cell r="M380">
            <v>169049.41589999999</v>
          </cell>
          <cell r="N380">
            <v>10142964.954</v>
          </cell>
          <cell r="O380">
            <v>169049.41589999999</v>
          </cell>
          <cell r="P380">
            <v>11833459.113</v>
          </cell>
          <cell r="Q380">
            <v>169049.41589999999</v>
          </cell>
          <cell r="R380">
            <v>18595435.748999998</v>
          </cell>
          <cell r="S380">
            <v>169049.41589999999</v>
          </cell>
          <cell r="T380">
            <v>15214447.431</v>
          </cell>
          <cell r="U380">
            <v>169049.41589999999</v>
          </cell>
          <cell r="V380">
            <v>15214447.431</v>
          </cell>
          <cell r="W380">
            <v>169049.41589999999</v>
          </cell>
          <cell r="X380">
            <v>18595435.748999998</v>
          </cell>
          <cell r="Y380">
            <v>169049.41589999999</v>
          </cell>
          <cell r="Z380">
            <v>18595435.748999998</v>
          </cell>
          <cell r="AA380">
            <v>169049.41589999999</v>
          </cell>
          <cell r="AB380">
            <v>18595435.748999998</v>
          </cell>
          <cell r="AC380">
            <v>169049.41590000002</v>
          </cell>
          <cell r="AE380" t="str">
            <v>Nomi Parts</v>
          </cell>
          <cell r="AF380">
            <v>185954357.49000001</v>
          </cell>
        </row>
        <row r="381">
          <cell r="D381" t="str">
            <v>Paints &amp; Chemicals</v>
          </cell>
          <cell r="E381">
            <v>14623</v>
          </cell>
          <cell r="F381">
            <v>1169840</v>
          </cell>
          <cell r="G381">
            <v>14623</v>
          </cell>
          <cell r="H381">
            <v>1316070</v>
          </cell>
          <cell r="I381">
            <v>14623</v>
          </cell>
          <cell r="J381">
            <v>1316070</v>
          </cell>
          <cell r="K381">
            <v>14623</v>
          </cell>
          <cell r="L381">
            <v>1316070</v>
          </cell>
          <cell r="M381">
            <v>14623</v>
          </cell>
          <cell r="N381">
            <v>877380</v>
          </cell>
          <cell r="O381">
            <v>14623</v>
          </cell>
          <cell r="P381">
            <v>1023610</v>
          </cell>
          <cell r="Q381">
            <v>14623</v>
          </cell>
          <cell r="R381">
            <v>1608530</v>
          </cell>
          <cell r="S381">
            <v>14623</v>
          </cell>
          <cell r="T381">
            <v>1316070</v>
          </cell>
          <cell r="U381">
            <v>14623</v>
          </cell>
          <cell r="V381">
            <v>1316070</v>
          </cell>
          <cell r="W381">
            <v>14623</v>
          </cell>
          <cell r="X381">
            <v>1608530</v>
          </cell>
          <cell r="Y381">
            <v>14623</v>
          </cell>
          <cell r="Z381">
            <v>1608530</v>
          </cell>
          <cell r="AA381">
            <v>14623</v>
          </cell>
          <cell r="AB381">
            <v>1608530</v>
          </cell>
          <cell r="AC381">
            <v>14623</v>
          </cell>
          <cell r="AE381" t="str">
            <v>Paints &amp; Chemicals</v>
          </cell>
          <cell r="AF381">
            <v>16085300</v>
          </cell>
        </row>
        <row r="382">
          <cell r="D382" t="str">
            <v>Consumables</v>
          </cell>
          <cell r="E382">
            <v>5347</v>
          </cell>
          <cell r="F382">
            <v>427760</v>
          </cell>
          <cell r="G382">
            <v>5347</v>
          </cell>
          <cell r="H382">
            <v>481230</v>
          </cell>
          <cell r="I382">
            <v>5347</v>
          </cell>
          <cell r="J382">
            <v>481230</v>
          </cell>
          <cell r="K382">
            <v>5347</v>
          </cell>
          <cell r="L382">
            <v>481230</v>
          </cell>
          <cell r="M382">
            <v>5347</v>
          </cell>
          <cell r="N382">
            <v>320820</v>
          </cell>
          <cell r="O382">
            <v>5347</v>
          </cell>
          <cell r="P382">
            <v>374290</v>
          </cell>
          <cell r="Q382">
            <v>5347</v>
          </cell>
          <cell r="R382">
            <v>588170</v>
          </cell>
          <cell r="S382">
            <v>5347</v>
          </cell>
          <cell r="T382">
            <v>481230</v>
          </cell>
          <cell r="U382">
            <v>5347</v>
          </cell>
          <cell r="V382">
            <v>481230</v>
          </cell>
          <cell r="W382">
            <v>5347</v>
          </cell>
          <cell r="X382">
            <v>588170</v>
          </cell>
          <cell r="Y382">
            <v>5347</v>
          </cell>
          <cell r="Z382">
            <v>588170</v>
          </cell>
          <cell r="AA382">
            <v>5347</v>
          </cell>
          <cell r="AB382">
            <v>588170</v>
          </cell>
          <cell r="AC382">
            <v>5347</v>
          </cell>
          <cell r="AE382" t="str">
            <v>Consumables</v>
          </cell>
          <cell r="AF382">
            <v>5881700</v>
          </cell>
        </row>
        <row r="383">
          <cell r="D383" t="str">
            <v>KD Parts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E383" t="str">
            <v>KD Parts</v>
          </cell>
          <cell r="AF383">
            <v>0</v>
          </cell>
        </row>
        <row r="384">
          <cell r="D384" t="str">
            <v>Spare parts</v>
          </cell>
          <cell r="E384">
            <v>779</v>
          </cell>
          <cell r="F384">
            <v>62320</v>
          </cell>
          <cell r="G384">
            <v>779</v>
          </cell>
          <cell r="H384">
            <v>70110</v>
          </cell>
          <cell r="I384">
            <v>779</v>
          </cell>
          <cell r="J384">
            <v>70110</v>
          </cell>
          <cell r="K384">
            <v>779</v>
          </cell>
          <cell r="L384">
            <v>70110</v>
          </cell>
          <cell r="M384">
            <v>779</v>
          </cell>
          <cell r="N384">
            <v>46740</v>
          </cell>
          <cell r="O384">
            <v>779</v>
          </cell>
          <cell r="P384">
            <v>54530</v>
          </cell>
          <cell r="Q384">
            <v>779</v>
          </cell>
          <cell r="R384">
            <v>85690</v>
          </cell>
          <cell r="S384">
            <v>779</v>
          </cell>
          <cell r="T384">
            <v>70110</v>
          </cell>
          <cell r="U384">
            <v>779</v>
          </cell>
          <cell r="V384">
            <v>70110</v>
          </cell>
          <cell r="W384">
            <v>779</v>
          </cell>
          <cell r="X384">
            <v>85690</v>
          </cell>
          <cell r="Y384">
            <v>779</v>
          </cell>
          <cell r="Z384">
            <v>85690</v>
          </cell>
          <cell r="AA384">
            <v>779</v>
          </cell>
          <cell r="AB384">
            <v>85690</v>
          </cell>
          <cell r="AC384">
            <v>779</v>
          </cell>
          <cell r="AE384" t="str">
            <v>Spare parts</v>
          </cell>
          <cell r="AF384">
            <v>856900</v>
          </cell>
        </row>
        <row r="385">
          <cell r="D385" t="str">
            <v>Utilities</v>
          </cell>
          <cell r="E385">
            <v>4789</v>
          </cell>
          <cell r="F385">
            <v>383120</v>
          </cell>
          <cell r="G385">
            <v>4789</v>
          </cell>
          <cell r="H385">
            <v>431010</v>
          </cell>
          <cell r="I385">
            <v>4789</v>
          </cell>
          <cell r="J385">
            <v>431010</v>
          </cell>
          <cell r="K385">
            <v>4789</v>
          </cell>
          <cell r="L385">
            <v>431010</v>
          </cell>
          <cell r="M385">
            <v>4789</v>
          </cell>
          <cell r="N385">
            <v>287340</v>
          </cell>
          <cell r="O385">
            <v>4789</v>
          </cell>
          <cell r="P385">
            <v>335230</v>
          </cell>
          <cell r="Q385">
            <v>4789</v>
          </cell>
          <cell r="R385">
            <v>526790</v>
          </cell>
          <cell r="S385">
            <v>4789</v>
          </cell>
          <cell r="T385">
            <v>431010</v>
          </cell>
          <cell r="U385">
            <v>4789</v>
          </cell>
          <cell r="V385">
            <v>431010</v>
          </cell>
          <cell r="W385">
            <v>4789</v>
          </cell>
          <cell r="X385">
            <v>526790</v>
          </cell>
          <cell r="Y385">
            <v>4789</v>
          </cell>
          <cell r="Z385">
            <v>526790</v>
          </cell>
          <cell r="AA385">
            <v>4789</v>
          </cell>
          <cell r="AB385">
            <v>526790</v>
          </cell>
          <cell r="AC385">
            <v>4789</v>
          </cell>
          <cell r="AE385" t="str">
            <v>Utilites</v>
          </cell>
          <cell r="AF385">
            <v>5267900</v>
          </cell>
        </row>
        <row r="386">
          <cell r="D386" t="str">
            <v>Royalty</v>
          </cell>
          <cell r="E386">
            <v>7715</v>
          </cell>
          <cell r="F386">
            <v>617200</v>
          </cell>
          <cell r="G386">
            <v>7715</v>
          </cell>
          <cell r="H386">
            <v>694350</v>
          </cell>
          <cell r="I386">
            <v>7715</v>
          </cell>
          <cell r="J386">
            <v>694350</v>
          </cell>
          <cell r="K386">
            <v>7715</v>
          </cell>
          <cell r="L386">
            <v>694350</v>
          </cell>
          <cell r="M386">
            <v>7715</v>
          </cell>
          <cell r="N386">
            <v>462900</v>
          </cell>
          <cell r="O386">
            <v>7715</v>
          </cell>
          <cell r="P386">
            <v>540050</v>
          </cell>
          <cell r="Q386">
            <v>7715</v>
          </cell>
          <cell r="R386">
            <v>848650</v>
          </cell>
          <cell r="S386">
            <v>7715</v>
          </cell>
          <cell r="T386">
            <v>694350</v>
          </cell>
          <cell r="U386">
            <v>7715</v>
          </cell>
          <cell r="V386">
            <v>694350</v>
          </cell>
          <cell r="W386">
            <v>7715</v>
          </cell>
          <cell r="X386">
            <v>848650</v>
          </cell>
          <cell r="Y386">
            <v>7715</v>
          </cell>
          <cell r="Z386">
            <v>848650</v>
          </cell>
          <cell r="AA386">
            <v>7715</v>
          </cell>
          <cell r="AB386">
            <v>848650</v>
          </cell>
          <cell r="AC386">
            <v>7715</v>
          </cell>
          <cell r="AE386" t="str">
            <v>Royalty</v>
          </cell>
          <cell r="AF386">
            <v>8486500</v>
          </cell>
        </row>
        <row r="388">
          <cell r="E388">
            <v>874316.56021852617</v>
          </cell>
          <cell r="F388">
            <v>69945324.817482084</v>
          </cell>
          <cell r="G388">
            <v>874316.56021852617</v>
          </cell>
          <cell r="H388">
            <v>78688490.419667348</v>
          </cell>
          <cell r="I388">
            <v>874316.56021852617</v>
          </cell>
          <cell r="J388">
            <v>78688490.419667348</v>
          </cell>
          <cell r="K388">
            <v>874316.56021852617</v>
          </cell>
          <cell r="L388">
            <v>78688490.419667348</v>
          </cell>
          <cell r="M388">
            <v>874316.56021852617</v>
          </cell>
          <cell r="N388">
            <v>52458993.61311157</v>
          </cell>
          <cell r="O388">
            <v>874316.56021852617</v>
          </cell>
          <cell r="P388">
            <v>61202159.215296827</v>
          </cell>
          <cell r="Q388">
            <v>873985.56021852617</v>
          </cell>
          <cell r="R388">
            <v>96138411.624037877</v>
          </cell>
          <cell r="S388">
            <v>873985.56021852617</v>
          </cell>
          <cell r="T388">
            <v>78658700.419667348</v>
          </cell>
          <cell r="U388">
            <v>873985.56021852617</v>
          </cell>
          <cell r="V388">
            <v>78658700.419667348</v>
          </cell>
          <cell r="W388">
            <v>873985.56021852617</v>
          </cell>
          <cell r="X388">
            <v>96138411.624037877</v>
          </cell>
          <cell r="Y388">
            <v>873985.56021852617</v>
          </cell>
          <cell r="Z388">
            <v>96138411.624037877</v>
          </cell>
          <cell r="AA388">
            <v>873985.56021852617</v>
          </cell>
          <cell r="AB388">
            <v>96138411.624037877</v>
          </cell>
          <cell r="AC388">
            <v>874129.99658216257</v>
          </cell>
          <cell r="AF388">
            <v>961542996.24037862</v>
          </cell>
        </row>
        <row r="389">
          <cell r="C389" t="str">
            <v>Contribution Margin</v>
          </cell>
          <cell r="E389">
            <v>107205.17891190865</v>
          </cell>
          <cell r="F389">
            <v>8576414.3129526973</v>
          </cell>
          <cell r="G389">
            <v>107205.17891190865</v>
          </cell>
          <cell r="H389">
            <v>9648466.102071777</v>
          </cell>
          <cell r="I389">
            <v>107205.17891190865</v>
          </cell>
          <cell r="J389">
            <v>9648466.102071777</v>
          </cell>
          <cell r="K389">
            <v>107205.17891190865</v>
          </cell>
          <cell r="L389">
            <v>9648466.102071777</v>
          </cell>
          <cell r="M389">
            <v>107205.17891190865</v>
          </cell>
          <cell r="N389">
            <v>6432310.7347145155</v>
          </cell>
          <cell r="O389">
            <v>107205.17891190865</v>
          </cell>
          <cell r="P389">
            <v>7504362.5238336101</v>
          </cell>
          <cell r="Q389">
            <v>107536.17891190865</v>
          </cell>
          <cell r="R389">
            <v>11828979.680309951</v>
          </cell>
          <cell r="S389">
            <v>107536.17891190865</v>
          </cell>
          <cell r="T389">
            <v>9678256.102071777</v>
          </cell>
          <cell r="U389">
            <v>107536.17891190865</v>
          </cell>
          <cell r="V389">
            <v>9678256.102071777</v>
          </cell>
          <cell r="W389">
            <v>107536.17891190865</v>
          </cell>
          <cell r="X389">
            <v>11828979.680309951</v>
          </cell>
          <cell r="Y389">
            <v>107536.17891190865</v>
          </cell>
          <cell r="Z389">
            <v>11828979.680309951</v>
          </cell>
          <cell r="AA389">
            <v>107536.17891190865</v>
          </cell>
          <cell r="AB389">
            <v>11828979.680309951</v>
          </cell>
          <cell r="AC389">
            <v>107391.74254827225</v>
          </cell>
          <cell r="AD389" t="str">
            <v>Contribution Margin</v>
          </cell>
        </row>
        <row r="391">
          <cell r="C391" t="str">
            <v>Production cost</v>
          </cell>
          <cell r="AD391" t="str">
            <v>Production cost</v>
          </cell>
        </row>
        <row r="392">
          <cell r="D392" t="str">
            <v xml:space="preserve">Salaries &amp; Wages </v>
          </cell>
          <cell r="E392">
            <v>5330.971806841444</v>
          </cell>
          <cell r="F392">
            <v>426477.74454731552</v>
          </cell>
          <cell r="G392">
            <v>4450.6278387391867</v>
          </cell>
          <cell r="H392">
            <v>400556.50548652682</v>
          </cell>
          <cell r="I392">
            <v>4327.5507084975143</v>
          </cell>
          <cell r="J392">
            <v>389479.56376477628</v>
          </cell>
          <cell r="K392">
            <v>3880.9474753805712</v>
          </cell>
          <cell r="L392">
            <v>349285.27278425143</v>
          </cell>
          <cell r="M392">
            <v>5576.0739588801307</v>
          </cell>
          <cell r="N392">
            <v>334564.43753280782</v>
          </cell>
          <cell r="O392">
            <v>5384.2223576312035</v>
          </cell>
          <cell r="P392">
            <v>376895.56503418426</v>
          </cell>
          <cell r="Q392">
            <v>3880.9474753805712</v>
          </cell>
          <cell r="R392">
            <v>426904.22229186282</v>
          </cell>
          <cell r="S392">
            <v>5106.5098360270676</v>
          </cell>
          <cell r="T392">
            <v>459585.88524243608</v>
          </cell>
          <cell r="U392">
            <v>4709.8877128404993</v>
          </cell>
          <cell r="V392">
            <v>423889.89415564493</v>
          </cell>
          <cell r="W392">
            <v>5160.8344087507594</v>
          </cell>
          <cell r="X392">
            <v>567691.78496258357</v>
          </cell>
          <cell r="Y392">
            <v>5216.3272518556068</v>
          </cell>
          <cell r="Z392">
            <v>573795.99770411674</v>
          </cell>
          <cell r="AA392">
            <v>5063.8667476260061</v>
          </cell>
          <cell r="AB392">
            <v>557025.34223886067</v>
          </cell>
          <cell r="AC392">
            <v>4805.592923404879</v>
          </cell>
          <cell r="AE392" t="str">
            <v xml:space="preserve">Salaries &amp; Wages </v>
          </cell>
        </row>
        <row r="393">
          <cell r="D393" t="str">
            <v xml:space="preserve">Utilities </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E393" t="str">
            <v xml:space="preserve">Utilities </v>
          </cell>
        </row>
        <row r="394">
          <cell r="D394" t="str">
            <v>Depreciation</v>
          </cell>
          <cell r="E394">
            <v>11150.091575091576</v>
          </cell>
          <cell r="F394">
            <v>892007.32600732602</v>
          </cell>
          <cell r="G394">
            <v>9308.7920489296648</v>
          </cell>
          <cell r="H394">
            <v>837791.28440366988</v>
          </cell>
          <cell r="I394">
            <v>9051.3678263455258</v>
          </cell>
          <cell r="J394">
            <v>814623.10437109729</v>
          </cell>
          <cell r="K394">
            <v>8117.2666666666673</v>
          </cell>
          <cell r="L394">
            <v>730554.00000000012</v>
          </cell>
          <cell r="M394">
            <v>11662.739463601532</v>
          </cell>
          <cell r="N394">
            <v>699764.36781609198</v>
          </cell>
          <cell r="O394">
            <v>11261.468738438773</v>
          </cell>
          <cell r="P394">
            <v>788302.81169071409</v>
          </cell>
          <cell r="Q394">
            <v>8117.2666666666673</v>
          </cell>
          <cell r="R394">
            <v>892899.33333333337</v>
          </cell>
          <cell r="S394">
            <v>10680.614035087719</v>
          </cell>
          <cell r="T394">
            <v>961255.26315789472</v>
          </cell>
          <cell r="U394">
            <v>9851.0517799352765</v>
          </cell>
          <cell r="V394">
            <v>886594.66019417485</v>
          </cell>
          <cell r="W394">
            <v>10794.237588652482</v>
          </cell>
          <cell r="X394">
            <v>1187366.134751773</v>
          </cell>
          <cell r="Y394">
            <v>10910.304659498208</v>
          </cell>
          <cell r="Z394">
            <v>1200133.5125448029</v>
          </cell>
          <cell r="AA394">
            <v>10591.423103688239</v>
          </cell>
          <cell r="AB394">
            <v>1165056.5414057064</v>
          </cell>
          <cell r="AC394">
            <v>10051.225763342349</v>
          </cell>
          <cell r="AE394" t="str">
            <v>Depreciation</v>
          </cell>
        </row>
        <row r="395">
          <cell r="D395" t="str">
            <v xml:space="preserve">Other Factory overhead </v>
          </cell>
          <cell r="E395">
            <v>3328.5244606883934</v>
          </cell>
          <cell r="F395">
            <v>266281.95685507148</v>
          </cell>
          <cell r="G395">
            <v>2778.859870849943</v>
          </cell>
          <cell r="H395">
            <v>250097.38837649487</v>
          </cell>
          <cell r="I395">
            <v>2702.0136121556093</v>
          </cell>
          <cell r="J395">
            <v>243181.22509400483</v>
          </cell>
          <cell r="K395">
            <v>2423.1658073811504</v>
          </cell>
          <cell r="L395">
            <v>218084.92266430354</v>
          </cell>
          <cell r="M395">
            <v>3481.5600680763655</v>
          </cell>
          <cell r="N395">
            <v>208893.60408458192</v>
          </cell>
          <cell r="O395">
            <v>3361.7727627374452</v>
          </cell>
          <cell r="P395">
            <v>235324.09339162117</v>
          </cell>
          <cell r="Q395">
            <v>2423.1658073811504</v>
          </cell>
          <cell r="R395">
            <v>266548.23881192657</v>
          </cell>
          <cell r="S395">
            <v>3188.3760623436192</v>
          </cell>
          <cell r="T395">
            <v>286953.84561092575</v>
          </cell>
          <cell r="U395">
            <v>2940.735203132464</v>
          </cell>
          <cell r="V395">
            <v>264666.16828192177</v>
          </cell>
          <cell r="W395">
            <v>3222.2949566238703</v>
          </cell>
          <cell r="X395">
            <v>354452.44522862573</v>
          </cell>
          <cell r="Y395">
            <v>3256.9432894907936</v>
          </cell>
          <cell r="Z395">
            <v>358263.76184398727</v>
          </cell>
          <cell r="AA395">
            <v>3161.7507925119394</v>
          </cell>
          <cell r="AB395">
            <v>347792.58717631333</v>
          </cell>
          <cell r="AC395">
            <v>3000.4911249270708</v>
          </cell>
          <cell r="AE395" t="str">
            <v xml:space="preserve">Other Factory overhead </v>
          </cell>
        </row>
        <row r="396">
          <cell r="D396" t="str">
            <v>Running Royalty</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E396" t="str">
            <v>Running Royalty</v>
          </cell>
        </row>
        <row r="397">
          <cell r="E397">
            <v>19809.587842621411</v>
          </cell>
          <cell r="F397">
            <v>1584767.027409713</v>
          </cell>
          <cell r="G397">
            <v>16538.279758518795</v>
          </cell>
          <cell r="H397">
            <v>1488445.1782666915</v>
          </cell>
          <cell r="I397">
            <v>16080.93214699865</v>
          </cell>
          <cell r="J397">
            <v>1447283.8932298783</v>
          </cell>
          <cell r="K397">
            <v>14421.379949428388</v>
          </cell>
          <cell r="L397">
            <v>1297924.1954485551</v>
          </cell>
          <cell r="M397">
            <v>20720.373490558028</v>
          </cell>
          <cell r="N397">
            <v>1243222.4094334817</v>
          </cell>
          <cell r="O397">
            <v>20007.463858807419</v>
          </cell>
          <cell r="P397">
            <v>1400522.4701165196</v>
          </cell>
          <cell r="Q397">
            <v>14421.379949428388</v>
          </cell>
          <cell r="R397">
            <v>1586351.7944371225</v>
          </cell>
          <cell r="S397">
            <v>18975.499933458406</v>
          </cell>
          <cell r="T397">
            <v>1707794.9940112566</v>
          </cell>
          <cell r="U397">
            <v>17501.674695908237</v>
          </cell>
          <cell r="V397">
            <v>1575150.7226317413</v>
          </cell>
          <cell r="W397">
            <v>19177.366954027111</v>
          </cell>
          <cell r="X397">
            <v>2109510.3649429823</v>
          </cell>
          <cell r="Y397">
            <v>19383.575200844611</v>
          </cell>
          <cell r="Z397">
            <v>2132193.2720929068</v>
          </cell>
          <cell r="AA397">
            <v>18817.040643826185</v>
          </cell>
          <cell r="AB397">
            <v>2069874.4708208805</v>
          </cell>
          <cell r="AC397">
            <v>17857.309811674299</v>
          </cell>
        </row>
        <row r="398">
          <cell r="C398" t="str">
            <v>Gross Profit</v>
          </cell>
          <cell r="E398">
            <v>87395.591069287242</v>
          </cell>
          <cell r="F398">
            <v>6991647.2855429845</v>
          </cell>
          <cell r="G398">
            <v>90666.899153389852</v>
          </cell>
          <cell r="H398">
            <v>8160020.9238050859</v>
          </cell>
          <cell r="I398">
            <v>91124.24676491</v>
          </cell>
          <cell r="J398">
            <v>8201182.2088418985</v>
          </cell>
          <cell r="K398">
            <v>92783.798962480258</v>
          </cell>
          <cell r="L398">
            <v>8350541.9066232219</v>
          </cell>
          <cell r="M398">
            <v>86484.805421350611</v>
          </cell>
          <cell r="N398">
            <v>5189088.3252810333</v>
          </cell>
          <cell r="O398">
            <v>87197.71505310123</v>
          </cell>
          <cell r="P398">
            <v>6103840.0537170907</v>
          </cell>
          <cell r="Q398">
            <v>93114.798962480258</v>
          </cell>
          <cell r="R398">
            <v>10242627.88587283</v>
          </cell>
          <cell r="S398">
            <v>88560.678978450247</v>
          </cell>
          <cell r="T398">
            <v>7970461.1080605201</v>
          </cell>
          <cell r="U398">
            <v>90034.504216000409</v>
          </cell>
          <cell r="V398">
            <v>8103105.3794400357</v>
          </cell>
          <cell r="W398">
            <v>88358.811957881539</v>
          </cell>
          <cell r="X398">
            <v>9719469.3153669685</v>
          </cell>
          <cell r="Y398">
            <v>88152.603711064032</v>
          </cell>
          <cell r="Z398">
            <v>9696786.4082170445</v>
          </cell>
          <cell r="AA398">
            <v>88719.138268082461</v>
          </cell>
          <cell r="AB398">
            <v>9759105.2094890699</v>
          </cell>
          <cell r="AC398">
            <v>89534.432736597955</v>
          </cell>
          <cell r="AD398" t="str">
            <v>Gross Profit</v>
          </cell>
        </row>
        <row r="399">
          <cell r="E399">
            <v>8.9040912274356891</v>
          </cell>
          <cell r="F399">
            <v>8.9040912274356963</v>
          </cell>
          <cell r="G399">
            <v>9.2373806446421547</v>
          </cell>
          <cell r="H399">
            <v>9.2373806446421547</v>
          </cell>
          <cell r="I399">
            <v>9.2839764145866219</v>
          </cell>
          <cell r="J399">
            <v>9.2839764145866219</v>
          </cell>
          <cell r="K399">
            <v>9.4530559297322068</v>
          </cell>
          <cell r="L399">
            <v>9.4530559297322068</v>
          </cell>
          <cell r="M399">
            <v>8.811298005276031</v>
          </cell>
          <cell r="N399">
            <v>8.8112980052760257</v>
          </cell>
          <cell r="O399">
            <v>8.8839311017556071</v>
          </cell>
          <cell r="P399">
            <v>8.8839311017556142</v>
          </cell>
          <cell r="Q399">
            <v>9.4867790748041898</v>
          </cell>
          <cell r="R399">
            <v>9.4867790748041916</v>
          </cell>
          <cell r="S399">
            <v>9.0227934285907221</v>
          </cell>
          <cell r="T399">
            <v>9.0227934285907203</v>
          </cell>
          <cell r="U399">
            <v>9.1729505956500965</v>
          </cell>
          <cell r="V399">
            <v>9.1729505956500965</v>
          </cell>
          <cell r="W399">
            <v>9.0022266889536002</v>
          </cell>
          <cell r="X399">
            <v>9.0022266889536002</v>
          </cell>
          <cell r="Y399">
            <v>8.9812176538404103</v>
          </cell>
          <cell r="Z399">
            <v>8.981217653840412</v>
          </cell>
          <cell r="AA399">
            <v>9.0389376751534734</v>
          </cell>
          <cell r="AB399">
            <v>9.0389376751534734</v>
          </cell>
          <cell r="AC399">
            <v>9.1220020063865022</v>
          </cell>
        </row>
        <row r="400">
          <cell r="C400" t="str">
            <v>Other Expenses</v>
          </cell>
          <cell r="AD400" t="str">
            <v>Other Expenses</v>
          </cell>
        </row>
        <row r="401">
          <cell r="D401" t="str">
            <v>Selling Expenses</v>
          </cell>
          <cell r="E401">
            <v>5183.0082521448167</v>
          </cell>
          <cell r="F401">
            <v>414640.66017158533</v>
          </cell>
          <cell r="G401">
            <v>4427.3486746392564</v>
          </cell>
          <cell r="H401">
            <v>398461.38071753306</v>
          </cell>
          <cell r="I401">
            <v>4320.887144065181</v>
          </cell>
          <cell r="J401">
            <v>388879.84296586626</v>
          </cell>
          <cell r="K401">
            <v>3897.7185689144208</v>
          </cell>
          <cell r="L401">
            <v>350794.67120229785</v>
          </cell>
          <cell r="M401">
            <v>5409.2615187305564</v>
          </cell>
          <cell r="N401">
            <v>324555.69112383341</v>
          </cell>
          <cell r="O401">
            <v>5179.8400416559607</v>
          </cell>
          <cell r="P401">
            <v>362588.80291591724</v>
          </cell>
          <cell r="Q401">
            <v>3845.1336292747983</v>
          </cell>
          <cell r="R401">
            <v>422964.69922022783</v>
          </cell>
          <cell r="S401">
            <v>4967.5774890123712</v>
          </cell>
          <cell r="T401">
            <v>447081.9740111134</v>
          </cell>
          <cell r="U401">
            <v>4642.661605420024</v>
          </cell>
          <cell r="V401">
            <v>417839.54448780214</v>
          </cell>
          <cell r="W401">
            <v>5073.1110111757944</v>
          </cell>
          <cell r="X401">
            <v>558042.21122933738</v>
          </cell>
          <cell r="Y401">
            <v>5099.2966467698334</v>
          </cell>
          <cell r="Z401">
            <v>560922.63114468171</v>
          </cell>
          <cell r="AA401">
            <v>4893.3178190345943</v>
          </cell>
          <cell r="AB401">
            <v>538264.96009380533</v>
          </cell>
          <cell r="AC401">
            <v>4713.6700629854558</v>
          </cell>
          <cell r="AE401" t="str">
            <v>Selling Expenses</v>
          </cell>
        </row>
        <row r="402">
          <cell r="D402" t="str">
            <v>Advertisement Expenses</v>
          </cell>
          <cell r="E402">
            <v>800.32572918126152</v>
          </cell>
          <cell r="F402">
            <v>64026.058334500922</v>
          </cell>
          <cell r="G402">
            <v>969.71958993165515</v>
          </cell>
          <cell r="H402">
            <v>87274.76309384896</v>
          </cell>
          <cell r="I402">
            <v>7367.9708551430685</v>
          </cell>
          <cell r="J402">
            <v>663117.37696287618</v>
          </cell>
          <cell r="K402">
            <v>6935.2770964018819</v>
          </cell>
          <cell r="L402">
            <v>624174.93867616937</v>
          </cell>
          <cell r="M402">
            <v>7697.2629504339211</v>
          </cell>
          <cell r="N402">
            <v>461835.77702603524</v>
          </cell>
          <cell r="O402">
            <v>799.8365151483406</v>
          </cell>
          <cell r="P402">
            <v>55988.556060383838</v>
          </cell>
          <cell r="Q402">
            <v>739.89139808437483</v>
          </cell>
          <cell r="R402">
            <v>81388.053789281228</v>
          </cell>
          <cell r="S402">
            <v>4684.9685429207811</v>
          </cell>
          <cell r="T402">
            <v>421647.16886287031</v>
          </cell>
          <cell r="U402">
            <v>5393.2109933565007</v>
          </cell>
          <cell r="V402">
            <v>485388.98940208508</v>
          </cell>
          <cell r="W402">
            <v>783.35612673520234</v>
          </cell>
          <cell r="X402">
            <v>86169.173940872264</v>
          </cell>
          <cell r="Y402">
            <v>8782.5333169589612</v>
          </cell>
          <cell r="Z402">
            <v>966078.66486548574</v>
          </cell>
          <cell r="AA402">
            <v>1104.3291887822443</v>
          </cell>
          <cell r="AB402">
            <v>121476.21076604688</v>
          </cell>
          <cell r="AC402">
            <v>3744.1506652549601</v>
          </cell>
        </row>
        <row r="403">
          <cell r="D403" t="str">
            <v>Administrative Expenses</v>
          </cell>
          <cell r="E403">
            <v>10560.726889052896</v>
          </cell>
          <cell r="F403">
            <v>844858.15112423163</v>
          </cell>
          <cell r="G403">
            <v>9021.0198249495461</v>
          </cell>
          <cell r="H403">
            <v>811891.78424545913</v>
          </cell>
          <cell r="I403">
            <v>8804.0973170376383</v>
          </cell>
          <cell r="J403">
            <v>792368.75853338744</v>
          </cell>
          <cell r="K403">
            <v>7941.8629672567968</v>
          </cell>
          <cell r="L403">
            <v>714767.66705311171</v>
          </cell>
          <cell r="M403">
            <v>11021.733092386507</v>
          </cell>
          <cell r="N403">
            <v>661303.98554319039</v>
          </cell>
          <cell r="O403">
            <v>10554.271447719957</v>
          </cell>
          <cell r="P403">
            <v>738799.00134039694</v>
          </cell>
          <cell r="Q403">
            <v>7834.7176263668644</v>
          </cell>
          <cell r="R403">
            <v>861818.93890035513</v>
          </cell>
          <cell r="S403">
            <v>10121.772262268241</v>
          </cell>
          <cell r="T403">
            <v>910959.50360414176</v>
          </cell>
          <cell r="U403">
            <v>9459.7343604157559</v>
          </cell>
          <cell r="V403">
            <v>851376.09243741806</v>
          </cell>
          <cell r="W403">
            <v>10336.803890810705</v>
          </cell>
          <cell r="X403">
            <v>1137048.4279891774</v>
          </cell>
          <cell r="Y403">
            <v>10390.158879356299</v>
          </cell>
          <cell r="Z403">
            <v>1142917.4767291928</v>
          </cell>
          <cell r="AA403">
            <v>9970.4632047953019</v>
          </cell>
          <cell r="AB403">
            <v>1096750.9525274832</v>
          </cell>
          <cell r="AC403">
            <v>9604.4188545704965</v>
          </cell>
          <cell r="AE403" t="str">
            <v>Administrative Expenses</v>
          </cell>
        </row>
        <row r="404">
          <cell r="D404" t="str">
            <v>Depreciation (Admin. &amp; Selling )</v>
          </cell>
          <cell r="E404">
            <v>2969.9882598191184</v>
          </cell>
          <cell r="F404">
            <v>237599.06078552947</v>
          </cell>
          <cell r="G404">
            <v>2536.9771657922738</v>
          </cell>
          <cell r="H404">
            <v>228327.94492130465</v>
          </cell>
          <cell r="I404">
            <v>2475.9721508385478</v>
          </cell>
          <cell r="J404">
            <v>222837.4935754693</v>
          </cell>
          <cell r="K404">
            <v>2233.4863898710532</v>
          </cell>
          <cell r="L404">
            <v>201013.77508839479</v>
          </cell>
          <cell r="M404">
            <v>3099.6368177250984</v>
          </cell>
          <cell r="N404">
            <v>185978.2090635059</v>
          </cell>
          <cell r="O404">
            <v>2968.1727990868981</v>
          </cell>
          <cell r="P404">
            <v>207772.09593608286</v>
          </cell>
          <cell r="Q404">
            <v>2203.3539560073127</v>
          </cell>
          <cell r="R404">
            <v>242368.93516080439</v>
          </cell>
          <cell r="S404">
            <v>2846.5412564224971</v>
          </cell>
          <cell r="T404">
            <v>256188.71307802474</v>
          </cell>
          <cell r="U404">
            <v>2660.3566484202443</v>
          </cell>
          <cell r="V404">
            <v>239432.09835782199</v>
          </cell>
          <cell r="W404">
            <v>2907.0145002598042</v>
          </cell>
          <cell r="X404">
            <v>319771.59502857848</v>
          </cell>
          <cell r="Y404">
            <v>2922.0194986134175</v>
          </cell>
          <cell r="Z404">
            <v>321422.14484747592</v>
          </cell>
          <cell r="AA404">
            <v>2803.9886812995901</v>
          </cell>
          <cell r="AB404">
            <v>308438.75494295493</v>
          </cell>
          <cell r="AC404">
            <v>2701.0462007144979</v>
          </cell>
          <cell r="AE404" t="str">
            <v>Depreciation (Admin. &amp; Selling )</v>
          </cell>
        </row>
        <row r="405">
          <cell r="D405" t="str">
            <v>Financial Charges -Capital Exp.</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E405" t="str">
            <v>Financial Charges -Capital Exp.</v>
          </cell>
        </row>
        <row r="406">
          <cell r="D406" t="str">
            <v>Financial  Charges -Working Capital</v>
          </cell>
          <cell r="E406">
            <v>530.11444507895521</v>
          </cell>
          <cell r="F406">
            <v>42409.155606316417</v>
          </cell>
          <cell r="G406">
            <v>458.80097155251627</v>
          </cell>
          <cell r="H406">
            <v>41292.087439726463</v>
          </cell>
          <cell r="I406">
            <v>448.49087868071882</v>
          </cell>
          <cell r="J406">
            <v>40364.179081264694</v>
          </cell>
          <cell r="K406">
            <v>407.98094465914818</v>
          </cell>
          <cell r="L406">
            <v>36718.285019323339</v>
          </cell>
          <cell r="M406">
            <v>548.85949175372707</v>
          </cell>
          <cell r="N406">
            <v>32931.569505223626</v>
          </cell>
          <cell r="O406">
            <v>527.77239945924691</v>
          </cell>
          <cell r="P406">
            <v>36944.067962147281</v>
          </cell>
          <cell r="Q406">
            <v>396.96132884259964</v>
          </cell>
          <cell r="R406">
            <v>43665.746172685962</v>
          </cell>
          <cell r="S406">
            <v>498.98402076239711</v>
          </cell>
          <cell r="T406">
            <v>44908.56186861574</v>
          </cell>
          <cell r="U406">
            <v>470.64800851302482</v>
          </cell>
          <cell r="V406">
            <v>42358.320766172234</v>
          </cell>
          <cell r="W406">
            <v>511.61704210669683</v>
          </cell>
          <cell r="X406">
            <v>56277.874631736653</v>
          </cell>
          <cell r="Y406">
            <v>513.76394785157731</v>
          </cell>
          <cell r="Z406">
            <v>56514.034263673508</v>
          </cell>
          <cell r="AA406">
            <v>495.30468493193735</v>
          </cell>
          <cell r="AB406">
            <v>54483.515342513107</v>
          </cell>
          <cell r="AC406">
            <v>480.78854332672643</v>
          </cell>
          <cell r="AE406" t="str">
            <v>Financial  Charges -Working Capital</v>
          </cell>
        </row>
        <row r="407">
          <cell r="D407" t="str">
            <v>Other Expenses (Charity &amp; Donation)</v>
          </cell>
          <cell r="E407">
            <v>368.13503130483002</v>
          </cell>
          <cell r="F407">
            <v>29450.802504386404</v>
          </cell>
          <cell r="G407">
            <v>318.61178580035858</v>
          </cell>
          <cell r="H407">
            <v>28675.060722032271</v>
          </cell>
          <cell r="I407">
            <v>311.4519990838325</v>
          </cell>
          <cell r="J407">
            <v>28030.679917544927</v>
          </cell>
          <cell r="K407">
            <v>283.32010045774183</v>
          </cell>
          <cell r="L407">
            <v>25498.809041196764</v>
          </cell>
          <cell r="M407">
            <v>381.15242482897719</v>
          </cell>
          <cell r="N407">
            <v>22869.145489738632</v>
          </cell>
          <cell r="O407">
            <v>366.50861073558809</v>
          </cell>
          <cell r="P407">
            <v>25655.602751491166</v>
          </cell>
          <cell r="Q407">
            <v>275.66758947402758</v>
          </cell>
          <cell r="R407">
            <v>30323.434842143033</v>
          </cell>
          <cell r="S407">
            <v>346.51668108499797</v>
          </cell>
          <cell r="T407">
            <v>31186.501297649818</v>
          </cell>
          <cell r="U407">
            <v>326.83889480071173</v>
          </cell>
          <cell r="V407">
            <v>29415.500532064056</v>
          </cell>
          <cell r="W407">
            <v>355.28961257409514</v>
          </cell>
          <cell r="X407">
            <v>39081.857383150469</v>
          </cell>
          <cell r="Y407">
            <v>356.78051934137312</v>
          </cell>
          <cell r="Z407">
            <v>39245.85712755104</v>
          </cell>
          <cell r="AA407">
            <v>343.96158675828985</v>
          </cell>
          <cell r="AB407">
            <v>37835.774543411884</v>
          </cell>
          <cell r="AC407">
            <v>333.88093286578226</v>
          </cell>
          <cell r="AE407" t="str">
            <v>Other Expenses (Charity &amp; Donation)</v>
          </cell>
        </row>
        <row r="408">
          <cell r="D408" t="str">
            <v>Other Expenses ( W.P.P.F.)</v>
          </cell>
          <cell r="E408">
            <v>3573.7075858361454</v>
          </cell>
          <cell r="F408">
            <v>285896.60686689161</v>
          </cell>
          <cell r="G408">
            <v>3260.1003648049996</v>
          </cell>
          <cell r="H408">
            <v>293409.03283244994</v>
          </cell>
          <cell r="I408">
            <v>2868.2077932472907</v>
          </cell>
          <cell r="J408">
            <v>258138.70139225616</v>
          </cell>
          <cell r="K408">
            <v>2950.3710885468208</v>
          </cell>
          <cell r="L408">
            <v>265533.3979692139</v>
          </cell>
          <cell r="M408">
            <v>2984.5209973853607</v>
          </cell>
          <cell r="N408">
            <v>179071.25984312163</v>
          </cell>
          <cell r="O408">
            <v>3261.9142882485439</v>
          </cell>
          <cell r="P408">
            <v>228334.00017739806</v>
          </cell>
          <cell r="Q408">
            <v>3221.4233012482478</v>
          </cell>
          <cell r="R408">
            <v>354356.56313730724</v>
          </cell>
          <cell r="S408">
            <v>2697.4681580678207</v>
          </cell>
          <cell r="T408">
            <v>242772.13422610387</v>
          </cell>
          <cell r="U408">
            <v>2877.5317129664104</v>
          </cell>
          <cell r="V408">
            <v>258977.85416697693</v>
          </cell>
          <cell r="W408">
            <v>3280.2679674234987</v>
          </cell>
          <cell r="X408">
            <v>360829.47641658486</v>
          </cell>
          <cell r="Y408">
            <v>2911.8557735997142</v>
          </cell>
          <cell r="Z408">
            <v>320304.13509596855</v>
          </cell>
          <cell r="AA408">
            <v>3464.9058265788067</v>
          </cell>
          <cell r="AB408">
            <v>381139.64092366875</v>
          </cell>
          <cell r="AC408">
            <v>3117.0570936799472</v>
          </cell>
          <cell r="AE408" t="str">
            <v>Other Expenses ( W.P.P.F.)</v>
          </cell>
        </row>
        <row r="409">
          <cell r="D409" t="str">
            <v>Workers Welfare Fund</v>
          </cell>
          <cell r="E409">
            <v>1499.0267372593985</v>
          </cell>
          <cell r="F409">
            <v>119922.13898075189</v>
          </cell>
          <cell r="G409">
            <v>1367.4811090758005</v>
          </cell>
          <cell r="H409">
            <v>123073.29981682205</v>
          </cell>
          <cell r="I409">
            <v>1203.0979219267881</v>
          </cell>
          <cell r="J409">
            <v>108278.81297341092</v>
          </cell>
          <cell r="K409">
            <v>1237.5621229049211</v>
          </cell>
          <cell r="L409">
            <v>111380.5910614429</v>
          </cell>
          <cell r="M409">
            <v>1251.8866374865934</v>
          </cell>
          <cell r="N409">
            <v>75113.198249195601</v>
          </cell>
          <cell r="O409">
            <v>1368.2419770751833</v>
          </cell>
          <cell r="P409">
            <v>95776.938395262827</v>
          </cell>
          <cell r="Q409">
            <v>1351.2576349952574</v>
          </cell>
          <cell r="R409">
            <v>148638.3398494783</v>
          </cell>
          <cell r="S409">
            <v>1131.4795054513236</v>
          </cell>
          <cell r="T409">
            <v>101833.15549061912</v>
          </cell>
          <cell r="U409">
            <v>1207.0089316049207</v>
          </cell>
          <cell r="V409">
            <v>108630.80384444287</v>
          </cell>
          <cell r="W409">
            <v>1375.9406080206418</v>
          </cell>
          <cell r="X409">
            <v>151353.46688227059</v>
          </cell>
          <cell r="Y409">
            <v>1221.4064958669101</v>
          </cell>
          <cell r="Z409">
            <v>134354.7145453601</v>
          </cell>
          <cell r="AA409">
            <v>1453.3887710099996</v>
          </cell>
          <cell r="AB409">
            <v>159872.76481109994</v>
          </cell>
          <cell r="AC409">
            <v>1307.4802044546884</v>
          </cell>
          <cell r="AE409" t="str">
            <v>Workers Welfare Fund</v>
          </cell>
        </row>
        <row r="410">
          <cell r="E410">
            <v>25485.032929677422</v>
          </cell>
          <cell r="F410">
            <v>2038802.6343741934</v>
          </cell>
          <cell r="G410">
            <v>22360.059486546405</v>
          </cell>
          <cell r="H410">
            <v>2012405.3537891768</v>
          </cell>
          <cell r="I410">
            <v>27800.176060023059</v>
          </cell>
          <cell r="J410">
            <v>2502015.8454020759</v>
          </cell>
          <cell r="K410">
            <v>25887.579279012789</v>
          </cell>
          <cell r="L410">
            <v>2329882.1351111503</v>
          </cell>
          <cell r="M410">
            <v>32394.313930730743</v>
          </cell>
          <cell r="N410">
            <v>1943658.8358438443</v>
          </cell>
          <cell r="O410">
            <v>25026.558079129718</v>
          </cell>
          <cell r="P410">
            <v>1751859.0655390802</v>
          </cell>
          <cell r="Q410">
            <v>19868.406464293483</v>
          </cell>
          <cell r="R410">
            <v>2185524.7110722829</v>
          </cell>
          <cell r="S410">
            <v>27295.30791599043</v>
          </cell>
          <cell r="T410">
            <v>2456577.7124391384</v>
          </cell>
          <cell r="U410">
            <v>27037.991155497592</v>
          </cell>
          <cell r="V410">
            <v>2433419.2039947836</v>
          </cell>
          <cell r="W410">
            <v>24623.40075910644</v>
          </cell>
          <cell r="X410">
            <v>2708574.0835017082</v>
          </cell>
          <cell r="Y410">
            <v>32197.815078358082</v>
          </cell>
          <cell r="Z410">
            <v>3541759.6586193894</v>
          </cell>
          <cell r="AA410">
            <v>24529.659763190764</v>
          </cell>
          <cell r="AB410">
            <v>2698262.573950984</v>
          </cell>
          <cell r="AC410">
            <v>26002.492557852554</v>
          </cell>
        </row>
        <row r="411">
          <cell r="D411" t="str">
            <v>Operating Profit</v>
          </cell>
          <cell r="E411">
            <v>61910.558139609821</v>
          </cell>
          <cell r="F411">
            <v>4952844.6511687916</v>
          </cell>
          <cell r="G411">
            <v>68306.839666843443</v>
          </cell>
          <cell r="H411">
            <v>6147615.5700159092</v>
          </cell>
          <cell r="I411">
            <v>63324.070704886937</v>
          </cell>
          <cell r="J411">
            <v>5699166.3634398226</v>
          </cell>
          <cell r="K411">
            <v>66896.219683467469</v>
          </cell>
          <cell r="L411">
            <v>6020659.7715120716</v>
          </cell>
          <cell r="M411">
            <v>54090.491490619868</v>
          </cell>
          <cell r="N411">
            <v>3245429.489437189</v>
          </cell>
          <cell r="O411">
            <v>62171.156973971512</v>
          </cell>
          <cell r="P411">
            <v>4351980.988178011</v>
          </cell>
          <cell r="Q411">
            <v>73246.392498186775</v>
          </cell>
          <cell r="R411">
            <v>8057103.1748005468</v>
          </cell>
          <cell r="S411">
            <v>61265.371062459817</v>
          </cell>
          <cell r="T411">
            <v>5513883.3956213817</v>
          </cell>
          <cell r="U411">
            <v>62996.513060502817</v>
          </cell>
          <cell r="V411">
            <v>5669686.1754452521</v>
          </cell>
          <cell r="W411">
            <v>63735.411198775095</v>
          </cell>
          <cell r="X411">
            <v>7010895.2318652608</v>
          </cell>
          <cell r="Y411">
            <v>55954.788632705953</v>
          </cell>
          <cell r="Z411">
            <v>6155026.7495976556</v>
          </cell>
          <cell r="AA411">
            <v>64189.478504891697</v>
          </cell>
          <cell r="AB411">
            <v>7060842.6355380863</v>
          </cell>
          <cell r="AC411">
            <v>63531.940178745397</v>
          </cell>
          <cell r="AE411" t="str">
            <v>Operating Profit</v>
          </cell>
        </row>
        <row r="413">
          <cell r="C413" t="str">
            <v>Other Income</v>
          </cell>
          <cell r="AD413" t="str">
            <v>Other Income</v>
          </cell>
        </row>
        <row r="414">
          <cell r="D414" t="str">
            <v>H.D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E414" t="str">
            <v>H.D</v>
          </cell>
        </row>
        <row r="415">
          <cell r="D415" t="str">
            <v>Others</v>
          </cell>
          <cell r="E415">
            <v>18021.978021978022</v>
          </cell>
          <cell r="F415">
            <v>1441758.2417582418</v>
          </cell>
          <cell r="G415">
            <v>15045.871559633028</v>
          </cell>
          <cell r="H415">
            <v>1354128</v>
          </cell>
          <cell r="I415">
            <v>14629.794826048172</v>
          </cell>
          <cell r="J415">
            <v>1316681.5343443356</v>
          </cell>
          <cell r="K415">
            <v>5120</v>
          </cell>
          <cell r="L415">
            <v>460800</v>
          </cell>
          <cell r="M415">
            <v>7356.3218390804595</v>
          </cell>
          <cell r="N415">
            <v>441379.31034482759</v>
          </cell>
          <cell r="O415">
            <v>7103.2186459489458</v>
          </cell>
          <cell r="P415">
            <v>497225.3052164262</v>
          </cell>
          <cell r="Q415">
            <v>5120</v>
          </cell>
          <cell r="R415">
            <v>563200</v>
          </cell>
          <cell r="S415">
            <v>6736.8421052631575</v>
          </cell>
          <cell r="T415">
            <v>606315.78947368416</v>
          </cell>
          <cell r="U415">
            <v>6213.5922330097092</v>
          </cell>
          <cell r="V415">
            <v>559223.3009708738</v>
          </cell>
          <cell r="W415">
            <v>6808.510638297872</v>
          </cell>
          <cell r="X415">
            <v>748936.17021276592</v>
          </cell>
          <cell r="Y415">
            <v>6881.7204301075271</v>
          </cell>
          <cell r="Z415">
            <v>756989.24731182796</v>
          </cell>
          <cell r="AA415">
            <v>6680.5845511482257</v>
          </cell>
          <cell r="AB415">
            <v>734864.30062630482</v>
          </cell>
          <cell r="AC415">
            <v>8619.5465456902602</v>
          </cell>
          <cell r="AE415" t="str">
            <v>Others</v>
          </cell>
        </row>
        <row r="416">
          <cell r="E416">
            <v>18021.978021978022</v>
          </cell>
          <cell r="F416">
            <v>1441758.2417582418</v>
          </cell>
          <cell r="G416">
            <v>15045.871559633028</v>
          </cell>
          <cell r="H416">
            <v>1354128</v>
          </cell>
          <cell r="I416">
            <v>14629.794826048172</v>
          </cell>
          <cell r="J416">
            <v>1316681.5343443356</v>
          </cell>
          <cell r="K416">
            <v>5120</v>
          </cell>
          <cell r="L416">
            <v>460800</v>
          </cell>
          <cell r="M416">
            <v>7356.3218390804595</v>
          </cell>
          <cell r="N416">
            <v>441379.31034482759</v>
          </cell>
          <cell r="O416">
            <v>7103.2186459489458</v>
          </cell>
          <cell r="P416">
            <v>497225.3052164262</v>
          </cell>
          <cell r="Q416">
            <v>5120</v>
          </cell>
          <cell r="R416">
            <v>563200</v>
          </cell>
          <cell r="S416">
            <v>6736.8421052631575</v>
          </cell>
          <cell r="T416">
            <v>606315.78947368416</v>
          </cell>
          <cell r="U416">
            <v>6213.5922330097092</v>
          </cell>
          <cell r="V416">
            <v>559223.3009708738</v>
          </cell>
          <cell r="W416">
            <v>6808.510638297872</v>
          </cell>
          <cell r="X416">
            <v>748936.17021276592</v>
          </cell>
          <cell r="Y416">
            <v>6881.7204301075271</v>
          </cell>
          <cell r="Z416">
            <v>756989.24731182796</v>
          </cell>
          <cell r="AA416">
            <v>6680.5845511482257</v>
          </cell>
          <cell r="AB416">
            <v>734864.30062630482</v>
          </cell>
          <cell r="AC416">
            <v>8619.5465456902602</v>
          </cell>
        </row>
        <row r="417">
          <cell r="H417">
            <v>0</v>
          </cell>
          <cell r="J417">
            <v>0</v>
          </cell>
          <cell r="L417">
            <v>0</v>
          </cell>
          <cell r="N417">
            <v>0</v>
          </cell>
          <cell r="P417">
            <v>0</v>
          </cell>
          <cell r="R417">
            <v>0</v>
          </cell>
          <cell r="T417">
            <v>0</v>
          </cell>
          <cell r="V417">
            <v>0</v>
          </cell>
          <cell r="X417">
            <v>0</v>
          </cell>
          <cell r="Z417">
            <v>0</v>
          </cell>
          <cell r="AB417">
            <v>0</v>
          </cell>
        </row>
        <row r="418">
          <cell r="C418" t="str">
            <v>Profit / (Loss) before tax</v>
          </cell>
          <cell r="E418">
            <v>79932.536161587836</v>
          </cell>
          <cell r="F418">
            <v>6394602.8929270338</v>
          </cell>
          <cell r="G418">
            <v>83352.711226476473</v>
          </cell>
          <cell r="H418">
            <v>7501743.5700159092</v>
          </cell>
          <cell r="I418">
            <v>77953.865530935116</v>
          </cell>
          <cell r="J418">
            <v>7015847.8977841586</v>
          </cell>
          <cell r="K418">
            <v>72016.219683467469</v>
          </cell>
          <cell r="L418">
            <v>6481459.7715120716</v>
          </cell>
          <cell r="M418">
            <v>61446.81332970033</v>
          </cell>
          <cell r="N418">
            <v>3686808.7997820163</v>
          </cell>
          <cell r="O418">
            <v>69274.375619920465</v>
          </cell>
          <cell r="P418">
            <v>4849206.2933944371</v>
          </cell>
          <cell r="Q418">
            <v>78366.392498186775</v>
          </cell>
          <cell r="R418">
            <v>8620303.1748005468</v>
          </cell>
          <cell r="S418">
            <v>68002.213167722977</v>
          </cell>
          <cell r="T418">
            <v>6120199.1850950662</v>
          </cell>
          <cell r="U418">
            <v>69210.105293512519</v>
          </cell>
          <cell r="V418">
            <v>6228909.4764161259</v>
          </cell>
          <cell r="W418">
            <v>70543.921837072965</v>
          </cell>
          <cell r="X418">
            <v>7759831.4020780269</v>
          </cell>
          <cell r="Y418">
            <v>62836.509062813479</v>
          </cell>
          <cell r="Z418">
            <v>6912015.9969094833</v>
          </cell>
          <cell r="AA418">
            <v>70870.063056039915</v>
          </cell>
          <cell r="AB418">
            <v>7795706.9361643912</v>
          </cell>
          <cell r="AC418">
            <v>72151.486724435657</v>
          </cell>
          <cell r="AD418" t="str">
            <v>Profit before tax</v>
          </cell>
        </row>
        <row r="420">
          <cell r="C420" t="str">
            <v>Taxation</v>
          </cell>
          <cell r="AD420" t="str">
            <v>Taxation</v>
          </cell>
        </row>
        <row r="421">
          <cell r="D421" t="str">
            <v>Current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E421" t="str">
            <v>Current</v>
          </cell>
        </row>
        <row r="422">
          <cell r="D422" t="str">
            <v>Deferred</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E422" t="str">
            <v>Deferred</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row>
        <row r="425">
          <cell r="C425" t="str">
            <v>Net Profit after taxation</v>
          </cell>
          <cell r="E425">
            <v>79932.536161587836</v>
          </cell>
          <cell r="F425">
            <v>6394602.8929270338</v>
          </cell>
          <cell r="G425">
            <v>83352.711226476473</v>
          </cell>
          <cell r="H425">
            <v>7501743.5700159092</v>
          </cell>
          <cell r="I425">
            <v>77953.865530935116</v>
          </cell>
          <cell r="J425">
            <v>7015847.8977841586</v>
          </cell>
          <cell r="K425">
            <v>72016.219683467469</v>
          </cell>
          <cell r="L425">
            <v>6481459.7715120716</v>
          </cell>
          <cell r="M425">
            <v>61446.81332970033</v>
          </cell>
          <cell r="N425">
            <v>3686808.7997820163</v>
          </cell>
          <cell r="O425">
            <v>69274.375619920465</v>
          </cell>
          <cell r="P425">
            <v>4849206.2933944371</v>
          </cell>
          <cell r="Q425">
            <v>78366.392498186775</v>
          </cell>
          <cell r="R425">
            <v>8620303.1748005468</v>
          </cell>
          <cell r="S425">
            <v>68002.213167722977</v>
          </cell>
          <cell r="T425">
            <v>6120199.1850950662</v>
          </cell>
          <cell r="U425">
            <v>69210.105293512519</v>
          </cell>
          <cell r="V425">
            <v>6228909.4764161259</v>
          </cell>
          <cell r="W425">
            <v>70543.921837072965</v>
          </cell>
          <cell r="X425">
            <v>7759831.4020780269</v>
          </cell>
          <cell r="Y425">
            <v>62836.509062813479</v>
          </cell>
          <cell r="Z425">
            <v>6912015.9969094833</v>
          </cell>
          <cell r="AA425">
            <v>70870.063056039915</v>
          </cell>
          <cell r="AB425">
            <v>7795706.9361643912</v>
          </cell>
          <cell r="AC425">
            <v>72151.486724435657</v>
          </cell>
          <cell r="AD425" t="str">
            <v>Net Profit after taxation</v>
          </cell>
        </row>
        <row r="428">
          <cell r="AC428" t="str">
            <v>20D Sunroof</v>
          </cell>
        </row>
        <row r="429">
          <cell r="E429">
            <v>37438</v>
          </cell>
          <cell r="F429">
            <v>37469</v>
          </cell>
          <cell r="G429">
            <v>37500</v>
          </cell>
          <cell r="H429">
            <v>37531</v>
          </cell>
          <cell r="I429">
            <v>37562</v>
          </cell>
          <cell r="J429">
            <v>37593</v>
          </cell>
          <cell r="K429">
            <v>37624</v>
          </cell>
          <cell r="L429">
            <v>37655</v>
          </cell>
          <cell r="M429">
            <v>37686</v>
          </cell>
          <cell r="N429">
            <v>37717</v>
          </cell>
          <cell r="O429">
            <v>37748</v>
          </cell>
          <cell r="P429">
            <v>37779</v>
          </cell>
          <cell r="Q429">
            <v>37779</v>
          </cell>
          <cell r="S429">
            <v>37810</v>
          </cell>
          <cell r="U429">
            <v>37841</v>
          </cell>
          <cell r="W429">
            <v>37872</v>
          </cell>
          <cell r="Y429">
            <v>37903</v>
          </cell>
          <cell r="AA429">
            <v>37934</v>
          </cell>
          <cell r="AC429" t="str">
            <v>Yearly</v>
          </cell>
        </row>
        <row r="430">
          <cell r="D430" t="str">
            <v>20D Sunroof</v>
          </cell>
          <cell r="E430" t="str">
            <v>Per Unit</v>
          </cell>
          <cell r="F430" t="str">
            <v>Total</v>
          </cell>
          <cell r="G430" t="str">
            <v>Per Unit</v>
          </cell>
          <cell r="H430" t="str">
            <v>Total</v>
          </cell>
          <cell r="I430" t="str">
            <v>Per Unit</v>
          </cell>
          <cell r="J430" t="str">
            <v>Total</v>
          </cell>
          <cell r="K430" t="str">
            <v>Per Unit</v>
          </cell>
          <cell r="L430" t="str">
            <v>Total</v>
          </cell>
          <cell r="M430" t="str">
            <v>Per Unit</v>
          </cell>
          <cell r="N430" t="str">
            <v>Total</v>
          </cell>
          <cell r="O430" t="str">
            <v>Per Unit</v>
          </cell>
          <cell r="P430" t="str">
            <v>Total</v>
          </cell>
          <cell r="Q430" t="str">
            <v>Per Unit</v>
          </cell>
          <cell r="R430" t="str">
            <v>Total</v>
          </cell>
          <cell r="S430" t="str">
            <v>Per Unit</v>
          </cell>
          <cell r="T430" t="str">
            <v>Total</v>
          </cell>
          <cell r="U430" t="str">
            <v>Per Unit</v>
          </cell>
          <cell r="V430" t="str">
            <v>Total</v>
          </cell>
          <cell r="W430" t="str">
            <v>Per Unit</v>
          </cell>
          <cell r="X430" t="str">
            <v>Total</v>
          </cell>
          <cell r="Y430" t="str">
            <v>Per Unit</v>
          </cell>
          <cell r="Z430" t="str">
            <v>Total</v>
          </cell>
          <cell r="AA430" t="str">
            <v>Per Unit</v>
          </cell>
          <cell r="AB430" t="str">
            <v>Total</v>
          </cell>
          <cell r="AC430" t="str">
            <v>Average</v>
          </cell>
          <cell r="AD430" t="str">
            <v>20D Sunroof</v>
          </cell>
        </row>
        <row r="432">
          <cell r="C432" t="str">
            <v>Sales Units</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t="str">
            <v>Sales Units</v>
          </cell>
        </row>
        <row r="434">
          <cell r="C434" t="str">
            <v>Selling Price</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t="e">
            <v>#DIV/0!</v>
          </cell>
          <cell r="AD434" t="str">
            <v>Selling Price</v>
          </cell>
        </row>
        <row r="435">
          <cell r="C435" t="str">
            <v>Less: Dealer commission</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t="e">
            <v>#DIV/0!</v>
          </cell>
          <cell r="AD435" t="str">
            <v>Less: Dealer commission</v>
          </cell>
        </row>
        <row r="436">
          <cell r="D436" t="str">
            <v xml:space="preserve">  Sales tax</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t="e">
            <v>#DIV/0!</v>
          </cell>
          <cell r="AE436" t="str">
            <v xml:space="preserve">  Sales tax</v>
          </cell>
        </row>
        <row r="437">
          <cell r="C437" t="str">
            <v>Net Sales</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t="e">
            <v>#DIV/0!</v>
          </cell>
          <cell r="AD437" t="str">
            <v>Net Sales</v>
          </cell>
        </row>
        <row r="439">
          <cell r="C439" t="str">
            <v>Variable Cost of Sales</v>
          </cell>
          <cell r="AD439" t="str">
            <v>Variable Cost of Sales</v>
          </cell>
        </row>
        <row r="440">
          <cell r="D440" t="str">
            <v>CKD Cost</v>
          </cell>
          <cell r="E440">
            <v>379442.00459626858</v>
          </cell>
          <cell r="F440">
            <v>0</v>
          </cell>
          <cell r="G440">
            <v>379442.00459626858</v>
          </cell>
          <cell r="H440">
            <v>0</v>
          </cell>
          <cell r="I440">
            <v>379442.00459626858</v>
          </cell>
          <cell r="J440">
            <v>0</v>
          </cell>
          <cell r="K440">
            <v>373578.25246353168</v>
          </cell>
          <cell r="L440">
            <v>0</v>
          </cell>
          <cell r="M440">
            <v>373578.25246353168</v>
          </cell>
          <cell r="N440">
            <v>0</v>
          </cell>
          <cell r="O440">
            <v>373578.25246353168</v>
          </cell>
          <cell r="P440">
            <v>0</v>
          </cell>
          <cell r="Q440">
            <v>373578.25246353168</v>
          </cell>
          <cell r="R440">
            <v>0</v>
          </cell>
          <cell r="S440">
            <v>373578.25246353168</v>
          </cell>
          <cell r="T440">
            <v>0</v>
          </cell>
          <cell r="U440">
            <v>373578.25246353168</v>
          </cell>
          <cell r="V440">
            <v>0</v>
          </cell>
          <cell r="W440">
            <v>373578.25246353168</v>
          </cell>
          <cell r="X440">
            <v>0</v>
          </cell>
          <cell r="Y440">
            <v>373578.25246353168</v>
          </cell>
          <cell r="Z440">
            <v>0</v>
          </cell>
          <cell r="AA440">
            <v>373578.25246353168</v>
          </cell>
          <cell r="AB440">
            <v>0</v>
          </cell>
          <cell r="AC440" t="e">
            <v>#DIV/0!</v>
          </cell>
          <cell r="AE440" t="str">
            <v>CKD Cost</v>
          </cell>
        </row>
        <row r="441">
          <cell r="D441" t="str">
            <v>Vendor parts</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t="e">
            <v>#DIV/0!</v>
          </cell>
          <cell r="AE441" t="str">
            <v>Vendor parts</v>
          </cell>
        </row>
        <row r="442">
          <cell r="D442" t="str">
            <v>Nomi Parts</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t="e">
            <v>#DIV/0!</v>
          </cell>
          <cell r="AE442" t="str">
            <v>Nomi Parts</v>
          </cell>
        </row>
        <row r="443">
          <cell r="D443" t="str">
            <v>Paints &amp; Chemicals</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t="e">
            <v>#DIV/0!</v>
          </cell>
          <cell r="AE443" t="str">
            <v>Paints &amp; Chemicals</v>
          </cell>
        </row>
        <row r="444">
          <cell r="D444" t="str">
            <v>Consumables</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t="e">
            <v>#DIV/0!</v>
          </cell>
          <cell r="AE444" t="str">
            <v>Consumables</v>
          </cell>
        </row>
        <row r="445">
          <cell r="D445" t="str">
            <v>KD Parts</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E445" t="str">
            <v>KD Parts</v>
          </cell>
        </row>
        <row r="446">
          <cell r="D446" t="str">
            <v>Spare parts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t="e">
            <v>#DIV/0!</v>
          </cell>
          <cell r="AE446" t="str">
            <v>Spare parts</v>
          </cell>
        </row>
        <row r="447">
          <cell r="D447" t="str">
            <v>Utilities</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t="e">
            <v>#DIV/0!</v>
          </cell>
          <cell r="AE447" t="str">
            <v>Utilities</v>
          </cell>
        </row>
        <row r="448">
          <cell r="D448" t="str">
            <v>Royalty</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t="e">
            <v>#DIV/0!</v>
          </cell>
          <cell r="AE448" t="str">
            <v>Royalty</v>
          </cell>
        </row>
        <row r="450">
          <cell r="E450">
            <v>379442.00459626858</v>
          </cell>
          <cell r="F450">
            <v>0</v>
          </cell>
          <cell r="G450">
            <v>379442.00459626858</v>
          </cell>
          <cell r="H450">
            <v>0</v>
          </cell>
          <cell r="I450">
            <v>379442.00459626858</v>
          </cell>
          <cell r="J450">
            <v>0</v>
          </cell>
          <cell r="K450">
            <v>373578.25246353168</v>
          </cell>
          <cell r="L450">
            <v>0</v>
          </cell>
          <cell r="M450">
            <v>373578.25246353168</v>
          </cell>
          <cell r="N450">
            <v>0</v>
          </cell>
          <cell r="O450">
            <v>373578.25246353168</v>
          </cell>
          <cell r="P450">
            <v>0</v>
          </cell>
          <cell r="Q450">
            <v>373578.25246353168</v>
          </cell>
          <cell r="R450">
            <v>0</v>
          </cell>
          <cell r="S450">
            <v>373578.25246353168</v>
          </cell>
          <cell r="T450">
            <v>0</v>
          </cell>
          <cell r="U450">
            <v>373578.25246353168</v>
          </cell>
          <cell r="V450">
            <v>0</v>
          </cell>
          <cell r="W450">
            <v>373578.25246353168</v>
          </cell>
          <cell r="X450">
            <v>0</v>
          </cell>
          <cell r="Y450">
            <v>373578.25246353168</v>
          </cell>
          <cell r="Z450">
            <v>0</v>
          </cell>
          <cell r="AA450">
            <v>373578.25246353168</v>
          </cell>
          <cell r="AB450">
            <v>0</v>
          </cell>
          <cell r="AC450" t="e">
            <v>#DIV/0!</v>
          </cell>
        </row>
        <row r="451">
          <cell r="C451" t="str">
            <v>Contribution Margin</v>
          </cell>
          <cell r="E451">
            <v>-379442.00459626858</v>
          </cell>
          <cell r="F451">
            <v>0</v>
          </cell>
          <cell r="G451">
            <v>-379442.00459626858</v>
          </cell>
          <cell r="H451">
            <v>0</v>
          </cell>
          <cell r="I451">
            <v>-379442.00459626858</v>
          </cell>
          <cell r="J451">
            <v>0</v>
          </cell>
          <cell r="K451">
            <v>-373578.25246353168</v>
          </cell>
          <cell r="L451">
            <v>0</v>
          </cell>
          <cell r="M451">
            <v>-373578.25246353168</v>
          </cell>
          <cell r="N451">
            <v>0</v>
          </cell>
          <cell r="O451">
            <v>-373578.25246353168</v>
          </cell>
          <cell r="P451">
            <v>0</v>
          </cell>
          <cell r="Q451">
            <v>-373578.25246353168</v>
          </cell>
          <cell r="R451">
            <v>0</v>
          </cell>
          <cell r="S451">
            <v>-373578.25246353168</v>
          </cell>
          <cell r="T451">
            <v>0</v>
          </cell>
          <cell r="U451">
            <v>-373578.25246353168</v>
          </cell>
          <cell r="V451">
            <v>0</v>
          </cell>
          <cell r="W451">
            <v>-373578.25246353168</v>
          </cell>
          <cell r="X451">
            <v>0</v>
          </cell>
          <cell r="Y451">
            <v>-373578.25246353168</v>
          </cell>
          <cell r="Z451">
            <v>0</v>
          </cell>
          <cell r="AA451">
            <v>-373578.25246353168</v>
          </cell>
          <cell r="AB451">
            <v>0</v>
          </cell>
          <cell r="AC451" t="e">
            <v>#DIV/0!</v>
          </cell>
          <cell r="AD451" t="str">
            <v>Contribution Margin</v>
          </cell>
        </row>
        <row r="453">
          <cell r="C453" t="str">
            <v>Production cost</v>
          </cell>
          <cell r="AD453" t="str">
            <v>Production cost</v>
          </cell>
        </row>
        <row r="454">
          <cell r="D454" t="str">
            <v xml:space="preserve">Salaries &amp; Wages </v>
          </cell>
          <cell r="E454">
            <v>5330.971806841444</v>
          </cell>
          <cell r="F454">
            <v>0</v>
          </cell>
          <cell r="G454">
            <v>4450.6278387391867</v>
          </cell>
          <cell r="H454">
            <v>0</v>
          </cell>
          <cell r="I454">
            <v>4327.5507084975143</v>
          </cell>
          <cell r="J454">
            <v>0</v>
          </cell>
          <cell r="K454">
            <v>3880.9474753805712</v>
          </cell>
          <cell r="L454">
            <v>0</v>
          </cell>
          <cell r="M454">
            <v>5576.0739588801307</v>
          </cell>
          <cell r="N454">
            <v>0</v>
          </cell>
          <cell r="O454">
            <v>5384.2223576312035</v>
          </cell>
          <cell r="P454">
            <v>0</v>
          </cell>
          <cell r="Q454">
            <v>3880.9474753805712</v>
          </cell>
          <cell r="R454">
            <v>0</v>
          </cell>
          <cell r="S454">
            <v>5106.5098360270676</v>
          </cell>
          <cell r="T454">
            <v>0</v>
          </cell>
          <cell r="U454">
            <v>4709.8877128404993</v>
          </cell>
          <cell r="V454">
            <v>0</v>
          </cell>
          <cell r="W454">
            <v>5160.8344087507594</v>
          </cell>
          <cell r="X454">
            <v>0</v>
          </cell>
          <cell r="Y454">
            <v>5216.3272518556068</v>
          </cell>
          <cell r="Z454">
            <v>0</v>
          </cell>
          <cell r="AA454">
            <v>5063.8667476260061</v>
          </cell>
          <cell r="AB454">
            <v>0</v>
          </cell>
          <cell r="AC454" t="e">
            <v>#DIV/0!</v>
          </cell>
          <cell r="AE454" t="str">
            <v xml:space="preserve">Salaries &amp; Wages </v>
          </cell>
        </row>
        <row r="455">
          <cell r="D455" t="str">
            <v xml:space="preserve">Utilities </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E455" t="str">
            <v xml:space="preserve">Utilities </v>
          </cell>
        </row>
        <row r="456">
          <cell r="D456" t="str">
            <v>Depreciation</v>
          </cell>
          <cell r="E456">
            <v>11150.091575091576</v>
          </cell>
          <cell r="F456">
            <v>0</v>
          </cell>
          <cell r="G456">
            <v>9308.7920489296648</v>
          </cell>
          <cell r="H456">
            <v>0</v>
          </cell>
          <cell r="I456">
            <v>9051.3678263455258</v>
          </cell>
          <cell r="J456">
            <v>0</v>
          </cell>
          <cell r="K456">
            <v>8117.2666666666673</v>
          </cell>
          <cell r="L456">
            <v>0</v>
          </cell>
          <cell r="M456">
            <v>11662.739463601532</v>
          </cell>
          <cell r="N456">
            <v>0</v>
          </cell>
          <cell r="O456">
            <v>11261.468738438773</v>
          </cell>
          <cell r="P456">
            <v>0</v>
          </cell>
          <cell r="Q456">
            <v>8117.2666666666673</v>
          </cell>
          <cell r="R456">
            <v>0</v>
          </cell>
          <cell r="S456">
            <v>10680.614035087719</v>
          </cell>
          <cell r="T456">
            <v>0</v>
          </cell>
          <cell r="U456">
            <v>9851.0517799352765</v>
          </cell>
          <cell r="V456">
            <v>0</v>
          </cell>
          <cell r="W456">
            <v>10794.237588652482</v>
          </cell>
          <cell r="X456">
            <v>0</v>
          </cell>
          <cell r="Y456">
            <v>10910.304659498208</v>
          </cell>
          <cell r="Z456">
            <v>0</v>
          </cell>
          <cell r="AA456">
            <v>10591.423103688239</v>
          </cell>
          <cell r="AB456">
            <v>0</v>
          </cell>
          <cell r="AC456" t="e">
            <v>#DIV/0!</v>
          </cell>
          <cell r="AE456" t="str">
            <v>Depreciation</v>
          </cell>
        </row>
        <row r="457">
          <cell r="D457" t="str">
            <v xml:space="preserve">Other Factory overhead </v>
          </cell>
          <cell r="E457">
            <v>3328.5244606883934</v>
          </cell>
          <cell r="F457">
            <v>0</v>
          </cell>
          <cell r="G457">
            <v>2778.859870849943</v>
          </cell>
          <cell r="H457">
            <v>0</v>
          </cell>
          <cell r="I457">
            <v>2702.0136121556093</v>
          </cell>
          <cell r="J457">
            <v>0</v>
          </cell>
          <cell r="K457">
            <v>2423.1658073811504</v>
          </cell>
          <cell r="L457">
            <v>0</v>
          </cell>
          <cell r="M457">
            <v>3481.5600680763655</v>
          </cell>
          <cell r="N457">
            <v>0</v>
          </cell>
          <cell r="O457">
            <v>3361.7727627374452</v>
          </cell>
          <cell r="P457">
            <v>0</v>
          </cell>
          <cell r="Q457">
            <v>2423.1658073811504</v>
          </cell>
          <cell r="R457">
            <v>0</v>
          </cell>
          <cell r="S457">
            <v>3188.3760623436192</v>
          </cell>
          <cell r="T457">
            <v>0</v>
          </cell>
          <cell r="U457">
            <v>2940.735203132464</v>
          </cell>
          <cell r="V457">
            <v>0</v>
          </cell>
          <cell r="W457">
            <v>3222.2949566238703</v>
          </cell>
          <cell r="X457">
            <v>0</v>
          </cell>
          <cell r="Y457">
            <v>3256.9432894907936</v>
          </cell>
          <cell r="Z457">
            <v>0</v>
          </cell>
          <cell r="AA457">
            <v>3161.7507925119394</v>
          </cell>
          <cell r="AB457">
            <v>0</v>
          </cell>
          <cell r="AC457" t="e">
            <v>#DIV/0!</v>
          </cell>
          <cell r="AE457" t="str">
            <v xml:space="preserve">Other Factory overhead </v>
          </cell>
        </row>
        <row r="458">
          <cell r="D458" t="str">
            <v>Running Royalty</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E458" t="str">
            <v>Running Royalty</v>
          </cell>
        </row>
        <row r="459">
          <cell r="E459">
            <v>19809.587842621411</v>
          </cell>
          <cell r="F459">
            <v>0</v>
          </cell>
          <cell r="G459">
            <v>16538.279758518795</v>
          </cell>
          <cell r="H459">
            <v>0</v>
          </cell>
          <cell r="I459">
            <v>16080.93214699865</v>
          </cell>
          <cell r="J459">
            <v>0</v>
          </cell>
          <cell r="K459">
            <v>14421.379949428388</v>
          </cell>
          <cell r="L459">
            <v>0</v>
          </cell>
          <cell r="M459">
            <v>20720.373490558028</v>
          </cell>
          <cell r="N459">
            <v>0</v>
          </cell>
          <cell r="O459">
            <v>20007.463858807419</v>
          </cell>
          <cell r="P459">
            <v>0</v>
          </cell>
          <cell r="Q459">
            <v>14421.379949428388</v>
          </cell>
          <cell r="R459">
            <v>0</v>
          </cell>
          <cell r="S459">
            <v>18975.499933458406</v>
          </cell>
          <cell r="T459">
            <v>0</v>
          </cell>
          <cell r="U459">
            <v>17501.674695908237</v>
          </cell>
          <cell r="V459">
            <v>0</v>
          </cell>
          <cell r="W459">
            <v>19177.366954027111</v>
          </cell>
          <cell r="X459">
            <v>0</v>
          </cell>
          <cell r="Y459">
            <v>19383.575200844611</v>
          </cell>
          <cell r="Z459">
            <v>0</v>
          </cell>
          <cell r="AA459">
            <v>18817.040643826185</v>
          </cell>
          <cell r="AB459">
            <v>0</v>
          </cell>
          <cell r="AC459" t="e">
            <v>#DIV/0!</v>
          </cell>
        </row>
        <row r="460">
          <cell r="C460" t="str">
            <v>Gross Profit</v>
          </cell>
          <cell r="E460">
            <v>-399251.59243889002</v>
          </cell>
          <cell r="F460">
            <v>0</v>
          </cell>
          <cell r="G460">
            <v>-395980.28435478738</v>
          </cell>
          <cell r="H460">
            <v>0</v>
          </cell>
          <cell r="I460">
            <v>-395522.93674326723</v>
          </cell>
          <cell r="J460">
            <v>0</v>
          </cell>
          <cell r="K460">
            <v>-387999.63241296005</v>
          </cell>
          <cell r="L460">
            <v>0</v>
          </cell>
          <cell r="M460">
            <v>-394298.62595408969</v>
          </cell>
          <cell r="N460">
            <v>0</v>
          </cell>
          <cell r="O460">
            <v>-393585.71632233908</v>
          </cell>
          <cell r="P460">
            <v>0</v>
          </cell>
          <cell r="Q460">
            <v>-387999.63241296005</v>
          </cell>
          <cell r="R460">
            <v>0</v>
          </cell>
          <cell r="S460">
            <v>-392553.75239699008</v>
          </cell>
          <cell r="T460">
            <v>0</v>
          </cell>
          <cell r="U460">
            <v>-391079.92715943989</v>
          </cell>
          <cell r="V460">
            <v>0</v>
          </cell>
          <cell r="W460">
            <v>-392755.61941755877</v>
          </cell>
          <cell r="X460">
            <v>0</v>
          </cell>
          <cell r="Y460">
            <v>-392961.82766437629</v>
          </cell>
          <cell r="Z460">
            <v>0</v>
          </cell>
          <cell r="AA460">
            <v>-392395.29310735787</v>
          </cell>
          <cell r="AB460">
            <v>0</v>
          </cell>
          <cell r="AC460" t="e">
            <v>#DIV/0!</v>
          </cell>
          <cell r="AD460" t="str">
            <v>Gross Profit</v>
          </cell>
        </row>
        <row r="462">
          <cell r="C462" t="str">
            <v>Other Expenses</v>
          </cell>
          <cell r="AD462" t="str">
            <v>Other Expenses</v>
          </cell>
        </row>
        <row r="463">
          <cell r="D463" t="str">
            <v>Selling Expenses</v>
          </cell>
          <cell r="E463">
            <v>5183.0082521448167</v>
          </cell>
          <cell r="F463">
            <v>0</v>
          </cell>
          <cell r="G463">
            <v>4427.3486746392564</v>
          </cell>
          <cell r="H463">
            <v>0</v>
          </cell>
          <cell r="I463">
            <v>4320.887144065181</v>
          </cell>
          <cell r="J463">
            <v>0</v>
          </cell>
          <cell r="K463">
            <v>3897.7185689144208</v>
          </cell>
          <cell r="L463">
            <v>0</v>
          </cell>
          <cell r="M463">
            <v>5409.2615187305564</v>
          </cell>
          <cell r="N463">
            <v>0</v>
          </cell>
          <cell r="O463">
            <v>5179.8400416559607</v>
          </cell>
          <cell r="P463">
            <v>0</v>
          </cell>
          <cell r="Q463">
            <v>3845.1336292747983</v>
          </cell>
          <cell r="R463">
            <v>0</v>
          </cell>
          <cell r="S463">
            <v>4967.5774890123712</v>
          </cell>
          <cell r="T463">
            <v>0</v>
          </cell>
          <cell r="U463">
            <v>4642.661605420024</v>
          </cell>
          <cell r="V463">
            <v>0</v>
          </cell>
          <cell r="W463">
            <v>5073.1110111757944</v>
          </cell>
          <cell r="X463">
            <v>0</v>
          </cell>
          <cell r="Y463">
            <v>5099.2966467698334</v>
          </cell>
          <cell r="Z463">
            <v>0</v>
          </cell>
          <cell r="AA463">
            <v>4893.3178190345943</v>
          </cell>
          <cell r="AB463">
            <v>0</v>
          </cell>
          <cell r="AC463" t="e">
            <v>#DIV/0!</v>
          </cell>
          <cell r="AE463" t="str">
            <v>Selling Expenses</v>
          </cell>
        </row>
        <row r="464">
          <cell r="D464" t="str">
            <v>Advertisement Expenses</v>
          </cell>
          <cell r="E464">
            <v>800.32572918126152</v>
          </cell>
          <cell r="F464">
            <v>0</v>
          </cell>
          <cell r="G464">
            <v>969.71958993165515</v>
          </cell>
          <cell r="H464">
            <v>0</v>
          </cell>
          <cell r="I464">
            <v>7367.9708551430685</v>
          </cell>
          <cell r="J464">
            <v>0</v>
          </cell>
          <cell r="K464">
            <v>6935.2770964018819</v>
          </cell>
          <cell r="L464">
            <v>0</v>
          </cell>
          <cell r="M464">
            <v>7697.2629504339211</v>
          </cell>
          <cell r="N464">
            <v>0</v>
          </cell>
          <cell r="O464">
            <v>799.8365151483406</v>
          </cell>
          <cell r="P464">
            <v>0</v>
          </cell>
          <cell r="Q464">
            <v>739.89139808437483</v>
          </cell>
          <cell r="R464">
            <v>0</v>
          </cell>
          <cell r="S464">
            <v>4684.9685429207811</v>
          </cell>
          <cell r="T464">
            <v>0</v>
          </cell>
          <cell r="U464">
            <v>5393.2109933565007</v>
          </cell>
          <cell r="V464">
            <v>0</v>
          </cell>
          <cell r="W464">
            <v>783.35612673520234</v>
          </cell>
          <cell r="X464">
            <v>0</v>
          </cell>
          <cell r="Y464">
            <v>8782.5333169589612</v>
          </cell>
          <cell r="Z464">
            <v>0</v>
          </cell>
          <cell r="AA464">
            <v>1104.3291887822443</v>
          </cell>
          <cell r="AB464">
            <v>0</v>
          </cell>
          <cell r="AC464" t="e">
            <v>#DIV/0!</v>
          </cell>
        </row>
        <row r="465">
          <cell r="D465" t="str">
            <v>Administrative Expenses</v>
          </cell>
          <cell r="E465">
            <v>10560.726889052896</v>
          </cell>
          <cell r="F465">
            <v>0</v>
          </cell>
          <cell r="G465">
            <v>9021.0198249495461</v>
          </cell>
          <cell r="H465">
            <v>0</v>
          </cell>
          <cell r="I465">
            <v>8804.0973170376383</v>
          </cell>
          <cell r="J465">
            <v>0</v>
          </cell>
          <cell r="K465">
            <v>7941.8629672567968</v>
          </cell>
          <cell r="L465">
            <v>0</v>
          </cell>
          <cell r="M465">
            <v>11021.733092386507</v>
          </cell>
          <cell r="N465">
            <v>0</v>
          </cell>
          <cell r="O465">
            <v>10554.271447719957</v>
          </cell>
          <cell r="P465">
            <v>0</v>
          </cell>
          <cell r="Q465">
            <v>7834.7176263668644</v>
          </cell>
          <cell r="R465">
            <v>0</v>
          </cell>
          <cell r="S465">
            <v>10121.772262268241</v>
          </cell>
          <cell r="T465">
            <v>0</v>
          </cell>
          <cell r="U465">
            <v>9459.7343604157559</v>
          </cell>
          <cell r="V465">
            <v>0</v>
          </cell>
          <cell r="W465">
            <v>10336.803890810705</v>
          </cell>
          <cell r="X465">
            <v>0</v>
          </cell>
          <cell r="Y465">
            <v>10390.158879356299</v>
          </cell>
          <cell r="Z465">
            <v>0</v>
          </cell>
          <cell r="AA465">
            <v>9970.4632047953019</v>
          </cell>
          <cell r="AB465">
            <v>0</v>
          </cell>
          <cell r="AC465" t="e">
            <v>#DIV/0!</v>
          </cell>
          <cell r="AE465" t="str">
            <v>Administrative Expenses</v>
          </cell>
        </row>
        <row r="466">
          <cell r="D466" t="str">
            <v>Depreciation (Admin. &amp; Selling )</v>
          </cell>
          <cell r="E466">
            <v>2969.9882598191184</v>
          </cell>
          <cell r="F466">
            <v>0</v>
          </cell>
          <cell r="G466">
            <v>2536.9771657922738</v>
          </cell>
          <cell r="H466">
            <v>0</v>
          </cell>
          <cell r="I466">
            <v>2475.9721508385478</v>
          </cell>
          <cell r="J466">
            <v>0</v>
          </cell>
          <cell r="K466">
            <v>2233.4863898710532</v>
          </cell>
          <cell r="L466">
            <v>0</v>
          </cell>
          <cell r="M466">
            <v>3099.6368177250984</v>
          </cell>
          <cell r="N466">
            <v>0</v>
          </cell>
          <cell r="O466">
            <v>2968.1727990868981</v>
          </cell>
          <cell r="P466">
            <v>0</v>
          </cell>
          <cell r="Q466">
            <v>2203.3539560073127</v>
          </cell>
          <cell r="R466">
            <v>0</v>
          </cell>
          <cell r="S466">
            <v>2846.5412564224971</v>
          </cell>
          <cell r="T466">
            <v>0</v>
          </cell>
          <cell r="U466">
            <v>2660.3566484202443</v>
          </cell>
          <cell r="V466">
            <v>0</v>
          </cell>
          <cell r="W466">
            <v>2907.0145002598042</v>
          </cell>
          <cell r="X466">
            <v>0</v>
          </cell>
          <cell r="Y466">
            <v>2922.0194986134175</v>
          </cell>
          <cell r="Z466">
            <v>0</v>
          </cell>
          <cell r="AA466">
            <v>2803.9886812995901</v>
          </cell>
          <cell r="AB466">
            <v>0</v>
          </cell>
          <cell r="AC466" t="e">
            <v>#DIV/0!</v>
          </cell>
          <cell r="AE466" t="str">
            <v>Depreciation (Admin. &amp; Selling )</v>
          </cell>
        </row>
        <row r="467">
          <cell r="D467" t="str">
            <v>Financial Charges -Capital Exp.</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t="e">
            <v>#DIV/0!</v>
          </cell>
          <cell r="AE467" t="str">
            <v>Financial Charges -Capital Exp.</v>
          </cell>
        </row>
        <row r="468">
          <cell r="D468" t="str">
            <v>Financial  Charges -Working Capital</v>
          </cell>
          <cell r="E468">
            <v>530.11444507895521</v>
          </cell>
          <cell r="F468">
            <v>0</v>
          </cell>
          <cell r="G468">
            <v>458.80097155251627</v>
          </cell>
          <cell r="H468">
            <v>0</v>
          </cell>
          <cell r="I468">
            <v>448.49087868071882</v>
          </cell>
          <cell r="J468">
            <v>0</v>
          </cell>
          <cell r="K468">
            <v>407.98094465914818</v>
          </cell>
          <cell r="L468">
            <v>0</v>
          </cell>
          <cell r="M468">
            <v>548.85949175372707</v>
          </cell>
          <cell r="N468">
            <v>0</v>
          </cell>
          <cell r="O468">
            <v>527.77239945924691</v>
          </cell>
          <cell r="P468">
            <v>0</v>
          </cell>
          <cell r="Q468">
            <v>396.96132884259964</v>
          </cell>
          <cell r="R468">
            <v>0</v>
          </cell>
          <cell r="S468">
            <v>498.98402076239711</v>
          </cell>
          <cell r="T468">
            <v>0</v>
          </cell>
          <cell r="U468">
            <v>470.64800851302482</v>
          </cell>
          <cell r="V468">
            <v>0</v>
          </cell>
          <cell r="W468">
            <v>511.61704210669683</v>
          </cell>
          <cell r="X468">
            <v>0</v>
          </cell>
          <cell r="Y468">
            <v>513.76394785157731</v>
          </cell>
          <cell r="Z468">
            <v>0</v>
          </cell>
          <cell r="AA468">
            <v>495.30468493193735</v>
          </cell>
          <cell r="AB468">
            <v>0</v>
          </cell>
          <cell r="AC468" t="e">
            <v>#DIV/0!</v>
          </cell>
          <cell r="AE468" t="str">
            <v>Financial  Charges -Working Capital</v>
          </cell>
        </row>
        <row r="469">
          <cell r="D469" t="str">
            <v>Other Expenses (Charity &amp; Donation)</v>
          </cell>
          <cell r="E469">
            <v>368.13503130483002</v>
          </cell>
          <cell r="F469">
            <v>0</v>
          </cell>
          <cell r="G469">
            <v>318.61178580035858</v>
          </cell>
          <cell r="H469">
            <v>0</v>
          </cell>
          <cell r="I469">
            <v>311.4519990838325</v>
          </cell>
          <cell r="J469">
            <v>0</v>
          </cell>
          <cell r="K469">
            <v>283.32010045774183</v>
          </cell>
          <cell r="L469">
            <v>0</v>
          </cell>
          <cell r="M469">
            <v>381.15242482897719</v>
          </cell>
          <cell r="N469">
            <v>0</v>
          </cell>
          <cell r="O469">
            <v>366.50861073558809</v>
          </cell>
          <cell r="P469">
            <v>0</v>
          </cell>
          <cell r="Q469">
            <v>275.66758947402758</v>
          </cell>
          <cell r="R469">
            <v>0</v>
          </cell>
          <cell r="S469">
            <v>346.51668108499797</v>
          </cell>
          <cell r="T469">
            <v>0</v>
          </cell>
          <cell r="U469">
            <v>326.83889480071173</v>
          </cell>
          <cell r="V469">
            <v>0</v>
          </cell>
          <cell r="W469">
            <v>355.28961257409514</v>
          </cell>
          <cell r="X469">
            <v>0</v>
          </cell>
          <cell r="Y469">
            <v>356.78051934137312</v>
          </cell>
          <cell r="Z469">
            <v>0</v>
          </cell>
          <cell r="AA469">
            <v>343.96158675828985</v>
          </cell>
          <cell r="AB469">
            <v>0</v>
          </cell>
          <cell r="AC469" t="e">
            <v>#DIV/0!</v>
          </cell>
          <cell r="AE469" t="str">
            <v>Other Expenses (Charity &amp; Donation)</v>
          </cell>
        </row>
        <row r="470">
          <cell r="D470" t="str">
            <v>Other Expenses ( W.P.P.F.)</v>
          </cell>
          <cell r="E470">
            <v>3573.7075858361454</v>
          </cell>
          <cell r="F470">
            <v>0</v>
          </cell>
          <cell r="G470">
            <v>3260.1003648049996</v>
          </cell>
          <cell r="H470">
            <v>0</v>
          </cell>
          <cell r="I470">
            <v>2868.2077932472907</v>
          </cell>
          <cell r="J470">
            <v>0</v>
          </cell>
          <cell r="K470">
            <v>2950.3710885468208</v>
          </cell>
          <cell r="L470">
            <v>0</v>
          </cell>
          <cell r="M470">
            <v>2984.5209973853607</v>
          </cell>
          <cell r="N470">
            <v>0</v>
          </cell>
          <cell r="O470">
            <v>3261.9142882485439</v>
          </cell>
          <cell r="P470">
            <v>0</v>
          </cell>
          <cell r="Q470">
            <v>3221.4233012482478</v>
          </cell>
          <cell r="R470">
            <v>0</v>
          </cell>
          <cell r="S470">
            <v>2697.4681580678207</v>
          </cell>
          <cell r="T470">
            <v>0</v>
          </cell>
          <cell r="U470">
            <v>2877.5317129664104</v>
          </cell>
          <cell r="V470">
            <v>0</v>
          </cell>
          <cell r="W470">
            <v>3280.2679674234987</v>
          </cell>
          <cell r="X470">
            <v>0</v>
          </cell>
          <cell r="Y470">
            <v>2911.8557735997142</v>
          </cell>
          <cell r="Z470">
            <v>0</v>
          </cell>
          <cell r="AA470">
            <v>3464.9058265788067</v>
          </cell>
          <cell r="AB470">
            <v>0</v>
          </cell>
          <cell r="AC470" t="e">
            <v>#DIV/0!</v>
          </cell>
          <cell r="AE470" t="str">
            <v>Other Expenses ( W.P.P.F.)</v>
          </cell>
        </row>
        <row r="471">
          <cell r="D471" t="str">
            <v>Workers Welfare Fund</v>
          </cell>
          <cell r="E471">
            <v>1499.0267372593985</v>
          </cell>
          <cell r="F471">
            <v>0</v>
          </cell>
          <cell r="G471">
            <v>1367.4811090758005</v>
          </cell>
          <cell r="H471">
            <v>0</v>
          </cell>
          <cell r="I471">
            <v>1203.0979219267881</v>
          </cell>
          <cell r="J471">
            <v>0</v>
          </cell>
          <cell r="K471">
            <v>1237.5621229049211</v>
          </cell>
          <cell r="L471">
            <v>0</v>
          </cell>
          <cell r="M471">
            <v>1251.8866374865934</v>
          </cell>
          <cell r="N471">
            <v>0</v>
          </cell>
          <cell r="O471">
            <v>1368.2419770751833</v>
          </cell>
          <cell r="P471">
            <v>0</v>
          </cell>
          <cell r="Q471">
            <v>1351.2576349952574</v>
          </cell>
          <cell r="R471">
            <v>0</v>
          </cell>
          <cell r="S471">
            <v>1131.4795054513236</v>
          </cell>
          <cell r="T471">
            <v>0</v>
          </cell>
          <cell r="U471">
            <v>1207.0089316049207</v>
          </cell>
          <cell r="V471">
            <v>0</v>
          </cell>
          <cell r="W471">
            <v>1375.9406080206418</v>
          </cell>
          <cell r="X471">
            <v>0</v>
          </cell>
          <cell r="Y471">
            <v>1221.4064958669101</v>
          </cell>
          <cell r="Z471">
            <v>0</v>
          </cell>
          <cell r="AA471">
            <v>1453.3887710099996</v>
          </cell>
          <cell r="AB471">
            <v>0</v>
          </cell>
          <cell r="AC471" t="e">
            <v>#DIV/0!</v>
          </cell>
          <cell r="AE471" t="str">
            <v>Workers Welfare Fund</v>
          </cell>
        </row>
        <row r="472">
          <cell r="E472">
            <v>25485.032929677422</v>
          </cell>
          <cell r="F472">
            <v>0</v>
          </cell>
          <cell r="G472">
            <v>22360.059486546405</v>
          </cell>
          <cell r="H472">
            <v>0</v>
          </cell>
          <cell r="I472">
            <v>27800.176060023059</v>
          </cell>
          <cell r="J472">
            <v>0</v>
          </cell>
          <cell r="K472">
            <v>25887.579279012789</v>
          </cell>
          <cell r="L472">
            <v>0</v>
          </cell>
          <cell r="M472">
            <v>32394.313930730743</v>
          </cell>
          <cell r="N472">
            <v>0</v>
          </cell>
          <cell r="O472">
            <v>25026.558079129718</v>
          </cell>
          <cell r="P472">
            <v>0</v>
          </cell>
          <cell r="Q472">
            <v>19868.406464293483</v>
          </cell>
          <cell r="R472">
            <v>0</v>
          </cell>
          <cell r="S472">
            <v>27295.30791599043</v>
          </cell>
          <cell r="T472">
            <v>0</v>
          </cell>
          <cell r="U472">
            <v>27037.991155497592</v>
          </cell>
          <cell r="V472">
            <v>0</v>
          </cell>
          <cell r="W472">
            <v>24623.40075910644</v>
          </cell>
          <cell r="X472">
            <v>0</v>
          </cell>
          <cell r="Y472">
            <v>32197.815078358082</v>
          </cell>
          <cell r="Z472">
            <v>0</v>
          </cell>
          <cell r="AA472">
            <v>24529.659763190764</v>
          </cell>
          <cell r="AB472">
            <v>0</v>
          </cell>
          <cell r="AC472" t="e">
            <v>#DIV/0!</v>
          </cell>
        </row>
        <row r="473">
          <cell r="D473" t="str">
            <v>Operating Profit</v>
          </cell>
          <cell r="E473">
            <v>-424736.62536856742</v>
          </cell>
          <cell r="F473">
            <v>0</v>
          </cell>
          <cell r="G473">
            <v>-418340.34384133376</v>
          </cell>
          <cell r="H473">
            <v>0</v>
          </cell>
          <cell r="I473">
            <v>-423323.11280329031</v>
          </cell>
          <cell r="J473">
            <v>0</v>
          </cell>
          <cell r="K473">
            <v>-413887.21169197286</v>
          </cell>
          <cell r="L473">
            <v>0</v>
          </cell>
          <cell r="M473">
            <v>-426692.93988482043</v>
          </cell>
          <cell r="N473">
            <v>0</v>
          </cell>
          <cell r="O473">
            <v>-418612.27440146881</v>
          </cell>
          <cell r="P473">
            <v>0</v>
          </cell>
          <cell r="Q473">
            <v>-407868.03887725354</v>
          </cell>
          <cell r="R473">
            <v>0</v>
          </cell>
          <cell r="S473">
            <v>-419849.06031298049</v>
          </cell>
          <cell r="T473">
            <v>0</v>
          </cell>
          <cell r="U473">
            <v>-418117.9183149375</v>
          </cell>
          <cell r="V473">
            <v>0</v>
          </cell>
          <cell r="W473">
            <v>-417379.02017666522</v>
          </cell>
          <cell r="X473">
            <v>0</v>
          </cell>
          <cell r="Y473">
            <v>-425159.6427427344</v>
          </cell>
          <cell r="Z473">
            <v>0</v>
          </cell>
          <cell r="AA473">
            <v>-416924.95287054864</v>
          </cell>
          <cell r="AB473">
            <v>0</v>
          </cell>
          <cell r="AC473" t="e">
            <v>#DIV/0!</v>
          </cell>
          <cell r="AE473" t="str">
            <v>Operating Profit</v>
          </cell>
        </row>
        <row r="475">
          <cell r="C475" t="str">
            <v>Other Income</v>
          </cell>
          <cell r="AD475" t="str">
            <v>Other Income</v>
          </cell>
        </row>
        <row r="476">
          <cell r="D476" t="str">
            <v>H.D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t="e">
            <v>#DIV/0!</v>
          </cell>
          <cell r="AE476" t="str">
            <v>H.D</v>
          </cell>
        </row>
        <row r="477">
          <cell r="D477" t="str">
            <v>Others</v>
          </cell>
          <cell r="E477">
            <v>18021.978021978022</v>
          </cell>
          <cell r="F477">
            <v>0</v>
          </cell>
          <cell r="G477">
            <v>15045.871559633028</v>
          </cell>
          <cell r="H477">
            <v>0</v>
          </cell>
          <cell r="I477">
            <v>14629.794826048172</v>
          </cell>
          <cell r="J477">
            <v>0</v>
          </cell>
          <cell r="K477">
            <v>5120</v>
          </cell>
          <cell r="L477">
            <v>0</v>
          </cell>
          <cell r="M477">
            <v>7356.3218390804595</v>
          </cell>
          <cell r="N477">
            <v>0</v>
          </cell>
          <cell r="O477">
            <v>7103.2186459489458</v>
          </cell>
          <cell r="P477">
            <v>0</v>
          </cell>
          <cell r="Q477">
            <v>5120</v>
          </cell>
          <cell r="R477">
            <v>0</v>
          </cell>
          <cell r="S477">
            <v>6736.8421052631575</v>
          </cell>
          <cell r="T477">
            <v>0</v>
          </cell>
          <cell r="U477">
            <v>6213.5922330097092</v>
          </cell>
          <cell r="V477">
            <v>0</v>
          </cell>
          <cell r="W477">
            <v>6808.510638297872</v>
          </cell>
          <cell r="X477">
            <v>0</v>
          </cell>
          <cell r="Y477">
            <v>6881.7204301075271</v>
          </cell>
          <cell r="Z477">
            <v>0</v>
          </cell>
          <cell r="AA477">
            <v>6680.5845511482257</v>
          </cell>
          <cell r="AB477">
            <v>0</v>
          </cell>
          <cell r="AC477" t="e">
            <v>#DIV/0!</v>
          </cell>
          <cell r="AE477" t="str">
            <v>Others</v>
          </cell>
        </row>
        <row r="478">
          <cell r="E478">
            <v>18021.978021978022</v>
          </cell>
          <cell r="F478">
            <v>0</v>
          </cell>
          <cell r="G478">
            <v>15045.871559633028</v>
          </cell>
          <cell r="H478">
            <v>0</v>
          </cell>
          <cell r="I478">
            <v>14629.794826048172</v>
          </cell>
          <cell r="J478">
            <v>0</v>
          </cell>
          <cell r="K478">
            <v>5120</v>
          </cell>
          <cell r="L478">
            <v>0</v>
          </cell>
          <cell r="M478">
            <v>7356.3218390804595</v>
          </cell>
          <cell r="N478">
            <v>0</v>
          </cell>
          <cell r="O478">
            <v>7103.2186459489458</v>
          </cell>
          <cell r="P478">
            <v>0</v>
          </cell>
          <cell r="Q478">
            <v>5120</v>
          </cell>
          <cell r="R478">
            <v>0</v>
          </cell>
          <cell r="S478">
            <v>6736.8421052631575</v>
          </cell>
          <cell r="T478">
            <v>0</v>
          </cell>
          <cell r="U478">
            <v>6213.5922330097092</v>
          </cell>
          <cell r="V478">
            <v>0</v>
          </cell>
          <cell r="W478">
            <v>6808.510638297872</v>
          </cell>
          <cell r="X478">
            <v>0</v>
          </cell>
          <cell r="Y478">
            <v>6881.7204301075271</v>
          </cell>
          <cell r="Z478">
            <v>0</v>
          </cell>
          <cell r="AA478">
            <v>6680.5845511482257</v>
          </cell>
          <cell r="AB478">
            <v>0</v>
          </cell>
          <cell r="AC478" t="e">
            <v>#DIV/0!</v>
          </cell>
        </row>
        <row r="480">
          <cell r="C480" t="str">
            <v>Profit / (Loss) before tax</v>
          </cell>
          <cell r="E480">
            <v>-406714.64734658937</v>
          </cell>
          <cell r="F480">
            <v>0</v>
          </cell>
          <cell r="G480">
            <v>-403294.47228170076</v>
          </cell>
          <cell r="H480">
            <v>0</v>
          </cell>
          <cell r="I480">
            <v>-408693.31797724211</v>
          </cell>
          <cell r="J480">
            <v>0</v>
          </cell>
          <cell r="K480">
            <v>-408767.21169197286</v>
          </cell>
          <cell r="L480">
            <v>0</v>
          </cell>
          <cell r="M480">
            <v>-419336.61804573995</v>
          </cell>
          <cell r="N480">
            <v>0</v>
          </cell>
          <cell r="O480">
            <v>-411509.05575551989</v>
          </cell>
          <cell r="P480">
            <v>0</v>
          </cell>
          <cell r="Q480">
            <v>-402748.03887725354</v>
          </cell>
          <cell r="R480">
            <v>0</v>
          </cell>
          <cell r="S480">
            <v>-413112.21820771735</v>
          </cell>
          <cell r="T480">
            <v>0</v>
          </cell>
          <cell r="U480">
            <v>-411904.32608192781</v>
          </cell>
          <cell r="V480">
            <v>0</v>
          </cell>
          <cell r="W480">
            <v>-410570.50953836733</v>
          </cell>
          <cell r="X480">
            <v>0</v>
          </cell>
          <cell r="Y480">
            <v>-418277.92231262685</v>
          </cell>
          <cell r="Z480">
            <v>0</v>
          </cell>
          <cell r="AA480">
            <v>-410244.36831940041</v>
          </cell>
          <cell r="AB480">
            <v>0</v>
          </cell>
          <cell r="AC480" t="e">
            <v>#DIV/0!</v>
          </cell>
          <cell r="AD480" t="str">
            <v>Profit before tax</v>
          </cell>
        </row>
        <row r="482">
          <cell r="C482" t="str">
            <v>Taxation</v>
          </cell>
          <cell r="AD482" t="str">
            <v>Taxation</v>
          </cell>
        </row>
        <row r="483">
          <cell r="D483" t="str">
            <v>Current</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t="e">
            <v>#DIV/0!</v>
          </cell>
          <cell r="AE483" t="str">
            <v>Current</v>
          </cell>
        </row>
        <row r="484">
          <cell r="D484" t="str">
            <v>Deferred</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t="e">
            <v>#DIV/0!</v>
          </cell>
          <cell r="AE484" t="str">
            <v>Deferred</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t="e">
            <v>#DIV/0!</v>
          </cell>
        </row>
        <row r="487">
          <cell r="C487" t="str">
            <v>Net Profit after taxation</v>
          </cell>
          <cell r="E487">
            <v>-406714.64734658937</v>
          </cell>
          <cell r="F487">
            <v>0</v>
          </cell>
          <cell r="G487">
            <v>-403294.47228170076</v>
          </cell>
          <cell r="H487">
            <v>0</v>
          </cell>
          <cell r="I487">
            <v>-408693.31797724211</v>
          </cell>
          <cell r="J487">
            <v>0</v>
          </cell>
          <cell r="K487">
            <v>-408767.21169197286</v>
          </cell>
          <cell r="L487">
            <v>0</v>
          </cell>
          <cell r="M487">
            <v>-419336.61804573995</v>
          </cell>
          <cell r="N487">
            <v>0</v>
          </cell>
          <cell r="O487">
            <v>-411509.05575551989</v>
          </cell>
          <cell r="P487">
            <v>0</v>
          </cell>
          <cell r="Q487">
            <v>-402748.03887725354</v>
          </cell>
          <cell r="R487">
            <v>0</v>
          </cell>
          <cell r="S487">
            <v>-413112.21820771735</v>
          </cell>
          <cell r="T487">
            <v>0</v>
          </cell>
          <cell r="U487">
            <v>-411904.32608192781</v>
          </cell>
          <cell r="V487">
            <v>0</v>
          </cell>
          <cell r="W487">
            <v>-410570.50953836733</v>
          </cell>
          <cell r="X487">
            <v>0</v>
          </cell>
          <cell r="Y487">
            <v>-418277.92231262685</v>
          </cell>
          <cell r="Z487">
            <v>0</v>
          </cell>
          <cell r="AA487">
            <v>-410244.36831940041</v>
          </cell>
          <cell r="AB487">
            <v>0</v>
          </cell>
          <cell r="AC487" t="e">
            <v>#DIV/0!</v>
          </cell>
          <cell r="AD487" t="str">
            <v>Net Profit after taxation</v>
          </cell>
        </row>
        <row r="490">
          <cell r="AC490" t="str">
            <v>2.0D</v>
          </cell>
        </row>
        <row r="491">
          <cell r="E491">
            <v>37438</v>
          </cell>
          <cell r="G491">
            <v>37469</v>
          </cell>
          <cell r="I491">
            <v>37500</v>
          </cell>
          <cell r="K491">
            <v>37531</v>
          </cell>
          <cell r="M491">
            <v>37562</v>
          </cell>
          <cell r="O491">
            <v>37593</v>
          </cell>
          <cell r="Q491">
            <v>37624</v>
          </cell>
          <cell r="S491">
            <v>37655</v>
          </cell>
          <cell r="U491">
            <v>37686</v>
          </cell>
          <cell r="W491">
            <v>37717</v>
          </cell>
          <cell r="Y491">
            <v>37748</v>
          </cell>
          <cell r="AA491">
            <v>37779</v>
          </cell>
          <cell r="AC491" t="str">
            <v>Yearly</v>
          </cell>
        </row>
        <row r="492">
          <cell r="D492" t="str">
            <v>2.0D</v>
          </cell>
          <cell r="E492" t="str">
            <v>Per Unit</v>
          </cell>
          <cell r="F492" t="str">
            <v>Total</v>
          </cell>
          <cell r="G492" t="str">
            <v>Per Unit</v>
          </cell>
          <cell r="H492" t="str">
            <v>Total</v>
          </cell>
          <cell r="I492" t="str">
            <v>Per Unit</v>
          </cell>
          <cell r="J492" t="str">
            <v>Total</v>
          </cell>
          <cell r="K492" t="str">
            <v>Per Unit</v>
          </cell>
          <cell r="L492" t="str">
            <v>Total</v>
          </cell>
          <cell r="M492" t="str">
            <v>Per Unit</v>
          </cell>
          <cell r="N492" t="str">
            <v>Total</v>
          </cell>
          <cell r="O492" t="str">
            <v>Per Unit</v>
          </cell>
          <cell r="P492" t="str">
            <v>Total</v>
          </cell>
          <cell r="Q492" t="str">
            <v>Per Unit</v>
          </cell>
          <cell r="R492" t="str">
            <v>Total</v>
          </cell>
          <cell r="S492" t="str">
            <v>Per Unit</v>
          </cell>
          <cell r="T492" t="str">
            <v>Total</v>
          </cell>
          <cell r="U492" t="str">
            <v>Per Unit</v>
          </cell>
          <cell r="V492" t="str">
            <v>Total</v>
          </cell>
          <cell r="W492" t="str">
            <v>Per Unit</v>
          </cell>
          <cell r="X492" t="str">
            <v>Total</v>
          </cell>
          <cell r="Y492" t="str">
            <v>Per Unit</v>
          </cell>
          <cell r="Z492" t="str">
            <v>Total</v>
          </cell>
          <cell r="AA492" t="str">
            <v>Per Unit</v>
          </cell>
          <cell r="AB492" t="str">
            <v>Total</v>
          </cell>
          <cell r="AC492" t="str">
            <v>Average</v>
          </cell>
          <cell r="AD492">
            <v>0</v>
          </cell>
          <cell r="AE492" t="str">
            <v>2.0D</v>
          </cell>
        </row>
        <row r="494">
          <cell r="C494" t="str">
            <v>Sales Units</v>
          </cell>
          <cell r="E494">
            <v>150</v>
          </cell>
          <cell r="F494">
            <v>150</v>
          </cell>
          <cell r="G494">
            <v>170</v>
          </cell>
          <cell r="H494">
            <v>170</v>
          </cell>
          <cell r="I494">
            <v>170</v>
          </cell>
          <cell r="J494">
            <v>170</v>
          </cell>
          <cell r="K494">
            <v>180</v>
          </cell>
          <cell r="L494">
            <v>180</v>
          </cell>
          <cell r="M494">
            <v>130</v>
          </cell>
          <cell r="N494">
            <v>130</v>
          </cell>
          <cell r="O494">
            <v>130</v>
          </cell>
          <cell r="P494">
            <v>130</v>
          </cell>
          <cell r="Q494">
            <v>170</v>
          </cell>
          <cell r="R494">
            <v>170</v>
          </cell>
          <cell r="S494">
            <v>120</v>
          </cell>
          <cell r="T494">
            <v>120</v>
          </cell>
          <cell r="U494">
            <v>150</v>
          </cell>
          <cell r="V494">
            <v>150</v>
          </cell>
          <cell r="W494">
            <v>160</v>
          </cell>
          <cell r="X494">
            <v>160</v>
          </cell>
          <cell r="Y494">
            <v>150</v>
          </cell>
          <cell r="Z494">
            <v>150</v>
          </cell>
          <cell r="AA494">
            <v>160</v>
          </cell>
          <cell r="AB494">
            <v>160</v>
          </cell>
          <cell r="AC494">
            <v>1840</v>
          </cell>
          <cell r="AD494" t="str">
            <v>Sales Units</v>
          </cell>
        </row>
        <row r="496">
          <cell r="C496" t="str">
            <v>Selling Price</v>
          </cell>
          <cell r="E496">
            <v>999000</v>
          </cell>
          <cell r="F496">
            <v>149850000</v>
          </cell>
          <cell r="G496">
            <v>999000</v>
          </cell>
          <cell r="H496">
            <v>169830000</v>
          </cell>
          <cell r="I496">
            <v>999000</v>
          </cell>
          <cell r="J496">
            <v>169830000</v>
          </cell>
          <cell r="K496">
            <v>999000</v>
          </cell>
          <cell r="L496">
            <v>179820000</v>
          </cell>
          <cell r="M496">
            <v>999000</v>
          </cell>
          <cell r="N496">
            <v>129870000</v>
          </cell>
          <cell r="O496">
            <v>999000</v>
          </cell>
          <cell r="P496">
            <v>129870000</v>
          </cell>
          <cell r="Q496">
            <v>999000</v>
          </cell>
          <cell r="R496">
            <v>169830000</v>
          </cell>
          <cell r="S496">
            <v>999000</v>
          </cell>
          <cell r="T496">
            <v>119880000</v>
          </cell>
          <cell r="U496">
            <v>999000</v>
          </cell>
          <cell r="V496">
            <v>149850000</v>
          </cell>
          <cell r="W496">
            <v>999000</v>
          </cell>
          <cell r="X496">
            <v>159840000</v>
          </cell>
          <cell r="Y496">
            <v>999000</v>
          </cell>
          <cell r="Z496">
            <v>149850000</v>
          </cell>
          <cell r="AA496">
            <v>999000</v>
          </cell>
          <cell r="AB496">
            <v>159840000</v>
          </cell>
          <cell r="AC496">
            <v>999000</v>
          </cell>
          <cell r="AD496" t="str">
            <v>Selling Price</v>
          </cell>
        </row>
        <row r="497">
          <cell r="C497" t="str">
            <v>Less: Dealer commission</v>
          </cell>
          <cell r="E497">
            <v>-20000</v>
          </cell>
          <cell r="F497">
            <v>-3000000</v>
          </cell>
          <cell r="G497">
            <v>-20000</v>
          </cell>
          <cell r="H497">
            <v>-3400000</v>
          </cell>
          <cell r="I497">
            <v>-20000</v>
          </cell>
          <cell r="J497">
            <v>-3400000</v>
          </cell>
          <cell r="K497">
            <v>-20000</v>
          </cell>
          <cell r="L497">
            <v>-3600000</v>
          </cell>
          <cell r="M497">
            <v>-20000</v>
          </cell>
          <cell r="N497">
            <v>-2600000</v>
          </cell>
          <cell r="O497">
            <v>-20000</v>
          </cell>
          <cell r="P497">
            <v>-2600000</v>
          </cell>
          <cell r="Q497">
            <v>-20000</v>
          </cell>
          <cell r="R497">
            <v>-3400000</v>
          </cell>
          <cell r="S497">
            <v>-20000</v>
          </cell>
          <cell r="T497">
            <v>-2400000</v>
          </cell>
          <cell r="U497">
            <v>-20000</v>
          </cell>
          <cell r="V497">
            <v>-3000000</v>
          </cell>
          <cell r="W497">
            <v>-20000</v>
          </cell>
          <cell r="X497">
            <v>-3200000</v>
          </cell>
          <cell r="Y497">
            <v>-20000</v>
          </cell>
          <cell r="Z497">
            <v>-3000000</v>
          </cell>
          <cell r="AA497">
            <v>-20000</v>
          </cell>
          <cell r="AB497">
            <v>-3200000</v>
          </cell>
          <cell r="AC497">
            <v>-20000</v>
          </cell>
          <cell r="AD497" t="str">
            <v>Less: Dealer commission</v>
          </cell>
        </row>
        <row r="498">
          <cell r="D498" t="str">
            <v xml:space="preserve">  Sales tax</v>
          </cell>
          <cell r="E498">
            <v>-130304.34782608696</v>
          </cell>
          <cell r="F498">
            <v>-19545652.173913043</v>
          </cell>
          <cell r="G498">
            <v>-130304.34782608696</v>
          </cell>
          <cell r="H498">
            <v>-22151739.130434781</v>
          </cell>
          <cell r="I498">
            <v>-130304.34782608696</v>
          </cell>
          <cell r="J498">
            <v>-22151739.130434781</v>
          </cell>
          <cell r="K498">
            <v>-130304.34782608696</v>
          </cell>
          <cell r="L498">
            <v>-23454782.608695652</v>
          </cell>
          <cell r="M498">
            <v>-130304.34782608696</v>
          </cell>
          <cell r="N498">
            <v>-16939565.217391305</v>
          </cell>
          <cell r="O498">
            <v>-130304.34782608696</v>
          </cell>
          <cell r="P498">
            <v>-16939565.217391305</v>
          </cell>
          <cell r="Q498">
            <v>-130304.34782608696</v>
          </cell>
          <cell r="R498">
            <v>-22151739.130434781</v>
          </cell>
          <cell r="S498">
            <v>-130304.34782608696</v>
          </cell>
          <cell r="T498">
            <v>-15636521.739130436</v>
          </cell>
          <cell r="U498">
            <v>-130304.34782608696</v>
          </cell>
          <cell r="V498">
            <v>-19545652.173913043</v>
          </cell>
          <cell r="W498">
            <v>-130304.34782608696</v>
          </cell>
          <cell r="X498">
            <v>-20848695.652173914</v>
          </cell>
          <cell r="Y498">
            <v>-130304.34782608696</v>
          </cell>
          <cell r="Z498">
            <v>-19545652.173913043</v>
          </cell>
          <cell r="AA498">
            <v>-130304.34782608696</v>
          </cell>
          <cell r="AB498">
            <v>-20848695.652173914</v>
          </cell>
          <cell r="AC498">
            <v>-130304.34782608695</v>
          </cell>
          <cell r="AE498" t="str">
            <v xml:space="preserve">  Sales tax</v>
          </cell>
        </row>
        <row r="499">
          <cell r="B499">
            <v>0.84954519737128442</v>
          </cell>
          <cell r="C499" t="str">
            <v>Net Sales</v>
          </cell>
          <cell r="E499">
            <v>848695.65217391308</v>
          </cell>
          <cell r="F499">
            <v>127304347.82608695</v>
          </cell>
          <cell r="G499">
            <v>848695.65217391308</v>
          </cell>
          <cell r="H499">
            <v>144278260.86956522</v>
          </cell>
          <cell r="I499">
            <v>848695.65217391308</v>
          </cell>
          <cell r="J499">
            <v>144278260.86956522</v>
          </cell>
          <cell r="K499">
            <v>848695.65217391308</v>
          </cell>
          <cell r="L499">
            <v>152765217.39130434</v>
          </cell>
          <cell r="M499">
            <v>848695.65217391308</v>
          </cell>
          <cell r="N499">
            <v>110330434.78260869</v>
          </cell>
          <cell r="O499">
            <v>848695.65217391308</v>
          </cell>
          <cell r="P499">
            <v>110330434.78260869</v>
          </cell>
          <cell r="Q499">
            <v>848695.65217391308</v>
          </cell>
          <cell r="R499">
            <v>144278260.86956522</v>
          </cell>
          <cell r="S499">
            <v>848695.65217391308</v>
          </cell>
          <cell r="T499">
            <v>101843478.26086956</v>
          </cell>
          <cell r="U499">
            <v>848695.65217391308</v>
          </cell>
          <cell r="V499">
            <v>127304347.82608695</v>
          </cell>
          <cell r="W499">
            <v>848695.65217391308</v>
          </cell>
          <cell r="X499">
            <v>135791304.34782609</v>
          </cell>
          <cell r="Y499">
            <v>848695.65217391308</v>
          </cell>
          <cell r="Z499">
            <v>127304347.82608695</v>
          </cell>
          <cell r="AA499">
            <v>848695.65217391308</v>
          </cell>
          <cell r="AB499">
            <v>135791304.34782609</v>
          </cell>
          <cell r="AC499">
            <v>848695.65217391308</v>
          </cell>
          <cell r="AD499" t="str">
            <v>Net Sales</v>
          </cell>
          <cell r="AE499">
            <v>1561600000</v>
          </cell>
        </row>
        <row r="501">
          <cell r="C501" t="str">
            <v>Variable Cost of Sales</v>
          </cell>
          <cell r="AD501" t="str">
            <v>Variable Cost of Sales</v>
          </cell>
        </row>
        <row r="502">
          <cell r="B502">
            <v>0.3798218264226913</v>
          </cell>
          <cell r="D502" t="str">
            <v>CKD Cost</v>
          </cell>
          <cell r="E502">
            <v>379442.00459626858</v>
          </cell>
          <cell r="F502">
            <v>56916300.689440288</v>
          </cell>
          <cell r="G502">
            <v>379442.00459626858</v>
          </cell>
          <cell r="H502">
            <v>64505140.781365663</v>
          </cell>
          <cell r="I502">
            <v>379442.00459626858</v>
          </cell>
          <cell r="J502">
            <v>64505140.781365663</v>
          </cell>
          <cell r="K502">
            <v>373578.25246353168</v>
          </cell>
          <cell r="L502">
            <v>67244085.443435699</v>
          </cell>
          <cell r="M502">
            <v>373578.25246353168</v>
          </cell>
          <cell r="N502">
            <v>48565172.820259117</v>
          </cell>
          <cell r="O502">
            <v>373578.25246353168</v>
          </cell>
          <cell r="P502">
            <v>48565172.820259117</v>
          </cell>
          <cell r="Q502">
            <v>373578.25246353168</v>
          </cell>
          <cell r="R502">
            <v>63508302.918800384</v>
          </cell>
          <cell r="S502">
            <v>373578.25246353168</v>
          </cell>
          <cell r="T502">
            <v>44829390.295623802</v>
          </cell>
          <cell r="U502">
            <v>373578.25246353168</v>
          </cell>
          <cell r="V502">
            <v>56036737.869529754</v>
          </cell>
          <cell r="W502">
            <v>373578.25246353168</v>
          </cell>
          <cell r="X502">
            <v>59772520.394165069</v>
          </cell>
          <cell r="Y502">
            <v>373578.25246353168</v>
          </cell>
          <cell r="Z502">
            <v>56036737.869529754</v>
          </cell>
          <cell r="AA502">
            <v>373578.25246353168</v>
          </cell>
          <cell r="AB502">
            <v>59772520.394165069</v>
          </cell>
          <cell r="AC502">
            <v>375139.79515105387</v>
          </cell>
          <cell r="AE502" t="str">
            <v>CKD Cost</v>
          </cell>
          <cell r="AF502">
            <v>690257223.07793915</v>
          </cell>
        </row>
        <row r="503">
          <cell r="B503">
            <v>0.20227627627627628</v>
          </cell>
          <cell r="D503" t="str">
            <v>Vendor parts</v>
          </cell>
          <cell r="E503">
            <v>202074</v>
          </cell>
          <cell r="F503">
            <v>30311100</v>
          </cell>
          <cell r="G503">
            <v>202074</v>
          </cell>
          <cell r="H503">
            <v>34352580</v>
          </cell>
          <cell r="I503">
            <v>202074</v>
          </cell>
          <cell r="J503">
            <v>34352580</v>
          </cell>
          <cell r="K503">
            <v>202074</v>
          </cell>
          <cell r="L503">
            <v>36373320</v>
          </cell>
          <cell r="M503">
            <v>202074</v>
          </cell>
          <cell r="N503">
            <v>26269620</v>
          </cell>
          <cell r="O503">
            <v>202074</v>
          </cell>
          <cell r="P503">
            <v>26269620</v>
          </cell>
          <cell r="Q503">
            <v>201743</v>
          </cell>
          <cell r="R503">
            <v>34296310</v>
          </cell>
          <cell r="S503">
            <v>201743</v>
          </cell>
          <cell r="T503">
            <v>24209160</v>
          </cell>
          <cell r="U503">
            <v>201743</v>
          </cell>
          <cell r="V503">
            <v>30261450</v>
          </cell>
          <cell r="W503">
            <v>201743</v>
          </cell>
          <cell r="X503">
            <v>32278880</v>
          </cell>
          <cell r="Y503">
            <v>201743</v>
          </cell>
          <cell r="Z503">
            <v>30261450</v>
          </cell>
          <cell r="AA503">
            <v>201743</v>
          </cell>
          <cell r="AB503">
            <v>32278880</v>
          </cell>
          <cell r="AC503">
            <v>201910.29891304349</v>
          </cell>
          <cell r="AE503" t="str">
            <v>Vendor parts</v>
          </cell>
          <cell r="AF503">
            <v>371514950</v>
          </cell>
        </row>
        <row r="504">
          <cell r="B504">
            <v>0.14195171391391392</v>
          </cell>
          <cell r="D504" t="str">
            <v>Multi Source Parts</v>
          </cell>
          <cell r="E504">
            <v>141809.7622</v>
          </cell>
          <cell r="F504">
            <v>21271464.329999998</v>
          </cell>
          <cell r="G504">
            <v>141809.7622</v>
          </cell>
          <cell r="H504">
            <v>24107659.574000001</v>
          </cell>
          <cell r="I504">
            <v>141809.7622</v>
          </cell>
          <cell r="J504">
            <v>24107659.574000001</v>
          </cell>
          <cell r="K504">
            <v>141809.7622</v>
          </cell>
          <cell r="L504">
            <v>25525757.195999999</v>
          </cell>
          <cell r="M504">
            <v>141809.7622</v>
          </cell>
          <cell r="N504">
            <v>18435269.085999999</v>
          </cell>
          <cell r="O504">
            <v>141809.7622</v>
          </cell>
          <cell r="P504">
            <v>18435269.085999999</v>
          </cell>
          <cell r="Q504">
            <v>141809.7622</v>
          </cell>
          <cell r="R504">
            <v>24107659.574000001</v>
          </cell>
          <cell r="S504">
            <v>141809.7622</v>
          </cell>
          <cell r="T504">
            <v>17017171.464000002</v>
          </cell>
          <cell r="U504">
            <v>141809.7622</v>
          </cell>
          <cell r="V504">
            <v>21271464.329999998</v>
          </cell>
          <cell r="W504">
            <v>141809.7622</v>
          </cell>
          <cell r="X504">
            <v>22689561.952</v>
          </cell>
          <cell r="Y504">
            <v>141809.7622</v>
          </cell>
          <cell r="Z504">
            <v>21271464.329999998</v>
          </cell>
          <cell r="AA504">
            <v>141809.7622</v>
          </cell>
          <cell r="AB504">
            <v>22689561.952</v>
          </cell>
          <cell r="AC504">
            <v>141809.7622</v>
          </cell>
          <cell r="AE504" t="str">
            <v>Nomi Parts</v>
          </cell>
          <cell r="AF504">
            <v>260929962.44799998</v>
          </cell>
        </row>
        <row r="505">
          <cell r="B505">
            <v>1.1366366366366367E-2</v>
          </cell>
          <cell r="D505" t="str">
            <v>Paints &amp; Chemicals</v>
          </cell>
          <cell r="E505">
            <v>11355</v>
          </cell>
          <cell r="F505">
            <v>1703250</v>
          </cell>
          <cell r="G505">
            <v>11355</v>
          </cell>
          <cell r="H505">
            <v>1930350</v>
          </cell>
          <cell r="I505">
            <v>11355</v>
          </cell>
          <cell r="J505">
            <v>1930350</v>
          </cell>
          <cell r="K505">
            <v>11355</v>
          </cell>
          <cell r="L505">
            <v>2043900</v>
          </cell>
          <cell r="M505">
            <v>11355</v>
          </cell>
          <cell r="N505">
            <v>1476150</v>
          </cell>
          <cell r="O505">
            <v>11355</v>
          </cell>
          <cell r="P505">
            <v>1476150</v>
          </cell>
          <cell r="Q505">
            <v>11355</v>
          </cell>
          <cell r="R505">
            <v>1930350</v>
          </cell>
          <cell r="S505">
            <v>11355</v>
          </cell>
          <cell r="T505">
            <v>1362600</v>
          </cell>
          <cell r="U505">
            <v>11355</v>
          </cell>
          <cell r="V505">
            <v>1703250</v>
          </cell>
          <cell r="W505">
            <v>11355</v>
          </cell>
          <cell r="X505">
            <v>1816800</v>
          </cell>
          <cell r="Y505">
            <v>11355</v>
          </cell>
          <cell r="Z505">
            <v>1703250</v>
          </cell>
          <cell r="AA505">
            <v>11355</v>
          </cell>
          <cell r="AB505">
            <v>1816800</v>
          </cell>
          <cell r="AC505">
            <v>11355</v>
          </cell>
          <cell r="AE505" t="str">
            <v>Paints &amp; Chemicals</v>
          </cell>
          <cell r="AF505">
            <v>20893200</v>
          </cell>
        </row>
        <row r="506">
          <cell r="B506">
            <v>5.2412412412412412E-3</v>
          </cell>
          <cell r="D506" t="str">
            <v>Consumables</v>
          </cell>
          <cell r="E506">
            <v>5236</v>
          </cell>
          <cell r="F506">
            <v>785400</v>
          </cell>
          <cell r="G506">
            <v>5236</v>
          </cell>
          <cell r="H506">
            <v>890120</v>
          </cell>
          <cell r="I506">
            <v>5236</v>
          </cell>
          <cell r="J506">
            <v>890120</v>
          </cell>
          <cell r="K506">
            <v>5236</v>
          </cell>
          <cell r="L506">
            <v>942480</v>
          </cell>
          <cell r="M506">
            <v>5236</v>
          </cell>
          <cell r="N506">
            <v>680680</v>
          </cell>
          <cell r="O506">
            <v>5236</v>
          </cell>
          <cell r="P506">
            <v>680680</v>
          </cell>
          <cell r="Q506">
            <v>5236</v>
          </cell>
          <cell r="R506">
            <v>890120</v>
          </cell>
          <cell r="S506">
            <v>5236</v>
          </cell>
          <cell r="T506">
            <v>628320</v>
          </cell>
          <cell r="U506">
            <v>5236</v>
          </cell>
          <cell r="V506">
            <v>785400</v>
          </cell>
          <cell r="W506">
            <v>5236</v>
          </cell>
          <cell r="X506">
            <v>837760</v>
          </cell>
          <cell r="Y506">
            <v>5236</v>
          </cell>
          <cell r="Z506">
            <v>785400</v>
          </cell>
          <cell r="AA506">
            <v>5236</v>
          </cell>
          <cell r="AB506">
            <v>837760</v>
          </cell>
          <cell r="AC506">
            <v>5236</v>
          </cell>
          <cell r="AE506" t="str">
            <v>Consumables</v>
          </cell>
          <cell r="AF506">
            <v>9634240</v>
          </cell>
        </row>
        <row r="507">
          <cell r="B507">
            <v>0</v>
          </cell>
          <cell r="D507" t="str">
            <v>KD Parts</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E507" t="str">
            <v>KD Parts</v>
          </cell>
          <cell r="AF507">
            <v>0</v>
          </cell>
        </row>
        <row r="508">
          <cell r="B508">
            <v>9.0090090090090091E-4</v>
          </cell>
          <cell r="D508" t="str">
            <v>Spare parts</v>
          </cell>
          <cell r="E508">
            <v>900</v>
          </cell>
          <cell r="F508">
            <v>135000</v>
          </cell>
          <cell r="G508">
            <v>900</v>
          </cell>
          <cell r="H508">
            <v>153000</v>
          </cell>
          <cell r="I508">
            <v>900</v>
          </cell>
          <cell r="J508">
            <v>153000</v>
          </cell>
          <cell r="K508">
            <v>900</v>
          </cell>
          <cell r="L508">
            <v>162000</v>
          </cell>
          <cell r="M508">
            <v>900</v>
          </cell>
          <cell r="N508">
            <v>117000</v>
          </cell>
          <cell r="O508">
            <v>900</v>
          </cell>
          <cell r="P508">
            <v>117000</v>
          </cell>
          <cell r="Q508">
            <v>900</v>
          </cell>
          <cell r="R508">
            <v>153000</v>
          </cell>
          <cell r="S508">
            <v>900</v>
          </cell>
          <cell r="T508">
            <v>108000</v>
          </cell>
          <cell r="U508">
            <v>900</v>
          </cell>
          <cell r="V508">
            <v>135000</v>
          </cell>
          <cell r="W508">
            <v>900</v>
          </cell>
          <cell r="X508">
            <v>144000</v>
          </cell>
          <cell r="Y508">
            <v>900</v>
          </cell>
          <cell r="Z508">
            <v>135000</v>
          </cell>
          <cell r="AA508">
            <v>900</v>
          </cell>
          <cell r="AB508">
            <v>144000</v>
          </cell>
          <cell r="AC508">
            <v>900</v>
          </cell>
          <cell r="AE508" t="str">
            <v>Spare parts</v>
          </cell>
          <cell r="AF508">
            <v>1656000</v>
          </cell>
        </row>
        <row r="509">
          <cell r="B509">
            <v>3.881881881881882E-3</v>
          </cell>
          <cell r="D509" t="str">
            <v>Utilities</v>
          </cell>
          <cell r="E509">
            <v>3878</v>
          </cell>
          <cell r="F509">
            <v>581700</v>
          </cell>
          <cell r="G509">
            <v>3878</v>
          </cell>
          <cell r="H509">
            <v>659260</v>
          </cell>
          <cell r="I509">
            <v>3878</v>
          </cell>
          <cell r="J509">
            <v>659260</v>
          </cell>
          <cell r="K509">
            <v>3878</v>
          </cell>
          <cell r="L509">
            <v>698040</v>
          </cell>
          <cell r="M509">
            <v>3878</v>
          </cell>
          <cell r="N509">
            <v>504140</v>
          </cell>
          <cell r="O509">
            <v>3878</v>
          </cell>
          <cell r="P509">
            <v>504140</v>
          </cell>
          <cell r="Q509">
            <v>3878</v>
          </cell>
          <cell r="R509">
            <v>659260</v>
          </cell>
          <cell r="S509">
            <v>3878</v>
          </cell>
          <cell r="T509">
            <v>465360</v>
          </cell>
          <cell r="U509">
            <v>3878</v>
          </cell>
          <cell r="V509">
            <v>581700</v>
          </cell>
          <cell r="W509">
            <v>3878</v>
          </cell>
          <cell r="X509">
            <v>620480</v>
          </cell>
          <cell r="Y509">
            <v>3878</v>
          </cell>
          <cell r="Z509">
            <v>581700</v>
          </cell>
          <cell r="AA509">
            <v>3878</v>
          </cell>
          <cell r="AB509">
            <v>620480</v>
          </cell>
          <cell r="AC509">
            <v>3878</v>
          </cell>
          <cell r="AE509" t="str">
            <v>Utilites</v>
          </cell>
          <cell r="AF509">
            <v>7135520</v>
          </cell>
        </row>
        <row r="510">
          <cell r="B510">
            <v>6.5565565565565568E-3</v>
          </cell>
          <cell r="D510" t="str">
            <v>Royalty</v>
          </cell>
          <cell r="E510">
            <v>6550</v>
          </cell>
          <cell r="F510">
            <v>982500</v>
          </cell>
          <cell r="G510">
            <v>6550</v>
          </cell>
          <cell r="H510">
            <v>1113500</v>
          </cell>
          <cell r="I510">
            <v>6550</v>
          </cell>
          <cell r="J510">
            <v>1113500</v>
          </cell>
          <cell r="K510">
            <v>6550</v>
          </cell>
          <cell r="L510">
            <v>1179000</v>
          </cell>
          <cell r="M510">
            <v>6550</v>
          </cell>
          <cell r="N510">
            <v>851500</v>
          </cell>
          <cell r="O510">
            <v>6550</v>
          </cell>
          <cell r="P510">
            <v>851500</v>
          </cell>
          <cell r="Q510">
            <v>6550</v>
          </cell>
          <cell r="R510">
            <v>1113500</v>
          </cell>
          <cell r="S510">
            <v>6550</v>
          </cell>
          <cell r="T510">
            <v>786000</v>
          </cell>
          <cell r="U510">
            <v>6550</v>
          </cell>
          <cell r="V510">
            <v>982500</v>
          </cell>
          <cell r="W510">
            <v>6550</v>
          </cell>
          <cell r="X510">
            <v>1048000</v>
          </cell>
          <cell r="Y510">
            <v>6550</v>
          </cell>
          <cell r="Z510">
            <v>982500</v>
          </cell>
          <cell r="AA510">
            <v>6550</v>
          </cell>
          <cell r="AB510">
            <v>1048000</v>
          </cell>
          <cell r="AC510">
            <v>6550</v>
          </cell>
          <cell r="AE510" t="str">
            <v>Royalty</v>
          </cell>
          <cell r="AF510">
            <v>12052000</v>
          </cell>
        </row>
        <row r="512">
          <cell r="E512">
            <v>751244.76679626852</v>
          </cell>
          <cell r="F512">
            <v>112686715.01944028</v>
          </cell>
          <cell r="G512">
            <v>751244.76679626852</v>
          </cell>
          <cell r="H512">
            <v>127711610.35536566</v>
          </cell>
          <cell r="I512">
            <v>751244.76679626852</v>
          </cell>
          <cell r="J512">
            <v>127711610.35536566</v>
          </cell>
          <cell r="K512">
            <v>745381.01466353168</v>
          </cell>
          <cell r="L512">
            <v>134168582.63943569</v>
          </cell>
          <cell r="M512">
            <v>745381.01466353168</v>
          </cell>
          <cell r="N512">
            <v>96899531.90625912</v>
          </cell>
          <cell r="O512">
            <v>745381.01466353168</v>
          </cell>
          <cell r="P512">
            <v>96899531.90625912</v>
          </cell>
          <cell r="Q512">
            <v>745050.01466353168</v>
          </cell>
          <cell r="R512">
            <v>126658502.49280038</v>
          </cell>
          <cell r="S512">
            <v>745050.01466353168</v>
          </cell>
          <cell r="T512">
            <v>89406001.759623811</v>
          </cell>
          <cell r="U512">
            <v>745050.01466353168</v>
          </cell>
          <cell r="V512">
            <v>111757502.19952975</v>
          </cell>
          <cell r="W512">
            <v>745050.01466353168</v>
          </cell>
          <cell r="X512">
            <v>119208002.34616506</v>
          </cell>
          <cell r="Y512">
            <v>745050.01466353168</v>
          </cell>
          <cell r="Z512">
            <v>111757502.19952975</v>
          </cell>
          <cell r="AA512">
            <v>745050.01466353168</v>
          </cell>
          <cell r="AB512">
            <v>119208002.34616506</v>
          </cell>
          <cell r="AC512">
            <v>746778.85626409738</v>
          </cell>
          <cell r="AF512">
            <v>1374073095.5259395</v>
          </cell>
        </row>
        <row r="513">
          <cell r="B513">
            <v>9.7548433811456017E-2</v>
          </cell>
          <cell r="C513" t="str">
            <v>Contribution Margin</v>
          </cell>
          <cell r="E513">
            <v>97450.885377644561</v>
          </cell>
          <cell r="F513">
            <v>14617632.806646675</v>
          </cell>
          <cell r="G513">
            <v>97450.885377644561</v>
          </cell>
          <cell r="H513">
            <v>16566650.514199555</v>
          </cell>
          <cell r="I513">
            <v>97450.885377644561</v>
          </cell>
          <cell r="J513">
            <v>16566650.514199555</v>
          </cell>
          <cell r="K513">
            <v>103314.63751038141</v>
          </cell>
          <cell r="L513">
            <v>18596634.75186865</v>
          </cell>
          <cell r="M513">
            <v>103314.63751038141</v>
          </cell>
          <cell r="N513">
            <v>13430902.876349568</v>
          </cell>
          <cell r="O513">
            <v>103314.63751038141</v>
          </cell>
          <cell r="P513">
            <v>13430902.876349568</v>
          </cell>
          <cell r="Q513">
            <v>103645.63751038141</v>
          </cell>
          <cell r="R513">
            <v>17619758.376764834</v>
          </cell>
          <cell r="S513">
            <v>103645.63751038141</v>
          </cell>
          <cell r="T513">
            <v>12437476.501245752</v>
          </cell>
          <cell r="U513">
            <v>103645.63751038141</v>
          </cell>
          <cell r="V513">
            <v>15546845.626557201</v>
          </cell>
          <cell r="W513">
            <v>103645.63751038141</v>
          </cell>
          <cell r="X513">
            <v>16583302.001661032</v>
          </cell>
          <cell r="Y513">
            <v>103645.63751038141</v>
          </cell>
          <cell r="Z513">
            <v>15546845.626557201</v>
          </cell>
          <cell r="AA513">
            <v>103645.63751038141</v>
          </cell>
          <cell r="AB513">
            <v>16583302.001661032</v>
          </cell>
          <cell r="AC513">
            <v>101916.7959098157</v>
          </cell>
          <cell r="AD513" t="str">
            <v>Contribution Margin</v>
          </cell>
        </row>
        <row r="515">
          <cell r="C515" t="str">
            <v>Production cost</v>
          </cell>
          <cell r="AD515" t="str">
            <v>Production cost</v>
          </cell>
        </row>
        <row r="516">
          <cell r="B516">
            <v>5.3363081149564008E-3</v>
          </cell>
          <cell r="D516" t="str">
            <v xml:space="preserve">Salaries &amp; Wages </v>
          </cell>
          <cell r="E516">
            <v>5330.971806841444</v>
          </cell>
          <cell r="F516">
            <v>799645.77102621656</v>
          </cell>
          <cell r="G516">
            <v>4450.6278387391867</v>
          </cell>
          <cell r="H516">
            <v>756606.7325856617</v>
          </cell>
          <cell r="I516">
            <v>4327.5507084975143</v>
          </cell>
          <cell r="J516">
            <v>735683.62044457742</v>
          </cell>
          <cell r="K516">
            <v>3880.9474753805712</v>
          </cell>
          <cell r="L516">
            <v>698570.54556850286</v>
          </cell>
          <cell r="M516">
            <v>5576.0739588801307</v>
          </cell>
          <cell r="N516">
            <v>724889.61465441703</v>
          </cell>
          <cell r="O516">
            <v>5384.2223576312035</v>
          </cell>
          <cell r="P516">
            <v>699948.90649205644</v>
          </cell>
          <cell r="Q516">
            <v>3880.9474753805712</v>
          </cell>
          <cell r="R516">
            <v>659761.07081469707</v>
          </cell>
          <cell r="S516">
            <v>5106.5098360270676</v>
          </cell>
          <cell r="T516">
            <v>612781.18032324815</v>
          </cell>
          <cell r="U516">
            <v>4709.8877128404993</v>
          </cell>
          <cell r="V516">
            <v>706483.15692607488</v>
          </cell>
          <cell r="W516">
            <v>5160.8344087507594</v>
          </cell>
          <cell r="X516">
            <v>825733.50540012144</v>
          </cell>
          <cell r="Y516">
            <v>5216.3272518556068</v>
          </cell>
          <cell r="Z516">
            <v>782449.08777834103</v>
          </cell>
          <cell r="AA516">
            <v>5063.8667476260061</v>
          </cell>
          <cell r="AB516">
            <v>810218.67962016095</v>
          </cell>
          <cell r="AC516">
            <v>4789.5499302359103</v>
          </cell>
          <cell r="AE516" t="str">
            <v xml:space="preserve">Salaries &amp; Wages </v>
          </cell>
        </row>
        <row r="517">
          <cell r="D517" t="str">
            <v xml:space="preserve">Utilities </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E517" t="str">
            <v xml:space="preserve">Utilities </v>
          </cell>
        </row>
        <row r="518">
          <cell r="B518">
            <v>1.1161252827919495E-2</v>
          </cell>
          <cell r="D518" t="str">
            <v>Depreciation</v>
          </cell>
          <cell r="E518">
            <v>11150.091575091576</v>
          </cell>
          <cell r="F518">
            <v>1672513.7362637364</v>
          </cell>
          <cell r="G518">
            <v>9308.7920489296648</v>
          </cell>
          <cell r="H518">
            <v>1582494.648318043</v>
          </cell>
          <cell r="I518">
            <v>9051.3678263455258</v>
          </cell>
          <cell r="J518">
            <v>1538732.5304787394</v>
          </cell>
          <cell r="K518">
            <v>8117.2666666666673</v>
          </cell>
          <cell r="L518">
            <v>1461108.0000000002</v>
          </cell>
          <cell r="M518">
            <v>11662.739463601532</v>
          </cell>
          <cell r="N518">
            <v>1516156.1302681991</v>
          </cell>
          <cell r="O518">
            <v>11261.468738438773</v>
          </cell>
          <cell r="P518">
            <v>1463990.9359970405</v>
          </cell>
          <cell r="Q518">
            <v>8117.2666666666673</v>
          </cell>
          <cell r="R518">
            <v>1379935.3333333335</v>
          </cell>
          <cell r="S518">
            <v>10680.614035087719</v>
          </cell>
          <cell r="T518">
            <v>1281673.6842105263</v>
          </cell>
          <cell r="U518">
            <v>9851.0517799352765</v>
          </cell>
          <cell r="V518">
            <v>1477657.7669902914</v>
          </cell>
          <cell r="W518">
            <v>10794.237588652482</v>
          </cell>
          <cell r="X518">
            <v>1727078.0141843972</v>
          </cell>
          <cell r="Y518">
            <v>10910.304659498208</v>
          </cell>
          <cell r="Z518">
            <v>1636545.6989247312</v>
          </cell>
          <cell r="AA518">
            <v>10591.423103688239</v>
          </cell>
          <cell r="AB518">
            <v>1694627.6965901183</v>
          </cell>
          <cell r="AC518">
            <v>10017.670747586497</v>
          </cell>
          <cell r="AE518" t="str">
            <v>Depreciation</v>
          </cell>
        </row>
        <row r="519">
          <cell r="B519">
            <v>3.3318563170053987E-3</v>
          </cell>
          <cell r="D519" t="str">
            <v xml:space="preserve">Other Factory overhead </v>
          </cell>
          <cell r="E519">
            <v>3328.5244606883934</v>
          </cell>
          <cell r="F519">
            <v>499278.66910325899</v>
          </cell>
          <cell r="G519">
            <v>2778.859870849943</v>
          </cell>
          <cell r="H519">
            <v>472406.17804449034</v>
          </cell>
          <cell r="I519">
            <v>2702.0136121556093</v>
          </cell>
          <cell r="J519">
            <v>459342.3140664536</v>
          </cell>
          <cell r="K519">
            <v>2423.1658073811504</v>
          </cell>
          <cell r="L519">
            <v>436169.84532860707</v>
          </cell>
          <cell r="M519">
            <v>3481.5600680763655</v>
          </cell>
          <cell r="N519">
            <v>452602.8088499275</v>
          </cell>
          <cell r="O519">
            <v>3361.7727627374452</v>
          </cell>
          <cell r="P519">
            <v>437030.45915586787</v>
          </cell>
          <cell r="Q519">
            <v>2423.1658073811504</v>
          </cell>
          <cell r="R519">
            <v>411938.18725479557</v>
          </cell>
          <cell r="S519">
            <v>3188.3760623436192</v>
          </cell>
          <cell r="T519">
            <v>382605.12748123432</v>
          </cell>
          <cell r="U519">
            <v>2940.735203132464</v>
          </cell>
          <cell r="V519">
            <v>441110.28046986961</v>
          </cell>
          <cell r="W519">
            <v>3222.2949566238703</v>
          </cell>
          <cell r="X519">
            <v>515567.19305981928</v>
          </cell>
          <cell r="Y519">
            <v>3256.9432894907936</v>
          </cell>
          <cell r="Z519">
            <v>488541.49342361902</v>
          </cell>
          <cell r="AA519">
            <v>3161.7507925119394</v>
          </cell>
          <cell r="AB519">
            <v>505880.12680191029</v>
          </cell>
          <cell r="AC519">
            <v>2990.4742842607898</v>
          </cell>
          <cell r="AE519" t="str">
            <v xml:space="preserve">Other Factory overhead </v>
          </cell>
        </row>
        <row r="520">
          <cell r="D520" t="str">
            <v>Running Royalty</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E520" t="str">
            <v>Running Royalty</v>
          </cell>
        </row>
        <row r="521">
          <cell r="E521">
            <v>19809.587842621411</v>
          </cell>
          <cell r="F521">
            <v>2971438.1763932118</v>
          </cell>
          <cell r="G521">
            <v>16538.279758518795</v>
          </cell>
          <cell r="H521">
            <v>2811507.5589481951</v>
          </cell>
          <cell r="I521">
            <v>16080.93214699865</v>
          </cell>
          <cell r="J521">
            <v>2733758.4649897702</v>
          </cell>
          <cell r="K521">
            <v>14421.379949428388</v>
          </cell>
          <cell r="L521">
            <v>2595848.3908971101</v>
          </cell>
          <cell r="M521">
            <v>20720.373490558028</v>
          </cell>
          <cell r="N521">
            <v>2693648.5537725436</v>
          </cell>
          <cell r="O521">
            <v>20007.463858807419</v>
          </cell>
          <cell r="P521">
            <v>2600970.3016449646</v>
          </cell>
          <cell r="Q521">
            <v>14421.379949428388</v>
          </cell>
          <cell r="R521">
            <v>2451634.5914028259</v>
          </cell>
          <cell r="S521">
            <v>18975.499933458406</v>
          </cell>
          <cell r="T521">
            <v>2277059.9920150088</v>
          </cell>
          <cell r="U521">
            <v>17501.674695908237</v>
          </cell>
          <cell r="V521">
            <v>2625251.2043862361</v>
          </cell>
          <cell r="W521">
            <v>19177.366954027111</v>
          </cell>
          <cell r="X521">
            <v>3068378.7126443381</v>
          </cell>
          <cell r="Y521">
            <v>19383.575200844611</v>
          </cell>
          <cell r="Z521">
            <v>2907536.2801266913</v>
          </cell>
          <cell r="AA521">
            <v>18817.040643826185</v>
          </cell>
          <cell r="AB521">
            <v>3010726.5030121896</v>
          </cell>
          <cell r="AC521">
            <v>17797.694962083195</v>
          </cell>
        </row>
        <row r="522">
          <cell r="B522">
            <v>7.7719016551574732E-2</v>
          </cell>
          <cell r="C522" t="str">
            <v>Gross Profit</v>
          </cell>
          <cell r="E522">
            <v>77641.297535023157</v>
          </cell>
          <cell r="F522">
            <v>11646194.630253464</v>
          </cell>
          <cell r="G522">
            <v>80912.605619125767</v>
          </cell>
          <cell r="H522">
            <v>13755142.95525136</v>
          </cell>
          <cell r="I522">
            <v>81369.953230645915</v>
          </cell>
          <cell r="J522">
            <v>13832892.049209785</v>
          </cell>
          <cell r="K522">
            <v>88893.257560953018</v>
          </cell>
          <cell r="L522">
            <v>16000786.36097154</v>
          </cell>
          <cell r="M522">
            <v>82594.264019823371</v>
          </cell>
          <cell r="N522">
            <v>10737254.322577026</v>
          </cell>
          <cell r="O522">
            <v>83307.17365157399</v>
          </cell>
          <cell r="P522">
            <v>10829932.574704604</v>
          </cell>
          <cell r="Q522">
            <v>89224.257560953018</v>
          </cell>
          <cell r="R522">
            <v>15168123.785362009</v>
          </cell>
          <cell r="S522">
            <v>84670.137576923007</v>
          </cell>
          <cell r="T522">
            <v>10160416.509230744</v>
          </cell>
          <cell r="U522">
            <v>86143.962814473169</v>
          </cell>
          <cell r="V522">
            <v>12921594.422170965</v>
          </cell>
          <cell r="W522">
            <v>84468.270556354299</v>
          </cell>
          <cell r="X522">
            <v>13514923.289016694</v>
          </cell>
          <cell r="Y522">
            <v>84262.062309536792</v>
          </cell>
          <cell r="Z522">
            <v>12639309.34643051</v>
          </cell>
          <cell r="AA522">
            <v>84828.596866555221</v>
          </cell>
          <cell r="AB522">
            <v>13572575.498648843</v>
          </cell>
          <cell r="AC522">
            <v>84119.100947732513</v>
          </cell>
          <cell r="AD522" t="str">
            <v>Gross Profit</v>
          </cell>
        </row>
        <row r="523">
          <cell r="E523">
            <v>9.1483086234914577</v>
          </cell>
          <cell r="F523">
            <v>9.1483086234914506</v>
          </cell>
          <cell r="G523">
            <v>9.533759883401089</v>
          </cell>
          <cell r="H523">
            <v>9.5337598834010766</v>
          </cell>
          <cell r="I523">
            <v>9.5876481777912712</v>
          </cell>
          <cell r="J523">
            <v>9.587648177791257</v>
          </cell>
          <cell r="K523">
            <v>10.474103093759833</v>
          </cell>
          <cell r="L523">
            <v>10.474103093759831</v>
          </cell>
          <cell r="M523">
            <v>9.7319061088931225</v>
          </cell>
          <cell r="N523">
            <v>9.7319061088931118</v>
          </cell>
          <cell r="O523">
            <v>9.8159067314866881</v>
          </cell>
          <cell r="P523">
            <v>9.8159067314866775</v>
          </cell>
          <cell r="Q523">
            <v>10.513104118349997</v>
          </cell>
          <cell r="R523">
            <v>10.513104118349995</v>
          </cell>
          <cell r="S523">
            <v>9.9765018661333453</v>
          </cell>
          <cell r="T523">
            <v>9.9765018661333311</v>
          </cell>
          <cell r="U523">
            <v>10.15015955293485</v>
          </cell>
          <cell r="V523">
            <v>10.150159552934843</v>
          </cell>
          <cell r="W523">
            <v>9.9527163053081384</v>
          </cell>
          <cell r="X523">
            <v>9.9527163053081438</v>
          </cell>
          <cell r="Y523">
            <v>9.9284192270458309</v>
          </cell>
          <cell r="Z523">
            <v>9.9284192270458238</v>
          </cell>
          <cell r="AA523">
            <v>9.9951727865305848</v>
          </cell>
          <cell r="AB523">
            <v>9.9951727865305902</v>
          </cell>
          <cell r="AC523">
            <v>9.9115743944561867</v>
          </cell>
        </row>
        <row r="524">
          <cell r="C524" t="str">
            <v>Other Expenses</v>
          </cell>
          <cell r="AD524" t="str">
            <v>Other Expenses</v>
          </cell>
        </row>
        <row r="525">
          <cell r="D525" t="str">
            <v>Selling Expenses</v>
          </cell>
          <cell r="E525">
            <v>5183.0082521448167</v>
          </cell>
          <cell r="F525">
            <v>777451.23782172252</v>
          </cell>
          <cell r="G525">
            <v>4427.3486746392564</v>
          </cell>
          <cell r="H525">
            <v>752649.27468867355</v>
          </cell>
          <cell r="I525">
            <v>4320.887144065181</v>
          </cell>
          <cell r="J525">
            <v>734550.81449108082</v>
          </cell>
          <cell r="K525">
            <v>3897.7185689144208</v>
          </cell>
          <cell r="L525">
            <v>701589.34240459569</v>
          </cell>
          <cell r="M525">
            <v>5409.2615187305564</v>
          </cell>
          <cell r="N525">
            <v>703203.99743497232</v>
          </cell>
          <cell r="O525">
            <v>5179.8400416559607</v>
          </cell>
          <cell r="P525">
            <v>673379.20541527495</v>
          </cell>
          <cell r="Q525">
            <v>3845.1336292747983</v>
          </cell>
          <cell r="R525">
            <v>653672.71697671572</v>
          </cell>
          <cell r="S525">
            <v>4967.5774890123712</v>
          </cell>
          <cell r="T525">
            <v>596109.29868148454</v>
          </cell>
          <cell r="U525">
            <v>4642.661605420024</v>
          </cell>
          <cell r="V525">
            <v>696399.24081300362</v>
          </cell>
          <cell r="W525">
            <v>5073.1110111757944</v>
          </cell>
          <cell r="X525">
            <v>811697.76178812713</v>
          </cell>
          <cell r="Y525">
            <v>5099.2966467698334</v>
          </cell>
          <cell r="Z525">
            <v>764894.49701547506</v>
          </cell>
          <cell r="AA525">
            <v>4893.3178190345943</v>
          </cell>
          <cell r="AB525">
            <v>782930.85104553506</v>
          </cell>
          <cell r="AC525">
            <v>4700.2870861829688</v>
          </cell>
          <cell r="AE525" t="str">
            <v>Selling Expenses</v>
          </cell>
        </row>
        <row r="526">
          <cell r="D526" t="str">
            <v>Advertisement Expenses</v>
          </cell>
          <cell r="E526">
            <v>800.32572918126152</v>
          </cell>
          <cell r="F526">
            <v>120048.85937718923</v>
          </cell>
          <cell r="G526">
            <v>969.71958993165515</v>
          </cell>
          <cell r="H526">
            <v>164852.33028838137</v>
          </cell>
          <cell r="I526">
            <v>7367.9708551430685</v>
          </cell>
          <cell r="J526">
            <v>1252555.0453743218</v>
          </cell>
          <cell r="K526">
            <v>6935.2770964018819</v>
          </cell>
          <cell r="L526">
            <v>1248349.8773523387</v>
          </cell>
          <cell r="M526">
            <v>7697.2629504339211</v>
          </cell>
          <cell r="N526">
            <v>1000644.1835564098</v>
          </cell>
          <cell r="O526">
            <v>799.8365151483406</v>
          </cell>
          <cell r="P526">
            <v>103978.74696928427</v>
          </cell>
          <cell r="Q526">
            <v>739.89139808437483</v>
          </cell>
          <cell r="R526">
            <v>125781.53767434372</v>
          </cell>
          <cell r="S526">
            <v>4684.9685429207811</v>
          </cell>
          <cell r="T526">
            <v>562196.22515049379</v>
          </cell>
          <cell r="U526">
            <v>5393.2109933565007</v>
          </cell>
          <cell r="V526">
            <v>808981.64900347509</v>
          </cell>
          <cell r="W526">
            <v>783.35612673520234</v>
          </cell>
          <cell r="X526">
            <v>125336.98027763238</v>
          </cell>
          <cell r="Y526">
            <v>8782.5333169589612</v>
          </cell>
          <cell r="Z526">
            <v>1317379.9975438442</v>
          </cell>
          <cell r="AA526">
            <v>1104.3291887822443</v>
          </cell>
          <cell r="AB526">
            <v>176692.67020515908</v>
          </cell>
          <cell r="AC526">
            <v>3808.04244715917</v>
          </cell>
        </row>
        <row r="527">
          <cell r="D527" t="str">
            <v>Administrative Expenses</v>
          </cell>
          <cell r="E527">
            <v>10560.726889052896</v>
          </cell>
          <cell r="F527">
            <v>1584109.0333579343</v>
          </cell>
          <cell r="G527">
            <v>9021.0198249495461</v>
          </cell>
          <cell r="H527">
            <v>1533573.3702414229</v>
          </cell>
          <cell r="I527">
            <v>8804.0973170376383</v>
          </cell>
          <cell r="J527">
            <v>1496696.5438963985</v>
          </cell>
          <cell r="K527">
            <v>7941.8629672567968</v>
          </cell>
          <cell r="L527">
            <v>1429535.3341062234</v>
          </cell>
          <cell r="M527">
            <v>11021.733092386507</v>
          </cell>
          <cell r="N527">
            <v>1432825.3020102459</v>
          </cell>
          <cell r="O527">
            <v>10554.271447719957</v>
          </cell>
          <cell r="P527">
            <v>1372055.2882035945</v>
          </cell>
          <cell r="Q527">
            <v>7834.7176263668644</v>
          </cell>
          <cell r="R527">
            <v>1331901.9964823669</v>
          </cell>
          <cell r="S527">
            <v>10121.772262268241</v>
          </cell>
          <cell r="T527">
            <v>1214612.671472189</v>
          </cell>
          <cell r="U527">
            <v>9459.7343604157559</v>
          </cell>
          <cell r="V527">
            <v>1418960.1540623633</v>
          </cell>
          <cell r="W527">
            <v>10336.803890810705</v>
          </cell>
          <cell r="X527">
            <v>1653888.6225297127</v>
          </cell>
          <cell r="Y527">
            <v>10390.158879356299</v>
          </cell>
          <cell r="Z527">
            <v>1558523.8319034448</v>
          </cell>
          <cell r="AA527">
            <v>9970.4632047953019</v>
          </cell>
          <cell r="AB527">
            <v>1595274.1127672484</v>
          </cell>
          <cell r="AC527">
            <v>9577.1501418658409</v>
          </cell>
          <cell r="AE527" t="str">
            <v>Administrative Expenses</v>
          </cell>
        </row>
        <row r="528">
          <cell r="D528" t="str">
            <v>Depreciation (Admin. &amp; Selling )</v>
          </cell>
          <cell r="E528">
            <v>2969.9882598191184</v>
          </cell>
          <cell r="F528">
            <v>445498.23897286778</v>
          </cell>
          <cell r="G528">
            <v>2536.9771657922738</v>
          </cell>
          <cell r="H528">
            <v>431286.11818468652</v>
          </cell>
          <cell r="I528">
            <v>2475.9721508385478</v>
          </cell>
          <cell r="J528">
            <v>420915.2656425531</v>
          </cell>
          <cell r="K528">
            <v>2233.4863898710532</v>
          </cell>
          <cell r="L528">
            <v>402027.55017678958</v>
          </cell>
          <cell r="M528">
            <v>3099.6368177250984</v>
          </cell>
          <cell r="N528">
            <v>402952.78630426276</v>
          </cell>
          <cell r="O528">
            <v>2968.1727990868981</v>
          </cell>
          <cell r="P528">
            <v>385862.46388129675</v>
          </cell>
          <cell r="Q528">
            <v>2203.3539560073127</v>
          </cell>
          <cell r="R528">
            <v>374570.17252124316</v>
          </cell>
          <cell r="S528">
            <v>2846.5412564224971</v>
          </cell>
          <cell r="T528">
            <v>341584.95077069965</v>
          </cell>
          <cell r="U528">
            <v>2660.3566484202443</v>
          </cell>
          <cell r="V528">
            <v>399053.49726303661</v>
          </cell>
          <cell r="W528">
            <v>2907.0145002598042</v>
          </cell>
          <cell r="X528">
            <v>465122.32004156866</v>
          </cell>
          <cell r="Y528">
            <v>2922.0194986134175</v>
          </cell>
          <cell r="Z528">
            <v>438302.92479201261</v>
          </cell>
          <cell r="AA528">
            <v>2803.9886812995901</v>
          </cell>
          <cell r="AB528">
            <v>448638.18900793442</v>
          </cell>
          <cell r="AC528">
            <v>2693.3774334559516</v>
          </cell>
          <cell r="AE528" t="str">
            <v>Depreciation (Admin. &amp; Selling )</v>
          </cell>
        </row>
        <row r="529">
          <cell r="D529" t="str">
            <v>Financial Charges -Capital Exp.</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E529" t="str">
            <v>Financial Charges -Capital Exp.</v>
          </cell>
        </row>
        <row r="530">
          <cell r="D530" t="str">
            <v>Financial  Charges -Working Capital</v>
          </cell>
          <cell r="E530">
            <v>530.11444507895521</v>
          </cell>
          <cell r="F530">
            <v>79517.166761843284</v>
          </cell>
          <cell r="G530">
            <v>458.80097155251627</v>
          </cell>
          <cell r="H530">
            <v>77996.16516392777</v>
          </cell>
          <cell r="I530">
            <v>448.49087868071882</v>
          </cell>
          <cell r="J530">
            <v>76243.449375722194</v>
          </cell>
          <cell r="K530">
            <v>407.98094465914818</v>
          </cell>
          <cell r="L530">
            <v>73436.570038646678</v>
          </cell>
          <cell r="M530">
            <v>548.85949175372707</v>
          </cell>
          <cell r="N530">
            <v>71351.733927984518</v>
          </cell>
          <cell r="O530">
            <v>527.77239945924691</v>
          </cell>
          <cell r="P530">
            <v>68610.411929702095</v>
          </cell>
          <cell r="Q530">
            <v>396.96132884259964</v>
          </cell>
          <cell r="R530">
            <v>67483.425903241936</v>
          </cell>
          <cell r="S530">
            <v>498.98402076239711</v>
          </cell>
          <cell r="T530">
            <v>59878.08249148765</v>
          </cell>
          <cell r="U530">
            <v>470.64800851302482</v>
          </cell>
          <cell r="V530">
            <v>70597.201276953725</v>
          </cell>
          <cell r="W530">
            <v>511.61704210669683</v>
          </cell>
          <cell r="X530">
            <v>81858.726737071498</v>
          </cell>
          <cell r="Y530">
            <v>513.76394785157731</v>
          </cell>
          <cell r="Z530">
            <v>77064.592177736602</v>
          </cell>
          <cell r="AA530">
            <v>495.30468493193735</v>
          </cell>
          <cell r="AB530">
            <v>79248.749589109968</v>
          </cell>
          <cell r="AC530">
            <v>480.04688878990646</v>
          </cell>
          <cell r="AE530" t="str">
            <v>Financial  Charges -Working Capital</v>
          </cell>
        </row>
        <row r="531">
          <cell r="D531" t="str">
            <v>Other Expenses (Charity &amp; Donation)</v>
          </cell>
          <cell r="E531">
            <v>368.13503130483002</v>
          </cell>
          <cell r="F531">
            <v>55220.254695724507</v>
          </cell>
          <cell r="G531">
            <v>318.61178580035858</v>
          </cell>
          <cell r="H531">
            <v>54164.003586060957</v>
          </cell>
          <cell r="I531">
            <v>311.4519990838325</v>
          </cell>
          <cell r="J531">
            <v>52946.839844251524</v>
          </cell>
          <cell r="K531">
            <v>283.32010045774183</v>
          </cell>
          <cell r="L531">
            <v>50997.618082393528</v>
          </cell>
          <cell r="M531">
            <v>381.15242482897719</v>
          </cell>
          <cell r="N531">
            <v>49549.815227767038</v>
          </cell>
          <cell r="O531">
            <v>366.50861073558809</v>
          </cell>
          <cell r="P531">
            <v>47646.119395626454</v>
          </cell>
          <cell r="Q531">
            <v>275.66758947402758</v>
          </cell>
          <cell r="R531">
            <v>46863.490210584685</v>
          </cell>
          <cell r="S531">
            <v>346.51668108499797</v>
          </cell>
          <cell r="T531">
            <v>41582.001730199758</v>
          </cell>
          <cell r="U531">
            <v>326.83889480071173</v>
          </cell>
          <cell r="V531">
            <v>49025.834220106757</v>
          </cell>
          <cell r="W531">
            <v>355.28961257409514</v>
          </cell>
          <cell r="X531">
            <v>56846.338011855223</v>
          </cell>
          <cell r="Y531">
            <v>356.78051934137312</v>
          </cell>
          <cell r="Z531">
            <v>53517.077901205965</v>
          </cell>
          <cell r="AA531">
            <v>343.96158675828985</v>
          </cell>
          <cell r="AB531">
            <v>55033.853881326373</v>
          </cell>
          <cell r="AC531">
            <v>333.36589499299072</v>
          </cell>
          <cell r="AE531" t="str">
            <v>Other Expenses (Charity &amp; Donation)</v>
          </cell>
        </row>
        <row r="532">
          <cell r="D532" t="str">
            <v>Other Expenses ( W.P.P.F.)</v>
          </cell>
          <cell r="E532">
            <v>3573.7075858361454</v>
          </cell>
          <cell r="F532">
            <v>536056.13787542179</v>
          </cell>
          <cell r="G532">
            <v>3260.1003648049996</v>
          </cell>
          <cell r="H532">
            <v>554217.06201684987</v>
          </cell>
          <cell r="I532">
            <v>2868.2077932472907</v>
          </cell>
          <cell r="J532">
            <v>487595.3248520394</v>
          </cell>
          <cell r="K532">
            <v>2950.3710885468208</v>
          </cell>
          <cell r="L532">
            <v>531066.79593842779</v>
          </cell>
          <cell r="M532">
            <v>2984.5209973853607</v>
          </cell>
          <cell r="N532">
            <v>387987.72966009687</v>
          </cell>
          <cell r="O532">
            <v>3261.9142882485439</v>
          </cell>
          <cell r="P532">
            <v>424048.85747231072</v>
          </cell>
          <cell r="Q532">
            <v>3221.4233012482478</v>
          </cell>
          <cell r="R532">
            <v>547641.96121220209</v>
          </cell>
          <cell r="S532">
            <v>2697.4681580678207</v>
          </cell>
          <cell r="T532">
            <v>323696.17896813847</v>
          </cell>
          <cell r="U532">
            <v>2877.5317129664104</v>
          </cell>
          <cell r="V532">
            <v>431629.75694496155</v>
          </cell>
          <cell r="W532">
            <v>3280.2679674234987</v>
          </cell>
          <cell r="X532">
            <v>524842.87478775973</v>
          </cell>
          <cell r="Y532">
            <v>2911.8557735997142</v>
          </cell>
          <cell r="Z532">
            <v>436778.36603995715</v>
          </cell>
          <cell r="AA532">
            <v>3464.9058265788067</v>
          </cell>
          <cell r="AB532">
            <v>554384.93225260905</v>
          </cell>
          <cell r="AC532">
            <v>3119.5358576199865</v>
          </cell>
          <cell r="AE532" t="str">
            <v>Other Expenses ( W.P.P.F.)</v>
          </cell>
        </row>
        <row r="533">
          <cell r="D533" t="str">
            <v>Workers Welfare Fund</v>
          </cell>
          <cell r="E533">
            <v>1499.0267372593985</v>
          </cell>
          <cell r="F533">
            <v>224854.01058890976</v>
          </cell>
          <cell r="G533">
            <v>1367.4811090758005</v>
          </cell>
          <cell r="H533">
            <v>232471.78854288609</v>
          </cell>
          <cell r="I533">
            <v>1203.0979219267881</v>
          </cell>
          <cell r="J533">
            <v>204526.64672755398</v>
          </cell>
          <cell r="K533">
            <v>1237.5621229049211</v>
          </cell>
          <cell r="L533">
            <v>222761.1821228858</v>
          </cell>
          <cell r="M533">
            <v>1251.8866374865934</v>
          </cell>
          <cell r="N533">
            <v>162745.26287325713</v>
          </cell>
          <cell r="O533">
            <v>1368.2419770751833</v>
          </cell>
          <cell r="P533">
            <v>177871.45701977384</v>
          </cell>
          <cell r="Q533">
            <v>1351.2576349952574</v>
          </cell>
          <cell r="R533">
            <v>229713.79794919374</v>
          </cell>
          <cell r="S533">
            <v>1131.4795054513236</v>
          </cell>
          <cell r="T533">
            <v>135777.54065415883</v>
          </cell>
          <cell r="U533">
            <v>1207.0089316049207</v>
          </cell>
          <cell r="V533">
            <v>181051.3397407381</v>
          </cell>
          <cell r="W533">
            <v>1375.9406080206418</v>
          </cell>
          <cell r="X533">
            <v>220150.49728330268</v>
          </cell>
          <cell r="Y533">
            <v>1221.4064958669101</v>
          </cell>
          <cell r="Z533">
            <v>183210.9743800365</v>
          </cell>
          <cell r="AA533">
            <v>1453.3887710099996</v>
          </cell>
          <cell r="AB533">
            <v>232542.20336159994</v>
          </cell>
          <cell r="AC533">
            <v>1308.5199463284221</v>
          </cell>
          <cell r="AE533" t="str">
            <v>Workers Welfare Fund</v>
          </cell>
        </row>
        <row r="534">
          <cell r="E534">
            <v>25485.032929677422</v>
          </cell>
          <cell r="F534">
            <v>3822754.9394516139</v>
          </cell>
          <cell r="G534">
            <v>22360.059486546405</v>
          </cell>
          <cell r="H534">
            <v>3801210.112712889</v>
          </cell>
          <cell r="I534">
            <v>27800.176060023059</v>
          </cell>
          <cell r="J534">
            <v>4726029.9302039212</v>
          </cell>
          <cell r="K534">
            <v>25887.579279012789</v>
          </cell>
          <cell r="L534">
            <v>4659764.2702223007</v>
          </cell>
          <cell r="M534">
            <v>32394.313930730743</v>
          </cell>
          <cell r="N534">
            <v>4211260.8109949967</v>
          </cell>
          <cell r="O534">
            <v>25026.558079129718</v>
          </cell>
          <cell r="P534">
            <v>3253452.550286863</v>
          </cell>
          <cell r="Q534">
            <v>19868.406464293483</v>
          </cell>
          <cell r="R534">
            <v>3377629.0989298923</v>
          </cell>
          <cell r="S534">
            <v>27295.30791599043</v>
          </cell>
          <cell r="T534">
            <v>3275436.9499188517</v>
          </cell>
          <cell r="U534">
            <v>27037.991155497592</v>
          </cell>
          <cell r="V534">
            <v>4055698.673324639</v>
          </cell>
          <cell r="W534">
            <v>24623.40075910644</v>
          </cell>
          <cell r="X534">
            <v>3939744.1214570296</v>
          </cell>
          <cell r="Y534">
            <v>32197.815078358082</v>
          </cell>
          <cell r="Z534">
            <v>4829672.2617537128</v>
          </cell>
          <cell r="AA534">
            <v>24529.659763190764</v>
          </cell>
          <cell r="AB534">
            <v>3924745.5621105218</v>
          </cell>
          <cell r="AC534">
            <v>26020.325696395241</v>
          </cell>
        </row>
        <row r="535">
          <cell r="D535" t="str">
            <v>Operating Profit</v>
          </cell>
          <cell r="E535">
            <v>52156.264605345736</v>
          </cell>
          <cell r="F535">
            <v>7823439.6908018496</v>
          </cell>
          <cell r="G535">
            <v>58552.546132579359</v>
          </cell>
          <cell r="H535">
            <v>9953932.8425384723</v>
          </cell>
          <cell r="I535">
            <v>53569.777170622852</v>
          </cell>
          <cell r="J535">
            <v>9106862.1190058626</v>
          </cell>
          <cell r="K535">
            <v>63005.678281940229</v>
          </cell>
          <cell r="L535">
            <v>11341022.09074924</v>
          </cell>
          <cell r="M535">
            <v>50199.950089092628</v>
          </cell>
          <cell r="N535">
            <v>6525993.5115820291</v>
          </cell>
          <cell r="O535">
            <v>58280.615572444272</v>
          </cell>
          <cell r="P535">
            <v>7576480.0244177412</v>
          </cell>
          <cell r="Q535">
            <v>69355.851096659535</v>
          </cell>
          <cell r="R535">
            <v>11790494.686432116</v>
          </cell>
          <cell r="S535">
            <v>57374.829660932577</v>
          </cell>
          <cell r="T535">
            <v>6884979.5593118928</v>
          </cell>
          <cell r="U535">
            <v>59105.971658975577</v>
          </cell>
          <cell r="V535">
            <v>8865895.748846326</v>
          </cell>
          <cell r="W535">
            <v>59844.869797247855</v>
          </cell>
          <cell r="X535">
            <v>9575179.1675596647</v>
          </cell>
          <cell r="Y535">
            <v>52064.247231178713</v>
          </cell>
          <cell r="Z535">
            <v>7809637.0846767975</v>
          </cell>
          <cell r="AA535">
            <v>60298.937103364457</v>
          </cell>
          <cell r="AB535">
            <v>9647829.93653832</v>
          </cell>
          <cell r="AC535">
            <v>58098.775251337269</v>
          </cell>
          <cell r="AE535" t="str">
            <v>Operating Profit</v>
          </cell>
        </row>
        <row r="537">
          <cell r="C537" t="str">
            <v>Other Income</v>
          </cell>
          <cell r="AD537" t="str">
            <v>Other Income</v>
          </cell>
        </row>
        <row r="538">
          <cell r="D538" t="str">
            <v>H.D</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E538" t="str">
            <v>H.D</v>
          </cell>
        </row>
        <row r="539">
          <cell r="D539" t="str">
            <v>Others</v>
          </cell>
          <cell r="E539">
            <v>18021.978021978022</v>
          </cell>
          <cell r="F539">
            <v>2703296.7032967033</v>
          </cell>
          <cell r="G539">
            <v>15045.871559633028</v>
          </cell>
          <cell r="H539">
            <v>2557798</v>
          </cell>
          <cell r="I539">
            <v>14629.794826048172</v>
          </cell>
          <cell r="J539">
            <v>2487065.1204281892</v>
          </cell>
          <cell r="K539">
            <v>5120</v>
          </cell>
          <cell r="L539">
            <v>921600</v>
          </cell>
          <cell r="M539">
            <v>7356.3218390804595</v>
          </cell>
          <cell r="N539">
            <v>956321.83908045979</v>
          </cell>
          <cell r="O539">
            <v>7103.2186459489458</v>
          </cell>
          <cell r="P539">
            <v>923418.42397336289</v>
          </cell>
          <cell r="Q539">
            <v>5120</v>
          </cell>
          <cell r="R539">
            <v>870400</v>
          </cell>
          <cell r="S539">
            <v>6736.8421052631575</v>
          </cell>
          <cell r="T539">
            <v>808421.05263157887</v>
          </cell>
          <cell r="U539">
            <v>6213.5922330097092</v>
          </cell>
          <cell r="V539">
            <v>932038.8349514564</v>
          </cell>
          <cell r="W539">
            <v>6808.510638297872</v>
          </cell>
          <cell r="X539">
            <v>1089361.7021276595</v>
          </cell>
          <cell r="Y539">
            <v>6881.7204301075271</v>
          </cell>
          <cell r="Z539">
            <v>1032258.0645161291</v>
          </cell>
          <cell r="AA539">
            <v>6680.5845511482257</v>
          </cell>
          <cell r="AB539">
            <v>1068893.5281837161</v>
          </cell>
          <cell r="AC539">
            <v>8886.3441680376382</v>
          </cell>
          <cell r="AE539" t="str">
            <v>Others</v>
          </cell>
        </row>
        <row r="540">
          <cell r="E540">
            <v>18021.978021978022</v>
          </cell>
          <cell r="F540">
            <v>2703296.7032967033</v>
          </cell>
          <cell r="G540">
            <v>15045.871559633028</v>
          </cell>
          <cell r="H540">
            <v>2557798</v>
          </cell>
          <cell r="I540">
            <v>14629.794826048172</v>
          </cell>
          <cell r="J540">
            <v>2487065.1204281892</v>
          </cell>
          <cell r="K540">
            <v>5120</v>
          </cell>
          <cell r="L540">
            <v>921600</v>
          </cell>
          <cell r="M540">
            <v>7356.3218390804595</v>
          </cell>
          <cell r="N540">
            <v>956321.83908045979</v>
          </cell>
          <cell r="O540">
            <v>7103.2186459489458</v>
          </cell>
          <cell r="P540">
            <v>923418.42397336289</v>
          </cell>
          <cell r="Q540">
            <v>5120</v>
          </cell>
          <cell r="R540">
            <v>870400</v>
          </cell>
          <cell r="S540">
            <v>6736.8421052631575</v>
          </cell>
          <cell r="T540">
            <v>808421.05263157887</v>
          </cell>
          <cell r="U540">
            <v>6213.5922330097092</v>
          </cell>
          <cell r="V540">
            <v>932038.8349514564</v>
          </cell>
          <cell r="W540">
            <v>6808.510638297872</v>
          </cell>
          <cell r="X540">
            <v>1089361.7021276595</v>
          </cell>
          <cell r="Y540">
            <v>6881.7204301075271</v>
          </cell>
          <cell r="Z540">
            <v>1032258.0645161291</v>
          </cell>
          <cell r="AA540">
            <v>6680.5845511482257</v>
          </cell>
          <cell r="AB540">
            <v>1068893.5281837161</v>
          </cell>
          <cell r="AC540">
            <v>8886.3441680376382</v>
          </cell>
        </row>
        <row r="542">
          <cell r="C542" t="str">
            <v>Profit / (Loss) before tax</v>
          </cell>
          <cell r="E542">
            <v>70178.242627323751</v>
          </cell>
          <cell r="F542">
            <v>10526736.394098554</v>
          </cell>
          <cell r="G542">
            <v>73598.417692212388</v>
          </cell>
          <cell r="H542">
            <v>12511730.842538472</v>
          </cell>
          <cell r="I542">
            <v>68199.571996671031</v>
          </cell>
          <cell r="J542">
            <v>11593927.239434052</v>
          </cell>
          <cell r="K542">
            <v>68125.678281940229</v>
          </cell>
          <cell r="L542">
            <v>12262622.09074924</v>
          </cell>
          <cell r="M542">
            <v>57556.27192817309</v>
          </cell>
          <cell r="N542">
            <v>7482315.3506624885</v>
          </cell>
          <cell r="O542">
            <v>65383.834218393218</v>
          </cell>
          <cell r="P542">
            <v>8499898.4483911041</v>
          </cell>
          <cell r="Q542">
            <v>74475.851096659535</v>
          </cell>
          <cell r="R542">
            <v>12660894.686432116</v>
          </cell>
          <cell r="S542">
            <v>64111.671766195737</v>
          </cell>
          <cell r="T542">
            <v>7693400.6119434722</v>
          </cell>
          <cell r="U542">
            <v>65319.563891985286</v>
          </cell>
          <cell r="V542">
            <v>9797934.5837977827</v>
          </cell>
          <cell r="W542">
            <v>66653.380435545725</v>
          </cell>
          <cell r="X542">
            <v>10664540.869687324</v>
          </cell>
          <cell r="Y542">
            <v>58945.967661286239</v>
          </cell>
          <cell r="Z542">
            <v>8841895.1491929274</v>
          </cell>
          <cell r="AA542">
            <v>66979.521654512675</v>
          </cell>
          <cell r="AB542">
            <v>10716723.464722035</v>
          </cell>
          <cell r="AC542">
            <v>66985.119419374911</v>
          </cell>
          <cell r="AD542" t="str">
            <v>Profit before tax</v>
          </cell>
        </row>
        <row r="544">
          <cell r="C544" t="str">
            <v>Taxation</v>
          </cell>
          <cell r="AD544" t="str">
            <v>Taxation</v>
          </cell>
        </row>
        <row r="545">
          <cell r="D545" t="str">
            <v>Current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E545" t="str">
            <v>Current</v>
          </cell>
        </row>
        <row r="546">
          <cell r="D546" t="str">
            <v>Deferred</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E546" t="str">
            <v>Deferred</v>
          </cell>
        </row>
        <row r="547">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row>
        <row r="549">
          <cell r="C549" t="str">
            <v>Net Profit after taxation</v>
          </cell>
          <cell r="E549">
            <v>70178.242627323751</v>
          </cell>
          <cell r="F549">
            <v>10526736.394098554</v>
          </cell>
          <cell r="G549">
            <v>73598.417692212388</v>
          </cell>
          <cell r="H549">
            <v>12511730.842538472</v>
          </cell>
          <cell r="I549">
            <v>68199.571996671031</v>
          </cell>
          <cell r="J549">
            <v>11593927.239434052</v>
          </cell>
          <cell r="K549">
            <v>68125.678281940229</v>
          </cell>
          <cell r="L549">
            <v>12262622.09074924</v>
          </cell>
          <cell r="M549">
            <v>57556.27192817309</v>
          </cell>
          <cell r="N549">
            <v>7482315.3506624885</v>
          </cell>
          <cell r="O549">
            <v>65383.834218393218</v>
          </cell>
          <cell r="P549">
            <v>8499898.4483911041</v>
          </cell>
          <cell r="Q549">
            <v>74475.851096659535</v>
          </cell>
          <cell r="R549">
            <v>12660894.686432116</v>
          </cell>
          <cell r="S549">
            <v>64111.671766195737</v>
          </cell>
          <cell r="T549">
            <v>7693400.6119434722</v>
          </cell>
          <cell r="U549">
            <v>65319.563891985286</v>
          </cell>
          <cell r="V549">
            <v>9797934.5837977827</v>
          </cell>
          <cell r="W549">
            <v>66653.380435545725</v>
          </cell>
          <cell r="X549">
            <v>10664540.869687324</v>
          </cell>
          <cell r="Y549">
            <v>58945.967661286239</v>
          </cell>
          <cell r="Z549">
            <v>8841895.1491929274</v>
          </cell>
          <cell r="AA549">
            <v>66979.521654512675</v>
          </cell>
          <cell r="AB549">
            <v>10716723.464722035</v>
          </cell>
          <cell r="AC549">
            <v>66985.119419374911</v>
          </cell>
          <cell r="AD549" t="str">
            <v>Net Profit after taxation</v>
          </cell>
        </row>
        <row r="551">
          <cell r="AC551" t="str">
            <v>2.0D SALOON</v>
          </cell>
        </row>
        <row r="552">
          <cell r="E552">
            <v>37438</v>
          </cell>
          <cell r="G552">
            <v>37469</v>
          </cell>
          <cell r="I552">
            <v>37500</v>
          </cell>
          <cell r="K552">
            <v>37531</v>
          </cell>
          <cell r="M552">
            <v>37562</v>
          </cell>
          <cell r="O552">
            <v>37593</v>
          </cell>
          <cell r="Q552">
            <v>37624</v>
          </cell>
          <cell r="S552">
            <v>37655</v>
          </cell>
          <cell r="U552">
            <v>37686</v>
          </cell>
          <cell r="W552">
            <v>37717</v>
          </cell>
          <cell r="Y552">
            <v>37748</v>
          </cell>
          <cell r="AA552">
            <v>37779</v>
          </cell>
          <cell r="AC552" t="str">
            <v>Yearly</v>
          </cell>
        </row>
        <row r="553">
          <cell r="D553" t="str">
            <v>2.0D SALOON</v>
          </cell>
          <cell r="E553" t="str">
            <v>Per Unit</v>
          </cell>
          <cell r="F553" t="str">
            <v>Total</v>
          </cell>
          <cell r="G553" t="str">
            <v>Per Unit</v>
          </cell>
          <cell r="H553" t="str">
            <v>Total</v>
          </cell>
          <cell r="I553" t="str">
            <v>Per Unit</v>
          </cell>
          <cell r="J553" t="str">
            <v>Total</v>
          </cell>
          <cell r="K553" t="str">
            <v>Per Unit</v>
          </cell>
          <cell r="L553" t="str">
            <v>Total</v>
          </cell>
          <cell r="M553" t="str">
            <v>Per Unit</v>
          </cell>
          <cell r="N553" t="str">
            <v>Total</v>
          </cell>
          <cell r="O553" t="str">
            <v>Per Unit</v>
          </cell>
          <cell r="P553" t="str">
            <v>Total</v>
          </cell>
          <cell r="Q553" t="str">
            <v>Per Unit</v>
          </cell>
          <cell r="R553" t="str">
            <v>Total</v>
          </cell>
          <cell r="S553" t="str">
            <v>Per Unit</v>
          </cell>
          <cell r="T553" t="str">
            <v>Total</v>
          </cell>
          <cell r="U553" t="str">
            <v>Per Unit</v>
          </cell>
          <cell r="V553" t="str">
            <v>Total</v>
          </cell>
          <cell r="W553" t="str">
            <v>Per Unit</v>
          </cell>
          <cell r="X553" t="str">
            <v>Total</v>
          </cell>
          <cell r="Y553" t="str">
            <v>Per Unit</v>
          </cell>
          <cell r="Z553" t="str">
            <v>Total</v>
          </cell>
          <cell r="AA553" t="str">
            <v>Per Unit</v>
          </cell>
          <cell r="AB553" t="str">
            <v>Total</v>
          </cell>
          <cell r="AC553" t="str">
            <v>Average</v>
          </cell>
          <cell r="AD553">
            <v>0</v>
          </cell>
          <cell r="AE553" t="str">
            <v>2.0DG</v>
          </cell>
        </row>
        <row r="555">
          <cell r="C555" t="str">
            <v>Sales Units</v>
          </cell>
          <cell r="E555">
            <v>240</v>
          </cell>
          <cell r="F555">
            <v>240</v>
          </cell>
          <cell r="G555">
            <v>260</v>
          </cell>
          <cell r="H555">
            <v>260</v>
          </cell>
          <cell r="I555">
            <v>260</v>
          </cell>
          <cell r="J555">
            <v>260</v>
          </cell>
          <cell r="K555">
            <v>290</v>
          </cell>
          <cell r="L555">
            <v>290</v>
          </cell>
          <cell r="M555">
            <v>200</v>
          </cell>
          <cell r="N555">
            <v>200</v>
          </cell>
          <cell r="O555">
            <v>210</v>
          </cell>
          <cell r="P555">
            <v>210</v>
          </cell>
          <cell r="Q555">
            <v>270</v>
          </cell>
          <cell r="R555">
            <v>270</v>
          </cell>
          <cell r="S555">
            <v>200</v>
          </cell>
          <cell r="T555">
            <v>200</v>
          </cell>
          <cell r="U555">
            <v>240</v>
          </cell>
          <cell r="V555">
            <v>240</v>
          </cell>
          <cell r="W555">
            <v>260</v>
          </cell>
          <cell r="X555">
            <v>260</v>
          </cell>
          <cell r="Y555">
            <v>250</v>
          </cell>
          <cell r="Z555">
            <v>250</v>
          </cell>
          <cell r="AA555">
            <v>260</v>
          </cell>
          <cell r="AB555">
            <v>260</v>
          </cell>
          <cell r="AC555">
            <v>2940</v>
          </cell>
          <cell r="AD555" t="str">
            <v>Sales Units</v>
          </cell>
        </row>
        <row r="557">
          <cell r="C557" t="str">
            <v>Selling Price</v>
          </cell>
          <cell r="E557">
            <v>1189000</v>
          </cell>
          <cell r="F557">
            <v>285360000</v>
          </cell>
          <cell r="G557">
            <v>1189000</v>
          </cell>
          <cell r="H557">
            <v>309140000</v>
          </cell>
          <cell r="I557">
            <v>1189000</v>
          </cell>
          <cell r="J557">
            <v>309140000</v>
          </cell>
          <cell r="K557">
            <v>1189000</v>
          </cell>
          <cell r="L557">
            <v>344810000</v>
          </cell>
          <cell r="M557">
            <v>1189000</v>
          </cell>
          <cell r="N557">
            <v>237800000</v>
          </cell>
          <cell r="O557">
            <v>1189000</v>
          </cell>
          <cell r="P557">
            <v>249690000</v>
          </cell>
          <cell r="Q557">
            <v>1189000</v>
          </cell>
          <cell r="R557">
            <v>321030000</v>
          </cell>
          <cell r="S557">
            <v>1189000</v>
          </cell>
          <cell r="T557">
            <v>237800000</v>
          </cell>
          <cell r="U557">
            <v>1189000</v>
          </cell>
          <cell r="V557">
            <v>285360000</v>
          </cell>
          <cell r="W557">
            <v>1189000</v>
          </cell>
          <cell r="X557">
            <v>309140000</v>
          </cell>
          <cell r="Y557">
            <v>1189000</v>
          </cell>
          <cell r="Z557">
            <v>297250000</v>
          </cell>
          <cell r="AA557">
            <v>1189000</v>
          </cell>
          <cell r="AB557">
            <v>309140000</v>
          </cell>
          <cell r="AC557">
            <v>1189000</v>
          </cell>
          <cell r="AD557" t="str">
            <v>Selling Price</v>
          </cell>
        </row>
        <row r="558">
          <cell r="C558" t="str">
            <v>Less: Dealer commission</v>
          </cell>
          <cell r="E558">
            <v>-35000</v>
          </cell>
          <cell r="F558">
            <v>-8400000</v>
          </cell>
          <cell r="G558">
            <v>-35000</v>
          </cell>
          <cell r="H558">
            <v>-9100000</v>
          </cell>
          <cell r="I558">
            <v>-35000</v>
          </cell>
          <cell r="J558">
            <v>-9100000</v>
          </cell>
          <cell r="K558">
            <v>-35000</v>
          </cell>
          <cell r="L558">
            <v>-10150000</v>
          </cell>
          <cell r="M558">
            <v>-35000</v>
          </cell>
          <cell r="N558">
            <v>-7000000</v>
          </cell>
          <cell r="O558">
            <v>-35000</v>
          </cell>
          <cell r="P558">
            <v>-7350000</v>
          </cell>
          <cell r="Q558">
            <v>-35000</v>
          </cell>
          <cell r="R558">
            <v>-9450000</v>
          </cell>
          <cell r="S558">
            <v>-35000</v>
          </cell>
          <cell r="T558">
            <v>-7000000</v>
          </cell>
          <cell r="U558">
            <v>-35000</v>
          </cell>
          <cell r="V558">
            <v>-8400000</v>
          </cell>
          <cell r="W558">
            <v>-35000</v>
          </cell>
          <cell r="X558">
            <v>-9100000</v>
          </cell>
          <cell r="Y558">
            <v>-35000</v>
          </cell>
          <cell r="Z558">
            <v>-8750000</v>
          </cell>
          <cell r="AA558">
            <v>-35000</v>
          </cell>
          <cell r="AB558">
            <v>-9100000</v>
          </cell>
          <cell r="AC558">
            <v>-35000</v>
          </cell>
          <cell r="AD558" t="str">
            <v>Less: Dealer commission</v>
          </cell>
        </row>
        <row r="559">
          <cell r="D559" t="str">
            <v xml:space="preserve">  Sales tax</v>
          </cell>
          <cell r="E559">
            <v>-155086.95652173914</v>
          </cell>
          <cell r="F559">
            <v>-37220869.565217391</v>
          </cell>
          <cell r="G559">
            <v>-155086.95652173914</v>
          </cell>
          <cell r="H559">
            <v>-40322608.695652172</v>
          </cell>
          <cell r="I559">
            <v>-155086.95652173914</v>
          </cell>
          <cell r="J559">
            <v>-40322608.695652172</v>
          </cell>
          <cell r="K559">
            <v>-155086.95652173914</v>
          </cell>
          <cell r="L559">
            <v>-44975217.391304351</v>
          </cell>
          <cell r="M559">
            <v>-155086.95652173914</v>
          </cell>
          <cell r="N559">
            <v>-31017391.304347828</v>
          </cell>
          <cell r="O559">
            <v>-155086.95652173914</v>
          </cell>
          <cell r="P559">
            <v>-32568260.869565219</v>
          </cell>
          <cell r="Q559">
            <v>-155086.95652173914</v>
          </cell>
          <cell r="R559">
            <v>-41873478.26086957</v>
          </cell>
          <cell r="S559">
            <v>-155086.95652173914</v>
          </cell>
          <cell r="T559">
            <v>-31017391.304347828</v>
          </cell>
          <cell r="U559">
            <v>-155086.95652173914</v>
          </cell>
          <cell r="V559">
            <v>-37220869.565217391</v>
          </cell>
          <cell r="W559">
            <v>-155086.95652173914</v>
          </cell>
          <cell r="X559">
            <v>-40322608.695652172</v>
          </cell>
          <cell r="Y559">
            <v>-155086.95652173914</v>
          </cell>
          <cell r="Z559">
            <v>-38771739.130434781</v>
          </cell>
          <cell r="AA559">
            <v>-155086.95652173914</v>
          </cell>
          <cell r="AB559">
            <v>-40322608.695652172</v>
          </cell>
          <cell r="AC559">
            <v>-155086.95652173914</v>
          </cell>
          <cell r="AE559" t="str">
            <v xml:space="preserve">  Sales tax</v>
          </cell>
        </row>
        <row r="560">
          <cell r="B560">
            <v>0.84012871612974005</v>
          </cell>
          <cell r="C560" t="str">
            <v>Net Sales</v>
          </cell>
          <cell r="E560">
            <v>998913.04347826086</v>
          </cell>
          <cell r="F560">
            <v>239739130.43478262</v>
          </cell>
          <cell r="G560">
            <v>998913.04347826086</v>
          </cell>
          <cell r="H560">
            <v>259717391.30434781</v>
          </cell>
          <cell r="I560">
            <v>998913.04347826086</v>
          </cell>
          <cell r="J560">
            <v>259717391.30434781</v>
          </cell>
          <cell r="K560">
            <v>998913.04347826086</v>
          </cell>
          <cell r="L560">
            <v>289684782.60869563</v>
          </cell>
          <cell r="M560">
            <v>998913.04347826086</v>
          </cell>
          <cell r="N560">
            <v>199782608.69565219</v>
          </cell>
          <cell r="O560">
            <v>998913.04347826086</v>
          </cell>
          <cell r="P560">
            <v>209771739.13043478</v>
          </cell>
          <cell r="Q560">
            <v>998913.04347826086</v>
          </cell>
          <cell r="R560">
            <v>269706521.73913044</v>
          </cell>
          <cell r="S560">
            <v>998913.04347826086</v>
          </cell>
          <cell r="T560">
            <v>199782608.69565219</v>
          </cell>
          <cell r="U560">
            <v>998913.04347826086</v>
          </cell>
          <cell r="V560">
            <v>239739130.43478262</v>
          </cell>
          <cell r="W560">
            <v>998913.04347826086</v>
          </cell>
          <cell r="X560">
            <v>259717391.30434781</v>
          </cell>
          <cell r="Y560">
            <v>998913.04347826086</v>
          </cell>
          <cell r="Z560">
            <v>249728260.86956522</v>
          </cell>
          <cell r="AA560">
            <v>998913.04347826086</v>
          </cell>
          <cell r="AB560">
            <v>259717391.30434781</v>
          </cell>
          <cell r="AC560">
            <v>998913.04347826086</v>
          </cell>
          <cell r="AD560" t="str">
            <v>Net Sales</v>
          </cell>
          <cell r="AE560">
            <v>2936804347.826087</v>
          </cell>
        </row>
        <row r="562">
          <cell r="C562" t="str">
            <v>Variable Cost of Sales</v>
          </cell>
          <cell r="AD562" t="str">
            <v>Variable Cost of Sales</v>
          </cell>
        </row>
        <row r="563">
          <cell r="B563">
            <v>0.43283030309798959</v>
          </cell>
          <cell r="D563" t="str">
            <v>CKD Cost</v>
          </cell>
          <cell r="E563">
            <v>514635.2303835096</v>
          </cell>
          <cell r="F563">
            <v>123512455.2920423</v>
          </cell>
          <cell r="G563">
            <v>514635.2303835096</v>
          </cell>
          <cell r="H563">
            <v>133805159.89971249</v>
          </cell>
          <cell r="I563">
            <v>514635.2303835096</v>
          </cell>
          <cell r="J563">
            <v>133805159.89971249</v>
          </cell>
          <cell r="K563">
            <v>514635.2303835096</v>
          </cell>
          <cell r="L563">
            <v>149244216.81121778</v>
          </cell>
          <cell r="M563">
            <v>514635.2303835096</v>
          </cell>
          <cell r="N563">
            <v>102927046.07670192</v>
          </cell>
          <cell r="O563">
            <v>514635.2303835096</v>
          </cell>
          <cell r="P563">
            <v>108073398.38053702</v>
          </cell>
          <cell r="Q563">
            <v>514635.2303835096</v>
          </cell>
          <cell r="R563">
            <v>138951512.2035476</v>
          </cell>
          <cell r="S563">
            <v>514635.2303835096</v>
          </cell>
          <cell r="T563">
            <v>102927046.07670192</v>
          </cell>
          <cell r="U563">
            <v>514635.2303835096</v>
          </cell>
          <cell r="V563">
            <v>123512455.2920423</v>
          </cell>
          <cell r="W563">
            <v>514635.2303835096</v>
          </cell>
          <cell r="X563">
            <v>133805159.89971249</v>
          </cell>
          <cell r="Y563">
            <v>514635.2303835096</v>
          </cell>
          <cell r="Z563">
            <v>128658807.59587739</v>
          </cell>
          <cell r="AA563">
            <v>514635.2303835096</v>
          </cell>
          <cell r="AB563">
            <v>133805159.89971249</v>
          </cell>
          <cell r="AC563">
            <v>514635.2303835096</v>
          </cell>
          <cell r="AE563" t="str">
            <v>CKD Cost</v>
          </cell>
          <cell r="AF563">
            <v>1513027577.3275182</v>
          </cell>
        </row>
        <row r="564">
          <cell r="B564">
            <v>0.19040706476030278</v>
          </cell>
          <cell r="D564" t="str">
            <v>Vendor parts</v>
          </cell>
          <cell r="E564">
            <v>226394</v>
          </cell>
          <cell r="F564">
            <v>54334560</v>
          </cell>
          <cell r="G564">
            <v>226394</v>
          </cell>
          <cell r="H564">
            <v>58862440</v>
          </cell>
          <cell r="I564">
            <v>226394</v>
          </cell>
          <cell r="J564">
            <v>58862440</v>
          </cell>
          <cell r="K564">
            <v>226394</v>
          </cell>
          <cell r="L564">
            <v>65654260</v>
          </cell>
          <cell r="M564">
            <v>226394</v>
          </cell>
          <cell r="N564">
            <v>45278800</v>
          </cell>
          <cell r="O564">
            <v>226394</v>
          </cell>
          <cell r="P564">
            <v>47542740</v>
          </cell>
          <cell r="Q564">
            <v>226063</v>
          </cell>
          <cell r="R564">
            <v>61037010</v>
          </cell>
          <cell r="S564">
            <v>226063</v>
          </cell>
          <cell r="T564">
            <v>45212600</v>
          </cell>
          <cell r="U564">
            <v>226063</v>
          </cell>
          <cell r="V564">
            <v>54255120</v>
          </cell>
          <cell r="W564">
            <v>226063</v>
          </cell>
          <cell r="X564">
            <v>58776380</v>
          </cell>
          <cell r="Y564">
            <v>226063</v>
          </cell>
          <cell r="Z564">
            <v>56515750</v>
          </cell>
          <cell r="AA564">
            <v>226063</v>
          </cell>
          <cell r="AB564">
            <v>58776380</v>
          </cell>
          <cell r="AC564">
            <v>226227.37414965985</v>
          </cell>
          <cell r="AE564" t="str">
            <v>Vendor parts</v>
          </cell>
          <cell r="AF564">
            <v>665108480</v>
          </cell>
        </row>
        <row r="565">
          <cell r="B565">
            <v>0.1287021325904121</v>
          </cell>
          <cell r="D565" t="str">
            <v>Multi Source Parts</v>
          </cell>
          <cell r="E565">
            <v>153026.83564999999</v>
          </cell>
          <cell r="F565">
            <v>36726440.556000002</v>
          </cell>
          <cell r="G565">
            <v>153026.83564999999</v>
          </cell>
          <cell r="H565">
            <v>39786977.269000001</v>
          </cell>
          <cell r="I565">
            <v>153026.83564999999</v>
          </cell>
          <cell r="J565">
            <v>39786977.269000001</v>
          </cell>
          <cell r="K565">
            <v>153026.83564999999</v>
          </cell>
          <cell r="L565">
            <v>44377782.338500001</v>
          </cell>
          <cell r="M565">
            <v>153026.83564999999</v>
          </cell>
          <cell r="N565">
            <v>30605367.129999999</v>
          </cell>
          <cell r="O565">
            <v>153026.83564999999</v>
          </cell>
          <cell r="P565">
            <v>32135635.486499999</v>
          </cell>
          <cell r="Q565">
            <v>153026.83564999999</v>
          </cell>
          <cell r="R565">
            <v>41317245.625500001</v>
          </cell>
          <cell r="S565">
            <v>153026.83564999999</v>
          </cell>
          <cell r="T565">
            <v>30605367.129999999</v>
          </cell>
          <cell r="U565">
            <v>153026.83564999999</v>
          </cell>
          <cell r="V565">
            <v>36726440.556000002</v>
          </cell>
          <cell r="W565">
            <v>153026.83564999999</v>
          </cell>
          <cell r="X565">
            <v>39786977.269000001</v>
          </cell>
          <cell r="Y565">
            <v>153026.83564999999</v>
          </cell>
          <cell r="Z565">
            <v>38256708.912500001</v>
          </cell>
          <cell r="AA565">
            <v>153026.83564999999</v>
          </cell>
          <cell r="AB565">
            <v>39786977.269000001</v>
          </cell>
          <cell r="AC565">
            <v>153026.83564999999</v>
          </cell>
          <cell r="AE565" t="str">
            <v>Nomi Parts</v>
          </cell>
          <cell r="AF565">
            <v>449898896.81099999</v>
          </cell>
        </row>
        <row r="566">
          <cell r="B566">
            <v>1.2300252312867957E-2</v>
          </cell>
          <cell r="D566" t="str">
            <v>Paints &amp; Chemicals</v>
          </cell>
          <cell r="E566">
            <v>14625</v>
          </cell>
          <cell r="F566">
            <v>3510000</v>
          </cell>
          <cell r="G566">
            <v>14625</v>
          </cell>
          <cell r="H566">
            <v>3802500</v>
          </cell>
          <cell r="I566">
            <v>14625</v>
          </cell>
          <cell r="J566">
            <v>3802500</v>
          </cell>
          <cell r="K566">
            <v>14625</v>
          </cell>
          <cell r="L566">
            <v>4241250</v>
          </cell>
          <cell r="M566">
            <v>14625</v>
          </cell>
          <cell r="N566">
            <v>2925000</v>
          </cell>
          <cell r="O566">
            <v>14625</v>
          </cell>
          <cell r="P566">
            <v>3071250</v>
          </cell>
          <cell r="Q566">
            <v>14625</v>
          </cell>
          <cell r="R566">
            <v>3948750</v>
          </cell>
          <cell r="S566">
            <v>14625</v>
          </cell>
          <cell r="T566">
            <v>2925000</v>
          </cell>
          <cell r="U566">
            <v>14625</v>
          </cell>
          <cell r="V566">
            <v>3510000</v>
          </cell>
          <cell r="W566">
            <v>14625</v>
          </cell>
          <cell r="X566">
            <v>3802500</v>
          </cell>
          <cell r="Y566">
            <v>14625</v>
          </cell>
          <cell r="Z566">
            <v>3656250</v>
          </cell>
          <cell r="AA566">
            <v>14625</v>
          </cell>
          <cell r="AB566">
            <v>3802500</v>
          </cell>
          <cell r="AC566">
            <v>14625</v>
          </cell>
          <cell r="AE566" t="str">
            <v>Paints &amp; Chemicals</v>
          </cell>
          <cell r="AF566">
            <v>42997500</v>
          </cell>
        </row>
        <row r="567">
          <cell r="B567">
            <v>4.4962153069806558E-3</v>
          </cell>
          <cell r="D567" t="str">
            <v>Consumables</v>
          </cell>
          <cell r="E567">
            <v>5346</v>
          </cell>
          <cell r="F567">
            <v>1283040</v>
          </cell>
          <cell r="G567">
            <v>5346</v>
          </cell>
          <cell r="H567">
            <v>1389960</v>
          </cell>
          <cell r="I567">
            <v>5346</v>
          </cell>
          <cell r="J567">
            <v>1389960</v>
          </cell>
          <cell r="K567">
            <v>5346</v>
          </cell>
          <cell r="L567">
            <v>1550340</v>
          </cell>
          <cell r="M567">
            <v>5346</v>
          </cell>
          <cell r="N567">
            <v>1069200</v>
          </cell>
          <cell r="O567">
            <v>5346</v>
          </cell>
          <cell r="P567">
            <v>1122660</v>
          </cell>
          <cell r="Q567">
            <v>5346</v>
          </cell>
          <cell r="R567">
            <v>1443420</v>
          </cell>
          <cell r="S567">
            <v>5346</v>
          </cell>
          <cell r="T567">
            <v>1069200</v>
          </cell>
          <cell r="U567">
            <v>5346</v>
          </cell>
          <cell r="V567">
            <v>1283040</v>
          </cell>
          <cell r="W567">
            <v>5346</v>
          </cell>
          <cell r="X567">
            <v>1389960</v>
          </cell>
          <cell r="Y567">
            <v>5346</v>
          </cell>
          <cell r="Z567">
            <v>1336500</v>
          </cell>
          <cell r="AA567">
            <v>5346</v>
          </cell>
          <cell r="AB567">
            <v>1389960</v>
          </cell>
          <cell r="AC567">
            <v>5346</v>
          </cell>
          <cell r="AE567" t="str">
            <v>Consumables</v>
          </cell>
          <cell r="AF567">
            <v>15717240</v>
          </cell>
        </row>
        <row r="568">
          <cell r="B568">
            <v>0</v>
          </cell>
          <cell r="D568" t="str">
            <v>KD Parts</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E568" t="str">
            <v>KD Parts</v>
          </cell>
          <cell r="AF568">
            <v>0</v>
          </cell>
        </row>
        <row r="569">
          <cell r="B569">
            <v>6.6358284272497901E-4</v>
          </cell>
          <cell r="D569" t="str">
            <v>Spare parts</v>
          </cell>
          <cell r="E569">
            <v>789</v>
          </cell>
          <cell r="F569">
            <v>189360</v>
          </cell>
          <cell r="G569">
            <v>789</v>
          </cell>
          <cell r="H569">
            <v>205140</v>
          </cell>
          <cell r="I569">
            <v>789</v>
          </cell>
          <cell r="J569">
            <v>205140</v>
          </cell>
          <cell r="K569">
            <v>789</v>
          </cell>
          <cell r="L569">
            <v>228810</v>
          </cell>
          <cell r="M569">
            <v>789</v>
          </cell>
          <cell r="N569">
            <v>157800</v>
          </cell>
          <cell r="O569">
            <v>789</v>
          </cell>
          <cell r="P569">
            <v>165690</v>
          </cell>
          <cell r="Q569">
            <v>789</v>
          </cell>
          <cell r="R569">
            <v>213030</v>
          </cell>
          <cell r="S569">
            <v>789</v>
          </cell>
          <cell r="T569">
            <v>157800</v>
          </cell>
          <cell r="U569">
            <v>789</v>
          </cell>
          <cell r="V569">
            <v>189360</v>
          </cell>
          <cell r="W569">
            <v>789</v>
          </cell>
          <cell r="X569">
            <v>205140</v>
          </cell>
          <cell r="Y569">
            <v>789</v>
          </cell>
          <cell r="Z569">
            <v>197250</v>
          </cell>
          <cell r="AA569">
            <v>789</v>
          </cell>
          <cell r="AB569">
            <v>205140</v>
          </cell>
          <cell r="AC569">
            <v>789</v>
          </cell>
          <cell r="AE569" t="str">
            <v>Spare parts</v>
          </cell>
          <cell r="AF569">
            <v>2319660</v>
          </cell>
        </row>
        <row r="570">
          <cell r="B570">
            <v>4.2834314550042052E-3</v>
          </cell>
          <cell r="D570" t="str">
            <v>Utilities</v>
          </cell>
          <cell r="E570">
            <v>5093</v>
          </cell>
          <cell r="F570">
            <v>1222320</v>
          </cell>
          <cell r="G570">
            <v>5093</v>
          </cell>
          <cell r="H570">
            <v>1324180</v>
          </cell>
          <cell r="I570">
            <v>5093</v>
          </cell>
          <cell r="J570">
            <v>1324180</v>
          </cell>
          <cell r="K570">
            <v>5093</v>
          </cell>
          <cell r="L570">
            <v>1476970</v>
          </cell>
          <cell r="M570">
            <v>5093</v>
          </cell>
          <cell r="N570">
            <v>1018600</v>
          </cell>
          <cell r="O570">
            <v>5093</v>
          </cell>
          <cell r="P570">
            <v>1069530</v>
          </cell>
          <cell r="Q570">
            <v>5093</v>
          </cell>
          <cell r="R570">
            <v>1375110</v>
          </cell>
          <cell r="S570">
            <v>5093</v>
          </cell>
          <cell r="T570">
            <v>1018600</v>
          </cell>
          <cell r="U570">
            <v>5093</v>
          </cell>
          <cell r="V570">
            <v>1222320</v>
          </cell>
          <cell r="W570">
            <v>5093</v>
          </cell>
          <cell r="X570">
            <v>1324180</v>
          </cell>
          <cell r="Y570">
            <v>5093</v>
          </cell>
          <cell r="Z570">
            <v>1273250</v>
          </cell>
          <cell r="AA570">
            <v>5093</v>
          </cell>
          <cell r="AB570">
            <v>1324180</v>
          </cell>
          <cell r="AC570">
            <v>5093</v>
          </cell>
          <cell r="AE570" t="str">
            <v>Utilites</v>
          </cell>
          <cell r="AF570">
            <v>14973420</v>
          </cell>
        </row>
        <row r="571">
          <cell r="B571">
            <v>5.9764507989907489E-3</v>
          </cell>
          <cell r="D571" t="str">
            <v>Royalty</v>
          </cell>
          <cell r="E571">
            <v>7106</v>
          </cell>
          <cell r="F571">
            <v>1705440</v>
          </cell>
          <cell r="G571">
            <v>7106</v>
          </cell>
          <cell r="H571">
            <v>1847560</v>
          </cell>
          <cell r="I571">
            <v>7106</v>
          </cell>
          <cell r="J571">
            <v>1847560</v>
          </cell>
          <cell r="K571">
            <v>7106</v>
          </cell>
          <cell r="L571">
            <v>2060740</v>
          </cell>
          <cell r="M571">
            <v>7106</v>
          </cell>
          <cell r="N571">
            <v>1421200</v>
          </cell>
          <cell r="O571">
            <v>7106</v>
          </cell>
          <cell r="P571">
            <v>1492260</v>
          </cell>
          <cell r="Q571">
            <v>7106</v>
          </cell>
          <cell r="R571">
            <v>1918620</v>
          </cell>
          <cell r="S571">
            <v>7106</v>
          </cell>
          <cell r="T571">
            <v>1421200</v>
          </cell>
          <cell r="U571">
            <v>7106</v>
          </cell>
          <cell r="V571">
            <v>1705440</v>
          </cell>
          <cell r="W571">
            <v>7106</v>
          </cell>
          <cell r="X571">
            <v>1847560</v>
          </cell>
          <cell r="Y571">
            <v>7106</v>
          </cell>
          <cell r="Z571">
            <v>1776500</v>
          </cell>
          <cell r="AA571">
            <v>7106</v>
          </cell>
          <cell r="AB571">
            <v>1847560</v>
          </cell>
          <cell r="AC571">
            <v>7106</v>
          </cell>
          <cell r="AE571" t="str">
            <v>Royalty</v>
          </cell>
          <cell r="AF571">
            <v>20891640</v>
          </cell>
        </row>
        <row r="573">
          <cell r="E573">
            <v>927015.06603350956</v>
          </cell>
          <cell r="F573">
            <v>222483615.84804231</v>
          </cell>
          <cell r="G573">
            <v>927015.06603350956</v>
          </cell>
          <cell r="H573">
            <v>241023917.1687125</v>
          </cell>
          <cell r="I573">
            <v>927015.06603350956</v>
          </cell>
          <cell r="J573">
            <v>241023917.1687125</v>
          </cell>
          <cell r="K573">
            <v>927015.06603350956</v>
          </cell>
          <cell r="L573">
            <v>268834369.14971781</v>
          </cell>
          <cell r="M573">
            <v>927015.06603350956</v>
          </cell>
          <cell r="N573">
            <v>185403013.20670193</v>
          </cell>
          <cell r="O573">
            <v>927015.06603350956</v>
          </cell>
          <cell r="P573">
            <v>194673163.86703703</v>
          </cell>
          <cell r="Q573">
            <v>926684.06603350956</v>
          </cell>
          <cell r="R573">
            <v>250204697.82904759</v>
          </cell>
          <cell r="S573">
            <v>926684.06603350956</v>
          </cell>
          <cell r="T573">
            <v>185336813.20670193</v>
          </cell>
          <cell r="U573">
            <v>926684.06603350956</v>
          </cell>
          <cell r="V573">
            <v>222404175.84804231</v>
          </cell>
          <cell r="W573">
            <v>926684.06603350956</v>
          </cell>
          <cell r="X573">
            <v>240937857.1687125</v>
          </cell>
          <cell r="Y573">
            <v>926684.06603350956</v>
          </cell>
          <cell r="Z573">
            <v>231671016.5083774</v>
          </cell>
          <cell r="AA573">
            <v>926684.06603350956</v>
          </cell>
          <cell r="AB573">
            <v>240937857.1687125</v>
          </cell>
          <cell r="AC573">
            <v>926848.44018316944</v>
          </cell>
          <cell r="AF573">
            <v>2724934414.1385188</v>
          </cell>
        </row>
        <row r="574">
          <cell r="B574">
            <v>6.0469282964467033E-2</v>
          </cell>
          <cell r="C574" t="str">
            <v>Contribution Margin</v>
          </cell>
          <cell r="E574">
            <v>71897.977444751305</v>
          </cell>
          <cell r="F574">
            <v>17255514.586740315</v>
          </cell>
          <cell r="G574">
            <v>71897.977444751305</v>
          </cell>
          <cell r="H574">
            <v>18693474.135635316</v>
          </cell>
          <cell r="I574">
            <v>71897.977444751305</v>
          </cell>
          <cell r="J574">
            <v>18693474.135635316</v>
          </cell>
          <cell r="K574">
            <v>71897.977444751305</v>
          </cell>
          <cell r="L574">
            <v>20850413.458977818</v>
          </cell>
          <cell r="M574">
            <v>71897.977444751305</v>
          </cell>
          <cell r="N574">
            <v>14379595.488950253</v>
          </cell>
          <cell r="O574">
            <v>71897.977444751305</v>
          </cell>
          <cell r="P574">
            <v>15098575.263397753</v>
          </cell>
          <cell r="Q574">
            <v>72228.977444751305</v>
          </cell>
          <cell r="R574">
            <v>19501823.910082847</v>
          </cell>
          <cell r="S574">
            <v>72228.977444751305</v>
          </cell>
          <cell r="T574">
            <v>14445795.488950253</v>
          </cell>
          <cell r="U574">
            <v>72228.977444751305</v>
          </cell>
          <cell r="V574">
            <v>17334954.586740315</v>
          </cell>
          <cell r="W574">
            <v>72228.977444751305</v>
          </cell>
          <cell r="X574">
            <v>18779534.135635316</v>
          </cell>
          <cell r="Y574">
            <v>72228.977444751305</v>
          </cell>
          <cell r="Z574">
            <v>18057244.361187816</v>
          </cell>
          <cell r="AA574">
            <v>72228.977444751305</v>
          </cell>
          <cell r="AB574">
            <v>18779534.135635316</v>
          </cell>
          <cell r="AC574">
            <v>72064.603295091423</v>
          </cell>
          <cell r="AD574" t="str">
            <v>Contribution Margin</v>
          </cell>
        </row>
        <row r="576">
          <cell r="C576" t="str">
            <v>Production cost</v>
          </cell>
          <cell r="AD576" t="str">
            <v>Production cost</v>
          </cell>
        </row>
        <row r="577">
          <cell r="B577">
            <v>4.4835759519272029E-3</v>
          </cell>
          <cell r="D577" t="str">
            <v xml:space="preserve">Salaries &amp; Wages </v>
          </cell>
          <cell r="E577">
            <v>5330.971806841444</v>
          </cell>
          <cell r="F577">
            <v>1279433.2336419467</v>
          </cell>
          <cell r="G577">
            <v>4450.6278387391867</v>
          </cell>
          <cell r="H577">
            <v>1157163.2380721886</v>
          </cell>
          <cell r="I577">
            <v>4327.5507084975143</v>
          </cell>
          <cell r="J577">
            <v>1125163.1842093538</v>
          </cell>
          <cell r="K577">
            <v>3880.9474753805712</v>
          </cell>
          <cell r="L577">
            <v>1125474.7678603656</v>
          </cell>
          <cell r="M577">
            <v>5576.0739588801307</v>
          </cell>
          <cell r="N577">
            <v>1115214.7917760261</v>
          </cell>
          <cell r="O577">
            <v>5384.2223576312035</v>
          </cell>
          <cell r="P577">
            <v>1130686.6951025527</v>
          </cell>
          <cell r="Q577">
            <v>3880.9474753805712</v>
          </cell>
          <cell r="R577">
            <v>1047855.8183527542</v>
          </cell>
          <cell r="S577">
            <v>5106.5098360270676</v>
          </cell>
          <cell r="T577">
            <v>1021301.9672054135</v>
          </cell>
          <cell r="U577">
            <v>4709.8877128404993</v>
          </cell>
          <cell r="V577">
            <v>1130373.0510817198</v>
          </cell>
          <cell r="W577">
            <v>5160.8344087507594</v>
          </cell>
          <cell r="X577">
            <v>1341816.9462751974</v>
          </cell>
          <cell r="Y577">
            <v>5216.3272518556068</v>
          </cell>
          <cell r="Z577">
            <v>1304081.8129639018</v>
          </cell>
          <cell r="AA577">
            <v>5063.8667476260061</v>
          </cell>
          <cell r="AB577">
            <v>1316605.3543827615</v>
          </cell>
          <cell r="AC577">
            <v>4794.2758030354353</v>
          </cell>
          <cell r="AE577" t="str">
            <v xml:space="preserve">Salaries &amp; Wages </v>
          </cell>
        </row>
        <row r="578">
          <cell r="D578" t="str">
            <v xml:space="preserve">Utilities </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E578" t="str">
            <v xml:space="preserve">Utilities </v>
          </cell>
        </row>
        <row r="579">
          <cell r="B579">
            <v>9.3777052776211744E-3</v>
          </cell>
          <cell r="D579" t="str">
            <v>Depreciation</v>
          </cell>
          <cell r="E579">
            <v>11150.091575091576</v>
          </cell>
          <cell r="F579">
            <v>2676021.9780219779</v>
          </cell>
          <cell r="G579">
            <v>9308.7920489296648</v>
          </cell>
          <cell r="H579">
            <v>2420285.9327217126</v>
          </cell>
          <cell r="I579">
            <v>9051.3678263455258</v>
          </cell>
          <cell r="J579">
            <v>2353355.6348498366</v>
          </cell>
          <cell r="K579">
            <v>8117.2666666666673</v>
          </cell>
          <cell r="L579">
            <v>2354007.3333333335</v>
          </cell>
          <cell r="M579">
            <v>11662.739463601532</v>
          </cell>
          <cell r="N579">
            <v>2332547.8927203063</v>
          </cell>
          <cell r="O579">
            <v>11261.468738438773</v>
          </cell>
          <cell r="P579">
            <v>2364908.4350721422</v>
          </cell>
          <cell r="Q579">
            <v>8117.2666666666673</v>
          </cell>
          <cell r="R579">
            <v>2191662</v>
          </cell>
          <cell r="S579">
            <v>10680.614035087719</v>
          </cell>
          <cell r="T579">
            <v>2136122.8070175438</v>
          </cell>
          <cell r="U579">
            <v>9851.0517799352765</v>
          </cell>
          <cell r="V579">
            <v>2364252.4271844663</v>
          </cell>
          <cell r="W579">
            <v>10794.237588652482</v>
          </cell>
          <cell r="X579">
            <v>2806501.7730496456</v>
          </cell>
          <cell r="Y579">
            <v>10910.304659498208</v>
          </cell>
          <cell r="Z579">
            <v>2727576.1648745518</v>
          </cell>
          <cell r="AA579">
            <v>10591.423103688239</v>
          </cell>
          <cell r="AB579">
            <v>2753770.0069589424</v>
          </cell>
          <cell r="AC579">
            <v>10027.555233266825</v>
          </cell>
          <cell r="AE579" t="str">
            <v>Depreciation</v>
          </cell>
        </row>
        <row r="580">
          <cell r="B580">
            <v>2.7994318424629044E-3</v>
          </cell>
          <cell r="D580" t="str">
            <v xml:space="preserve">Other Factory overhead </v>
          </cell>
          <cell r="E580">
            <v>3328.5244606883934</v>
          </cell>
          <cell r="F580">
            <v>798845.87056521443</v>
          </cell>
          <cell r="G580">
            <v>2778.859870849943</v>
          </cell>
          <cell r="H580">
            <v>722503.56642098515</v>
          </cell>
          <cell r="I580">
            <v>2702.0136121556093</v>
          </cell>
          <cell r="J580">
            <v>702523.53916045837</v>
          </cell>
          <cell r="K580">
            <v>2423.1658073811504</v>
          </cell>
          <cell r="L580">
            <v>702718.08414053358</v>
          </cell>
          <cell r="M580">
            <v>3481.5600680763655</v>
          </cell>
          <cell r="N580">
            <v>696312.01361527306</v>
          </cell>
          <cell r="O580">
            <v>3361.7727627374452</v>
          </cell>
          <cell r="P580">
            <v>705972.28017486352</v>
          </cell>
          <cell r="Q580">
            <v>2423.1658073811504</v>
          </cell>
          <cell r="R580">
            <v>654254.76799291058</v>
          </cell>
          <cell r="S580">
            <v>3188.3760623436192</v>
          </cell>
          <cell r="T580">
            <v>637675.21246872388</v>
          </cell>
          <cell r="U580">
            <v>2940.735203132464</v>
          </cell>
          <cell r="V580">
            <v>705776.44875179138</v>
          </cell>
          <cell r="W580">
            <v>3222.2949566238703</v>
          </cell>
          <cell r="X580">
            <v>837796.68872220628</v>
          </cell>
          <cell r="Y580">
            <v>3256.9432894907936</v>
          </cell>
          <cell r="Z580">
            <v>814235.82237269846</v>
          </cell>
          <cell r="AA580">
            <v>3161.7507925119394</v>
          </cell>
          <cell r="AB580">
            <v>822055.20605310425</v>
          </cell>
          <cell r="AC580">
            <v>2993.4250001492392</v>
          </cell>
          <cell r="AE580" t="str">
            <v xml:space="preserve">Other Factory overhead </v>
          </cell>
        </row>
        <row r="581">
          <cell r="D581" t="str">
            <v>Running Royalty</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E581" t="str">
            <v>Running Royalty</v>
          </cell>
        </row>
        <row r="582">
          <cell r="E582">
            <v>19809.587842621411</v>
          </cell>
          <cell r="F582">
            <v>4754301.0822291393</v>
          </cell>
          <cell r="G582">
            <v>16538.279758518795</v>
          </cell>
          <cell r="H582">
            <v>4299952.7372148866</v>
          </cell>
          <cell r="I582">
            <v>16080.93214699865</v>
          </cell>
          <cell r="J582">
            <v>4181042.3582196487</v>
          </cell>
          <cell r="K582">
            <v>14421.379949428388</v>
          </cell>
          <cell r="L582">
            <v>4182200.1853342326</v>
          </cell>
          <cell r="M582">
            <v>20720.373490558028</v>
          </cell>
          <cell r="N582">
            <v>4144074.6981116054</v>
          </cell>
          <cell r="O582">
            <v>20007.463858807419</v>
          </cell>
          <cell r="P582">
            <v>4201567.4103495581</v>
          </cell>
          <cell r="Q582">
            <v>14421.379949428388</v>
          </cell>
          <cell r="R582">
            <v>3893772.5863456647</v>
          </cell>
          <cell r="S582">
            <v>18975.499933458406</v>
          </cell>
          <cell r="T582">
            <v>3795099.9866916812</v>
          </cell>
          <cell r="U582">
            <v>17501.674695908237</v>
          </cell>
          <cell r="V582">
            <v>4200401.9270179775</v>
          </cell>
          <cell r="W582">
            <v>19177.366954027111</v>
          </cell>
          <cell r="X582">
            <v>4986115.4080470493</v>
          </cell>
          <cell r="Y582">
            <v>19383.575200844611</v>
          </cell>
          <cell r="Z582">
            <v>4845893.8002111521</v>
          </cell>
          <cell r="AA582">
            <v>18817.040643826185</v>
          </cell>
          <cell r="AB582">
            <v>4892430.5673948079</v>
          </cell>
          <cell r="AC582">
            <v>17815.256036451501</v>
          </cell>
        </row>
        <row r="583">
          <cell r="B583">
            <v>4.3808569892455754E-2</v>
          </cell>
          <cell r="C583" t="str">
            <v>Gross Profit</v>
          </cell>
          <cell r="E583">
            <v>52088.389602129893</v>
          </cell>
          <cell r="F583">
            <v>12501213.504511176</v>
          </cell>
          <cell r="G583">
            <v>55359.69768623251</v>
          </cell>
          <cell r="H583">
            <v>14393521.398420431</v>
          </cell>
          <cell r="I583">
            <v>55817.045297752658</v>
          </cell>
          <cell r="J583">
            <v>14512431.777415667</v>
          </cell>
          <cell r="K583">
            <v>57476.597495322916</v>
          </cell>
          <cell r="L583">
            <v>16668213.273643587</v>
          </cell>
          <cell r="M583">
            <v>51177.603954193277</v>
          </cell>
          <cell r="N583">
            <v>10235520.790838648</v>
          </cell>
          <cell r="O583">
            <v>51890.513585943889</v>
          </cell>
          <cell r="P583">
            <v>10897007.853048194</v>
          </cell>
          <cell r="Q583">
            <v>57807.597495322916</v>
          </cell>
          <cell r="R583">
            <v>15608051.323737182</v>
          </cell>
          <cell r="S583">
            <v>53253.477511292898</v>
          </cell>
          <cell r="T583">
            <v>10650695.502258571</v>
          </cell>
          <cell r="U583">
            <v>54727.302748843067</v>
          </cell>
          <cell r="V583">
            <v>13134552.659722337</v>
          </cell>
          <cell r="W583">
            <v>53051.610490724197</v>
          </cell>
          <cell r="X583">
            <v>13793418.727588266</v>
          </cell>
          <cell r="Y583">
            <v>52845.40224390669</v>
          </cell>
          <cell r="Z583">
            <v>13211350.560976664</v>
          </cell>
          <cell r="AA583">
            <v>53411.936800925119</v>
          </cell>
          <cell r="AB583">
            <v>13887103.568240508</v>
          </cell>
          <cell r="AC583">
            <v>54249.347258639922</v>
          </cell>
          <cell r="AD583" t="str">
            <v>Gross Profit</v>
          </cell>
        </row>
        <row r="585">
          <cell r="C585" t="str">
            <v>Other Expenses</v>
          </cell>
          <cell r="AD585" t="str">
            <v>Other Expenses</v>
          </cell>
        </row>
        <row r="586">
          <cell r="D586" t="str">
            <v>Selling Expenses</v>
          </cell>
          <cell r="E586">
            <v>5183.0082521448167</v>
          </cell>
          <cell r="F586">
            <v>1243921.9805147559</v>
          </cell>
          <cell r="G586">
            <v>4427.3486746392564</v>
          </cell>
          <cell r="H586">
            <v>1151110.6554062066</v>
          </cell>
          <cell r="I586">
            <v>4320.887144065181</v>
          </cell>
          <cell r="J586">
            <v>1123430.657456947</v>
          </cell>
          <cell r="K586">
            <v>3897.7185689144208</v>
          </cell>
          <cell r="L586">
            <v>1130338.384985182</v>
          </cell>
          <cell r="M586">
            <v>5409.2615187305564</v>
          </cell>
          <cell r="N586">
            <v>1081852.3037461112</v>
          </cell>
          <cell r="O586">
            <v>5179.8400416559607</v>
          </cell>
          <cell r="P586">
            <v>1087766.4087477517</v>
          </cell>
          <cell r="Q586">
            <v>3845.1336292747983</v>
          </cell>
          <cell r="R586">
            <v>1038186.0799041955</v>
          </cell>
          <cell r="S586">
            <v>4967.5774890123712</v>
          </cell>
          <cell r="T586">
            <v>993515.49780247419</v>
          </cell>
          <cell r="U586">
            <v>4642.661605420024</v>
          </cell>
          <cell r="V586">
            <v>1114238.7853008057</v>
          </cell>
          <cell r="W586">
            <v>5073.1110111757944</v>
          </cell>
          <cell r="X586">
            <v>1319008.8629057065</v>
          </cell>
          <cell r="Y586">
            <v>5099.2966467698334</v>
          </cell>
          <cell r="Z586">
            <v>1274824.1616924584</v>
          </cell>
          <cell r="AA586">
            <v>4893.3178190345943</v>
          </cell>
          <cell r="AB586">
            <v>1272262.6329489946</v>
          </cell>
          <cell r="AC586">
            <v>4704.2368746297925</v>
          </cell>
          <cell r="AE586" t="str">
            <v>Selling Expenses</v>
          </cell>
        </row>
        <row r="587">
          <cell r="D587" t="str">
            <v>Advertisement Expenses</v>
          </cell>
          <cell r="E587">
            <v>800.32572918126152</v>
          </cell>
          <cell r="F587">
            <v>192078.17500350275</v>
          </cell>
          <cell r="G587">
            <v>969.71958993165515</v>
          </cell>
          <cell r="H587">
            <v>252127.09338223035</v>
          </cell>
          <cell r="I587">
            <v>7367.9708551430685</v>
          </cell>
          <cell r="J587">
            <v>1915672.4223371979</v>
          </cell>
          <cell r="K587">
            <v>6935.2770964018819</v>
          </cell>
          <cell r="L587">
            <v>2011230.3579565457</v>
          </cell>
          <cell r="M587">
            <v>7697.2629504339211</v>
          </cell>
          <cell r="N587">
            <v>1539452.5900867842</v>
          </cell>
          <cell r="O587">
            <v>799.8365151483406</v>
          </cell>
          <cell r="P587">
            <v>167965.66818115153</v>
          </cell>
          <cell r="Q587">
            <v>739.89139808437483</v>
          </cell>
          <cell r="R587">
            <v>199770.6774827812</v>
          </cell>
          <cell r="S587">
            <v>4684.9685429207811</v>
          </cell>
          <cell r="T587">
            <v>936993.70858415624</v>
          </cell>
          <cell r="U587">
            <v>5393.2109933565007</v>
          </cell>
          <cell r="V587">
            <v>1294370.6384055601</v>
          </cell>
          <cell r="W587">
            <v>783.35612673520234</v>
          </cell>
          <cell r="X587">
            <v>203672.59295115262</v>
          </cell>
          <cell r="Y587">
            <v>8782.5333169589612</v>
          </cell>
          <cell r="Z587">
            <v>2195633.3292397405</v>
          </cell>
          <cell r="AA587">
            <v>1104.3291887822443</v>
          </cell>
          <cell r="AB587">
            <v>287125.5890833835</v>
          </cell>
          <cell r="AC587">
            <v>3808.1948444538048</v>
          </cell>
        </row>
        <row r="588">
          <cell r="D588" t="str">
            <v>Administrative Expenses</v>
          </cell>
          <cell r="E588">
            <v>10560.726889052896</v>
          </cell>
          <cell r="F588">
            <v>2534574.453372695</v>
          </cell>
          <cell r="G588">
            <v>9021.0198249495461</v>
          </cell>
          <cell r="H588">
            <v>2345465.154486882</v>
          </cell>
          <cell r="I588">
            <v>8804.0973170376383</v>
          </cell>
          <cell r="J588">
            <v>2289065.302429786</v>
          </cell>
          <cell r="K588">
            <v>7941.8629672567968</v>
          </cell>
          <cell r="L588">
            <v>2303140.2605044711</v>
          </cell>
          <cell r="M588">
            <v>11021.733092386507</v>
          </cell>
          <cell r="N588">
            <v>2204346.6184773012</v>
          </cell>
          <cell r="O588">
            <v>10554.271447719957</v>
          </cell>
          <cell r="P588">
            <v>2216397.004021191</v>
          </cell>
          <cell r="Q588">
            <v>7834.7176263668644</v>
          </cell>
          <cell r="R588">
            <v>2115373.7591190534</v>
          </cell>
          <cell r="S588">
            <v>10121.772262268241</v>
          </cell>
          <cell r="T588">
            <v>2024354.4524536482</v>
          </cell>
          <cell r="U588">
            <v>9459.7343604157559</v>
          </cell>
          <cell r="V588">
            <v>2270336.2464997815</v>
          </cell>
          <cell r="W588">
            <v>10336.803890810705</v>
          </cell>
          <cell r="X588">
            <v>2687569.0116107832</v>
          </cell>
          <cell r="Y588">
            <v>10390.158879356299</v>
          </cell>
          <cell r="Z588">
            <v>2597539.7198390746</v>
          </cell>
          <cell r="AA588">
            <v>9970.4632047953019</v>
          </cell>
          <cell r="AB588">
            <v>2592320.4332467783</v>
          </cell>
          <cell r="AC588">
            <v>9585.1981007011727</v>
          </cell>
          <cell r="AE588" t="str">
            <v>Administrative Expenses</v>
          </cell>
        </row>
        <row r="589">
          <cell r="D589" t="str">
            <v>Depreciation (Admin. &amp; Selling )</v>
          </cell>
          <cell r="E589">
            <v>2969.9882598191184</v>
          </cell>
          <cell r="F589">
            <v>712797.18235658843</v>
          </cell>
          <cell r="G589">
            <v>2536.9771657922738</v>
          </cell>
          <cell r="H589">
            <v>659614.06310599123</v>
          </cell>
          <cell r="I589">
            <v>2475.9721508385478</v>
          </cell>
          <cell r="J589">
            <v>643752.75921802246</v>
          </cell>
          <cell r="K589">
            <v>2233.4863898710532</v>
          </cell>
          <cell r="L589">
            <v>647711.05306260544</v>
          </cell>
          <cell r="M589">
            <v>3099.6368177250984</v>
          </cell>
          <cell r="N589">
            <v>619927.36354501965</v>
          </cell>
          <cell r="O589">
            <v>2968.1727990868981</v>
          </cell>
          <cell r="P589">
            <v>623316.28780824854</v>
          </cell>
          <cell r="Q589">
            <v>2203.3539560073127</v>
          </cell>
          <cell r="R589">
            <v>594905.56812197447</v>
          </cell>
          <cell r="S589">
            <v>2846.5412564224971</v>
          </cell>
          <cell r="T589">
            <v>569308.25128449942</v>
          </cell>
          <cell r="U589">
            <v>2660.3566484202443</v>
          </cell>
          <cell r="V589">
            <v>638485.5956208586</v>
          </cell>
          <cell r="W589">
            <v>2907.0145002598042</v>
          </cell>
          <cell r="X589">
            <v>755823.77006754908</v>
          </cell>
          <cell r="Y589">
            <v>2922.0194986134175</v>
          </cell>
          <cell r="Z589">
            <v>730504.8746533544</v>
          </cell>
          <cell r="AA589">
            <v>2803.9886812995901</v>
          </cell>
          <cell r="AB589">
            <v>729037.0571378934</v>
          </cell>
          <cell r="AC589">
            <v>2695.6407571369405</v>
          </cell>
          <cell r="AE589" t="str">
            <v>Depreciation (Admin. &amp; Selling )</v>
          </cell>
        </row>
        <row r="590">
          <cell r="D590" t="str">
            <v>Financial Charges -Capital Exp.</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E590" t="str">
            <v>Financial Charges -Capital Exp.</v>
          </cell>
        </row>
        <row r="591">
          <cell r="D591" t="str">
            <v>Financial  Charges -Working Capital</v>
          </cell>
          <cell r="E591">
            <v>530.11444507895521</v>
          </cell>
          <cell r="F591">
            <v>127227.46681894925</v>
          </cell>
          <cell r="G591">
            <v>458.80097155251627</v>
          </cell>
          <cell r="H591">
            <v>119288.25260365423</v>
          </cell>
          <cell r="I591">
            <v>448.49087868071882</v>
          </cell>
          <cell r="J591">
            <v>116607.62845698689</v>
          </cell>
          <cell r="K591">
            <v>407.98094465914818</v>
          </cell>
          <cell r="L591">
            <v>118314.47395115298</v>
          </cell>
          <cell r="M591">
            <v>548.85949175372707</v>
          </cell>
          <cell r="N591">
            <v>109771.89835074541</v>
          </cell>
          <cell r="O591">
            <v>527.77239945924691</v>
          </cell>
          <cell r="P591">
            <v>110832.20388644186</v>
          </cell>
          <cell r="Q591">
            <v>396.96132884259964</v>
          </cell>
          <cell r="R591">
            <v>107179.5587875019</v>
          </cell>
          <cell r="S591">
            <v>498.98402076239711</v>
          </cell>
          <cell r="T591">
            <v>99796.804152479424</v>
          </cell>
          <cell r="U591">
            <v>470.64800851302482</v>
          </cell>
          <cell r="V591">
            <v>112955.52204312595</v>
          </cell>
          <cell r="W591">
            <v>511.61704210669683</v>
          </cell>
          <cell r="X591">
            <v>133020.43094774117</v>
          </cell>
          <cell r="Y591">
            <v>513.76394785157731</v>
          </cell>
          <cell r="Z591">
            <v>128440.98696289433</v>
          </cell>
          <cell r="AA591">
            <v>495.30468493193735</v>
          </cell>
          <cell r="AB591">
            <v>128779.21808230371</v>
          </cell>
          <cell r="AC591">
            <v>480.345049334686</v>
          </cell>
          <cell r="AE591" t="str">
            <v>Financial  Charges -Working Capital</v>
          </cell>
        </row>
        <row r="592">
          <cell r="D592" t="str">
            <v>Other Expenses (Charity &amp; Donation)</v>
          </cell>
          <cell r="E592">
            <v>368.13503130483002</v>
          </cell>
          <cell r="F592">
            <v>88352.407513159211</v>
          </cell>
          <cell r="G592">
            <v>318.61178580035858</v>
          </cell>
          <cell r="H592">
            <v>82839.064308093235</v>
          </cell>
          <cell r="I592">
            <v>311.4519990838325</v>
          </cell>
          <cell r="J592">
            <v>80977.519761796444</v>
          </cell>
          <cell r="K592">
            <v>283.32010045774183</v>
          </cell>
          <cell r="L592">
            <v>82162.82913274513</v>
          </cell>
          <cell r="M592">
            <v>381.15242482897719</v>
          </cell>
          <cell r="N592">
            <v>76230.484965795433</v>
          </cell>
          <cell r="O592">
            <v>366.50861073558809</v>
          </cell>
          <cell r="P592">
            <v>76966.808254473493</v>
          </cell>
          <cell r="Q592">
            <v>275.66758947402758</v>
          </cell>
          <cell r="R592">
            <v>74430.249157987448</v>
          </cell>
          <cell r="S592">
            <v>346.51668108499797</v>
          </cell>
          <cell r="T592">
            <v>69303.336216999596</v>
          </cell>
          <cell r="U592">
            <v>326.83889480071173</v>
          </cell>
          <cell r="V592">
            <v>78441.33475217082</v>
          </cell>
          <cell r="W592">
            <v>355.28961257409514</v>
          </cell>
          <cell r="X592">
            <v>92375.299269264739</v>
          </cell>
          <cell r="Y592">
            <v>356.78051934137312</v>
          </cell>
          <cell r="Z592">
            <v>89195.129835343279</v>
          </cell>
          <cell r="AA592">
            <v>343.96158675828985</v>
          </cell>
          <cell r="AB592">
            <v>89430.012557155365</v>
          </cell>
          <cell r="AC592">
            <v>333.57295092686536</v>
          </cell>
          <cell r="AE592" t="str">
            <v>Other Expenses (Charity &amp; Donation)</v>
          </cell>
        </row>
        <row r="593">
          <cell r="D593" t="str">
            <v>Other Expenses ( W.P.P.F.)</v>
          </cell>
          <cell r="E593">
            <v>3573.7075858361454</v>
          </cell>
          <cell r="F593">
            <v>857689.82060067495</v>
          </cell>
          <cell r="G593">
            <v>3260.1003648049996</v>
          </cell>
          <cell r="H593">
            <v>847626.09484929987</v>
          </cell>
          <cell r="I593">
            <v>2868.2077932472907</v>
          </cell>
          <cell r="J593">
            <v>745734.02624429564</v>
          </cell>
          <cell r="K593">
            <v>2950.3710885468208</v>
          </cell>
          <cell r="L593">
            <v>855607.61567857803</v>
          </cell>
          <cell r="M593">
            <v>2984.5209973853607</v>
          </cell>
          <cell r="N593">
            <v>596904.19947707211</v>
          </cell>
          <cell r="O593">
            <v>3261.9142882485439</v>
          </cell>
          <cell r="P593">
            <v>685002.00053219427</v>
          </cell>
          <cell r="Q593">
            <v>3221.4233012482478</v>
          </cell>
          <cell r="R593">
            <v>869784.29133702687</v>
          </cell>
          <cell r="S593">
            <v>2697.4681580678207</v>
          </cell>
          <cell r="T593">
            <v>539493.6316135641</v>
          </cell>
          <cell r="U593">
            <v>2877.5317129664104</v>
          </cell>
          <cell r="V593">
            <v>690607.61111193849</v>
          </cell>
          <cell r="W593">
            <v>3280.2679674234987</v>
          </cell>
          <cell r="X593">
            <v>852869.67153010971</v>
          </cell>
          <cell r="Y593">
            <v>2911.8557735997142</v>
          </cell>
          <cell r="Z593">
            <v>727963.94339992851</v>
          </cell>
          <cell r="AA593">
            <v>3464.9058265788067</v>
          </cell>
          <cell r="AB593">
            <v>900875.51491048979</v>
          </cell>
          <cell r="AC593">
            <v>3119.1015038384944</v>
          </cell>
          <cell r="AE593" t="str">
            <v>Other Expenses ( W.P.P.F.)</v>
          </cell>
        </row>
        <row r="594">
          <cell r="D594" t="str">
            <v>Workers Welfare Fund</v>
          </cell>
          <cell r="E594">
            <v>1499.0267372593985</v>
          </cell>
          <cell r="F594">
            <v>359766.41694225563</v>
          </cell>
          <cell r="G594">
            <v>1367.4811090758005</v>
          </cell>
          <cell r="H594">
            <v>355545.08835970814</v>
          </cell>
          <cell r="I594">
            <v>1203.0979219267881</v>
          </cell>
          <cell r="J594">
            <v>312805.45970096492</v>
          </cell>
          <cell r="K594">
            <v>1237.5621229049211</v>
          </cell>
          <cell r="L594">
            <v>358893.01564242714</v>
          </cell>
          <cell r="M594">
            <v>1251.8866374865934</v>
          </cell>
          <cell r="N594">
            <v>250377.32749731868</v>
          </cell>
          <cell r="O594">
            <v>1368.2419770751833</v>
          </cell>
          <cell r="P594">
            <v>287330.8151857885</v>
          </cell>
          <cell r="Q594">
            <v>1351.2576349952574</v>
          </cell>
          <cell r="R594">
            <v>364839.56144871947</v>
          </cell>
          <cell r="S594">
            <v>1131.4795054513236</v>
          </cell>
          <cell r="T594">
            <v>226295.90109026473</v>
          </cell>
          <cell r="U594">
            <v>1207.0089316049207</v>
          </cell>
          <cell r="V594">
            <v>289682.14358518098</v>
          </cell>
          <cell r="W594">
            <v>1375.9406080206418</v>
          </cell>
          <cell r="X594">
            <v>357744.55808536685</v>
          </cell>
          <cell r="Y594">
            <v>1221.4064958669101</v>
          </cell>
          <cell r="Z594">
            <v>305351.62396672752</v>
          </cell>
          <cell r="AA594">
            <v>1453.3887710099996</v>
          </cell>
          <cell r="AB594">
            <v>377881.08046259987</v>
          </cell>
          <cell r="AC594">
            <v>1308.3377523698375</v>
          </cell>
          <cell r="AE594" t="str">
            <v>Workers Welfare Fund</v>
          </cell>
        </row>
        <row r="595">
          <cell r="E595">
            <v>25485.032929677422</v>
          </cell>
          <cell r="F595">
            <v>6116407.9031225815</v>
          </cell>
          <cell r="G595">
            <v>22360.059486546405</v>
          </cell>
          <cell r="H595">
            <v>5813615.4665020648</v>
          </cell>
          <cell r="I595">
            <v>27800.176060023059</v>
          </cell>
          <cell r="J595">
            <v>7228045.7756059971</v>
          </cell>
          <cell r="K595">
            <v>25887.579279012789</v>
          </cell>
          <cell r="L595">
            <v>7507397.9909137068</v>
          </cell>
          <cell r="M595">
            <v>32394.313930730743</v>
          </cell>
          <cell r="N595">
            <v>6478862.7861461481</v>
          </cell>
          <cell r="O595">
            <v>25026.558079129718</v>
          </cell>
          <cell r="P595">
            <v>5255577.196617241</v>
          </cell>
          <cell r="Q595">
            <v>19868.406464293483</v>
          </cell>
          <cell r="R595">
            <v>5364469.7453592401</v>
          </cell>
          <cell r="S595">
            <v>27295.30791599043</v>
          </cell>
          <cell r="T595">
            <v>5459061.5831980845</v>
          </cell>
          <cell r="U595">
            <v>27037.991155497592</v>
          </cell>
          <cell r="V595">
            <v>6489117.8773194216</v>
          </cell>
          <cell r="W595">
            <v>24623.40075910644</v>
          </cell>
          <cell r="X595">
            <v>6402084.1973676747</v>
          </cell>
          <cell r="Y595">
            <v>32197.815078358082</v>
          </cell>
          <cell r="Z595">
            <v>8049453.769589521</v>
          </cell>
          <cell r="AA595">
            <v>24529.659763190764</v>
          </cell>
          <cell r="AB595">
            <v>6377711.5384296002</v>
          </cell>
          <cell r="AC595">
            <v>26034.627833391594</v>
          </cell>
        </row>
        <row r="596">
          <cell r="D596" t="str">
            <v>Operating Profit</v>
          </cell>
          <cell r="E596">
            <v>26603.356672452472</v>
          </cell>
          <cell r="F596">
            <v>6384805.6013885941</v>
          </cell>
          <cell r="G596">
            <v>32999.638199686102</v>
          </cell>
          <cell r="H596">
            <v>8579905.9319183659</v>
          </cell>
          <cell r="I596">
            <v>28016.869237729599</v>
          </cell>
          <cell r="J596">
            <v>7284386.0018096697</v>
          </cell>
          <cell r="K596">
            <v>31589.018216310127</v>
          </cell>
          <cell r="L596">
            <v>9160815.282729879</v>
          </cell>
          <cell r="M596">
            <v>18783.290023462534</v>
          </cell>
          <cell r="N596">
            <v>3756658.0046924995</v>
          </cell>
          <cell r="O596">
            <v>26863.955506814171</v>
          </cell>
          <cell r="P596">
            <v>5641430.6564309532</v>
          </cell>
          <cell r="Q596">
            <v>37939.191031029433</v>
          </cell>
          <cell r="R596">
            <v>10243581.578377942</v>
          </cell>
          <cell r="S596">
            <v>25958.169595302468</v>
          </cell>
          <cell r="T596">
            <v>5191633.9190604864</v>
          </cell>
          <cell r="U596">
            <v>27689.311593345476</v>
          </cell>
          <cell r="V596">
            <v>6645434.7824029159</v>
          </cell>
          <cell r="W596">
            <v>28428.209731617757</v>
          </cell>
          <cell r="X596">
            <v>7391334.5302205915</v>
          </cell>
          <cell r="Y596">
            <v>20647.587165548608</v>
          </cell>
          <cell r="Z596">
            <v>5161896.7913871426</v>
          </cell>
          <cell r="AA596">
            <v>28882.277037734355</v>
          </cell>
          <cell r="AB596">
            <v>7509392.0298109083</v>
          </cell>
          <cell r="AC596">
            <v>28214.719425248328</v>
          </cell>
          <cell r="AE596" t="str">
            <v>Operating Profit</v>
          </cell>
        </row>
        <row r="598">
          <cell r="C598" t="str">
            <v>Other Income</v>
          </cell>
          <cell r="AD598" t="str">
            <v>Other Income</v>
          </cell>
        </row>
        <row r="599">
          <cell r="D599" t="str">
            <v>H.D</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E599" t="str">
            <v>H.D</v>
          </cell>
        </row>
        <row r="600">
          <cell r="D600" t="str">
            <v>Others</v>
          </cell>
          <cell r="E600">
            <v>18021.978021978022</v>
          </cell>
          <cell r="F600">
            <v>4325274.7252747249</v>
          </cell>
          <cell r="G600">
            <v>15045.871559633028</v>
          </cell>
          <cell r="H600">
            <v>3911927</v>
          </cell>
          <cell r="I600">
            <v>14629.794826048172</v>
          </cell>
          <cell r="J600">
            <v>3803746.6547725247</v>
          </cell>
          <cell r="K600">
            <v>5120</v>
          </cell>
          <cell r="L600">
            <v>1484800</v>
          </cell>
          <cell r="M600">
            <v>7356.3218390804595</v>
          </cell>
          <cell r="N600">
            <v>1471264.367816092</v>
          </cell>
          <cell r="O600">
            <v>7103.2186459489458</v>
          </cell>
          <cell r="P600">
            <v>1491675.9156492786</v>
          </cell>
          <cell r="Q600">
            <v>5120</v>
          </cell>
          <cell r="R600">
            <v>1382400</v>
          </cell>
          <cell r="S600">
            <v>6736.8421052631575</v>
          </cell>
          <cell r="T600">
            <v>1347368.4210526315</v>
          </cell>
          <cell r="U600">
            <v>6213.5922330097092</v>
          </cell>
          <cell r="V600">
            <v>1491262.1359223302</v>
          </cell>
          <cell r="W600">
            <v>6808.510638297872</v>
          </cell>
          <cell r="X600">
            <v>1770212.7659574468</v>
          </cell>
          <cell r="Y600">
            <v>6881.7204301075271</v>
          </cell>
          <cell r="Z600">
            <v>1720430.1075268819</v>
          </cell>
          <cell r="AA600">
            <v>6680.5845511482257</v>
          </cell>
          <cell r="AB600">
            <v>1736951.9832985387</v>
          </cell>
          <cell r="AC600">
            <v>8822.2156725409714</v>
          </cell>
          <cell r="AE600" t="str">
            <v>Others</v>
          </cell>
        </row>
        <row r="601">
          <cell r="E601">
            <v>18021.978021978022</v>
          </cell>
          <cell r="F601">
            <v>4325274.7252747249</v>
          </cell>
          <cell r="G601">
            <v>15045.871559633028</v>
          </cell>
          <cell r="H601">
            <v>3911927</v>
          </cell>
          <cell r="I601">
            <v>14629.794826048172</v>
          </cell>
          <cell r="J601">
            <v>3803746.6547725247</v>
          </cell>
          <cell r="K601">
            <v>5120</v>
          </cell>
          <cell r="L601">
            <v>1484800</v>
          </cell>
          <cell r="M601">
            <v>7356.3218390804595</v>
          </cell>
          <cell r="N601">
            <v>1471264.367816092</v>
          </cell>
          <cell r="O601">
            <v>7103.2186459489458</v>
          </cell>
          <cell r="P601">
            <v>1491675.9156492786</v>
          </cell>
          <cell r="Q601">
            <v>5120</v>
          </cell>
          <cell r="R601">
            <v>1382400</v>
          </cell>
          <cell r="S601">
            <v>6736.8421052631575</v>
          </cell>
          <cell r="T601">
            <v>1347368.4210526315</v>
          </cell>
          <cell r="U601">
            <v>6213.5922330097092</v>
          </cell>
          <cell r="V601">
            <v>1491262.1359223302</v>
          </cell>
          <cell r="W601">
            <v>6808.510638297872</v>
          </cell>
          <cell r="X601">
            <v>1770212.7659574468</v>
          </cell>
          <cell r="Y601">
            <v>6881.7204301075271</v>
          </cell>
          <cell r="Z601">
            <v>1720430.1075268819</v>
          </cell>
          <cell r="AA601">
            <v>6680.5845511482257</v>
          </cell>
          <cell r="AB601">
            <v>1736951.9832985387</v>
          </cell>
          <cell r="AC601">
            <v>8822.2156725409714</v>
          </cell>
        </row>
        <row r="603">
          <cell r="C603" t="str">
            <v>Profit / (Loss) before tax</v>
          </cell>
          <cell r="E603">
            <v>44625.334694430494</v>
          </cell>
          <cell r="F603">
            <v>10710080.326663319</v>
          </cell>
          <cell r="G603">
            <v>48045.509759319131</v>
          </cell>
          <cell r="H603">
            <v>12491832.931918366</v>
          </cell>
          <cell r="I603">
            <v>42646.664063777775</v>
          </cell>
          <cell r="J603">
            <v>11088132.656582195</v>
          </cell>
          <cell r="K603">
            <v>36709.018216310127</v>
          </cell>
          <cell r="L603">
            <v>10645615.282729879</v>
          </cell>
          <cell r="M603">
            <v>26139.611862542995</v>
          </cell>
          <cell r="N603">
            <v>5227922.372508591</v>
          </cell>
          <cell r="O603">
            <v>33967.174152763117</v>
          </cell>
          <cell r="P603">
            <v>7133106.5720802322</v>
          </cell>
          <cell r="Q603">
            <v>43059.191031029433</v>
          </cell>
          <cell r="R603">
            <v>11625981.578377942</v>
          </cell>
          <cell r="S603">
            <v>32695.011700565625</v>
          </cell>
          <cell r="T603">
            <v>6539002.3401131183</v>
          </cell>
          <cell r="U603">
            <v>33902.903826355185</v>
          </cell>
          <cell r="V603">
            <v>8136696.9183252463</v>
          </cell>
          <cell r="W603">
            <v>35236.720369915631</v>
          </cell>
          <cell r="X603">
            <v>9161547.2961780392</v>
          </cell>
          <cell r="Y603">
            <v>27529.307595656137</v>
          </cell>
          <cell r="Z603">
            <v>6882326.8989140242</v>
          </cell>
          <cell r="AA603">
            <v>35562.861588882581</v>
          </cell>
          <cell r="AB603">
            <v>9246344.0131094474</v>
          </cell>
          <cell r="AC603">
            <v>37036.935097789297</v>
          </cell>
          <cell r="AD603" t="str">
            <v>Profit before tax</v>
          </cell>
        </row>
        <row r="605">
          <cell r="C605" t="str">
            <v>Taxation</v>
          </cell>
          <cell r="AD605" t="str">
            <v>Taxation</v>
          </cell>
        </row>
        <row r="606">
          <cell r="D606" t="str">
            <v>Current</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E606" t="str">
            <v>Current</v>
          </cell>
        </row>
        <row r="607">
          <cell r="D607" t="str">
            <v>Deferred</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E607" t="str">
            <v>Deferred</v>
          </cell>
        </row>
        <row r="608">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row>
        <row r="610">
          <cell r="C610" t="str">
            <v>Net Profit after taxation</v>
          </cell>
          <cell r="E610">
            <v>44625.334694430494</v>
          </cell>
          <cell r="F610">
            <v>10710080.326663319</v>
          </cell>
          <cell r="G610">
            <v>48045.509759319131</v>
          </cell>
          <cell r="H610">
            <v>12491832.931918366</v>
          </cell>
          <cell r="I610">
            <v>42646.664063777775</v>
          </cell>
          <cell r="J610">
            <v>11088132.656582195</v>
          </cell>
          <cell r="K610">
            <v>36709.018216310127</v>
          </cell>
          <cell r="L610">
            <v>10645615.282729879</v>
          </cell>
          <cell r="M610">
            <v>26139.611862542995</v>
          </cell>
          <cell r="N610">
            <v>5227922.372508591</v>
          </cell>
          <cell r="O610">
            <v>33967.174152763117</v>
          </cell>
          <cell r="P610">
            <v>7133106.5720802322</v>
          </cell>
          <cell r="Q610">
            <v>43059.191031029433</v>
          </cell>
          <cell r="R610">
            <v>11625981.578377942</v>
          </cell>
          <cell r="S610">
            <v>32695.011700565625</v>
          </cell>
          <cell r="T610">
            <v>6539002.3401131183</v>
          </cell>
          <cell r="U610">
            <v>33902.903826355185</v>
          </cell>
          <cell r="V610">
            <v>8136696.9183252463</v>
          </cell>
          <cell r="W610">
            <v>35236.720369915631</v>
          </cell>
          <cell r="X610">
            <v>9161547.2961780392</v>
          </cell>
          <cell r="Y610">
            <v>27529.307595656137</v>
          </cell>
          <cell r="Z610">
            <v>6882326.8989140242</v>
          </cell>
          <cell r="AA610">
            <v>35562.861588882581</v>
          </cell>
          <cell r="AB610">
            <v>9246344.0131094474</v>
          </cell>
          <cell r="AC610">
            <v>37036.935097789297</v>
          </cell>
          <cell r="AD610" t="str">
            <v>Net Profit after taxation</v>
          </cell>
        </row>
        <row r="613">
          <cell r="AC613" t="str">
            <v>2.0DLtd</v>
          </cell>
        </row>
        <row r="614">
          <cell r="E614">
            <v>37438</v>
          </cell>
          <cell r="F614">
            <v>37469</v>
          </cell>
          <cell r="G614">
            <v>37500</v>
          </cell>
          <cell r="H614">
            <v>37531</v>
          </cell>
          <cell r="I614">
            <v>37562</v>
          </cell>
          <cell r="J614">
            <v>37593</v>
          </cell>
          <cell r="K614">
            <v>37624</v>
          </cell>
          <cell r="L614">
            <v>37655</v>
          </cell>
          <cell r="M614">
            <v>37686</v>
          </cell>
          <cell r="N614">
            <v>37717</v>
          </cell>
          <cell r="O614">
            <v>37748</v>
          </cell>
          <cell r="P614">
            <v>37779</v>
          </cell>
          <cell r="Q614">
            <v>37779</v>
          </cell>
          <cell r="S614">
            <v>37810</v>
          </cell>
          <cell r="U614">
            <v>37841</v>
          </cell>
          <cell r="W614">
            <v>37872</v>
          </cell>
          <cell r="Y614">
            <v>37903</v>
          </cell>
          <cell r="AA614">
            <v>37934</v>
          </cell>
          <cell r="AC614" t="str">
            <v>Yearly</v>
          </cell>
        </row>
        <row r="615">
          <cell r="D615" t="str">
            <v>2.0DLtd</v>
          </cell>
          <cell r="E615" t="str">
            <v>Per Unit</v>
          </cell>
          <cell r="F615" t="str">
            <v>Total</v>
          </cell>
          <cell r="G615" t="str">
            <v>Per Unit</v>
          </cell>
          <cell r="H615" t="str">
            <v>Total</v>
          </cell>
          <cell r="I615" t="str">
            <v>Per Unit</v>
          </cell>
          <cell r="J615" t="str">
            <v>Total</v>
          </cell>
          <cell r="K615" t="str">
            <v>Per Unit</v>
          </cell>
          <cell r="L615" t="str">
            <v>Total</v>
          </cell>
          <cell r="M615" t="str">
            <v>Per Unit</v>
          </cell>
          <cell r="N615" t="str">
            <v>Total</v>
          </cell>
          <cell r="O615" t="str">
            <v>Per Unit</v>
          </cell>
          <cell r="P615" t="str">
            <v>Total</v>
          </cell>
          <cell r="Q615" t="str">
            <v>Per Unit</v>
          </cell>
          <cell r="R615" t="str">
            <v>Total</v>
          </cell>
          <cell r="S615" t="str">
            <v>Per Unit</v>
          </cell>
          <cell r="T615" t="str">
            <v>Total</v>
          </cell>
          <cell r="U615" t="str">
            <v>Per Unit</v>
          </cell>
          <cell r="V615" t="str">
            <v>Total</v>
          </cell>
          <cell r="W615" t="str">
            <v>Per Unit</v>
          </cell>
          <cell r="X615" t="str">
            <v>Total</v>
          </cell>
          <cell r="Y615" t="str">
            <v>Per Unit</v>
          </cell>
          <cell r="Z615" t="str">
            <v>Total</v>
          </cell>
          <cell r="AA615" t="str">
            <v>Per Unit</v>
          </cell>
          <cell r="AB615" t="str">
            <v>Total</v>
          </cell>
          <cell r="AC615" t="str">
            <v>Average</v>
          </cell>
          <cell r="AD615">
            <v>0</v>
          </cell>
          <cell r="AE615" t="str">
            <v>2.0DLtd</v>
          </cell>
        </row>
        <row r="617">
          <cell r="C617" t="str">
            <v>Sales Units</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t="str">
            <v>Sales Units</v>
          </cell>
        </row>
        <row r="619">
          <cell r="C619" t="str">
            <v>Selling Price</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t="e">
            <v>#DIV/0!</v>
          </cell>
          <cell r="AD619" t="str">
            <v>Selling Price</v>
          </cell>
        </row>
        <row r="620">
          <cell r="C620" t="str">
            <v>Less: Dealer commission</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t="e">
            <v>#DIV/0!</v>
          </cell>
          <cell r="AD620" t="str">
            <v>Less: Dealer commission</v>
          </cell>
        </row>
        <row r="621">
          <cell r="D621" t="str">
            <v xml:space="preserve">  Sales tax</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t="e">
            <v>#DIV/0!</v>
          </cell>
          <cell r="AE621" t="str">
            <v xml:space="preserve">  Sales tax</v>
          </cell>
        </row>
        <row r="622">
          <cell r="C622" t="str">
            <v>Net Sales</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t="e">
            <v>#DIV/0!</v>
          </cell>
          <cell r="AD622" t="str">
            <v>Net Sales</v>
          </cell>
        </row>
        <row r="624">
          <cell r="C624" t="str">
            <v>Variable Cost of Sales</v>
          </cell>
          <cell r="AD624" t="str">
            <v>Variable Cost of Sales</v>
          </cell>
        </row>
        <row r="625">
          <cell r="D625" t="str">
            <v>CKD Cost</v>
          </cell>
          <cell r="E625">
            <v>379442.00459626858</v>
          </cell>
          <cell r="F625">
            <v>0</v>
          </cell>
          <cell r="G625">
            <v>379442.00459626858</v>
          </cell>
          <cell r="H625">
            <v>0</v>
          </cell>
          <cell r="I625">
            <v>379442.00459626858</v>
          </cell>
          <cell r="J625">
            <v>0</v>
          </cell>
          <cell r="K625">
            <v>373578.25246353168</v>
          </cell>
          <cell r="L625">
            <v>0</v>
          </cell>
          <cell r="M625">
            <v>373578.25246353168</v>
          </cell>
          <cell r="N625">
            <v>0</v>
          </cell>
          <cell r="O625">
            <v>373578.25246353168</v>
          </cell>
          <cell r="P625">
            <v>0</v>
          </cell>
          <cell r="Q625">
            <v>373578.25246353168</v>
          </cell>
          <cell r="R625">
            <v>0</v>
          </cell>
          <cell r="S625">
            <v>373578.25246353168</v>
          </cell>
          <cell r="T625">
            <v>0</v>
          </cell>
          <cell r="U625">
            <v>373578.25246353168</v>
          </cell>
          <cell r="V625">
            <v>0</v>
          </cell>
          <cell r="W625">
            <v>373578.25246353168</v>
          </cell>
          <cell r="X625">
            <v>0</v>
          </cell>
          <cell r="Y625">
            <v>373578.25246353168</v>
          </cell>
          <cell r="Z625">
            <v>0</v>
          </cell>
          <cell r="AA625">
            <v>373578.25246353168</v>
          </cell>
          <cell r="AB625">
            <v>0</v>
          </cell>
          <cell r="AC625" t="e">
            <v>#DIV/0!</v>
          </cell>
          <cell r="AE625" t="str">
            <v>CKD Cost</v>
          </cell>
        </row>
        <row r="626">
          <cell r="D626" t="str">
            <v>Vendor parts</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t="e">
            <v>#DIV/0!</v>
          </cell>
          <cell r="AE626" t="str">
            <v>Vendor parts</v>
          </cell>
        </row>
        <row r="627">
          <cell r="D627" t="str">
            <v>Nomi Parts</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t="e">
            <v>#DIV/0!</v>
          </cell>
          <cell r="AE627" t="str">
            <v>Nomi Parts</v>
          </cell>
        </row>
        <row r="628">
          <cell r="D628" t="str">
            <v>Paints &amp; Chemicals</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t="e">
            <v>#DIV/0!</v>
          </cell>
          <cell r="AE628" t="str">
            <v>Paints &amp; Chemicals</v>
          </cell>
        </row>
        <row r="629">
          <cell r="D629" t="str">
            <v>Consumables</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t="e">
            <v>#DIV/0!</v>
          </cell>
          <cell r="AE629" t="str">
            <v>Consumables</v>
          </cell>
        </row>
        <row r="630">
          <cell r="D630" t="str">
            <v>KD Parts</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t="e">
            <v>#DIV/0!</v>
          </cell>
          <cell r="AE630" t="str">
            <v>KD Parts</v>
          </cell>
        </row>
        <row r="631">
          <cell r="D631" t="str">
            <v>Spare parts</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t="e">
            <v>#DIV/0!</v>
          </cell>
          <cell r="AE631" t="str">
            <v>Spare parts</v>
          </cell>
        </row>
        <row r="632">
          <cell r="D632" t="str">
            <v>Utilities</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t="e">
            <v>#DIV/0!</v>
          </cell>
          <cell r="AE632" t="str">
            <v>Utilities</v>
          </cell>
        </row>
        <row r="633">
          <cell r="D633" t="str">
            <v>Royalty</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t="e">
            <v>#DIV/0!</v>
          </cell>
          <cell r="AE633" t="str">
            <v>Royalty</v>
          </cell>
        </row>
        <row r="635">
          <cell r="E635">
            <v>379442.00459626858</v>
          </cell>
          <cell r="F635">
            <v>0</v>
          </cell>
          <cell r="G635">
            <v>379442.00459626858</v>
          </cell>
          <cell r="H635">
            <v>0</v>
          </cell>
          <cell r="I635">
            <v>379442.00459626858</v>
          </cell>
          <cell r="J635">
            <v>0</v>
          </cell>
          <cell r="K635">
            <v>373578.25246353168</v>
          </cell>
          <cell r="L635">
            <v>0</v>
          </cell>
          <cell r="M635">
            <v>373578.25246353168</v>
          </cell>
          <cell r="N635">
            <v>0</v>
          </cell>
          <cell r="O635">
            <v>373578.25246353168</v>
          </cell>
          <cell r="P635">
            <v>0</v>
          </cell>
          <cell r="Q635">
            <v>373578.25246353168</v>
          </cell>
          <cell r="R635">
            <v>0</v>
          </cell>
          <cell r="S635">
            <v>373578.25246353168</v>
          </cell>
          <cell r="T635">
            <v>0</v>
          </cell>
          <cell r="U635">
            <v>373578.25246353168</v>
          </cell>
          <cell r="V635">
            <v>0</v>
          </cell>
          <cell r="W635">
            <v>373578.25246353168</v>
          </cell>
          <cell r="X635">
            <v>0</v>
          </cell>
          <cell r="Y635">
            <v>373578.25246353168</v>
          </cell>
          <cell r="Z635">
            <v>0</v>
          </cell>
          <cell r="AA635">
            <v>373578.25246353168</v>
          </cell>
          <cell r="AB635">
            <v>0</v>
          </cell>
          <cell r="AC635" t="e">
            <v>#DIV/0!</v>
          </cell>
        </row>
        <row r="636">
          <cell r="C636" t="str">
            <v>Contribution Margin</v>
          </cell>
          <cell r="E636">
            <v>-379442.00459626858</v>
          </cell>
          <cell r="F636">
            <v>0</v>
          </cell>
          <cell r="G636">
            <v>-379442.00459626858</v>
          </cell>
          <cell r="H636">
            <v>0</v>
          </cell>
          <cell r="I636">
            <v>-379442.00459626858</v>
          </cell>
          <cell r="J636">
            <v>0</v>
          </cell>
          <cell r="K636">
            <v>-373578.25246353168</v>
          </cell>
          <cell r="L636">
            <v>0</v>
          </cell>
          <cell r="M636">
            <v>-373578.25246353168</v>
          </cell>
          <cell r="N636">
            <v>0</v>
          </cell>
          <cell r="O636">
            <v>-373578.25246353168</v>
          </cell>
          <cell r="P636">
            <v>0</v>
          </cell>
          <cell r="Q636">
            <v>-373578.25246353168</v>
          </cell>
          <cell r="R636">
            <v>0</v>
          </cell>
          <cell r="S636">
            <v>-373578.25246353168</v>
          </cell>
          <cell r="T636">
            <v>0</v>
          </cell>
          <cell r="U636">
            <v>-373578.25246353168</v>
          </cell>
          <cell r="V636">
            <v>0</v>
          </cell>
          <cell r="W636">
            <v>-373578.25246353168</v>
          </cell>
          <cell r="X636">
            <v>0</v>
          </cell>
          <cell r="Y636">
            <v>-373578.25246353168</v>
          </cell>
          <cell r="Z636">
            <v>0</v>
          </cell>
          <cell r="AA636">
            <v>-373578.25246353168</v>
          </cell>
          <cell r="AB636">
            <v>0</v>
          </cell>
          <cell r="AC636" t="e">
            <v>#DIV/0!</v>
          </cell>
          <cell r="AD636" t="str">
            <v>Contribution Margin</v>
          </cell>
        </row>
        <row r="638">
          <cell r="C638" t="str">
            <v>Production cost</v>
          </cell>
          <cell r="AD638" t="str">
            <v>Production cost</v>
          </cell>
        </row>
        <row r="639">
          <cell r="D639" t="str">
            <v xml:space="preserve">Salaries &amp; Wages </v>
          </cell>
          <cell r="E639">
            <v>5330.971806841444</v>
          </cell>
          <cell r="F639">
            <v>0</v>
          </cell>
          <cell r="G639">
            <v>4450.6278387391867</v>
          </cell>
          <cell r="H639">
            <v>0</v>
          </cell>
          <cell r="I639">
            <v>4327.5507084975143</v>
          </cell>
          <cell r="J639">
            <v>0</v>
          </cell>
          <cell r="K639">
            <v>3880.9474753805712</v>
          </cell>
          <cell r="L639">
            <v>0</v>
          </cell>
          <cell r="M639">
            <v>5576.0739588801307</v>
          </cell>
          <cell r="N639">
            <v>0</v>
          </cell>
          <cell r="O639">
            <v>5384.2223576312035</v>
          </cell>
          <cell r="P639">
            <v>0</v>
          </cell>
          <cell r="Q639">
            <v>3880.9474753805712</v>
          </cell>
          <cell r="R639">
            <v>0</v>
          </cell>
          <cell r="S639">
            <v>5106.5098360270676</v>
          </cell>
          <cell r="T639">
            <v>0</v>
          </cell>
          <cell r="U639">
            <v>4709.8877128404993</v>
          </cell>
          <cell r="V639">
            <v>0</v>
          </cell>
          <cell r="W639">
            <v>5160.8344087507594</v>
          </cell>
          <cell r="X639">
            <v>0</v>
          </cell>
          <cell r="Y639">
            <v>5216.3272518556068</v>
          </cell>
          <cell r="Z639">
            <v>0</v>
          </cell>
          <cell r="AA639">
            <v>5063.8667476260061</v>
          </cell>
          <cell r="AB639">
            <v>0</v>
          </cell>
          <cell r="AC639" t="e">
            <v>#DIV/0!</v>
          </cell>
          <cell r="AE639" t="str">
            <v xml:space="preserve">Salaries &amp; Wages </v>
          </cell>
        </row>
        <row r="640">
          <cell r="D640" t="str">
            <v xml:space="preserve">Utilities </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t="e">
            <v>#DIV/0!</v>
          </cell>
          <cell r="AE640" t="str">
            <v xml:space="preserve">Utilities </v>
          </cell>
        </row>
        <row r="641">
          <cell r="D641" t="str">
            <v>Depreciation</v>
          </cell>
          <cell r="E641">
            <v>11150.091575091576</v>
          </cell>
          <cell r="F641">
            <v>0</v>
          </cell>
          <cell r="G641">
            <v>9308.7920489296648</v>
          </cell>
          <cell r="H641">
            <v>0</v>
          </cell>
          <cell r="I641">
            <v>9051.3678263455258</v>
          </cell>
          <cell r="J641">
            <v>0</v>
          </cell>
          <cell r="K641">
            <v>8117.2666666666673</v>
          </cell>
          <cell r="L641">
            <v>0</v>
          </cell>
          <cell r="M641">
            <v>11662.739463601532</v>
          </cell>
          <cell r="N641">
            <v>0</v>
          </cell>
          <cell r="O641">
            <v>11261.468738438773</v>
          </cell>
          <cell r="P641">
            <v>0</v>
          </cell>
          <cell r="Q641">
            <v>8117.2666666666673</v>
          </cell>
          <cell r="R641">
            <v>0</v>
          </cell>
          <cell r="S641">
            <v>10680.614035087719</v>
          </cell>
          <cell r="T641">
            <v>0</v>
          </cell>
          <cell r="U641">
            <v>9851.0517799352765</v>
          </cell>
          <cell r="V641">
            <v>0</v>
          </cell>
          <cell r="W641">
            <v>10794.237588652482</v>
          </cell>
          <cell r="X641">
            <v>0</v>
          </cell>
          <cell r="Y641">
            <v>10910.304659498208</v>
          </cell>
          <cell r="Z641">
            <v>0</v>
          </cell>
          <cell r="AA641">
            <v>10591.423103688239</v>
          </cell>
          <cell r="AB641">
            <v>0</v>
          </cell>
          <cell r="AC641" t="e">
            <v>#DIV/0!</v>
          </cell>
          <cell r="AE641" t="str">
            <v>Depreciation</v>
          </cell>
        </row>
        <row r="642">
          <cell r="D642" t="str">
            <v xml:space="preserve">Other Factory overhead </v>
          </cell>
          <cell r="E642">
            <v>3328.5244606883934</v>
          </cell>
          <cell r="F642">
            <v>0</v>
          </cell>
          <cell r="G642">
            <v>2778.859870849943</v>
          </cell>
          <cell r="H642">
            <v>0</v>
          </cell>
          <cell r="I642">
            <v>2702.0136121556093</v>
          </cell>
          <cell r="J642">
            <v>0</v>
          </cell>
          <cell r="K642">
            <v>2423.1658073811504</v>
          </cell>
          <cell r="L642">
            <v>0</v>
          </cell>
          <cell r="M642">
            <v>3481.5600680763655</v>
          </cell>
          <cell r="N642">
            <v>0</v>
          </cell>
          <cell r="O642">
            <v>3361.7727627374452</v>
          </cell>
          <cell r="P642">
            <v>0</v>
          </cell>
          <cell r="Q642">
            <v>2423.1658073811504</v>
          </cell>
          <cell r="R642">
            <v>0</v>
          </cell>
          <cell r="S642">
            <v>3188.3760623436192</v>
          </cell>
          <cell r="T642">
            <v>0</v>
          </cell>
          <cell r="U642">
            <v>2940.735203132464</v>
          </cell>
          <cell r="V642">
            <v>0</v>
          </cell>
          <cell r="W642">
            <v>3222.2949566238703</v>
          </cell>
          <cell r="X642">
            <v>0</v>
          </cell>
          <cell r="Y642">
            <v>3256.9432894907936</v>
          </cell>
          <cell r="Z642">
            <v>0</v>
          </cell>
          <cell r="AA642">
            <v>3161.7507925119394</v>
          </cell>
          <cell r="AB642">
            <v>0</v>
          </cell>
          <cell r="AC642" t="e">
            <v>#DIV/0!</v>
          </cell>
          <cell r="AE642" t="str">
            <v xml:space="preserve">Other Factory overhead </v>
          </cell>
        </row>
        <row r="643">
          <cell r="D643" t="str">
            <v>Running Royalty</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t="e">
            <v>#DIV/0!</v>
          </cell>
          <cell r="AE643" t="str">
            <v>Running Royalty</v>
          </cell>
        </row>
        <row r="644">
          <cell r="E644">
            <v>19809.587842621411</v>
          </cell>
          <cell r="F644">
            <v>0</v>
          </cell>
          <cell r="G644">
            <v>16538.279758518795</v>
          </cell>
          <cell r="H644">
            <v>0</v>
          </cell>
          <cell r="I644">
            <v>16080.93214699865</v>
          </cell>
          <cell r="J644">
            <v>0</v>
          </cell>
          <cell r="K644">
            <v>14421.379949428388</v>
          </cell>
          <cell r="L644">
            <v>0</v>
          </cell>
          <cell r="M644">
            <v>20720.373490558028</v>
          </cell>
          <cell r="N644">
            <v>0</v>
          </cell>
          <cell r="O644">
            <v>20007.463858807419</v>
          </cell>
          <cell r="P644">
            <v>0</v>
          </cell>
          <cell r="Q644">
            <v>14421.379949428388</v>
          </cell>
          <cell r="R644">
            <v>0</v>
          </cell>
          <cell r="S644">
            <v>18975.499933458406</v>
          </cell>
          <cell r="T644">
            <v>0</v>
          </cell>
          <cell r="U644">
            <v>17501.674695908237</v>
          </cell>
          <cell r="V644">
            <v>0</v>
          </cell>
          <cell r="W644">
            <v>19177.366954027111</v>
          </cell>
          <cell r="X644">
            <v>0</v>
          </cell>
          <cell r="Y644">
            <v>19383.575200844611</v>
          </cell>
          <cell r="Z644">
            <v>0</v>
          </cell>
          <cell r="AA644">
            <v>18817.040643826185</v>
          </cell>
          <cell r="AB644">
            <v>0</v>
          </cell>
          <cell r="AC644" t="e">
            <v>#DIV/0!</v>
          </cell>
        </row>
        <row r="645">
          <cell r="C645" t="str">
            <v>Gross Profit</v>
          </cell>
          <cell r="E645">
            <v>-399251.59243889002</v>
          </cell>
          <cell r="F645">
            <v>0</v>
          </cell>
          <cell r="G645">
            <v>-395980.28435478738</v>
          </cell>
          <cell r="H645">
            <v>0</v>
          </cell>
          <cell r="I645">
            <v>-395522.93674326723</v>
          </cell>
          <cell r="J645">
            <v>0</v>
          </cell>
          <cell r="K645">
            <v>-387999.63241296005</v>
          </cell>
          <cell r="L645">
            <v>0</v>
          </cell>
          <cell r="M645">
            <v>-394298.62595408969</v>
          </cell>
          <cell r="N645">
            <v>0</v>
          </cell>
          <cell r="O645">
            <v>-393585.71632233908</v>
          </cell>
          <cell r="P645">
            <v>0</v>
          </cell>
          <cell r="Q645">
            <v>-387999.63241296005</v>
          </cell>
          <cell r="R645">
            <v>0</v>
          </cell>
          <cell r="S645">
            <v>-392553.75239699008</v>
          </cell>
          <cell r="T645">
            <v>0</v>
          </cell>
          <cell r="U645">
            <v>-391079.92715943989</v>
          </cell>
          <cell r="V645">
            <v>0</v>
          </cell>
          <cell r="W645">
            <v>-392755.61941755877</v>
          </cell>
          <cell r="X645">
            <v>0</v>
          </cell>
          <cell r="Y645">
            <v>-392961.82766437629</v>
          </cell>
          <cell r="Z645">
            <v>0</v>
          </cell>
          <cell r="AA645">
            <v>-392395.29310735787</v>
          </cell>
          <cell r="AB645">
            <v>0</v>
          </cell>
          <cell r="AC645" t="e">
            <v>#DIV/0!</v>
          </cell>
          <cell r="AD645" t="str">
            <v>Gross Profit</v>
          </cell>
        </row>
        <row r="647">
          <cell r="C647" t="str">
            <v>Other Expenses</v>
          </cell>
          <cell r="AD647" t="str">
            <v>Other Expenses</v>
          </cell>
        </row>
        <row r="648">
          <cell r="D648" t="str">
            <v>Selling Expenses</v>
          </cell>
          <cell r="E648">
            <v>5183.0082521448167</v>
          </cell>
          <cell r="F648">
            <v>0</v>
          </cell>
          <cell r="G648">
            <v>4427.3486746392564</v>
          </cell>
          <cell r="H648">
            <v>0</v>
          </cell>
          <cell r="I648">
            <v>4320.887144065181</v>
          </cell>
          <cell r="J648">
            <v>0</v>
          </cell>
          <cell r="K648">
            <v>3897.7185689144208</v>
          </cell>
          <cell r="L648">
            <v>0</v>
          </cell>
          <cell r="M648">
            <v>5409.2615187305564</v>
          </cell>
          <cell r="N648">
            <v>0</v>
          </cell>
          <cell r="O648">
            <v>5179.8400416559607</v>
          </cell>
          <cell r="P648">
            <v>0</v>
          </cell>
          <cell r="Q648">
            <v>3845.1336292747983</v>
          </cell>
          <cell r="R648">
            <v>0</v>
          </cell>
          <cell r="S648">
            <v>4967.5774890123712</v>
          </cell>
          <cell r="T648">
            <v>0</v>
          </cell>
          <cell r="U648">
            <v>4642.661605420024</v>
          </cell>
          <cell r="V648">
            <v>0</v>
          </cell>
          <cell r="W648">
            <v>5073.1110111757944</v>
          </cell>
          <cell r="X648">
            <v>0</v>
          </cell>
          <cell r="Y648">
            <v>5099.2966467698334</v>
          </cell>
          <cell r="Z648">
            <v>0</v>
          </cell>
          <cell r="AA648">
            <v>4893.3178190345943</v>
          </cell>
          <cell r="AB648">
            <v>0</v>
          </cell>
          <cell r="AC648" t="e">
            <v>#DIV/0!</v>
          </cell>
          <cell r="AE648" t="str">
            <v>Selling Expenses</v>
          </cell>
        </row>
        <row r="649">
          <cell r="D649" t="str">
            <v>Advertisement Expenses</v>
          </cell>
          <cell r="E649">
            <v>800.32572918126152</v>
          </cell>
          <cell r="F649">
            <v>0</v>
          </cell>
          <cell r="G649">
            <v>969.71958993165515</v>
          </cell>
          <cell r="H649">
            <v>0</v>
          </cell>
          <cell r="I649">
            <v>7367.9708551430685</v>
          </cell>
          <cell r="J649">
            <v>0</v>
          </cell>
          <cell r="K649">
            <v>6935.2770964018819</v>
          </cell>
          <cell r="L649">
            <v>0</v>
          </cell>
          <cell r="M649">
            <v>7697.2629504339211</v>
          </cell>
          <cell r="N649">
            <v>0</v>
          </cell>
          <cell r="O649">
            <v>799.8365151483406</v>
          </cell>
          <cell r="P649">
            <v>0</v>
          </cell>
          <cell r="Q649">
            <v>739.89139808437483</v>
          </cell>
          <cell r="R649">
            <v>0</v>
          </cell>
          <cell r="S649">
            <v>4684.9685429207811</v>
          </cell>
          <cell r="T649">
            <v>0</v>
          </cell>
          <cell r="U649">
            <v>5393.2109933565007</v>
          </cell>
          <cell r="V649">
            <v>0</v>
          </cell>
          <cell r="W649">
            <v>783.35612673520234</v>
          </cell>
          <cell r="X649">
            <v>0</v>
          </cell>
          <cell r="Y649">
            <v>8782.5333169589612</v>
          </cell>
          <cell r="Z649">
            <v>0</v>
          </cell>
          <cell r="AA649">
            <v>1104.3291887822443</v>
          </cell>
          <cell r="AB649">
            <v>0</v>
          </cell>
          <cell r="AC649" t="e">
            <v>#DIV/0!</v>
          </cell>
        </row>
        <row r="650">
          <cell r="D650" t="str">
            <v>Administrative Expenses</v>
          </cell>
          <cell r="E650">
            <v>10560.726889052896</v>
          </cell>
          <cell r="F650">
            <v>0</v>
          </cell>
          <cell r="G650">
            <v>9021.0198249495461</v>
          </cell>
          <cell r="H650">
            <v>0</v>
          </cell>
          <cell r="I650">
            <v>8804.0973170376383</v>
          </cell>
          <cell r="J650">
            <v>0</v>
          </cell>
          <cell r="K650">
            <v>7941.8629672567968</v>
          </cell>
          <cell r="L650">
            <v>0</v>
          </cell>
          <cell r="M650">
            <v>11021.733092386507</v>
          </cell>
          <cell r="N650">
            <v>0</v>
          </cell>
          <cell r="O650">
            <v>10554.271447719957</v>
          </cell>
          <cell r="P650">
            <v>0</v>
          </cell>
          <cell r="Q650">
            <v>7834.7176263668644</v>
          </cell>
          <cell r="R650">
            <v>0</v>
          </cell>
          <cell r="S650">
            <v>10121.772262268241</v>
          </cell>
          <cell r="T650">
            <v>0</v>
          </cell>
          <cell r="U650">
            <v>9459.7343604157559</v>
          </cell>
          <cell r="V650">
            <v>0</v>
          </cell>
          <cell r="W650">
            <v>10336.803890810705</v>
          </cell>
          <cell r="X650">
            <v>0</v>
          </cell>
          <cell r="Y650">
            <v>10390.158879356299</v>
          </cell>
          <cell r="Z650">
            <v>0</v>
          </cell>
          <cell r="AA650">
            <v>9970.4632047953019</v>
          </cell>
          <cell r="AB650">
            <v>0</v>
          </cell>
          <cell r="AC650" t="e">
            <v>#DIV/0!</v>
          </cell>
          <cell r="AE650" t="str">
            <v>Administrative Expenses</v>
          </cell>
        </row>
        <row r="651">
          <cell r="D651" t="str">
            <v>Depreciation (Admin. &amp; Selling )</v>
          </cell>
          <cell r="E651">
            <v>2969.9882598191184</v>
          </cell>
          <cell r="F651">
            <v>0</v>
          </cell>
          <cell r="G651">
            <v>2536.9771657922738</v>
          </cell>
          <cell r="H651">
            <v>0</v>
          </cell>
          <cell r="I651">
            <v>2475.9721508385478</v>
          </cell>
          <cell r="J651">
            <v>0</v>
          </cell>
          <cell r="K651">
            <v>2233.4863898710532</v>
          </cell>
          <cell r="L651">
            <v>0</v>
          </cell>
          <cell r="M651">
            <v>3099.6368177250984</v>
          </cell>
          <cell r="N651">
            <v>0</v>
          </cell>
          <cell r="O651">
            <v>2968.1727990868981</v>
          </cell>
          <cell r="P651">
            <v>0</v>
          </cell>
          <cell r="Q651">
            <v>2203.3539560073127</v>
          </cell>
          <cell r="R651">
            <v>0</v>
          </cell>
          <cell r="S651">
            <v>2846.5412564224971</v>
          </cell>
          <cell r="T651">
            <v>0</v>
          </cell>
          <cell r="U651">
            <v>2660.3566484202443</v>
          </cell>
          <cell r="V651">
            <v>0</v>
          </cell>
          <cell r="W651">
            <v>2907.0145002598042</v>
          </cell>
          <cell r="X651">
            <v>0</v>
          </cell>
          <cell r="Y651">
            <v>2922.0194986134175</v>
          </cell>
          <cell r="Z651">
            <v>0</v>
          </cell>
          <cell r="AA651">
            <v>2803.9886812995901</v>
          </cell>
          <cell r="AB651">
            <v>0</v>
          </cell>
          <cell r="AC651" t="e">
            <v>#DIV/0!</v>
          </cell>
          <cell r="AE651" t="str">
            <v>Depreciation (Admin. &amp; Selling )</v>
          </cell>
        </row>
        <row r="652">
          <cell r="D652" t="str">
            <v>Financial Charges -Capital Exp.</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t="e">
            <v>#DIV/0!</v>
          </cell>
          <cell r="AE652" t="str">
            <v>Financial Charges -Capital Exp.</v>
          </cell>
        </row>
        <row r="653">
          <cell r="D653" t="str">
            <v>Financial  Charges -Working Capital</v>
          </cell>
          <cell r="E653">
            <v>530.11444507895521</v>
          </cell>
          <cell r="F653">
            <v>0</v>
          </cell>
          <cell r="G653">
            <v>458.80097155251627</v>
          </cell>
          <cell r="H653">
            <v>0</v>
          </cell>
          <cell r="I653">
            <v>448.49087868071882</v>
          </cell>
          <cell r="J653">
            <v>0</v>
          </cell>
          <cell r="K653">
            <v>407.98094465914818</v>
          </cell>
          <cell r="L653">
            <v>0</v>
          </cell>
          <cell r="M653">
            <v>548.85949175372707</v>
          </cell>
          <cell r="N653">
            <v>0</v>
          </cell>
          <cell r="O653">
            <v>527.77239945924691</v>
          </cell>
          <cell r="P653">
            <v>0</v>
          </cell>
          <cell r="Q653">
            <v>396.96132884259964</v>
          </cell>
          <cell r="R653">
            <v>0</v>
          </cell>
          <cell r="S653">
            <v>498.98402076239711</v>
          </cell>
          <cell r="T653">
            <v>0</v>
          </cell>
          <cell r="U653">
            <v>470.64800851302482</v>
          </cell>
          <cell r="V653">
            <v>0</v>
          </cell>
          <cell r="W653">
            <v>511.61704210669683</v>
          </cell>
          <cell r="X653">
            <v>0</v>
          </cell>
          <cell r="Y653">
            <v>513.76394785157731</v>
          </cell>
          <cell r="Z653">
            <v>0</v>
          </cell>
          <cell r="AA653">
            <v>495.30468493193735</v>
          </cell>
          <cell r="AB653">
            <v>0</v>
          </cell>
          <cell r="AC653" t="e">
            <v>#DIV/0!</v>
          </cell>
          <cell r="AE653" t="str">
            <v>Financial  Charges -Working Capital</v>
          </cell>
        </row>
        <row r="654">
          <cell r="D654" t="str">
            <v>Other Expenses (Charity &amp; Donation)</v>
          </cell>
          <cell r="E654">
            <v>368.13503130483002</v>
          </cell>
          <cell r="F654">
            <v>0</v>
          </cell>
          <cell r="G654">
            <v>318.61178580035858</v>
          </cell>
          <cell r="H654">
            <v>0</v>
          </cell>
          <cell r="I654">
            <v>311.4519990838325</v>
          </cell>
          <cell r="J654">
            <v>0</v>
          </cell>
          <cell r="K654">
            <v>283.32010045774183</v>
          </cell>
          <cell r="L654">
            <v>0</v>
          </cell>
          <cell r="M654">
            <v>381.15242482897719</v>
          </cell>
          <cell r="N654">
            <v>0</v>
          </cell>
          <cell r="O654">
            <v>366.50861073558809</v>
          </cell>
          <cell r="P654">
            <v>0</v>
          </cell>
          <cell r="Q654">
            <v>275.66758947402758</v>
          </cell>
          <cell r="R654">
            <v>0</v>
          </cell>
          <cell r="S654">
            <v>346.51668108499797</v>
          </cell>
          <cell r="T654">
            <v>0</v>
          </cell>
          <cell r="U654">
            <v>326.83889480071173</v>
          </cell>
          <cell r="V654">
            <v>0</v>
          </cell>
          <cell r="W654">
            <v>355.28961257409514</v>
          </cell>
          <cell r="X654">
            <v>0</v>
          </cell>
          <cell r="Y654">
            <v>356.78051934137312</v>
          </cell>
          <cell r="Z654">
            <v>0</v>
          </cell>
          <cell r="AA654">
            <v>343.96158675828985</v>
          </cell>
          <cell r="AB654">
            <v>0</v>
          </cell>
          <cell r="AC654" t="e">
            <v>#DIV/0!</v>
          </cell>
          <cell r="AE654" t="str">
            <v>Other Expenses (Charity &amp; Donation)</v>
          </cell>
        </row>
        <row r="655">
          <cell r="D655" t="str">
            <v>Other Expenses ( W.P.P.F.)</v>
          </cell>
          <cell r="E655">
            <v>3573.7075858361454</v>
          </cell>
          <cell r="F655">
            <v>0</v>
          </cell>
          <cell r="G655">
            <v>3260.1003648049996</v>
          </cell>
          <cell r="H655">
            <v>0</v>
          </cell>
          <cell r="I655">
            <v>2868.2077932472907</v>
          </cell>
          <cell r="J655">
            <v>0</v>
          </cell>
          <cell r="K655">
            <v>2950.3710885468208</v>
          </cell>
          <cell r="L655">
            <v>0</v>
          </cell>
          <cell r="M655">
            <v>2984.5209973853607</v>
          </cell>
          <cell r="N655">
            <v>0</v>
          </cell>
          <cell r="O655">
            <v>3261.9142882485439</v>
          </cell>
          <cell r="P655">
            <v>0</v>
          </cell>
          <cell r="Q655">
            <v>3221.4233012482478</v>
          </cell>
          <cell r="R655">
            <v>0</v>
          </cell>
          <cell r="S655">
            <v>2697.4681580678207</v>
          </cell>
          <cell r="T655">
            <v>0</v>
          </cell>
          <cell r="U655">
            <v>2877.5317129664104</v>
          </cell>
          <cell r="V655">
            <v>0</v>
          </cell>
          <cell r="W655">
            <v>3280.2679674234987</v>
          </cell>
          <cell r="X655">
            <v>0</v>
          </cell>
          <cell r="Y655">
            <v>2911.8557735997142</v>
          </cell>
          <cell r="Z655">
            <v>0</v>
          </cell>
          <cell r="AA655">
            <v>3464.9058265788067</v>
          </cell>
          <cell r="AB655">
            <v>0</v>
          </cell>
          <cell r="AC655" t="e">
            <v>#DIV/0!</v>
          </cell>
          <cell r="AE655" t="str">
            <v>Other Expenses ( W.P.P.F.)</v>
          </cell>
        </row>
        <row r="656">
          <cell r="D656" t="str">
            <v>Workers Welfare Fund</v>
          </cell>
          <cell r="E656">
            <v>1499.0267372593985</v>
          </cell>
          <cell r="F656">
            <v>0</v>
          </cell>
          <cell r="G656">
            <v>1367.4811090758005</v>
          </cell>
          <cell r="H656">
            <v>0</v>
          </cell>
          <cell r="I656">
            <v>1203.0979219267881</v>
          </cell>
          <cell r="J656">
            <v>0</v>
          </cell>
          <cell r="K656">
            <v>1237.5621229049211</v>
          </cell>
          <cell r="L656">
            <v>0</v>
          </cell>
          <cell r="M656">
            <v>1251.8866374865934</v>
          </cell>
          <cell r="N656">
            <v>0</v>
          </cell>
          <cell r="O656">
            <v>1368.2419770751833</v>
          </cell>
          <cell r="P656">
            <v>0</v>
          </cell>
          <cell r="Q656">
            <v>1351.2576349952574</v>
          </cell>
          <cell r="R656">
            <v>0</v>
          </cell>
          <cell r="S656">
            <v>1131.4795054513236</v>
          </cell>
          <cell r="T656">
            <v>0</v>
          </cell>
          <cell r="U656">
            <v>1207.0089316049207</v>
          </cell>
          <cell r="V656">
            <v>0</v>
          </cell>
          <cell r="W656">
            <v>1375.9406080206418</v>
          </cell>
          <cell r="X656">
            <v>0</v>
          </cell>
          <cell r="Y656">
            <v>1221.4064958669101</v>
          </cell>
          <cell r="Z656">
            <v>0</v>
          </cell>
          <cell r="AA656">
            <v>1453.3887710099996</v>
          </cell>
          <cell r="AB656">
            <v>0</v>
          </cell>
          <cell r="AC656" t="e">
            <v>#DIV/0!</v>
          </cell>
          <cell r="AE656" t="str">
            <v>Workers Welfare Fund</v>
          </cell>
        </row>
        <row r="657">
          <cell r="E657">
            <v>25485.032929677422</v>
          </cell>
          <cell r="F657">
            <v>0</v>
          </cell>
          <cell r="G657">
            <v>22360.059486546405</v>
          </cell>
          <cell r="H657">
            <v>0</v>
          </cell>
          <cell r="I657">
            <v>27800.176060023059</v>
          </cell>
          <cell r="J657">
            <v>0</v>
          </cell>
          <cell r="K657">
            <v>25887.579279012789</v>
          </cell>
          <cell r="L657">
            <v>0</v>
          </cell>
          <cell r="M657">
            <v>32394.313930730743</v>
          </cell>
          <cell r="N657">
            <v>0</v>
          </cell>
          <cell r="O657">
            <v>25026.558079129718</v>
          </cell>
          <cell r="P657">
            <v>0</v>
          </cell>
          <cell r="Q657">
            <v>19868.406464293483</v>
          </cell>
          <cell r="R657">
            <v>0</v>
          </cell>
          <cell r="S657">
            <v>27295.30791599043</v>
          </cell>
          <cell r="T657">
            <v>0</v>
          </cell>
          <cell r="U657">
            <v>27037.991155497592</v>
          </cell>
          <cell r="V657">
            <v>0</v>
          </cell>
          <cell r="W657">
            <v>24623.40075910644</v>
          </cell>
          <cell r="X657">
            <v>0</v>
          </cell>
          <cell r="Y657">
            <v>32197.815078358082</v>
          </cell>
          <cell r="Z657">
            <v>0</v>
          </cell>
          <cell r="AA657">
            <v>24529.659763190764</v>
          </cell>
          <cell r="AB657">
            <v>0</v>
          </cell>
          <cell r="AC657" t="e">
            <v>#DIV/0!</v>
          </cell>
        </row>
        <row r="658">
          <cell r="D658" t="str">
            <v>Operating Profit</v>
          </cell>
          <cell r="E658">
            <v>-424736.62536856742</v>
          </cell>
          <cell r="F658">
            <v>0</v>
          </cell>
          <cell r="G658">
            <v>-418340.34384133376</v>
          </cell>
          <cell r="H658">
            <v>0</v>
          </cell>
          <cell r="I658">
            <v>-423323.11280329031</v>
          </cell>
          <cell r="J658">
            <v>0</v>
          </cell>
          <cell r="K658">
            <v>-413887.21169197286</v>
          </cell>
          <cell r="L658">
            <v>0</v>
          </cell>
          <cell r="M658">
            <v>-426692.93988482043</v>
          </cell>
          <cell r="N658">
            <v>0</v>
          </cell>
          <cell r="O658">
            <v>-418612.27440146881</v>
          </cell>
          <cell r="P658">
            <v>0</v>
          </cell>
          <cell r="Q658">
            <v>-407868.03887725354</v>
          </cell>
          <cell r="R658">
            <v>0</v>
          </cell>
          <cell r="S658">
            <v>-419849.06031298049</v>
          </cell>
          <cell r="T658">
            <v>0</v>
          </cell>
          <cell r="U658">
            <v>-418117.9183149375</v>
          </cell>
          <cell r="V658">
            <v>0</v>
          </cell>
          <cell r="W658">
            <v>-417379.02017666522</v>
          </cell>
          <cell r="X658">
            <v>0</v>
          </cell>
          <cell r="Y658">
            <v>-425159.6427427344</v>
          </cell>
          <cell r="Z658">
            <v>0</v>
          </cell>
          <cell r="AA658">
            <v>-416924.95287054864</v>
          </cell>
          <cell r="AB658">
            <v>0</v>
          </cell>
          <cell r="AC658" t="e">
            <v>#DIV/0!</v>
          </cell>
          <cell r="AE658" t="str">
            <v>Operating Profit</v>
          </cell>
        </row>
        <row r="660">
          <cell r="C660" t="str">
            <v>Other Income</v>
          </cell>
          <cell r="AD660" t="str">
            <v>Other Income</v>
          </cell>
        </row>
        <row r="661">
          <cell r="D661" t="str">
            <v>H.D</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t="e">
            <v>#DIV/0!</v>
          </cell>
          <cell r="AE661" t="str">
            <v>H.D</v>
          </cell>
        </row>
        <row r="662">
          <cell r="D662" t="str">
            <v>Others</v>
          </cell>
          <cell r="E662">
            <v>18021.978021978022</v>
          </cell>
          <cell r="F662">
            <v>0</v>
          </cell>
          <cell r="G662">
            <v>15045.871559633028</v>
          </cell>
          <cell r="H662">
            <v>0</v>
          </cell>
          <cell r="I662">
            <v>14629.794826048172</v>
          </cell>
          <cell r="J662">
            <v>0</v>
          </cell>
          <cell r="K662">
            <v>5120</v>
          </cell>
          <cell r="L662">
            <v>0</v>
          </cell>
          <cell r="M662">
            <v>7356.3218390804595</v>
          </cell>
          <cell r="N662">
            <v>0</v>
          </cell>
          <cell r="O662">
            <v>7103.2186459489458</v>
          </cell>
          <cell r="P662">
            <v>0</v>
          </cell>
          <cell r="Q662">
            <v>5120</v>
          </cell>
          <cell r="R662">
            <v>0</v>
          </cell>
          <cell r="S662">
            <v>6736.8421052631575</v>
          </cell>
          <cell r="T662">
            <v>0</v>
          </cell>
          <cell r="U662">
            <v>6213.5922330097092</v>
          </cell>
          <cell r="V662">
            <v>0</v>
          </cell>
          <cell r="W662">
            <v>6808.510638297872</v>
          </cell>
          <cell r="X662">
            <v>0</v>
          </cell>
          <cell r="Y662">
            <v>6881.7204301075271</v>
          </cell>
          <cell r="Z662">
            <v>0</v>
          </cell>
          <cell r="AA662">
            <v>6680.5845511482257</v>
          </cell>
          <cell r="AB662">
            <v>0</v>
          </cell>
          <cell r="AC662" t="e">
            <v>#DIV/0!</v>
          </cell>
          <cell r="AE662" t="str">
            <v>Others</v>
          </cell>
        </row>
        <row r="663">
          <cell r="E663">
            <v>18021.978021978022</v>
          </cell>
          <cell r="F663">
            <v>0</v>
          </cell>
          <cell r="G663">
            <v>15045.871559633028</v>
          </cell>
          <cell r="H663">
            <v>0</v>
          </cell>
          <cell r="I663">
            <v>14629.794826048172</v>
          </cell>
          <cell r="J663">
            <v>0</v>
          </cell>
          <cell r="K663">
            <v>5120</v>
          </cell>
          <cell r="L663">
            <v>0</v>
          </cell>
          <cell r="M663">
            <v>7356.3218390804595</v>
          </cell>
          <cell r="N663">
            <v>0</v>
          </cell>
          <cell r="O663">
            <v>7103.2186459489458</v>
          </cell>
          <cell r="P663">
            <v>0</v>
          </cell>
          <cell r="Q663">
            <v>5120</v>
          </cell>
          <cell r="R663">
            <v>0</v>
          </cell>
          <cell r="S663">
            <v>6736.8421052631575</v>
          </cell>
          <cell r="T663">
            <v>0</v>
          </cell>
          <cell r="U663">
            <v>6213.5922330097092</v>
          </cell>
          <cell r="V663">
            <v>0</v>
          </cell>
          <cell r="W663">
            <v>6808.510638297872</v>
          </cell>
          <cell r="X663">
            <v>0</v>
          </cell>
          <cell r="Y663">
            <v>6881.7204301075271</v>
          </cell>
          <cell r="Z663">
            <v>0</v>
          </cell>
          <cell r="AA663">
            <v>6680.5845511482257</v>
          </cell>
          <cell r="AB663">
            <v>0</v>
          </cell>
          <cell r="AC663" t="e">
            <v>#DIV/0!</v>
          </cell>
        </row>
        <row r="665">
          <cell r="C665" t="str">
            <v>Profit / (Loss) before tax</v>
          </cell>
          <cell r="E665">
            <v>-406714.64734658937</v>
          </cell>
          <cell r="F665">
            <v>0</v>
          </cell>
          <cell r="G665">
            <v>-403294.47228170076</v>
          </cell>
          <cell r="H665">
            <v>0</v>
          </cell>
          <cell r="I665">
            <v>-408693.31797724211</v>
          </cell>
          <cell r="J665">
            <v>0</v>
          </cell>
          <cell r="K665">
            <v>-408767.21169197286</v>
          </cell>
          <cell r="L665">
            <v>0</v>
          </cell>
          <cell r="M665">
            <v>-419336.61804573995</v>
          </cell>
          <cell r="N665">
            <v>0</v>
          </cell>
          <cell r="O665">
            <v>-411509.05575551989</v>
          </cell>
          <cell r="P665">
            <v>0</v>
          </cell>
          <cell r="Q665">
            <v>-402748.03887725354</v>
          </cell>
          <cell r="R665">
            <v>0</v>
          </cell>
          <cell r="S665">
            <v>-413112.21820771735</v>
          </cell>
          <cell r="T665">
            <v>0</v>
          </cell>
          <cell r="U665">
            <v>-411904.32608192781</v>
          </cell>
          <cell r="V665">
            <v>0</v>
          </cell>
          <cell r="W665">
            <v>-410570.50953836733</v>
          </cell>
          <cell r="X665">
            <v>0</v>
          </cell>
          <cell r="Y665">
            <v>-418277.92231262685</v>
          </cell>
          <cell r="Z665">
            <v>0</v>
          </cell>
          <cell r="AA665">
            <v>-410244.36831940041</v>
          </cell>
          <cell r="AB665">
            <v>0</v>
          </cell>
          <cell r="AC665" t="e">
            <v>#DIV/0!</v>
          </cell>
          <cell r="AD665" t="str">
            <v>Profit before tax</v>
          </cell>
        </row>
        <row r="667">
          <cell r="C667" t="str">
            <v>Taxation</v>
          </cell>
          <cell r="AD667" t="str">
            <v>Taxation</v>
          </cell>
        </row>
        <row r="668">
          <cell r="D668" t="str">
            <v>Current</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t="e">
            <v>#DIV/0!</v>
          </cell>
          <cell r="AE668" t="str">
            <v>Current</v>
          </cell>
        </row>
        <row r="669">
          <cell r="D669" t="str">
            <v>Deferred</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t="e">
            <v>#DIV/0!</v>
          </cell>
          <cell r="AE669" t="str">
            <v>Deferred</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t="e">
            <v>#DIV/0!</v>
          </cell>
        </row>
        <row r="672">
          <cell r="C672" t="str">
            <v>Net Profit after taxation</v>
          </cell>
          <cell r="E672">
            <v>-406714.64734658937</v>
          </cell>
          <cell r="F672">
            <v>0</v>
          </cell>
          <cell r="G672">
            <v>-403294.47228170076</v>
          </cell>
          <cell r="H672">
            <v>0</v>
          </cell>
          <cell r="I672">
            <v>-408693.31797724211</v>
          </cell>
          <cell r="J672">
            <v>0</v>
          </cell>
          <cell r="K672">
            <v>-408767.21169197286</v>
          </cell>
          <cell r="L672">
            <v>0</v>
          </cell>
          <cell r="M672">
            <v>-419336.61804573995</v>
          </cell>
          <cell r="N672">
            <v>0</v>
          </cell>
          <cell r="O672">
            <v>-411509.05575551989</v>
          </cell>
          <cell r="P672">
            <v>0</v>
          </cell>
          <cell r="Q672">
            <v>-402748.03887725354</v>
          </cell>
          <cell r="R672">
            <v>0</v>
          </cell>
          <cell r="S672">
            <v>-413112.21820771735</v>
          </cell>
          <cell r="T672">
            <v>0</v>
          </cell>
          <cell r="U672">
            <v>-411904.32608192781</v>
          </cell>
          <cell r="V672">
            <v>0</v>
          </cell>
          <cell r="W672">
            <v>-410570.50953836733</v>
          </cell>
          <cell r="X672">
            <v>0</v>
          </cell>
          <cell r="Y672">
            <v>-418277.92231262685</v>
          </cell>
          <cell r="Z672">
            <v>0</v>
          </cell>
          <cell r="AA672">
            <v>-410244.36831940041</v>
          </cell>
          <cell r="AB672">
            <v>0</v>
          </cell>
          <cell r="AC672" t="e">
            <v>#DIV/0!</v>
          </cell>
          <cell r="AD672" t="str">
            <v>Net Profit after taxation</v>
          </cell>
        </row>
        <row r="675">
          <cell r="AC675" t="str">
            <v>2.0D (SE)</v>
          </cell>
        </row>
        <row r="676">
          <cell r="E676">
            <v>37438</v>
          </cell>
          <cell r="F676">
            <v>37469</v>
          </cell>
          <cell r="G676">
            <v>37500</v>
          </cell>
          <cell r="H676">
            <v>37531</v>
          </cell>
          <cell r="I676">
            <v>37562</v>
          </cell>
          <cell r="J676">
            <v>37593</v>
          </cell>
          <cell r="K676">
            <v>37624</v>
          </cell>
          <cell r="L676">
            <v>37655</v>
          </cell>
          <cell r="M676">
            <v>37686</v>
          </cell>
          <cell r="N676">
            <v>37717</v>
          </cell>
          <cell r="O676">
            <v>37748</v>
          </cell>
          <cell r="P676">
            <v>37779</v>
          </cell>
          <cell r="Q676">
            <v>37779</v>
          </cell>
          <cell r="S676">
            <v>37810</v>
          </cell>
          <cell r="U676">
            <v>37841</v>
          </cell>
          <cell r="W676">
            <v>37872</v>
          </cell>
          <cell r="Y676">
            <v>37903</v>
          </cell>
          <cell r="AA676">
            <v>37934</v>
          </cell>
          <cell r="AC676" t="str">
            <v>Yearly</v>
          </cell>
        </row>
        <row r="677">
          <cell r="D677" t="str">
            <v>2.0D (SE)</v>
          </cell>
          <cell r="E677" t="str">
            <v>Per Unit</v>
          </cell>
          <cell r="F677" t="str">
            <v>Total</v>
          </cell>
          <cell r="G677" t="str">
            <v>Per Unit</v>
          </cell>
          <cell r="H677" t="str">
            <v>Total</v>
          </cell>
          <cell r="I677" t="str">
            <v>Per Unit</v>
          </cell>
          <cell r="J677" t="str">
            <v>Total</v>
          </cell>
          <cell r="K677" t="str">
            <v>Per Unit</v>
          </cell>
          <cell r="L677" t="str">
            <v>Total</v>
          </cell>
          <cell r="M677" t="str">
            <v>Per Unit</v>
          </cell>
          <cell r="N677" t="str">
            <v>Total</v>
          </cell>
          <cell r="O677" t="str">
            <v>Per Unit</v>
          </cell>
          <cell r="P677" t="str">
            <v>Total</v>
          </cell>
          <cell r="Q677" t="str">
            <v>Per Unit</v>
          </cell>
          <cell r="R677" t="str">
            <v>Total</v>
          </cell>
          <cell r="S677" t="str">
            <v>Per Unit</v>
          </cell>
          <cell r="T677" t="str">
            <v>Total</v>
          </cell>
          <cell r="U677" t="str">
            <v>Per Unit</v>
          </cell>
          <cell r="V677" t="str">
            <v>Total</v>
          </cell>
          <cell r="W677" t="str">
            <v>Per Unit</v>
          </cell>
          <cell r="X677" t="str">
            <v>Total</v>
          </cell>
          <cell r="Y677" t="str">
            <v>Per Unit</v>
          </cell>
          <cell r="Z677" t="str">
            <v>Total</v>
          </cell>
          <cell r="AA677" t="str">
            <v>Per Unit</v>
          </cell>
          <cell r="AB677" t="str">
            <v>Total</v>
          </cell>
          <cell r="AC677" t="str">
            <v>Average</v>
          </cell>
          <cell r="AD677">
            <v>0</v>
          </cell>
          <cell r="AE677" t="str">
            <v>2.0D (SE)</v>
          </cell>
        </row>
        <row r="679">
          <cell r="C679" t="str">
            <v>Sales Units</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t="str">
            <v>Sales Units</v>
          </cell>
        </row>
        <row r="681">
          <cell r="C681" t="str">
            <v>Selling Price</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t="str">
            <v>Selling Price</v>
          </cell>
        </row>
        <row r="682">
          <cell r="C682" t="str">
            <v>Less: Dealer commission</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t="str">
            <v>Less: Dealer commission</v>
          </cell>
        </row>
        <row r="683">
          <cell r="D683" t="str">
            <v xml:space="preserve">  Sales tax</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E683" t="str">
            <v xml:space="preserve">  Sales tax</v>
          </cell>
        </row>
        <row r="684">
          <cell r="C684" t="str">
            <v>Net Sales</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t="str">
            <v>Net Sales</v>
          </cell>
        </row>
        <row r="686">
          <cell r="C686" t="str">
            <v>Variable Cost of Sales</v>
          </cell>
          <cell r="AD686" t="str">
            <v>Variable Cost of Sales</v>
          </cell>
        </row>
        <row r="687">
          <cell r="D687" t="str">
            <v>CKD Cost</v>
          </cell>
          <cell r="E687">
            <v>379442.00459626858</v>
          </cell>
          <cell r="F687">
            <v>0</v>
          </cell>
          <cell r="G687">
            <v>379442.00459626858</v>
          </cell>
          <cell r="H687">
            <v>0</v>
          </cell>
          <cell r="I687">
            <v>379442.00459626858</v>
          </cell>
          <cell r="J687">
            <v>0</v>
          </cell>
          <cell r="K687">
            <v>373578.25246353168</v>
          </cell>
          <cell r="L687">
            <v>0</v>
          </cell>
          <cell r="M687">
            <v>373578.25246353168</v>
          </cell>
          <cell r="N687">
            <v>0</v>
          </cell>
          <cell r="O687">
            <v>373578.25246353168</v>
          </cell>
          <cell r="P687">
            <v>0</v>
          </cell>
          <cell r="Q687">
            <v>373578.25246353168</v>
          </cell>
          <cell r="R687">
            <v>0</v>
          </cell>
          <cell r="S687">
            <v>373578.25246353168</v>
          </cell>
          <cell r="T687">
            <v>0</v>
          </cell>
          <cell r="U687">
            <v>373578.25246353168</v>
          </cell>
          <cell r="V687">
            <v>0</v>
          </cell>
          <cell r="W687">
            <v>373578.25246353168</v>
          </cell>
          <cell r="X687">
            <v>0</v>
          </cell>
          <cell r="Y687">
            <v>373578.25246353168</v>
          </cell>
          <cell r="Z687">
            <v>0</v>
          </cell>
          <cell r="AA687">
            <v>373578.25246353168</v>
          </cell>
          <cell r="AB687">
            <v>0</v>
          </cell>
          <cell r="AC687">
            <v>0</v>
          </cell>
          <cell r="AE687" t="str">
            <v>CKD Cost</v>
          </cell>
        </row>
        <row r="688">
          <cell r="D688" t="str">
            <v>Vendor parts</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E688" t="str">
            <v>Vendor parts</v>
          </cell>
        </row>
        <row r="689">
          <cell r="D689" t="str">
            <v>Nummi Parts</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E689" t="str">
            <v>Nummi Parts</v>
          </cell>
        </row>
        <row r="690">
          <cell r="D690" t="str">
            <v>Paints &amp; Chemicals</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E690" t="str">
            <v>Paints &amp; Chemicals</v>
          </cell>
        </row>
        <row r="691">
          <cell r="D691" t="str">
            <v>Consumables</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E691" t="str">
            <v>Consumables</v>
          </cell>
        </row>
        <row r="692">
          <cell r="D692" t="str">
            <v>KD Parts</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E692" t="str">
            <v>KD Parts</v>
          </cell>
        </row>
        <row r="693">
          <cell r="D693" t="str">
            <v>Spare parts</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E693" t="str">
            <v>Spare parts</v>
          </cell>
        </row>
        <row r="694">
          <cell r="D694" t="str">
            <v>Utilities</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E694" t="str">
            <v>Utilities</v>
          </cell>
        </row>
        <row r="695">
          <cell r="D695" t="str">
            <v>Royalty</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E695" t="str">
            <v>Royalty</v>
          </cell>
        </row>
        <row r="697">
          <cell r="E697">
            <v>379442.00459626858</v>
          </cell>
          <cell r="F697">
            <v>0</v>
          </cell>
          <cell r="G697">
            <v>379442.00459626858</v>
          </cell>
          <cell r="H697">
            <v>0</v>
          </cell>
          <cell r="I697">
            <v>379442.00459626858</v>
          </cell>
          <cell r="J697">
            <v>0</v>
          </cell>
          <cell r="K697">
            <v>373578.25246353168</v>
          </cell>
          <cell r="L697">
            <v>0</v>
          </cell>
          <cell r="M697">
            <v>373578.25246353168</v>
          </cell>
          <cell r="N697">
            <v>0</v>
          </cell>
          <cell r="O697">
            <v>373578.25246353168</v>
          </cell>
          <cell r="P697">
            <v>0</v>
          </cell>
          <cell r="Q697">
            <v>373578.25246353168</v>
          </cell>
          <cell r="R697">
            <v>0</v>
          </cell>
          <cell r="S697">
            <v>373578.25246353168</v>
          </cell>
          <cell r="T697">
            <v>0</v>
          </cell>
          <cell r="U697">
            <v>373578.25246353168</v>
          </cell>
          <cell r="V697">
            <v>0</v>
          </cell>
          <cell r="W697">
            <v>373578.25246353168</v>
          </cell>
          <cell r="X697">
            <v>0</v>
          </cell>
          <cell r="Y697">
            <v>373578.25246353168</v>
          </cell>
          <cell r="Z697">
            <v>0</v>
          </cell>
          <cell r="AA697">
            <v>373578.25246353168</v>
          </cell>
          <cell r="AB697">
            <v>0</v>
          </cell>
          <cell r="AC697">
            <v>0</v>
          </cell>
        </row>
        <row r="698">
          <cell r="C698" t="str">
            <v>Contribution Margin</v>
          </cell>
          <cell r="E698">
            <v>-379442.00459626858</v>
          </cell>
          <cell r="F698">
            <v>0</v>
          </cell>
          <cell r="G698">
            <v>-379442.00459626858</v>
          </cell>
          <cell r="H698">
            <v>0</v>
          </cell>
          <cell r="I698">
            <v>-379442.00459626858</v>
          </cell>
          <cell r="J698">
            <v>0</v>
          </cell>
          <cell r="K698">
            <v>-373578.25246353168</v>
          </cell>
          <cell r="L698">
            <v>0</v>
          </cell>
          <cell r="M698">
            <v>-373578.25246353168</v>
          </cell>
          <cell r="N698">
            <v>0</v>
          </cell>
          <cell r="O698">
            <v>-373578.25246353168</v>
          </cell>
          <cell r="P698">
            <v>0</v>
          </cell>
          <cell r="Q698">
            <v>-373578.25246353168</v>
          </cell>
          <cell r="R698">
            <v>0</v>
          </cell>
          <cell r="S698">
            <v>-373578.25246353168</v>
          </cell>
          <cell r="T698">
            <v>0</v>
          </cell>
          <cell r="U698">
            <v>-373578.25246353168</v>
          </cell>
          <cell r="V698">
            <v>0</v>
          </cell>
          <cell r="W698">
            <v>-373578.25246353168</v>
          </cell>
          <cell r="X698">
            <v>0</v>
          </cell>
          <cell r="Y698">
            <v>-373578.25246353168</v>
          </cell>
          <cell r="Z698">
            <v>0</v>
          </cell>
          <cell r="AA698">
            <v>-373578.25246353168</v>
          </cell>
          <cell r="AB698">
            <v>0</v>
          </cell>
          <cell r="AC698">
            <v>0</v>
          </cell>
          <cell r="AD698" t="str">
            <v>Contribution Margin</v>
          </cell>
        </row>
        <row r="700">
          <cell r="C700" t="str">
            <v>Production cost</v>
          </cell>
          <cell r="AD700" t="str">
            <v>Production cost</v>
          </cell>
        </row>
        <row r="701">
          <cell r="D701" t="str">
            <v xml:space="preserve">Salaries &amp; Wages </v>
          </cell>
          <cell r="E701">
            <v>5330.971806841444</v>
          </cell>
          <cell r="F701">
            <v>0</v>
          </cell>
          <cell r="G701">
            <v>4450.6278387391867</v>
          </cell>
          <cell r="H701">
            <v>0</v>
          </cell>
          <cell r="I701">
            <v>4327.5507084975143</v>
          </cell>
          <cell r="J701">
            <v>0</v>
          </cell>
          <cell r="K701">
            <v>3880.9474753805712</v>
          </cell>
          <cell r="L701">
            <v>0</v>
          </cell>
          <cell r="M701">
            <v>5576.0739588801307</v>
          </cell>
          <cell r="N701">
            <v>0</v>
          </cell>
          <cell r="O701">
            <v>5384.2223576312035</v>
          </cell>
          <cell r="P701">
            <v>0</v>
          </cell>
          <cell r="Q701">
            <v>3880.9474753805712</v>
          </cell>
          <cell r="R701">
            <v>0</v>
          </cell>
          <cell r="S701">
            <v>5106.5098360270676</v>
          </cell>
          <cell r="T701">
            <v>0</v>
          </cell>
          <cell r="U701">
            <v>4709.8877128404993</v>
          </cell>
          <cell r="V701">
            <v>0</v>
          </cell>
          <cell r="W701">
            <v>5160.8344087507594</v>
          </cell>
          <cell r="X701">
            <v>0</v>
          </cell>
          <cell r="Y701">
            <v>5216.3272518556068</v>
          </cell>
          <cell r="Z701">
            <v>0</v>
          </cell>
          <cell r="AA701">
            <v>5063.8667476260061</v>
          </cell>
          <cell r="AB701">
            <v>0</v>
          </cell>
          <cell r="AC701">
            <v>0</v>
          </cell>
          <cell r="AE701" t="str">
            <v xml:space="preserve">Salaries &amp; Wages </v>
          </cell>
        </row>
        <row r="702">
          <cell r="D702" t="str">
            <v xml:space="preserve">Utilities </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E702" t="str">
            <v xml:space="preserve">Utilities </v>
          </cell>
        </row>
        <row r="703">
          <cell r="D703" t="str">
            <v>Depreciation</v>
          </cell>
          <cell r="E703">
            <v>11150.091575091576</v>
          </cell>
          <cell r="F703">
            <v>0</v>
          </cell>
          <cell r="G703">
            <v>9308.7920489296648</v>
          </cell>
          <cell r="H703">
            <v>0</v>
          </cell>
          <cell r="I703">
            <v>9051.3678263455258</v>
          </cell>
          <cell r="J703">
            <v>0</v>
          </cell>
          <cell r="K703">
            <v>8117.2666666666673</v>
          </cell>
          <cell r="L703">
            <v>0</v>
          </cell>
          <cell r="M703">
            <v>11662.739463601532</v>
          </cell>
          <cell r="N703">
            <v>0</v>
          </cell>
          <cell r="O703">
            <v>11261.468738438773</v>
          </cell>
          <cell r="P703">
            <v>0</v>
          </cell>
          <cell r="Q703">
            <v>8117.2666666666673</v>
          </cell>
          <cell r="R703">
            <v>0</v>
          </cell>
          <cell r="S703">
            <v>10680.614035087719</v>
          </cell>
          <cell r="T703">
            <v>0</v>
          </cell>
          <cell r="U703">
            <v>9851.0517799352765</v>
          </cell>
          <cell r="V703">
            <v>0</v>
          </cell>
          <cell r="W703">
            <v>10794.237588652482</v>
          </cell>
          <cell r="X703">
            <v>0</v>
          </cell>
          <cell r="Y703">
            <v>10910.304659498208</v>
          </cell>
          <cell r="Z703">
            <v>0</v>
          </cell>
          <cell r="AA703">
            <v>10591.423103688239</v>
          </cell>
          <cell r="AB703">
            <v>0</v>
          </cell>
          <cell r="AC703">
            <v>0</v>
          </cell>
          <cell r="AE703" t="str">
            <v>Depreciation</v>
          </cell>
        </row>
        <row r="704">
          <cell r="D704" t="str">
            <v xml:space="preserve">Other Factory overhead </v>
          </cell>
          <cell r="E704">
            <v>3328.5244606883934</v>
          </cell>
          <cell r="F704">
            <v>0</v>
          </cell>
          <cell r="G704">
            <v>2778.859870849943</v>
          </cell>
          <cell r="H704">
            <v>0</v>
          </cell>
          <cell r="I704">
            <v>2702.0136121556093</v>
          </cell>
          <cell r="J704">
            <v>0</v>
          </cell>
          <cell r="K704">
            <v>2423.1658073811504</v>
          </cell>
          <cell r="L704">
            <v>0</v>
          </cell>
          <cell r="M704">
            <v>3481.5600680763655</v>
          </cell>
          <cell r="N704">
            <v>0</v>
          </cell>
          <cell r="O704">
            <v>3361.7727627374452</v>
          </cell>
          <cell r="P704">
            <v>0</v>
          </cell>
          <cell r="Q704">
            <v>2423.1658073811504</v>
          </cell>
          <cell r="R704">
            <v>0</v>
          </cell>
          <cell r="S704">
            <v>3188.3760623436192</v>
          </cell>
          <cell r="T704">
            <v>0</v>
          </cell>
          <cell r="U704">
            <v>2940.735203132464</v>
          </cell>
          <cell r="V704">
            <v>0</v>
          </cell>
          <cell r="W704">
            <v>3222.2949566238703</v>
          </cell>
          <cell r="X704">
            <v>0</v>
          </cell>
          <cell r="Y704">
            <v>3256.9432894907936</v>
          </cell>
          <cell r="Z704">
            <v>0</v>
          </cell>
          <cell r="AA704">
            <v>3161.7507925119394</v>
          </cell>
          <cell r="AB704">
            <v>0</v>
          </cell>
          <cell r="AC704">
            <v>0</v>
          </cell>
          <cell r="AE704" t="str">
            <v xml:space="preserve">Other Factory overhead </v>
          </cell>
        </row>
        <row r="705">
          <cell r="D705" t="str">
            <v>Running Royalty</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E705" t="str">
            <v>Running Royalty</v>
          </cell>
        </row>
        <row r="706">
          <cell r="E706">
            <v>19809.587842621411</v>
          </cell>
          <cell r="F706">
            <v>0</v>
          </cell>
          <cell r="G706">
            <v>16538.279758518795</v>
          </cell>
          <cell r="H706">
            <v>0</v>
          </cell>
          <cell r="I706">
            <v>16080.93214699865</v>
          </cell>
          <cell r="J706">
            <v>0</v>
          </cell>
          <cell r="K706">
            <v>14421.379949428388</v>
          </cell>
          <cell r="L706">
            <v>0</v>
          </cell>
          <cell r="M706">
            <v>20720.373490558028</v>
          </cell>
          <cell r="N706">
            <v>0</v>
          </cell>
          <cell r="O706">
            <v>20007.463858807419</v>
          </cell>
          <cell r="P706">
            <v>0</v>
          </cell>
          <cell r="Q706">
            <v>14421.379949428388</v>
          </cell>
          <cell r="R706">
            <v>0</v>
          </cell>
          <cell r="S706">
            <v>18975.499933458406</v>
          </cell>
          <cell r="T706">
            <v>0</v>
          </cell>
          <cell r="U706">
            <v>17501.674695908237</v>
          </cell>
          <cell r="V706">
            <v>0</v>
          </cell>
          <cell r="W706">
            <v>19177.366954027111</v>
          </cell>
          <cell r="X706">
            <v>0</v>
          </cell>
          <cell r="Y706">
            <v>19383.575200844611</v>
          </cell>
          <cell r="Z706">
            <v>0</v>
          </cell>
          <cell r="AA706">
            <v>18817.040643826185</v>
          </cell>
          <cell r="AB706">
            <v>0</v>
          </cell>
          <cell r="AC706">
            <v>0</v>
          </cell>
        </row>
        <row r="707">
          <cell r="C707" t="str">
            <v>Gross Profit</v>
          </cell>
          <cell r="E707">
            <v>-399251.59243889002</v>
          </cell>
          <cell r="F707">
            <v>0</v>
          </cell>
          <cell r="G707">
            <v>-395980.28435478738</v>
          </cell>
          <cell r="H707">
            <v>0</v>
          </cell>
          <cell r="I707">
            <v>-395522.93674326723</v>
          </cell>
          <cell r="J707">
            <v>0</v>
          </cell>
          <cell r="K707">
            <v>-387999.63241296005</v>
          </cell>
          <cell r="L707">
            <v>0</v>
          </cell>
          <cell r="M707">
            <v>-394298.62595408969</v>
          </cell>
          <cell r="N707">
            <v>0</v>
          </cell>
          <cell r="O707">
            <v>-393585.71632233908</v>
          </cell>
          <cell r="P707">
            <v>0</v>
          </cell>
          <cell r="Q707">
            <v>-387999.63241296005</v>
          </cell>
          <cell r="R707">
            <v>0</v>
          </cell>
          <cell r="S707">
            <v>-392553.75239699008</v>
          </cell>
          <cell r="T707">
            <v>0</v>
          </cell>
          <cell r="U707">
            <v>-391079.92715943989</v>
          </cell>
          <cell r="V707">
            <v>0</v>
          </cell>
          <cell r="W707">
            <v>-392755.61941755877</v>
          </cell>
          <cell r="X707">
            <v>0</v>
          </cell>
          <cell r="Y707">
            <v>-392961.82766437629</v>
          </cell>
          <cell r="Z707">
            <v>0</v>
          </cell>
          <cell r="AA707">
            <v>-392395.29310735787</v>
          </cell>
          <cell r="AB707">
            <v>0</v>
          </cell>
          <cell r="AC707">
            <v>0</v>
          </cell>
          <cell r="AD707" t="str">
            <v>Gross Profit</v>
          </cell>
        </row>
        <row r="709">
          <cell r="C709" t="str">
            <v>Other Expenses</v>
          </cell>
          <cell r="AD709" t="str">
            <v>Other Expenses</v>
          </cell>
        </row>
        <row r="710">
          <cell r="D710" t="str">
            <v>Selling Expenses</v>
          </cell>
          <cell r="E710">
            <v>5183.0082521448167</v>
          </cell>
          <cell r="F710">
            <v>0</v>
          </cell>
          <cell r="G710">
            <v>4427.3486746392564</v>
          </cell>
          <cell r="H710">
            <v>0</v>
          </cell>
          <cell r="I710">
            <v>4320.887144065181</v>
          </cell>
          <cell r="J710">
            <v>0</v>
          </cell>
          <cell r="K710">
            <v>3897.7185689144208</v>
          </cell>
          <cell r="L710">
            <v>0</v>
          </cell>
          <cell r="M710">
            <v>5409.2615187305564</v>
          </cell>
          <cell r="N710">
            <v>0</v>
          </cell>
          <cell r="O710">
            <v>5179.8400416559607</v>
          </cell>
          <cell r="P710">
            <v>0</v>
          </cell>
          <cell r="Q710">
            <v>3845.1336292747983</v>
          </cell>
          <cell r="R710">
            <v>0</v>
          </cell>
          <cell r="S710">
            <v>4967.5774890123712</v>
          </cell>
          <cell r="T710">
            <v>0</v>
          </cell>
          <cell r="U710">
            <v>4642.661605420024</v>
          </cell>
          <cell r="V710">
            <v>0</v>
          </cell>
          <cell r="W710">
            <v>5073.1110111757944</v>
          </cell>
          <cell r="X710">
            <v>0</v>
          </cell>
          <cell r="Y710">
            <v>5099.2966467698334</v>
          </cell>
          <cell r="Z710">
            <v>0</v>
          </cell>
          <cell r="AA710">
            <v>4893.3178190345943</v>
          </cell>
          <cell r="AB710">
            <v>0</v>
          </cell>
          <cell r="AC710">
            <v>0</v>
          </cell>
          <cell r="AE710" t="str">
            <v>Selling Expenses</v>
          </cell>
        </row>
        <row r="711">
          <cell r="D711" t="str">
            <v>Advertisement Expenses</v>
          </cell>
          <cell r="E711">
            <v>800.32572918126152</v>
          </cell>
          <cell r="F711">
            <v>0</v>
          </cell>
          <cell r="G711">
            <v>969.71958993165515</v>
          </cell>
          <cell r="H711">
            <v>0</v>
          </cell>
          <cell r="I711">
            <v>7367.9708551430685</v>
          </cell>
          <cell r="J711">
            <v>0</v>
          </cell>
          <cell r="K711">
            <v>6935.2770964018819</v>
          </cell>
          <cell r="L711">
            <v>0</v>
          </cell>
          <cell r="M711">
            <v>7697.2629504339211</v>
          </cell>
          <cell r="N711">
            <v>0</v>
          </cell>
          <cell r="O711">
            <v>799.8365151483406</v>
          </cell>
          <cell r="P711">
            <v>0</v>
          </cell>
          <cell r="Q711">
            <v>739.89139808437483</v>
          </cell>
          <cell r="R711">
            <v>0</v>
          </cell>
          <cell r="S711">
            <v>4684.9685429207811</v>
          </cell>
          <cell r="T711">
            <v>0</v>
          </cell>
          <cell r="U711">
            <v>5393.2109933565007</v>
          </cell>
          <cell r="V711">
            <v>0</v>
          </cell>
          <cell r="W711">
            <v>783.35612673520234</v>
          </cell>
          <cell r="X711">
            <v>0</v>
          </cell>
          <cell r="Y711">
            <v>8782.5333169589612</v>
          </cell>
          <cell r="Z711">
            <v>0</v>
          </cell>
          <cell r="AA711">
            <v>1104.3291887822443</v>
          </cell>
          <cell r="AB711">
            <v>0</v>
          </cell>
          <cell r="AC711">
            <v>0</v>
          </cell>
        </row>
        <row r="712">
          <cell r="D712" t="str">
            <v>Administrative Expenses</v>
          </cell>
          <cell r="E712">
            <v>10560.726889052896</v>
          </cell>
          <cell r="F712">
            <v>0</v>
          </cell>
          <cell r="G712">
            <v>9021.0198249495461</v>
          </cell>
          <cell r="H712">
            <v>0</v>
          </cell>
          <cell r="I712">
            <v>8804.0973170376383</v>
          </cell>
          <cell r="J712">
            <v>0</v>
          </cell>
          <cell r="K712">
            <v>7941.8629672567968</v>
          </cell>
          <cell r="L712">
            <v>0</v>
          </cell>
          <cell r="M712">
            <v>11021.733092386507</v>
          </cell>
          <cell r="N712">
            <v>0</v>
          </cell>
          <cell r="O712">
            <v>10554.271447719957</v>
          </cell>
          <cell r="P712">
            <v>0</v>
          </cell>
          <cell r="Q712">
            <v>7834.7176263668644</v>
          </cell>
          <cell r="R712">
            <v>0</v>
          </cell>
          <cell r="S712">
            <v>10121.772262268241</v>
          </cell>
          <cell r="T712">
            <v>0</v>
          </cell>
          <cell r="U712">
            <v>9459.7343604157559</v>
          </cell>
          <cell r="V712">
            <v>0</v>
          </cell>
          <cell r="W712">
            <v>10336.803890810705</v>
          </cell>
          <cell r="X712">
            <v>0</v>
          </cell>
          <cell r="Y712">
            <v>10390.158879356299</v>
          </cell>
          <cell r="Z712">
            <v>0</v>
          </cell>
          <cell r="AA712">
            <v>9970.4632047953019</v>
          </cell>
          <cell r="AB712">
            <v>0</v>
          </cell>
          <cell r="AC712">
            <v>0</v>
          </cell>
          <cell r="AE712" t="str">
            <v>Administrative Expenses</v>
          </cell>
        </row>
        <row r="713">
          <cell r="D713" t="str">
            <v>Depreciation (Admin. &amp; Selling )</v>
          </cell>
          <cell r="E713">
            <v>2969.9882598191184</v>
          </cell>
          <cell r="F713">
            <v>0</v>
          </cell>
          <cell r="G713">
            <v>2536.9771657922738</v>
          </cell>
          <cell r="H713">
            <v>0</v>
          </cell>
          <cell r="I713">
            <v>2475.9721508385478</v>
          </cell>
          <cell r="J713">
            <v>0</v>
          </cell>
          <cell r="K713">
            <v>2233.4863898710532</v>
          </cell>
          <cell r="L713">
            <v>0</v>
          </cell>
          <cell r="M713">
            <v>3099.6368177250984</v>
          </cell>
          <cell r="N713">
            <v>0</v>
          </cell>
          <cell r="O713">
            <v>2968.1727990868981</v>
          </cell>
          <cell r="P713">
            <v>0</v>
          </cell>
          <cell r="Q713">
            <v>2203.3539560073127</v>
          </cell>
          <cell r="R713">
            <v>0</v>
          </cell>
          <cell r="S713">
            <v>2846.5412564224971</v>
          </cell>
          <cell r="T713">
            <v>0</v>
          </cell>
          <cell r="U713">
            <v>2660.3566484202443</v>
          </cell>
          <cell r="V713">
            <v>0</v>
          </cell>
          <cell r="W713">
            <v>2907.0145002598042</v>
          </cell>
          <cell r="X713">
            <v>0</v>
          </cell>
          <cell r="Y713">
            <v>2922.0194986134175</v>
          </cell>
          <cell r="Z713">
            <v>0</v>
          </cell>
          <cell r="AA713">
            <v>2803.9886812995901</v>
          </cell>
          <cell r="AB713">
            <v>0</v>
          </cell>
          <cell r="AC713">
            <v>0</v>
          </cell>
          <cell r="AE713" t="str">
            <v>Depreciation (Admin. &amp; Selling )</v>
          </cell>
        </row>
        <row r="714">
          <cell r="D714" t="str">
            <v>Financial Charges -Capital Exp.</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E714" t="str">
            <v>Financial Charges -Capital Exp.</v>
          </cell>
        </row>
        <row r="715">
          <cell r="D715" t="str">
            <v>Financial  Charges -Working Capital</v>
          </cell>
          <cell r="E715">
            <v>530.11444507895521</v>
          </cell>
          <cell r="F715">
            <v>0</v>
          </cell>
          <cell r="G715">
            <v>458.80097155251627</v>
          </cell>
          <cell r="H715">
            <v>0</v>
          </cell>
          <cell r="I715">
            <v>448.49087868071882</v>
          </cell>
          <cell r="J715">
            <v>0</v>
          </cell>
          <cell r="K715">
            <v>407.98094465914818</v>
          </cell>
          <cell r="L715">
            <v>0</v>
          </cell>
          <cell r="M715">
            <v>548.85949175372707</v>
          </cell>
          <cell r="N715">
            <v>0</v>
          </cell>
          <cell r="O715">
            <v>527.77239945924691</v>
          </cell>
          <cell r="P715">
            <v>0</v>
          </cell>
          <cell r="Q715">
            <v>396.96132884259964</v>
          </cell>
          <cell r="R715">
            <v>0</v>
          </cell>
          <cell r="S715">
            <v>498.98402076239711</v>
          </cell>
          <cell r="T715">
            <v>0</v>
          </cell>
          <cell r="U715">
            <v>470.64800851302482</v>
          </cell>
          <cell r="V715">
            <v>0</v>
          </cell>
          <cell r="W715">
            <v>511.61704210669683</v>
          </cell>
          <cell r="X715">
            <v>0</v>
          </cell>
          <cell r="Y715">
            <v>513.76394785157731</v>
          </cell>
          <cell r="Z715">
            <v>0</v>
          </cell>
          <cell r="AA715">
            <v>495.30468493193735</v>
          </cell>
          <cell r="AB715">
            <v>0</v>
          </cell>
          <cell r="AC715">
            <v>0</v>
          </cell>
          <cell r="AE715" t="str">
            <v>Financial  Charges -Working Capital</v>
          </cell>
        </row>
        <row r="716">
          <cell r="D716" t="str">
            <v>Other Expenses (Charity &amp; Donation)</v>
          </cell>
          <cell r="E716">
            <v>368.13503130483002</v>
          </cell>
          <cell r="F716">
            <v>0</v>
          </cell>
          <cell r="G716">
            <v>318.61178580035858</v>
          </cell>
          <cell r="H716">
            <v>0</v>
          </cell>
          <cell r="I716">
            <v>311.4519990838325</v>
          </cell>
          <cell r="J716">
            <v>0</v>
          </cell>
          <cell r="K716">
            <v>283.32010045774183</v>
          </cell>
          <cell r="L716">
            <v>0</v>
          </cell>
          <cell r="M716">
            <v>381.15242482897719</v>
          </cell>
          <cell r="N716">
            <v>0</v>
          </cell>
          <cell r="O716">
            <v>366.50861073558809</v>
          </cell>
          <cell r="P716">
            <v>0</v>
          </cell>
          <cell r="Q716">
            <v>275.66758947402758</v>
          </cell>
          <cell r="R716">
            <v>0</v>
          </cell>
          <cell r="S716">
            <v>346.51668108499797</v>
          </cell>
          <cell r="T716">
            <v>0</v>
          </cell>
          <cell r="U716">
            <v>326.83889480071173</v>
          </cell>
          <cell r="V716">
            <v>0</v>
          </cell>
          <cell r="W716">
            <v>355.28961257409514</v>
          </cell>
          <cell r="X716">
            <v>0</v>
          </cell>
          <cell r="Y716">
            <v>356.78051934137312</v>
          </cell>
          <cell r="Z716">
            <v>0</v>
          </cell>
          <cell r="AA716">
            <v>343.96158675828985</v>
          </cell>
          <cell r="AB716">
            <v>0</v>
          </cell>
          <cell r="AC716">
            <v>0</v>
          </cell>
          <cell r="AE716" t="str">
            <v>Other Expenses (Charity &amp; Donation)</v>
          </cell>
        </row>
        <row r="717">
          <cell r="D717" t="str">
            <v>Other Expenses ( W.P.P.F.)</v>
          </cell>
          <cell r="E717">
            <v>3573.7075858361454</v>
          </cell>
          <cell r="F717">
            <v>0</v>
          </cell>
          <cell r="G717">
            <v>3260.1003648049996</v>
          </cell>
          <cell r="H717">
            <v>0</v>
          </cell>
          <cell r="I717">
            <v>2868.2077932472907</v>
          </cell>
          <cell r="J717">
            <v>0</v>
          </cell>
          <cell r="K717">
            <v>2950.3710885468208</v>
          </cell>
          <cell r="L717">
            <v>0</v>
          </cell>
          <cell r="M717">
            <v>2984.5209973853607</v>
          </cell>
          <cell r="N717">
            <v>0</v>
          </cell>
          <cell r="O717">
            <v>3261.9142882485439</v>
          </cell>
          <cell r="P717">
            <v>0</v>
          </cell>
          <cell r="Q717">
            <v>3221.4233012482478</v>
          </cell>
          <cell r="R717">
            <v>0</v>
          </cell>
          <cell r="S717">
            <v>2697.4681580678207</v>
          </cell>
          <cell r="T717">
            <v>0</v>
          </cell>
          <cell r="U717">
            <v>2877.5317129664104</v>
          </cell>
          <cell r="V717">
            <v>0</v>
          </cell>
          <cell r="W717">
            <v>3280.2679674234987</v>
          </cell>
          <cell r="X717">
            <v>0</v>
          </cell>
          <cell r="Y717">
            <v>2911.8557735997142</v>
          </cell>
          <cell r="Z717">
            <v>0</v>
          </cell>
          <cell r="AA717">
            <v>3464.9058265788067</v>
          </cell>
          <cell r="AB717">
            <v>0</v>
          </cell>
          <cell r="AC717">
            <v>0</v>
          </cell>
          <cell r="AE717" t="str">
            <v>Other Expenses ( W.P.P.F.)</v>
          </cell>
        </row>
        <row r="718">
          <cell r="D718" t="str">
            <v>Workers Welfare Fund</v>
          </cell>
          <cell r="E718">
            <v>1499.0267372593985</v>
          </cell>
          <cell r="F718">
            <v>0</v>
          </cell>
          <cell r="G718">
            <v>1367.4811090758005</v>
          </cell>
          <cell r="H718">
            <v>0</v>
          </cell>
          <cell r="I718">
            <v>1203.0979219267881</v>
          </cell>
          <cell r="J718">
            <v>0</v>
          </cell>
          <cell r="K718">
            <v>1237.5621229049211</v>
          </cell>
          <cell r="L718">
            <v>0</v>
          </cell>
          <cell r="M718">
            <v>1251.8866374865934</v>
          </cell>
          <cell r="N718">
            <v>0</v>
          </cell>
          <cell r="O718">
            <v>1368.2419770751833</v>
          </cell>
          <cell r="P718">
            <v>0</v>
          </cell>
          <cell r="Q718">
            <v>1351.2576349952574</v>
          </cell>
          <cell r="R718">
            <v>0</v>
          </cell>
          <cell r="S718">
            <v>1131.4795054513236</v>
          </cell>
          <cell r="T718">
            <v>0</v>
          </cell>
          <cell r="U718">
            <v>1207.0089316049207</v>
          </cell>
          <cell r="V718">
            <v>0</v>
          </cell>
          <cell r="W718">
            <v>1375.9406080206418</v>
          </cell>
          <cell r="X718">
            <v>0</v>
          </cell>
          <cell r="Y718">
            <v>1221.4064958669101</v>
          </cell>
          <cell r="Z718">
            <v>0</v>
          </cell>
          <cell r="AA718">
            <v>1453.3887710099996</v>
          </cell>
          <cell r="AB718">
            <v>0</v>
          </cell>
          <cell r="AC718">
            <v>0</v>
          </cell>
          <cell r="AE718" t="str">
            <v>Workers Welfare Fund</v>
          </cell>
        </row>
        <row r="719">
          <cell r="E719">
            <v>25485.032929677422</v>
          </cell>
          <cell r="F719">
            <v>0</v>
          </cell>
          <cell r="G719">
            <v>22360.059486546405</v>
          </cell>
          <cell r="H719">
            <v>0</v>
          </cell>
          <cell r="I719">
            <v>27800.176060023059</v>
          </cell>
          <cell r="J719">
            <v>0</v>
          </cell>
          <cell r="K719">
            <v>25887.579279012789</v>
          </cell>
          <cell r="L719">
            <v>0</v>
          </cell>
          <cell r="M719">
            <v>32394.313930730743</v>
          </cell>
          <cell r="N719">
            <v>0</v>
          </cell>
          <cell r="O719">
            <v>25026.558079129718</v>
          </cell>
          <cell r="P719">
            <v>0</v>
          </cell>
          <cell r="Q719">
            <v>19868.406464293483</v>
          </cell>
          <cell r="R719">
            <v>0</v>
          </cell>
          <cell r="S719">
            <v>27295.30791599043</v>
          </cell>
          <cell r="T719">
            <v>0</v>
          </cell>
          <cell r="U719">
            <v>27037.991155497592</v>
          </cell>
          <cell r="V719">
            <v>0</v>
          </cell>
          <cell r="W719">
            <v>24623.40075910644</v>
          </cell>
          <cell r="X719">
            <v>0</v>
          </cell>
          <cell r="Y719">
            <v>32197.815078358082</v>
          </cell>
          <cell r="Z719">
            <v>0</v>
          </cell>
          <cell r="AA719">
            <v>24529.659763190764</v>
          </cell>
          <cell r="AB719">
            <v>0</v>
          </cell>
          <cell r="AC719">
            <v>0</v>
          </cell>
        </row>
        <row r="720">
          <cell r="D720" t="str">
            <v>Operating Profit</v>
          </cell>
          <cell r="E720">
            <v>-424736.62536856742</v>
          </cell>
          <cell r="F720">
            <v>0</v>
          </cell>
          <cell r="G720">
            <v>-418340.34384133376</v>
          </cell>
          <cell r="H720">
            <v>0</v>
          </cell>
          <cell r="I720">
            <v>-423323.11280329031</v>
          </cell>
          <cell r="J720">
            <v>0</v>
          </cell>
          <cell r="K720">
            <v>-413887.21169197286</v>
          </cell>
          <cell r="L720">
            <v>0</v>
          </cell>
          <cell r="M720">
            <v>-426692.93988482043</v>
          </cell>
          <cell r="N720">
            <v>0</v>
          </cell>
          <cell r="O720">
            <v>-418612.27440146881</v>
          </cell>
          <cell r="P720">
            <v>0</v>
          </cell>
          <cell r="Q720">
            <v>-407868.03887725354</v>
          </cell>
          <cell r="R720">
            <v>0</v>
          </cell>
          <cell r="S720">
            <v>-419849.06031298049</v>
          </cell>
          <cell r="T720">
            <v>0</v>
          </cell>
          <cell r="U720">
            <v>-418117.9183149375</v>
          </cell>
          <cell r="V720">
            <v>0</v>
          </cell>
          <cell r="W720">
            <v>-417379.02017666522</v>
          </cell>
          <cell r="X720">
            <v>0</v>
          </cell>
          <cell r="Y720">
            <v>-425159.6427427344</v>
          </cell>
          <cell r="Z720">
            <v>0</v>
          </cell>
          <cell r="AA720">
            <v>-416924.95287054864</v>
          </cell>
          <cell r="AB720">
            <v>0</v>
          </cell>
          <cell r="AC720">
            <v>0</v>
          </cell>
          <cell r="AE720" t="str">
            <v>Operating Profit</v>
          </cell>
        </row>
        <row r="722">
          <cell r="C722" t="str">
            <v>Other Income</v>
          </cell>
          <cell r="AD722" t="str">
            <v>Other Income</v>
          </cell>
        </row>
        <row r="723">
          <cell r="D723" t="str">
            <v>H.D</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E723" t="str">
            <v>H.D</v>
          </cell>
        </row>
        <row r="724">
          <cell r="D724" t="str">
            <v>Others</v>
          </cell>
          <cell r="E724">
            <v>18021.978021978022</v>
          </cell>
          <cell r="F724">
            <v>0</v>
          </cell>
          <cell r="G724">
            <v>15045.871559633028</v>
          </cell>
          <cell r="H724">
            <v>0</v>
          </cell>
          <cell r="I724">
            <v>14629.794826048172</v>
          </cell>
          <cell r="J724">
            <v>0</v>
          </cell>
          <cell r="K724">
            <v>5120</v>
          </cell>
          <cell r="L724">
            <v>0</v>
          </cell>
          <cell r="M724">
            <v>7356.3218390804595</v>
          </cell>
          <cell r="N724">
            <v>0</v>
          </cell>
          <cell r="O724">
            <v>7103.2186459489458</v>
          </cell>
          <cell r="P724">
            <v>0</v>
          </cell>
          <cell r="Q724">
            <v>5120</v>
          </cell>
          <cell r="R724">
            <v>0</v>
          </cell>
          <cell r="S724">
            <v>6736.8421052631575</v>
          </cell>
          <cell r="T724">
            <v>0</v>
          </cell>
          <cell r="U724">
            <v>6213.5922330097092</v>
          </cell>
          <cell r="V724">
            <v>0</v>
          </cell>
          <cell r="W724">
            <v>6808.510638297872</v>
          </cell>
          <cell r="X724">
            <v>0</v>
          </cell>
          <cell r="Y724">
            <v>6881.7204301075271</v>
          </cell>
          <cell r="Z724">
            <v>0</v>
          </cell>
          <cell r="AA724">
            <v>6680.5845511482257</v>
          </cell>
          <cell r="AB724">
            <v>0</v>
          </cell>
          <cell r="AC724">
            <v>0</v>
          </cell>
          <cell r="AE724" t="str">
            <v>Others</v>
          </cell>
        </row>
        <row r="725">
          <cell r="E725">
            <v>18021.978021978022</v>
          </cell>
          <cell r="F725">
            <v>0</v>
          </cell>
          <cell r="G725">
            <v>15045.871559633028</v>
          </cell>
          <cell r="H725">
            <v>0</v>
          </cell>
          <cell r="I725">
            <v>14629.794826048172</v>
          </cell>
          <cell r="J725">
            <v>0</v>
          </cell>
          <cell r="K725">
            <v>5120</v>
          </cell>
          <cell r="L725">
            <v>0</v>
          </cell>
          <cell r="M725">
            <v>7356.3218390804595</v>
          </cell>
          <cell r="N725">
            <v>0</v>
          </cell>
          <cell r="O725">
            <v>7103.2186459489458</v>
          </cell>
          <cell r="P725">
            <v>0</v>
          </cell>
          <cell r="Q725">
            <v>5120</v>
          </cell>
          <cell r="R725">
            <v>0</v>
          </cell>
          <cell r="S725">
            <v>6736.8421052631575</v>
          </cell>
          <cell r="T725">
            <v>0</v>
          </cell>
          <cell r="U725">
            <v>6213.5922330097092</v>
          </cell>
          <cell r="V725">
            <v>0</v>
          </cell>
          <cell r="W725">
            <v>6808.510638297872</v>
          </cell>
          <cell r="X725">
            <v>0</v>
          </cell>
          <cell r="Y725">
            <v>6881.7204301075271</v>
          </cell>
          <cell r="Z725">
            <v>0</v>
          </cell>
          <cell r="AA725">
            <v>6680.5845511482257</v>
          </cell>
          <cell r="AB725">
            <v>0</v>
          </cell>
          <cell r="AC725">
            <v>0</v>
          </cell>
        </row>
        <row r="726">
          <cell r="F726">
            <v>0</v>
          </cell>
          <cell r="H726">
            <v>0</v>
          </cell>
          <cell r="J726">
            <v>0</v>
          </cell>
          <cell r="L726">
            <v>0</v>
          </cell>
          <cell r="N726">
            <v>0</v>
          </cell>
          <cell r="P726">
            <v>0</v>
          </cell>
          <cell r="R726">
            <v>0</v>
          </cell>
          <cell r="T726">
            <v>0</v>
          </cell>
          <cell r="V726">
            <v>0</v>
          </cell>
          <cell r="X726">
            <v>0</v>
          </cell>
          <cell r="Z726">
            <v>0</v>
          </cell>
          <cell r="AB726">
            <v>0</v>
          </cell>
        </row>
        <row r="727">
          <cell r="C727" t="str">
            <v>Profit / (Loss) before tax</v>
          </cell>
          <cell r="E727">
            <v>-406714.64734658937</v>
          </cell>
          <cell r="F727">
            <v>0</v>
          </cell>
          <cell r="G727">
            <v>-403294.47228170076</v>
          </cell>
          <cell r="H727">
            <v>0</v>
          </cell>
          <cell r="I727">
            <v>-408693.31797724211</v>
          </cell>
          <cell r="J727">
            <v>0</v>
          </cell>
          <cell r="K727">
            <v>-408767.21169197286</v>
          </cell>
          <cell r="L727">
            <v>0</v>
          </cell>
          <cell r="M727">
            <v>-419336.61804573995</v>
          </cell>
          <cell r="N727">
            <v>0</v>
          </cell>
          <cell r="O727">
            <v>-411509.05575551989</v>
          </cell>
          <cell r="P727">
            <v>0</v>
          </cell>
          <cell r="Q727">
            <v>-402748.03887725354</v>
          </cell>
          <cell r="R727">
            <v>0</v>
          </cell>
          <cell r="S727">
            <v>-413112.21820771735</v>
          </cell>
          <cell r="T727">
            <v>0</v>
          </cell>
          <cell r="U727">
            <v>-411904.32608192781</v>
          </cell>
          <cell r="V727">
            <v>0</v>
          </cell>
          <cell r="W727">
            <v>-410570.50953836733</v>
          </cell>
          <cell r="X727">
            <v>0</v>
          </cell>
          <cell r="Y727">
            <v>-418277.92231262685</v>
          </cell>
          <cell r="Z727">
            <v>0</v>
          </cell>
          <cell r="AA727">
            <v>-410244.36831940041</v>
          </cell>
          <cell r="AB727">
            <v>0</v>
          </cell>
          <cell r="AC727">
            <v>0</v>
          </cell>
          <cell r="AD727" t="str">
            <v>Profit before tax</v>
          </cell>
        </row>
        <row r="729">
          <cell r="C729" t="str">
            <v>Taxation</v>
          </cell>
          <cell r="AD729" t="str">
            <v>Taxation</v>
          </cell>
        </row>
        <row r="730">
          <cell r="D730" t="str">
            <v>Current</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t="e">
            <v>#DIV/0!</v>
          </cell>
          <cell r="AE730" t="str">
            <v>Current</v>
          </cell>
        </row>
        <row r="731">
          <cell r="D731" t="str">
            <v>Deferred</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t="e">
            <v>#DIV/0!</v>
          </cell>
          <cell r="AE731" t="str">
            <v>Deferred</v>
          </cell>
        </row>
        <row r="732">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t="e">
            <v>#DIV/0!</v>
          </cell>
        </row>
        <row r="734">
          <cell r="C734" t="str">
            <v>Net Profit after taxation</v>
          </cell>
          <cell r="E734">
            <v>-406714.64734658937</v>
          </cell>
          <cell r="F734">
            <v>0</v>
          </cell>
          <cell r="G734">
            <v>-403294.47228170076</v>
          </cell>
          <cell r="H734">
            <v>0</v>
          </cell>
          <cell r="I734">
            <v>-408693.31797724211</v>
          </cell>
          <cell r="J734">
            <v>0</v>
          </cell>
          <cell r="K734">
            <v>-408767.21169197286</v>
          </cell>
          <cell r="L734">
            <v>0</v>
          </cell>
          <cell r="M734">
            <v>-419336.61804573995</v>
          </cell>
          <cell r="N734">
            <v>0</v>
          </cell>
          <cell r="O734">
            <v>-411509.05575551989</v>
          </cell>
          <cell r="P734">
            <v>0</v>
          </cell>
          <cell r="Q734">
            <v>-402748.03887725354</v>
          </cell>
          <cell r="R734">
            <v>0</v>
          </cell>
          <cell r="S734">
            <v>-413112.21820771735</v>
          </cell>
          <cell r="T734">
            <v>0</v>
          </cell>
          <cell r="U734">
            <v>-411904.32608192781</v>
          </cell>
          <cell r="V734">
            <v>0</v>
          </cell>
          <cell r="W734">
            <v>-410570.50953836733</v>
          </cell>
          <cell r="X734">
            <v>0</v>
          </cell>
          <cell r="Y734">
            <v>-418277.92231262685</v>
          </cell>
          <cell r="Z734">
            <v>0</v>
          </cell>
          <cell r="AA734">
            <v>-410244.36831940041</v>
          </cell>
          <cell r="AB734">
            <v>0</v>
          </cell>
          <cell r="AC734" t="e">
            <v>#DIV/0!</v>
          </cell>
          <cell r="AD734" t="str">
            <v>Net Profit after taxation</v>
          </cell>
        </row>
        <row r="736">
          <cell r="AC736" t="str">
            <v>Hilux 4x2 Std.</v>
          </cell>
        </row>
        <row r="737">
          <cell r="E737">
            <v>37438</v>
          </cell>
          <cell r="G737">
            <v>37469</v>
          </cell>
          <cell r="I737">
            <v>37500</v>
          </cell>
          <cell r="K737">
            <v>37531</v>
          </cell>
          <cell r="M737">
            <v>37562</v>
          </cell>
          <cell r="O737">
            <v>37593</v>
          </cell>
          <cell r="Q737">
            <v>37624</v>
          </cell>
          <cell r="S737">
            <v>37655</v>
          </cell>
          <cell r="U737">
            <v>37686</v>
          </cell>
          <cell r="W737">
            <v>37717</v>
          </cell>
          <cell r="Y737">
            <v>37748</v>
          </cell>
          <cell r="AA737">
            <v>37779</v>
          </cell>
          <cell r="AC737" t="str">
            <v>Yearly</v>
          </cell>
        </row>
        <row r="738">
          <cell r="D738" t="str">
            <v>Hilux 4x2 Std.</v>
          </cell>
          <cell r="E738" t="str">
            <v>Per Unit</v>
          </cell>
          <cell r="F738" t="str">
            <v>Total</v>
          </cell>
          <cell r="G738" t="str">
            <v>Per Unit</v>
          </cell>
          <cell r="H738" t="str">
            <v>Total</v>
          </cell>
          <cell r="I738" t="str">
            <v>Per Unit</v>
          </cell>
          <cell r="J738" t="str">
            <v>Total</v>
          </cell>
          <cell r="K738" t="str">
            <v>Per Unit</v>
          </cell>
          <cell r="L738" t="str">
            <v>Total</v>
          </cell>
          <cell r="M738" t="str">
            <v>Per Unit</v>
          </cell>
          <cell r="N738" t="str">
            <v>Total</v>
          </cell>
          <cell r="O738" t="str">
            <v>Per Unit</v>
          </cell>
          <cell r="P738" t="str">
            <v>Total</v>
          </cell>
          <cell r="Q738" t="str">
            <v>Per Unit</v>
          </cell>
          <cell r="R738" t="str">
            <v>Total</v>
          </cell>
          <cell r="S738" t="str">
            <v>Per Unit</v>
          </cell>
          <cell r="T738" t="str">
            <v>Total</v>
          </cell>
          <cell r="U738" t="str">
            <v>Per Unit</v>
          </cell>
          <cell r="V738" t="str">
            <v>Total</v>
          </cell>
          <cell r="W738" t="str">
            <v>Per Unit</v>
          </cell>
          <cell r="X738" t="str">
            <v>Total</v>
          </cell>
          <cell r="Y738" t="str">
            <v>Per Unit</v>
          </cell>
          <cell r="Z738" t="str">
            <v>Total</v>
          </cell>
          <cell r="AA738" t="str">
            <v>Per Unit</v>
          </cell>
          <cell r="AB738" t="str">
            <v>Total</v>
          </cell>
          <cell r="AC738" t="str">
            <v>Average</v>
          </cell>
          <cell r="AD738">
            <v>0</v>
          </cell>
          <cell r="AE738" t="str">
            <v>Hilux 4x2 Std.</v>
          </cell>
        </row>
        <row r="740">
          <cell r="C740" t="str">
            <v>Sales Units</v>
          </cell>
          <cell r="E740">
            <v>51</v>
          </cell>
          <cell r="F740">
            <v>51</v>
          </cell>
          <cell r="G740">
            <v>50</v>
          </cell>
          <cell r="H740">
            <v>50</v>
          </cell>
          <cell r="I740">
            <v>44</v>
          </cell>
          <cell r="J740">
            <v>44</v>
          </cell>
          <cell r="K740">
            <v>55</v>
          </cell>
          <cell r="L740">
            <v>55</v>
          </cell>
          <cell r="M740">
            <v>98</v>
          </cell>
          <cell r="N740">
            <v>98</v>
          </cell>
          <cell r="O740">
            <v>23</v>
          </cell>
          <cell r="P740">
            <v>23</v>
          </cell>
          <cell r="Q740">
            <v>100</v>
          </cell>
          <cell r="R740">
            <v>100</v>
          </cell>
          <cell r="S740">
            <v>52</v>
          </cell>
          <cell r="T740">
            <v>52</v>
          </cell>
          <cell r="U740">
            <v>280</v>
          </cell>
          <cell r="V740">
            <v>280</v>
          </cell>
          <cell r="W740">
            <v>120</v>
          </cell>
          <cell r="X740">
            <v>120</v>
          </cell>
          <cell r="Y740">
            <v>120</v>
          </cell>
          <cell r="Z740">
            <v>120</v>
          </cell>
          <cell r="AA740">
            <v>128</v>
          </cell>
          <cell r="AB740">
            <v>128</v>
          </cell>
          <cell r="AC740">
            <v>1121</v>
          </cell>
          <cell r="AD740" t="str">
            <v>Sales Units</v>
          </cell>
        </row>
        <row r="742">
          <cell r="C742" t="str">
            <v>Selling Price</v>
          </cell>
          <cell r="E742">
            <v>799000</v>
          </cell>
          <cell r="F742">
            <v>40749000</v>
          </cell>
          <cell r="G742">
            <v>799000</v>
          </cell>
          <cell r="H742">
            <v>39950000</v>
          </cell>
          <cell r="I742">
            <v>799000</v>
          </cell>
          <cell r="J742">
            <v>35156000</v>
          </cell>
          <cell r="K742">
            <v>799000</v>
          </cell>
          <cell r="L742">
            <v>43945000</v>
          </cell>
          <cell r="M742">
            <v>799000</v>
          </cell>
          <cell r="N742">
            <v>78302000</v>
          </cell>
          <cell r="O742">
            <v>799000</v>
          </cell>
          <cell r="P742">
            <v>18377000</v>
          </cell>
          <cell r="Q742">
            <v>799000</v>
          </cell>
          <cell r="R742">
            <v>79900000</v>
          </cell>
          <cell r="S742">
            <v>799000</v>
          </cell>
          <cell r="T742">
            <v>41548000</v>
          </cell>
          <cell r="U742">
            <v>799000</v>
          </cell>
          <cell r="V742">
            <v>223720000</v>
          </cell>
          <cell r="W742">
            <v>799000</v>
          </cell>
          <cell r="X742">
            <v>95880000</v>
          </cell>
          <cell r="Y742">
            <v>799000</v>
          </cell>
          <cell r="Z742">
            <v>95880000</v>
          </cell>
          <cell r="AA742">
            <v>799000</v>
          </cell>
          <cell r="AB742">
            <v>102272000</v>
          </cell>
          <cell r="AC742">
            <v>799000</v>
          </cell>
          <cell r="AD742" t="str">
            <v>Selling Price</v>
          </cell>
        </row>
        <row r="743">
          <cell r="C743" t="str">
            <v>Less: Dealer commission</v>
          </cell>
          <cell r="E743">
            <v>-20000</v>
          </cell>
          <cell r="F743">
            <v>-1020000</v>
          </cell>
          <cell r="G743">
            <v>-20000</v>
          </cell>
          <cell r="H743">
            <v>-1000000</v>
          </cell>
          <cell r="I743">
            <v>-20000</v>
          </cell>
          <cell r="J743">
            <v>-880000</v>
          </cell>
          <cell r="K743">
            <v>-20000</v>
          </cell>
          <cell r="L743">
            <v>-1100000</v>
          </cell>
          <cell r="M743">
            <v>-20000</v>
          </cell>
          <cell r="N743">
            <v>-1960000</v>
          </cell>
          <cell r="O743">
            <v>-20000</v>
          </cell>
          <cell r="P743">
            <v>-460000</v>
          </cell>
          <cell r="Q743">
            <v>-20000</v>
          </cell>
          <cell r="R743">
            <v>-2000000</v>
          </cell>
          <cell r="S743">
            <v>-20000</v>
          </cell>
          <cell r="T743">
            <v>-1040000</v>
          </cell>
          <cell r="U743">
            <v>-20000</v>
          </cell>
          <cell r="V743">
            <v>-5600000</v>
          </cell>
          <cell r="W743">
            <v>-20000</v>
          </cell>
          <cell r="X743">
            <v>-2400000</v>
          </cell>
          <cell r="Y743">
            <v>-20000</v>
          </cell>
          <cell r="Z743">
            <v>-2400000</v>
          </cell>
          <cell r="AA743">
            <v>-20000</v>
          </cell>
          <cell r="AB743">
            <v>-2560000</v>
          </cell>
          <cell r="AC743">
            <v>-20000</v>
          </cell>
          <cell r="AD743" t="str">
            <v>Less: Dealer commission</v>
          </cell>
        </row>
        <row r="744">
          <cell r="D744" t="str">
            <v xml:space="preserve">  Sales tax</v>
          </cell>
          <cell r="E744">
            <v>-104217.39130434782</v>
          </cell>
          <cell r="F744">
            <v>-5315086.9565217393</v>
          </cell>
          <cell r="G744">
            <v>-104217.39130434782</v>
          </cell>
          <cell r="H744">
            <v>-5210869.5652173916</v>
          </cell>
          <cell r="I744">
            <v>-104217.39130434782</v>
          </cell>
          <cell r="J744">
            <v>-4585565.2173913047</v>
          </cell>
          <cell r="K744">
            <v>-104217.39130434782</v>
          </cell>
          <cell r="L744">
            <v>-5731956.5217391299</v>
          </cell>
          <cell r="M744">
            <v>-104217.39130434782</v>
          </cell>
          <cell r="N744">
            <v>-10213304.347826086</v>
          </cell>
          <cell r="O744">
            <v>-104217.39130434782</v>
          </cell>
          <cell r="P744">
            <v>-2397000</v>
          </cell>
          <cell r="Q744">
            <v>-104217.39130434782</v>
          </cell>
          <cell r="R744">
            <v>-10421739.130434783</v>
          </cell>
          <cell r="S744">
            <v>-104217.39130434782</v>
          </cell>
          <cell r="T744">
            <v>-5419304.3478260869</v>
          </cell>
          <cell r="U744">
            <v>-104217.39130434782</v>
          </cell>
          <cell r="V744">
            <v>-29180869.565217391</v>
          </cell>
          <cell r="W744">
            <v>-104217.39130434782</v>
          </cell>
          <cell r="X744">
            <v>-12506086.956521738</v>
          </cell>
          <cell r="Y744">
            <v>-104217.39130434782</v>
          </cell>
          <cell r="Z744">
            <v>-12506086.956521738</v>
          </cell>
          <cell r="AA744">
            <v>-104217.39130434782</v>
          </cell>
          <cell r="AB744">
            <v>-13339826.086956521</v>
          </cell>
          <cell r="AC744">
            <v>-104217.39130434781</v>
          </cell>
          <cell r="AE744" t="str">
            <v xml:space="preserve">  Sales tax</v>
          </cell>
        </row>
        <row r="745">
          <cell r="C745" t="str">
            <v>Net Sales</v>
          </cell>
          <cell r="E745">
            <v>674782.60869565222</v>
          </cell>
          <cell r="F745">
            <v>34413913.043478258</v>
          </cell>
          <cell r="G745">
            <v>674782.60869565222</v>
          </cell>
          <cell r="H745">
            <v>33739130.434782609</v>
          </cell>
          <cell r="I745">
            <v>674782.60869565222</v>
          </cell>
          <cell r="J745">
            <v>29690434.782608695</v>
          </cell>
          <cell r="K745">
            <v>674782.60869565222</v>
          </cell>
          <cell r="L745">
            <v>37113043.478260867</v>
          </cell>
          <cell r="M745">
            <v>674782.60869565222</v>
          </cell>
          <cell r="N745">
            <v>66128695.652173914</v>
          </cell>
          <cell r="O745">
            <v>674782.60869565222</v>
          </cell>
          <cell r="P745">
            <v>15520000</v>
          </cell>
          <cell r="Q745">
            <v>674782.60869565222</v>
          </cell>
          <cell r="R745">
            <v>67478260.869565219</v>
          </cell>
          <cell r="S745">
            <v>674782.60869565222</v>
          </cell>
          <cell r="T745">
            <v>35088695.652173914</v>
          </cell>
          <cell r="U745">
            <v>674782.60869565222</v>
          </cell>
          <cell r="V745">
            <v>188939130.43478262</v>
          </cell>
          <cell r="W745">
            <v>674782.60869565222</v>
          </cell>
          <cell r="X745">
            <v>80973913.043478265</v>
          </cell>
          <cell r="Y745">
            <v>674782.60869565222</v>
          </cell>
          <cell r="Z745">
            <v>80973913.043478265</v>
          </cell>
          <cell r="AA745">
            <v>674782.60869565222</v>
          </cell>
          <cell r="AB745">
            <v>86372173.913043484</v>
          </cell>
          <cell r="AC745">
            <v>674782.60869565222</v>
          </cell>
          <cell r="AD745" t="str">
            <v>Net Sales</v>
          </cell>
          <cell r="AE745">
            <v>756431304.34782612</v>
          </cell>
        </row>
        <row r="747">
          <cell r="C747" t="str">
            <v>Variable Cost of Sales</v>
          </cell>
          <cell r="AD747" t="str">
            <v>Variable Cost of Sales</v>
          </cell>
        </row>
        <row r="748">
          <cell r="D748" t="str">
            <v>CKD Cost</v>
          </cell>
          <cell r="E748">
            <v>456549.51474417676</v>
          </cell>
          <cell r="F748">
            <v>23284025.251953013</v>
          </cell>
          <cell r="G748">
            <v>456549.51474417676</v>
          </cell>
          <cell r="H748">
            <v>22827475.73720884</v>
          </cell>
          <cell r="I748">
            <v>456549.51474417676</v>
          </cell>
          <cell r="J748">
            <v>20088178.648743778</v>
          </cell>
          <cell r="K748">
            <v>456549.51474417676</v>
          </cell>
          <cell r="L748">
            <v>25110223.310929723</v>
          </cell>
          <cell r="M748">
            <v>456549.51474417676</v>
          </cell>
          <cell r="N748">
            <v>44741852.444929324</v>
          </cell>
          <cell r="O748">
            <v>456549.51474417676</v>
          </cell>
          <cell r="P748">
            <v>10500638.839116065</v>
          </cell>
          <cell r="Q748">
            <v>456549.51474417676</v>
          </cell>
          <cell r="R748">
            <v>45654951.474417679</v>
          </cell>
          <cell r="S748">
            <v>456549.51474417676</v>
          </cell>
          <cell r="T748">
            <v>23740574.766697191</v>
          </cell>
          <cell r="U748">
            <v>456549.51474417676</v>
          </cell>
          <cell r="V748">
            <v>127833864.1283695</v>
          </cell>
          <cell r="W748">
            <v>456549.51474417676</v>
          </cell>
          <cell r="X748">
            <v>54785941.769301213</v>
          </cell>
          <cell r="Y748">
            <v>456549.51474417676</v>
          </cell>
          <cell r="Z748">
            <v>54785941.769301213</v>
          </cell>
          <cell r="AA748">
            <v>456549.51474417676</v>
          </cell>
          <cell r="AB748">
            <v>58438337.887254626</v>
          </cell>
          <cell r="AC748">
            <v>456549.51474417682</v>
          </cell>
          <cell r="AE748" t="str">
            <v>CKD Cost</v>
          </cell>
          <cell r="AF748">
            <v>511792006.0282222</v>
          </cell>
        </row>
        <row r="749">
          <cell r="D749" t="str">
            <v>Vendor parts</v>
          </cell>
          <cell r="E749">
            <v>139346</v>
          </cell>
          <cell r="F749">
            <v>7106646</v>
          </cell>
          <cell r="G749">
            <v>139346</v>
          </cell>
          <cell r="H749">
            <v>6967300</v>
          </cell>
          <cell r="I749">
            <v>139346</v>
          </cell>
          <cell r="J749">
            <v>6131224</v>
          </cell>
          <cell r="K749">
            <v>139346</v>
          </cell>
          <cell r="L749">
            <v>7664030</v>
          </cell>
          <cell r="M749">
            <v>139346</v>
          </cell>
          <cell r="N749">
            <v>13655908</v>
          </cell>
          <cell r="O749">
            <v>139346</v>
          </cell>
          <cell r="P749">
            <v>3204958</v>
          </cell>
          <cell r="Q749">
            <v>139346</v>
          </cell>
          <cell r="R749">
            <v>13934600</v>
          </cell>
          <cell r="S749">
            <v>139346</v>
          </cell>
          <cell r="T749">
            <v>7245992</v>
          </cell>
          <cell r="U749">
            <v>139346</v>
          </cell>
          <cell r="V749">
            <v>39016880</v>
          </cell>
          <cell r="W749">
            <v>139346</v>
          </cell>
          <cell r="X749">
            <v>16721520</v>
          </cell>
          <cell r="Y749">
            <v>139346</v>
          </cell>
          <cell r="Z749">
            <v>16721520</v>
          </cell>
          <cell r="AA749">
            <v>139346</v>
          </cell>
          <cell r="AB749">
            <v>17836288</v>
          </cell>
          <cell r="AC749">
            <v>139346</v>
          </cell>
          <cell r="AE749" t="str">
            <v>Vendor parts</v>
          </cell>
          <cell r="AF749">
            <v>156206866</v>
          </cell>
        </row>
        <row r="750">
          <cell r="D750" t="str">
            <v>Nummi Parts</v>
          </cell>
          <cell r="AE750" t="str">
            <v>Nomi Parts</v>
          </cell>
          <cell r="AF750">
            <v>0</v>
          </cell>
        </row>
        <row r="751">
          <cell r="D751" t="str">
            <v>Paints &amp; Chemicals</v>
          </cell>
          <cell r="E751">
            <v>11677</v>
          </cell>
          <cell r="F751">
            <v>595527</v>
          </cell>
          <cell r="G751">
            <v>11677</v>
          </cell>
          <cell r="H751">
            <v>583850</v>
          </cell>
          <cell r="I751">
            <v>11677</v>
          </cell>
          <cell r="J751">
            <v>513788</v>
          </cell>
          <cell r="K751">
            <v>11677</v>
          </cell>
          <cell r="L751">
            <v>642235</v>
          </cell>
          <cell r="M751">
            <v>11677</v>
          </cell>
          <cell r="N751">
            <v>1144346</v>
          </cell>
          <cell r="O751">
            <v>11677</v>
          </cell>
          <cell r="P751">
            <v>268571</v>
          </cell>
          <cell r="Q751">
            <v>11677</v>
          </cell>
          <cell r="R751">
            <v>1167700</v>
          </cell>
          <cell r="S751">
            <v>11677</v>
          </cell>
          <cell r="T751">
            <v>607204</v>
          </cell>
          <cell r="U751">
            <v>11677</v>
          </cell>
          <cell r="V751">
            <v>3269560</v>
          </cell>
          <cell r="W751">
            <v>11677</v>
          </cell>
          <cell r="X751">
            <v>1401240</v>
          </cell>
          <cell r="Y751">
            <v>11677</v>
          </cell>
          <cell r="Z751">
            <v>1401240</v>
          </cell>
          <cell r="AA751">
            <v>11677</v>
          </cell>
          <cell r="AB751">
            <v>1494656</v>
          </cell>
          <cell r="AC751">
            <v>11677</v>
          </cell>
          <cell r="AE751" t="str">
            <v>Paints &amp; Chemicals</v>
          </cell>
          <cell r="AF751">
            <v>13089917</v>
          </cell>
        </row>
        <row r="752">
          <cell r="D752" t="str">
            <v>Consumables</v>
          </cell>
          <cell r="E752">
            <v>3227</v>
          </cell>
          <cell r="F752">
            <v>164577</v>
          </cell>
          <cell r="G752">
            <v>3227</v>
          </cell>
          <cell r="H752">
            <v>161350</v>
          </cell>
          <cell r="I752">
            <v>3227</v>
          </cell>
          <cell r="J752">
            <v>141988</v>
          </cell>
          <cell r="K752">
            <v>3227</v>
          </cell>
          <cell r="L752">
            <v>177485</v>
          </cell>
          <cell r="M752">
            <v>3227</v>
          </cell>
          <cell r="N752">
            <v>316246</v>
          </cell>
          <cell r="O752">
            <v>3227</v>
          </cell>
          <cell r="P752">
            <v>74221</v>
          </cell>
          <cell r="Q752">
            <v>3227</v>
          </cell>
          <cell r="R752">
            <v>322700</v>
          </cell>
          <cell r="S752">
            <v>3227</v>
          </cell>
          <cell r="T752">
            <v>167804</v>
          </cell>
          <cell r="U752">
            <v>3227</v>
          </cell>
          <cell r="V752">
            <v>903560</v>
          </cell>
          <cell r="W752">
            <v>3227</v>
          </cell>
          <cell r="X752">
            <v>387240</v>
          </cell>
          <cell r="Y752">
            <v>3227</v>
          </cell>
          <cell r="Z752">
            <v>387240</v>
          </cell>
          <cell r="AA752">
            <v>3227</v>
          </cell>
          <cell r="AB752">
            <v>413056</v>
          </cell>
          <cell r="AC752">
            <v>3227</v>
          </cell>
          <cell r="AE752" t="str">
            <v>Consumables</v>
          </cell>
          <cell r="AF752">
            <v>3617467</v>
          </cell>
        </row>
        <row r="753">
          <cell r="D753" t="str">
            <v>KD Parts</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E753" t="str">
            <v>KD Parts</v>
          </cell>
          <cell r="AF753">
            <v>0</v>
          </cell>
        </row>
        <row r="754">
          <cell r="D754" t="str">
            <v>Spare parts</v>
          </cell>
          <cell r="E754">
            <v>41</v>
          </cell>
          <cell r="F754">
            <v>2091</v>
          </cell>
          <cell r="G754">
            <v>41</v>
          </cell>
          <cell r="H754">
            <v>2050</v>
          </cell>
          <cell r="I754">
            <v>41</v>
          </cell>
          <cell r="J754">
            <v>1804</v>
          </cell>
          <cell r="K754">
            <v>41</v>
          </cell>
          <cell r="L754">
            <v>2255</v>
          </cell>
          <cell r="M754">
            <v>41</v>
          </cell>
          <cell r="N754">
            <v>4018</v>
          </cell>
          <cell r="O754">
            <v>41</v>
          </cell>
          <cell r="P754">
            <v>943</v>
          </cell>
          <cell r="Q754">
            <v>41</v>
          </cell>
          <cell r="R754">
            <v>4100</v>
          </cell>
          <cell r="S754">
            <v>41</v>
          </cell>
          <cell r="T754">
            <v>2132</v>
          </cell>
          <cell r="U754">
            <v>41</v>
          </cell>
          <cell r="V754">
            <v>11480</v>
          </cell>
          <cell r="W754">
            <v>41</v>
          </cell>
          <cell r="X754">
            <v>4920</v>
          </cell>
          <cell r="Y754">
            <v>41</v>
          </cell>
          <cell r="Z754">
            <v>4920</v>
          </cell>
          <cell r="AA754">
            <v>41</v>
          </cell>
          <cell r="AB754">
            <v>5248</v>
          </cell>
          <cell r="AC754">
            <v>41</v>
          </cell>
          <cell r="AE754" t="str">
            <v>Spare parts</v>
          </cell>
          <cell r="AF754">
            <v>45961</v>
          </cell>
        </row>
        <row r="755">
          <cell r="D755" t="str">
            <v>Utilities</v>
          </cell>
          <cell r="E755">
            <v>4297</v>
          </cell>
          <cell r="F755">
            <v>219147</v>
          </cell>
          <cell r="G755">
            <v>4297</v>
          </cell>
          <cell r="H755">
            <v>214850</v>
          </cell>
          <cell r="I755">
            <v>4297</v>
          </cell>
          <cell r="J755">
            <v>189068</v>
          </cell>
          <cell r="K755">
            <v>4297</v>
          </cell>
          <cell r="L755">
            <v>236335</v>
          </cell>
          <cell r="M755">
            <v>4297</v>
          </cell>
          <cell r="N755">
            <v>421106</v>
          </cell>
          <cell r="O755">
            <v>4297</v>
          </cell>
          <cell r="P755">
            <v>98831</v>
          </cell>
          <cell r="Q755">
            <v>4297</v>
          </cell>
          <cell r="R755">
            <v>429700</v>
          </cell>
          <cell r="S755">
            <v>4297</v>
          </cell>
          <cell r="T755">
            <v>223444</v>
          </cell>
          <cell r="U755">
            <v>4297</v>
          </cell>
          <cell r="V755">
            <v>1203160</v>
          </cell>
          <cell r="W755">
            <v>4297</v>
          </cell>
          <cell r="X755">
            <v>515640</v>
          </cell>
          <cell r="Y755">
            <v>4297</v>
          </cell>
          <cell r="Z755">
            <v>515640</v>
          </cell>
          <cell r="AA755">
            <v>4297</v>
          </cell>
          <cell r="AB755">
            <v>550016</v>
          </cell>
          <cell r="AC755">
            <v>4297</v>
          </cell>
          <cell r="AE755" t="str">
            <v>Utilites</v>
          </cell>
          <cell r="AF755">
            <v>4816937</v>
          </cell>
        </row>
        <row r="756">
          <cell r="D756" t="str">
            <v>Royalty</v>
          </cell>
          <cell r="E756">
            <v>3399.76</v>
          </cell>
          <cell r="F756">
            <v>173387.76</v>
          </cell>
          <cell r="G756">
            <v>3399.76</v>
          </cell>
          <cell r="H756">
            <v>169988</v>
          </cell>
          <cell r="I756">
            <v>3399.76</v>
          </cell>
          <cell r="J756">
            <v>149589.44</v>
          </cell>
          <cell r="K756">
            <v>3399.76</v>
          </cell>
          <cell r="L756">
            <v>186986.80000000002</v>
          </cell>
          <cell r="M756">
            <v>3399.76</v>
          </cell>
          <cell r="N756">
            <v>333176.48000000004</v>
          </cell>
          <cell r="O756">
            <v>3399.76</v>
          </cell>
          <cell r="P756">
            <v>78194.48000000001</v>
          </cell>
          <cell r="Q756">
            <v>3399.76</v>
          </cell>
          <cell r="R756">
            <v>339976</v>
          </cell>
          <cell r="S756">
            <v>3399.76</v>
          </cell>
          <cell r="T756">
            <v>176787.52000000002</v>
          </cell>
          <cell r="U756">
            <v>3399.76</v>
          </cell>
          <cell r="V756">
            <v>951932.8</v>
          </cell>
          <cell r="W756">
            <v>3399.76</v>
          </cell>
          <cell r="X756">
            <v>407971.2</v>
          </cell>
          <cell r="Y756">
            <v>3399.76</v>
          </cell>
          <cell r="Z756">
            <v>407971.2</v>
          </cell>
          <cell r="AA756">
            <v>3399.76</v>
          </cell>
          <cell r="AB756">
            <v>435169.28000000003</v>
          </cell>
          <cell r="AC756">
            <v>3399.7600000000007</v>
          </cell>
          <cell r="AE756" t="str">
            <v>Royalty</v>
          </cell>
          <cell r="AF756">
            <v>3811130.9600000009</v>
          </cell>
        </row>
        <row r="758">
          <cell r="E758">
            <v>618537.27474417677</v>
          </cell>
          <cell r="F758">
            <v>31545401.011953015</v>
          </cell>
          <cell r="G758">
            <v>618537.27474417677</v>
          </cell>
          <cell r="H758">
            <v>30926863.73720884</v>
          </cell>
          <cell r="I758">
            <v>618537.27474417677</v>
          </cell>
          <cell r="J758">
            <v>27215640.08874378</v>
          </cell>
          <cell r="K758">
            <v>618537.27474417677</v>
          </cell>
          <cell r="L758">
            <v>34019550.11092972</v>
          </cell>
          <cell r="M758">
            <v>618537.27474417677</v>
          </cell>
          <cell r="N758">
            <v>60616652.924929321</v>
          </cell>
          <cell r="O758">
            <v>618537.27474417677</v>
          </cell>
          <cell r="P758">
            <v>14226357.319116065</v>
          </cell>
          <cell r="Q758">
            <v>618537.27474417677</v>
          </cell>
          <cell r="R758">
            <v>61853727.474417679</v>
          </cell>
          <cell r="S758">
            <v>618537.27474417677</v>
          </cell>
          <cell r="T758">
            <v>32163938.28669719</v>
          </cell>
          <cell r="U758">
            <v>618537.27474417677</v>
          </cell>
          <cell r="V758">
            <v>173190436.92836952</v>
          </cell>
          <cell r="W758">
            <v>618537.27474417677</v>
          </cell>
          <cell r="X758">
            <v>74224472.969301209</v>
          </cell>
          <cell r="Y758">
            <v>618537.27474417677</v>
          </cell>
          <cell r="Z758">
            <v>74224472.969301209</v>
          </cell>
          <cell r="AA758">
            <v>618537.27474417677</v>
          </cell>
          <cell r="AB758">
            <v>79172771.167254627</v>
          </cell>
          <cell r="AC758">
            <v>618537.27474417677</v>
          </cell>
          <cell r="AF758">
            <v>693380284.98822212</v>
          </cell>
        </row>
        <row r="759">
          <cell r="C759" t="str">
            <v>Contribution Margin</v>
          </cell>
          <cell r="E759">
            <v>56245.333951475448</v>
          </cell>
          <cell r="F759">
            <v>2868512.0315252431</v>
          </cell>
          <cell r="G759">
            <v>56245.333951475448</v>
          </cell>
          <cell r="H759">
            <v>2812266.6975737698</v>
          </cell>
          <cell r="I759">
            <v>56245.333951475448</v>
          </cell>
          <cell r="J759">
            <v>2474794.6938649155</v>
          </cell>
          <cell r="K759">
            <v>56245.333951475448</v>
          </cell>
          <cell r="L759">
            <v>3093493.3673311472</v>
          </cell>
          <cell r="M759">
            <v>56245.333951475448</v>
          </cell>
          <cell r="N759">
            <v>5512042.7272445932</v>
          </cell>
          <cell r="O759">
            <v>56245.333951475448</v>
          </cell>
          <cell r="P759">
            <v>1293642.6808839347</v>
          </cell>
          <cell r="Q759">
            <v>56245.333951475448</v>
          </cell>
          <cell r="R759">
            <v>5624533.3951475397</v>
          </cell>
          <cell r="S759">
            <v>56245.333951475448</v>
          </cell>
          <cell r="T759">
            <v>2924757.3654767238</v>
          </cell>
          <cell r="U759">
            <v>56245.333951475448</v>
          </cell>
          <cell r="V759">
            <v>15748693.506413102</v>
          </cell>
          <cell r="W759">
            <v>56245.333951475448</v>
          </cell>
          <cell r="X759">
            <v>6749440.0741770566</v>
          </cell>
          <cell r="Y759">
            <v>56245.333951475448</v>
          </cell>
          <cell r="Z759">
            <v>6749440.0741770566</v>
          </cell>
          <cell r="AA759">
            <v>56245.333951475448</v>
          </cell>
          <cell r="AB759">
            <v>7199402.7457888573</v>
          </cell>
          <cell r="AC759">
            <v>56245.333951475448</v>
          </cell>
          <cell r="AD759" t="str">
            <v>Contribution Margin</v>
          </cell>
        </row>
        <row r="761">
          <cell r="C761" t="str">
            <v>Production cost</v>
          </cell>
          <cell r="AD761" t="str">
            <v>Production cost</v>
          </cell>
        </row>
        <row r="762">
          <cell r="D762" t="str">
            <v xml:space="preserve">Salaries &amp; Wages </v>
          </cell>
          <cell r="E762">
            <v>5330.971806841444</v>
          </cell>
          <cell r="F762">
            <v>271879.56214891362</v>
          </cell>
          <cell r="G762">
            <v>4450.6278387391867</v>
          </cell>
          <cell r="H762">
            <v>222531.39193695935</v>
          </cell>
          <cell r="I762">
            <v>4327.5507084975143</v>
          </cell>
          <cell r="J762">
            <v>190412.23117389064</v>
          </cell>
          <cell r="K762">
            <v>3880.9474753805712</v>
          </cell>
          <cell r="L762">
            <v>213452.11114593141</v>
          </cell>
          <cell r="M762">
            <v>5576.0739588801307</v>
          </cell>
          <cell r="N762">
            <v>546455.24797025276</v>
          </cell>
          <cell r="O762">
            <v>5384.2223576312035</v>
          </cell>
          <cell r="P762">
            <v>123837.11422551768</v>
          </cell>
          <cell r="Q762">
            <v>3880.9474753805712</v>
          </cell>
          <cell r="R762">
            <v>388094.7475380571</v>
          </cell>
          <cell r="S762">
            <v>5106.5098360270676</v>
          </cell>
          <cell r="T762">
            <v>265538.5114734075</v>
          </cell>
          <cell r="U762">
            <v>4709.8877128404993</v>
          </cell>
          <cell r="V762">
            <v>1318768.5595953397</v>
          </cell>
          <cell r="W762">
            <v>5160.8344087507594</v>
          </cell>
          <cell r="X762">
            <v>619300.12905009114</v>
          </cell>
          <cell r="Y762">
            <v>5216.3272518556068</v>
          </cell>
          <cell r="Z762">
            <v>625959.27022267284</v>
          </cell>
          <cell r="AA762">
            <v>5063.8667476260061</v>
          </cell>
          <cell r="AB762">
            <v>648174.94369612879</v>
          </cell>
          <cell r="AC762">
            <v>4847.8178592124559</v>
          </cell>
          <cell r="AE762" t="str">
            <v xml:space="preserve">Salaries &amp; Wages </v>
          </cell>
        </row>
        <row r="763">
          <cell r="D763" t="str">
            <v xml:space="preserve">Utilities </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E763" t="str">
            <v xml:space="preserve">Utilities </v>
          </cell>
        </row>
        <row r="764">
          <cell r="D764" t="str">
            <v>Depreciation</v>
          </cell>
          <cell r="E764">
            <v>11150.091575091576</v>
          </cell>
          <cell r="F764">
            <v>568654.67032967031</v>
          </cell>
          <cell r="G764">
            <v>9308.7920489296648</v>
          </cell>
          <cell r="H764">
            <v>465439.60244648322</v>
          </cell>
          <cell r="I764">
            <v>9051.3678263455258</v>
          </cell>
          <cell r="J764">
            <v>398260.18435920315</v>
          </cell>
          <cell r="K764">
            <v>8117.2666666666673</v>
          </cell>
          <cell r="L764">
            <v>446449.66666666669</v>
          </cell>
          <cell r="M764">
            <v>11662.739463601532</v>
          </cell>
          <cell r="N764">
            <v>1142948.4674329502</v>
          </cell>
          <cell r="O764">
            <v>11261.468738438773</v>
          </cell>
          <cell r="P764">
            <v>259013.78098409178</v>
          </cell>
          <cell r="Q764">
            <v>8117.2666666666673</v>
          </cell>
          <cell r="R764">
            <v>811726.66666666674</v>
          </cell>
          <cell r="S764">
            <v>10680.614035087719</v>
          </cell>
          <cell r="T764">
            <v>555391.92982456146</v>
          </cell>
          <cell r="U764">
            <v>9851.0517799352765</v>
          </cell>
          <cell r="V764">
            <v>2758294.4983818773</v>
          </cell>
          <cell r="W764">
            <v>10794.237588652482</v>
          </cell>
          <cell r="X764">
            <v>1295308.510638298</v>
          </cell>
          <cell r="Y764">
            <v>10910.304659498208</v>
          </cell>
          <cell r="Z764">
            <v>1309236.5591397849</v>
          </cell>
          <cell r="AA764">
            <v>10591.423103688239</v>
          </cell>
          <cell r="AB764">
            <v>1355702.1572720946</v>
          </cell>
          <cell r="AC764">
            <v>10139.542100037777</v>
          </cell>
          <cell r="AE764" t="str">
            <v>Depreciation</v>
          </cell>
        </row>
        <row r="765">
          <cell r="D765" t="str">
            <v xml:space="preserve">Other Factory overhead </v>
          </cell>
          <cell r="E765">
            <v>3328.5244606883934</v>
          </cell>
          <cell r="F765">
            <v>169754.74749510805</v>
          </cell>
          <cell r="G765">
            <v>2778.859870849943</v>
          </cell>
          <cell r="H765">
            <v>138942.99354249716</v>
          </cell>
          <cell r="I765">
            <v>2702.0136121556093</v>
          </cell>
          <cell r="J765">
            <v>118888.59893484681</v>
          </cell>
          <cell r="K765">
            <v>2423.1658073811504</v>
          </cell>
          <cell r="L765">
            <v>133274.11940596328</v>
          </cell>
          <cell r="M765">
            <v>3481.5600680763655</v>
          </cell>
          <cell r="N765">
            <v>341192.88667148381</v>
          </cell>
          <cell r="O765">
            <v>3361.7727627374452</v>
          </cell>
          <cell r="P765">
            <v>77320.773542961237</v>
          </cell>
          <cell r="Q765">
            <v>2423.1658073811504</v>
          </cell>
          <cell r="R765">
            <v>242316.58073811504</v>
          </cell>
          <cell r="S765">
            <v>3188.3760623436192</v>
          </cell>
          <cell r="T765">
            <v>165795.55524186819</v>
          </cell>
          <cell r="U765">
            <v>2940.735203132464</v>
          </cell>
          <cell r="V765">
            <v>823405.85687708994</v>
          </cell>
          <cell r="W765">
            <v>3222.2949566238703</v>
          </cell>
          <cell r="X765">
            <v>386675.39479486446</v>
          </cell>
          <cell r="Y765">
            <v>3256.9432894907936</v>
          </cell>
          <cell r="Z765">
            <v>390833.19473889522</v>
          </cell>
          <cell r="AA765">
            <v>3161.7507925119394</v>
          </cell>
          <cell r="AB765">
            <v>404704.10144152824</v>
          </cell>
          <cell r="AC765">
            <v>3026.8553108164328</v>
          </cell>
          <cell r="AE765" t="str">
            <v xml:space="preserve">Other Factory overhead </v>
          </cell>
        </row>
        <row r="766">
          <cell r="D766" t="str">
            <v>Running Royalty</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E766" t="str">
            <v>Running Royalty</v>
          </cell>
        </row>
        <row r="767">
          <cell r="E767">
            <v>19809.587842621411</v>
          </cell>
          <cell r="F767">
            <v>1010288.979973692</v>
          </cell>
          <cell r="G767">
            <v>16538.279758518795</v>
          </cell>
          <cell r="H767">
            <v>826913.98792593973</v>
          </cell>
          <cell r="I767">
            <v>16080.93214699865</v>
          </cell>
          <cell r="J767">
            <v>707561.01446794055</v>
          </cell>
          <cell r="K767">
            <v>14421.379949428388</v>
          </cell>
          <cell r="L767">
            <v>793175.89721856127</v>
          </cell>
          <cell r="M767">
            <v>20720.373490558028</v>
          </cell>
          <cell r="N767">
            <v>2030596.6020746867</v>
          </cell>
          <cell r="O767">
            <v>20007.463858807419</v>
          </cell>
          <cell r="P767">
            <v>460171.66875257069</v>
          </cell>
          <cell r="Q767">
            <v>14421.379949428388</v>
          </cell>
          <cell r="R767">
            <v>1442137.994942839</v>
          </cell>
          <cell r="S767">
            <v>18975.499933458406</v>
          </cell>
          <cell r="T767">
            <v>986725.99653983722</v>
          </cell>
          <cell r="U767">
            <v>17501.674695908237</v>
          </cell>
          <cell r="V767">
            <v>4900468.9148543067</v>
          </cell>
          <cell r="W767">
            <v>19177.366954027111</v>
          </cell>
          <cell r="X767">
            <v>2301284.0344832535</v>
          </cell>
          <cell r="Y767">
            <v>19383.575200844611</v>
          </cell>
          <cell r="Z767">
            <v>2326029.0241013528</v>
          </cell>
          <cell r="AA767">
            <v>18817.040643826185</v>
          </cell>
          <cell r="AB767">
            <v>2408581.2024097517</v>
          </cell>
          <cell r="AC767">
            <v>18014.215270066667</v>
          </cell>
        </row>
        <row r="768">
          <cell r="C768" t="str">
            <v>Gross Profit</v>
          </cell>
          <cell r="E768">
            <v>36435.746108854037</v>
          </cell>
          <cell r="F768">
            <v>1858223.0515515511</v>
          </cell>
          <cell r="G768">
            <v>39707.054192956653</v>
          </cell>
          <cell r="H768">
            <v>1985352.7096478301</v>
          </cell>
          <cell r="I768">
            <v>40164.401804476802</v>
          </cell>
          <cell r="J768">
            <v>1767233.6793969749</v>
          </cell>
          <cell r="K768">
            <v>41823.954002047059</v>
          </cell>
          <cell r="L768">
            <v>2300317.4701125859</v>
          </cell>
          <cell r="M768">
            <v>35524.96046091742</v>
          </cell>
          <cell r="N768">
            <v>3481446.1251699068</v>
          </cell>
          <cell r="O768">
            <v>36237.870092668032</v>
          </cell>
          <cell r="P768">
            <v>833471.01213136408</v>
          </cell>
          <cell r="Q768">
            <v>41823.954002047059</v>
          </cell>
          <cell r="R768">
            <v>4182395.4002047004</v>
          </cell>
          <cell r="S768">
            <v>37269.834018017042</v>
          </cell>
          <cell r="T768">
            <v>1938031.3689368865</v>
          </cell>
          <cell r="U768">
            <v>38743.65925556721</v>
          </cell>
          <cell r="V768">
            <v>10848224.591558795</v>
          </cell>
          <cell r="W768">
            <v>37067.96699744834</v>
          </cell>
          <cell r="X768">
            <v>4448156.0396938026</v>
          </cell>
          <cell r="Y768">
            <v>36861.758750630834</v>
          </cell>
          <cell r="Z768">
            <v>4423411.0500757042</v>
          </cell>
          <cell r="AA768">
            <v>37428.293307649263</v>
          </cell>
          <cell r="AB768">
            <v>4790821.5433791056</v>
          </cell>
          <cell r="AC768">
            <v>38231.118681408785</v>
          </cell>
          <cell r="AD768" t="str">
            <v>Gross Profit</v>
          </cell>
        </row>
        <row r="769">
          <cell r="E769">
            <v>5.3996273228327496</v>
          </cell>
          <cell r="F769">
            <v>5.3996273228327372</v>
          </cell>
          <cell r="G769">
            <v>5.8844216909665139</v>
          </cell>
          <cell r="H769">
            <v>5.8844216909665059</v>
          </cell>
          <cell r="I769">
            <v>5.9521987210242679</v>
          </cell>
          <cell r="J769">
            <v>5.9521987210242537</v>
          </cell>
          <cell r="K769">
            <v>6.1981375131899634</v>
          </cell>
          <cell r="L769">
            <v>6.1981375131899581</v>
          </cell>
          <cell r="M769">
            <v>5.2646526456256479</v>
          </cell>
          <cell r="N769">
            <v>5.2646526456256479</v>
          </cell>
          <cell r="O769">
            <v>5.3703029132175564</v>
          </cell>
          <cell r="P769">
            <v>5.3703029132175519</v>
          </cell>
          <cell r="Q769">
            <v>6.1981375131899634</v>
          </cell>
          <cell r="R769">
            <v>6.1981375131899554</v>
          </cell>
          <cell r="S769">
            <v>5.5232357114329371</v>
          </cell>
          <cell r="T769">
            <v>5.5232357114329389</v>
          </cell>
          <cell r="U769">
            <v>5.7416505340080271</v>
          </cell>
          <cell r="V769">
            <v>5.7416505340080146</v>
          </cell>
          <cell r="W769">
            <v>5.4933198514259773</v>
          </cell>
          <cell r="X769">
            <v>5.49331985142598</v>
          </cell>
          <cell r="Y769">
            <v>5.4627606395909094</v>
          </cell>
          <cell r="Z769">
            <v>5.4627606395909147</v>
          </cell>
          <cell r="AA769">
            <v>5.5467187247160634</v>
          </cell>
          <cell r="AB769">
            <v>5.5467187247160634</v>
          </cell>
          <cell r="AC769">
            <v>5.6656941344871266</v>
          </cell>
        </row>
        <row r="770">
          <cell r="C770" t="str">
            <v>Other Expenses</v>
          </cell>
          <cell r="AD770" t="str">
            <v>Other Expenses</v>
          </cell>
        </row>
        <row r="771">
          <cell r="D771" t="str">
            <v>Selling Expenses</v>
          </cell>
          <cell r="E771">
            <v>5183.0082521448167</v>
          </cell>
          <cell r="F771">
            <v>264333.42085938563</v>
          </cell>
          <cell r="G771">
            <v>4427.3486746392564</v>
          </cell>
          <cell r="H771">
            <v>221367.43373196281</v>
          </cell>
          <cell r="I771">
            <v>4320.887144065181</v>
          </cell>
          <cell r="J771">
            <v>190119.03433886796</v>
          </cell>
          <cell r="K771">
            <v>3897.7185689144208</v>
          </cell>
          <cell r="L771">
            <v>214374.52129029314</v>
          </cell>
          <cell r="M771">
            <v>5409.2615187305564</v>
          </cell>
          <cell r="N771">
            <v>530107.62883559451</v>
          </cell>
          <cell r="O771">
            <v>5179.8400416559607</v>
          </cell>
          <cell r="P771">
            <v>119136.32095808709</v>
          </cell>
          <cell r="Q771">
            <v>3845.1336292747983</v>
          </cell>
          <cell r="R771">
            <v>384513.36292747984</v>
          </cell>
          <cell r="S771">
            <v>4967.5774890123712</v>
          </cell>
          <cell r="T771">
            <v>258314.02942864329</v>
          </cell>
          <cell r="U771">
            <v>4642.661605420024</v>
          </cell>
          <cell r="V771">
            <v>1299945.2495176068</v>
          </cell>
          <cell r="W771">
            <v>5073.1110111757944</v>
          </cell>
          <cell r="X771">
            <v>608773.32134109538</v>
          </cell>
          <cell r="Y771">
            <v>5099.2966467698334</v>
          </cell>
          <cell r="Z771">
            <v>611915.59761238005</v>
          </cell>
          <cell r="AA771">
            <v>4893.3178190345943</v>
          </cell>
          <cell r="AB771">
            <v>626344.68083642807</v>
          </cell>
          <cell r="AC771">
            <v>4754.0094573397191</v>
          </cell>
          <cell r="AE771" t="str">
            <v>Selling Expenses</v>
          </cell>
        </row>
        <row r="772">
          <cell r="D772" t="str">
            <v>Advertisement Expenses</v>
          </cell>
          <cell r="E772">
            <v>800.32572918126152</v>
          </cell>
          <cell r="F772">
            <v>40816.61218824434</v>
          </cell>
          <cell r="G772">
            <v>969.71958993165515</v>
          </cell>
          <cell r="H772">
            <v>48485.97949658276</v>
          </cell>
          <cell r="I772">
            <v>7367.9708551430685</v>
          </cell>
          <cell r="J772">
            <v>324190.71762629499</v>
          </cell>
          <cell r="K772">
            <v>6935.2770964018819</v>
          </cell>
          <cell r="L772">
            <v>381440.24030210351</v>
          </cell>
          <cell r="M772">
            <v>7697.2629504339211</v>
          </cell>
          <cell r="N772">
            <v>754331.76914252422</v>
          </cell>
          <cell r="O772">
            <v>799.8365151483406</v>
          </cell>
          <cell r="P772">
            <v>18396.239848411835</v>
          </cell>
          <cell r="Q772">
            <v>739.89139808437483</v>
          </cell>
          <cell r="R772">
            <v>73989.139808437481</v>
          </cell>
          <cell r="S772">
            <v>4684.9685429207811</v>
          </cell>
          <cell r="T772">
            <v>243618.36423188061</v>
          </cell>
          <cell r="U772">
            <v>5393.2109933565007</v>
          </cell>
          <cell r="V772">
            <v>1510099.0781398201</v>
          </cell>
          <cell r="W772">
            <v>783.35612673520234</v>
          </cell>
          <cell r="X772">
            <v>94002.735208224287</v>
          </cell>
          <cell r="Y772">
            <v>8782.5333169589612</v>
          </cell>
          <cell r="Z772">
            <v>1053903.9980350754</v>
          </cell>
          <cell r="AA772">
            <v>1104.3291887822443</v>
          </cell>
          <cell r="AB772">
            <v>141354.13616412727</v>
          </cell>
          <cell r="AC772">
            <v>4178.9732472718342</v>
          </cell>
        </row>
        <row r="773">
          <cell r="D773" t="str">
            <v>Administrative Expenses</v>
          </cell>
          <cell r="E773">
            <v>10560.726889052896</v>
          </cell>
          <cell r="F773">
            <v>538597.07134169771</v>
          </cell>
          <cell r="G773">
            <v>9021.0198249495461</v>
          </cell>
          <cell r="H773">
            <v>451050.9912474773</v>
          </cell>
          <cell r="I773">
            <v>8804.0973170376383</v>
          </cell>
          <cell r="J773">
            <v>387380.28194965608</v>
          </cell>
          <cell r="K773">
            <v>7941.8629672567968</v>
          </cell>
          <cell r="L773">
            <v>436802.4631991238</v>
          </cell>
          <cell r="M773">
            <v>11021.733092386507</v>
          </cell>
          <cell r="N773">
            <v>1080129.8430538776</v>
          </cell>
          <cell r="O773">
            <v>10554.271447719957</v>
          </cell>
          <cell r="P773">
            <v>242748.24329755901</v>
          </cell>
          <cell r="Q773">
            <v>7834.7176263668644</v>
          </cell>
          <cell r="R773">
            <v>783471.76263668644</v>
          </cell>
          <cell r="S773">
            <v>10121.772262268241</v>
          </cell>
          <cell r="T773">
            <v>526332.15763794852</v>
          </cell>
          <cell r="U773">
            <v>9459.7343604157559</v>
          </cell>
          <cell r="V773">
            <v>2648725.6209164117</v>
          </cell>
          <cell r="W773">
            <v>10336.803890810705</v>
          </cell>
          <cell r="X773">
            <v>1240416.4668972846</v>
          </cell>
          <cell r="Y773">
            <v>10390.158879356299</v>
          </cell>
          <cell r="Z773">
            <v>1246819.065522756</v>
          </cell>
          <cell r="AA773">
            <v>9970.4632047953019</v>
          </cell>
          <cell r="AB773">
            <v>1276219.2902137986</v>
          </cell>
          <cell r="AC773">
            <v>9686.6130757486881</v>
          </cell>
          <cell r="AE773" t="str">
            <v>Administrative Expenses</v>
          </cell>
        </row>
        <row r="774">
          <cell r="D774" t="str">
            <v>Depreciation (Admin. &amp; Selling )</v>
          </cell>
          <cell r="E774">
            <v>2969.9882598191184</v>
          </cell>
          <cell r="F774">
            <v>151469.40125077503</v>
          </cell>
          <cell r="G774">
            <v>2536.9771657922738</v>
          </cell>
          <cell r="H774">
            <v>126848.85828961369</v>
          </cell>
          <cell r="I774">
            <v>2475.9721508385478</v>
          </cell>
          <cell r="J774">
            <v>108942.77463689611</v>
          </cell>
          <cell r="K774">
            <v>2233.4863898710532</v>
          </cell>
          <cell r="L774">
            <v>122841.75144290793</v>
          </cell>
          <cell r="M774">
            <v>3099.6368177250984</v>
          </cell>
          <cell r="N774">
            <v>303764.40813705965</v>
          </cell>
          <cell r="O774">
            <v>2968.1727990868981</v>
          </cell>
          <cell r="P774">
            <v>68267.974378998653</v>
          </cell>
          <cell r="Q774">
            <v>2203.3539560073127</v>
          </cell>
          <cell r="R774">
            <v>220335.39560073128</v>
          </cell>
          <cell r="S774">
            <v>2846.5412564224971</v>
          </cell>
          <cell r="T774">
            <v>148020.14533396985</v>
          </cell>
          <cell r="U774">
            <v>2660.3566484202443</v>
          </cell>
          <cell r="V774">
            <v>744899.86155766842</v>
          </cell>
          <cell r="W774">
            <v>2907.0145002598042</v>
          </cell>
          <cell r="X774">
            <v>348841.74003117648</v>
          </cell>
          <cell r="Y774">
            <v>2922.0194986134175</v>
          </cell>
          <cell r="Z774">
            <v>350642.33983361011</v>
          </cell>
          <cell r="AA774">
            <v>2803.9886812995901</v>
          </cell>
          <cell r="AB774">
            <v>358910.55120634753</v>
          </cell>
          <cell r="AC774">
            <v>2724.161642907899</v>
          </cell>
          <cell r="AE774" t="str">
            <v>Depreciation (Admin. &amp; Selling )</v>
          </cell>
        </row>
        <row r="775">
          <cell r="D775" t="str">
            <v>Financial Charges -Capital Exp.</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E775" t="str">
            <v>Financial Charges -Capital Exp.</v>
          </cell>
        </row>
        <row r="776">
          <cell r="D776" t="str">
            <v>Financial  Charges -Working Capital</v>
          </cell>
          <cell r="E776">
            <v>530.11444507895521</v>
          </cell>
          <cell r="F776">
            <v>27035.836699026717</v>
          </cell>
          <cell r="G776">
            <v>458.80097155251627</v>
          </cell>
          <cell r="H776">
            <v>22940.048577625814</v>
          </cell>
          <cell r="I776">
            <v>448.49087868071882</v>
          </cell>
          <cell r="J776">
            <v>19733.59866195163</v>
          </cell>
          <cell r="K776">
            <v>407.98094465914818</v>
          </cell>
          <cell r="L776">
            <v>22438.95195625315</v>
          </cell>
          <cell r="M776">
            <v>548.85949175372707</v>
          </cell>
          <cell r="N776">
            <v>53788.230191865252</v>
          </cell>
          <cell r="O776">
            <v>527.77239945924691</v>
          </cell>
          <cell r="P776">
            <v>12138.76518756268</v>
          </cell>
          <cell r="Q776">
            <v>396.96132884259964</v>
          </cell>
          <cell r="R776">
            <v>39696.132884259961</v>
          </cell>
          <cell r="S776">
            <v>498.98402076239711</v>
          </cell>
          <cell r="T776">
            <v>25947.169079644649</v>
          </cell>
          <cell r="U776">
            <v>470.64800851302482</v>
          </cell>
          <cell r="V776">
            <v>131781.44238364694</v>
          </cell>
          <cell r="W776">
            <v>511.61704210669683</v>
          </cell>
          <cell r="X776">
            <v>61394.045052803616</v>
          </cell>
          <cell r="Y776">
            <v>513.76394785157731</v>
          </cell>
          <cell r="Z776">
            <v>61651.673742189276</v>
          </cell>
          <cell r="AA776">
            <v>495.30468493193735</v>
          </cell>
          <cell r="AB776">
            <v>63398.99967128798</v>
          </cell>
          <cell r="AC776">
            <v>483.44771997155902</v>
          </cell>
          <cell r="AE776" t="str">
            <v>Financial  Charges -Working Capital</v>
          </cell>
        </row>
        <row r="777">
          <cell r="D777" t="str">
            <v>Other Expenses (Charity &amp; Donation)</v>
          </cell>
          <cell r="E777">
            <v>368.13503130483002</v>
          </cell>
          <cell r="F777">
            <v>18774.88659654633</v>
          </cell>
          <cell r="G777">
            <v>318.61178580035858</v>
          </cell>
          <cell r="H777">
            <v>15930.589290017928</v>
          </cell>
          <cell r="I777">
            <v>311.4519990838325</v>
          </cell>
          <cell r="J777">
            <v>13703.887959688631</v>
          </cell>
          <cell r="K777">
            <v>283.32010045774183</v>
          </cell>
          <cell r="L777">
            <v>15582.605525175801</v>
          </cell>
          <cell r="M777">
            <v>381.15242482897719</v>
          </cell>
          <cell r="N777">
            <v>37352.937633239766</v>
          </cell>
          <cell r="O777">
            <v>366.50861073558809</v>
          </cell>
          <cell r="P777">
            <v>8429.6980469185255</v>
          </cell>
          <cell r="Q777">
            <v>275.66758947402758</v>
          </cell>
          <cell r="R777">
            <v>27566.758947402759</v>
          </cell>
          <cell r="S777">
            <v>346.51668108499797</v>
          </cell>
          <cell r="T777">
            <v>18018.867416419893</v>
          </cell>
          <cell r="U777">
            <v>326.83889480071173</v>
          </cell>
          <cell r="V777">
            <v>91514.890544199283</v>
          </cell>
          <cell r="W777">
            <v>355.28961257409514</v>
          </cell>
          <cell r="X777">
            <v>42634.753508891416</v>
          </cell>
          <cell r="Y777">
            <v>356.78051934137312</v>
          </cell>
          <cell r="Z777">
            <v>42813.662320964773</v>
          </cell>
          <cell r="AA777">
            <v>343.96158675828985</v>
          </cell>
          <cell r="AB777">
            <v>44027.083105061101</v>
          </cell>
          <cell r="AC777">
            <v>335.72758331358267</v>
          </cell>
          <cell r="AE777" t="str">
            <v>Other Expenses (Charity &amp; Donation)</v>
          </cell>
        </row>
        <row r="778">
          <cell r="D778" t="str">
            <v>Other Expenses ( W.P.P.F.)</v>
          </cell>
          <cell r="E778">
            <v>3573.7075858361454</v>
          </cell>
          <cell r="F778">
            <v>182259.08687764342</v>
          </cell>
          <cell r="G778">
            <v>3260.1003648049996</v>
          </cell>
          <cell r="H778">
            <v>163005.01824024998</v>
          </cell>
          <cell r="I778">
            <v>2868.2077932472907</v>
          </cell>
          <cell r="J778">
            <v>126201.14290288079</v>
          </cell>
          <cell r="K778">
            <v>2950.3710885468208</v>
          </cell>
          <cell r="L778">
            <v>162270.40987007515</v>
          </cell>
          <cell r="M778">
            <v>2984.5209973853607</v>
          </cell>
          <cell r="N778">
            <v>292483.05774376536</v>
          </cell>
          <cell r="O778">
            <v>3261.9142882485439</v>
          </cell>
          <cell r="P778">
            <v>75024.028629716515</v>
          </cell>
          <cell r="Q778">
            <v>3221.4233012482478</v>
          </cell>
          <cell r="R778">
            <v>322142.33012482477</v>
          </cell>
          <cell r="S778">
            <v>2697.4681580678207</v>
          </cell>
          <cell r="T778">
            <v>140268.34421952668</v>
          </cell>
          <cell r="U778">
            <v>2877.5317129664104</v>
          </cell>
          <cell r="V778">
            <v>805708.87963059486</v>
          </cell>
          <cell r="W778">
            <v>3280.2679674234987</v>
          </cell>
          <cell r="X778">
            <v>393632.15609081986</v>
          </cell>
          <cell r="Y778">
            <v>2911.8557735997142</v>
          </cell>
          <cell r="Z778">
            <v>349422.69283196569</v>
          </cell>
          <cell r="AA778">
            <v>3464.9058265788067</v>
          </cell>
          <cell r="AB778">
            <v>443507.94580208726</v>
          </cell>
          <cell r="AC778">
            <v>3082.8948197717668</v>
          </cell>
          <cell r="AE778" t="str">
            <v>Other Expenses ( W.P.P.F.)</v>
          </cell>
        </row>
        <row r="779">
          <cell r="D779" t="str">
            <v>Workers Welfare Fund</v>
          </cell>
          <cell r="E779">
            <v>1499.0267372593985</v>
          </cell>
          <cell r="F779">
            <v>76450.363600229321</v>
          </cell>
          <cell r="G779">
            <v>1367.4811090758005</v>
          </cell>
          <cell r="H779">
            <v>68374.055453790032</v>
          </cell>
          <cell r="I779">
            <v>1203.0979219267881</v>
          </cell>
          <cell r="J779">
            <v>52936.308564778679</v>
          </cell>
          <cell r="K779">
            <v>1237.5621229049211</v>
          </cell>
          <cell r="L779">
            <v>68065.916759770655</v>
          </cell>
          <cell r="M779">
            <v>1251.8866374865934</v>
          </cell>
          <cell r="N779">
            <v>122684.89047368614</v>
          </cell>
          <cell r="O779">
            <v>1368.2419770751833</v>
          </cell>
          <cell r="P779">
            <v>31469.565472729217</v>
          </cell>
          <cell r="Q779">
            <v>1351.2576349952574</v>
          </cell>
          <cell r="R779">
            <v>135125.76349952572</v>
          </cell>
          <cell r="S779">
            <v>1131.4795054513236</v>
          </cell>
          <cell r="T779">
            <v>58836.934283468829</v>
          </cell>
          <cell r="U779">
            <v>1207.0089316049207</v>
          </cell>
          <cell r="V779">
            <v>337962.50084937777</v>
          </cell>
          <cell r="W779">
            <v>1375.9406080206418</v>
          </cell>
          <cell r="X779">
            <v>165112.87296247701</v>
          </cell>
          <cell r="Y779">
            <v>1221.4064958669101</v>
          </cell>
          <cell r="Z779">
            <v>146568.7795040292</v>
          </cell>
          <cell r="AA779">
            <v>1453.3887710099996</v>
          </cell>
          <cell r="AB779">
            <v>186033.76268927995</v>
          </cell>
          <cell r="AC779">
            <v>1293.1505032231421</v>
          </cell>
          <cell r="AE779" t="str">
            <v>Workers Welfare Fund</v>
          </cell>
        </row>
        <row r="780">
          <cell r="E780">
            <v>25485.032929677422</v>
          </cell>
          <cell r="F780">
            <v>1299736.6794135487</v>
          </cell>
          <cell r="G780">
            <v>22360.059486546405</v>
          </cell>
          <cell r="H780">
            <v>1118002.9743273205</v>
          </cell>
          <cell r="I780">
            <v>27800.176060023059</v>
          </cell>
          <cell r="J780">
            <v>1223207.7466410149</v>
          </cell>
          <cell r="K780">
            <v>25887.579279012789</v>
          </cell>
          <cell r="L780">
            <v>1423816.8603457031</v>
          </cell>
          <cell r="M780">
            <v>32394.313930730743</v>
          </cell>
          <cell r="N780">
            <v>3174642.7652116125</v>
          </cell>
          <cell r="O780">
            <v>25026.558079129718</v>
          </cell>
          <cell r="P780">
            <v>575610.83581998362</v>
          </cell>
          <cell r="Q780">
            <v>19868.406464293483</v>
          </cell>
          <cell r="R780">
            <v>1986840.6464293483</v>
          </cell>
          <cell r="S780">
            <v>27295.30791599043</v>
          </cell>
          <cell r="T780">
            <v>1419356.0116315023</v>
          </cell>
          <cell r="U780">
            <v>27037.991155497592</v>
          </cell>
          <cell r="V780">
            <v>7570637.5235393252</v>
          </cell>
          <cell r="W780">
            <v>24623.40075910644</v>
          </cell>
          <cell r="X780">
            <v>2954808.0910927728</v>
          </cell>
          <cell r="Y780">
            <v>32197.815078358082</v>
          </cell>
          <cell r="Z780">
            <v>3863737.8094029706</v>
          </cell>
          <cell r="AA780">
            <v>24529.659763190764</v>
          </cell>
          <cell r="AB780">
            <v>3139796.4496884178</v>
          </cell>
          <cell r="AC780">
            <v>26538.978049548194</v>
          </cell>
        </row>
        <row r="781">
          <cell r="D781" t="str">
            <v>Operating Profit</v>
          </cell>
          <cell r="E781">
            <v>10950.713179176615</v>
          </cell>
          <cell r="F781">
            <v>558486.37213800242</v>
          </cell>
          <cell r="G781">
            <v>17346.994706410249</v>
          </cell>
          <cell r="H781">
            <v>867349.73532050964</v>
          </cell>
          <cell r="I781">
            <v>12364.225744453743</v>
          </cell>
          <cell r="J781">
            <v>544025.93275595992</v>
          </cell>
          <cell r="K781">
            <v>15936.374723034271</v>
          </cell>
          <cell r="L781">
            <v>876500.60976688284</v>
          </cell>
          <cell r="M781">
            <v>3130.6465301866774</v>
          </cell>
          <cell r="N781">
            <v>306803.35995829431</v>
          </cell>
          <cell r="O781">
            <v>11211.312013538314</v>
          </cell>
          <cell r="P781">
            <v>257860.17631138046</v>
          </cell>
          <cell r="Q781">
            <v>21955.547537753577</v>
          </cell>
          <cell r="R781">
            <v>2195554.7537753521</v>
          </cell>
          <cell r="S781">
            <v>9974.5261020266116</v>
          </cell>
          <cell r="T781">
            <v>518675.35730538424</v>
          </cell>
          <cell r="U781">
            <v>11705.668100069619</v>
          </cell>
          <cell r="V781">
            <v>3277587.0680194702</v>
          </cell>
          <cell r="W781">
            <v>12444.5662383419</v>
          </cell>
          <cell r="X781">
            <v>1493347.9486010298</v>
          </cell>
          <cell r="Y781">
            <v>4663.9436722727514</v>
          </cell>
          <cell r="Z781">
            <v>559673.24067273363</v>
          </cell>
          <cell r="AA781">
            <v>12898.633544458498</v>
          </cell>
          <cell r="AB781">
            <v>1651025.0936906878</v>
          </cell>
          <cell r="AC781">
            <v>11692.140631860591</v>
          </cell>
          <cell r="AE781" t="str">
            <v>Operating Profit</v>
          </cell>
        </row>
        <row r="783">
          <cell r="C783" t="str">
            <v>Other Income</v>
          </cell>
          <cell r="AD783" t="str">
            <v>Other Income</v>
          </cell>
        </row>
        <row r="784">
          <cell r="D784" t="str">
            <v>H.D</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E784" t="str">
            <v>H.D</v>
          </cell>
        </row>
        <row r="785">
          <cell r="D785" t="str">
            <v>Others</v>
          </cell>
          <cell r="E785">
            <v>18021.978021978022</v>
          </cell>
          <cell r="F785">
            <v>919120.87912087911</v>
          </cell>
          <cell r="G785">
            <v>15045.871559633028</v>
          </cell>
          <cell r="H785">
            <v>752294</v>
          </cell>
          <cell r="I785">
            <v>14629.794826048172</v>
          </cell>
          <cell r="J785">
            <v>643710.97234611958</v>
          </cell>
          <cell r="K785">
            <v>5120</v>
          </cell>
          <cell r="L785">
            <v>281600</v>
          </cell>
          <cell r="M785">
            <v>7356.3218390804595</v>
          </cell>
          <cell r="N785">
            <v>720919.54022988502</v>
          </cell>
          <cell r="O785">
            <v>7103.2186459489458</v>
          </cell>
          <cell r="P785">
            <v>163374.02885682575</v>
          </cell>
          <cell r="Q785">
            <v>5120</v>
          </cell>
          <cell r="R785">
            <v>512000</v>
          </cell>
          <cell r="S785">
            <v>6736.8421052631575</v>
          </cell>
          <cell r="T785">
            <v>350315.78947368421</v>
          </cell>
          <cell r="U785">
            <v>6213.5922330097092</v>
          </cell>
          <cell r="V785">
            <v>1739805.8252427187</v>
          </cell>
          <cell r="W785">
            <v>6808.510638297872</v>
          </cell>
          <cell r="X785">
            <v>817021.27659574465</v>
          </cell>
          <cell r="Y785">
            <v>6881.7204301075271</v>
          </cell>
          <cell r="Z785">
            <v>825806.45161290327</v>
          </cell>
          <cell r="AA785">
            <v>6680.5845511482257</v>
          </cell>
          <cell r="AB785">
            <v>855114.82254697289</v>
          </cell>
          <cell r="AC785">
            <v>7654.847088336961</v>
          </cell>
          <cell r="AE785" t="str">
            <v>Others</v>
          </cell>
        </row>
        <row r="786">
          <cell r="E786">
            <v>18021.978021978022</v>
          </cell>
          <cell r="F786">
            <v>919120.87912087911</v>
          </cell>
          <cell r="G786">
            <v>15045.871559633028</v>
          </cell>
          <cell r="H786">
            <v>752294</v>
          </cell>
          <cell r="I786">
            <v>14629.794826048172</v>
          </cell>
          <cell r="J786">
            <v>643710.97234611958</v>
          </cell>
          <cell r="K786">
            <v>5120</v>
          </cell>
          <cell r="L786">
            <v>281600</v>
          </cell>
          <cell r="M786">
            <v>7356.3218390804595</v>
          </cell>
          <cell r="N786">
            <v>720919.54022988502</v>
          </cell>
          <cell r="O786">
            <v>7103.2186459489458</v>
          </cell>
          <cell r="P786">
            <v>163374.02885682575</v>
          </cell>
          <cell r="Q786">
            <v>5120</v>
          </cell>
          <cell r="R786">
            <v>512000</v>
          </cell>
          <cell r="S786">
            <v>6736.8421052631575</v>
          </cell>
          <cell r="T786">
            <v>350315.78947368421</v>
          </cell>
          <cell r="U786">
            <v>6213.5922330097092</v>
          </cell>
          <cell r="V786">
            <v>1739805.8252427187</v>
          </cell>
          <cell r="W786">
            <v>6808.510638297872</v>
          </cell>
          <cell r="X786">
            <v>817021.27659574465</v>
          </cell>
          <cell r="Y786">
            <v>6881.7204301075271</v>
          </cell>
          <cell r="Z786">
            <v>825806.45161290327</v>
          </cell>
          <cell r="AA786">
            <v>6680.5845511482257</v>
          </cell>
          <cell r="AB786">
            <v>855114.82254697289</v>
          </cell>
          <cell r="AC786">
            <v>7654.847088336961</v>
          </cell>
        </row>
        <row r="788">
          <cell r="C788" t="str">
            <v>Profit / (Loss) before tax</v>
          </cell>
          <cell r="E788">
            <v>28972.691201154637</v>
          </cell>
          <cell r="F788">
            <v>1477607.2512588815</v>
          </cell>
          <cell r="G788">
            <v>32392.866266043275</v>
          </cell>
          <cell r="H788">
            <v>1619643.7353205096</v>
          </cell>
          <cell r="I788">
            <v>26994.020570501914</v>
          </cell>
          <cell r="J788">
            <v>1187736.9051020795</v>
          </cell>
          <cell r="K788">
            <v>21056.374723034271</v>
          </cell>
          <cell r="L788">
            <v>1158100.6097668828</v>
          </cell>
          <cell r="M788">
            <v>10486.968369267137</v>
          </cell>
          <cell r="N788">
            <v>1027722.9001881793</v>
          </cell>
          <cell r="O788">
            <v>18314.53065948726</v>
          </cell>
          <cell r="P788">
            <v>421234.20516820624</v>
          </cell>
          <cell r="Q788">
            <v>27075.547537753577</v>
          </cell>
          <cell r="R788">
            <v>2707554.7537753521</v>
          </cell>
          <cell r="S788">
            <v>16711.368207289768</v>
          </cell>
          <cell r="T788">
            <v>868991.14677906851</v>
          </cell>
          <cell r="U788">
            <v>17919.260333079328</v>
          </cell>
          <cell r="V788">
            <v>5017392.8932621889</v>
          </cell>
          <cell r="W788">
            <v>19253.076876639774</v>
          </cell>
          <cell r="X788">
            <v>2310369.2251967746</v>
          </cell>
          <cell r="Y788">
            <v>11545.664102380279</v>
          </cell>
          <cell r="Z788">
            <v>1385479.6922856369</v>
          </cell>
          <cell r="AA788">
            <v>19579.218095606724</v>
          </cell>
          <cell r="AB788">
            <v>2506139.9162376607</v>
          </cell>
          <cell r="AC788">
            <v>19346.987720197554</v>
          </cell>
          <cell r="AD788" t="str">
            <v>Profit before tax</v>
          </cell>
        </row>
        <row r="790">
          <cell r="C790" t="str">
            <v>Taxation</v>
          </cell>
          <cell r="AD790" t="str">
            <v>Taxation</v>
          </cell>
        </row>
        <row r="791">
          <cell r="D791" t="str">
            <v>Current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E791" t="str">
            <v>Current</v>
          </cell>
        </row>
        <row r="792">
          <cell r="D792" t="str">
            <v>Deferred</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E792" t="str">
            <v>Deferred</v>
          </cell>
        </row>
        <row r="793">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row>
        <row r="795">
          <cell r="C795" t="str">
            <v>Net Profit after taxation</v>
          </cell>
          <cell r="E795">
            <v>28972.691201154637</v>
          </cell>
          <cell r="F795">
            <v>1477607.2512588815</v>
          </cell>
          <cell r="G795">
            <v>32392.866266043275</v>
          </cell>
          <cell r="H795">
            <v>1619643.7353205096</v>
          </cell>
          <cell r="I795">
            <v>26994.020570501914</v>
          </cell>
          <cell r="J795">
            <v>1187736.9051020795</v>
          </cell>
          <cell r="K795">
            <v>21056.374723034271</v>
          </cell>
          <cell r="L795">
            <v>1158100.6097668828</v>
          </cell>
          <cell r="M795">
            <v>10486.968369267137</v>
          </cell>
          <cell r="N795">
            <v>1027722.9001881793</v>
          </cell>
          <cell r="O795">
            <v>18314.53065948726</v>
          </cell>
          <cell r="P795">
            <v>421234.20516820624</v>
          </cell>
          <cell r="Q795">
            <v>27075.547537753577</v>
          </cell>
          <cell r="R795">
            <v>2707554.7537753521</v>
          </cell>
          <cell r="S795">
            <v>16711.368207289768</v>
          </cell>
          <cell r="T795">
            <v>868991.14677906851</v>
          </cell>
          <cell r="U795">
            <v>17919.260333079328</v>
          </cell>
          <cell r="V795">
            <v>5017392.8932621889</v>
          </cell>
          <cell r="W795">
            <v>19253.076876639774</v>
          </cell>
          <cell r="X795">
            <v>2310369.2251967746</v>
          </cell>
          <cell r="Y795">
            <v>11545.664102380279</v>
          </cell>
          <cell r="Z795">
            <v>1385479.6922856369</v>
          </cell>
          <cell r="AA795">
            <v>19579.218095606724</v>
          </cell>
          <cell r="AB795">
            <v>2506139.9162376607</v>
          </cell>
          <cell r="AC795">
            <v>19346.987720197554</v>
          </cell>
          <cell r="AD795" t="str">
            <v>Net Profit after taxation</v>
          </cell>
        </row>
        <row r="797">
          <cell r="AC797" t="str">
            <v>Hilux 4x2 POLICE</v>
          </cell>
        </row>
        <row r="798">
          <cell r="E798">
            <v>37438</v>
          </cell>
          <cell r="G798">
            <v>37469</v>
          </cell>
          <cell r="I798">
            <v>37500</v>
          </cell>
          <cell r="K798">
            <v>37531</v>
          </cell>
          <cell r="M798">
            <v>37562</v>
          </cell>
          <cell r="O798">
            <v>37593</v>
          </cell>
          <cell r="Q798">
            <v>37624</v>
          </cell>
          <cell r="S798">
            <v>37655</v>
          </cell>
          <cell r="U798">
            <v>37686</v>
          </cell>
          <cell r="W798">
            <v>37717</v>
          </cell>
          <cell r="Y798">
            <v>37748</v>
          </cell>
          <cell r="AA798">
            <v>37779</v>
          </cell>
          <cell r="AC798" t="str">
            <v>Yearly</v>
          </cell>
        </row>
        <row r="799">
          <cell r="D799" t="str">
            <v>Hilux 4x2 POLICE</v>
          </cell>
          <cell r="E799" t="str">
            <v>Per Unit</v>
          </cell>
          <cell r="F799" t="str">
            <v>Total</v>
          </cell>
          <cell r="G799" t="str">
            <v>Per Unit</v>
          </cell>
          <cell r="H799" t="str">
            <v>Total</v>
          </cell>
          <cell r="I799" t="str">
            <v>Per Unit</v>
          </cell>
          <cell r="J799" t="str">
            <v>Total</v>
          </cell>
          <cell r="K799" t="str">
            <v>Per Unit</v>
          </cell>
          <cell r="L799" t="str">
            <v>Total</v>
          </cell>
          <cell r="M799" t="str">
            <v>Per Unit</v>
          </cell>
          <cell r="N799" t="str">
            <v>Total</v>
          </cell>
          <cell r="O799" t="str">
            <v>Per Unit</v>
          </cell>
          <cell r="P799" t="str">
            <v>Total</v>
          </cell>
          <cell r="Q799" t="str">
            <v>Per Unit</v>
          </cell>
          <cell r="R799" t="str">
            <v>Total</v>
          </cell>
          <cell r="S799" t="str">
            <v>Per Unit</v>
          </cell>
          <cell r="T799" t="str">
            <v>Total</v>
          </cell>
          <cell r="U799" t="str">
            <v>Per Unit</v>
          </cell>
          <cell r="V799" t="str">
            <v>Total</v>
          </cell>
          <cell r="W799" t="str">
            <v>Per Unit</v>
          </cell>
          <cell r="X799" t="str">
            <v>Total</v>
          </cell>
          <cell r="Y799" t="str">
            <v>Per Unit</v>
          </cell>
          <cell r="Z799" t="str">
            <v>Total</v>
          </cell>
          <cell r="AA799" t="str">
            <v>Per Unit</v>
          </cell>
          <cell r="AB799" t="str">
            <v>Total</v>
          </cell>
          <cell r="AC799" t="str">
            <v>Average</v>
          </cell>
          <cell r="AD799">
            <v>0</v>
          </cell>
          <cell r="AE799" t="str">
            <v>Hilux 4x2 Deckless</v>
          </cell>
        </row>
        <row r="801">
          <cell r="C801" t="str">
            <v>Sales Units</v>
          </cell>
          <cell r="E801">
            <v>69</v>
          </cell>
          <cell r="F801">
            <v>69</v>
          </cell>
          <cell r="G801">
            <v>190</v>
          </cell>
          <cell r="H801">
            <v>190</v>
          </cell>
          <cell r="I801">
            <v>227</v>
          </cell>
          <cell r="J801">
            <v>227</v>
          </cell>
          <cell r="K801">
            <v>265</v>
          </cell>
          <cell r="L801">
            <v>265</v>
          </cell>
          <cell r="M801">
            <v>112</v>
          </cell>
          <cell r="N801">
            <v>112</v>
          </cell>
          <cell r="O801">
            <v>208</v>
          </cell>
          <cell r="P801">
            <v>208</v>
          </cell>
          <cell r="Q801">
            <v>220</v>
          </cell>
          <cell r="R801">
            <v>220</v>
          </cell>
          <cell r="S801">
            <v>188</v>
          </cell>
          <cell r="T801">
            <v>188</v>
          </cell>
          <cell r="U801">
            <v>0</v>
          </cell>
          <cell r="V801">
            <v>0</v>
          </cell>
          <cell r="W801">
            <v>0</v>
          </cell>
          <cell r="X801">
            <v>0</v>
          </cell>
          <cell r="Y801">
            <v>0</v>
          </cell>
          <cell r="Z801">
            <v>0</v>
          </cell>
          <cell r="AA801">
            <v>0</v>
          </cell>
          <cell r="AB801">
            <v>0</v>
          </cell>
          <cell r="AC801">
            <v>1479</v>
          </cell>
          <cell r="AD801" t="str">
            <v>Sales Units</v>
          </cell>
        </row>
        <row r="803">
          <cell r="C803" t="str">
            <v>Selling Price</v>
          </cell>
          <cell r="E803">
            <v>765000</v>
          </cell>
          <cell r="F803">
            <v>52785000</v>
          </cell>
          <cell r="G803">
            <v>765000</v>
          </cell>
          <cell r="H803">
            <v>145350000</v>
          </cell>
          <cell r="I803">
            <v>765000</v>
          </cell>
          <cell r="J803">
            <v>173655000</v>
          </cell>
          <cell r="K803">
            <v>765000</v>
          </cell>
          <cell r="L803">
            <v>202725000</v>
          </cell>
          <cell r="M803">
            <v>765000</v>
          </cell>
          <cell r="N803">
            <v>85680000</v>
          </cell>
          <cell r="O803">
            <v>765000</v>
          </cell>
          <cell r="P803">
            <v>159120000</v>
          </cell>
          <cell r="Q803">
            <v>765000</v>
          </cell>
          <cell r="R803">
            <v>168300000</v>
          </cell>
          <cell r="S803">
            <v>765000</v>
          </cell>
          <cell r="T803">
            <v>143820000</v>
          </cell>
          <cell r="U803">
            <v>765000</v>
          </cell>
          <cell r="V803">
            <v>0</v>
          </cell>
          <cell r="W803">
            <v>765000</v>
          </cell>
          <cell r="X803">
            <v>0</v>
          </cell>
          <cell r="Y803">
            <v>765000</v>
          </cell>
          <cell r="Z803">
            <v>0</v>
          </cell>
          <cell r="AA803">
            <v>765000</v>
          </cell>
          <cell r="AB803">
            <v>0</v>
          </cell>
          <cell r="AC803">
            <v>765000</v>
          </cell>
          <cell r="AD803" t="str">
            <v>Selling Price</v>
          </cell>
        </row>
        <row r="804">
          <cell r="C804" t="str">
            <v>Less: Dealer commission</v>
          </cell>
          <cell r="E804">
            <v>-20000</v>
          </cell>
          <cell r="F804">
            <v>-1380000</v>
          </cell>
          <cell r="G804">
            <v>-20000</v>
          </cell>
          <cell r="H804">
            <v>-3800000</v>
          </cell>
          <cell r="I804">
            <v>-20000</v>
          </cell>
          <cell r="J804">
            <v>-4540000</v>
          </cell>
          <cell r="K804">
            <v>-20000</v>
          </cell>
          <cell r="L804">
            <v>-5300000</v>
          </cell>
          <cell r="M804">
            <v>-20000</v>
          </cell>
          <cell r="N804">
            <v>-2240000</v>
          </cell>
          <cell r="O804">
            <v>-20000</v>
          </cell>
          <cell r="P804">
            <v>-4160000</v>
          </cell>
          <cell r="Q804">
            <v>-20000</v>
          </cell>
          <cell r="R804">
            <v>-4400000</v>
          </cell>
          <cell r="S804">
            <v>-20000</v>
          </cell>
          <cell r="T804">
            <v>-3760000</v>
          </cell>
          <cell r="U804">
            <v>-20000</v>
          </cell>
          <cell r="V804">
            <v>0</v>
          </cell>
          <cell r="W804">
            <v>-20000</v>
          </cell>
          <cell r="X804">
            <v>0</v>
          </cell>
          <cell r="Y804">
            <v>-20000</v>
          </cell>
          <cell r="Z804">
            <v>0</v>
          </cell>
          <cell r="AA804">
            <v>-20000</v>
          </cell>
          <cell r="AB804">
            <v>0</v>
          </cell>
          <cell r="AC804">
            <v>-20000</v>
          </cell>
          <cell r="AD804" t="str">
            <v>Less: Dealer commission</v>
          </cell>
        </row>
        <row r="805">
          <cell r="D805" t="str">
            <v xml:space="preserve">  Sales tax</v>
          </cell>
          <cell r="E805">
            <v>-99782.608695652176</v>
          </cell>
          <cell r="F805">
            <v>-6885000</v>
          </cell>
          <cell r="G805">
            <v>-99782.608695652176</v>
          </cell>
          <cell r="H805">
            <v>-18958695.652173914</v>
          </cell>
          <cell r="I805">
            <v>-99782.608695652176</v>
          </cell>
          <cell r="J805">
            <v>-22650652.173913043</v>
          </cell>
          <cell r="K805">
            <v>-99782.608695652176</v>
          </cell>
          <cell r="L805">
            <v>-26442391.304347828</v>
          </cell>
          <cell r="M805">
            <v>-99782.608695652176</v>
          </cell>
          <cell r="N805">
            <v>-11175652.173913043</v>
          </cell>
          <cell r="O805">
            <v>-99782.608695652176</v>
          </cell>
          <cell r="P805">
            <v>-20754782.608695652</v>
          </cell>
          <cell r="Q805">
            <v>-99782.608695652176</v>
          </cell>
          <cell r="R805">
            <v>-21952173.91304348</v>
          </cell>
          <cell r="S805">
            <v>-99782.608695652176</v>
          </cell>
          <cell r="T805">
            <v>-18759130.434782609</v>
          </cell>
          <cell r="U805">
            <v>-99782.608695652176</v>
          </cell>
          <cell r="V805">
            <v>0</v>
          </cell>
          <cell r="W805">
            <v>-99782.608695652176</v>
          </cell>
          <cell r="X805">
            <v>0</v>
          </cell>
          <cell r="Y805">
            <v>-99782.608695652176</v>
          </cell>
          <cell r="Z805">
            <v>0</v>
          </cell>
          <cell r="AA805">
            <v>-99782.608695652176</v>
          </cell>
          <cell r="AB805">
            <v>0</v>
          </cell>
          <cell r="AC805">
            <v>-99782.608695652176</v>
          </cell>
          <cell r="AE805" t="str">
            <v xml:space="preserve">  Sales tax</v>
          </cell>
        </row>
        <row r="806">
          <cell r="C806" t="str">
            <v>Net Sales</v>
          </cell>
          <cell r="E806">
            <v>645217.39130434778</v>
          </cell>
          <cell r="F806">
            <v>44520000</v>
          </cell>
          <cell r="G806">
            <v>645217.39130434778</v>
          </cell>
          <cell r="H806">
            <v>122591304.34782609</v>
          </cell>
          <cell r="I806">
            <v>645217.39130434778</v>
          </cell>
          <cell r="J806">
            <v>146464347.82608697</v>
          </cell>
          <cell r="K806">
            <v>645217.39130434778</v>
          </cell>
          <cell r="L806">
            <v>170982608.69565219</v>
          </cell>
          <cell r="M806">
            <v>645217.39130434778</v>
          </cell>
          <cell r="N806">
            <v>72264347.826086953</v>
          </cell>
          <cell r="O806">
            <v>645217.39130434778</v>
          </cell>
          <cell r="P806">
            <v>134205217.39130434</v>
          </cell>
          <cell r="Q806">
            <v>645217.39130434778</v>
          </cell>
          <cell r="R806">
            <v>141947826.08695653</v>
          </cell>
          <cell r="S806">
            <v>645217.39130434778</v>
          </cell>
          <cell r="T806">
            <v>121300869.56521739</v>
          </cell>
          <cell r="U806">
            <v>645217.39130434778</v>
          </cell>
          <cell r="V806">
            <v>0</v>
          </cell>
          <cell r="W806">
            <v>645217.39130434778</v>
          </cell>
          <cell r="X806">
            <v>0</v>
          </cell>
          <cell r="Y806">
            <v>645217.39130434778</v>
          </cell>
          <cell r="Z806">
            <v>0</v>
          </cell>
          <cell r="AA806">
            <v>645217.39130434778</v>
          </cell>
          <cell r="AB806">
            <v>0</v>
          </cell>
          <cell r="AC806">
            <v>645217.39130434778</v>
          </cell>
          <cell r="AD806" t="str">
            <v>Net Sales</v>
          </cell>
          <cell r="AE806">
            <v>954276521.7391305</v>
          </cell>
        </row>
        <row r="808">
          <cell r="C808" t="str">
            <v>Variable Cost of Sales</v>
          </cell>
          <cell r="AD808" t="str">
            <v>Variable Cost of Sales</v>
          </cell>
        </row>
        <row r="809">
          <cell r="D809" t="str">
            <v>CKD Cost</v>
          </cell>
          <cell r="E809">
            <v>456549.51474417676</v>
          </cell>
          <cell r="F809">
            <v>31501916.517348196</v>
          </cell>
          <cell r="G809">
            <v>456549.51474417676</v>
          </cell>
          <cell r="H809">
            <v>86744407.801393583</v>
          </cell>
          <cell r="I809">
            <v>456549.51474417676</v>
          </cell>
          <cell r="J809">
            <v>103636739.84692812</v>
          </cell>
          <cell r="K809">
            <v>456549.51474417676</v>
          </cell>
          <cell r="L809">
            <v>120985621.40720685</v>
          </cell>
          <cell r="M809">
            <v>456549.51474417676</v>
          </cell>
          <cell r="N809">
            <v>51133545.651347801</v>
          </cell>
          <cell r="O809">
            <v>456549.51474417676</v>
          </cell>
          <cell r="P809">
            <v>94962299.066788763</v>
          </cell>
          <cell r="Q809">
            <v>456549.51474417676</v>
          </cell>
          <cell r="R809">
            <v>100440893.24371889</v>
          </cell>
          <cell r="S809">
            <v>456549.51474417676</v>
          </cell>
          <cell r="T809">
            <v>85831308.771905228</v>
          </cell>
          <cell r="U809">
            <v>456549.51474417676</v>
          </cell>
          <cell r="V809">
            <v>0</v>
          </cell>
          <cell r="W809">
            <v>456549.51474417676</v>
          </cell>
          <cell r="X809">
            <v>0</v>
          </cell>
          <cell r="Y809">
            <v>456549.51474417676</v>
          </cell>
          <cell r="Z809">
            <v>0</v>
          </cell>
          <cell r="AA809">
            <v>456549.51474417676</v>
          </cell>
          <cell r="AB809">
            <v>0</v>
          </cell>
          <cell r="AC809">
            <v>456549.51474417676</v>
          </cell>
          <cell r="AE809" t="str">
            <v>CKD Cost</v>
          </cell>
          <cell r="AF809">
            <v>675236732.30663741</v>
          </cell>
        </row>
        <row r="810">
          <cell r="D810" t="str">
            <v>Vendor parts</v>
          </cell>
          <cell r="E810">
            <v>139346</v>
          </cell>
          <cell r="F810">
            <v>9614874</v>
          </cell>
          <cell r="G810">
            <v>139346</v>
          </cell>
          <cell r="H810">
            <v>26475740</v>
          </cell>
          <cell r="I810">
            <v>139346</v>
          </cell>
          <cell r="J810">
            <v>31631542</v>
          </cell>
          <cell r="K810">
            <v>139346</v>
          </cell>
          <cell r="L810">
            <v>36926690</v>
          </cell>
          <cell r="M810">
            <v>139346</v>
          </cell>
          <cell r="N810">
            <v>15606752</v>
          </cell>
          <cell r="O810">
            <v>139346</v>
          </cell>
          <cell r="P810">
            <v>28983968</v>
          </cell>
          <cell r="Q810">
            <v>139346</v>
          </cell>
          <cell r="R810">
            <v>30656120</v>
          </cell>
          <cell r="S810">
            <v>139346</v>
          </cell>
          <cell r="T810">
            <v>26197048</v>
          </cell>
          <cell r="U810">
            <v>139346</v>
          </cell>
          <cell r="V810">
            <v>0</v>
          </cell>
          <cell r="W810">
            <v>139346</v>
          </cell>
          <cell r="X810">
            <v>0</v>
          </cell>
          <cell r="Y810">
            <v>139346</v>
          </cell>
          <cell r="Z810">
            <v>0</v>
          </cell>
          <cell r="AA810">
            <v>139346</v>
          </cell>
          <cell r="AB810">
            <v>0</v>
          </cell>
          <cell r="AC810">
            <v>139346</v>
          </cell>
          <cell r="AE810" t="str">
            <v>Vendor parts</v>
          </cell>
          <cell r="AF810">
            <v>206092734</v>
          </cell>
        </row>
        <row r="811">
          <cell r="D811" t="str">
            <v>Nummi Parts</v>
          </cell>
          <cell r="AE811" t="str">
            <v>Nomi Parts</v>
          </cell>
          <cell r="AF811">
            <v>0</v>
          </cell>
        </row>
        <row r="812">
          <cell r="D812" t="str">
            <v>Paints &amp; Chemicals</v>
          </cell>
          <cell r="E812">
            <v>11677</v>
          </cell>
          <cell r="F812">
            <v>805713</v>
          </cell>
          <cell r="G812">
            <v>11677</v>
          </cell>
          <cell r="H812">
            <v>2218630</v>
          </cell>
          <cell r="I812">
            <v>11677</v>
          </cell>
          <cell r="J812">
            <v>2650679</v>
          </cell>
          <cell r="K812">
            <v>11677</v>
          </cell>
          <cell r="L812">
            <v>3094405</v>
          </cell>
          <cell r="M812">
            <v>11677</v>
          </cell>
          <cell r="N812">
            <v>1307824</v>
          </cell>
          <cell r="O812">
            <v>11677</v>
          </cell>
          <cell r="P812">
            <v>2428816</v>
          </cell>
          <cell r="Q812">
            <v>11677</v>
          </cell>
          <cell r="R812">
            <v>2568940</v>
          </cell>
          <cell r="S812">
            <v>11677</v>
          </cell>
          <cell r="T812">
            <v>2195276</v>
          </cell>
          <cell r="U812">
            <v>11677</v>
          </cell>
          <cell r="V812">
            <v>0</v>
          </cell>
          <cell r="W812">
            <v>11677</v>
          </cell>
          <cell r="X812">
            <v>0</v>
          </cell>
          <cell r="Y812">
            <v>11677</v>
          </cell>
          <cell r="Z812">
            <v>0</v>
          </cell>
          <cell r="AA812">
            <v>11677</v>
          </cell>
          <cell r="AB812">
            <v>0</v>
          </cell>
          <cell r="AC812">
            <v>11677</v>
          </cell>
          <cell r="AE812" t="str">
            <v>Paints &amp; Chemicals</v>
          </cell>
          <cell r="AF812">
            <v>17270283</v>
          </cell>
        </row>
        <row r="813">
          <cell r="D813" t="str">
            <v>Consumables</v>
          </cell>
          <cell r="E813">
            <v>3227</v>
          </cell>
          <cell r="F813">
            <v>222663</v>
          </cell>
          <cell r="G813">
            <v>3227</v>
          </cell>
          <cell r="H813">
            <v>613130</v>
          </cell>
          <cell r="I813">
            <v>3227</v>
          </cell>
          <cell r="J813">
            <v>732529</v>
          </cell>
          <cell r="K813">
            <v>3227</v>
          </cell>
          <cell r="L813">
            <v>855155</v>
          </cell>
          <cell r="M813">
            <v>3227</v>
          </cell>
          <cell r="N813">
            <v>361424</v>
          </cell>
          <cell r="O813">
            <v>3227</v>
          </cell>
          <cell r="P813">
            <v>671216</v>
          </cell>
          <cell r="Q813">
            <v>3227</v>
          </cell>
          <cell r="R813">
            <v>709940</v>
          </cell>
          <cell r="S813">
            <v>3227</v>
          </cell>
          <cell r="T813">
            <v>606676</v>
          </cell>
          <cell r="U813">
            <v>3227</v>
          </cell>
          <cell r="V813">
            <v>0</v>
          </cell>
          <cell r="W813">
            <v>3227</v>
          </cell>
          <cell r="X813">
            <v>0</v>
          </cell>
          <cell r="Y813">
            <v>3227</v>
          </cell>
          <cell r="Z813">
            <v>0</v>
          </cell>
          <cell r="AA813">
            <v>3227</v>
          </cell>
          <cell r="AB813">
            <v>0</v>
          </cell>
          <cell r="AC813">
            <v>3227</v>
          </cell>
          <cell r="AE813" t="str">
            <v>Consumables</v>
          </cell>
          <cell r="AF813">
            <v>4772733</v>
          </cell>
        </row>
        <row r="814">
          <cell r="D814" t="str">
            <v>KD Parts</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E814" t="str">
            <v>KD Parts</v>
          </cell>
          <cell r="AF814">
            <v>0</v>
          </cell>
        </row>
        <row r="815">
          <cell r="D815" t="str">
            <v>Spare parts</v>
          </cell>
          <cell r="E815">
            <v>41</v>
          </cell>
          <cell r="F815">
            <v>2829</v>
          </cell>
          <cell r="G815">
            <v>41</v>
          </cell>
          <cell r="H815">
            <v>7790</v>
          </cell>
          <cell r="I815">
            <v>41</v>
          </cell>
          <cell r="J815">
            <v>9307</v>
          </cell>
          <cell r="K815">
            <v>41</v>
          </cell>
          <cell r="L815">
            <v>10865</v>
          </cell>
          <cell r="M815">
            <v>41</v>
          </cell>
          <cell r="N815">
            <v>4592</v>
          </cell>
          <cell r="O815">
            <v>41</v>
          </cell>
          <cell r="P815">
            <v>8528</v>
          </cell>
          <cell r="Q815">
            <v>41</v>
          </cell>
          <cell r="R815">
            <v>9020</v>
          </cell>
          <cell r="S815">
            <v>41</v>
          </cell>
          <cell r="T815">
            <v>7708</v>
          </cell>
          <cell r="U815">
            <v>41</v>
          </cell>
          <cell r="V815">
            <v>0</v>
          </cell>
          <cell r="W815">
            <v>41</v>
          </cell>
          <cell r="X815">
            <v>0</v>
          </cell>
          <cell r="Y815">
            <v>41</v>
          </cell>
          <cell r="Z815">
            <v>0</v>
          </cell>
          <cell r="AA815">
            <v>41</v>
          </cell>
          <cell r="AB815">
            <v>0</v>
          </cell>
          <cell r="AC815">
            <v>41</v>
          </cell>
          <cell r="AE815" t="str">
            <v>Spare parts</v>
          </cell>
          <cell r="AF815">
            <v>60639</v>
          </cell>
        </row>
        <row r="816">
          <cell r="D816" t="str">
            <v>Utilities</v>
          </cell>
          <cell r="E816">
            <v>4297</v>
          </cell>
          <cell r="F816">
            <v>296493</v>
          </cell>
          <cell r="G816">
            <v>4297</v>
          </cell>
          <cell r="H816">
            <v>816430</v>
          </cell>
          <cell r="I816">
            <v>4297</v>
          </cell>
          <cell r="J816">
            <v>975419</v>
          </cell>
          <cell r="K816">
            <v>4297</v>
          </cell>
          <cell r="L816">
            <v>1138705</v>
          </cell>
          <cell r="M816">
            <v>4297</v>
          </cell>
          <cell r="N816">
            <v>481264</v>
          </cell>
          <cell r="O816">
            <v>4297</v>
          </cell>
          <cell r="P816">
            <v>893776</v>
          </cell>
          <cell r="Q816">
            <v>4297</v>
          </cell>
          <cell r="R816">
            <v>945340</v>
          </cell>
          <cell r="S816">
            <v>4297</v>
          </cell>
          <cell r="T816">
            <v>807836</v>
          </cell>
          <cell r="U816">
            <v>4297</v>
          </cell>
          <cell r="V816">
            <v>0</v>
          </cell>
          <cell r="W816">
            <v>4297</v>
          </cell>
          <cell r="X816">
            <v>0</v>
          </cell>
          <cell r="Y816">
            <v>4297</v>
          </cell>
          <cell r="Z816">
            <v>0</v>
          </cell>
          <cell r="AA816">
            <v>4297</v>
          </cell>
          <cell r="AB816">
            <v>0</v>
          </cell>
          <cell r="AC816">
            <v>4297</v>
          </cell>
          <cell r="AE816" t="str">
            <v>Utilites</v>
          </cell>
          <cell r="AF816">
            <v>6355263</v>
          </cell>
        </row>
        <row r="817">
          <cell r="D817" t="str">
            <v>Royalty</v>
          </cell>
          <cell r="E817">
            <v>3399.76</v>
          </cell>
          <cell r="F817">
            <v>234583.44</v>
          </cell>
          <cell r="G817">
            <v>3399.76</v>
          </cell>
          <cell r="H817">
            <v>645954.4</v>
          </cell>
          <cell r="I817">
            <v>3399.76</v>
          </cell>
          <cell r="J817">
            <v>771745.52</v>
          </cell>
          <cell r="K817">
            <v>3399.76</v>
          </cell>
          <cell r="L817">
            <v>900936.4</v>
          </cell>
          <cell r="M817">
            <v>3399.76</v>
          </cell>
          <cell r="N817">
            <v>380773.12</v>
          </cell>
          <cell r="O817">
            <v>3399.76</v>
          </cell>
          <cell r="P817">
            <v>707150.08000000007</v>
          </cell>
          <cell r="Q817">
            <v>3399.76</v>
          </cell>
          <cell r="R817">
            <v>747947.20000000007</v>
          </cell>
          <cell r="S817">
            <v>3399.76</v>
          </cell>
          <cell r="T817">
            <v>639154.88</v>
          </cell>
          <cell r="U817">
            <v>3399.76</v>
          </cell>
          <cell r="V817">
            <v>0</v>
          </cell>
          <cell r="W817">
            <v>3399.76</v>
          </cell>
          <cell r="X817">
            <v>0</v>
          </cell>
          <cell r="Y817">
            <v>3399.76</v>
          </cell>
          <cell r="Z817">
            <v>0</v>
          </cell>
          <cell r="AA817">
            <v>3399.76</v>
          </cell>
          <cell r="AB817">
            <v>0</v>
          </cell>
          <cell r="AC817">
            <v>3399.76</v>
          </cell>
          <cell r="AE817" t="str">
            <v>Royalty</v>
          </cell>
          <cell r="AF817">
            <v>5028245.04</v>
          </cell>
        </row>
        <row r="819">
          <cell r="E819">
            <v>618537.27474417677</v>
          </cell>
          <cell r="F819">
            <v>42679071.957348198</v>
          </cell>
          <cell r="G819">
            <v>618537.27474417677</v>
          </cell>
          <cell r="H819">
            <v>117522082.20139359</v>
          </cell>
          <cell r="I819">
            <v>618537.27474417677</v>
          </cell>
          <cell r="J819">
            <v>140407961.36692813</v>
          </cell>
          <cell r="K819">
            <v>618537.27474417677</v>
          </cell>
          <cell r="L819">
            <v>163912377.80720684</v>
          </cell>
          <cell r="M819">
            <v>618537.27474417677</v>
          </cell>
          <cell r="N819">
            <v>69276174.771347806</v>
          </cell>
          <cell r="O819">
            <v>618537.27474417677</v>
          </cell>
          <cell r="P819">
            <v>128655753.14678876</v>
          </cell>
          <cell r="Q819">
            <v>618537.27474417677</v>
          </cell>
          <cell r="R819">
            <v>136078200.44371888</v>
          </cell>
          <cell r="S819">
            <v>618537.27474417677</v>
          </cell>
          <cell r="T819">
            <v>116285007.65190522</v>
          </cell>
          <cell r="U819">
            <v>618537.27474417677</v>
          </cell>
          <cell r="V819">
            <v>0</v>
          </cell>
          <cell r="W819">
            <v>618537.27474417677</v>
          </cell>
          <cell r="X819">
            <v>0</v>
          </cell>
          <cell r="Y819">
            <v>618537.27474417677</v>
          </cell>
          <cell r="Z819">
            <v>0</v>
          </cell>
          <cell r="AA819">
            <v>618537.27474417677</v>
          </cell>
          <cell r="AB819">
            <v>0</v>
          </cell>
          <cell r="AC819">
            <v>618537.27474417677</v>
          </cell>
          <cell r="AF819">
            <v>914816629.34663749</v>
          </cell>
        </row>
        <row r="820">
          <cell r="C820" t="str">
            <v>Contribution Margin</v>
          </cell>
          <cell r="E820">
            <v>26680.116560171009</v>
          </cell>
          <cell r="F820">
            <v>1840928.0426518023</v>
          </cell>
          <cell r="G820">
            <v>26680.116560171009</v>
          </cell>
          <cell r="H820">
            <v>5069222.1464325041</v>
          </cell>
          <cell r="I820">
            <v>26680.116560171009</v>
          </cell>
          <cell r="J820">
            <v>6056386.4591588378</v>
          </cell>
          <cell r="K820">
            <v>26680.116560171009</v>
          </cell>
          <cell r="L820">
            <v>7070230.8884453475</v>
          </cell>
          <cell r="M820">
            <v>26680.116560171009</v>
          </cell>
          <cell r="N820">
            <v>2988173.0547391474</v>
          </cell>
          <cell r="O820">
            <v>26680.116560171009</v>
          </cell>
          <cell r="P820">
            <v>5549464.2445155829</v>
          </cell>
          <cell r="Q820">
            <v>26680.116560171009</v>
          </cell>
          <cell r="R820">
            <v>5869625.6432376504</v>
          </cell>
          <cell r="S820">
            <v>26680.116560171009</v>
          </cell>
          <cell r="T820">
            <v>5015861.9133121669</v>
          </cell>
          <cell r="U820">
            <v>26680.116560171009</v>
          </cell>
          <cell r="V820">
            <v>0</v>
          </cell>
          <cell r="W820">
            <v>26680.116560171009</v>
          </cell>
          <cell r="X820">
            <v>0</v>
          </cell>
          <cell r="Y820">
            <v>26680.116560171009</v>
          </cell>
          <cell r="Z820">
            <v>0</v>
          </cell>
          <cell r="AA820">
            <v>26680.116560171009</v>
          </cell>
          <cell r="AB820">
            <v>0</v>
          </cell>
          <cell r="AC820">
            <v>26680.116560171009</v>
          </cell>
          <cell r="AD820" t="str">
            <v>Contribution Margin</v>
          </cell>
        </row>
        <row r="822">
          <cell r="C822" t="str">
            <v>Production cost</v>
          </cell>
          <cell r="AD822" t="str">
            <v>Production cost</v>
          </cell>
        </row>
        <row r="823">
          <cell r="D823" t="str">
            <v xml:space="preserve">Salaries &amp; Wages </v>
          </cell>
          <cell r="E823">
            <v>5330.971806841444</v>
          </cell>
          <cell r="F823">
            <v>367837.05467205966</v>
          </cell>
          <cell r="G823">
            <v>4450.6278387391867</v>
          </cell>
          <cell r="H823">
            <v>845619.28936044546</v>
          </cell>
          <cell r="I823">
            <v>4327.5507084975143</v>
          </cell>
          <cell r="J823">
            <v>982354.01082893577</v>
          </cell>
          <cell r="K823">
            <v>3880.9474753805712</v>
          </cell>
          <cell r="L823">
            <v>1028451.0809758514</v>
          </cell>
          <cell r="M823">
            <v>5576.0739588801307</v>
          </cell>
          <cell r="N823">
            <v>624520.28339457465</v>
          </cell>
          <cell r="O823">
            <v>5384.2223576312035</v>
          </cell>
          <cell r="P823">
            <v>1119918.2503872903</v>
          </cell>
          <cell r="Q823">
            <v>3880.9474753805712</v>
          </cell>
          <cell r="R823">
            <v>853808.44458372565</v>
          </cell>
          <cell r="S823">
            <v>5106.5098360270676</v>
          </cell>
          <cell r="T823">
            <v>960023.84917308867</v>
          </cell>
          <cell r="U823">
            <v>4709.8877128404993</v>
          </cell>
          <cell r="V823">
            <v>0</v>
          </cell>
          <cell r="W823">
            <v>5160.8344087507594</v>
          </cell>
          <cell r="X823">
            <v>0</v>
          </cell>
          <cell r="Y823">
            <v>5216.3272518556068</v>
          </cell>
          <cell r="Z823">
            <v>0</v>
          </cell>
          <cell r="AA823">
            <v>5063.8667476260061</v>
          </cell>
          <cell r="AB823">
            <v>0</v>
          </cell>
          <cell r="AC823">
            <v>4585.8906446085002</v>
          </cell>
          <cell r="AE823" t="str">
            <v xml:space="preserve">Salaries &amp; Wages </v>
          </cell>
        </row>
        <row r="824">
          <cell r="D824" t="str">
            <v xml:space="preserve">Utilities </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E824" t="str">
            <v xml:space="preserve">Utilities </v>
          </cell>
        </row>
        <row r="825">
          <cell r="D825" t="str">
            <v>Depreciation</v>
          </cell>
          <cell r="E825">
            <v>11150.091575091576</v>
          </cell>
          <cell r="F825">
            <v>769356.31868131866</v>
          </cell>
          <cell r="G825">
            <v>9308.7920489296648</v>
          </cell>
          <cell r="H825">
            <v>1768670.4892966363</v>
          </cell>
          <cell r="I825">
            <v>9051.3678263455258</v>
          </cell>
          <cell r="J825">
            <v>2054660.4965804343</v>
          </cell>
          <cell r="K825">
            <v>8117.2666666666673</v>
          </cell>
          <cell r="L825">
            <v>2151075.666666667</v>
          </cell>
          <cell r="M825">
            <v>11662.739463601532</v>
          </cell>
          <cell r="N825">
            <v>1306226.8199233715</v>
          </cell>
          <cell r="O825">
            <v>11261.468738438773</v>
          </cell>
          <cell r="P825">
            <v>2342385.4975952646</v>
          </cell>
          <cell r="Q825">
            <v>8117.2666666666673</v>
          </cell>
          <cell r="R825">
            <v>1785798.6666666667</v>
          </cell>
          <cell r="S825">
            <v>10680.614035087719</v>
          </cell>
          <cell r="T825">
            <v>2007955.4385964912</v>
          </cell>
          <cell r="U825">
            <v>9851.0517799352765</v>
          </cell>
          <cell r="V825">
            <v>0</v>
          </cell>
          <cell r="W825">
            <v>10794.237588652482</v>
          </cell>
          <cell r="X825">
            <v>0</v>
          </cell>
          <cell r="Y825">
            <v>10910.304659498208</v>
          </cell>
          <cell r="Z825">
            <v>0</v>
          </cell>
          <cell r="AA825">
            <v>10591.423103688239</v>
          </cell>
          <cell r="AB825">
            <v>0</v>
          </cell>
          <cell r="AC825">
            <v>9591.7034442236982</v>
          </cell>
          <cell r="AE825" t="str">
            <v>Depreciation</v>
          </cell>
        </row>
        <row r="826">
          <cell r="D826" t="str">
            <v xml:space="preserve">Other Factory overhead </v>
          </cell>
          <cell r="E826">
            <v>3328.5244606883934</v>
          </cell>
          <cell r="F826">
            <v>229668.18778749916</v>
          </cell>
          <cell r="G826">
            <v>2778.859870849943</v>
          </cell>
          <cell r="H826">
            <v>527983.3754614892</v>
          </cell>
          <cell r="I826">
            <v>2702.0136121556093</v>
          </cell>
          <cell r="J826">
            <v>613357.08995932329</v>
          </cell>
          <cell r="K826">
            <v>2423.1658073811504</v>
          </cell>
          <cell r="L826">
            <v>642138.93895600492</v>
          </cell>
          <cell r="M826">
            <v>3481.5600680763655</v>
          </cell>
          <cell r="N826">
            <v>389934.72762455291</v>
          </cell>
          <cell r="O826">
            <v>3361.7727627374452</v>
          </cell>
          <cell r="P826">
            <v>699248.73464938859</v>
          </cell>
          <cell r="Q826">
            <v>2423.1658073811504</v>
          </cell>
          <cell r="R826">
            <v>533096.47762385313</v>
          </cell>
          <cell r="S826">
            <v>3188.3760623436192</v>
          </cell>
          <cell r="T826">
            <v>599414.69972060039</v>
          </cell>
          <cell r="U826">
            <v>2940.735203132464</v>
          </cell>
          <cell r="V826">
            <v>0</v>
          </cell>
          <cell r="W826">
            <v>3222.2949566238703</v>
          </cell>
          <cell r="X826">
            <v>0</v>
          </cell>
          <cell r="Y826">
            <v>3256.9432894907936</v>
          </cell>
          <cell r="Z826">
            <v>0</v>
          </cell>
          <cell r="AA826">
            <v>3161.7507925119394</v>
          </cell>
          <cell r="AB826">
            <v>0</v>
          </cell>
          <cell r="AC826">
            <v>2863.3145583385476</v>
          </cell>
          <cell r="AE826" t="str">
            <v xml:space="preserve">Other Factory overhead </v>
          </cell>
        </row>
        <row r="827">
          <cell r="D827" t="str">
            <v>Running Royalty</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E827" t="str">
            <v>Running Royalty</v>
          </cell>
        </row>
        <row r="828">
          <cell r="E828">
            <v>19809.587842621411</v>
          </cell>
          <cell r="F828">
            <v>1366861.5611408777</v>
          </cell>
          <cell r="G828">
            <v>16538.279758518795</v>
          </cell>
          <cell r="H828">
            <v>3142273.1541185705</v>
          </cell>
          <cell r="I828">
            <v>16080.93214699865</v>
          </cell>
          <cell r="J828">
            <v>3650371.5973686934</v>
          </cell>
          <cell r="K828">
            <v>14421.379949428388</v>
          </cell>
          <cell r="L828">
            <v>3821665.6865985235</v>
          </cell>
          <cell r="M828">
            <v>20720.373490558028</v>
          </cell>
          <cell r="N828">
            <v>2320681.830942499</v>
          </cell>
          <cell r="O828">
            <v>20007.463858807419</v>
          </cell>
          <cell r="P828">
            <v>4161552.4826319437</v>
          </cell>
          <cell r="Q828">
            <v>14421.379949428388</v>
          </cell>
          <cell r="R828">
            <v>3172703.5888742451</v>
          </cell>
          <cell r="S828">
            <v>18975.499933458406</v>
          </cell>
          <cell r="T828">
            <v>3567393.9874901799</v>
          </cell>
          <cell r="U828">
            <v>17501.674695908237</v>
          </cell>
          <cell r="V828">
            <v>0</v>
          </cell>
          <cell r="W828">
            <v>19177.366954027111</v>
          </cell>
          <cell r="X828">
            <v>0</v>
          </cell>
          <cell r="Y828">
            <v>19383.575200844611</v>
          </cell>
          <cell r="Z828">
            <v>0</v>
          </cell>
          <cell r="AA828">
            <v>18817.040643826185</v>
          </cell>
          <cell r="AB828">
            <v>0</v>
          </cell>
          <cell r="AC828">
            <v>17040.908647170745</v>
          </cell>
        </row>
        <row r="829">
          <cell r="C829" t="str">
            <v>Gross Profit</v>
          </cell>
          <cell r="E829">
            <v>6870.5287175495978</v>
          </cell>
          <cell r="F829">
            <v>474066.48151092464</v>
          </cell>
          <cell r="G829">
            <v>10141.836801652214</v>
          </cell>
          <cell r="H829">
            <v>1926948.9923139336</v>
          </cell>
          <cell r="I829">
            <v>10599.184413172359</v>
          </cell>
          <cell r="J829">
            <v>2406014.8617901444</v>
          </cell>
          <cell r="K829">
            <v>12258.736610742621</v>
          </cell>
          <cell r="L829">
            <v>3248565.201846824</v>
          </cell>
          <cell r="M829">
            <v>5959.7430696129813</v>
          </cell>
          <cell r="N829">
            <v>667491.22379664844</v>
          </cell>
          <cell r="O829">
            <v>6672.6527013635896</v>
          </cell>
          <cell r="P829">
            <v>1387911.7618836393</v>
          </cell>
          <cell r="Q829">
            <v>12258.736610742621</v>
          </cell>
          <cell r="R829">
            <v>2696922.0543634053</v>
          </cell>
          <cell r="S829">
            <v>7704.6166267126027</v>
          </cell>
          <cell r="T829">
            <v>1448467.925821987</v>
          </cell>
          <cell r="U829">
            <v>9178.4418642627716</v>
          </cell>
          <cell r="V829">
            <v>0</v>
          </cell>
          <cell r="W829">
            <v>7502.7496061438978</v>
          </cell>
          <cell r="X829">
            <v>0</v>
          </cell>
          <cell r="Y829">
            <v>7296.5413593263984</v>
          </cell>
          <cell r="Z829">
            <v>0</v>
          </cell>
          <cell r="AA829">
            <v>7863.0759163448238</v>
          </cell>
          <cell r="AB829">
            <v>0</v>
          </cell>
          <cell r="AC829">
            <v>9639.2079130002639</v>
          </cell>
          <cell r="AD829" t="str">
            <v>Gross Profit</v>
          </cell>
        </row>
        <row r="830">
          <cell r="E830">
            <v>1.0648393564935361</v>
          </cell>
          <cell r="F830">
            <v>1.0648393564935414</v>
          </cell>
          <cell r="G830">
            <v>1.5718480218194133</v>
          </cell>
          <cell r="H830">
            <v>1.5718480218194237</v>
          </cell>
          <cell r="I830">
            <v>1.6427307378905951</v>
          </cell>
          <cell r="J830">
            <v>1.6427307378906075</v>
          </cell>
          <cell r="K830">
            <v>1.8999389625814034</v>
          </cell>
          <cell r="L830">
            <v>1.8999389625814205</v>
          </cell>
          <cell r="M830">
            <v>0.92367985580255108</v>
          </cell>
          <cell r="N830">
            <v>0.92367985580254341</v>
          </cell>
          <cell r="O830">
            <v>1.0341712407773758</v>
          </cell>
          <cell r="P830">
            <v>1.0341712407773853</v>
          </cell>
          <cell r="Q830">
            <v>1.8999389625814034</v>
          </cell>
          <cell r="R830">
            <v>1.8999389625814236</v>
          </cell>
          <cell r="S830">
            <v>1.1941117413368589</v>
          </cell>
          <cell r="T830">
            <v>1.1941117413368734</v>
          </cell>
          <cell r="U830">
            <v>1.4225347902833136</v>
          </cell>
          <cell r="V830" t="e">
            <v>#DIV/0!</v>
          </cell>
          <cell r="W830">
            <v>1.1628250737285017</v>
          </cell>
          <cell r="X830" t="e">
            <v>#DIV/0!</v>
          </cell>
          <cell r="Y830">
            <v>1.1308655745586738</v>
          </cell>
          <cell r="Z830" t="e">
            <v>#DIV/0!</v>
          </cell>
          <cell r="AA830">
            <v>1.2186707956599121</v>
          </cell>
          <cell r="AB830" t="e">
            <v>#DIV/0!</v>
          </cell>
          <cell r="AC830">
            <v>1.4939473180526015</v>
          </cell>
        </row>
        <row r="831">
          <cell r="C831" t="str">
            <v>Other Expenses</v>
          </cell>
          <cell r="AD831" t="str">
            <v>Other Expenses</v>
          </cell>
        </row>
        <row r="832">
          <cell r="D832" t="str">
            <v>Selling Expenses</v>
          </cell>
          <cell r="E832">
            <v>5183.0082521448167</v>
          </cell>
          <cell r="F832">
            <v>357627.56939799234</v>
          </cell>
          <cell r="G832">
            <v>4427.3486746392564</v>
          </cell>
          <cell r="H832">
            <v>841196.24818145868</v>
          </cell>
          <cell r="I832">
            <v>4320.887144065181</v>
          </cell>
          <cell r="J832">
            <v>980841.38170279609</v>
          </cell>
          <cell r="K832">
            <v>3897.7185689144208</v>
          </cell>
          <cell r="L832">
            <v>1032895.4207623214</v>
          </cell>
          <cell r="M832">
            <v>5409.2615187305564</v>
          </cell>
          <cell r="N832">
            <v>605837.29009782232</v>
          </cell>
          <cell r="O832">
            <v>5179.8400416559607</v>
          </cell>
          <cell r="P832">
            <v>1077406.7286644399</v>
          </cell>
          <cell r="Q832">
            <v>3845.1336292747983</v>
          </cell>
          <cell r="R832">
            <v>845929.39844045567</v>
          </cell>
          <cell r="S832">
            <v>4967.5774890123712</v>
          </cell>
          <cell r="T832">
            <v>933904.56793432578</v>
          </cell>
          <cell r="U832">
            <v>4642.661605420024</v>
          </cell>
          <cell r="V832">
            <v>0</v>
          </cell>
          <cell r="W832">
            <v>5073.1110111757944</v>
          </cell>
          <cell r="X832">
            <v>0</v>
          </cell>
          <cell r="Y832">
            <v>5099.2966467698334</v>
          </cell>
          <cell r="Z832">
            <v>0</v>
          </cell>
          <cell r="AA832">
            <v>4893.3178190345943</v>
          </cell>
          <cell r="AB832">
            <v>0</v>
          </cell>
          <cell r="AC832">
            <v>4513.6163659104886</v>
          </cell>
          <cell r="AE832" t="str">
            <v>Selling Expenses</v>
          </cell>
        </row>
        <row r="833">
          <cell r="D833" t="str">
            <v>Advertisement Expenses</v>
          </cell>
          <cell r="E833">
            <v>800.32572918126152</v>
          </cell>
          <cell r="F833">
            <v>55222.475313507042</v>
          </cell>
          <cell r="G833">
            <v>969.71958993165515</v>
          </cell>
          <cell r="H833">
            <v>184246.72208701447</v>
          </cell>
          <cell r="I833">
            <v>7367.9708551430685</v>
          </cell>
          <cell r="J833">
            <v>1672529.3841174766</v>
          </cell>
          <cell r="K833">
            <v>6935.2770964018819</v>
          </cell>
          <cell r="L833">
            <v>1837848.4305464986</v>
          </cell>
          <cell r="M833">
            <v>7697.2629504339211</v>
          </cell>
          <cell r="N833">
            <v>862093.45044859918</v>
          </cell>
          <cell r="O833">
            <v>799.8365151483406</v>
          </cell>
          <cell r="P833">
            <v>166365.99515085484</v>
          </cell>
          <cell r="Q833">
            <v>739.89139808437483</v>
          </cell>
          <cell r="R833">
            <v>162776.10757856246</v>
          </cell>
          <cell r="S833">
            <v>4684.9685429207811</v>
          </cell>
          <cell r="T833">
            <v>880774.08606910682</v>
          </cell>
          <cell r="U833">
            <v>5393.2109933565007</v>
          </cell>
          <cell r="V833">
            <v>0</v>
          </cell>
          <cell r="W833">
            <v>783.35612673520234</v>
          </cell>
          <cell r="X833">
            <v>0</v>
          </cell>
          <cell r="Y833">
            <v>8782.5333169589612</v>
          </cell>
          <cell r="Z833">
            <v>0</v>
          </cell>
          <cell r="AA833">
            <v>1104.3291887822443</v>
          </cell>
          <cell r="AB833">
            <v>0</v>
          </cell>
          <cell r="AC833">
            <v>3936.3466202242198</v>
          </cell>
        </row>
        <row r="834">
          <cell r="D834" t="str">
            <v>Administrative Expenses</v>
          </cell>
          <cell r="E834">
            <v>10560.726889052896</v>
          </cell>
          <cell r="F834">
            <v>728690.1553446498</v>
          </cell>
          <cell r="G834">
            <v>9021.0198249495461</v>
          </cell>
          <cell r="H834">
            <v>1713993.7667404138</v>
          </cell>
          <cell r="I834">
            <v>8804.0973170376383</v>
          </cell>
          <cell r="J834">
            <v>1998530.0909675439</v>
          </cell>
          <cell r="K834">
            <v>7941.8629672567968</v>
          </cell>
          <cell r="L834">
            <v>2104593.6863230513</v>
          </cell>
          <cell r="M834">
            <v>11021.733092386507</v>
          </cell>
          <cell r="N834">
            <v>1234434.1063472887</v>
          </cell>
          <cell r="O834">
            <v>10554.271447719957</v>
          </cell>
          <cell r="P834">
            <v>2195288.461125751</v>
          </cell>
          <cell r="Q834">
            <v>7834.7176263668644</v>
          </cell>
          <cell r="R834">
            <v>1723637.8778007103</v>
          </cell>
          <cell r="S834">
            <v>10121.772262268241</v>
          </cell>
          <cell r="T834">
            <v>1902893.1853064294</v>
          </cell>
          <cell r="U834">
            <v>9459.7343604157559</v>
          </cell>
          <cell r="V834">
            <v>0</v>
          </cell>
          <cell r="W834">
            <v>10336.803890810705</v>
          </cell>
          <cell r="X834">
            <v>0</v>
          </cell>
          <cell r="Y834">
            <v>10390.158879356299</v>
          </cell>
          <cell r="Z834">
            <v>0</v>
          </cell>
          <cell r="AA834">
            <v>9970.4632047953019</v>
          </cell>
          <cell r="AB834">
            <v>0</v>
          </cell>
          <cell r="AC834">
            <v>9196.7960310722374</v>
          </cell>
          <cell r="AE834" t="str">
            <v>Administrative Expenses</v>
          </cell>
        </row>
        <row r="835">
          <cell r="D835" t="str">
            <v>Depreciation (Admin. &amp; Selling )</v>
          </cell>
          <cell r="E835">
            <v>2969.9882598191184</v>
          </cell>
          <cell r="F835">
            <v>204929.18992751918</v>
          </cell>
          <cell r="G835">
            <v>2536.9771657922738</v>
          </cell>
          <cell r="H835">
            <v>482025.66150053201</v>
          </cell>
          <cell r="I835">
            <v>2475.9721508385478</v>
          </cell>
          <cell r="J835">
            <v>562045.67824035033</v>
          </cell>
          <cell r="K835">
            <v>2233.4863898710532</v>
          </cell>
          <cell r="L835">
            <v>591873.8933158291</v>
          </cell>
          <cell r="M835">
            <v>3099.6368177250984</v>
          </cell>
          <cell r="N835">
            <v>347159.32358521101</v>
          </cell>
          <cell r="O835">
            <v>2968.1727990868981</v>
          </cell>
          <cell r="P835">
            <v>617379.94221007475</v>
          </cell>
          <cell r="Q835">
            <v>2203.3539560073127</v>
          </cell>
          <cell r="R835">
            <v>484737.87032160879</v>
          </cell>
          <cell r="S835">
            <v>2846.5412564224971</v>
          </cell>
          <cell r="T835">
            <v>535149.75620742945</v>
          </cell>
          <cell r="U835">
            <v>2660.3566484202443</v>
          </cell>
          <cell r="V835">
            <v>0</v>
          </cell>
          <cell r="W835">
            <v>2907.0145002598042</v>
          </cell>
          <cell r="X835">
            <v>0</v>
          </cell>
          <cell r="Y835">
            <v>2922.0194986134175</v>
          </cell>
          <cell r="Z835">
            <v>0</v>
          </cell>
          <cell r="AA835">
            <v>2803.9886812995901</v>
          </cell>
          <cell r="AB835">
            <v>0</v>
          </cell>
          <cell r="AC835">
            <v>2586.4106256312061</v>
          </cell>
          <cell r="AE835" t="str">
            <v>Depreciation (Admin. &amp; Selling )</v>
          </cell>
        </row>
        <row r="836">
          <cell r="D836" t="str">
            <v>Financial Charges -Capital Exp.</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E836" t="str">
            <v>Financial Charges -Capital Exp.</v>
          </cell>
        </row>
        <row r="837">
          <cell r="D837" t="str">
            <v>Financial  Charges -Working Capital</v>
          </cell>
          <cell r="E837">
            <v>530.11444507895521</v>
          </cell>
          <cell r="F837">
            <v>36577.896710447909</v>
          </cell>
          <cell r="G837">
            <v>458.80097155251627</v>
          </cell>
          <cell r="H837">
            <v>87172.184594978098</v>
          </cell>
          <cell r="I837">
            <v>448.49087868071882</v>
          </cell>
          <cell r="J837">
            <v>101807.42946052317</v>
          </cell>
          <cell r="K837">
            <v>407.98094465914818</v>
          </cell>
          <cell r="L837">
            <v>108114.95033467427</v>
          </cell>
          <cell r="M837">
            <v>548.85949175372707</v>
          </cell>
          <cell r="N837">
            <v>61472.263076417432</v>
          </cell>
          <cell r="O837">
            <v>527.77239945924691</v>
          </cell>
          <cell r="P837">
            <v>109776.65908752335</v>
          </cell>
          <cell r="Q837">
            <v>396.96132884259964</v>
          </cell>
          <cell r="R837">
            <v>87331.492345371924</v>
          </cell>
          <cell r="S837">
            <v>498.98402076239711</v>
          </cell>
          <cell r="T837">
            <v>93808.995903330651</v>
          </cell>
          <cell r="U837">
            <v>470.64800851302482</v>
          </cell>
          <cell r="V837">
            <v>0</v>
          </cell>
          <cell r="W837">
            <v>511.61704210669683</v>
          </cell>
          <cell r="X837">
            <v>0</v>
          </cell>
          <cell r="Y837">
            <v>513.76394785157731</v>
          </cell>
          <cell r="Z837">
            <v>0</v>
          </cell>
          <cell r="AA837">
            <v>495.30468493193735</v>
          </cell>
          <cell r="AB837">
            <v>0</v>
          </cell>
          <cell r="AC837">
            <v>463.86874341667806</v>
          </cell>
          <cell r="AE837" t="str">
            <v>Financial  Charges -Working Capital</v>
          </cell>
        </row>
        <row r="838">
          <cell r="D838" t="str">
            <v>Other Expenses (Charity &amp; Donation)</v>
          </cell>
          <cell r="E838">
            <v>368.13503130483002</v>
          </cell>
          <cell r="F838">
            <v>25401.317160033272</v>
          </cell>
          <cell r="G838">
            <v>318.61178580035858</v>
          </cell>
          <cell r="H838">
            <v>60536.239302068127</v>
          </cell>
          <cell r="I838">
            <v>311.4519990838325</v>
          </cell>
          <cell r="J838">
            <v>70699.603792029971</v>
          </cell>
          <cell r="K838">
            <v>283.32010045774183</v>
          </cell>
          <cell r="L838">
            <v>75079.826621301589</v>
          </cell>
          <cell r="M838">
            <v>381.15242482897719</v>
          </cell>
          <cell r="N838">
            <v>42689.071580845448</v>
          </cell>
          <cell r="O838">
            <v>366.50861073558809</v>
          </cell>
          <cell r="P838">
            <v>76233.79103300233</v>
          </cell>
          <cell r="Q838">
            <v>275.66758947402758</v>
          </cell>
          <cell r="R838">
            <v>60646.869684286066</v>
          </cell>
          <cell r="S838">
            <v>346.51668108499797</v>
          </cell>
          <cell r="T838">
            <v>65145.136043979619</v>
          </cell>
          <cell r="U838">
            <v>326.83889480071173</v>
          </cell>
          <cell r="V838">
            <v>0</v>
          </cell>
          <cell r="W838">
            <v>355.28961257409514</v>
          </cell>
          <cell r="X838">
            <v>0</v>
          </cell>
          <cell r="Y838">
            <v>356.78051934137312</v>
          </cell>
          <cell r="Z838">
            <v>0</v>
          </cell>
          <cell r="AA838">
            <v>343.96158675828985</v>
          </cell>
          <cell r="AB838">
            <v>0</v>
          </cell>
          <cell r="AC838">
            <v>322.13107181713752</v>
          </cell>
          <cell r="AE838" t="str">
            <v>Other Expenses (Charity &amp; Donation)</v>
          </cell>
        </row>
        <row r="839">
          <cell r="D839" t="str">
            <v>Other Expenses ( W.P.P.F.)</v>
          </cell>
          <cell r="E839">
            <v>3573.7075858361454</v>
          </cell>
          <cell r="F839">
            <v>246585.82342269403</v>
          </cell>
          <cell r="G839">
            <v>3260.1003648049996</v>
          </cell>
          <cell r="H839">
            <v>619419.0693129499</v>
          </cell>
          <cell r="I839">
            <v>2868.2077932472907</v>
          </cell>
          <cell r="J839">
            <v>651083.16906713496</v>
          </cell>
          <cell r="K839">
            <v>2950.3710885468208</v>
          </cell>
          <cell r="L839">
            <v>781848.33846490749</v>
          </cell>
          <cell r="M839">
            <v>2984.5209973853607</v>
          </cell>
          <cell r="N839">
            <v>334266.35170716041</v>
          </cell>
          <cell r="O839">
            <v>3261.9142882485439</v>
          </cell>
          <cell r="P839">
            <v>678478.17195569712</v>
          </cell>
          <cell r="Q839">
            <v>3221.4233012482478</v>
          </cell>
          <cell r="R839">
            <v>708713.12627461448</v>
          </cell>
          <cell r="S839">
            <v>2697.4681580678207</v>
          </cell>
          <cell r="T839">
            <v>507124.01371675031</v>
          </cell>
          <cell r="U839">
            <v>2877.5317129664104</v>
          </cell>
          <cell r="V839">
            <v>0</v>
          </cell>
          <cell r="W839">
            <v>3280.2679674234987</v>
          </cell>
          <cell r="X839">
            <v>0</v>
          </cell>
          <cell r="Y839">
            <v>2911.8557735997142</v>
          </cell>
          <cell r="Z839">
            <v>0</v>
          </cell>
          <cell r="AA839">
            <v>3464.9058265788067</v>
          </cell>
          <cell r="AB839">
            <v>0</v>
          </cell>
          <cell r="AC839">
            <v>3061.2022068437518</v>
          </cell>
          <cell r="AE839" t="str">
            <v>Other Expenses ( W.P.P.F.)</v>
          </cell>
        </row>
        <row r="840">
          <cell r="D840" t="str">
            <v>Workers Welfare Fund</v>
          </cell>
          <cell r="E840">
            <v>1499.0267372593985</v>
          </cell>
          <cell r="F840">
            <v>103432.84487089849</v>
          </cell>
          <cell r="G840">
            <v>1367.4811090758005</v>
          </cell>
          <cell r="H840">
            <v>259821.41072440211</v>
          </cell>
          <cell r="I840">
            <v>1203.0979219267881</v>
          </cell>
          <cell r="J840">
            <v>273103.22827738093</v>
          </cell>
          <cell r="K840">
            <v>1237.5621229049211</v>
          </cell>
          <cell r="L840">
            <v>327953.96256980411</v>
          </cell>
          <cell r="M840">
            <v>1251.8866374865934</v>
          </cell>
          <cell r="N840">
            <v>140211.30339849845</v>
          </cell>
          <cell r="O840">
            <v>1368.2419770751833</v>
          </cell>
          <cell r="P840">
            <v>284594.33123163815</v>
          </cell>
          <cell r="Q840">
            <v>1351.2576349952574</v>
          </cell>
          <cell r="R840">
            <v>297276.67969895661</v>
          </cell>
          <cell r="S840">
            <v>1131.4795054513236</v>
          </cell>
          <cell r="T840">
            <v>212718.14702484882</v>
          </cell>
          <cell r="U840">
            <v>1207.0089316049207</v>
          </cell>
          <cell r="V840">
            <v>0</v>
          </cell>
          <cell r="W840">
            <v>1375.9406080206418</v>
          </cell>
          <cell r="X840">
            <v>0</v>
          </cell>
          <cell r="Y840">
            <v>1221.4064958669101</v>
          </cell>
          <cell r="Z840">
            <v>0</v>
          </cell>
          <cell r="AA840">
            <v>1453.3887710099996</v>
          </cell>
          <cell r="AB840">
            <v>0</v>
          </cell>
          <cell r="AC840">
            <v>1284.0513237298362</v>
          </cell>
          <cell r="AE840" t="str">
            <v>Workers Welfare Fund</v>
          </cell>
        </row>
        <row r="841">
          <cell r="E841">
            <v>25485.032929677422</v>
          </cell>
          <cell r="F841">
            <v>1758467.2721477421</v>
          </cell>
          <cell r="G841">
            <v>22360.059486546405</v>
          </cell>
          <cell r="H841">
            <v>4248411.3024438173</v>
          </cell>
          <cell r="I841">
            <v>27800.176060023059</v>
          </cell>
          <cell r="J841">
            <v>6310639.9656252358</v>
          </cell>
          <cell r="K841">
            <v>25887.579279012789</v>
          </cell>
          <cell r="L841">
            <v>6860208.508938388</v>
          </cell>
          <cell r="M841">
            <v>32394.313930730743</v>
          </cell>
          <cell r="N841">
            <v>3628163.1602418427</v>
          </cell>
          <cell r="O841">
            <v>25026.558079129718</v>
          </cell>
          <cell r="P841">
            <v>5205524.080458981</v>
          </cell>
          <cell r="Q841">
            <v>19868.406464293483</v>
          </cell>
          <cell r="R841">
            <v>4371049.4221445657</v>
          </cell>
          <cell r="S841">
            <v>27295.30791599043</v>
          </cell>
          <cell r="T841">
            <v>5131517.8882062016</v>
          </cell>
          <cell r="U841">
            <v>27037.991155497592</v>
          </cell>
          <cell r="V841">
            <v>0</v>
          </cell>
          <cell r="W841">
            <v>24623.40075910644</v>
          </cell>
          <cell r="X841">
            <v>0</v>
          </cell>
          <cell r="Y841">
            <v>32197.815078358082</v>
          </cell>
          <cell r="Z841">
            <v>0</v>
          </cell>
          <cell r="AA841">
            <v>24529.659763190764</v>
          </cell>
          <cell r="AB841">
            <v>0</v>
          </cell>
          <cell r="AC841">
            <v>25364.422988645558</v>
          </cell>
        </row>
        <row r="842">
          <cell r="D842" t="str">
            <v>Operating Profit</v>
          </cell>
          <cell r="E842">
            <v>-18614.504212127824</v>
          </cell>
          <cell r="F842">
            <v>-1284400.7906368175</v>
          </cell>
          <cell r="G842">
            <v>-12218.22268489419</v>
          </cell>
          <cell r="H842">
            <v>-2321462.3101298837</v>
          </cell>
          <cell r="I842">
            <v>-17200.9916468507</v>
          </cell>
          <cell r="J842">
            <v>-3904625.1038350915</v>
          </cell>
          <cell r="K842">
            <v>-13628.842668270168</v>
          </cell>
          <cell r="L842">
            <v>-3611643.3070915639</v>
          </cell>
          <cell r="M842">
            <v>-26434.570861117762</v>
          </cell>
          <cell r="N842">
            <v>-2960671.9364451943</v>
          </cell>
          <cell r="O842">
            <v>-18353.905377766128</v>
          </cell>
          <cell r="P842">
            <v>-3817612.3185753417</v>
          </cell>
          <cell r="Q842">
            <v>-7609.6698535508622</v>
          </cell>
          <cell r="R842">
            <v>-1674127.3677811604</v>
          </cell>
          <cell r="S842">
            <v>-19590.691289277827</v>
          </cell>
          <cell r="T842">
            <v>-3683049.9623842146</v>
          </cell>
          <cell r="U842">
            <v>-17859.54929123482</v>
          </cell>
          <cell r="V842">
            <v>0</v>
          </cell>
          <cell r="W842">
            <v>-17120.651152962542</v>
          </cell>
          <cell r="X842">
            <v>0</v>
          </cell>
          <cell r="Y842">
            <v>-24901.273719031684</v>
          </cell>
          <cell r="Z842">
            <v>0</v>
          </cell>
          <cell r="AA842">
            <v>-16666.583846845941</v>
          </cell>
          <cell r="AB842">
            <v>0</v>
          </cell>
          <cell r="AC842">
            <v>-15725.215075645294</v>
          </cell>
          <cell r="AE842" t="str">
            <v>Operating Profit</v>
          </cell>
        </row>
        <row r="844">
          <cell r="C844" t="str">
            <v>Other Income</v>
          </cell>
          <cell r="AD844" t="str">
            <v>Other Income</v>
          </cell>
        </row>
        <row r="845">
          <cell r="D845" t="str">
            <v>H.D</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E845" t="str">
            <v>H.D</v>
          </cell>
        </row>
        <row r="846">
          <cell r="D846" t="str">
            <v>Others</v>
          </cell>
          <cell r="E846">
            <v>18021.978021978022</v>
          </cell>
          <cell r="F846">
            <v>1243516.4835164836</v>
          </cell>
          <cell r="G846">
            <v>15045.871559633028</v>
          </cell>
          <cell r="H846">
            <v>2858716</v>
          </cell>
          <cell r="I846">
            <v>14629.794826048172</v>
          </cell>
          <cell r="J846">
            <v>3320963.425512935</v>
          </cell>
          <cell r="K846">
            <v>5120</v>
          </cell>
          <cell r="L846">
            <v>1356800</v>
          </cell>
          <cell r="M846">
            <v>7356.3218390804595</v>
          </cell>
          <cell r="N846">
            <v>823908.04597701144</v>
          </cell>
          <cell r="O846">
            <v>7103.2186459489458</v>
          </cell>
          <cell r="P846">
            <v>1477469.4783573807</v>
          </cell>
          <cell r="Q846">
            <v>5120</v>
          </cell>
          <cell r="R846">
            <v>1126400</v>
          </cell>
          <cell r="S846">
            <v>6736.8421052631575</v>
          </cell>
          <cell r="T846">
            <v>1266526.3157894737</v>
          </cell>
          <cell r="U846">
            <v>6213.5922330097092</v>
          </cell>
          <cell r="V846">
            <v>0</v>
          </cell>
          <cell r="W846">
            <v>6808.510638297872</v>
          </cell>
          <cell r="X846">
            <v>0</v>
          </cell>
          <cell r="Y846">
            <v>6881.7204301075271</v>
          </cell>
          <cell r="Z846">
            <v>0</v>
          </cell>
          <cell r="AA846">
            <v>6680.5845511482257</v>
          </cell>
          <cell r="AB846">
            <v>0</v>
          </cell>
          <cell r="AC846">
            <v>9110.4122712327826</v>
          </cell>
          <cell r="AE846" t="str">
            <v>Others</v>
          </cell>
        </row>
        <row r="847">
          <cell r="E847">
            <v>18021.978021978022</v>
          </cell>
          <cell r="F847">
            <v>1243516.4835164836</v>
          </cell>
          <cell r="G847">
            <v>15045.871559633028</v>
          </cell>
          <cell r="H847">
            <v>2858716</v>
          </cell>
          <cell r="I847">
            <v>14629.794826048172</v>
          </cell>
          <cell r="J847">
            <v>3320963.425512935</v>
          </cell>
          <cell r="K847">
            <v>5120</v>
          </cell>
          <cell r="L847">
            <v>1356800</v>
          </cell>
          <cell r="M847">
            <v>7356.3218390804595</v>
          </cell>
          <cell r="N847">
            <v>823908.04597701144</v>
          </cell>
          <cell r="O847">
            <v>7103.2186459489458</v>
          </cell>
          <cell r="P847">
            <v>1477469.4783573807</v>
          </cell>
          <cell r="Q847">
            <v>5120</v>
          </cell>
          <cell r="R847">
            <v>1126400</v>
          </cell>
          <cell r="S847">
            <v>6736.8421052631575</v>
          </cell>
          <cell r="T847">
            <v>1266526.3157894737</v>
          </cell>
          <cell r="U847">
            <v>6213.5922330097092</v>
          </cell>
          <cell r="V847">
            <v>0</v>
          </cell>
          <cell r="W847">
            <v>6808.510638297872</v>
          </cell>
          <cell r="X847">
            <v>0</v>
          </cell>
          <cell r="Y847">
            <v>6881.7204301075271</v>
          </cell>
          <cell r="Z847">
            <v>0</v>
          </cell>
          <cell r="AA847">
            <v>6680.5845511482257</v>
          </cell>
          <cell r="AB847">
            <v>0</v>
          </cell>
          <cell r="AC847">
            <v>9110.4122712327826</v>
          </cell>
        </row>
        <row r="849">
          <cell r="C849" t="str">
            <v>Profit / (Loss) before tax</v>
          </cell>
          <cell r="E849">
            <v>-592.52619014980155</v>
          </cell>
          <cell r="F849">
            <v>-40884.307120333891</v>
          </cell>
          <cell r="G849">
            <v>2827.6488747388375</v>
          </cell>
          <cell r="H849">
            <v>537253.6898701163</v>
          </cell>
          <cell r="I849">
            <v>-2571.1968208025282</v>
          </cell>
          <cell r="J849">
            <v>-583661.67832215643</v>
          </cell>
          <cell r="K849">
            <v>-8508.8426682701684</v>
          </cell>
          <cell r="L849">
            <v>-2254843.3070915639</v>
          </cell>
          <cell r="M849">
            <v>-19078.2490220373</v>
          </cell>
          <cell r="N849">
            <v>-2136763.890468183</v>
          </cell>
          <cell r="O849">
            <v>-11250.686731817183</v>
          </cell>
          <cell r="P849">
            <v>-2340142.840217961</v>
          </cell>
          <cell r="Q849">
            <v>-2489.6698535508622</v>
          </cell>
          <cell r="R849">
            <v>-547727.3677811604</v>
          </cell>
          <cell r="S849">
            <v>-12853.849184014671</v>
          </cell>
          <cell r="T849">
            <v>-2416523.6465947409</v>
          </cell>
          <cell r="U849">
            <v>-11645.957058225111</v>
          </cell>
          <cell r="V849">
            <v>0</v>
          </cell>
          <cell r="W849">
            <v>-10312.14051466467</v>
          </cell>
          <cell r="X849">
            <v>0</v>
          </cell>
          <cell r="Y849">
            <v>-18019.553288924159</v>
          </cell>
          <cell r="Z849">
            <v>0</v>
          </cell>
          <cell r="AA849">
            <v>-9985.9992956977148</v>
          </cell>
          <cell r="AB849">
            <v>0</v>
          </cell>
          <cell r="AC849">
            <v>-6614.8028044125113</v>
          </cell>
          <cell r="AD849" t="str">
            <v>Profit before tax</v>
          </cell>
        </row>
        <row r="851">
          <cell r="C851" t="str">
            <v>Taxation</v>
          </cell>
          <cell r="AD851" t="str">
            <v>Taxation</v>
          </cell>
        </row>
        <row r="852">
          <cell r="D852" t="str">
            <v>Current</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E852" t="str">
            <v>Current</v>
          </cell>
        </row>
        <row r="853">
          <cell r="D853" t="str">
            <v>Deferred</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E853" t="str">
            <v>Deferred</v>
          </cell>
        </row>
        <row r="854">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row>
        <row r="856">
          <cell r="C856" t="str">
            <v>Net Profit after taxation</v>
          </cell>
          <cell r="E856">
            <v>-592.52619014980155</v>
          </cell>
          <cell r="F856">
            <v>-40884.307120333891</v>
          </cell>
          <cell r="G856">
            <v>2827.6488747388375</v>
          </cell>
          <cell r="H856">
            <v>537253.6898701163</v>
          </cell>
          <cell r="I856">
            <v>-2571.1968208025282</v>
          </cell>
          <cell r="J856">
            <v>-583661.67832215643</v>
          </cell>
          <cell r="K856">
            <v>-8508.8426682701684</v>
          </cell>
          <cell r="L856">
            <v>-2254843.3070915639</v>
          </cell>
          <cell r="M856">
            <v>-19078.2490220373</v>
          </cell>
          <cell r="N856">
            <v>-2136763.890468183</v>
          </cell>
          <cell r="O856">
            <v>-11250.686731817183</v>
          </cell>
          <cell r="P856">
            <v>-2340142.840217961</v>
          </cell>
          <cell r="Q856">
            <v>-2489.6698535508622</v>
          </cell>
          <cell r="R856">
            <v>-547727.3677811604</v>
          </cell>
          <cell r="S856">
            <v>-12853.849184014671</v>
          </cell>
          <cell r="T856">
            <v>-2416523.6465947409</v>
          </cell>
          <cell r="U856">
            <v>-11645.957058225111</v>
          </cell>
          <cell r="V856">
            <v>0</v>
          </cell>
          <cell r="W856">
            <v>-10312.14051466467</v>
          </cell>
          <cell r="X856">
            <v>0</v>
          </cell>
          <cell r="Y856">
            <v>-18019.553288924159</v>
          </cell>
          <cell r="Z856">
            <v>0</v>
          </cell>
          <cell r="AA856">
            <v>-9985.9992956977148</v>
          </cell>
          <cell r="AB856">
            <v>0</v>
          </cell>
          <cell r="AC856">
            <v>-6614.8028044125113</v>
          </cell>
          <cell r="AD856" t="str">
            <v>Net Profit after taxation</v>
          </cell>
        </row>
        <row r="879">
          <cell r="D879" t="str">
            <v>CKD Cost</v>
          </cell>
          <cell r="F879">
            <v>369663971.30700254</v>
          </cell>
          <cell r="H879">
            <v>450551562.35896379</v>
          </cell>
          <cell r="J879">
            <v>464704597.31603324</v>
          </cell>
          <cell r="L879">
            <v>515647415.57598603</v>
          </cell>
          <cell r="N879">
            <v>357540078.34464455</v>
          </cell>
          <cell r="P879">
            <v>372946775.57358611</v>
          </cell>
          <cell r="R879">
            <v>515370386.6659956</v>
          </cell>
          <cell r="T879">
            <v>390165817.12889147</v>
          </cell>
          <cell r="V879">
            <v>432625350.41702187</v>
          </cell>
          <cell r="X879">
            <v>390456031.30240053</v>
          </cell>
          <cell r="Z879">
            <v>384144953.7933985</v>
          </cell>
          <cell r="AB879">
            <v>396679484.73982227</v>
          </cell>
          <cell r="AC879">
            <v>5040496424.5237465</v>
          </cell>
          <cell r="AE879" t="str">
            <v>CKD Cost</v>
          </cell>
        </row>
        <row r="880">
          <cell r="D880" t="str">
            <v>Vendor parts</v>
          </cell>
          <cell r="F880">
            <v>187353990</v>
          </cell>
          <cell r="H880">
            <v>217250520</v>
          </cell>
          <cell r="J880">
            <v>221570246</v>
          </cell>
          <cell r="L880">
            <v>245609450</v>
          </cell>
          <cell r="N880">
            <v>172005940</v>
          </cell>
          <cell r="P880">
            <v>177196716</v>
          </cell>
          <cell r="R880">
            <v>245957730</v>
          </cell>
          <cell r="T880">
            <v>187232020</v>
          </cell>
          <cell r="V880">
            <v>202033980</v>
          </cell>
          <cell r="X880">
            <v>195551810</v>
          </cell>
          <cell r="Z880">
            <v>193277010</v>
          </cell>
          <cell r="AB880">
            <v>198669838</v>
          </cell>
          <cell r="AC880">
            <v>2443709250</v>
          </cell>
          <cell r="AE880" t="str">
            <v>Vendor parts</v>
          </cell>
        </row>
        <row r="881">
          <cell r="D881" t="str">
            <v>Nomi Parts</v>
          </cell>
          <cell r="F881">
            <v>117802428.56350002</v>
          </cell>
          <cell r="H881">
            <v>127066614.34150001</v>
          </cell>
          <cell r="J881">
            <v>127066614.34150001</v>
          </cell>
          <cell r="L881">
            <v>138824172.13049999</v>
          </cell>
          <cell r="N881">
            <v>98685112.07249999</v>
          </cell>
          <cell r="P881">
            <v>100228914.926</v>
          </cell>
          <cell r="R881">
            <v>139716114.0695</v>
          </cell>
          <cell r="T881">
            <v>106722820.65700001</v>
          </cell>
          <cell r="V881">
            <v>113360418.47600001</v>
          </cell>
          <cell r="X881">
            <v>124552661.7845</v>
          </cell>
          <cell r="Z881">
            <v>122968627.17399999</v>
          </cell>
          <cell r="AB881">
            <v>125916993.1525</v>
          </cell>
          <cell r="AC881">
            <v>1442911491.6890001</v>
          </cell>
          <cell r="AE881" t="str">
            <v>Nomi Parts</v>
          </cell>
        </row>
        <row r="882">
          <cell r="D882" t="str">
            <v>Paints &amp; Chemicals</v>
          </cell>
          <cell r="F882">
            <v>12002800</v>
          </cell>
          <cell r="H882">
            <v>14214370</v>
          </cell>
          <cell r="J882">
            <v>14576357</v>
          </cell>
          <cell r="L882">
            <v>16220060</v>
          </cell>
          <cell r="N882">
            <v>11313360</v>
          </cell>
          <cell r="P882">
            <v>11706557</v>
          </cell>
          <cell r="R882">
            <v>16281820</v>
          </cell>
          <cell r="T882">
            <v>12394390</v>
          </cell>
          <cell r="V882">
            <v>13409460</v>
          </cell>
          <cell r="X882">
            <v>12562430</v>
          </cell>
          <cell r="Z882">
            <v>12416280</v>
          </cell>
          <cell r="AB882">
            <v>12769496</v>
          </cell>
          <cell r="AC882">
            <v>159867380</v>
          </cell>
          <cell r="AE882" t="str">
            <v>Paints &amp; Chemicals</v>
          </cell>
        </row>
        <row r="883">
          <cell r="D883" t="str">
            <v>Consumables</v>
          </cell>
          <cell r="F883">
            <v>4578810</v>
          </cell>
          <cell r="H883">
            <v>5284580</v>
          </cell>
          <cell r="J883">
            <v>5384617</v>
          </cell>
          <cell r="L883">
            <v>5967130</v>
          </cell>
          <cell r="N883">
            <v>4179650</v>
          </cell>
          <cell r="P883">
            <v>4300927</v>
          </cell>
          <cell r="R883">
            <v>5969260</v>
          </cell>
          <cell r="T883">
            <v>4543790</v>
          </cell>
          <cell r="V883">
            <v>4885490</v>
          </cell>
          <cell r="X883">
            <v>4743350</v>
          </cell>
          <cell r="Z883">
            <v>4689900</v>
          </cell>
          <cell r="AB883">
            <v>4821536</v>
          </cell>
          <cell r="AC883">
            <v>59349040</v>
          </cell>
          <cell r="AE883" t="str">
            <v>Consumables</v>
          </cell>
        </row>
        <row r="884">
          <cell r="D884" t="str">
            <v>KD Parts</v>
          </cell>
          <cell r="F884">
            <v>0</v>
          </cell>
          <cell r="H884">
            <v>0</v>
          </cell>
          <cell r="J884">
            <v>0</v>
          </cell>
          <cell r="L884">
            <v>0</v>
          </cell>
          <cell r="N884">
            <v>0</v>
          </cell>
          <cell r="P884">
            <v>0</v>
          </cell>
          <cell r="R884">
            <v>0</v>
          </cell>
          <cell r="T884">
            <v>0</v>
          </cell>
          <cell r="V884">
            <v>0</v>
          </cell>
          <cell r="X884">
            <v>0</v>
          </cell>
          <cell r="Z884">
            <v>0</v>
          </cell>
          <cell r="AB884">
            <v>0</v>
          </cell>
          <cell r="AC884">
            <v>0</v>
          </cell>
          <cell r="AE884" t="str">
            <v>KD Parts</v>
          </cell>
        </row>
        <row r="885">
          <cell r="D885" t="str">
            <v>Spare parts</v>
          </cell>
          <cell r="F885">
            <v>683550</v>
          </cell>
          <cell r="H885">
            <v>737930</v>
          </cell>
          <cell r="J885">
            <v>739201</v>
          </cell>
          <cell r="L885">
            <v>810470</v>
          </cell>
          <cell r="N885">
            <v>574040</v>
          </cell>
          <cell r="P885">
            <v>582691</v>
          </cell>
          <cell r="R885">
            <v>807710</v>
          </cell>
          <cell r="T885">
            <v>616890</v>
          </cell>
          <cell r="V885">
            <v>646260</v>
          </cell>
          <cell r="X885">
            <v>696520</v>
          </cell>
          <cell r="Z885">
            <v>688970</v>
          </cell>
          <cell r="AB885">
            <v>706188</v>
          </cell>
          <cell r="AC885">
            <v>8290420</v>
          </cell>
          <cell r="AE885" t="str">
            <v>Spare parts</v>
          </cell>
        </row>
        <row r="886">
          <cell r="D886" t="str">
            <v>Utilities</v>
          </cell>
          <cell r="F886">
            <v>4182410</v>
          </cell>
          <cell r="H886">
            <v>4973770</v>
          </cell>
          <cell r="J886">
            <v>5106977</v>
          </cell>
          <cell r="L886">
            <v>5695130</v>
          </cell>
          <cell r="N886">
            <v>3965500</v>
          </cell>
          <cell r="P886">
            <v>4106147</v>
          </cell>
          <cell r="R886">
            <v>5698430</v>
          </cell>
          <cell r="T886">
            <v>4336670</v>
          </cell>
          <cell r="V886">
            <v>4699100</v>
          </cell>
          <cell r="X886">
            <v>4336460</v>
          </cell>
          <cell r="Z886">
            <v>4295410</v>
          </cell>
          <cell r="AB886">
            <v>4419496</v>
          </cell>
          <cell r="AC886">
            <v>55815500</v>
          </cell>
          <cell r="AE886" t="str">
            <v>Utilites</v>
          </cell>
        </row>
        <row r="887">
          <cell r="D887" t="str">
            <v>Royalty</v>
          </cell>
          <cell r="F887">
            <v>5920251.2000000002</v>
          </cell>
          <cell r="H887">
            <v>6750042.4000000004</v>
          </cell>
          <cell r="J887">
            <v>6855434.9600000009</v>
          </cell>
          <cell r="L887">
            <v>7575603.2000000002</v>
          </cell>
          <cell r="N887">
            <v>5316729.6000000006</v>
          </cell>
          <cell r="P887">
            <v>5464784.5600000005</v>
          </cell>
          <cell r="R887">
            <v>7598643.2000000002</v>
          </cell>
          <cell r="T887">
            <v>5792832.3999999994</v>
          </cell>
          <cell r="V887">
            <v>6207892.7999999998</v>
          </cell>
          <cell r="X887">
            <v>6172081.2000000002</v>
          </cell>
          <cell r="Z887">
            <v>6102261.2000000002</v>
          </cell>
          <cell r="AB887">
            <v>6266019.2800000003</v>
          </cell>
          <cell r="AC887">
            <v>76022576</v>
          </cell>
          <cell r="AE887" t="str">
            <v>Royalty</v>
          </cell>
        </row>
        <row r="889">
          <cell r="F889">
            <v>702188211.07050264</v>
          </cell>
          <cell r="H889">
            <v>826829389.10046375</v>
          </cell>
          <cell r="J889">
            <v>846004044.61753333</v>
          </cell>
          <cell r="L889">
            <v>936349430.90648603</v>
          </cell>
          <cell r="N889">
            <v>653580410.01714456</v>
          </cell>
          <cell r="P889">
            <v>676533513.05958605</v>
          </cell>
          <cell r="R889">
            <v>937400093.93549562</v>
          </cell>
          <cell r="T889">
            <v>711805230.18589151</v>
          </cell>
          <cell r="V889">
            <v>777867951.69302177</v>
          </cell>
          <cell r="X889">
            <v>739071344.28690064</v>
          </cell>
          <cell r="Z889">
            <v>728583412.16739857</v>
          </cell>
          <cell r="AB889">
            <v>750249051.17232227</v>
          </cell>
          <cell r="AC889">
            <v>9286462082.2127457</v>
          </cell>
        </row>
        <row r="890">
          <cell r="F890">
            <v>0</v>
          </cell>
          <cell r="H890">
            <v>0</v>
          </cell>
          <cell r="J890">
            <v>0</v>
          </cell>
          <cell r="L890">
            <v>0</v>
          </cell>
          <cell r="N890">
            <v>0</v>
          </cell>
          <cell r="P890">
            <v>0</v>
          </cell>
          <cell r="R890">
            <v>0</v>
          </cell>
          <cell r="T890">
            <v>0</v>
          </cell>
          <cell r="V890">
            <v>0</v>
          </cell>
          <cell r="X890">
            <v>0</v>
          </cell>
          <cell r="Z890">
            <v>0</v>
          </cell>
          <cell r="AB890">
            <v>0</v>
          </cell>
          <cell r="AC890">
            <v>0</v>
          </cell>
        </row>
        <row r="893">
          <cell r="D893" t="str">
            <v>Total of Toyota &amp; Daihatsu</v>
          </cell>
        </row>
        <row r="895">
          <cell r="D895" t="str">
            <v>CKD Cost</v>
          </cell>
          <cell r="F895">
            <v>425285643.83674955</v>
          </cell>
          <cell r="H895">
            <v>506173234.8887108</v>
          </cell>
          <cell r="J895">
            <v>520326269.84578025</v>
          </cell>
          <cell r="L895">
            <v>571269088.10573304</v>
          </cell>
          <cell r="N895">
            <v>413161750.87439156</v>
          </cell>
          <cell r="P895">
            <v>428568448.10333312</v>
          </cell>
          <cell r="R895">
            <v>573773142.82222998</v>
          </cell>
          <cell r="T895">
            <v>448568573.28512579</v>
          </cell>
          <cell r="V895">
            <v>491028106.57325619</v>
          </cell>
          <cell r="X895">
            <v>448858787.45863485</v>
          </cell>
          <cell r="Z895">
            <v>442547709.94963282</v>
          </cell>
          <cell r="AB895">
            <v>455082240.89605659</v>
          </cell>
          <cell r="AC895">
            <v>5724642996.6396341</v>
          </cell>
        </row>
        <row r="896">
          <cell r="D896" t="str">
            <v>Vendor parts</v>
          </cell>
          <cell r="F896">
            <v>215104860</v>
          </cell>
          <cell r="H896">
            <v>245001390</v>
          </cell>
          <cell r="J896">
            <v>249321116</v>
          </cell>
          <cell r="L896">
            <v>273360320</v>
          </cell>
          <cell r="N896">
            <v>199756810</v>
          </cell>
          <cell r="P896">
            <v>204947586</v>
          </cell>
          <cell r="R896">
            <v>275092065</v>
          </cell>
          <cell r="T896">
            <v>216366355</v>
          </cell>
          <cell r="V896">
            <v>231168315</v>
          </cell>
          <cell r="X896">
            <v>224686145</v>
          </cell>
          <cell r="Z896">
            <v>222411345</v>
          </cell>
          <cell r="AB896">
            <v>227804173</v>
          </cell>
          <cell r="AC896">
            <v>2785020480</v>
          </cell>
          <cell r="AD896">
            <v>2811070560.0000005</v>
          </cell>
        </row>
        <row r="897">
          <cell r="D897" t="str">
            <v>Nomi Parts</v>
          </cell>
          <cell r="F897">
            <v>117802428.56350002</v>
          </cell>
          <cell r="H897">
            <v>127066614.34150001</v>
          </cell>
          <cell r="J897">
            <v>127066614.34150001</v>
          </cell>
          <cell r="L897">
            <v>138824172.13049999</v>
          </cell>
          <cell r="N897">
            <v>98685112.07249999</v>
          </cell>
          <cell r="P897">
            <v>100228914.926</v>
          </cell>
          <cell r="R897">
            <v>139716114.0695</v>
          </cell>
          <cell r="T897">
            <v>106722820.65700001</v>
          </cell>
          <cell r="V897">
            <v>113360418.47600001</v>
          </cell>
          <cell r="X897">
            <v>124552661.7845</v>
          </cell>
          <cell r="Z897">
            <v>122968627.17399999</v>
          </cell>
          <cell r="AB897">
            <v>125916993.1525</v>
          </cell>
          <cell r="AC897">
            <v>1442911491.6890001</v>
          </cell>
        </row>
        <row r="898">
          <cell r="D898" t="str">
            <v>Paints &amp; Chemicals</v>
          </cell>
          <cell r="F898">
            <v>13734850</v>
          </cell>
          <cell r="H898">
            <v>15946420</v>
          </cell>
          <cell r="J898">
            <v>16308407</v>
          </cell>
          <cell r="L898">
            <v>17952110</v>
          </cell>
          <cell r="N898">
            <v>13045410</v>
          </cell>
          <cell r="P898">
            <v>13438607</v>
          </cell>
          <cell r="R898">
            <v>18063985</v>
          </cell>
          <cell r="T898">
            <v>14176555</v>
          </cell>
          <cell r="V898">
            <v>15191625</v>
          </cell>
          <cell r="X898">
            <v>14344595</v>
          </cell>
          <cell r="Z898">
            <v>14198445</v>
          </cell>
          <cell r="AB898">
            <v>14551661</v>
          </cell>
          <cell r="AC898">
            <v>180952670</v>
          </cell>
        </row>
        <row r="899">
          <cell r="D899" t="str">
            <v>Consumables</v>
          </cell>
          <cell r="F899">
            <v>5582190</v>
          </cell>
          <cell r="H899">
            <v>6287960</v>
          </cell>
          <cell r="J899">
            <v>6387997</v>
          </cell>
          <cell r="L899">
            <v>6970510</v>
          </cell>
          <cell r="N899">
            <v>5183030</v>
          </cell>
          <cell r="P899">
            <v>5304307</v>
          </cell>
          <cell r="R899">
            <v>7022200</v>
          </cell>
          <cell r="T899">
            <v>5596730</v>
          </cell>
          <cell r="V899">
            <v>5938430</v>
          </cell>
          <cell r="X899">
            <v>5796290</v>
          </cell>
          <cell r="Z899">
            <v>5742840</v>
          </cell>
          <cell r="AB899">
            <v>5874476</v>
          </cell>
          <cell r="AC899">
            <v>71686960</v>
          </cell>
        </row>
        <row r="900">
          <cell r="D900" t="str">
            <v>KD Parts</v>
          </cell>
          <cell r="F900">
            <v>0</v>
          </cell>
          <cell r="H900">
            <v>0</v>
          </cell>
          <cell r="J900">
            <v>0</v>
          </cell>
          <cell r="L900">
            <v>0</v>
          </cell>
          <cell r="N900">
            <v>0</v>
          </cell>
          <cell r="P900">
            <v>0</v>
          </cell>
          <cell r="R900">
            <v>0</v>
          </cell>
          <cell r="T900">
            <v>0</v>
          </cell>
          <cell r="V900">
            <v>0</v>
          </cell>
          <cell r="X900">
            <v>0</v>
          </cell>
          <cell r="Z900">
            <v>0</v>
          </cell>
          <cell r="AB900">
            <v>0</v>
          </cell>
          <cell r="AC900">
            <v>0</v>
          </cell>
        </row>
        <row r="901">
          <cell r="D901" t="str">
            <v>Spare parts</v>
          </cell>
          <cell r="F901">
            <v>695700</v>
          </cell>
          <cell r="H901">
            <v>750080</v>
          </cell>
          <cell r="J901">
            <v>751351</v>
          </cell>
          <cell r="L901">
            <v>822620</v>
          </cell>
          <cell r="N901">
            <v>586190</v>
          </cell>
          <cell r="P901">
            <v>594841</v>
          </cell>
          <cell r="R901">
            <v>820520</v>
          </cell>
          <cell r="T901">
            <v>629700</v>
          </cell>
          <cell r="V901">
            <v>659070</v>
          </cell>
          <cell r="X901">
            <v>709330</v>
          </cell>
          <cell r="Z901">
            <v>701780</v>
          </cell>
          <cell r="AB901">
            <v>718998</v>
          </cell>
          <cell r="AC901">
            <v>8440180</v>
          </cell>
        </row>
        <row r="902">
          <cell r="D902" t="str">
            <v>Utilities</v>
          </cell>
          <cell r="F902">
            <v>5454320</v>
          </cell>
          <cell r="H902">
            <v>6245680</v>
          </cell>
          <cell r="J902">
            <v>6378887</v>
          </cell>
          <cell r="L902">
            <v>6967040</v>
          </cell>
          <cell r="N902">
            <v>5237410</v>
          </cell>
          <cell r="P902">
            <v>5378057</v>
          </cell>
          <cell r="R902">
            <v>7028465</v>
          </cell>
          <cell r="T902">
            <v>5666705</v>
          </cell>
          <cell r="V902">
            <v>6029135</v>
          </cell>
          <cell r="X902">
            <v>5666495</v>
          </cell>
          <cell r="Z902">
            <v>5625445</v>
          </cell>
          <cell r="AB902">
            <v>5749531</v>
          </cell>
          <cell r="AC902">
            <v>71427170</v>
          </cell>
        </row>
        <row r="903">
          <cell r="D903" t="str">
            <v>Royalty</v>
          </cell>
          <cell r="F903">
            <v>6532761.2000000002</v>
          </cell>
          <cell r="H903">
            <v>7362552.4000000004</v>
          </cell>
          <cell r="J903">
            <v>7467944.9600000009</v>
          </cell>
          <cell r="L903">
            <v>8188113.2000000002</v>
          </cell>
          <cell r="N903">
            <v>5929239.6000000006</v>
          </cell>
          <cell r="P903">
            <v>6077294.5600000005</v>
          </cell>
          <cell r="R903">
            <v>8239563.2000000002</v>
          </cell>
          <cell r="T903">
            <v>6433752.3999999994</v>
          </cell>
          <cell r="V903">
            <v>6848812.7999999998</v>
          </cell>
          <cell r="X903">
            <v>6813001.2000000002</v>
          </cell>
          <cell r="Z903">
            <v>6743181.2000000002</v>
          </cell>
          <cell r="AB903">
            <v>6906939.2800000003</v>
          </cell>
          <cell r="AC903">
            <v>83543156</v>
          </cell>
        </row>
        <row r="905">
          <cell r="F905">
            <v>790192753.60024965</v>
          </cell>
          <cell r="H905">
            <v>914833931.63021076</v>
          </cell>
          <cell r="J905">
            <v>934008587.14728034</v>
          </cell>
          <cell r="L905">
            <v>1024353973.436233</v>
          </cell>
          <cell r="N905">
            <v>741584952.54689157</v>
          </cell>
          <cell r="P905">
            <v>764538055.58933306</v>
          </cell>
          <cell r="R905">
            <v>1029756055.09173</v>
          </cell>
          <cell r="T905">
            <v>804161191.34212577</v>
          </cell>
          <cell r="V905">
            <v>870223912.84925628</v>
          </cell>
          <cell r="X905">
            <v>831427305.4431349</v>
          </cell>
          <cell r="Z905">
            <v>820939373.32363296</v>
          </cell>
          <cell r="AB905">
            <v>842605012.32855666</v>
          </cell>
          <cell r="AC905">
            <v>10368625104.328634</v>
          </cell>
        </row>
        <row r="906">
          <cell r="F906">
            <v>790192753.60024965</v>
          </cell>
          <cell r="H906">
            <v>914833931.63021076</v>
          </cell>
          <cell r="J906">
            <v>934008587.14728034</v>
          </cell>
          <cell r="L906">
            <v>1024353973.436233</v>
          </cell>
          <cell r="N906">
            <v>741584952.54689157</v>
          </cell>
          <cell r="P906">
            <v>764538055.58933306</v>
          </cell>
          <cell r="R906">
            <v>1029756055.09173</v>
          </cell>
          <cell r="T906">
            <v>804161191.34212589</v>
          </cell>
          <cell r="V906">
            <v>870223912.84925616</v>
          </cell>
          <cell r="X906">
            <v>831427305.44313502</v>
          </cell>
          <cell r="Z906">
            <v>820939373.32363296</v>
          </cell>
          <cell r="AB906">
            <v>842605012.32855666</v>
          </cell>
          <cell r="AC906">
            <v>10368625104.328634</v>
          </cell>
        </row>
      </sheetData>
      <sheetData sheetId="8">
        <row r="31">
          <cell r="E31">
            <v>2485312.1650571409</v>
          </cell>
          <cell r="F31">
            <v>2115436.7437724951</v>
          </cell>
          <cell r="G31">
            <v>2630140.4642356052</v>
          </cell>
          <cell r="H31">
            <v>2552540.5501344446</v>
          </cell>
          <cell r="I31">
            <v>3162807.2610109751</v>
          </cell>
          <cell r="J31">
            <v>2647360.6452571996</v>
          </cell>
          <cell r="K31">
            <v>2229835.3690278996</v>
          </cell>
          <cell r="L31">
            <v>2829538.7565519735</v>
          </cell>
          <cell r="M31">
            <v>2680454.9061953821</v>
          </cell>
          <cell r="N31">
            <v>2261078.8615890397</v>
          </cell>
          <cell r="O31">
            <v>3140357.017075324</v>
          </cell>
          <cell r="P31">
            <v>2645366.179356942</v>
          </cell>
          <cell r="Q31">
            <v>31380228.919264421</v>
          </cell>
          <cell r="R31">
            <v>15593597.829467859</v>
          </cell>
          <cell r="S31">
            <v>15786631.089796562</v>
          </cell>
          <cell r="T31">
            <v>31380228.919264421</v>
          </cell>
          <cell r="U31">
            <v>23333426.861243118</v>
          </cell>
        </row>
        <row r="32">
          <cell r="B32" t="str">
            <v>Operating Profit</v>
          </cell>
          <cell r="E32">
            <v>13941169.897835946</v>
          </cell>
          <cell r="F32">
            <v>12871874.884337975</v>
          </cell>
          <cell r="G32">
            <v>11981482.816048786</v>
          </cell>
          <cell r="H32">
            <v>12462311.24532631</v>
          </cell>
          <cell r="I32">
            <v>12380727.139864067</v>
          </cell>
          <cell r="J32">
            <v>14711032.538226532</v>
          </cell>
          <cell r="K32">
            <v>16553285.501904571</v>
          </cell>
          <cell r="L32">
            <v>13632988.157858746</v>
          </cell>
          <cell r="M32">
            <v>13062486.790824041</v>
          </cell>
          <cell r="N32">
            <v>13184715.96586515</v>
          </cell>
          <cell r="O32">
            <v>13025023.027770177</v>
          </cell>
          <cell r="P32">
            <v>16904089.90896681</v>
          </cell>
          <cell r="Q32">
            <v>164711187.87482908</v>
          </cell>
          <cell r="R32">
            <v>78348598.521639615</v>
          </cell>
          <cell r="S32">
            <v>86362589.353189498</v>
          </cell>
          <cell r="T32">
            <v>164711187.87482911</v>
          </cell>
          <cell r="U32">
            <v>121597358.97222696</v>
          </cell>
          <cell r="V32" t="str">
            <v>Operating Profit</v>
          </cell>
        </row>
        <row r="33">
          <cell r="U33">
            <v>0</v>
          </cell>
        </row>
        <row r="34">
          <cell r="B34" t="str">
            <v>Other income</v>
          </cell>
          <cell r="U34">
            <v>0</v>
          </cell>
          <cell r="V34" t="str">
            <v>Other income</v>
          </cell>
        </row>
        <row r="35">
          <cell r="C35" t="str">
            <v>Home Delivery Commission</v>
          </cell>
          <cell r="E35">
            <v>537328</v>
          </cell>
          <cell r="F35">
            <v>427928</v>
          </cell>
          <cell r="G35">
            <v>507960</v>
          </cell>
          <cell r="H35">
            <v>9525448</v>
          </cell>
          <cell r="I35">
            <v>9587968</v>
          </cell>
          <cell r="J35">
            <v>9511316</v>
          </cell>
          <cell r="K35">
            <v>2546760</v>
          </cell>
          <cell r="L35">
            <v>474808</v>
          </cell>
          <cell r="M35">
            <v>570075.99999999988</v>
          </cell>
          <cell r="N35">
            <v>427927.99999999994</v>
          </cell>
          <cell r="O35">
            <v>474808</v>
          </cell>
          <cell r="P35">
            <v>507960</v>
          </cell>
          <cell r="Q35">
            <v>35100288</v>
          </cell>
          <cell r="R35">
            <v>30097948</v>
          </cell>
          <cell r="S35">
            <v>5002340</v>
          </cell>
          <cell r="T35">
            <v>35100288</v>
          </cell>
          <cell r="U35">
            <v>33689592</v>
          </cell>
          <cell r="V35" t="str">
            <v>Home Delivery Commission</v>
          </cell>
        </row>
        <row r="36">
          <cell r="C36" t="str">
            <v>Other Income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t="str">
            <v>Other Income</v>
          </cell>
        </row>
        <row r="37">
          <cell r="E37">
            <v>537328</v>
          </cell>
          <cell r="F37">
            <v>427928</v>
          </cell>
          <cell r="G37">
            <v>507960</v>
          </cell>
          <cell r="H37">
            <v>9525448</v>
          </cell>
          <cell r="I37">
            <v>9587968</v>
          </cell>
          <cell r="J37">
            <v>9511316</v>
          </cell>
          <cell r="K37">
            <v>2546760</v>
          </cell>
          <cell r="L37">
            <v>474808</v>
          </cell>
          <cell r="M37">
            <v>570075.99999999988</v>
          </cell>
          <cell r="N37">
            <v>427927.99999999994</v>
          </cell>
          <cell r="O37">
            <v>474808</v>
          </cell>
          <cell r="P37">
            <v>507960</v>
          </cell>
          <cell r="Q37">
            <v>35100288</v>
          </cell>
          <cell r="R37">
            <v>30097948</v>
          </cell>
          <cell r="S37">
            <v>5002340</v>
          </cell>
          <cell r="T37">
            <v>35100288</v>
          </cell>
          <cell r="U37">
            <v>33689592</v>
          </cell>
        </row>
        <row r="38">
          <cell r="U38">
            <v>0</v>
          </cell>
        </row>
        <row r="39">
          <cell r="B39" t="str">
            <v>Profit before tax</v>
          </cell>
          <cell r="E39">
            <v>14478497.897835946</v>
          </cell>
          <cell r="F39">
            <v>13299802.884337975</v>
          </cell>
          <cell r="G39">
            <v>12489442.816048786</v>
          </cell>
          <cell r="H39">
            <v>21987759.24532631</v>
          </cell>
          <cell r="I39">
            <v>21968695.139864065</v>
          </cell>
          <cell r="J39">
            <v>24222348.53822653</v>
          </cell>
          <cell r="K39">
            <v>19100045.50190457</v>
          </cell>
          <cell r="L39">
            <v>14107796.157858746</v>
          </cell>
          <cell r="M39">
            <v>13632562.790824041</v>
          </cell>
          <cell r="N39">
            <v>13612643.96586515</v>
          </cell>
          <cell r="O39">
            <v>13499831.027770177</v>
          </cell>
          <cell r="P39">
            <v>17412049.90896681</v>
          </cell>
          <cell r="Q39">
            <v>199811475.87482908</v>
          </cell>
          <cell r="R39">
            <v>108446546.5216396</v>
          </cell>
          <cell r="S39">
            <v>91364929.353189498</v>
          </cell>
          <cell r="T39">
            <v>199811475.87482911</v>
          </cell>
          <cell r="U39">
            <v>155286950.97222698</v>
          </cell>
          <cell r="V39" t="str">
            <v>Profit before tax</v>
          </cell>
        </row>
        <row r="40">
          <cell r="U40">
            <v>0</v>
          </cell>
        </row>
        <row r="41">
          <cell r="B41" t="str">
            <v>Taxation</v>
          </cell>
          <cell r="U41">
            <v>0</v>
          </cell>
          <cell r="V41" t="str">
            <v>Taxation</v>
          </cell>
        </row>
        <row r="42">
          <cell r="C42" t="str">
            <v>Presumptive</v>
          </cell>
          <cell r="E42">
            <v>4312603.9179655453</v>
          </cell>
          <cell r="F42">
            <v>3473328.9179655453</v>
          </cell>
          <cell r="G42">
            <v>3825440.9179655453</v>
          </cell>
          <cell r="H42">
            <v>3995144.4331419198</v>
          </cell>
          <cell r="I42">
            <v>4053888.690730107</v>
          </cell>
          <cell r="J42">
            <v>4541051.690730107</v>
          </cell>
          <cell r="K42">
            <v>4608365.3347005742</v>
          </cell>
          <cell r="L42">
            <v>4255758.3347005742</v>
          </cell>
          <cell r="M42">
            <v>4061909.3347005742</v>
          </cell>
          <cell r="N42">
            <v>3967525.3347005742</v>
          </cell>
          <cell r="O42">
            <v>4161374.3347005742</v>
          </cell>
          <cell r="P42">
            <v>4802214.3347005742</v>
          </cell>
          <cell r="Q42">
            <v>50058605.576702222</v>
          </cell>
          <cell r="R42">
            <v>24201458.568498768</v>
          </cell>
          <cell r="S42">
            <v>25857147.008203443</v>
          </cell>
          <cell r="T42">
            <v>50058605.576702207</v>
          </cell>
          <cell r="U42">
            <v>37127491.572600491</v>
          </cell>
          <cell r="V42" t="str">
            <v>Presumptive</v>
          </cell>
        </row>
        <row r="43">
          <cell r="C43" t="str">
            <v>Others</v>
          </cell>
          <cell r="E43">
            <v>193077.5</v>
          </cell>
          <cell r="F43">
            <v>193077.5</v>
          </cell>
          <cell r="G43">
            <v>193077.5</v>
          </cell>
          <cell r="H43">
            <v>227111.5</v>
          </cell>
          <cell r="I43">
            <v>227111.5</v>
          </cell>
          <cell r="J43">
            <v>227111.5</v>
          </cell>
          <cell r="K43">
            <v>294525</v>
          </cell>
          <cell r="L43">
            <v>294525</v>
          </cell>
          <cell r="M43">
            <v>294525</v>
          </cell>
          <cell r="N43">
            <v>310887.5</v>
          </cell>
          <cell r="O43">
            <v>310887.5</v>
          </cell>
          <cell r="P43">
            <v>310887.5</v>
          </cell>
          <cell r="Q43">
            <v>3076804.5</v>
          </cell>
          <cell r="R43">
            <v>1260567</v>
          </cell>
          <cell r="S43">
            <v>1816237.5</v>
          </cell>
          <cell r="T43">
            <v>3076804.5</v>
          </cell>
          <cell r="U43">
            <v>2144142</v>
          </cell>
          <cell r="V43" t="str">
            <v>Others</v>
          </cell>
        </row>
        <row r="44">
          <cell r="E44">
            <v>4505681.4179655453</v>
          </cell>
          <cell r="F44">
            <v>3666406.4179655453</v>
          </cell>
          <cell r="G44">
            <v>4018518.4179655453</v>
          </cell>
          <cell r="H44">
            <v>4222255.9331419198</v>
          </cell>
          <cell r="I44">
            <v>4281000.190730107</v>
          </cell>
          <cell r="J44">
            <v>4768163.190730107</v>
          </cell>
          <cell r="K44">
            <v>4902890.3347005742</v>
          </cell>
          <cell r="L44">
            <v>4550283.3347005742</v>
          </cell>
          <cell r="M44">
            <v>4356434.3347005742</v>
          </cell>
          <cell r="N44">
            <v>4278412.8347005742</v>
          </cell>
          <cell r="O44">
            <v>4472261.8347005742</v>
          </cell>
          <cell r="P44">
            <v>5113101.8347005742</v>
          </cell>
          <cell r="Q44">
            <v>53135410.076702222</v>
          </cell>
          <cell r="R44">
            <v>25462025.568498768</v>
          </cell>
          <cell r="S44">
            <v>27673384.508203443</v>
          </cell>
          <cell r="T44">
            <v>53135410.076702207</v>
          </cell>
          <cell r="U44">
            <v>39271633.572600491</v>
          </cell>
        </row>
        <row r="45">
          <cell r="B45" t="str">
            <v>Profit after tax</v>
          </cell>
          <cell r="E45">
            <v>9972816.4798704013</v>
          </cell>
          <cell r="F45">
            <v>9633396.4663724303</v>
          </cell>
          <cell r="G45">
            <v>8470924.3980832398</v>
          </cell>
          <cell r="H45">
            <v>17765503.31218439</v>
          </cell>
          <cell r="I45">
            <v>17687694.949133959</v>
          </cell>
          <cell r="J45">
            <v>19454185.347496424</v>
          </cell>
          <cell r="K45">
            <v>14197155.167203996</v>
          </cell>
          <cell r="L45">
            <v>9557512.823158171</v>
          </cell>
          <cell r="M45">
            <v>9276128.4561234675</v>
          </cell>
          <cell r="N45">
            <v>9334231.1311645769</v>
          </cell>
          <cell r="O45">
            <v>9027569.1930696033</v>
          </cell>
          <cell r="P45">
            <v>12298948.074266236</v>
          </cell>
          <cell r="Q45">
            <v>146676065.79812688</v>
          </cell>
          <cell r="R45">
            <v>82984520.95314084</v>
          </cell>
          <cell r="S45">
            <v>63691544.844986051</v>
          </cell>
          <cell r="T45">
            <v>146676065.79812688</v>
          </cell>
          <cell r="U45">
            <v>116015317.39962646</v>
          </cell>
          <cell r="V45" t="str">
            <v>Profit after tax</v>
          </cell>
        </row>
        <row r="46">
          <cell r="E46">
            <v>7763857.4598337682</v>
          </cell>
          <cell r="F46">
            <v>8050934.95324565</v>
          </cell>
          <cell r="G46">
            <v>7191768.381252938</v>
          </cell>
          <cell r="H46">
            <v>14884164.309670573</v>
          </cell>
          <cell r="I46">
            <v>14364989.342569456</v>
          </cell>
          <cell r="J46">
            <v>14501654.617506377</v>
          </cell>
          <cell r="K46">
            <v>11396183.077640176</v>
          </cell>
          <cell r="L46">
            <v>7822939.3617507955</v>
          </cell>
          <cell r="M46">
            <v>7892369.0129531221</v>
          </cell>
          <cell r="N46">
            <v>8095537.7332376549</v>
          </cell>
          <cell r="O46">
            <v>7548131.7973562693</v>
          </cell>
          <cell r="P46">
            <v>11787971.226440158</v>
          </cell>
          <cell r="Q46">
            <v>121300501.27345693</v>
          </cell>
          <cell r="R46">
            <v>66757369.064078763</v>
          </cell>
          <cell r="S46">
            <v>54543132.209378183</v>
          </cell>
          <cell r="T46">
            <v>121300501.27345695</v>
          </cell>
        </row>
        <row r="47">
          <cell r="E47">
            <v>-2208959.0200366331</v>
          </cell>
          <cell r="F47">
            <v>-1582461.5131267803</v>
          </cell>
          <cell r="G47">
            <v>-1279156.0168303018</v>
          </cell>
          <cell r="H47">
            <v>-2881339.0025138166</v>
          </cell>
          <cell r="I47">
            <v>-3322705.6065645032</v>
          </cell>
          <cell r="J47">
            <v>-4952530.7299900465</v>
          </cell>
          <cell r="K47">
            <v>-2800972.0895638205</v>
          </cell>
          <cell r="L47">
            <v>-1734573.4614073755</v>
          </cell>
          <cell r="M47">
            <v>-1383759.4431703454</v>
          </cell>
          <cell r="N47">
            <v>-1238693.397926922</v>
          </cell>
          <cell r="O47">
            <v>-1479437.395713334</v>
          </cell>
          <cell r="P47">
            <v>-510976.84782607853</v>
          </cell>
          <cell r="Q47">
            <v>-25375564.524669956</v>
          </cell>
          <cell r="R47">
            <v>-16227151.889062081</v>
          </cell>
          <cell r="S47">
            <v>-9148412.6356078759</v>
          </cell>
          <cell r="T47">
            <v>-25375564.524669956</v>
          </cell>
        </row>
        <row r="48">
          <cell r="Q48">
            <v>500562170.76853019</v>
          </cell>
        </row>
        <row r="49">
          <cell r="B49" t="str">
            <v>*Note: Rs 16 Million reduced from GP is for Parts incentive to be given to dealers</v>
          </cell>
        </row>
        <row r="51">
          <cell r="B51" t="str">
            <v>INDUS MOTOR COMPANY LIMITED</v>
          </cell>
        </row>
        <row r="52">
          <cell r="B52" t="str">
            <v>PERUNIT PROFIT &amp; LOSS ACCOUNT - CBU</v>
          </cell>
        </row>
        <row r="53">
          <cell r="B53" t="str">
            <v>FOR THE YEAR 1999~2000</v>
          </cell>
        </row>
        <row r="54">
          <cell r="X54" t="str">
            <v xml:space="preserve">C:\MIS\2002-03\[MIS-Aug-02-Sep17-QP.xls]Variantwise </v>
          </cell>
        </row>
        <row r="55">
          <cell r="E55">
            <v>913</v>
          </cell>
          <cell r="G55">
            <v>944</v>
          </cell>
          <cell r="I55">
            <v>975</v>
          </cell>
          <cell r="K55">
            <v>1006</v>
          </cell>
          <cell r="M55">
            <v>1037</v>
          </cell>
          <cell r="O55">
            <v>1068</v>
          </cell>
          <cell r="Q55">
            <v>1099</v>
          </cell>
          <cell r="S55">
            <v>1130</v>
          </cell>
          <cell r="V55">
            <v>1161</v>
          </cell>
          <cell r="X55">
            <v>1192</v>
          </cell>
          <cell r="Z55">
            <v>1223</v>
          </cell>
          <cell r="AB55">
            <v>1254</v>
          </cell>
          <cell r="AD55" t="str">
            <v>Yearly</v>
          </cell>
        </row>
        <row r="56">
          <cell r="C56" t="str">
            <v>Hilux  4 x 2 - D/C</v>
          </cell>
          <cell r="E56" t="str">
            <v>Per Unit</v>
          </cell>
          <cell r="F56" t="str">
            <v>Total</v>
          </cell>
          <cell r="G56" t="str">
            <v>Per Unit</v>
          </cell>
          <cell r="H56" t="str">
            <v>Total</v>
          </cell>
          <cell r="I56" t="str">
            <v>Per Unit</v>
          </cell>
          <cell r="J56" t="str">
            <v>Total</v>
          </cell>
          <cell r="K56" t="str">
            <v>Per Unit</v>
          </cell>
          <cell r="L56" t="str">
            <v>Total</v>
          </cell>
          <cell r="M56" t="str">
            <v>Per Unit</v>
          </cell>
          <cell r="N56" t="str">
            <v>Total</v>
          </cell>
          <cell r="O56" t="str">
            <v>Per Unit</v>
          </cell>
          <cell r="P56" t="str">
            <v>Total</v>
          </cell>
          <cell r="Q56" t="str">
            <v>Per Unit</v>
          </cell>
          <cell r="R56" t="str">
            <v>Total</v>
          </cell>
          <cell r="S56" t="str">
            <v>Per Unit</v>
          </cell>
          <cell r="U56" t="str">
            <v>Total</v>
          </cell>
          <cell r="V56" t="str">
            <v>Per Unit</v>
          </cell>
          <cell r="W56" t="str">
            <v>Total</v>
          </cell>
          <cell r="X56" t="str">
            <v>Per Unit</v>
          </cell>
          <cell r="Y56" t="str">
            <v>Total</v>
          </cell>
          <cell r="Z56" t="str">
            <v>Per Unit</v>
          </cell>
          <cell r="AA56" t="str">
            <v>Total</v>
          </cell>
          <cell r="AB56" t="str">
            <v>Per Unit</v>
          </cell>
          <cell r="AC56" t="str">
            <v>Total</v>
          </cell>
          <cell r="AD56" t="str">
            <v>Average</v>
          </cell>
        </row>
        <row r="58">
          <cell r="C58" t="str">
            <v>Sales Units</v>
          </cell>
          <cell r="E58">
            <v>3</v>
          </cell>
          <cell r="F58">
            <v>3</v>
          </cell>
          <cell r="G58">
            <v>3</v>
          </cell>
          <cell r="H58">
            <v>3</v>
          </cell>
          <cell r="I58">
            <v>3</v>
          </cell>
          <cell r="J58">
            <v>3</v>
          </cell>
          <cell r="K58">
            <v>3</v>
          </cell>
          <cell r="L58">
            <v>3</v>
          </cell>
          <cell r="M58">
            <v>3</v>
          </cell>
          <cell r="N58">
            <v>3</v>
          </cell>
          <cell r="O58">
            <v>3</v>
          </cell>
          <cell r="P58">
            <v>3</v>
          </cell>
          <cell r="Q58">
            <v>3</v>
          </cell>
          <cell r="R58">
            <v>3</v>
          </cell>
          <cell r="S58">
            <v>3</v>
          </cell>
          <cell r="T58">
            <v>3</v>
          </cell>
          <cell r="U58">
            <v>3</v>
          </cell>
          <cell r="V58">
            <v>3</v>
          </cell>
          <cell r="W58">
            <v>3</v>
          </cell>
          <cell r="X58">
            <v>3</v>
          </cell>
          <cell r="Y58">
            <v>3</v>
          </cell>
          <cell r="Z58">
            <v>3</v>
          </cell>
          <cell r="AA58">
            <v>3</v>
          </cell>
          <cell r="AB58">
            <v>3</v>
          </cell>
          <cell r="AC58">
            <v>3</v>
          </cell>
          <cell r="AD58">
            <v>36</v>
          </cell>
          <cell r="AG58">
            <v>131615648.08695649</v>
          </cell>
        </row>
        <row r="59">
          <cell r="U59">
            <v>0</v>
          </cell>
          <cell r="AG59">
            <v>340092.1139197842</v>
          </cell>
        </row>
        <row r="60">
          <cell r="C60" t="str">
            <v>Selling Price</v>
          </cell>
          <cell r="E60">
            <v>1860000</v>
          </cell>
          <cell r="F60">
            <v>5580000</v>
          </cell>
          <cell r="G60">
            <v>1860000</v>
          </cell>
          <cell r="H60">
            <v>5580000</v>
          </cell>
          <cell r="I60">
            <v>1860000</v>
          </cell>
          <cell r="J60">
            <v>5580000</v>
          </cell>
          <cell r="K60">
            <v>1860000</v>
          </cell>
          <cell r="L60">
            <v>5580000</v>
          </cell>
          <cell r="M60">
            <v>1860000</v>
          </cell>
          <cell r="N60">
            <v>5580000</v>
          </cell>
          <cell r="O60">
            <v>1860000</v>
          </cell>
          <cell r="P60">
            <v>5580000</v>
          </cell>
          <cell r="Q60">
            <v>1860000</v>
          </cell>
          <cell r="R60">
            <v>5580000</v>
          </cell>
          <cell r="S60">
            <v>1860000</v>
          </cell>
          <cell r="T60">
            <v>5580000</v>
          </cell>
          <cell r="U60">
            <v>5580000</v>
          </cell>
          <cell r="V60">
            <v>1860000</v>
          </cell>
          <cell r="W60">
            <v>5580000</v>
          </cell>
          <cell r="X60">
            <v>1860000</v>
          </cell>
          <cell r="Y60">
            <v>5580000</v>
          </cell>
          <cell r="Z60">
            <v>1860000</v>
          </cell>
          <cell r="AA60">
            <v>5580000</v>
          </cell>
          <cell r="AB60">
            <v>1860000</v>
          </cell>
          <cell r="AC60">
            <v>5580000</v>
          </cell>
          <cell r="AD60">
            <v>1860000</v>
          </cell>
          <cell r="AG60">
            <v>30021042</v>
          </cell>
        </row>
        <row r="61">
          <cell r="C61" t="str">
            <v>Less: Dealer commission</v>
          </cell>
          <cell r="E61">
            <v>-30000</v>
          </cell>
          <cell r="F61">
            <v>-90000</v>
          </cell>
          <cell r="G61">
            <v>-30000</v>
          </cell>
          <cell r="H61">
            <v>-90000</v>
          </cell>
          <cell r="I61">
            <v>-30000</v>
          </cell>
          <cell r="J61">
            <v>-90000</v>
          </cell>
          <cell r="K61">
            <v>-30000</v>
          </cell>
          <cell r="L61">
            <v>-90000</v>
          </cell>
          <cell r="M61">
            <v>-30000</v>
          </cell>
          <cell r="N61">
            <v>-90000</v>
          </cell>
          <cell r="O61">
            <v>-30000</v>
          </cell>
          <cell r="P61">
            <v>-90000</v>
          </cell>
          <cell r="Q61">
            <v>-30000</v>
          </cell>
          <cell r="R61">
            <v>-90000</v>
          </cell>
          <cell r="S61">
            <v>-30000</v>
          </cell>
          <cell r="T61">
            <v>-90000</v>
          </cell>
          <cell r="U61">
            <v>-90000</v>
          </cell>
          <cell r="V61">
            <v>-30000</v>
          </cell>
          <cell r="W61">
            <v>-90000</v>
          </cell>
          <cell r="X61">
            <v>-30000</v>
          </cell>
          <cell r="Y61">
            <v>-90000</v>
          </cell>
          <cell r="Z61">
            <v>-30000</v>
          </cell>
          <cell r="AA61">
            <v>-90000</v>
          </cell>
          <cell r="AB61">
            <v>-30000</v>
          </cell>
          <cell r="AC61">
            <v>-90000</v>
          </cell>
          <cell r="AD61">
            <v>-30000</v>
          </cell>
          <cell r="AG61">
            <v>77573.751937984489</v>
          </cell>
        </row>
        <row r="62">
          <cell r="C62" t="str">
            <v xml:space="preserve">  Sales tax</v>
          </cell>
          <cell r="E62">
            <v>-242608.69565217392</v>
          </cell>
          <cell r="F62">
            <v>-727826.08695652173</v>
          </cell>
          <cell r="G62">
            <v>-242608.69565217392</v>
          </cell>
          <cell r="H62">
            <v>-727826.08695652173</v>
          </cell>
          <cell r="I62">
            <v>-242608.69565217392</v>
          </cell>
          <cell r="J62">
            <v>-727826.08695652173</v>
          </cell>
          <cell r="K62">
            <v>-242608.69565217392</v>
          </cell>
          <cell r="L62">
            <v>-727826.08695652173</v>
          </cell>
          <cell r="M62">
            <v>-242608.69565217392</v>
          </cell>
          <cell r="N62">
            <v>-727826.08695652173</v>
          </cell>
          <cell r="O62">
            <v>-242608.69565217392</v>
          </cell>
          <cell r="P62">
            <v>-727826.08695652173</v>
          </cell>
          <cell r="Q62">
            <v>-242608.69565217392</v>
          </cell>
          <cell r="R62">
            <v>-727826.08695652173</v>
          </cell>
          <cell r="S62">
            <v>-242608.69565217392</v>
          </cell>
          <cell r="T62">
            <v>-727826.08695652173</v>
          </cell>
          <cell r="U62">
            <v>-727826.08695652173</v>
          </cell>
          <cell r="V62">
            <v>-242608.69565217392</v>
          </cell>
          <cell r="W62">
            <v>-727826.08695652173</v>
          </cell>
          <cell r="X62">
            <v>-242608.69565217392</v>
          </cell>
          <cell r="Y62">
            <v>-727826.08695652173</v>
          </cell>
          <cell r="Z62">
            <v>-242608.69565217392</v>
          </cell>
          <cell r="AA62">
            <v>-727826.08695652173</v>
          </cell>
          <cell r="AB62">
            <v>-242608.69565217392</v>
          </cell>
          <cell r="AC62">
            <v>-727826.08695652173</v>
          </cell>
          <cell r="AD62">
            <v>-242608.69565217389</v>
          </cell>
          <cell r="AG62">
            <v>262518.36198179971</v>
          </cell>
        </row>
        <row r="63">
          <cell r="C63" t="str">
            <v>Net Sales</v>
          </cell>
          <cell r="E63">
            <v>1587391.3043478262</v>
          </cell>
          <cell r="F63">
            <v>4762173.9130434785</v>
          </cell>
          <cell r="G63">
            <v>1587391.3043478262</v>
          </cell>
          <cell r="H63">
            <v>4762173.9130434785</v>
          </cell>
          <cell r="I63">
            <v>1587391.3043478262</v>
          </cell>
          <cell r="J63">
            <v>4762173.9130434785</v>
          </cell>
          <cell r="K63">
            <v>1587391.3043478262</v>
          </cell>
          <cell r="L63">
            <v>4762173.9130434785</v>
          </cell>
          <cell r="M63">
            <v>1587391.3043478262</v>
          </cell>
          <cell r="N63">
            <v>4762173.9130434785</v>
          </cell>
          <cell r="O63">
            <v>1587391.3043478262</v>
          </cell>
          <cell r="P63">
            <v>4762173.9130434785</v>
          </cell>
          <cell r="Q63">
            <v>1587391.3043478262</v>
          </cell>
          <cell r="R63">
            <v>4762173.9130434785</v>
          </cell>
          <cell r="S63">
            <v>1587391.3043478262</v>
          </cell>
          <cell r="T63">
            <v>4762173.9130434785</v>
          </cell>
          <cell r="U63">
            <v>4762173.9130434785</v>
          </cell>
          <cell r="V63">
            <v>1587391.3043478262</v>
          </cell>
          <cell r="W63">
            <v>4762173.9130434785</v>
          </cell>
          <cell r="X63">
            <v>1587391.3043478262</v>
          </cell>
          <cell r="Y63">
            <v>4762173.9130434785</v>
          </cell>
          <cell r="Z63">
            <v>1587391.3043478262</v>
          </cell>
          <cell r="AA63">
            <v>4762173.9130434785</v>
          </cell>
          <cell r="AB63">
            <v>1587391.3043478262</v>
          </cell>
          <cell r="AC63">
            <v>4762173.9130434785</v>
          </cell>
          <cell r="AD63">
            <v>1587391.3043478262</v>
          </cell>
        </row>
        <row r="64">
          <cell r="C64" t="str">
            <v>Landed cost</v>
          </cell>
          <cell r="E64">
            <v>1328980</v>
          </cell>
          <cell r="F64">
            <v>3986940</v>
          </cell>
          <cell r="G64">
            <v>1328980</v>
          </cell>
          <cell r="H64">
            <v>3986940</v>
          </cell>
          <cell r="I64">
            <v>1328980</v>
          </cell>
          <cell r="J64">
            <v>3986940</v>
          </cell>
          <cell r="K64">
            <v>1328980</v>
          </cell>
          <cell r="L64">
            <v>3986940</v>
          </cell>
          <cell r="M64">
            <v>1328980</v>
          </cell>
          <cell r="N64">
            <v>3986940</v>
          </cell>
          <cell r="O64">
            <v>1328980</v>
          </cell>
          <cell r="P64">
            <v>3986940</v>
          </cell>
          <cell r="Q64">
            <v>1328980</v>
          </cell>
          <cell r="R64">
            <v>3986940</v>
          </cell>
          <cell r="S64">
            <v>1328980</v>
          </cell>
          <cell r="T64">
            <v>3986940</v>
          </cell>
          <cell r="U64">
            <v>3986940</v>
          </cell>
          <cell r="V64">
            <v>1328980</v>
          </cell>
          <cell r="W64">
            <v>3986940</v>
          </cell>
          <cell r="X64">
            <v>1328980</v>
          </cell>
          <cell r="Y64">
            <v>3986940</v>
          </cell>
          <cell r="Z64">
            <v>1328980</v>
          </cell>
          <cell r="AA64">
            <v>3986940</v>
          </cell>
          <cell r="AB64">
            <v>1328980</v>
          </cell>
          <cell r="AC64">
            <v>3986940</v>
          </cell>
          <cell r="AD64">
            <v>1328980</v>
          </cell>
          <cell r="AF64">
            <v>47843280</v>
          </cell>
        </row>
        <row r="65">
          <cell r="C65" t="str">
            <v>Gross Profit</v>
          </cell>
          <cell r="E65">
            <v>258411.30434782617</v>
          </cell>
          <cell r="F65">
            <v>775233.9130434785</v>
          </cell>
          <cell r="G65">
            <v>258411.30434782617</v>
          </cell>
          <cell r="H65">
            <v>775233.9130434785</v>
          </cell>
          <cell r="I65">
            <v>258411.30434782617</v>
          </cell>
          <cell r="J65">
            <v>775233.9130434785</v>
          </cell>
          <cell r="K65">
            <v>258411.30434782617</v>
          </cell>
          <cell r="L65">
            <v>775233.9130434785</v>
          </cell>
          <cell r="M65">
            <v>258411.30434782617</v>
          </cell>
          <cell r="N65">
            <v>775233.9130434785</v>
          </cell>
          <cell r="O65">
            <v>258411.30434782617</v>
          </cell>
          <cell r="P65">
            <v>775233.9130434785</v>
          </cell>
          <cell r="Q65">
            <v>258411.30434782617</v>
          </cell>
          <cell r="R65">
            <v>775233.9130434785</v>
          </cell>
          <cell r="S65">
            <v>258411.30434782617</v>
          </cell>
          <cell r="T65">
            <v>775233.9130434785</v>
          </cell>
          <cell r="U65">
            <v>775233.9130434785</v>
          </cell>
          <cell r="V65">
            <v>258411.30434782617</v>
          </cell>
          <cell r="W65">
            <v>775233.9130434785</v>
          </cell>
          <cell r="X65">
            <v>258411.30434782617</v>
          </cell>
          <cell r="Y65">
            <v>775233.9130434785</v>
          </cell>
          <cell r="Z65">
            <v>258411.30434782617</v>
          </cell>
          <cell r="AA65">
            <v>775233.9130434785</v>
          </cell>
          <cell r="AB65">
            <v>258411.30434782617</v>
          </cell>
          <cell r="AC65">
            <v>775233.9130434785</v>
          </cell>
          <cell r="AD65">
            <v>258411.30434782617</v>
          </cell>
          <cell r="AG65">
            <v>9302806.956521742</v>
          </cell>
        </row>
        <row r="66">
          <cell r="E66">
            <v>0.16278992056970698</v>
          </cell>
          <cell r="U66">
            <v>0</v>
          </cell>
        </row>
        <row r="67">
          <cell r="U67">
            <v>0</v>
          </cell>
        </row>
        <row r="68">
          <cell r="C68" t="str">
            <v>Other Expenses</v>
          </cell>
          <cell r="U68">
            <v>0</v>
          </cell>
        </row>
        <row r="69">
          <cell r="C69" t="str">
            <v>Selling Expenses</v>
          </cell>
          <cell r="E69">
            <v>15580.366396615698</v>
          </cell>
          <cell r="F69">
            <v>46741.099189847097</v>
          </cell>
          <cell r="G69">
            <v>14065.815418598198</v>
          </cell>
          <cell r="H69">
            <v>42197.446255794595</v>
          </cell>
          <cell r="I69">
            <v>13937.86149454217</v>
          </cell>
          <cell r="J69">
            <v>41813.58448362651</v>
          </cell>
          <cell r="K69">
            <v>12990.070739676898</v>
          </cell>
          <cell r="L69">
            <v>38970.212219030691</v>
          </cell>
          <cell r="M69">
            <v>17928.80038831451</v>
          </cell>
          <cell r="N69">
            <v>53786.401164943527</v>
          </cell>
          <cell r="O69">
            <v>16522.62377225871</v>
          </cell>
          <cell r="P69">
            <v>49567.871316776131</v>
          </cell>
          <cell r="Q69">
            <v>13012.379906852413</v>
          </cell>
          <cell r="R69">
            <v>39037.139720557243</v>
          </cell>
          <cell r="S69">
            <v>16957.866211611876</v>
          </cell>
          <cell r="T69">
            <v>50873.598634835624</v>
          </cell>
          <cell r="U69">
            <v>50873.598634835624</v>
          </cell>
          <cell r="V69">
            <v>15996.962658356917</v>
          </cell>
          <cell r="W69">
            <v>47990.887975070749</v>
          </cell>
          <cell r="X69">
            <v>17004.344235451234</v>
          </cell>
          <cell r="Y69">
            <v>51013.032706353697</v>
          </cell>
          <cell r="Z69">
            <v>16758.208123786724</v>
          </cell>
          <cell r="AA69">
            <v>50274.624371360173</v>
          </cell>
          <cell r="AB69">
            <v>15514.915208059225</v>
          </cell>
          <cell r="AC69">
            <v>46544.745624177674</v>
          </cell>
          <cell r="AD69">
            <v>15522.517879510378</v>
          </cell>
        </row>
        <row r="70">
          <cell r="C70" t="str">
            <v>Advertisement Expenses</v>
          </cell>
          <cell r="E70">
            <v>2405.8167555729137</v>
          </cell>
          <cell r="F70">
            <v>7217.4502667187407</v>
          </cell>
          <cell r="G70">
            <v>3080.827321757934</v>
          </cell>
          <cell r="H70">
            <v>9242.4819652738024</v>
          </cell>
          <cell r="I70">
            <v>23766.822379487348</v>
          </cell>
          <cell r="J70">
            <v>71300.467138462045</v>
          </cell>
          <cell r="K70">
            <v>23113.454316588311</v>
          </cell>
          <cell r="L70">
            <v>69340.362949764938</v>
          </cell>
          <cell r="M70">
            <v>25512.297842660966</v>
          </cell>
          <cell r="N70">
            <v>76536.893527982902</v>
          </cell>
          <cell r="O70">
            <v>2551.3138847595887</v>
          </cell>
          <cell r="P70">
            <v>7653.9416542787658</v>
          </cell>
          <cell r="Q70">
            <v>2503.8786398437537</v>
          </cell>
          <cell r="R70">
            <v>7511.6359195312616</v>
          </cell>
          <cell r="S70">
            <v>15993.121382039297</v>
          </cell>
          <cell r="T70">
            <v>47979.364146117892</v>
          </cell>
          <cell r="U70">
            <v>47979.364146117892</v>
          </cell>
          <cell r="V70">
            <v>18583.08922809346</v>
          </cell>
          <cell r="W70">
            <v>55749.267684280378</v>
          </cell>
          <cell r="X70">
            <v>2625.697960996888</v>
          </cell>
          <cell r="Y70">
            <v>7877.0938829906645</v>
          </cell>
          <cell r="Z70">
            <v>28862.71016865053</v>
          </cell>
          <cell r="AA70">
            <v>86588.130505951587</v>
          </cell>
          <cell r="AB70">
            <v>3501.4226255840545</v>
          </cell>
          <cell r="AC70">
            <v>10504.267876752163</v>
          </cell>
          <cell r="AD70">
            <v>12708.371042169589</v>
          </cell>
        </row>
        <row r="71">
          <cell r="C71" t="str">
            <v>Administrative Expenses</v>
          </cell>
          <cell r="E71">
            <v>31746.041360815143</v>
          </cell>
          <cell r="F71">
            <v>95238.124082445429</v>
          </cell>
          <cell r="G71">
            <v>28660.042176505169</v>
          </cell>
          <cell r="H71">
            <v>85980.126529515503</v>
          </cell>
          <cell r="I71">
            <v>28399.32747558237</v>
          </cell>
          <cell r="J71">
            <v>85197.982426747112</v>
          </cell>
          <cell r="K71">
            <v>26468.140253189009</v>
          </cell>
          <cell r="L71">
            <v>79404.42075956703</v>
          </cell>
          <cell r="M71">
            <v>36531.133106142057</v>
          </cell>
          <cell r="N71">
            <v>109593.39931842618</v>
          </cell>
          <cell r="O71">
            <v>33665.95395197178</v>
          </cell>
          <cell r="P71">
            <v>100997.86185591534</v>
          </cell>
          <cell r="Q71">
            <v>26513.596677373815</v>
          </cell>
          <cell r="R71">
            <v>79540.79003212144</v>
          </cell>
          <cell r="S71">
            <v>34552.789609744817</v>
          </cell>
          <cell r="T71">
            <v>103658.36882923445</v>
          </cell>
          <cell r="U71">
            <v>103658.36882923445</v>
          </cell>
          <cell r="V71">
            <v>32594.884181281192</v>
          </cell>
          <cell r="W71">
            <v>97784.652543843578</v>
          </cell>
          <cell r="X71">
            <v>34647.491700158673</v>
          </cell>
          <cell r="Y71">
            <v>103942.47510047602</v>
          </cell>
          <cell r="Z71">
            <v>34145.972866622818</v>
          </cell>
          <cell r="AA71">
            <v>102437.91859986846</v>
          </cell>
          <cell r="AB71">
            <v>31612.680174939585</v>
          </cell>
          <cell r="AC71">
            <v>94838.04052481876</v>
          </cell>
          <cell r="AD71">
            <v>31628.171127860536</v>
          </cell>
        </row>
        <row r="72">
          <cell r="C72" t="str">
            <v>Depreciation (Admin. &amp; Selling )</v>
          </cell>
          <cell r="E72">
            <v>8927.9242923219663</v>
          </cell>
          <cell r="F72">
            <v>26783.772876965901</v>
          </cell>
          <cell r="G72">
            <v>8060.0501920351098</v>
          </cell>
          <cell r="H72">
            <v>24180.15057610533</v>
          </cell>
          <cell r="I72">
            <v>7986.7295192217998</v>
          </cell>
          <cell r="J72">
            <v>23960.188557665399</v>
          </cell>
          <cell r="K72">
            <v>7443.6226442616662</v>
          </cell>
          <cell r="L72">
            <v>22330.867932784997</v>
          </cell>
          <cell r="M72">
            <v>10273.633395026813</v>
          </cell>
          <cell r="N72">
            <v>30820.900185080438</v>
          </cell>
          <cell r="O72">
            <v>9467.8604080380956</v>
          </cell>
          <cell r="P72">
            <v>28403.581224114285</v>
          </cell>
          <cell r="Q72">
            <v>7456.4063330721565</v>
          </cell>
          <cell r="R72">
            <v>22369.218999216471</v>
          </cell>
          <cell r="S72">
            <v>9717.2647832904422</v>
          </cell>
          <cell r="T72">
            <v>29151.794349871328</v>
          </cell>
          <cell r="U72">
            <v>29151.794349871328</v>
          </cell>
          <cell r="V72">
            <v>9166.6439597938333</v>
          </cell>
          <cell r="W72">
            <v>27499.9318793815</v>
          </cell>
          <cell r="X72">
            <v>9743.8978076707062</v>
          </cell>
          <cell r="Y72">
            <v>29231.693423012119</v>
          </cell>
          <cell r="Z72">
            <v>9602.8559018125379</v>
          </cell>
          <cell r="AA72">
            <v>28808.567705437614</v>
          </cell>
          <cell r="AB72">
            <v>8890.4191886934896</v>
          </cell>
          <cell r="AC72">
            <v>26671.257566080469</v>
          </cell>
          <cell r="AD72">
            <v>8894.7757021032194</v>
          </cell>
        </row>
        <row r="73">
          <cell r="C73" t="str">
            <v>Financial Charges -Capital Exp.</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C74" t="str">
            <v>Financial  Charges -Working Capital</v>
          </cell>
          <cell r="E74">
            <v>1593.5489361898781</v>
          </cell>
          <cell r="F74">
            <v>4780.6468085696342</v>
          </cell>
          <cell r="G74">
            <v>1457.6240215047092</v>
          </cell>
          <cell r="H74">
            <v>4372.8720645141275</v>
          </cell>
          <cell r="I74">
            <v>1446.6945190186796</v>
          </cell>
          <cell r="J74">
            <v>4340.0835570560384</v>
          </cell>
          <cell r="K74">
            <v>1359.6931738041301</v>
          </cell>
          <cell r="L74">
            <v>4079.07952141239</v>
          </cell>
          <cell r="M74">
            <v>1819.174805065381</v>
          </cell>
          <cell r="N74">
            <v>5457.5244151961433</v>
          </cell>
          <cell r="O74">
            <v>1683.4853438562145</v>
          </cell>
          <cell r="P74">
            <v>5050.4560315686431</v>
          </cell>
          <cell r="Q74">
            <v>1343.3633567120232</v>
          </cell>
          <cell r="R74">
            <v>4030.0900701360697</v>
          </cell>
          <cell r="S74">
            <v>1703.3864664491034</v>
          </cell>
          <cell r="T74">
            <v>5110.1593993473107</v>
          </cell>
          <cell r="U74">
            <v>5110.1593993473107</v>
          </cell>
          <cell r="V74">
            <v>1621.6858468907856</v>
          </cell>
          <cell r="W74">
            <v>4865.0575406723565</v>
          </cell>
          <cell r="X74">
            <v>1714.8673233328852</v>
          </cell>
          <cell r="Y74">
            <v>5144.6019699986555</v>
          </cell>
          <cell r="Z74">
            <v>1688.4217100899446</v>
          </cell>
          <cell r="AA74">
            <v>5065.2651302698341</v>
          </cell>
          <cell r="AB74">
            <v>1570.4294045608508</v>
          </cell>
          <cell r="AC74">
            <v>4711.2882136825519</v>
          </cell>
          <cell r="AD74">
            <v>1583.5312422895488</v>
          </cell>
        </row>
        <row r="75">
          <cell r="C75" t="str">
            <v>Other Expenses (Charity &amp; Donation)</v>
          </cell>
          <cell r="E75">
            <v>1106.6312056874151</v>
          </cell>
          <cell r="F75">
            <v>3319.8936170622455</v>
          </cell>
          <cell r="G75">
            <v>1012.2389038227149</v>
          </cell>
          <cell r="H75">
            <v>3036.7167114681447</v>
          </cell>
          <cell r="I75">
            <v>1004.6489715407499</v>
          </cell>
          <cell r="J75">
            <v>3013.94691462225</v>
          </cell>
          <cell r="K75">
            <v>944.23137069731274</v>
          </cell>
          <cell r="L75">
            <v>2832.6941120919382</v>
          </cell>
          <cell r="M75">
            <v>1263.3158368509594</v>
          </cell>
          <cell r="N75">
            <v>3789.9475105528782</v>
          </cell>
          <cell r="O75">
            <v>1169.0870443445933</v>
          </cell>
          <cell r="P75">
            <v>3507.26113303378</v>
          </cell>
          <cell r="Q75">
            <v>932.89121993890501</v>
          </cell>
          <cell r="R75">
            <v>2798.6736598167149</v>
          </cell>
          <cell r="S75">
            <v>1182.9072683674331</v>
          </cell>
          <cell r="T75">
            <v>3548.7218051022992</v>
          </cell>
          <cell r="U75">
            <v>3548.7218051022992</v>
          </cell>
          <cell r="V75">
            <v>1126.1707270074899</v>
          </cell>
          <cell r="W75">
            <v>3378.5121810224696</v>
          </cell>
          <cell r="X75">
            <v>1190.8800856478372</v>
          </cell>
          <cell r="Y75">
            <v>3572.6402569435113</v>
          </cell>
          <cell r="Z75">
            <v>1172.5150764513503</v>
          </cell>
          <cell r="AA75">
            <v>3517.5452293540511</v>
          </cell>
          <cell r="AB75">
            <v>1090.5759753894795</v>
          </cell>
          <cell r="AC75">
            <v>3271.7279261684384</v>
          </cell>
          <cell r="AD75">
            <v>1099.6744738121868</v>
          </cell>
        </row>
        <row r="76">
          <cell r="C76" t="str">
            <v>Other Expenses ( W.P.P.F.)</v>
          </cell>
          <cell r="E76">
            <v>9648.5900544295782</v>
          </cell>
          <cell r="F76">
            <v>28945.770163288733</v>
          </cell>
          <cell r="G76">
            <v>11903.296926179239</v>
          </cell>
          <cell r="H76">
            <v>35709.890778537716</v>
          </cell>
          <cell r="I76">
            <v>11129.264448460395</v>
          </cell>
          <cell r="J76">
            <v>33387.793345381186</v>
          </cell>
          <cell r="K76">
            <v>12765.472506264148</v>
          </cell>
          <cell r="L76">
            <v>38296.417518792441</v>
          </cell>
          <cell r="M76">
            <v>8697.6853037127148</v>
          </cell>
          <cell r="N76">
            <v>26093.055911138144</v>
          </cell>
          <cell r="O76">
            <v>8477.4712963599068</v>
          </cell>
          <cell r="P76">
            <v>25432.413889079719</v>
          </cell>
          <cell r="Q76">
            <v>11947.065838432633</v>
          </cell>
          <cell r="R76">
            <v>35841.197515297899</v>
          </cell>
          <cell r="S76">
            <v>8315.7504207462025</v>
          </cell>
          <cell r="T76">
            <v>24947.251262238606</v>
          </cell>
          <cell r="U76">
            <v>24947.251262238606</v>
          </cell>
          <cell r="V76">
            <v>10259.06027175571</v>
          </cell>
          <cell r="W76">
            <v>30777.180815267129</v>
          </cell>
          <cell r="X76">
            <v>11041.057493260387</v>
          </cell>
          <cell r="Y76">
            <v>33123.172479781162</v>
          </cell>
          <cell r="Z76">
            <v>9071.1554130804143</v>
          </cell>
          <cell r="AA76">
            <v>27213.466239241243</v>
          </cell>
          <cell r="AB76">
            <v>9315.9406486366006</v>
          </cell>
          <cell r="AC76">
            <v>27947.821945909804</v>
          </cell>
          <cell r="AD76">
            <v>10214.317551776494</v>
          </cell>
        </row>
        <row r="77">
          <cell r="C77" t="str">
            <v>Workers Welfare Fund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71008.919001632588</v>
          </cell>
          <cell r="F78">
            <v>213026.75700489775</v>
          </cell>
          <cell r="G78">
            <v>68239.894960403064</v>
          </cell>
          <cell r="H78">
            <v>204719.68488120919</v>
          </cell>
          <cell r="I78">
            <v>87671.348807853516</v>
          </cell>
          <cell r="J78">
            <v>263014.04642356053</v>
          </cell>
          <cell r="K78">
            <v>85084.685004481464</v>
          </cell>
          <cell r="L78">
            <v>255254.05501344439</v>
          </cell>
          <cell r="M78">
            <v>102026.0406777734</v>
          </cell>
          <cell r="N78">
            <v>306078.12203332019</v>
          </cell>
          <cell r="O78">
            <v>73537.795701588882</v>
          </cell>
          <cell r="P78">
            <v>220613.38710476665</v>
          </cell>
          <cell r="Q78">
            <v>63709.581972225693</v>
          </cell>
          <cell r="R78">
            <v>191128.74591667709</v>
          </cell>
          <cell r="S78">
            <v>88423.086142249173</v>
          </cell>
          <cell r="T78">
            <v>265269.25842674752</v>
          </cell>
          <cell r="U78">
            <v>265269.25842674752</v>
          </cell>
          <cell r="V78">
            <v>89348.496873179378</v>
          </cell>
          <cell r="W78">
            <v>268045.49061953812</v>
          </cell>
          <cell r="X78">
            <v>77968.236606518607</v>
          </cell>
          <cell r="Y78">
            <v>233904.70981955581</v>
          </cell>
          <cell r="Z78">
            <v>101301.83926049432</v>
          </cell>
          <cell r="AA78">
            <v>303905.51778148295</v>
          </cell>
          <cell r="AB78">
            <v>71496.383225863276</v>
          </cell>
          <cell r="AC78">
            <v>214489.14967758983</v>
          </cell>
          <cell r="AD78">
            <v>81651.359019521959</v>
          </cell>
        </row>
        <row r="79">
          <cell r="C79" t="str">
            <v>Operating Profit</v>
          </cell>
          <cell r="E79">
            <v>187402.38534619357</v>
          </cell>
          <cell r="F79">
            <v>562207.1560385807</v>
          </cell>
          <cell r="G79">
            <v>190171.4093874231</v>
          </cell>
          <cell r="H79">
            <v>570514.22816226934</v>
          </cell>
          <cell r="I79">
            <v>170739.95553997264</v>
          </cell>
          <cell r="J79">
            <v>512219.86661991791</v>
          </cell>
          <cell r="K79">
            <v>173326.6193433447</v>
          </cell>
          <cell r="L79">
            <v>519979.85803003411</v>
          </cell>
          <cell r="M79">
            <v>156385.26367005275</v>
          </cell>
          <cell r="N79">
            <v>469155.79101015825</v>
          </cell>
          <cell r="O79">
            <v>184873.50864623729</v>
          </cell>
          <cell r="P79">
            <v>554620.52593871183</v>
          </cell>
          <cell r="Q79">
            <v>194701.72237560048</v>
          </cell>
          <cell r="R79">
            <v>584105.16712680145</v>
          </cell>
          <cell r="S79">
            <v>169988.218205577</v>
          </cell>
          <cell r="T79">
            <v>509964.65461673099</v>
          </cell>
          <cell r="U79">
            <v>509964.65461673099</v>
          </cell>
          <cell r="V79">
            <v>169062.80747464678</v>
          </cell>
          <cell r="W79">
            <v>507188.42242394033</v>
          </cell>
          <cell r="X79">
            <v>180443.06774130755</v>
          </cell>
          <cell r="Y79">
            <v>541329.20322392264</v>
          </cell>
          <cell r="Z79">
            <v>157109.46508733183</v>
          </cell>
          <cell r="AA79">
            <v>471328.39526199549</v>
          </cell>
          <cell r="AB79">
            <v>186914.92112196289</v>
          </cell>
          <cell r="AC79">
            <v>560744.76336588874</v>
          </cell>
          <cell r="AD79">
            <v>176759.94532830419</v>
          </cell>
        </row>
        <row r="80">
          <cell r="U80">
            <v>0</v>
          </cell>
        </row>
        <row r="81">
          <cell r="C81" t="str">
            <v>Other Income</v>
          </cell>
          <cell r="U81">
            <v>0</v>
          </cell>
        </row>
        <row r="82">
          <cell r="C82" t="str">
            <v>H.D</v>
          </cell>
          <cell r="E82">
            <v>15352.228571428572</v>
          </cell>
          <cell r="F82">
            <v>46056.685714285719</v>
          </cell>
          <cell r="G82">
            <v>13804.129032258064</v>
          </cell>
          <cell r="H82">
            <v>41412.387096774197</v>
          </cell>
          <cell r="I82">
            <v>16932</v>
          </cell>
          <cell r="J82">
            <v>50796</v>
          </cell>
          <cell r="K82">
            <v>317514.93333333335</v>
          </cell>
          <cell r="L82">
            <v>952544.8</v>
          </cell>
          <cell r="M82">
            <v>309289.29032258067</v>
          </cell>
          <cell r="N82">
            <v>927867.87096774206</v>
          </cell>
          <cell r="O82">
            <v>264203.22222222225</v>
          </cell>
          <cell r="P82">
            <v>792609.66666666674</v>
          </cell>
          <cell r="Q82">
            <v>72764.571428571435</v>
          </cell>
          <cell r="R82">
            <v>218293.71428571432</v>
          </cell>
          <cell r="S82">
            <v>14837.75</v>
          </cell>
          <cell r="T82">
            <v>44513.25</v>
          </cell>
          <cell r="U82">
            <v>44513.25</v>
          </cell>
          <cell r="V82">
            <v>19002.533333333333</v>
          </cell>
          <cell r="W82">
            <v>57007.6</v>
          </cell>
          <cell r="X82">
            <v>14756.137931034482</v>
          </cell>
          <cell r="Y82">
            <v>44268.413793103449</v>
          </cell>
          <cell r="Z82">
            <v>15316.387096774193</v>
          </cell>
          <cell r="AA82">
            <v>45949.161290322576</v>
          </cell>
          <cell r="AB82">
            <v>13728.648648648648</v>
          </cell>
          <cell r="AC82">
            <v>41185.945945945947</v>
          </cell>
          <cell r="AD82">
            <v>90625.152660015417</v>
          </cell>
        </row>
        <row r="83">
          <cell r="C83" t="str">
            <v>Others</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E84">
            <v>15352.228571428572</v>
          </cell>
          <cell r="F84">
            <v>46056.685714285719</v>
          </cell>
          <cell r="G84">
            <v>13804.129032258064</v>
          </cell>
          <cell r="H84">
            <v>41412.387096774197</v>
          </cell>
          <cell r="I84">
            <v>16932</v>
          </cell>
          <cell r="J84">
            <v>50796</v>
          </cell>
          <cell r="K84">
            <v>317514.93333333335</v>
          </cell>
          <cell r="L84">
            <v>952544.8</v>
          </cell>
          <cell r="M84">
            <v>309289.29032258067</v>
          </cell>
          <cell r="N84">
            <v>927867.87096774206</v>
          </cell>
          <cell r="O84">
            <v>264203.22222222225</v>
          </cell>
          <cell r="P84">
            <v>792609.66666666674</v>
          </cell>
          <cell r="Q84">
            <v>72764.571428571435</v>
          </cell>
          <cell r="R84">
            <v>218293.71428571432</v>
          </cell>
          <cell r="S84">
            <v>14837.75</v>
          </cell>
          <cell r="T84">
            <v>44513.25</v>
          </cell>
          <cell r="U84">
            <v>44513.25</v>
          </cell>
          <cell r="V84">
            <v>19002.533333333333</v>
          </cell>
          <cell r="W84">
            <v>57007.6</v>
          </cell>
          <cell r="X84">
            <v>14756.137931034482</v>
          </cell>
          <cell r="Y84">
            <v>44268.413793103449</v>
          </cell>
          <cell r="Z84">
            <v>15316.387096774193</v>
          </cell>
          <cell r="AA84">
            <v>45949.161290322576</v>
          </cell>
          <cell r="AB84">
            <v>13728.648648648648</v>
          </cell>
          <cell r="AC84">
            <v>41185.945945945947</v>
          </cell>
          <cell r="AD84">
            <v>90625.152660015417</v>
          </cell>
        </row>
        <row r="85">
          <cell r="U85">
            <v>0</v>
          </cell>
        </row>
        <row r="86">
          <cell r="C86" t="str">
            <v>Profit before tax</v>
          </cell>
          <cell r="E86">
            <v>202754.61391762213</v>
          </cell>
          <cell r="F86">
            <v>608263.8417528664</v>
          </cell>
          <cell r="G86">
            <v>203975.53841968116</v>
          </cell>
          <cell r="H86">
            <v>611926.61525904352</v>
          </cell>
          <cell r="I86">
            <v>187671.95553997264</v>
          </cell>
          <cell r="J86">
            <v>563015.86661991791</v>
          </cell>
          <cell r="K86">
            <v>490841.55267667805</v>
          </cell>
          <cell r="L86">
            <v>1472524.658030034</v>
          </cell>
          <cell r="M86">
            <v>465674.55399263342</v>
          </cell>
          <cell r="N86">
            <v>1397023.6619779002</v>
          </cell>
          <cell r="O86">
            <v>449076.73086845956</v>
          </cell>
          <cell r="P86">
            <v>1347230.1926053786</v>
          </cell>
          <cell r="Q86">
            <v>267466.2938041719</v>
          </cell>
          <cell r="R86">
            <v>802398.88141251565</v>
          </cell>
          <cell r="S86">
            <v>184825.968205577</v>
          </cell>
          <cell r="T86">
            <v>554477.90461673099</v>
          </cell>
          <cell r="U86">
            <v>554477.90461673099</v>
          </cell>
          <cell r="V86">
            <v>188065.3408079801</v>
          </cell>
          <cell r="W86">
            <v>564196.02242394025</v>
          </cell>
          <cell r="X86">
            <v>195199.20567234204</v>
          </cell>
          <cell r="Y86">
            <v>585597.61701702606</v>
          </cell>
          <cell r="Z86">
            <v>172425.85218410601</v>
          </cell>
          <cell r="AA86">
            <v>517277.55655231804</v>
          </cell>
          <cell r="AB86">
            <v>200643.56977061153</v>
          </cell>
          <cell r="AC86">
            <v>601930.70931183454</v>
          </cell>
          <cell r="AD86">
            <v>267385.09798831958</v>
          </cell>
        </row>
        <row r="87">
          <cell r="U87">
            <v>0</v>
          </cell>
        </row>
        <row r="88">
          <cell r="C88" t="str">
            <v>Taxation</v>
          </cell>
          <cell r="U88">
            <v>0</v>
          </cell>
        </row>
        <row r="89">
          <cell r="C89" t="str">
            <v>Presumptive</v>
          </cell>
          <cell r="E89">
            <v>83715</v>
          </cell>
          <cell r="F89">
            <v>251145</v>
          </cell>
          <cell r="G89">
            <v>83715</v>
          </cell>
          <cell r="H89">
            <v>251145</v>
          </cell>
          <cell r="I89">
            <v>83715</v>
          </cell>
          <cell r="J89">
            <v>251145</v>
          </cell>
          <cell r="K89">
            <v>83715</v>
          </cell>
          <cell r="L89">
            <v>334860</v>
          </cell>
          <cell r="M89">
            <v>83715</v>
          </cell>
          <cell r="N89">
            <v>251145</v>
          </cell>
          <cell r="O89">
            <v>83715</v>
          </cell>
          <cell r="P89">
            <v>251145</v>
          </cell>
          <cell r="Q89">
            <v>83715</v>
          </cell>
          <cell r="R89">
            <v>251145</v>
          </cell>
          <cell r="S89">
            <v>83715</v>
          </cell>
          <cell r="T89">
            <v>251145</v>
          </cell>
          <cell r="U89">
            <v>251145</v>
          </cell>
          <cell r="V89">
            <v>83715</v>
          </cell>
          <cell r="W89">
            <v>251145</v>
          </cell>
          <cell r="X89">
            <v>83715</v>
          </cell>
          <cell r="Y89">
            <v>251145</v>
          </cell>
          <cell r="Z89">
            <v>83715</v>
          </cell>
          <cell r="AA89">
            <v>251145</v>
          </cell>
          <cell r="AB89">
            <v>83715</v>
          </cell>
          <cell r="AC89">
            <v>251145</v>
          </cell>
          <cell r="AD89">
            <v>86040.416666666672</v>
          </cell>
          <cell r="AG89">
            <v>3097455</v>
          </cell>
        </row>
        <row r="90">
          <cell r="C90" t="str">
            <v>Others</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E91">
            <v>83715</v>
          </cell>
          <cell r="F91">
            <v>251145</v>
          </cell>
          <cell r="G91">
            <v>83715</v>
          </cell>
          <cell r="H91">
            <v>251145</v>
          </cell>
          <cell r="I91">
            <v>83715</v>
          </cell>
          <cell r="J91">
            <v>251145</v>
          </cell>
          <cell r="K91">
            <v>83715</v>
          </cell>
          <cell r="L91">
            <v>251145</v>
          </cell>
          <cell r="M91">
            <v>83715</v>
          </cell>
          <cell r="N91">
            <v>251145</v>
          </cell>
          <cell r="O91">
            <v>83715</v>
          </cell>
          <cell r="P91">
            <v>251145</v>
          </cell>
          <cell r="Q91">
            <v>83715</v>
          </cell>
          <cell r="R91">
            <v>251145</v>
          </cell>
          <cell r="S91">
            <v>83715</v>
          </cell>
          <cell r="T91">
            <v>251145</v>
          </cell>
          <cell r="U91">
            <v>251145</v>
          </cell>
          <cell r="V91">
            <v>83715</v>
          </cell>
          <cell r="W91">
            <v>251145</v>
          </cell>
          <cell r="X91">
            <v>83715</v>
          </cell>
          <cell r="Y91">
            <v>251145</v>
          </cell>
          <cell r="Z91">
            <v>83715</v>
          </cell>
          <cell r="AA91">
            <v>251145</v>
          </cell>
          <cell r="AB91">
            <v>83715</v>
          </cell>
          <cell r="AC91">
            <v>251145</v>
          </cell>
          <cell r="AD91">
            <v>86040.416666666672</v>
          </cell>
        </row>
        <row r="92">
          <cell r="C92" t="str">
            <v>Net Profit after taxation</v>
          </cell>
          <cell r="E92">
            <v>119039.61391762213</v>
          </cell>
          <cell r="F92">
            <v>357118.8417528664</v>
          </cell>
          <cell r="G92">
            <v>120260.53841968116</v>
          </cell>
          <cell r="H92">
            <v>360781.61525904352</v>
          </cell>
          <cell r="I92">
            <v>103956.95553997264</v>
          </cell>
          <cell r="J92">
            <v>311870.86661991791</v>
          </cell>
          <cell r="K92">
            <v>407126.55267667805</v>
          </cell>
          <cell r="L92">
            <v>1221379.658030034</v>
          </cell>
          <cell r="M92">
            <v>381959.55399263342</v>
          </cell>
          <cell r="N92">
            <v>1145878.6619779002</v>
          </cell>
          <cell r="O92">
            <v>365361.73086845956</v>
          </cell>
          <cell r="P92">
            <v>1096085.1926053786</v>
          </cell>
          <cell r="Q92">
            <v>183751.2938041719</v>
          </cell>
          <cell r="R92">
            <v>551253.88141251565</v>
          </cell>
          <cell r="S92">
            <v>101110.968205577</v>
          </cell>
          <cell r="T92">
            <v>303332.90461673099</v>
          </cell>
          <cell r="U92">
            <v>303332.90461673099</v>
          </cell>
          <cell r="V92">
            <v>104350.3408079801</v>
          </cell>
          <cell r="W92">
            <v>313051.0224239403</v>
          </cell>
          <cell r="X92">
            <v>111484.20567234204</v>
          </cell>
          <cell r="Y92">
            <v>334452.61701702612</v>
          </cell>
          <cell r="Z92">
            <v>88710.852184106014</v>
          </cell>
          <cell r="AA92">
            <v>266132.55655231804</v>
          </cell>
          <cell r="AB92">
            <v>116928.56977061153</v>
          </cell>
          <cell r="AC92">
            <v>350785.70931183459</v>
          </cell>
          <cell r="AD92">
            <v>181344.6813216529</v>
          </cell>
        </row>
        <row r="93">
          <cell r="Y93" t="str">
            <v>TOTAL</v>
          </cell>
        </row>
        <row r="94">
          <cell r="E94">
            <v>913</v>
          </cell>
          <cell r="G94">
            <v>944</v>
          </cell>
          <cell r="I94">
            <v>975</v>
          </cell>
          <cell r="K94">
            <v>1006</v>
          </cell>
          <cell r="M94">
            <v>1037</v>
          </cell>
          <cell r="O94">
            <v>1068</v>
          </cell>
          <cell r="Q94">
            <v>1099</v>
          </cell>
          <cell r="S94">
            <v>1130</v>
          </cell>
          <cell r="V94">
            <v>1161</v>
          </cell>
          <cell r="X94">
            <v>1192</v>
          </cell>
          <cell r="Z94">
            <v>1223</v>
          </cell>
          <cell r="AB94">
            <v>1254</v>
          </cell>
          <cell r="AD94" t="str">
            <v>Yearly</v>
          </cell>
        </row>
        <row r="95">
          <cell r="C95" t="str">
            <v>TOTAL</v>
          </cell>
          <cell r="E95" t="str">
            <v>Per Unit</v>
          </cell>
          <cell r="F95" t="str">
            <v>Total</v>
          </cell>
          <cell r="G95" t="str">
            <v>Per Unit</v>
          </cell>
          <cell r="H95" t="str">
            <v>Total</v>
          </cell>
          <cell r="I95" t="str">
            <v>Per Unit</v>
          </cell>
          <cell r="J95" t="str">
            <v>Total</v>
          </cell>
          <cell r="K95" t="str">
            <v>Per Unit</v>
          </cell>
          <cell r="L95" t="str">
            <v>Total</v>
          </cell>
          <cell r="M95" t="str">
            <v>Per Unit</v>
          </cell>
          <cell r="N95" t="str">
            <v>Total</v>
          </cell>
          <cell r="O95" t="str">
            <v>Per Unit</v>
          </cell>
          <cell r="P95" t="str">
            <v>Total</v>
          </cell>
          <cell r="Q95" t="str">
            <v>Per Unit</v>
          </cell>
          <cell r="R95" t="str">
            <v>Total</v>
          </cell>
          <cell r="S95" t="str">
            <v>Per Unit</v>
          </cell>
          <cell r="U95" t="str">
            <v>Total</v>
          </cell>
          <cell r="V95" t="str">
            <v>Per Unit</v>
          </cell>
          <cell r="W95" t="str">
            <v>Total</v>
          </cell>
          <cell r="X95" t="str">
            <v>Per Unit</v>
          </cell>
          <cell r="Y95" t="str">
            <v>Total</v>
          </cell>
          <cell r="Z95" t="str">
            <v>Per Unit</v>
          </cell>
          <cell r="AA95" t="str">
            <v>Total</v>
          </cell>
          <cell r="AB95" t="str">
            <v>Per Unit</v>
          </cell>
          <cell r="AC95" t="str">
            <v>Total</v>
          </cell>
          <cell r="AD95" t="str">
            <v>Average</v>
          </cell>
        </row>
        <row r="97">
          <cell r="C97" t="str">
            <v>Sales Units</v>
          </cell>
          <cell r="E97">
            <v>22</v>
          </cell>
          <cell r="F97">
            <v>22</v>
          </cell>
          <cell r="G97">
            <v>18</v>
          </cell>
          <cell r="H97">
            <v>18</v>
          </cell>
          <cell r="I97">
            <v>17</v>
          </cell>
          <cell r="J97">
            <v>17</v>
          </cell>
          <cell r="K97">
            <v>17</v>
          </cell>
          <cell r="L97">
            <v>17</v>
          </cell>
          <cell r="M97">
            <v>18</v>
          </cell>
          <cell r="N97">
            <v>18</v>
          </cell>
          <cell r="O97">
            <v>23</v>
          </cell>
          <cell r="P97">
            <v>23</v>
          </cell>
          <cell r="Q97">
            <v>21</v>
          </cell>
          <cell r="R97">
            <v>21</v>
          </cell>
          <cell r="S97">
            <v>19</v>
          </cell>
          <cell r="T97">
            <v>19</v>
          </cell>
          <cell r="U97">
            <v>19</v>
          </cell>
          <cell r="V97">
            <v>17</v>
          </cell>
          <cell r="W97">
            <v>17</v>
          </cell>
          <cell r="X97">
            <v>16</v>
          </cell>
          <cell r="Y97">
            <v>16</v>
          </cell>
          <cell r="Z97">
            <v>18</v>
          </cell>
          <cell r="AA97">
            <v>18</v>
          </cell>
          <cell r="AB97">
            <v>23</v>
          </cell>
          <cell r="AC97">
            <v>23</v>
          </cell>
          <cell r="AD97">
            <v>229</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C99" t="str">
            <v>Selling Price</v>
          </cell>
          <cell r="E99">
            <v>8350000</v>
          </cell>
          <cell r="F99">
            <v>44530000</v>
          </cell>
          <cell r="G99">
            <v>8350000</v>
          </cell>
          <cell r="H99">
            <v>35630000</v>
          </cell>
          <cell r="I99">
            <v>8350000</v>
          </cell>
          <cell r="J99">
            <v>33340000</v>
          </cell>
          <cell r="K99">
            <v>8350000</v>
          </cell>
          <cell r="L99">
            <v>33340000</v>
          </cell>
          <cell r="M99">
            <v>8350000</v>
          </cell>
          <cell r="N99">
            <v>35630000</v>
          </cell>
          <cell r="O99">
            <v>8350000</v>
          </cell>
          <cell r="P99">
            <v>46820000</v>
          </cell>
          <cell r="Q99">
            <v>8350000</v>
          </cell>
          <cell r="R99">
            <v>42370000</v>
          </cell>
          <cell r="S99">
            <v>8350000</v>
          </cell>
          <cell r="T99">
            <v>37790000</v>
          </cell>
          <cell r="U99">
            <v>37790000</v>
          </cell>
          <cell r="V99">
            <v>8350000</v>
          </cell>
          <cell r="W99">
            <v>33340000</v>
          </cell>
          <cell r="X99">
            <v>8350000</v>
          </cell>
          <cell r="Y99">
            <v>31180000</v>
          </cell>
          <cell r="Z99">
            <v>8350000</v>
          </cell>
          <cell r="AA99">
            <v>35630000</v>
          </cell>
          <cell r="AB99">
            <v>8350000</v>
          </cell>
          <cell r="AC99">
            <v>46820000</v>
          </cell>
          <cell r="AD99">
            <v>8350000</v>
          </cell>
        </row>
        <row r="100">
          <cell r="C100" t="str">
            <v>Less: Dealer commission</v>
          </cell>
          <cell r="E100">
            <v>-120000</v>
          </cell>
          <cell r="F100">
            <v>-660000</v>
          </cell>
          <cell r="G100">
            <v>-120000</v>
          </cell>
          <cell r="H100">
            <v>-540000</v>
          </cell>
          <cell r="I100">
            <v>-120000</v>
          </cell>
          <cell r="J100">
            <v>-510000</v>
          </cell>
          <cell r="K100">
            <v>-120000</v>
          </cell>
          <cell r="L100">
            <v>-510000</v>
          </cell>
          <cell r="M100">
            <v>-120000</v>
          </cell>
          <cell r="N100">
            <v>-540000</v>
          </cell>
          <cell r="O100">
            <v>-120000</v>
          </cell>
          <cell r="P100">
            <v>-690000</v>
          </cell>
          <cell r="Q100">
            <v>-120000</v>
          </cell>
          <cell r="R100">
            <v>-630000</v>
          </cell>
          <cell r="S100">
            <v>-120000</v>
          </cell>
          <cell r="T100">
            <v>-570000</v>
          </cell>
          <cell r="U100">
            <v>-570000</v>
          </cell>
          <cell r="V100">
            <v>-120000</v>
          </cell>
          <cell r="W100">
            <v>-510000</v>
          </cell>
          <cell r="X100">
            <v>-120000</v>
          </cell>
          <cell r="Y100">
            <v>-480000</v>
          </cell>
          <cell r="Z100">
            <v>-120000</v>
          </cell>
          <cell r="AA100">
            <v>-540000</v>
          </cell>
          <cell r="AB100">
            <v>-120000</v>
          </cell>
          <cell r="AC100">
            <v>-690000</v>
          </cell>
          <cell r="AD100">
            <v>-120000</v>
          </cell>
        </row>
        <row r="101">
          <cell r="C101" t="str">
            <v xml:space="preserve">  Sales tax</v>
          </cell>
          <cell r="E101">
            <v>-1089130.4347826084</v>
          </cell>
          <cell r="F101">
            <v>-5808260.8695652178</v>
          </cell>
          <cell r="G101">
            <v>-1089130.4347826084</v>
          </cell>
          <cell r="H101">
            <v>-4647391.3043478262</v>
          </cell>
          <cell r="I101">
            <v>-1089130.4347826084</v>
          </cell>
          <cell r="J101">
            <v>-4348695.6521739131</v>
          </cell>
          <cell r="K101">
            <v>-1089130.4347826084</v>
          </cell>
          <cell r="L101">
            <v>-4348695.6521739131</v>
          </cell>
          <cell r="M101">
            <v>-1089130.4347826084</v>
          </cell>
          <cell r="N101">
            <v>-4647391.3043478262</v>
          </cell>
          <cell r="O101">
            <v>-1089130.4347826084</v>
          </cell>
          <cell r="P101">
            <v>-6106956.5217391308</v>
          </cell>
          <cell r="Q101">
            <v>-1089130.4347826084</v>
          </cell>
          <cell r="R101">
            <v>-5526521.7391304355</v>
          </cell>
          <cell r="S101">
            <v>-1089130.4347826084</v>
          </cell>
          <cell r="T101">
            <v>-4929130.4347826093</v>
          </cell>
          <cell r="U101">
            <v>-4929130.4347826093</v>
          </cell>
          <cell r="V101">
            <v>-1089130.4347826084</v>
          </cell>
          <cell r="W101">
            <v>-4348695.6521739131</v>
          </cell>
          <cell r="X101">
            <v>-1089130.4347826084</v>
          </cell>
          <cell r="Y101">
            <v>-4066956.5217391308</v>
          </cell>
          <cell r="Z101">
            <v>-1089130.4347826084</v>
          </cell>
          <cell r="AA101">
            <v>-4647391.3043478262</v>
          </cell>
          <cell r="AB101">
            <v>-1089130.4347826084</v>
          </cell>
          <cell r="AC101">
            <v>-6106956.5217391308</v>
          </cell>
          <cell r="AD101">
            <v>-1089130.4347826084</v>
          </cell>
        </row>
        <row r="102">
          <cell r="C102" t="str">
            <v>Net Sales</v>
          </cell>
          <cell r="E102">
            <v>7140869.5652173907</v>
          </cell>
          <cell r="F102">
            <v>38061739.130434781</v>
          </cell>
          <cell r="G102">
            <v>7140869.5652173907</v>
          </cell>
          <cell r="H102">
            <v>30442608.695652172</v>
          </cell>
          <cell r="I102">
            <v>7140869.5652173907</v>
          </cell>
          <cell r="J102">
            <v>28481304.347826086</v>
          </cell>
          <cell r="K102">
            <v>7140869.5652173907</v>
          </cell>
          <cell r="L102">
            <v>28481304.347826086</v>
          </cell>
          <cell r="M102">
            <v>7140869.5652173907</v>
          </cell>
          <cell r="N102">
            <v>30442608.695652172</v>
          </cell>
          <cell r="O102">
            <v>7140869.5652173907</v>
          </cell>
          <cell r="P102">
            <v>40023043.478260867</v>
          </cell>
          <cell r="Q102">
            <v>7140869.5652173907</v>
          </cell>
          <cell r="R102">
            <v>36213478.260869563</v>
          </cell>
          <cell r="S102">
            <v>7140869.5652173907</v>
          </cell>
          <cell r="T102">
            <v>32290869.565217391</v>
          </cell>
          <cell r="U102">
            <v>32290869.565217391</v>
          </cell>
          <cell r="V102">
            <v>7140869.5652173907</v>
          </cell>
          <cell r="W102">
            <v>28481304.347826086</v>
          </cell>
          <cell r="X102">
            <v>7140869.5652173907</v>
          </cell>
          <cell r="Y102">
            <v>26633043.478260867</v>
          </cell>
          <cell r="Z102">
            <v>7140869.5652173907</v>
          </cell>
          <cell r="AA102">
            <v>30442608.695652172</v>
          </cell>
          <cell r="AB102">
            <v>7140869.5652173907</v>
          </cell>
          <cell r="AC102">
            <v>40023043.478260867</v>
          </cell>
          <cell r="AD102">
            <v>7140869.5652173907</v>
          </cell>
        </row>
        <row r="103">
          <cell r="C103" t="str">
            <v>Landes Cost</v>
          </cell>
          <cell r="E103">
            <v>5754469</v>
          </cell>
          <cell r="F103">
            <v>30227398</v>
          </cell>
          <cell r="G103">
            <v>5754469</v>
          </cell>
          <cell r="H103">
            <v>24047438</v>
          </cell>
          <cell r="I103">
            <v>5754469</v>
          </cell>
          <cell r="J103">
            <v>22461822</v>
          </cell>
          <cell r="K103">
            <v>5754469</v>
          </cell>
          <cell r="L103">
            <v>22461822</v>
          </cell>
          <cell r="M103">
            <v>5754469</v>
          </cell>
          <cell r="N103">
            <v>24047438</v>
          </cell>
          <cell r="O103">
            <v>5754469</v>
          </cell>
          <cell r="P103">
            <v>31813014</v>
          </cell>
          <cell r="Q103">
            <v>5754469</v>
          </cell>
          <cell r="R103">
            <v>28723034</v>
          </cell>
          <cell r="S103">
            <v>5754469</v>
          </cell>
          <cell r="T103">
            <v>25551802</v>
          </cell>
          <cell r="U103">
            <v>25551802</v>
          </cell>
          <cell r="V103">
            <v>5754469</v>
          </cell>
          <cell r="W103">
            <v>22461822</v>
          </cell>
          <cell r="X103">
            <v>5754469</v>
          </cell>
          <cell r="Y103">
            <v>20957458</v>
          </cell>
          <cell r="Z103">
            <v>5754469</v>
          </cell>
          <cell r="AA103">
            <v>24047438</v>
          </cell>
          <cell r="AB103">
            <v>5754469</v>
          </cell>
          <cell r="AC103">
            <v>31813014</v>
          </cell>
          <cell r="AD103">
            <v>5754469</v>
          </cell>
        </row>
        <row r="104">
          <cell r="C104" t="str">
            <v>Gross Profit</v>
          </cell>
          <cell r="E104">
            <v>1290055.6956521738</v>
          </cell>
          <cell r="F104">
            <v>7352616.7826086944</v>
          </cell>
          <cell r="G104">
            <v>1290055.6956521738</v>
          </cell>
          <cell r="H104">
            <v>6857512.7826086944</v>
          </cell>
          <cell r="I104">
            <v>1290055.6956521738</v>
          </cell>
          <cell r="J104">
            <v>6857512.7826086944</v>
          </cell>
          <cell r="K104">
            <v>1222027.6956521738</v>
          </cell>
          <cell r="L104">
            <v>6653428.7826086944</v>
          </cell>
          <cell r="M104">
            <v>1222027.6956521738</v>
          </cell>
          <cell r="N104">
            <v>6653428.7826086944</v>
          </cell>
          <cell r="O104">
            <v>1222027.6956521738</v>
          </cell>
          <cell r="P104">
            <v>7012476.7826086944</v>
          </cell>
          <cell r="Q104">
            <v>1222027.6956521738</v>
          </cell>
          <cell r="R104">
            <v>6832952.7826086944</v>
          </cell>
          <cell r="S104">
            <v>1222027.6956521738</v>
          </cell>
          <cell r="T104">
            <v>6832952.7826086944</v>
          </cell>
          <cell r="U104">
            <v>6832952.7826086944</v>
          </cell>
          <cell r="V104">
            <v>1222027.6956521738</v>
          </cell>
          <cell r="W104">
            <v>6653428.7826086944</v>
          </cell>
          <cell r="X104">
            <v>1222027.6956521738</v>
          </cell>
          <cell r="Y104">
            <v>6473904.7826086944</v>
          </cell>
          <cell r="Z104">
            <v>1222027.6956521738</v>
          </cell>
          <cell r="AA104">
            <v>6653428.7826086944</v>
          </cell>
          <cell r="AB104">
            <v>1222027.6956521738</v>
          </cell>
          <cell r="AC104">
            <v>7012476.7826086944</v>
          </cell>
          <cell r="AD104">
            <v>1386400.5652173914</v>
          </cell>
          <cell r="AG104">
            <v>81846121.391304314</v>
          </cell>
        </row>
        <row r="105">
          <cell r="E105">
            <v>0.13393780286991297</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E106">
            <v>0.11460740740740741</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C107" t="str">
            <v>Other Expenses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C108" t="str">
            <v>Selling Expenses</v>
          </cell>
          <cell r="E108">
            <v>62321.465586462793</v>
          </cell>
          <cell r="F108">
            <v>342768.06072554534</v>
          </cell>
          <cell r="G108">
            <v>56263.261674392794</v>
          </cell>
          <cell r="H108">
            <v>253184.67753476754</v>
          </cell>
          <cell r="I108">
            <v>55751.445978168682</v>
          </cell>
          <cell r="J108">
            <v>236943.64540721689</v>
          </cell>
          <cell r="K108">
            <v>51960.28295870759</v>
          </cell>
          <cell r="L108">
            <v>220831.20257450725</v>
          </cell>
          <cell r="M108">
            <v>71715.201553258041</v>
          </cell>
          <cell r="N108">
            <v>322718.40698966116</v>
          </cell>
          <cell r="O108">
            <v>66090.495089034841</v>
          </cell>
          <cell r="P108">
            <v>380020.34676195029</v>
          </cell>
          <cell r="Q108">
            <v>52049.519627409652</v>
          </cell>
          <cell r="R108">
            <v>273259.97804390063</v>
          </cell>
          <cell r="S108">
            <v>67831.464846447503</v>
          </cell>
          <cell r="T108">
            <v>322199.45802062564</v>
          </cell>
          <cell r="U108">
            <v>322199.45802062564</v>
          </cell>
          <cell r="V108">
            <v>63987.850633427668</v>
          </cell>
          <cell r="W108">
            <v>271948.36519206758</v>
          </cell>
          <cell r="X108">
            <v>68017.376941804934</v>
          </cell>
          <cell r="Y108">
            <v>272069.50776721974</v>
          </cell>
          <cell r="Z108">
            <v>67032.832495146897</v>
          </cell>
          <cell r="AA108">
            <v>301647.74622816104</v>
          </cell>
          <cell r="AB108">
            <v>62059.660832236899</v>
          </cell>
          <cell r="AC108">
            <v>356843.04978536215</v>
          </cell>
          <cell r="AD108">
            <v>62085.03469041879</v>
          </cell>
        </row>
        <row r="109">
          <cell r="C109" t="str">
            <v>Advertisement Expenses</v>
          </cell>
          <cell r="E109">
            <v>9623.2670222916549</v>
          </cell>
          <cell r="F109">
            <v>52927.968622604109</v>
          </cell>
          <cell r="G109">
            <v>12323.309287031736</v>
          </cell>
          <cell r="H109">
            <v>55454.891791642811</v>
          </cell>
          <cell r="I109">
            <v>95067.289517949393</v>
          </cell>
          <cell r="J109">
            <v>404035.98045128497</v>
          </cell>
          <cell r="K109">
            <v>92453.817266353246</v>
          </cell>
          <cell r="L109">
            <v>392928.72338200134</v>
          </cell>
          <cell r="M109">
            <v>102049.19137064386</v>
          </cell>
          <cell r="N109">
            <v>459221.36116789735</v>
          </cell>
          <cell r="O109">
            <v>10205.255539038355</v>
          </cell>
          <cell r="P109">
            <v>58680.219349470543</v>
          </cell>
          <cell r="Q109">
            <v>10015.514559375015</v>
          </cell>
          <cell r="R109">
            <v>52581.451436718824</v>
          </cell>
          <cell r="S109">
            <v>63972.485528157187</v>
          </cell>
          <cell r="T109">
            <v>303869.30625874666</v>
          </cell>
          <cell r="U109">
            <v>303869.30625874666</v>
          </cell>
          <cell r="V109">
            <v>74332.356912373842</v>
          </cell>
          <cell r="W109">
            <v>315912.51687758882</v>
          </cell>
          <cell r="X109">
            <v>10502.791843987552</v>
          </cell>
          <cell r="Y109">
            <v>42011.167375950208</v>
          </cell>
          <cell r="Z109">
            <v>115450.84067460212</v>
          </cell>
          <cell r="AA109">
            <v>519528.78303570952</v>
          </cell>
          <cell r="AB109">
            <v>14005.690502336218</v>
          </cell>
          <cell r="AC109">
            <v>80532.720388433241</v>
          </cell>
          <cell r="AD109">
            <v>46756.684286283344</v>
          </cell>
        </row>
        <row r="110">
          <cell r="C110" t="str">
            <v>Administrative Expenses</v>
          </cell>
          <cell r="E110">
            <v>126984.16544326057</v>
          </cell>
          <cell r="F110">
            <v>698412.90993793309</v>
          </cell>
          <cell r="G110">
            <v>114640.16870602068</v>
          </cell>
          <cell r="H110">
            <v>515880.75917709299</v>
          </cell>
          <cell r="I110">
            <v>113597.30990232948</v>
          </cell>
          <cell r="J110">
            <v>482788.56708490028</v>
          </cell>
          <cell r="K110">
            <v>105872.56101275604</v>
          </cell>
          <cell r="L110">
            <v>449958.38430421322</v>
          </cell>
          <cell r="M110">
            <v>146124.53242456823</v>
          </cell>
          <cell r="N110">
            <v>657560.39591055701</v>
          </cell>
          <cell r="O110">
            <v>134663.81580788712</v>
          </cell>
          <cell r="P110">
            <v>774316.94089535088</v>
          </cell>
          <cell r="Q110">
            <v>106054.38670949526</v>
          </cell>
          <cell r="R110">
            <v>556785.53022485005</v>
          </cell>
          <cell r="S110">
            <v>138211.15843897927</v>
          </cell>
          <cell r="T110">
            <v>656503.00258515158</v>
          </cell>
          <cell r="U110">
            <v>656503.00258515158</v>
          </cell>
          <cell r="V110">
            <v>130379.53672512477</v>
          </cell>
          <cell r="W110">
            <v>554113.03108178033</v>
          </cell>
          <cell r="X110">
            <v>138589.96680063469</v>
          </cell>
          <cell r="Y110">
            <v>554359.86720253888</v>
          </cell>
          <cell r="Z110">
            <v>136583.89146649127</v>
          </cell>
          <cell r="AA110">
            <v>614627.51159921079</v>
          </cell>
          <cell r="AB110">
            <v>126450.72069975834</v>
          </cell>
          <cell r="AC110">
            <v>727091.64402361051</v>
          </cell>
          <cell r="AD110">
            <v>126502.42163738847</v>
          </cell>
        </row>
        <row r="111">
          <cell r="C111" t="str">
            <v>Depreciation (Admin. &amp; Selling )</v>
          </cell>
          <cell r="E111">
            <v>35711.697169287865</v>
          </cell>
          <cell r="F111">
            <v>196414.33443108323</v>
          </cell>
          <cell r="G111">
            <v>32240.200768140439</v>
          </cell>
          <cell r="H111">
            <v>145080.90345663199</v>
          </cell>
          <cell r="I111">
            <v>31946.918076887199</v>
          </cell>
          <cell r="J111">
            <v>135774.4018267706</v>
          </cell>
          <cell r="K111">
            <v>29774.490577046665</v>
          </cell>
          <cell r="L111">
            <v>126541.58495244833</v>
          </cell>
          <cell r="M111">
            <v>41094.533580107251</v>
          </cell>
          <cell r="N111">
            <v>184925.40111048266</v>
          </cell>
          <cell r="O111">
            <v>37871.441632152382</v>
          </cell>
          <cell r="P111">
            <v>217760.7893848762</v>
          </cell>
          <cell r="Q111">
            <v>29825.625332288626</v>
          </cell>
          <cell r="R111">
            <v>156584.53299451526</v>
          </cell>
          <cell r="S111">
            <v>38869.059133161769</v>
          </cell>
          <cell r="T111">
            <v>184628.03088251839</v>
          </cell>
          <cell r="U111">
            <v>184628.03088251839</v>
          </cell>
          <cell r="V111">
            <v>36666.575839175333</v>
          </cell>
          <cell r="W111">
            <v>155832.94731649515</v>
          </cell>
          <cell r="X111">
            <v>38975.591230682825</v>
          </cell>
          <cell r="Y111">
            <v>155902.3649227313</v>
          </cell>
          <cell r="Z111">
            <v>38411.423607250152</v>
          </cell>
          <cell r="AA111">
            <v>172851.40623262565</v>
          </cell>
          <cell r="AB111">
            <v>35561.676754773958</v>
          </cell>
          <cell r="AC111">
            <v>204479.64133995026</v>
          </cell>
          <cell r="AD111">
            <v>35576.216585165967</v>
          </cell>
        </row>
        <row r="112">
          <cell r="C112" t="str">
            <v>Financial Charges -Capital Exp.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C113" t="str">
            <v>Financial  Charges -Working Capital</v>
          </cell>
          <cell r="E113">
            <v>6374.1957447595123</v>
          </cell>
          <cell r="F113">
            <v>35058.076596177314</v>
          </cell>
          <cell r="G113">
            <v>5830.4960860188366</v>
          </cell>
          <cell r="H113">
            <v>26237.232387084761</v>
          </cell>
          <cell r="I113">
            <v>5786.7780760747182</v>
          </cell>
          <cell r="J113">
            <v>24593.806823317551</v>
          </cell>
          <cell r="K113">
            <v>5438.7726952165203</v>
          </cell>
          <cell r="L113">
            <v>23114.783954670213</v>
          </cell>
          <cell r="M113">
            <v>7276.6992202615238</v>
          </cell>
          <cell r="N113">
            <v>32745.146491176856</v>
          </cell>
          <cell r="O113">
            <v>6733.9413754248581</v>
          </cell>
          <cell r="P113">
            <v>38720.162908692932</v>
          </cell>
          <cell r="Q113">
            <v>5373.4534268480929</v>
          </cell>
          <cell r="R113">
            <v>28210.630490952488</v>
          </cell>
          <cell r="S113">
            <v>6813.5458657964136</v>
          </cell>
          <cell r="T113">
            <v>32364.342862532962</v>
          </cell>
          <cell r="U113">
            <v>32364.342862532962</v>
          </cell>
          <cell r="V113">
            <v>6486.7433875631423</v>
          </cell>
          <cell r="W113">
            <v>27568.659397143354</v>
          </cell>
          <cell r="X113">
            <v>6859.4692933315409</v>
          </cell>
          <cell r="Y113">
            <v>27437.87717332616</v>
          </cell>
          <cell r="Z113">
            <v>6753.6868403597782</v>
          </cell>
          <cell r="AA113">
            <v>30391.590781619001</v>
          </cell>
          <cell r="AB113">
            <v>6281.7176182434032</v>
          </cell>
          <cell r="AC113">
            <v>36119.876304899568</v>
          </cell>
          <cell r="AD113">
            <v>6332.5744549723177</v>
          </cell>
        </row>
        <row r="114">
          <cell r="C114" t="str">
            <v>Other Expenses (Charity &amp; Donation)</v>
          </cell>
          <cell r="E114">
            <v>4426.5248227496604</v>
          </cell>
          <cell r="F114">
            <v>24345.886525123133</v>
          </cell>
          <cell r="G114">
            <v>4048.9556152908594</v>
          </cell>
          <cell r="H114">
            <v>18220.300268808867</v>
          </cell>
          <cell r="I114">
            <v>4018.5958861629997</v>
          </cell>
          <cell r="J114">
            <v>17079.032516192747</v>
          </cell>
          <cell r="K114">
            <v>3776.925482789251</v>
          </cell>
          <cell r="L114">
            <v>16051.933301854317</v>
          </cell>
          <cell r="M114">
            <v>5053.2633474038375</v>
          </cell>
          <cell r="N114">
            <v>22739.685063317273</v>
          </cell>
          <cell r="O114">
            <v>4676.3481773783733</v>
          </cell>
          <cell r="P114">
            <v>26889.002019925647</v>
          </cell>
          <cell r="Q114">
            <v>3731.56487975562</v>
          </cell>
          <cell r="R114">
            <v>19590.715618717004</v>
          </cell>
          <cell r="S114">
            <v>4731.6290734697322</v>
          </cell>
          <cell r="T114">
            <v>22475.23809898123</v>
          </cell>
          <cell r="U114">
            <v>22475.23809898123</v>
          </cell>
          <cell r="V114">
            <v>4504.6829080299594</v>
          </cell>
          <cell r="W114">
            <v>19144.902359127325</v>
          </cell>
          <cell r="X114">
            <v>4763.5203425913487</v>
          </cell>
          <cell r="Y114">
            <v>19054.081370365395</v>
          </cell>
          <cell r="Z114">
            <v>4690.0603058054012</v>
          </cell>
          <cell r="AA114">
            <v>21105.271376124307</v>
          </cell>
          <cell r="AB114">
            <v>4362.3039015579179</v>
          </cell>
          <cell r="AC114">
            <v>25083.247433958029</v>
          </cell>
          <cell r="AD114">
            <v>4397.6211492863313</v>
          </cell>
        </row>
        <row r="115">
          <cell r="C115" t="str">
            <v>Other Expenses ( W.P.P.F.)</v>
          </cell>
          <cell r="E115">
            <v>38594.360217718313</v>
          </cell>
          <cell r="F115">
            <v>212268.98119745072</v>
          </cell>
          <cell r="G115">
            <v>47613.187704716955</v>
          </cell>
          <cell r="H115">
            <v>214259.34467122628</v>
          </cell>
          <cell r="I115">
            <v>44517.057793841581</v>
          </cell>
          <cell r="J115">
            <v>189197.49562382672</v>
          </cell>
          <cell r="K115">
            <v>51061.890025056593</v>
          </cell>
          <cell r="L115">
            <v>217013.03260649054</v>
          </cell>
          <cell r="M115">
            <v>34790.741214850859</v>
          </cell>
          <cell r="N115">
            <v>156558.33546682887</v>
          </cell>
          <cell r="O115">
            <v>33909.885185439627</v>
          </cell>
          <cell r="P115">
            <v>194981.83981627785</v>
          </cell>
          <cell r="Q115">
            <v>47788.26335373053</v>
          </cell>
          <cell r="R115">
            <v>250888.38260708528</v>
          </cell>
          <cell r="S115">
            <v>33263.00168298481</v>
          </cell>
          <cell r="T115">
            <v>157999.25799417787</v>
          </cell>
          <cell r="U115">
            <v>157999.25799417787</v>
          </cell>
          <cell r="V115">
            <v>41036.241087022841</v>
          </cell>
          <cell r="W115">
            <v>174404.02461984707</v>
          </cell>
          <cell r="X115">
            <v>44164.229973041547</v>
          </cell>
          <cell r="Y115">
            <v>176656.91989216622</v>
          </cell>
          <cell r="Z115">
            <v>36284.621652321657</v>
          </cell>
          <cell r="AA115">
            <v>163280.79743544746</v>
          </cell>
          <cell r="AB115">
            <v>37263.762594546402</v>
          </cell>
          <cell r="AC115">
            <v>214266.63491864182</v>
          </cell>
          <cell r="AD115">
            <v>40449.372389986151</v>
          </cell>
        </row>
        <row r="116">
          <cell r="C116" t="str">
            <v>Workers Welfare Fund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E117">
            <v>284035.67600653035</v>
          </cell>
          <cell r="F117">
            <v>994124.86602285621</v>
          </cell>
          <cell r="G117">
            <v>272959.57984161226</v>
          </cell>
          <cell r="H117">
            <v>818878.73952483677</v>
          </cell>
          <cell r="I117">
            <v>350685.39523141406</v>
          </cell>
          <cell r="J117">
            <v>1052056.1856942421</v>
          </cell>
          <cell r="K117">
            <v>340338.74001792585</v>
          </cell>
          <cell r="L117">
            <v>1021016.2200537776</v>
          </cell>
          <cell r="M117">
            <v>408104.16271109361</v>
          </cell>
          <cell r="N117">
            <v>1224312.4881332808</v>
          </cell>
          <cell r="O117">
            <v>294151.18280635553</v>
          </cell>
          <cell r="P117">
            <v>1029529.1398222443</v>
          </cell>
          <cell r="Q117">
            <v>254838.32788890277</v>
          </cell>
          <cell r="R117">
            <v>828224.56563893403</v>
          </cell>
          <cell r="S117">
            <v>353692.34456899669</v>
          </cell>
          <cell r="T117">
            <v>1149500.1198492392</v>
          </cell>
          <cell r="U117">
            <v>1149500.1198492392</v>
          </cell>
          <cell r="V117">
            <v>357393.98749271751</v>
          </cell>
          <cell r="W117">
            <v>1072181.9624781525</v>
          </cell>
          <cell r="X117">
            <v>311872.94642607443</v>
          </cell>
          <cell r="Y117">
            <v>857650.60267170472</v>
          </cell>
          <cell r="Z117">
            <v>405207.35704197729</v>
          </cell>
          <cell r="AA117">
            <v>1215622.0711259318</v>
          </cell>
          <cell r="AB117">
            <v>285985.5329034531</v>
          </cell>
          <cell r="AC117">
            <v>1644416.8141948555</v>
          </cell>
          <cell r="AD117">
            <v>322099.92519350135</v>
          </cell>
        </row>
        <row r="118">
          <cell r="C118" t="str">
            <v>Operating Profit</v>
          </cell>
          <cell r="E118">
            <v>1006020.0196456434</v>
          </cell>
          <cell r="F118">
            <v>3371146.2209336655</v>
          </cell>
          <cell r="G118">
            <v>1017096.1158105615</v>
          </cell>
          <cell r="H118">
            <v>3051288.3474316848</v>
          </cell>
          <cell r="I118">
            <v>939370.30042075971</v>
          </cell>
          <cell r="J118">
            <v>2818110.9012622791</v>
          </cell>
          <cell r="K118">
            <v>881688.95563424798</v>
          </cell>
          <cell r="L118">
            <v>2645066.8669027439</v>
          </cell>
          <cell r="M118">
            <v>813923.53294108016</v>
          </cell>
          <cell r="N118">
            <v>2441770.5988232405</v>
          </cell>
          <cell r="O118">
            <v>927876.51284581842</v>
          </cell>
          <cell r="P118">
            <v>2995601.9471342773</v>
          </cell>
          <cell r="Q118">
            <v>967189.36776327109</v>
          </cell>
          <cell r="R118">
            <v>3017382.5213175877</v>
          </cell>
          <cell r="S118">
            <v>868335.35108317714</v>
          </cell>
          <cell r="T118">
            <v>2696106.967107282</v>
          </cell>
          <cell r="U118">
            <v>2696106.967107282</v>
          </cell>
          <cell r="V118">
            <v>864633.70815945638</v>
          </cell>
          <cell r="W118">
            <v>2593901.124478369</v>
          </cell>
          <cell r="X118">
            <v>910154.74922609935</v>
          </cell>
          <cell r="Y118">
            <v>2628908.4842848168</v>
          </cell>
          <cell r="Z118">
            <v>816820.33861019649</v>
          </cell>
          <cell r="AA118">
            <v>2450461.0158305895</v>
          </cell>
          <cell r="AB118">
            <v>936042.16274872073</v>
          </cell>
          <cell r="AC118">
            <v>5743748.316239926</v>
          </cell>
          <cell r="AD118">
            <v>1064300.64002389</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row>
        <row r="120">
          <cell r="C120" t="str">
            <v>Other Income</v>
          </cell>
          <cell r="E120">
            <v>71008.919001632588</v>
          </cell>
          <cell r="F120">
            <v>355044.59500816296</v>
          </cell>
          <cell r="G120">
            <v>68239.894960403064</v>
          </cell>
          <cell r="H120">
            <v>204719.68488120919</v>
          </cell>
          <cell r="I120">
            <v>87671.348807853516</v>
          </cell>
          <cell r="J120">
            <v>263014.04642356053</v>
          </cell>
          <cell r="K120">
            <v>85084.685004481464</v>
          </cell>
          <cell r="L120">
            <v>255254.05501344439</v>
          </cell>
          <cell r="M120">
            <v>102026.0406777734</v>
          </cell>
          <cell r="N120">
            <v>306078.12203332019</v>
          </cell>
          <cell r="O120">
            <v>73537.795701588882</v>
          </cell>
          <cell r="P120">
            <v>367688.97850794438</v>
          </cell>
          <cell r="Q120">
            <v>63709.581972225693</v>
          </cell>
          <cell r="R120">
            <v>254838.32788890277</v>
          </cell>
          <cell r="S120">
            <v>88423.086142249173</v>
          </cell>
          <cell r="T120">
            <v>353692.34456899669</v>
          </cell>
          <cell r="U120">
            <v>353692.34456899669</v>
          </cell>
          <cell r="V120">
            <v>89348.496873179378</v>
          </cell>
          <cell r="W120">
            <v>268045.49061953812</v>
          </cell>
          <cell r="X120">
            <v>77968.236606518607</v>
          </cell>
          <cell r="Y120">
            <v>155936.47321303721</v>
          </cell>
          <cell r="Z120">
            <v>101301.83926049432</v>
          </cell>
          <cell r="AA120">
            <v>303905.51778148295</v>
          </cell>
          <cell r="AB120">
            <v>71496.383225863276</v>
          </cell>
          <cell r="AC120">
            <v>357481.91612931638</v>
          </cell>
          <cell r="AD120">
            <v>0</v>
          </cell>
        </row>
        <row r="121">
          <cell r="C121" t="str">
            <v>H.D</v>
          </cell>
          <cell r="E121">
            <v>61408.914285714287</v>
          </cell>
          <cell r="F121">
            <v>337749.02857142856</v>
          </cell>
          <cell r="G121">
            <v>55216.516129032258</v>
          </cell>
          <cell r="H121">
            <v>248474.32258064515</v>
          </cell>
          <cell r="I121">
            <v>67728</v>
          </cell>
          <cell r="J121">
            <v>287844</v>
          </cell>
          <cell r="K121">
            <v>1270059.7333333334</v>
          </cell>
          <cell r="L121">
            <v>5397753.8666666662</v>
          </cell>
          <cell r="M121">
            <v>1237157.1612903227</v>
          </cell>
          <cell r="N121">
            <v>5567207.2258064523</v>
          </cell>
          <cell r="O121">
            <v>1056812.888888889</v>
          </cell>
          <cell r="P121">
            <v>6076674.111111111</v>
          </cell>
          <cell r="Q121">
            <v>291058.28571428574</v>
          </cell>
          <cell r="R121">
            <v>1528056</v>
          </cell>
          <cell r="S121">
            <v>59351</v>
          </cell>
          <cell r="T121">
            <v>281917.25</v>
          </cell>
          <cell r="U121">
            <v>281917.25</v>
          </cell>
          <cell r="V121">
            <v>76010.133333333331</v>
          </cell>
          <cell r="W121">
            <v>323043.06666666659</v>
          </cell>
          <cell r="X121">
            <v>59024.551724137928</v>
          </cell>
          <cell r="Y121">
            <v>236098.20689655168</v>
          </cell>
          <cell r="Z121">
            <v>61265.548387096773</v>
          </cell>
          <cell r="AA121">
            <v>275694.96774193551</v>
          </cell>
          <cell r="AB121">
            <v>54914.594594594593</v>
          </cell>
          <cell r="AC121">
            <v>315758.91891891893</v>
          </cell>
          <cell r="AD121">
            <v>365417.96110316378</v>
          </cell>
        </row>
        <row r="122">
          <cell r="C122" t="str">
            <v>Others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row>
        <row r="123">
          <cell r="E123">
            <v>61408.914285714287</v>
          </cell>
          <cell r="F123">
            <v>337749.02857142856</v>
          </cell>
          <cell r="G123">
            <v>55216.516129032258</v>
          </cell>
          <cell r="H123">
            <v>248474.32258064515</v>
          </cell>
          <cell r="I123">
            <v>67728</v>
          </cell>
          <cell r="J123">
            <v>287844</v>
          </cell>
          <cell r="K123">
            <v>1270059.7333333334</v>
          </cell>
          <cell r="L123">
            <v>5397753.8666666662</v>
          </cell>
          <cell r="M123">
            <v>1237157.1612903227</v>
          </cell>
          <cell r="N123">
            <v>5567207.2258064523</v>
          </cell>
          <cell r="O123">
            <v>1056812.888888889</v>
          </cell>
          <cell r="P123">
            <v>6076674.111111111</v>
          </cell>
          <cell r="Q123">
            <v>291058.28571428574</v>
          </cell>
          <cell r="R123">
            <v>1528056</v>
          </cell>
          <cell r="S123">
            <v>59351</v>
          </cell>
          <cell r="T123">
            <v>281917.25</v>
          </cell>
          <cell r="U123">
            <v>281917.25</v>
          </cell>
          <cell r="V123">
            <v>76010.133333333331</v>
          </cell>
          <cell r="W123">
            <v>323043.06666666659</v>
          </cell>
          <cell r="X123">
            <v>59024.551724137928</v>
          </cell>
          <cell r="Y123">
            <v>236098.20689655168</v>
          </cell>
          <cell r="Z123">
            <v>61265.548387096773</v>
          </cell>
          <cell r="AA123">
            <v>275694.96774193551</v>
          </cell>
          <cell r="AB123">
            <v>54914.594594594593</v>
          </cell>
          <cell r="AC123">
            <v>315758.91891891893</v>
          </cell>
          <cell r="AD123">
            <v>365417.96110316378</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row>
        <row r="125">
          <cell r="C125" t="str">
            <v>Profit before tax</v>
          </cell>
          <cell r="E125">
            <v>1067428.9339313577</v>
          </cell>
          <cell r="F125">
            <v>3586077.4209336652</v>
          </cell>
          <cell r="G125">
            <v>1072312.6319395937</v>
          </cell>
          <cell r="H125">
            <v>3216937.8958187811</v>
          </cell>
          <cell r="I125">
            <v>1007098.3004207597</v>
          </cell>
          <cell r="J125">
            <v>3021294.9012622791</v>
          </cell>
          <cell r="K125">
            <v>2151748.6889675814</v>
          </cell>
          <cell r="L125">
            <v>6455246.0669027437</v>
          </cell>
          <cell r="M125">
            <v>2051080.6942314031</v>
          </cell>
          <cell r="N125">
            <v>6153242.0826942082</v>
          </cell>
          <cell r="O125">
            <v>1984689.4017347074</v>
          </cell>
          <cell r="P125">
            <v>6694447.0582453888</v>
          </cell>
          <cell r="Q125">
            <v>1258247.6534775568</v>
          </cell>
          <cell r="R125">
            <v>3963321.9498890163</v>
          </cell>
          <cell r="S125">
            <v>927686.35108317714</v>
          </cell>
          <cell r="T125">
            <v>2888997.717107282</v>
          </cell>
          <cell r="U125">
            <v>2888997.717107282</v>
          </cell>
          <cell r="V125">
            <v>940643.84149278956</v>
          </cell>
          <cell r="W125">
            <v>2821931.5244783685</v>
          </cell>
          <cell r="X125">
            <v>969179.30095023732</v>
          </cell>
          <cell r="Y125">
            <v>2791226.001526196</v>
          </cell>
          <cell r="Z125">
            <v>878085.88699729322</v>
          </cell>
          <cell r="AA125">
            <v>2634257.6609918801</v>
          </cell>
          <cell r="AB125">
            <v>990956.75734331529</v>
          </cell>
          <cell r="AC125">
            <v>6059507.2351588439</v>
          </cell>
          <cell r="AD125">
            <v>1429718.6011270538</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C127" t="str">
            <v>Taxation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C128" t="str">
            <v>Presumptive</v>
          </cell>
          <cell r="E128">
            <v>360967</v>
          </cell>
          <cell r="F128">
            <v>1893449</v>
          </cell>
          <cell r="G128">
            <v>360967</v>
          </cell>
          <cell r="H128">
            <v>1505751</v>
          </cell>
          <cell r="I128">
            <v>360967</v>
          </cell>
          <cell r="J128">
            <v>1406286</v>
          </cell>
          <cell r="K128">
            <v>360967</v>
          </cell>
          <cell r="L128">
            <v>1406286</v>
          </cell>
          <cell r="M128">
            <v>360967</v>
          </cell>
          <cell r="N128">
            <v>1505751</v>
          </cell>
          <cell r="O128">
            <v>360967</v>
          </cell>
          <cell r="P128">
            <v>1992914</v>
          </cell>
          <cell r="Q128">
            <v>360967</v>
          </cell>
          <cell r="R128">
            <v>1799065</v>
          </cell>
          <cell r="S128">
            <v>360967</v>
          </cell>
          <cell r="T128">
            <v>1600135</v>
          </cell>
          <cell r="U128">
            <v>1600135</v>
          </cell>
          <cell r="V128">
            <v>360967</v>
          </cell>
          <cell r="W128">
            <v>1406286</v>
          </cell>
          <cell r="X128">
            <v>360967</v>
          </cell>
          <cell r="Y128">
            <v>1311902</v>
          </cell>
          <cell r="Z128">
            <v>360967</v>
          </cell>
          <cell r="AA128">
            <v>1505751</v>
          </cell>
          <cell r="AB128">
            <v>360967</v>
          </cell>
          <cell r="AC128">
            <v>1992914</v>
          </cell>
          <cell r="AD128">
            <v>360967</v>
          </cell>
          <cell r="AG128">
            <v>19326490</v>
          </cell>
        </row>
        <row r="129">
          <cell r="C129" t="str">
            <v>Others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row>
        <row r="130">
          <cell r="E130">
            <v>360967</v>
          </cell>
          <cell r="F130">
            <v>1271669</v>
          </cell>
          <cell r="G130">
            <v>360967</v>
          </cell>
          <cell r="H130">
            <v>1082901</v>
          </cell>
          <cell r="I130">
            <v>360967</v>
          </cell>
          <cell r="J130">
            <v>1082901</v>
          </cell>
          <cell r="K130">
            <v>360967</v>
          </cell>
          <cell r="L130">
            <v>1082901</v>
          </cell>
          <cell r="M130">
            <v>360967</v>
          </cell>
          <cell r="N130">
            <v>1082901</v>
          </cell>
          <cell r="O130">
            <v>360967</v>
          </cell>
          <cell r="P130">
            <v>1271669</v>
          </cell>
          <cell r="Q130">
            <v>360967</v>
          </cell>
          <cell r="R130">
            <v>1177285</v>
          </cell>
          <cell r="S130">
            <v>360967</v>
          </cell>
          <cell r="T130">
            <v>1177285</v>
          </cell>
          <cell r="U130">
            <v>1177285</v>
          </cell>
          <cell r="V130">
            <v>360967</v>
          </cell>
          <cell r="W130">
            <v>1082901</v>
          </cell>
          <cell r="X130">
            <v>360967</v>
          </cell>
          <cell r="Y130">
            <v>988517</v>
          </cell>
          <cell r="Z130">
            <v>360967</v>
          </cell>
          <cell r="AA130">
            <v>1082901</v>
          </cell>
          <cell r="AB130">
            <v>360967</v>
          </cell>
          <cell r="AC130">
            <v>1992914</v>
          </cell>
          <cell r="AD130">
            <v>360967</v>
          </cell>
        </row>
        <row r="131">
          <cell r="C131" t="str">
            <v>Net Profit after taxation</v>
          </cell>
          <cell r="E131">
            <v>706461.93393135769</v>
          </cell>
          <cell r="F131">
            <v>2314408.4209336652</v>
          </cell>
          <cell r="G131">
            <v>711345.6319395937</v>
          </cell>
          <cell r="H131">
            <v>2134036.8958187811</v>
          </cell>
          <cell r="I131">
            <v>646131.30042075971</v>
          </cell>
          <cell r="J131">
            <v>1938393.9012622791</v>
          </cell>
          <cell r="K131">
            <v>1790781.6889675814</v>
          </cell>
          <cell r="L131">
            <v>5372345.0669027437</v>
          </cell>
          <cell r="M131">
            <v>1690113.6942314031</v>
          </cell>
          <cell r="N131">
            <v>5070341.0826942082</v>
          </cell>
          <cell r="O131">
            <v>1623722.4017347074</v>
          </cell>
          <cell r="P131">
            <v>5422778.0582453888</v>
          </cell>
          <cell r="Q131">
            <v>897280.65347755677</v>
          </cell>
          <cell r="R131">
            <v>2786036.9498890163</v>
          </cell>
          <cell r="S131">
            <v>566719.35108317714</v>
          </cell>
          <cell r="T131">
            <v>1711712.7171072823</v>
          </cell>
          <cell r="U131">
            <v>1711712.7171072823</v>
          </cell>
          <cell r="V131">
            <v>579676.84149278956</v>
          </cell>
          <cell r="W131">
            <v>1739030.5244783685</v>
          </cell>
          <cell r="X131">
            <v>608212.30095023732</v>
          </cell>
          <cell r="Y131">
            <v>1802709.001526196</v>
          </cell>
          <cell r="Z131">
            <v>517118.88699729322</v>
          </cell>
          <cell r="AA131">
            <v>1551356.6609918799</v>
          </cell>
          <cell r="AB131">
            <v>629989.75734331529</v>
          </cell>
          <cell r="AC131">
            <v>4066593.2351588449</v>
          </cell>
          <cell r="AD131">
            <v>1068751.6011270538</v>
          </cell>
        </row>
        <row r="132">
          <cell r="Y132" t="str">
            <v>Hiace Commuter</v>
          </cell>
        </row>
        <row r="133">
          <cell r="E133">
            <v>913</v>
          </cell>
          <cell r="G133">
            <v>944</v>
          </cell>
          <cell r="I133">
            <v>975</v>
          </cell>
          <cell r="K133">
            <v>1006</v>
          </cell>
          <cell r="M133">
            <v>1037</v>
          </cell>
          <cell r="O133">
            <v>1068</v>
          </cell>
          <cell r="Q133">
            <v>1099</v>
          </cell>
          <cell r="S133">
            <v>1130</v>
          </cell>
          <cell r="V133">
            <v>1161</v>
          </cell>
          <cell r="X133">
            <v>1192</v>
          </cell>
          <cell r="Z133">
            <v>1223</v>
          </cell>
          <cell r="AB133">
            <v>1254</v>
          </cell>
          <cell r="AD133" t="str">
            <v>Yearly</v>
          </cell>
        </row>
        <row r="134">
          <cell r="C134" t="str">
            <v>Hiace Commuter</v>
          </cell>
          <cell r="E134" t="str">
            <v>Per Unit</v>
          </cell>
          <cell r="F134" t="str">
            <v>Total</v>
          </cell>
          <cell r="G134" t="str">
            <v>Per Unit</v>
          </cell>
          <cell r="H134" t="str">
            <v>Total</v>
          </cell>
          <cell r="I134" t="str">
            <v>Per Unit</v>
          </cell>
          <cell r="J134" t="str">
            <v>Total</v>
          </cell>
          <cell r="K134" t="str">
            <v>Per Unit</v>
          </cell>
          <cell r="L134" t="str">
            <v>Total</v>
          </cell>
          <cell r="M134" t="str">
            <v>Per Unit</v>
          </cell>
          <cell r="N134" t="str">
            <v>Total</v>
          </cell>
          <cell r="O134" t="str">
            <v>Per Unit</v>
          </cell>
          <cell r="P134" t="str">
            <v>Total</v>
          </cell>
          <cell r="Q134" t="str">
            <v>Per Unit</v>
          </cell>
          <cell r="R134" t="str">
            <v>Total</v>
          </cell>
          <cell r="S134" t="str">
            <v>Per Unit</v>
          </cell>
          <cell r="U134" t="str">
            <v>Total</v>
          </cell>
          <cell r="V134" t="str">
            <v>Per Unit</v>
          </cell>
          <cell r="W134" t="str">
            <v>Total</v>
          </cell>
          <cell r="X134" t="str">
            <v>Per Unit</v>
          </cell>
          <cell r="Y134" t="str">
            <v>Total</v>
          </cell>
          <cell r="Z134" t="str">
            <v>Per Unit</v>
          </cell>
          <cell r="AA134" t="str">
            <v>Total</v>
          </cell>
          <cell r="AB134" t="str">
            <v>Per Unit</v>
          </cell>
          <cell r="AC134" t="str">
            <v>Total</v>
          </cell>
          <cell r="AD134" t="str">
            <v>Average</v>
          </cell>
        </row>
        <row r="136">
          <cell r="C136" t="str">
            <v>Sales Units</v>
          </cell>
          <cell r="E136">
            <v>10</v>
          </cell>
          <cell r="F136">
            <v>10</v>
          </cell>
          <cell r="G136">
            <v>10</v>
          </cell>
          <cell r="H136">
            <v>10</v>
          </cell>
          <cell r="I136">
            <v>10</v>
          </cell>
          <cell r="J136">
            <v>10</v>
          </cell>
          <cell r="K136">
            <v>10</v>
          </cell>
          <cell r="L136">
            <v>10</v>
          </cell>
          <cell r="M136">
            <v>10</v>
          </cell>
          <cell r="N136">
            <v>10</v>
          </cell>
          <cell r="O136">
            <v>10</v>
          </cell>
          <cell r="P136">
            <v>10</v>
          </cell>
          <cell r="Q136">
            <v>10</v>
          </cell>
          <cell r="R136">
            <v>10</v>
          </cell>
          <cell r="S136">
            <v>10</v>
          </cell>
          <cell r="T136">
            <v>10</v>
          </cell>
          <cell r="U136">
            <v>10</v>
          </cell>
          <cell r="V136">
            <v>10</v>
          </cell>
          <cell r="W136">
            <v>10</v>
          </cell>
          <cell r="X136">
            <v>10</v>
          </cell>
          <cell r="Y136">
            <v>10</v>
          </cell>
          <cell r="Z136">
            <v>10</v>
          </cell>
          <cell r="AA136">
            <v>10</v>
          </cell>
          <cell r="AB136">
            <v>10</v>
          </cell>
          <cell r="AC136">
            <v>10</v>
          </cell>
          <cell r="AD136">
            <v>120</v>
          </cell>
        </row>
        <row r="137">
          <cell r="U137">
            <v>0</v>
          </cell>
        </row>
        <row r="138">
          <cell r="C138" t="str">
            <v>Selling Price</v>
          </cell>
          <cell r="E138">
            <v>1580000</v>
          </cell>
          <cell r="F138">
            <v>15800000</v>
          </cell>
          <cell r="G138">
            <v>1580000</v>
          </cell>
          <cell r="H138">
            <v>15800000</v>
          </cell>
          <cell r="I138">
            <v>1580000</v>
          </cell>
          <cell r="J138">
            <v>15800000</v>
          </cell>
          <cell r="K138">
            <v>1580000</v>
          </cell>
          <cell r="L138">
            <v>15800000</v>
          </cell>
          <cell r="M138">
            <v>1580000</v>
          </cell>
          <cell r="N138">
            <v>15800000</v>
          </cell>
          <cell r="O138">
            <v>1580000</v>
          </cell>
          <cell r="P138">
            <v>15800000</v>
          </cell>
          <cell r="Q138">
            <v>1580000</v>
          </cell>
          <cell r="R138">
            <v>15800000</v>
          </cell>
          <cell r="S138">
            <v>1580000</v>
          </cell>
          <cell r="T138">
            <v>15800000</v>
          </cell>
          <cell r="U138">
            <v>15800000</v>
          </cell>
          <cell r="V138">
            <v>1580000</v>
          </cell>
          <cell r="W138">
            <v>15800000</v>
          </cell>
          <cell r="X138">
            <v>1580000</v>
          </cell>
          <cell r="Y138">
            <v>15800000</v>
          </cell>
          <cell r="Z138">
            <v>1580000</v>
          </cell>
          <cell r="AA138">
            <v>15800000</v>
          </cell>
          <cell r="AB138">
            <v>1580000</v>
          </cell>
          <cell r="AC138">
            <v>15800000</v>
          </cell>
          <cell r="AD138">
            <v>1580000</v>
          </cell>
        </row>
        <row r="139">
          <cell r="C139" t="str">
            <v>Less: Dealer commission</v>
          </cell>
          <cell r="E139">
            <v>-30000</v>
          </cell>
          <cell r="F139">
            <v>-300000</v>
          </cell>
          <cell r="G139">
            <v>-30000</v>
          </cell>
          <cell r="H139">
            <v>-300000</v>
          </cell>
          <cell r="I139">
            <v>-30000</v>
          </cell>
          <cell r="J139">
            <v>-300000</v>
          </cell>
          <cell r="K139">
            <v>-30000</v>
          </cell>
          <cell r="L139">
            <v>-300000</v>
          </cell>
          <cell r="M139">
            <v>-30000</v>
          </cell>
          <cell r="N139">
            <v>-300000</v>
          </cell>
          <cell r="O139">
            <v>-30000</v>
          </cell>
          <cell r="P139">
            <v>-300000</v>
          </cell>
          <cell r="Q139">
            <v>-30000</v>
          </cell>
          <cell r="R139">
            <v>-300000</v>
          </cell>
          <cell r="S139">
            <v>-30000</v>
          </cell>
          <cell r="T139">
            <v>-300000</v>
          </cell>
          <cell r="U139">
            <v>-300000</v>
          </cell>
          <cell r="V139">
            <v>-30000</v>
          </cell>
          <cell r="W139">
            <v>-300000</v>
          </cell>
          <cell r="X139">
            <v>-30000</v>
          </cell>
          <cell r="Y139">
            <v>-300000</v>
          </cell>
          <cell r="Z139">
            <v>-30000</v>
          </cell>
          <cell r="AA139">
            <v>-300000</v>
          </cell>
          <cell r="AB139">
            <v>-30000</v>
          </cell>
          <cell r="AC139">
            <v>-300000</v>
          </cell>
          <cell r="AD139">
            <v>-30000</v>
          </cell>
        </row>
        <row r="140">
          <cell r="C140" t="str">
            <v>Sales tax</v>
          </cell>
          <cell r="E140">
            <v>-206086.95652173914</v>
          </cell>
          <cell r="F140">
            <v>-2060869.5652173914</v>
          </cell>
          <cell r="G140">
            <v>-206086.95652173914</v>
          </cell>
          <cell r="H140">
            <v>-2060869.5652173914</v>
          </cell>
          <cell r="I140">
            <v>-206086.95652173914</v>
          </cell>
          <cell r="J140">
            <v>-2060869.5652173914</v>
          </cell>
          <cell r="K140">
            <v>-206086.95652173914</v>
          </cell>
          <cell r="L140">
            <v>-2060869.5652173914</v>
          </cell>
          <cell r="M140">
            <v>-206086.95652173914</v>
          </cell>
          <cell r="N140">
            <v>-2060869.5652173914</v>
          </cell>
          <cell r="O140">
            <v>-206086.95652173914</v>
          </cell>
          <cell r="P140">
            <v>-2060869.5652173914</v>
          </cell>
          <cell r="Q140">
            <v>-206086.95652173914</v>
          </cell>
          <cell r="R140">
            <v>-2060869.5652173914</v>
          </cell>
          <cell r="S140">
            <v>-206086.95652173914</v>
          </cell>
          <cell r="T140">
            <v>-2060869.5652173914</v>
          </cell>
          <cell r="U140">
            <v>-2060869.5652173914</v>
          </cell>
          <cell r="V140">
            <v>-206086.95652173914</v>
          </cell>
          <cell r="W140">
            <v>-2060869.5652173914</v>
          </cell>
          <cell r="X140">
            <v>-206086.95652173914</v>
          </cell>
          <cell r="Y140">
            <v>-2060869.5652173914</v>
          </cell>
          <cell r="Z140">
            <v>-206086.95652173914</v>
          </cell>
          <cell r="AA140">
            <v>-2060869.5652173914</v>
          </cell>
          <cell r="AB140">
            <v>-206086.95652173914</v>
          </cell>
          <cell r="AC140">
            <v>-2060869.5652173914</v>
          </cell>
          <cell r="AD140">
            <v>-206086.95652173911</v>
          </cell>
        </row>
        <row r="141">
          <cell r="C141" t="str">
            <v>Net Sales</v>
          </cell>
          <cell r="E141">
            <v>1343913.0434782607</v>
          </cell>
          <cell r="F141">
            <v>13439130.434782607</v>
          </cell>
          <cell r="G141">
            <v>1343913.0434782607</v>
          </cell>
          <cell r="H141">
            <v>13439130.434782607</v>
          </cell>
          <cell r="I141">
            <v>1343913.0434782607</v>
          </cell>
          <cell r="J141">
            <v>13439130.434782607</v>
          </cell>
          <cell r="K141">
            <v>1343913.0434782607</v>
          </cell>
          <cell r="L141">
            <v>13439130.434782607</v>
          </cell>
          <cell r="M141">
            <v>1343913.0434782607</v>
          </cell>
          <cell r="N141">
            <v>13439130.434782607</v>
          </cell>
          <cell r="O141">
            <v>1343913.0434782607</v>
          </cell>
          <cell r="P141">
            <v>13439130.434782607</v>
          </cell>
          <cell r="Q141">
            <v>1343913.0434782607</v>
          </cell>
          <cell r="R141">
            <v>13439130.434782607</v>
          </cell>
          <cell r="S141">
            <v>1343913.0434782607</v>
          </cell>
          <cell r="T141">
            <v>13439130.434782607</v>
          </cell>
          <cell r="U141">
            <v>13439130.434782607</v>
          </cell>
          <cell r="V141">
            <v>1343913.0434782607</v>
          </cell>
          <cell r="W141">
            <v>13439130.434782607</v>
          </cell>
          <cell r="X141">
            <v>1343913.0434782607</v>
          </cell>
          <cell r="Y141">
            <v>13439130.434782607</v>
          </cell>
          <cell r="Z141">
            <v>1343913.0434782607</v>
          </cell>
          <cell r="AA141">
            <v>13439130.434782607</v>
          </cell>
          <cell r="AB141">
            <v>1343913.0434782607</v>
          </cell>
          <cell r="AC141">
            <v>13439130.434782607</v>
          </cell>
          <cell r="AD141">
            <v>1343913.043478261</v>
          </cell>
        </row>
        <row r="142">
          <cell r="C142" t="str">
            <v>Landed cost</v>
          </cell>
          <cell r="E142">
            <v>1032844</v>
          </cell>
          <cell r="F142">
            <v>10328440</v>
          </cell>
          <cell r="G142">
            <v>1032844</v>
          </cell>
          <cell r="H142">
            <v>10328440</v>
          </cell>
          <cell r="I142">
            <v>1032844</v>
          </cell>
          <cell r="J142">
            <v>10328440</v>
          </cell>
          <cell r="K142">
            <v>1032844</v>
          </cell>
          <cell r="L142">
            <v>10328440</v>
          </cell>
          <cell r="M142">
            <v>1032844</v>
          </cell>
          <cell r="N142">
            <v>10328440</v>
          </cell>
          <cell r="O142">
            <v>1032844</v>
          </cell>
          <cell r="P142">
            <v>10328440</v>
          </cell>
          <cell r="Q142">
            <v>1032844</v>
          </cell>
          <cell r="R142">
            <v>10328440</v>
          </cell>
          <cell r="S142">
            <v>1032844</v>
          </cell>
          <cell r="T142">
            <v>10328440</v>
          </cell>
          <cell r="U142">
            <v>10328440</v>
          </cell>
          <cell r="V142">
            <v>1032844</v>
          </cell>
          <cell r="W142">
            <v>10328440</v>
          </cell>
          <cell r="X142">
            <v>1032844</v>
          </cell>
          <cell r="Y142">
            <v>10328440</v>
          </cell>
          <cell r="Z142">
            <v>1032844</v>
          </cell>
          <cell r="AA142">
            <v>10328440</v>
          </cell>
          <cell r="AB142">
            <v>1032844</v>
          </cell>
          <cell r="AC142">
            <v>10328440</v>
          </cell>
          <cell r="AD142">
            <v>1032844</v>
          </cell>
          <cell r="AF142">
            <v>123941280</v>
          </cell>
        </row>
        <row r="143">
          <cell r="C143" t="str">
            <v>Gross Profit</v>
          </cell>
          <cell r="E143">
            <v>311069.04347826075</v>
          </cell>
          <cell r="F143">
            <v>3110690.4347826075</v>
          </cell>
          <cell r="G143">
            <v>311069.04347826075</v>
          </cell>
          <cell r="H143">
            <v>3110690.4347826075</v>
          </cell>
          <cell r="I143">
            <v>311069.04347826075</v>
          </cell>
          <cell r="J143">
            <v>3110690.4347826075</v>
          </cell>
          <cell r="K143">
            <v>311069.04347826075</v>
          </cell>
          <cell r="L143">
            <v>3110690.4347826075</v>
          </cell>
          <cell r="M143">
            <v>311069.04347826075</v>
          </cell>
          <cell r="N143">
            <v>3110690.4347826075</v>
          </cell>
          <cell r="O143">
            <v>311069.04347826075</v>
          </cell>
          <cell r="P143">
            <v>3110690.4347826075</v>
          </cell>
          <cell r="Q143">
            <v>311069.04347826075</v>
          </cell>
          <cell r="R143">
            <v>3110690.4347826075</v>
          </cell>
          <cell r="S143">
            <v>311069.04347826075</v>
          </cell>
          <cell r="T143">
            <v>3110690.4347826075</v>
          </cell>
          <cell r="U143">
            <v>3110690.4347826075</v>
          </cell>
          <cell r="V143">
            <v>311069.04347826075</v>
          </cell>
          <cell r="W143">
            <v>3110690.4347826075</v>
          </cell>
          <cell r="X143">
            <v>311069.04347826075</v>
          </cell>
          <cell r="Y143">
            <v>3110690.4347826075</v>
          </cell>
          <cell r="Z143">
            <v>311069.04347826075</v>
          </cell>
          <cell r="AA143">
            <v>3110690.4347826075</v>
          </cell>
          <cell r="AB143">
            <v>311069.04347826075</v>
          </cell>
          <cell r="AC143">
            <v>3110690.4347826075</v>
          </cell>
          <cell r="AD143">
            <v>311069.04347826098</v>
          </cell>
          <cell r="AG143">
            <v>37328285.217391297</v>
          </cell>
        </row>
        <row r="144">
          <cell r="E144">
            <v>0.23146515690714972</v>
          </cell>
          <cell r="U144">
            <v>0</v>
          </cell>
        </row>
        <row r="145">
          <cell r="U145">
            <v>0</v>
          </cell>
        </row>
        <row r="146">
          <cell r="C146" t="str">
            <v>Other Expenses</v>
          </cell>
          <cell r="U146">
            <v>0</v>
          </cell>
        </row>
        <row r="147">
          <cell r="C147" t="str">
            <v>Selling Expenses</v>
          </cell>
          <cell r="E147">
            <v>15580.366396615698</v>
          </cell>
          <cell r="F147">
            <v>155803.66396615698</v>
          </cell>
          <cell r="G147">
            <v>14065.815418598198</v>
          </cell>
          <cell r="H147">
            <v>140658.15418598198</v>
          </cell>
          <cell r="I147">
            <v>13937.86149454217</v>
          </cell>
          <cell r="J147">
            <v>139378.61494542169</v>
          </cell>
          <cell r="K147">
            <v>12990.070739676898</v>
          </cell>
          <cell r="L147">
            <v>129900.70739676898</v>
          </cell>
          <cell r="M147">
            <v>17928.80038831451</v>
          </cell>
          <cell r="N147">
            <v>179288.00388314511</v>
          </cell>
          <cell r="O147">
            <v>16522.62377225871</v>
          </cell>
          <cell r="P147">
            <v>165226.2377225871</v>
          </cell>
          <cell r="Q147">
            <v>13012.379906852413</v>
          </cell>
          <cell r="R147">
            <v>130123.79906852412</v>
          </cell>
          <cell r="S147">
            <v>16957.866211611876</v>
          </cell>
          <cell r="T147">
            <v>169578.66211611876</v>
          </cell>
          <cell r="U147">
            <v>169578.66211611876</v>
          </cell>
          <cell r="V147">
            <v>15996.962658356917</v>
          </cell>
          <cell r="W147">
            <v>159969.62658356916</v>
          </cell>
          <cell r="X147">
            <v>17004.344235451234</v>
          </cell>
          <cell r="Y147">
            <v>170043.44235451234</v>
          </cell>
          <cell r="Z147">
            <v>16758.208123786724</v>
          </cell>
          <cell r="AA147">
            <v>167582.08123786724</v>
          </cell>
          <cell r="AB147">
            <v>15514.915208059225</v>
          </cell>
          <cell r="AC147">
            <v>155149.15208059223</v>
          </cell>
          <cell r="AD147">
            <v>15522.517879510382</v>
          </cell>
        </row>
        <row r="148">
          <cell r="C148" t="str">
            <v>Advertisement Expenses</v>
          </cell>
          <cell r="E148">
            <v>2405.8167555729137</v>
          </cell>
          <cell r="F148">
            <v>24058.167555729138</v>
          </cell>
          <cell r="G148">
            <v>3080.827321757934</v>
          </cell>
          <cell r="H148">
            <v>30808.273217579339</v>
          </cell>
          <cell r="I148">
            <v>23766.822379487348</v>
          </cell>
          <cell r="J148">
            <v>237668.22379487348</v>
          </cell>
          <cell r="K148">
            <v>23113.454316588311</v>
          </cell>
          <cell r="L148">
            <v>231134.54316588311</v>
          </cell>
          <cell r="M148">
            <v>25512.297842660966</v>
          </cell>
          <cell r="N148">
            <v>255122.97842660965</v>
          </cell>
          <cell r="O148">
            <v>2551.3138847595887</v>
          </cell>
          <cell r="P148">
            <v>25513.138847595888</v>
          </cell>
          <cell r="Q148">
            <v>2503.8786398437537</v>
          </cell>
          <cell r="R148">
            <v>25038.786398437536</v>
          </cell>
          <cell r="S148">
            <v>15993.121382039297</v>
          </cell>
          <cell r="T148">
            <v>159931.21382039296</v>
          </cell>
          <cell r="U148">
            <v>159931.21382039296</v>
          </cell>
          <cell r="V148">
            <v>18583.08922809346</v>
          </cell>
          <cell r="W148">
            <v>185830.89228093461</v>
          </cell>
          <cell r="X148">
            <v>2625.697960996888</v>
          </cell>
          <cell r="Y148">
            <v>26256.979609968879</v>
          </cell>
          <cell r="Z148">
            <v>28862.71016865053</v>
          </cell>
          <cell r="AA148">
            <v>288627.10168650531</v>
          </cell>
          <cell r="AB148">
            <v>3501.4226255840545</v>
          </cell>
          <cell r="AC148">
            <v>35014.226255840542</v>
          </cell>
          <cell r="AD148">
            <v>12708.371042169589</v>
          </cell>
        </row>
        <row r="149">
          <cell r="C149" t="str">
            <v>Administrative Expenses</v>
          </cell>
          <cell r="E149">
            <v>31746.041360815143</v>
          </cell>
          <cell r="F149">
            <v>317460.41360815143</v>
          </cell>
          <cell r="G149">
            <v>28660.042176505169</v>
          </cell>
          <cell r="H149">
            <v>286600.42176505167</v>
          </cell>
          <cell r="I149">
            <v>28399.32747558237</v>
          </cell>
          <cell r="J149">
            <v>283993.27475582372</v>
          </cell>
          <cell r="K149">
            <v>26468.140253189009</v>
          </cell>
          <cell r="L149">
            <v>264681.40253189008</v>
          </cell>
          <cell r="M149">
            <v>36531.133106142057</v>
          </cell>
          <cell r="N149">
            <v>365311.33106142055</v>
          </cell>
          <cell r="O149">
            <v>33665.95395197178</v>
          </cell>
          <cell r="P149">
            <v>336659.5395197178</v>
          </cell>
          <cell r="Q149">
            <v>26513.596677373815</v>
          </cell>
          <cell r="R149">
            <v>265135.96677373815</v>
          </cell>
          <cell r="S149">
            <v>34552.789609744817</v>
          </cell>
          <cell r="T149">
            <v>345527.89609744819</v>
          </cell>
          <cell r="U149">
            <v>345527.89609744819</v>
          </cell>
          <cell r="V149">
            <v>32594.884181281192</v>
          </cell>
          <cell r="W149">
            <v>325948.84181281191</v>
          </cell>
          <cell r="X149">
            <v>34647.491700158673</v>
          </cell>
          <cell r="Y149">
            <v>346474.91700158676</v>
          </cell>
          <cell r="Z149">
            <v>34145.972866622818</v>
          </cell>
          <cell r="AA149">
            <v>341459.72866622818</v>
          </cell>
          <cell r="AB149">
            <v>31612.680174939585</v>
          </cell>
          <cell r="AC149">
            <v>316126.80174939585</v>
          </cell>
          <cell r="AD149">
            <v>31628.171127860536</v>
          </cell>
        </row>
        <row r="150">
          <cell r="C150" t="str">
            <v>Depreciation (Admin. &amp; Selling )</v>
          </cell>
          <cell r="E150">
            <v>8927.9242923219663</v>
          </cell>
          <cell r="F150">
            <v>89279.242923219659</v>
          </cell>
          <cell r="G150">
            <v>8060.0501920351098</v>
          </cell>
          <cell r="H150">
            <v>80600.501920351104</v>
          </cell>
          <cell r="I150">
            <v>7986.7295192217998</v>
          </cell>
          <cell r="J150">
            <v>79867.295192217993</v>
          </cell>
          <cell r="K150">
            <v>7443.6226442616662</v>
          </cell>
          <cell r="L150">
            <v>74436.226442616666</v>
          </cell>
          <cell r="M150">
            <v>10273.633395026813</v>
          </cell>
          <cell r="N150">
            <v>102736.33395026813</v>
          </cell>
          <cell r="O150">
            <v>9467.8604080380956</v>
          </cell>
          <cell r="P150">
            <v>94678.604080380959</v>
          </cell>
          <cell r="Q150">
            <v>7456.4063330721565</v>
          </cell>
          <cell r="R150">
            <v>74564.063330721561</v>
          </cell>
          <cell r="S150">
            <v>9717.2647832904422</v>
          </cell>
          <cell r="T150">
            <v>97172.647832904418</v>
          </cell>
          <cell r="U150">
            <v>97172.647832904418</v>
          </cell>
          <cell r="V150">
            <v>9166.6439597938333</v>
          </cell>
          <cell r="W150">
            <v>91666.439597938326</v>
          </cell>
          <cell r="X150">
            <v>9743.8978076707062</v>
          </cell>
          <cell r="Y150">
            <v>97438.978076707062</v>
          </cell>
          <cell r="Z150">
            <v>9602.8559018125379</v>
          </cell>
          <cell r="AA150">
            <v>96028.559018125379</v>
          </cell>
          <cell r="AB150">
            <v>8890.4191886934896</v>
          </cell>
          <cell r="AC150">
            <v>88904.191886934888</v>
          </cell>
          <cell r="AD150">
            <v>8894.7757021032194</v>
          </cell>
        </row>
        <row r="151">
          <cell r="C151" t="str">
            <v>Financial Charges -Capital Exp.</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C152" t="str">
            <v>Financial  Charges -Working Capital</v>
          </cell>
          <cell r="E152">
            <v>1593.5489361898781</v>
          </cell>
          <cell r="F152">
            <v>15935.489361898781</v>
          </cell>
          <cell r="G152">
            <v>1457.6240215047092</v>
          </cell>
          <cell r="H152">
            <v>14576.240215047092</v>
          </cell>
          <cell r="I152">
            <v>1446.6945190186796</v>
          </cell>
          <cell r="J152">
            <v>14466.945190186796</v>
          </cell>
          <cell r="K152">
            <v>1359.6931738041301</v>
          </cell>
          <cell r="L152">
            <v>13596.931738041301</v>
          </cell>
          <cell r="M152">
            <v>1819.174805065381</v>
          </cell>
          <cell r="N152">
            <v>18191.748050653809</v>
          </cell>
          <cell r="O152">
            <v>1683.4853438562145</v>
          </cell>
          <cell r="P152">
            <v>16834.853438562146</v>
          </cell>
          <cell r="Q152">
            <v>1343.3633567120232</v>
          </cell>
          <cell r="R152">
            <v>13433.633567120232</v>
          </cell>
          <cell r="S152">
            <v>1703.3864664491034</v>
          </cell>
          <cell r="T152">
            <v>17033.864664491033</v>
          </cell>
          <cell r="U152">
            <v>17033.864664491033</v>
          </cell>
          <cell r="V152">
            <v>1621.6858468907856</v>
          </cell>
          <cell r="W152">
            <v>16216.858468907856</v>
          </cell>
          <cell r="X152">
            <v>1714.8673233328852</v>
          </cell>
          <cell r="Y152">
            <v>17148.673233328853</v>
          </cell>
          <cell r="Z152">
            <v>1688.4217100899446</v>
          </cell>
          <cell r="AA152">
            <v>16884.217100899445</v>
          </cell>
          <cell r="AB152">
            <v>1570.4294045608508</v>
          </cell>
          <cell r="AC152">
            <v>15704.294045608509</v>
          </cell>
          <cell r="AD152">
            <v>1583.5312422895488</v>
          </cell>
        </row>
        <row r="153">
          <cell r="C153" t="str">
            <v>Other Expenses (Charity &amp; Donation)</v>
          </cell>
          <cell r="E153">
            <v>1106.6312056874151</v>
          </cell>
          <cell r="F153">
            <v>11066.312056874151</v>
          </cell>
          <cell r="G153">
            <v>1012.2389038227149</v>
          </cell>
          <cell r="H153">
            <v>10122.389038227149</v>
          </cell>
          <cell r="I153">
            <v>1004.6489715407499</v>
          </cell>
          <cell r="J153">
            <v>10046.489715407499</v>
          </cell>
          <cell r="K153">
            <v>944.23137069731274</v>
          </cell>
          <cell r="L153">
            <v>9442.3137069731274</v>
          </cell>
          <cell r="M153">
            <v>1263.3158368509594</v>
          </cell>
          <cell r="N153">
            <v>12633.158368509594</v>
          </cell>
          <cell r="O153">
            <v>1169.0870443445933</v>
          </cell>
          <cell r="P153">
            <v>11690.870443445932</v>
          </cell>
          <cell r="Q153">
            <v>932.89121993890501</v>
          </cell>
          <cell r="R153">
            <v>9328.9121993890494</v>
          </cell>
          <cell r="S153">
            <v>1182.9072683674331</v>
          </cell>
          <cell r="T153">
            <v>11829.072683674331</v>
          </cell>
          <cell r="U153">
            <v>11829.072683674331</v>
          </cell>
          <cell r="V153">
            <v>1126.1707270074899</v>
          </cell>
          <cell r="W153">
            <v>11261.707270074898</v>
          </cell>
          <cell r="X153">
            <v>1190.8800856478372</v>
          </cell>
          <cell r="Y153">
            <v>11908.800856478372</v>
          </cell>
          <cell r="Z153">
            <v>1172.5150764513503</v>
          </cell>
          <cell r="AA153">
            <v>11725.150764513503</v>
          </cell>
          <cell r="AB153">
            <v>1090.5759753894795</v>
          </cell>
          <cell r="AC153">
            <v>10905.759753894796</v>
          </cell>
          <cell r="AD153">
            <v>1099.6744738121865</v>
          </cell>
        </row>
        <row r="154">
          <cell r="C154" t="str">
            <v>Other Expenses ( W.P.P.F.)</v>
          </cell>
          <cell r="E154">
            <v>9648.5900544295782</v>
          </cell>
          <cell r="F154">
            <v>96485.900544295786</v>
          </cell>
          <cell r="G154">
            <v>11903.296926179239</v>
          </cell>
          <cell r="H154">
            <v>119032.96926179239</v>
          </cell>
          <cell r="I154">
            <v>11129.264448460395</v>
          </cell>
          <cell r="J154">
            <v>111292.64448460395</v>
          </cell>
          <cell r="K154">
            <v>12765.472506264148</v>
          </cell>
          <cell r="L154">
            <v>127654.72506264149</v>
          </cell>
          <cell r="M154">
            <v>8697.6853037127148</v>
          </cell>
          <cell r="N154">
            <v>86976.853037127148</v>
          </cell>
          <cell r="O154">
            <v>8477.4712963599068</v>
          </cell>
          <cell r="P154">
            <v>84774.712963599071</v>
          </cell>
          <cell r="Q154">
            <v>11947.065838432633</v>
          </cell>
          <cell r="R154">
            <v>119470.65838432632</v>
          </cell>
          <cell r="S154">
            <v>8315.7504207462025</v>
          </cell>
          <cell r="T154">
            <v>83157.504207462029</v>
          </cell>
          <cell r="U154">
            <v>83157.504207462029</v>
          </cell>
          <cell r="V154">
            <v>10259.06027175571</v>
          </cell>
          <cell r="W154">
            <v>102590.60271755711</v>
          </cell>
          <cell r="X154">
            <v>11041.057493260387</v>
          </cell>
          <cell r="Y154">
            <v>110410.57493260386</v>
          </cell>
          <cell r="Z154">
            <v>9071.1554130804143</v>
          </cell>
          <cell r="AA154">
            <v>90711.554130804143</v>
          </cell>
          <cell r="AB154">
            <v>9315.9406486366006</v>
          </cell>
          <cell r="AC154">
            <v>93159.406486366002</v>
          </cell>
          <cell r="AD154">
            <v>10214.317551776496</v>
          </cell>
        </row>
        <row r="155">
          <cell r="C155" t="str">
            <v>Workers Welfare Fund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56">
          <cell r="E156">
            <v>71008.919001632588</v>
          </cell>
          <cell r="F156">
            <v>710089.19001632591</v>
          </cell>
          <cell r="G156">
            <v>68239.894960403064</v>
          </cell>
          <cell r="H156">
            <v>682398.9496040307</v>
          </cell>
          <cell r="I156">
            <v>87671.348807853516</v>
          </cell>
          <cell r="J156">
            <v>876713.48807853519</v>
          </cell>
          <cell r="K156">
            <v>85084.685004481464</v>
          </cell>
          <cell r="L156">
            <v>850846.85004481464</v>
          </cell>
          <cell r="M156">
            <v>102026.0406777734</v>
          </cell>
          <cell r="N156">
            <v>1020260.4067777341</v>
          </cell>
          <cell r="O156">
            <v>73537.795701588882</v>
          </cell>
          <cell r="P156">
            <v>735377.95701588877</v>
          </cell>
          <cell r="Q156">
            <v>63709.581972225693</v>
          </cell>
          <cell r="R156">
            <v>637095.81972225697</v>
          </cell>
          <cell r="S156">
            <v>88423.086142249173</v>
          </cell>
          <cell r="T156">
            <v>884230.86142249173</v>
          </cell>
          <cell r="U156">
            <v>884230.86142249173</v>
          </cell>
          <cell r="V156">
            <v>89348.496873179378</v>
          </cell>
          <cell r="W156">
            <v>893484.96873179381</v>
          </cell>
          <cell r="X156">
            <v>77968.236606518607</v>
          </cell>
          <cell r="Y156">
            <v>779682.3660651861</v>
          </cell>
          <cell r="Z156">
            <v>101301.83926049432</v>
          </cell>
          <cell r="AA156">
            <v>1013018.3926049432</v>
          </cell>
          <cell r="AB156">
            <v>71496.383225863276</v>
          </cell>
          <cell r="AC156">
            <v>714963.83225863276</v>
          </cell>
          <cell r="AD156">
            <v>81651.359019521959</v>
          </cell>
        </row>
        <row r="157">
          <cell r="C157" t="str">
            <v>Operating Profit</v>
          </cell>
          <cell r="E157">
            <v>240060.12447662815</v>
          </cell>
          <cell r="F157">
            <v>2400601.2447662815</v>
          </cell>
          <cell r="G157">
            <v>242829.14851785768</v>
          </cell>
          <cell r="H157">
            <v>2428291.4851785768</v>
          </cell>
          <cell r="I157">
            <v>223397.69467040722</v>
          </cell>
          <cell r="J157">
            <v>2233976.9467040719</v>
          </cell>
          <cell r="K157">
            <v>225984.35847377928</v>
          </cell>
          <cell r="L157">
            <v>2259843.5847377926</v>
          </cell>
          <cell r="M157">
            <v>209043.00280048733</v>
          </cell>
          <cell r="N157">
            <v>2090430.0280048733</v>
          </cell>
          <cell r="O157">
            <v>237531.24777667187</v>
          </cell>
          <cell r="P157">
            <v>2375312.4777667187</v>
          </cell>
          <cell r="Q157">
            <v>247359.46150603506</v>
          </cell>
          <cell r="R157">
            <v>2473594.6150603509</v>
          </cell>
          <cell r="S157">
            <v>222645.95733601158</v>
          </cell>
          <cell r="T157">
            <v>2226459.5733601158</v>
          </cell>
          <cell r="U157">
            <v>2226459.5733601158</v>
          </cell>
          <cell r="V157">
            <v>221720.54660508136</v>
          </cell>
          <cell r="W157">
            <v>2217205.4660508134</v>
          </cell>
          <cell r="X157">
            <v>233100.80687174213</v>
          </cell>
          <cell r="Y157">
            <v>2331008.068717421</v>
          </cell>
          <cell r="Z157">
            <v>209767.20421776641</v>
          </cell>
          <cell r="AA157">
            <v>2097672.0421776641</v>
          </cell>
          <cell r="AB157">
            <v>239572.66025239747</v>
          </cell>
          <cell r="AC157">
            <v>2395726.6025239746</v>
          </cell>
          <cell r="AD157">
            <v>229417.68445873901</v>
          </cell>
        </row>
        <row r="158">
          <cell r="U158">
            <v>0</v>
          </cell>
        </row>
        <row r="159">
          <cell r="C159" t="str">
            <v>Other Income</v>
          </cell>
          <cell r="U159">
            <v>0</v>
          </cell>
        </row>
        <row r="160">
          <cell r="C160" t="str">
            <v>H.D</v>
          </cell>
          <cell r="E160">
            <v>15352.228571428572</v>
          </cell>
          <cell r="F160">
            <v>153522.28571428571</v>
          </cell>
          <cell r="G160">
            <v>13804.129032258064</v>
          </cell>
          <cell r="H160">
            <v>138041.29032258064</v>
          </cell>
          <cell r="I160">
            <v>16932</v>
          </cell>
          <cell r="J160">
            <v>169320</v>
          </cell>
          <cell r="K160">
            <v>317514.93333333335</v>
          </cell>
          <cell r="L160">
            <v>3175149.3333333335</v>
          </cell>
          <cell r="M160">
            <v>309289.29032258067</v>
          </cell>
          <cell r="N160">
            <v>3092892.9032258065</v>
          </cell>
          <cell r="O160">
            <v>264203.22222222225</v>
          </cell>
          <cell r="P160">
            <v>2642032.2222222225</v>
          </cell>
          <cell r="Q160">
            <v>72764.571428571435</v>
          </cell>
          <cell r="R160">
            <v>727645.71428571432</v>
          </cell>
          <cell r="S160">
            <v>14837.75</v>
          </cell>
          <cell r="T160">
            <v>148377.5</v>
          </cell>
          <cell r="U160">
            <v>148377.5</v>
          </cell>
          <cell r="V160">
            <v>19002.533333333333</v>
          </cell>
          <cell r="W160">
            <v>190025.33333333331</v>
          </cell>
          <cell r="X160">
            <v>14756.137931034482</v>
          </cell>
          <cell r="Y160">
            <v>147561.37931034481</v>
          </cell>
          <cell r="Z160">
            <v>15316.387096774193</v>
          </cell>
          <cell r="AA160">
            <v>153163.87096774194</v>
          </cell>
          <cell r="AB160">
            <v>13728.648648648648</v>
          </cell>
          <cell r="AC160">
            <v>137286.48648648648</v>
          </cell>
          <cell r="AD160">
            <v>90625.152660015432</v>
          </cell>
        </row>
        <row r="161">
          <cell r="C161" t="str">
            <v>Others</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row>
        <row r="162">
          <cell r="E162">
            <v>15352.228571428572</v>
          </cell>
          <cell r="F162">
            <v>153522.28571428571</v>
          </cell>
          <cell r="G162">
            <v>13804.129032258064</v>
          </cell>
          <cell r="H162">
            <v>138041.29032258064</v>
          </cell>
          <cell r="I162">
            <v>16932</v>
          </cell>
          <cell r="J162">
            <v>169320</v>
          </cell>
          <cell r="K162">
            <v>317514.93333333335</v>
          </cell>
          <cell r="L162">
            <v>3175149.3333333335</v>
          </cell>
          <cell r="M162">
            <v>309289.29032258067</v>
          </cell>
          <cell r="N162">
            <v>3092892.9032258065</v>
          </cell>
          <cell r="O162">
            <v>264203.22222222225</v>
          </cell>
          <cell r="P162">
            <v>2642032.2222222225</v>
          </cell>
          <cell r="Q162">
            <v>72764.571428571435</v>
          </cell>
          <cell r="R162">
            <v>727645.71428571432</v>
          </cell>
          <cell r="S162">
            <v>14837.75</v>
          </cell>
          <cell r="T162">
            <v>148377.5</v>
          </cell>
          <cell r="U162">
            <v>148377.5</v>
          </cell>
          <cell r="V162">
            <v>19002.533333333333</v>
          </cell>
          <cell r="W162">
            <v>190025.33333333331</v>
          </cell>
          <cell r="X162">
            <v>14756.137931034482</v>
          </cell>
          <cell r="Y162">
            <v>147561.37931034481</v>
          </cell>
          <cell r="Z162">
            <v>15316.387096774193</v>
          </cell>
          <cell r="AA162">
            <v>153163.87096774194</v>
          </cell>
          <cell r="AB162">
            <v>13728.648648648648</v>
          </cell>
          <cell r="AC162">
            <v>137286.48648648648</v>
          </cell>
          <cell r="AD162">
            <v>90625.152660015432</v>
          </cell>
        </row>
        <row r="163">
          <cell r="U163">
            <v>0</v>
          </cell>
        </row>
        <row r="164">
          <cell r="C164" t="str">
            <v>Profit before tax</v>
          </cell>
          <cell r="E164">
            <v>255412.35304805671</v>
          </cell>
          <cell r="F164">
            <v>2554123.5304805674</v>
          </cell>
          <cell r="G164">
            <v>256633.27755011574</v>
          </cell>
          <cell r="H164">
            <v>2566332.7755011576</v>
          </cell>
          <cell r="I164">
            <v>240329.69467040722</v>
          </cell>
          <cell r="J164">
            <v>2403296.9467040719</v>
          </cell>
          <cell r="K164">
            <v>543499.29180711263</v>
          </cell>
          <cell r="L164">
            <v>5434992.9180711266</v>
          </cell>
          <cell r="M164">
            <v>518332.293123068</v>
          </cell>
          <cell r="N164">
            <v>5183322.9312306801</v>
          </cell>
          <cell r="O164">
            <v>501734.46999889414</v>
          </cell>
          <cell r="P164">
            <v>5017344.6999889417</v>
          </cell>
          <cell r="Q164">
            <v>320124.03293460648</v>
          </cell>
          <cell r="R164">
            <v>3201240.3293460649</v>
          </cell>
          <cell r="S164">
            <v>237483.70733601158</v>
          </cell>
          <cell r="T164">
            <v>2374837.0733601158</v>
          </cell>
          <cell r="U164">
            <v>2374837.0733601158</v>
          </cell>
          <cell r="V164">
            <v>240723.07993841468</v>
          </cell>
          <cell r="W164">
            <v>2407230.7993841469</v>
          </cell>
          <cell r="X164">
            <v>247856.94480277662</v>
          </cell>
          <cell r="Y164">
            <v>2478569.4480277663</v>
          </cell>
          <cell r="Z164">
            <v>225083.59131454059</v>
          </cell>
          <cell r="AA164">
            <v>2250835.9131454062</v>
          </cell>
          <cell r="AB164">
            <v>253301.30890104611</v>
          </cell>
          <cell r="AC164">
            <v>2533013.0890104612</v>
          </cell>
          <cell r="AD164">
            <v>320042.83711875445</v>
          </cell>
        </row>
        <row r="165">
          <cell r="U165">
            <v>0</v>
          </cell>
        </row>
        <row r="166">
          <cell r="C166" t="str">
            <v>Taxation</v>
          </cell>
          <cell r="U166">
            <v>0</v>
          </cell>
        </row>
        <row r="167">
          <cell r="C167" t="str">
            <v>Presumptive</v>
          </cell>
          <cell r="E167">
            <v>64511</v>
          </cell>
          <cell r="F167">
            <v>645110</v>
          </cell>
          <cell r="G167">
            <v>64511</v>
          </cell>
          <cell r="H167">
            <v>193533</v>
          </cell>
          <cell r="I167">
            <v>64511</v>
          </cell>
          <cell r="J167">
            <v>645110</v>
          </cell>
          <cell r="K167">
            <v>64511</v>
          </cell>
          <cell r="L167">
            <v>645110</v>
          </cell>
          <cell r="M167">
            <v>64511</v>
          </cell>
          <cell r="N167">
            <v>645110</v>
          </cell>
          <cell r="O167">
            <v>64511</v>
          </cell>
          <cell r="P167">
            <v>645110</v>
          </cell>
          <cell r="Q167">
            <v>64511</v>
          </cell>
          <cell r="R167">
            <v>645110</v>
          </cell>
          <cell r="S167">
            <v>64511</v>
          </cell>
          <cell r="T167">
            <v>645110</v>
          </cell>
          <cell r="U167">
            <v>645110</v>
          </cell>
          <cell r="V167">
            <v>64511</v>
          </cell>
          <cell r="W167">
            <v>645110</v>
          </cell>
          <cell r="X167">
            <v>64511</v>
          </cell>
          <cell r="Y167">
            <v>645110</v>
          </cell>
          <cell r="Z167">
            <v>64511</v>
          </cell>
          <cell r="AA167">
            <v>645110</v>
          </cell>
          <cell r="AB167">
            <v>64511</v>
          </cell>
          <cell r="AC167">
            <v>645110</v>
          </cell>
          <cell r="AD167">
            <v>60747.85833333333</v>
          </cell>
          <cell r="AG167">
            <v>7289743</v>
          </cell>
        </row>
        <row r="168">
          <cell r="C168" t="str">
            <v>Others</v>
          </cell>
          <cell r="U168">
            <v>0</v>
          </cell>
          <cell r="AD168">
            <v>0</v>
          </cell>
        </row>
        <row r="169">
          <cell r="E169">
            <v>64511</v>
          </cell>
          <cell r="F169">
            <v>645110</v>
          </cell>
          <cell r="G169">
            <v>64511</v>
          </cell>
          <cell r="H169">
            <v>193533</v>
          </cell>
          <cell r="I169">
            <v>64511</v>
          </cell>
          <cell r="J169">
            <v>645110</v>
          </cell>
          <cell r="K169">
            <v>64511</v>
          </cell>
          <cell r="L169">
            <v>645110</v>
          </cell>
          <cell r="M169">
            <v>64511</v>
          </cell>
          <cell r="N169">
            <v>645110</v>
          </cell>
          <cell r="O169">
            <v>64511</v>
          </cell>
          <cell r="P169">
            <v>645110</v>
          </cell>
          <cell r="Q169">
            <v>64511</v>
          </cell>
          <cell r="R169">
            <v>645110</v>
          </cell>
          <cell r="S169">
            <v>64511</v>
          </cell>
          <cell r="T169">
            <v>645110</v>
          </cell>
          <cell r="U169">
            <v>645110</v>
          </cell>
          <cell r="V169">
            <v>64511</v>
          </cell>
          <cell r="W169">
            <v>645110</v>
          </cell>
          <cell r="X169">
            <v>64511</v>
          </cell>
          <cell r="Y169">
            <v>645110</v>
          </cell>
          <cell r="Z169">
            <v>64511</v>
          </cell>
          <cell r="AA169">
            <v>645110</v>
          </cell>
          <cell r="AB169">
            <v>64511</v>
          </cell>
          <cell r="AC169">
            <v>645110</v>
          </cell>
          <cell r="AD169">
            <v>60747.85833333333</v>
          </cell>
        </row>
        <row r="170">
          <cell r="U170">
            <v>0</v>
          </cell>
        </row>
        <row r="171">
          <cell r="C171" t="str">
            <v>Net Profit after taxation</v>
          </cell>
          <cell r="E171">
            <v>190901.35304805671</v>
          </cell>
          <cell r="F171">
            <v>1909013.5304805674</v>
          </cell>
          <cell r="G171">
            <v>192122.27755011574</v>
          </cell>
          <cell r="H171">
            <v>2372799.7755011576</v>
          </cell>
          <cell r="I171">
            <v>175818.69467040722</v>
          </cell>
          <cell r="J171">
            <v>1758186.9467040719</v>
          </cell>
          <cell r="K171">
            <v>478988.29180711263</v>
          </cell>
          <cell r="L171">
            <v>4789882.9180711266</v>
          </cell>
          <cell r="M171">
            <v>453821.293123068</v>
          </cell>
          <cell r="N171">
            <v>4538212.9312306801</v>
          </cell>
          <cell r="O171">
            <v>437223.46999889414</v>
          </cell>
          <cell r="P171">
            <v>4372234.6999889417</v>
          </cell>
          <cell r="Q171">
            <v>255613.03293460648</v>
          </cell>
          <cell r="R171">
            <v>2556130.3293460649</v>
          </cell>
          <cell r="S171">
            <v>172972.70733601158</v>
          </cell>
          <cell r="T171">
            <v>1729727.0733601158</v>
          </cell>
          <cell r="U171">
            <v>1729727.0733601158</v>
          </cell>
          <cell r="V171">
            <v>176212.07993841468</v>
          </cell>
          <cell r="W171">
            <v>1762120.7993841469</v>
          </cell>
          <cell r="X171">
            <v>183345.94480277662</v>
          </cell>
          <cell r="Y171">
            <v>1833459.4480277663</v>
          </cell>
          <cell r="Z171">
            <v>160572.59131454059</v>
          </cell>
          <cell r="AA171">
            <v>1605725.9131454062</v>
          </cell>
          <cell r="AB171">
            <v>188790.30890104611</v>
          </cell>
          <cell r="AC171">
            <v>1887903.0890104612</v>
          </cell>
          <cell r="AD171">
            <v>259294.97878542112</v>
          </cell>
        </row>
        <row r="172">
          <cell r="Y172" t="str">
            <v>Hiace Panel Van</v>
          </cell>
        </row>
        <row r="173">
          <cell r="C173" t="str">
            <v>Hiace Panel Van</v>
          </cell>
          <cell r="E173">
            <v>36342</v>
          </cell>
          <cell r="F173" t="str">
            <v>Total</v>
          </cell>
          <cell r="G173">
            <v>36373</v>
          </cell>
          <cell r="H173" t="str">
            <v>Total</v>
          </cell>
          <cell r="I173">
            <v>36404</v>
          </cell>
          <cell r="J173" t="str">
            <v>Total</v>
          </cell>
          <cell r="K173">
            <v>36435</v>
          </cell>
          <cell r="L173" t="str">
            <v>Total</v>
          </cell>
          <cell r="M173">
            <v>36466</v>
          </cell>
          <cell r="N173" t="str">
            <v>Total</v>
          </cell>
          <cell r="O173">
            <v>36497</v>
          </cell>
          <cell r="P173" t="str">
            <v>Total</v>
          </cell>
          <cell r="Q173">
            <v>36528</v>
          </cell>
          <cell r="R173" t="str">
            <v>Total</v>
          </cell>
          <cell r="S173">
            <v>36559</v>
          </cell>
          <cell r="U173" t="str">
            <v>Total</v>
          </cell>
          <cell r="V173">
            <v>36590</v>
          </cell>
          <cell r="W173" t="str">
            <v>Total</v>
          </cell>
          <cell r="X173">
            <v>36621</v>
          </cell>
          <cell r="Y173" t="str">
            <v>Total</v>
          </cell>
          <cell r="Z173">
            <v>36652</v>
          </cell>
          <cell r="AA173" t="str">
            <v>Total</v>
          </cell>
          <cell r="AB173">
            <v>36683</v>
          </cell>
          <cell r="AC173" t="str">
            <v>Total</v>
          </cell>
          <cell r="AD173" t="str">
            <v>Yearly Avg</v>
          </cell>
        </row>
        <row r="175">
          <cell r="C175" t="str">
            <v>Sales Units</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V175">
            <v>0</v>
          </cell>
          <cell r="W175">
            <v>0</v>
          </cell>
          <cell r="X175">
            <v>0</v>
          </cell>
          <cell r="Y175">
            <v>0</v>
          </cell>
          <cell r="Z175">
            <v>0</v>
          </cell>
          <cell r="AA175">
            <v>0</v>
          </cell>
          <cell r="AB175">
            <v>0</v>
          </cell>
          <cell r="AC175">
            <v>0</v>
          </cell>
          <cell r="AD175">
            <v>0</v>
          </cell>
        </row>
        <row r="176">
          <cell r="U176">
            <v>0</v>
          </cell>
        </row>
        <row r="177">
          <cell r="C177" t="str">
            <v>Selling Price</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U177">
            <v>0</v>
          </cell>
          <cell r="V177">
            <v>0</v>
          </cell>
          <cell r="W177">
            <v>0</v>
          </cell>
          <cell r="X177">
            <v>0</v>
          </cell>
          <cell r="Y177">
            <v>0</v>
          </cell>
          <cell r="Z177">
            <v>0</v>
          </cell>
          <cell r="AA177">
            <v>0</v>
          </cell>
          <cell r="AB177">
            <v>0</v>
          </cell>
          <cell r="AC177">
            <v>0</v>
          </cell>
          <cell r="AD177" t="e">
            <v>#DIV/0!</v>
          </cell>
        </row>
        <row r="178">
          <cell r="C178" t="str">
            <v>Less: Dealer commission</v>
          </cell>
          <cell r="E178">
            <v>-30000</v>
          </cell>
          <cell r="F178">
            <v>0</v>
          </cell>
          <cell r="G178">
            <v>-30000</v>
          </cell>
          <cell r="H178">
            <v>0</v>
          </cell>
          <cell r="I178">
            <v>-30000</v>
          </cell>
          <cell r="J178">
            <v>0</v>
          </cell>
          <cell r="K178">
            <v>-30000</v>
          </cell>
          <cell r="L178">
            <v>0</v>
          </cell>
          <cell r="M178">
            <v>-30000</v>
          </cell>
          <cell r="N178">
            <v>0</v>
          </cell>
          <cell r="O178">
            <v>-30000</v>
          </cell>
          <cell r="P178">
            <v>0</v>
          </cell>
          <cell r="Q178">
            <v>-30000</v>
          </cell>
          <cell r="R178">
            <v>0</v>
          </cell>
          <cell r="S178">
            <v>-30000</v>
          </cell>
          <cell r="U178">
            <v>0</v>
          </cell>
          <cell r="V178">
            <v>-30000</v>
          </cell>
          <cell r="W178">
            <v>0</v>
          </cell>
          <cell r="X178">
            <v>-30000</v>
          </cell>
          <cell r="Y178">
            <v>0</v>
          </cell>
          <cell r="Z178">
            <v>-30000</v>
          </cell>
          <cell r="AA178">
            <v>0</v>
          </cell>
          <cell r="AB178">
            <v>-30000</v>
          </cell>
          <cell r="AC178">
            <v>0</v>
          </cell>
          <cell r="AD178" t="e">
            <v>#DIV/0!</v>
          </cell>
        </row>
        <row r="179">
          <cell r="C179" t="str">
            <v xml:space="preserve">  Sales tax</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U179">
            <v>0</v>
          </cell>
          <cell r="V179">
            <v>0</v>
          </cell>
          <cell r="W179">
            <v>0</v>
          </cell>
          <cell r="X179">
            <v>0</v>
          </cell>
          <cell r="Y179">
            <v>0</v>
          </cell>
          <cell r="Z179">
            <v>0</v>
          </cell>
          <cell r="AA179">
            <v>0</v>
          </cell>
          <cell r="AB179">
            <v>0</v>
          </cell>
          <cell r="AC179">
            <v>0</v>
          </cell>
          <cell r="AD179" t="e">
            <v>#DIV/0!</v>
          </cell>
        </row>
        <row r="180">
          <cell r="C180" t="str">
            <v>Net Sales</v>
          </cell>
          <cell r="E180">
            <v>-30000</v>
          </cell>
          <cell r="F180">
            <v>0</v>
          </cell>
          <cell r="G180">
            <v>-30000</v>
          </cell>
          <cell r="H180">
            <v>0</v>
          </cell>
          <cell r="I180">
            <v>-30000</v>
          </cell>
          <cell r="J180">
            <v>0</v>
          </cell>
          <cell r="K180">
            <v>-30000</v>
          </cell>
          <cell r="L180">
            <v>0</v>
          </cell>
          <cell r="M180">
            <v>-30000</v>
          </cell>
          <cell r="N180">
            <v>0</v>
          </cell>
          <cell r="O180">
            <v>-30000</v>
          </cell>
          <cell r="P180">
            <v>0</v>
          </cell>
          <cell r="Q180">
            <v>-30000</v>
          </cell>
          <cell r="R180">
            <v>0</v>
          </cell>
          <cell r="S180">
            <v>-30000</v>
          </cell>
          <cell r="U180">
            <v>0</v>
          </cell>
          <cell r="V180">
            <v>-30000</v>
          </cell>
          <cell r="W180">
            <v>0</v>
          </cell>
          <cell r="X180">
            <v>-30000</v>
          </cell>
          <cell r="Y180">
            <v>0</v>
          </cell>
          <cell r="Z180">
            <v>-30000</v>
          </cell>
          <cell r="AA180">
            <v>0</v>
          </cell>
          <cell r="AB180">
            <v>-30000</v>
          </cell>
          <cell r="AC180">
            <v>0</v>
          </cell>
          <cell r="AD180" t="e">
            <v>#DIV/0!</v>
          </cell>
        </row>
        <row r="181">
          <cell r="C181" t="str">
            <v>Landed cost</v>
          </cell>
          <cell r="E181">
            <v>-85714</v>
          </cell>
          <cell r="F181">
            <v>0</v>
          </cell>
          <cell r="G181">
            <v>-85714</v>
          </cell>
          <cell r="H181">
            <v>0</v>
          </cell>
          <cell r="I181">
            <v>-85714</v>
          </cell>
          <cell r="J181">
            <v>0</v>
          </cell>
          <cell r="K181">
            <v>-85714</v>
          </cell>
          <cell r="L181">
            <v>0</v>
          </cell>
          <cell r="M181">
            <v>-85714</v>
          </cell>
          <cell r="N181">
            <v>0</v>
          </cell>
          <cell r="O181">
            <v>-85714</v>
          </cell>
          <cell r="P181">
            <v>0</v>
          </cell>
          <cell r="Q181">
            <v>-85714</v>
          </cell>
          <cell r="R181">
            <v>0</v>
          </cell>
          <cell r="S181">
            <v>-85714</v>
          </cell>
          <cell r="U181">
            <v>0</v>
          </cell>
          <cell r="V181">
            <v>-85714</v>
          </cell>
          <cell r="W181">
            <v>0</v>
          </cell>
          <cell r="X181">
            <v>-85714</v>
          </cell>
          <cell r="Y181">
            <v>0</v>
          </cell>
          <cell r="Z181">
            <v>-85714</v>
          </cell>
          <cell r="AA181">
            <v>0</v>
          </cell>
          <cell r="AB181">
            <v>-85714</v>
          </cell>
          <cell r="AC181">
            <v>0</v>
          </cell>
          <cell r="AD181" t="e">
            <v>#DIV/0!</v>
          </cell>
        </row>
        <row r="182">
          <cell r="E182">
            <v>55714</v>
          </cell>
          <cell r="F182">
            <v>0</v>
          </cell>
          <cell r="G182">
            <v>55714</v>
          </cell>
          <cell r="H182">
            <v>0</v>
          </cell>
          <cell r="I182">
            <v>55714</v>
          </cell>
          <cell r="J182">
            <v>0</v>
          </cell>
          <cell r="K182">
            <v>55714</v>
          </cell>
          <cell r="L182">
            <v>0</v>
          </cell>
          <cell r="M182">
            <v>55714</v>
          </cell>
          <cell r="N182">
            <v>0</v>
          </cell>
          <cell r="O182">
            <v>55714</v>
          </cell>
          <cell r="P182">
            <v>0</v>
          </cell>
          <cell r="Q182">
            <v>55714</v>
          </cell>
          <cell r="R182">
            <v>0</v>
          </cell>
          <cell r="S182">
            <v>55714</v>
          </cell>
          <cell r="U182">
            <v>0</v>
          </cell>
          <cell r="V182">
            <v>55714</v>
          </cell>
          <cell r="W182">
            <v>0</v>
          </cell>
          <cell r="X182">
            <v>55714</v>
          </cell>
          <cell r="Y182">
            <v>0</v>
          </cell>
          <cell r="Z182">
            <v>55714</v>
          </cell>
          <cell r="AA182">
            <v>0</v>
          </cell>
          <cell r="AB182">
            <v>55714</v>
          </cell>
          <cell r="AC182">
            <v>0</v>
          </cell>
          <cell r="AD182" t="e">
            <v>#DIV/0!</v>
          </cell>
        </row>
        <row r="183">
          <cell r="U183">
            <v>0</v>
          </cell>
        </row>
        <row r="184">
          <cell r="C184" t="str">
            <v>Other Expenses</v>
          </cell>
          <cell r="U184">
            <v>0</v>
          </cell>
        </row>
        <row r="185">
          <cell r="U185">
            <v>0</v>
          </cell>
        </row>
        <row r="186">
          <cell r="C186" t="str">
            <v>Selling Expenses</v>
          </cell>
          <cell r="E186">
            <v>15580.366396615698</v>
          </cell>
          <cell r="F186">
            <v>0</v>
          </cell>
          <cell r="G186">
            <v>14065.815418598198</v>
          </cell>
          <cell r="H186">
            <v>0</v>
          </cell>
          <cell r="I186">
            <v>13937.86149454217</v>
          </cell>
          <cell r="J186">
            <v>0</v>
          </cell>
          <cell r="K186">
            <v>12990.070739676898</v>
          </cell>
          <cell r="L186">
            <v>0</v>
          </cell>
          <cell r="M186">
            <v>17928.80038831451</v>
          </cell>
          <cell r="N186">
            <v>0</v>
          </cell>
          <cell r="O186">
            <v>16522.62377225871</v>
          </cell>
          <cell r="P186">
            <v>0</v>
          </cell>
          <cell r="Q186">
            <v>13012.379906852413</v>
          </cell>
          <cell r="R186">
            <v>0</v>
          </cell>
          <cell r="S186">
            <v>16957.866211611876</v>
          </cell>
          <cell r="U186">
            <v>0</v>
          </cell>
          <cell r="V186">
            <v>15996.962658356917</v>
          </cell>
          <cell r="W186">
            <v>0</v>
          </cell>
          <cell r="X186">
            <v>17004.344235451234</v>
          </cell>
          <cell r="Y186">
            <v>0</v>
          </cell>
          <cell r="Z186">
            <v>16758.208123786724</v>
          </cell>
          <cell r="AA186">
            <v>0</v>
          </cell>
          <cell r="AB186">
            <v>15514.915208059225</v>
          </cell>
          <cell r="AC186">
            <v>0</v>
          </cell>
          <cell r="AD186" t="e">
            <v>#DIV/0!</v>
          </cell>
        </row>
        <row r="187">
          <cell r="C187" t="str">
            <v>Advertisement Expenses</v>
          </cell>
          <cell r="E187">
            <v>2405.8167555729137</v>
          </cell>
          <cell r="F187">
            <v>0</v>
          </cell>
          <cell r="G187">
            <v>3080.827321757934</v>
          </cell>
          <cell r="H187">
            <v>0</v>
          </cell>
          <cell r="I187">
            <v>23766.822379487348</v>
          </cell>
          <cell r="J187">
            <v>0</v>
          </cell>
          <cell r="K187">
            <v>23113.454316588311</v>
          </cell>
          <cell r="L187">
            <v>0</v>
          </cell>
          <cell r="M187">
            <v>25512.297842660966</v>
          </cell>
          <cell r="N187">
            <v>0</v>
          </cell>
          <cell r="O187">
            <v>2551.3138847595887</v>
          </cell>
          <cell r="P187">
            <v>0</v>
          </cell>
          <cell r="Q187">
            <v>2503.8786398437537</v>
          </cell>
          <cell r="R187">
            <v>0</v>
          </cell>
          <cell r="S187">
            <v>15993.121382039297</v>
          </cell>
          <cell r="U187">
            <v>0</v>
          </cell>
          <cell r="V187">
            <v>18583.08922809346</v>
          </cell>
          <cell r="W187">
            <v>0</v>
          </cell>
          <cell r="X187">
            <v>2625.697960996888</v>
          </cell>
          <cell r="Y187">
            <v>0</v>
          </cell>
          <cell r="Z187">
            <v>28862.71016865053</v>
          </cell>
          <cell r="AA187">
            <v>0</v>
          </cell>
          <cell r="AB187">
            <v>3501.4226255840545</v>
          </cell>
          <cell r="AC187">
            <v>0</v>
          </cell>
          <cell r="AD187" t="e">
            <v>#DIV/0!</v>
          </cell>
        </row>
        <row r="188">
          <cell r="C188" t="str">
            <v>Administrative Expenses</v>
          </cell>
          <cell r="E188">
            <v>31746.041360815143</v>
          </cell>
          <cell r="F188">
            <v>0</v>
          </cell>
          <cell r="G188">
            <v>28660.042176505169</v>
          </cell>
          <cell r="H188">
            <v>0</v>
          </cell>
          <cell r="I188">
            <v>28399.32747558237</v>
          </cell>
          <cell r="J188">
            <v>0</v>
          </cell>
          <cell r="K188">
            <v>26468.140253189009</v>
          </cell>
          <cell r="L188">
            <v>0</v>
          </cell>
          <cell r="M188">
            <v>36531.133106142057</v>
          </cell>
          <cell r="N188">
            <v>0</v>
          </cell>
          <cell r="O188">
            <v>33665.95395197178</v>
          </cell>
          <cell r="P188">
            <v>0</v>
          </cell>
          <cell r="Q188">
            <v>26513.596677373815</v>
          </cell>
          <cell r="R188">
            <v>0</v>
          </cell>
          <cell r="S188">
            <v>34552.789609744817</v>
          </cell>
          <cell r="U188">
            <v>0</v>
          </cell>
          <cell r="V188">
            <v>32594.884181281192</v>
          </cell>
          <cell r="W188">
            <v>0</v>
          </cell>
          <cell r="X188">
            <v>34647.491700158673</v>
          </cell>
          <cell r="Y188">
            <v>0</v>
          </cell>
          <cell r="Z188">
            <v>34145.972866622818</v>
          </cell>
          <cell r="AA188">
            <v>0</v>
          </cell>
          <cell r="AB188">
            <v>31612.680174939585</v>
          </cell>
          <cell r="AC188">
            <v>0</v>
          </cell>
          <cell r="AD188" t="e">
            <v>#DIV/0!</v>
          </cell>
        </row>
        <row r="189">
          <cell r="C189" t="str">
            <v>Depreciation (Admin. &amp; Selling )</v>
          </cell>
          <cell r="E189">
            <v>31746.041360815143</v>
          </cell>
          <cell r="F189">
            <v>0</v>
          </cell>
          <cell r="G189">
            <v>28660.042176505169</v>
          </cell>
          <cell r="H189">
            <v>0</v>
          </cell>
          <cell r="I189">
            <v>28399.32747558237</v>
          </cell>
          <cell r="J189">
            <v>0</v>
          </cell>
          <cell r="K189">
            <v>26468.140253189009</v>
          </cell>
          <cell r="L189">
            <v>0</v>
          </cell>
          <cell r="M189">
            <v>36531.133106142057</v>
          </cell>
          <cell r="N189">
            <v>0</v>
          </cell>
          <cell r="O189">
            <v>33665.95395197178</v>
          </cell>
          <cell r="P189">
            <v>0</v>
          </cell>
          <cell r="Q189">
            <v>26513.596677373815</v>
          </cell>
          <cell r="R189">
            <v>0</v>
          </cell>
          <cell r="S189">
            <v>34552.789609744817</v>
          </cell>
          <cell r="U189">
            <v>0</v>
          </cell>
          <cell r="V189">
            <v>32594.884181281192</v>
          </cell>
          <cell r="W189">
            <v>0</v>
          </cell>
          <cell r="X189">
            <v>34647.491700158673</v>
          </cell>
          <cell r="Y189">
            <v>0</v>
          </cell>
          <cell r="Z189">
            <v>34145.972866622818</v>
          </cell>
          <cell r="AA189">
            <v>0</v>
          </cell>
          <cell r="AB189">
            <v>31612.680174939585</v>
          </cell>
          <cell r="AC189">
            <v>0</v>
          </cell>
          <cell r="AD189" t="e">
            <v>#DIV/0!</v>
          </cell>
        </row>
        <row r="190">
          <cell r="C190" t="str">
            <v>Financial Charges -Capital Exp.</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U190">
            <v>0</v>
          </cell>
          <cell r="V190">
            <v>0</v>
          </cell>
          <cell r="W190">
            <v>0</v>
          </cell>
          <cell r="X190">
            <v>0</v>
          </cell>
          <cell r="Y190">
            <v>0</v>
          </cell>
          <cell r="Z190">
            <v>0</v>
          </cell>
          <cell r="AA190">
            <v>0</v>
          </cell>
          <cell r="AB190">
            <v>0</v>
          </cell>
          <cell r="AC190">
            <v>0</v>
          </cell>
          <cell r="AD190" t="e">
            <v>#DIV/0!</v>
          </cell>
        </row>
        <row r="191">
          <cell r="C191" t="str">
            <v>Financial  Charges -Working Capital</v>
          </cell>
          <cell r="E191">
            <v>1593.5489361898781</v>
          </cell>
          <cell r="F191">
            <v>0</v>
          </cell>
          <cell r="G191">
            <v>1457.6240215047092</v>
          </cell>
          <cell r="H191">
            <v>0</v>
          </cell>
          <cell r="I191">
            <v>1446.6945190186796</v>
          </cell>
          <cell r="J191">
            <v>0</v>
          </cell>
          <cell r="K191">
            <v>1359.6931738041301</v>
          </cell>
          <cell r="L191">
            <v>0</v>
          </cell>
          <cell r="M191">
            <v>1819.174805065381</v>
          </cell>
          <cell r="N191">
            <v>0</v>
          </cell>
          <cell r="O191">
            <v>1683.4853438562145</v>
          </cell>
          <cell r="P191">
            <v>0</v>
          </cell>
          <cell r="Q191">
            <v>1343.3633567120232</v>
          </cell>
          <cell r="R191">
            <v>0</v>
          </cell>
          <cell r="S191">
            <v>1703.3864664491034</v>
          </cell>
          <cell r="U191">
            <v>0</v>
          </cell>
          <cell r="V191">
            <v>1621.6858468907856</v>
          </cell>
          <cell r="W191">
            <v>0</v>
          </cell>
          <cell r="X191">
            <v>1714.8673233328852</v>
          </cell>
          <cell r="Y191">
            <v>0</v>
          </cell>
          <cell r="Z191">
            <v>1688.4217100899446</v>
          </cell>
          <cell r="AA191">
            <v>0</v>
          </cell>
          <cell r="AB191">
            <v>1570.4294045608508</v>
          </cell>
          <cell r="AC191">
            <v>0</v>
          </cell>
          <cell r="AD191" t="e">
            <v>#DIV/0!</v>
          </cell>
        </row>
        <row r="192">
          <cell r="C192" t="str">
            <v>Other Expenses (Charity &amp; Donation)</v>
          </cell>
          <cell r="E192">
            <v>1106.6312056874151</v>
          </cell>
          <cell r="F192">
            <v>0</v>
          </cell>
          <cell r="G192">
            <v>1012.2389038227149</v>
          </cell>
          <cell r="H192">
            <v>0</v>
          </cell>
          <cell r="I192">
            <v>1004.6489715407499</v>
          </cell>
          <cell r="J192">
            <v>0</v>
          </cell>
          <cell r="K192">
            <v>944.23137069731274</v>
          </cell>
          <cell r="L192">
            <v>0</v>
          </cell>
          <cell r="M192">
            <v>1263.3158368509594</v>
          </cell>
          <cell r="N192">
            <v>0</v>
          </cell>
          <cell r="O192">
            <v>1169.0870443445933</v>
          </cell>
          <cell r="P192">
            <v>0</v>
          </cell>
          <cell r="Q192">
            <v>932.89121993890501</v>
          </cell>
          <cell r="R192">
            <v>0</v>
          </cell>
          <cell r="S192">
            <v>1182.9072683674331</v>
          </cell>
          <cell r="U192">
            <v>0</v>
          </cell>
          <cell r="V192">
            <v>1126.1707270074899</v>
          </cell>
          <cell r="W192">
            <v>0</v>
          </cell>
          <cell r="X192">
            <v>1190.8800856478372</v>
          </cell>
          <cell r="Y192">
            <v>0</v>
          </cell>
          <cell r="Z192">
            <v>1172.5150764513503</v>
          </cell>
          <cell r="AA192">
            <v>0</v>
          </cell>
          <cell r="AB192">
            <v>1090.5759753894795</v>
          </cell>
          <cell r="AC192">
            <v>0</v>
          </cell>
          <cell r="AD192" t="e">
            <v>#DIV/0!</v>
          </cell>
        </row>
        <row r="193">
          <cell r="C193" t="str">
            <v>Other Expenses ( W.P.P.F.)</v>
          </cell>
          <cell r="E193">
            <v>9648.5900544295782</v>
          </cell>
          <cell r="F193">
            <v>0</v>
          </cell>
          <cell r="G193">
            <v>11903.296926179239</v>
          </cell>
          <cell r="H193">
            <v>0</v>
          </cell>
          <cell r="I193">
            <v>11129.264448460395</v>
          </cell>
          <cell r="J193">
            <v>0</v>
          </cell>
          <cell r="K193">
            <v>12765.472506264148</v>
          </cell>
          <cell r="L193">
            <v>0</v>
          </cell>
          <cell r="M193">
            <v>8697.6853037127148</v>
          </cell>
          <cell r="N193">
            <v>0</v>
          </cell>
          <cell r="O193">
            <v>8477.4712963599068</v>
          </cell>
          <cell r="P193">
            <v>0</v>
          </cell>
          <cell r="Q193">
            <v>11947.065838432633</v>
          </cell>
          <cell r="R193">
            <v>0</v>
          </cell>
          <cell r="S193">
            <v>8315.7504207462025</v>
          </cell>
          <cell r="U193">
            <v>0</v>
          </cell>
          <cell r="V193">
            <v>10259.06027175571</v>
          </cell>
          <cell r="W193">
            <v>0</v>
          </cell>
          <cell r="X193">
            <v>11041.057493260387</v>
          </cell>
          <cell r="Y193">
            <v>0</v>
          </cell>
          <cell r="Z193">
            <v>9071.1554130804143</v>
          </cell>
          <cell r="AA193">
            <v>0</v>
          </cell>
          <cell r="AB193">
            <v>9315.9406486366006</v>
          </cell>
          <cell r="AC193">
            <v>0</v>
          </cell>
          <cell r="AD193" t="e">
            <v>#DIV/0!</v>
          </cell>
        </row>
        <row r="194">
          <cell r="C194" t="str">
            <v>Workers Welfare Fund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U194">
            <v>0</v>
          </cell>
          <cell r="V194">
            <v>0</v>
          </cell>
          <cell r="W194">
            <v>0</v>
          </cell>
          <cell r="X194">
            <v>0</v>
          </cell>
          <cell r="Y194">
            <v>0</v>
          </cell>
          <cell r="Z194">
            <v>0</v>
          </cell>
          <cell r="AA194">
            <v>0</v>
          </cell>
          <cell r="AB194">
            <v>0</v>
          </cell>
          <cell r="AC194">
            <v>0</v>
          </cell>
          <cell r="AD194" t="e">
            <v>#DIV/0!</v>
          </cell>
        </row>
        <row r="195">
          <cell r="E195">
            <v>93827.03607012576</v>
          </cell>
          <cell r="F195">
            <v>0</v>
          </cell>
          <cell r="G195">
            <v>88839.886944873142</v>
          </cell>
          <cell r="H195">
            <v>0</v>
          </cell>
          <cell r="I195">
            <v>108083.94676421408</v>
          </cell>
          <cell r="J195">
            <v>0</v>
          </cell>
          <cell r="K195">
            <v>104109.20261340881</v>
          </cell>
          <cell r="L195">
            <v>0</v>
          </cell>
          <cell r="M195">
            <v>128283.54038888864</v>
          </cell>
          <cell r="N195">
            <v>0</v>
          </cell>
          <cell r="O195">
            <v>97735.889245522558</v>
          </cell>
          <cell r="P195">
            <v>0</v>
          </cell>
          <cell r="Q195">
            <v>82766.772316527364</v>
          </cell>
          <cell r="R195">
            <v>0</v>
          </cell>
          <cell r="S195">
            <v>113258.61096870355</v>
          </cell>
          <cell r="U195">
            <v>0</v>
          </cell>
          <cell r="V195">
            <v>112776.73709466674</v>
          </cell>
          <cell r="W195">
            <v>0</v>
          </cell>
          <cell r="X195">
            <v>102871.83049900658</v>
          </cell>
          <cell r="Y195">
            <v>0</v>
          </cell>
          <cell r="Z195">
            <v>125844.9562253046</v>
          </cell>
          <cell r="AA195">
            <v>0</v>
          </cell>
          <cell r="AB195">
            <v>94218.644212109386</v>
          </cell>
          <cell r="AC195">
            <v>0</v>
          </cell>
          <cell r="AD195" t="e">
            <v>#DIV/0!</v>
          </cell>
        </row>
        <row r="196">
          <cell r="C196" t="str">
            <v>Operating Profit</v>
          </cell>
          <cell r="E196">
            <v>-38113.03607012576</v>
          </cell>
          <cell r="F196">
            <v>0</v>
          </cell>
          <cell r="G196">
            <v>-33125.886944873142</v>
          </cell>
          <cell r="H196">
            <v>0</v>
          </cell>
          <cell r="I196">
            <v>-52369.946764214081</v>
          </cell>
          <cell r="J196">
            <v>0</v>
          </cell>
          <cell r="K196">
            <v>-48395.202613408808</v>
          </cell>
          <cell r="L196">
            <v>0</v>
          </cell>
          <cell r="M196">
            <v>-72569.540388888636</v>
          </cell>
          <cell r="N196">
            <v>0</v>
          </cell>
          <cell r="O196">
            <v>-42021.889245522558</v>
          </cell>
          <cell r="P196">
            <v>0</v>
          </cell>
          <cell r="Q196">
            <v>-27052.772316527364</v>
          </cell>
          <cell r="R196">
            <v>0</v>
          </cell>
          <cell r="S196">
            <v>-57544.61096870355</v>
          </cell>
          <cell r="U196">
            <v>0</v>
          </cell>
          <cell r="V196">
            <v>-57062.737094666736</v>
          </cell>
          <cell r="W196">
            <v>0</v>
          </cell>
          <cell r="X196">
            <v>-47157.830499006581</v>
          </cell>
          <cell r="Y196">
            <v>0</v>
          </cell>
          <cell r="Z196">
            <v>-70130.956225304602</v>
          </cell>
          <cell r="AA196">
            <v>0</v>
          </cell>
          <cell r="AB196">
            <v>-38504.644212109386</v>
          </cell>
          <cell r="AC196">
            <v>0</v>
          </cell>
          <cell r="AD196" t="e">
            <v>#DIV/0!</v>
          </cell>
        </row>
        <row r="197">
          <cell r="U197">
            <v>0</v>
          </cell>
        </row>
        <row r="198">
          <cell r="C198" t="str">
            <v>Other Income</v>
          </cell>
          <cell r="U198">
            <v>0</v>
          </cell>
        </row>
        <row r="199">
          <cell r="C199" t="str">
            <v>H.D</v>
          </cell>
          <cell r="E199">
            <v>15352.228571428572</v>
          </cell>
          <cell r="F199">
            <v>0</v>
          </cell>
          <cell r="G199">
            <v>13804.129032258064</v>
          </cell>
          <cell r="H199">
            <v>0</v>
          </cell>
          <cell r="I199">
            <v>16932</v>
          </cell>
          <cell r="J199">
            <v>0</v>
          </cell>
          <cell r="K199">
            <v>317514.93333333335</v>
          </cell>
          <cell r="L199">
            <v>0</v>
          </cell>
          <cell r="M199">
            <v>309289.29032258067</v>
          </cell>
          <cell r="N199">
            <v>0</v>
          </cell>
          <cell r="O199">
            <v>264203.22222222225</v>
          </cell>
          <cell r="P199">
            <v>0</v>
          </cell>
          <cell r="Q199">
            <v>72764.571428571435</v>
          </cell>
          <cell r="R199">
            <v>0</v>
          </cell>
          <cell r="S199">
            <v>14837.75</v>
          </cell>
          <cell r="U199">
            <v>0</v>
          </cell>
          <cell r="V199">
            <v>19002.533333333333</v>
          </cell>
          <cell r="W199">
            <v>0</v>
          </cell>
          <cell r="X199">
            <v>14756.137931034482</v>
          </cell>
          <cell r="Y199">
            <v>0</v>
          </cell>
          <cell r="Z199">
            <v>15316.387096774193</v>
          </cell>
          <cell r="AA199">
            <v>0</v>
          </cell>
          <cell r="AB199">
            <v>13728.648648648648</v>
          </cell>
          <cell r="AC199">
            <v>0</v>
          </cell>
          <cell r="AD199" t="e">
            <v>#DIV/0!</v>
          </cell>
        </row>
        <row r="200">
          <cell r="C200" t="str">
            <v>Others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U200">
            <v>0</v>
          </cell>
          <cell r="V200">
            <v>0</v>
          </cell>
          <cell r="W200">
            <v>0</v>
          </cell>
          <cell r="X200">
            <v>0</v>
          </cell>
          <cell r="Y200">
            <v>0</v>
          </cell>
          <cell r="Z200">
            <v>0</v>
          </cell>
          <cell r="AA200">
            <v>0</v>
          </cell>
          <cell r="AB200">
            <v>0</v>
          </cell>
          <cell r="AC200">
            <v>0</v>
          </cell>
          <cell r="AD200" t="e">
            <v>#DIV/0!</v>
          </cell>
        </row>
        <row r="201">
          <cell r="E201">
            <v>15352.228571428572</v>
          </cell>
          <cell r="F201">
            <v>0</v>
          </cell>
          <cell r="G201">
            <v>13804.129032258064</v>
          </cell>
          <cell r="H201">
            <v>0</v>
          </cell>
          <cell r="I201">
            <v>16932</v>
          </cell>
          <cell r="J201">
            <v>0</v>
          </cell>
          <cell r="K201">
            <v>317514.93333333335</v>
          </cell>
          <cell r="L201">
            <v>0</v>
          </cell>
          <cell r="M201">
            <v>309289.29032258067</v>
          </cell>
          <cell r="N201">
            <v>0</v>
          </cell>
          <cell r="O201">
            <v>264203.22222222225</v>
          </cell>
          <cell r="P201">
            <v>0</v>
          </cell>
          <cell r="Q201">
            <v>72764.571428571435</v>
          </cell>
          <cell r="R201">
            <v>0</v>
          </cell>
          <cell r="S201">
            <v>14837.75</v>
          </cell>
          <cell r="U201">
            <v>0</v>
          </cell>
          <cell r="V201">
            <v>19002.533333333333</v>
          </cell>
          <cell r="W201">
            <v>0</v>
          </cell>
          <cell r="X201">
            <v>14756.137931034482</v>
          </cell>
          <cell r="Y201">
            <v>0</v>
          </cell>
          <cell r="Z201">
            <v>15316.387096774193</v>
          </cell>
          <cell r="AA201">
            <v>0</v>
          </cell>
          <cell r="AB201">
            <v>13728.648648648648</v>
          </cell>
          <cell r="AC201">
            <v>0</v>
          </cell>
          <cell r="AD201" t="e">
            <v>#DIV/0!</v>
          </cell>
        </row>
        <row r="202">
          <cell r="U202">
            <v>0</v>
          </cell>
        </row>
        <row r="203">
          <cell r="C203" t="str">
            <v>Profit before tax</v>
          </cell>
          <cell r="E203">
            <v>-22760.807498697188</v>
          </cell>
          <cell r="F203">
            <v>0</v>
          </cell>
          <cell r="G203">
            <v>-19321.757912615078</v>
          </cell>
          <cell r="H203">
            <v>0</v>
          </cell>
          <cell r="I203">
            <v>-35437.946764214081</v>
          </cell>
          <cell r="J203">
            <v>0</v>
          </cell>
          <cell r="K203">
            <v>269119.73071992456</v>
          </cell>
          <cell r="L203">
            <v>0</v>
          </cell>
          <cell r="M203">
            <v>236719.74993369204</v>
          </cell>
          <cell r="N203">
            <v>0</v>
          </cell>
          <cell r="O203">
            <v>222181.33297669969</v>
          </cell>
          <cell r="P203">
            <v>0</v>
          </cell>
          <cell r="Q203">
            <v>45711.799112044071</v>
          </cell>
          <cell r="R203">
            <v>0</v>
          </cell>
          <cell r="S203">
            <v>-42706.86096870355</v>
          </cell>
          <cell r="U203">
            <v>0</v>
          </cell>
          <cell r="V203">
            <v>-38060.203761333403</v>
          </cell>
          <cell r="W203">
            <v>0</v>
          </cell>
          <cell r="X203">
            <v>-32401.692567972099</v>
          </cell>
          <cell r="Y203">
            <v>0</v>
          </cell>
          <cell r="Z203">
            <v>-54814.569128530406</v>
          </cell>
          <cell r="AA203">
            <v>0</v>
          </cell>
          <cell r="AB203">
            <v>-24775.99556346074</v>
          </cell>
          <cell r="AC203">
            <v>0</v>
          </cell>
          <cell r="AD203" t="e">
            <v>#DIV/0!</v>
          </cell>
        </row>
        <row r="204">
          <cell r="U204">
            <v>0</v>
          </cell>
        </row>
        <row r="205">
          <cell r="C205" t="str">
            <v>Taxation</v>
          </cell>
          <cell r="U205">
            <v>0</v>
          </cell>
        </row>
        <row r="206">
          <cell r="C206" t="str">
            <v>Presumptive</v>
          </cell>
          <cell r="E206">
            <v>-5142.84</v>
          </cell>
          <cell r="F206">
            <v>0</v>
          </cell>
          <cell r="G206">
            <v>-4285.7</v>
          </cell>
          <cell r="H206">
            <v>0</v>
          </cell>
          <cell r="I206">
            <v>-4285.7</v>
          </cell>
          <cell r="J206">
            <v>0</v>
          </cell>
          <cell r="K206">
            <v>-4285.7</v>
          </cell>
          <cell r="L206">
            <v>0</v>
          </cell>
          <cell r="M206">
            <v>-4285.7</v>
          </cell>
          <cell r="N206">
            <v>0</v>
          </cell>
          <cell r="O206">
            <v>-4285.7</v>
          </cell>
          <cell r="P206">
            <v>0</v>
          </cell>
          <cell r="Q206">
            <v>-4285.7</v>
          </cell>
          <cell r="R206">
            <v>0</v>
          </cell>
          <cell r="S206">
            <v>-4285.7</v>
          </cell>
          <cell r="U206">
            <v>0</v>
          </cell>
          <cell r="V206">
            <v>-4285.7</v>
          </cell>
          <cell r="W206">
            <v>0</v>
          </cell>
          <cell r="X206">
            <v>-4285.7</v>
          </cell>
          <cell r="Y206">
            <v>0</v>
          </cell>
          <cell r="Z206">
            <v>-4285.7</v>
          </cell>
          <cell r="AA206">
            <v>0</v>
          </cell>
          <cell r="AB206">
            <v>-4285.7</v>
          </cell>
          <cell r="AC206">
            <v>0</v>
          </cell>
          <cell r="AD206" t="e">
            <v>#DIV/0!</v>
          </cell>
        </row>
        <row r="207">
          <cell r="C207" t="str">
            <v>Others</v>
          </cell>
          <cell r="E207">
            <v>0</v>
          </cell>
          <cell r="U207">
            <v>0</v>
          </cell>
          <cell r="AD207" t="e">
            <v>#DIV/0!</v>
          </cell>
        </row>
        <row r="208">
          <cell r="E208">
            <v>-5142.84</v>
          </cell>
          <cell r="F208">
            <v>0</v>
          </cell>
          <cell r="G208">
            <v>-4285.7</v>
          </cell>
          <cell r="H208">
            <v>0</v>
          </cell>
          <cell r="I208">
            <v>-4285.7</v>
          </cell>
          <cell r="J208">
            <v>0</v>
          </cell>
          <cell r="K208">
            <v>-4285.7</v>
          </cell>
          <cell r="L208">
            <v>0</v>
          </cell>
          <cell r="M208">
            <v>-4285.7</v>
          </cell>
          <cell r="N208">
            <v>0</v>
          </cell>
          <cell r="O208">
            <v>-4285.7</v>
          </cell>
          <cell r="P208">
            <v>0</v>
          </cell>
          <cell r="Q208">
            <v>-4285.7</v>
          </cell>
          <cell r="R208">
            <v>0</v>
          </cell>
          <cell r="S208">
            <v>-4285.7</v>
          </cell>
          <cell r="U208">
            <v>0</v>
          </cell>
          <cell r="V208">
            <v>-4285.7</v>
          </cell>
          <cell r="W208">
            <v>0</v>
          </cell>
          <cell r="X208">
            <v>-4285.7</v>
          </cell>
          <cell r="Y208">
            <v>0</v>
          </cell>
          <cell r="Z208">
            <v>-4285.7</v>
          </cell>
          <cell r="AA208">
            <v>0</v>
          </cell>
          <cell r="AB208">
            <v>-4285.7</v>
          </cell>
          <cell r="AC208">
            <v>0</v>
          </cell>
          <cell r="AD208" t="e">
            <v>#DIV/0!</v>
          </cell>
        </row>
        <row r="209">
          <cell r="U209">
            <v>0</v>
          </cell>
        </row>
        <row r="210">
          <cell r="C210" t="str">
            <v>Net Profit after taxation</v>
          </cell>
          <cell r="E210">
            <v>-17617.967498697188</v>
          </cell>
          <cell r="F210">
            <v>0</v>
          </cell>
          <cell r="G210">
            <v>-15036.057912615077</v>
          </cell>
          <cell r="H210">
            <v>0</v>
          </cell>
          <cell r="I210">
            <v>-31152.24676421408</v>
          </cell>
          <cell r="J210">
            <v>0</v>
          </cell>
          <cell r="K210">
            <v>273405.43071992457</v>
          </cell>
          <cell r="L210">
            <v>0</v>
          </cell>
          <cell r="M210">
            <v>241005.44993369206</v>
          </cell>
          <cell r="N210">
            <v>0</v>
          </cell>
          <cell r="O210">
            <v>226467.0329766997</v>
          </cell>
          <cell r="P210">
            <v>0</v>
          </cell>
          <cell r="Q210">
            <v>49997.499112044068</v>
          </cell>
          <cell r="R210">
            <v>0</v>
          </cell>
          <cell r="S210">
            <v>-38421.160968703552</v>
          </cell>
          <cell r="U210">
            <v>0</v>
          </cell>
          <cell r="V210">
            <v>-33774.503761333406</v>
          </cell>
          <cell r="W210">
            <v>0</v>
          </cell>
          <cell r="X210">
            <v>-28115.992567972098</v>
          </cell>
          <cell r="Y210">
            <v>0</v>
          </cell>
          <cell r="Z210">
            <v>-50528.869128530408</v>
          </cell>
          <cell r="AA210">
            <v>0</v>
          </cell>
          <cell r="AB210">
            <v>-20490.295563460739</v>
          </cell>
          <cell r="AC210">
            <v>0</v>
          </cell>
          <cell r="AD210" t="e">
            <v>#DIV/0!</v>
          </cell>
        </row>
        <row r="211">
          <cell r="Y211" t="str">
            <v>Coaster</v>
          </cell>
        </row>
        <row r="212">
          <cell r="C212" t="str">
            <v>Coaster</v>
          </cell>
          <cell r="E212">
            <v>913</v>
          </cell>
          <cell r="F212" t="str">
            <v>Total</v>
          </cell>
          <cell r="G212">
            <v>944</v>
          </cell>
          <cell r="H212" t="str">
            <v>Total</v>
          </cell>
          <cell r="I212">
            <v>975</v>
          </cell>
          <cell r="J212" t="str">
            <v>Total</v>
          </cell>
          <cell r="K212">
            <v>1006</v>
          </cell>
          <cell r="L212" t="str">
            <v>Total</v>
          </cell>
          <cell r="M212">
            <v>1037</v>
          </cell>
          <cell r="N212" t="str">
            <v>Total</v>
          </cell>
          <cell r="O212">
            <v>1068</v>
          </cell>
          <cell r="P212" t="str">
            <v>Total</v>
          </cell>
          <cell r="Q212">
            <v>1099</v>
          </cell>
          <cell r="R212" t="str">
            <v>Total</v>
          </cell>
          <cell r="S212">
            <v>1130</v>
          </cell>
          <cell r="U212" t="str">
            <v>Total</v>
          </cell>
          <cell r="V212">
            <v>1161</v>
          </cell>
          <cell r="W212" t="str">
            <v>Total</v>
          </cell>
          <cell r="X212">
            <v>1192</v>
          </cell>
          <cell r="Y212" t="str">
            <v>Total</v>
          </cell>
          <cell r="Z212">
            <v>1223</v>
          </cell>
          <cell r="AA212" t="str">
            <v>Total</v>
          </cell>
          <cell r="AB212">
            <v>1254</v>
          </cell>
          <cell r="AC212" t="str">
            <v>Total</v>
          </cell>
          <cell r="AD212" t="str">
            <v>Yearly Avg</v>
          </cell>
        </row>
        <row r="214">
          <cell r="C214" t="str">
            <v>Sales Units</v>
          </cell>
          <cell r="E214">
            <v>0</v>
          </cell>
          <cell r="F214">
            <v>0</v>
          </cell>
          <cell r="G214">
            <v>0</v>
          </cell>
          <cell r="H214">
            <v>0</v>
          </cell>
          <cell r="I214">
            <v>0</v>
          </cell>
          <cell r="J214">
            <v>0</v>
          </cell>
          <cell r="K214">
            <v>0</v>
          </cell>
          <cell r="L214">
            <v>0</v>
          </cell>
          <cell r="M214">
            <v>0</v>
          </cell>
          <cell r="N214">
            <v>0</v>
          </cell>
          <cell r="O214">
            <v>0</v>
          </cell>
          <cell r="P214">
            <v>0</v>
          </cell>
          <cell r="Q214">
            <v>1</v>
          </cell>
          <cell r="R214">
            <v>1</v>
          </cell>
          <cell r="S214">
            <v>0</v>
          </cell>
          <cell r="V214">
            <v>0</v>
          </cell>
          <cell r="W214">
            <v>0</v>
          </cell>
          <cell r="X214">
            <v>0</v>
          </cell>
          <cell r="Y214">
            <v>0</v>
          </cell>
          <cell r="Z214">
            <v>0</v>
          </cell>
          <cell r="AA214">
            <v>0</v>
          </cell>
          <cell r="AB214">
            <v>1</v>
          </cell>
          <cell r="AC214">
            <v>1</v>
          </cell>
          <cell r="AD214">
            <v>2</v>
          </cell>
        </row>
        <row r="215">
          <cell r="U215">
            <v>0</v>
          </cell>
        </row>
        <row r="216">
          <cell r="C216" t="str">
            <v>Selling Price</v>
          </cell>
          <cell r="E216">
            <v>4420000</v>
          </cell>
          <cell r="F216">
            <v>0</v>
          </cell>
          <cell r="G216">
            <v>4420000</v>
          </cell>
          <cell r="H216">
            <v>0</v>
          </cell>
          <cell r="I216">
            <v>4420000</v>
          </cell>
          <cell r="J216">
            <v>0</v>
          </cell>
          <cell r="K216">
            <v>4420000</v>
          </cell>
          <cell r="L216">
            <v>0</v>
          </cell>
          <cell r="M216">
            <v>4420000</v>
          </cell>
          <cell r="N216">
            <v>0</v>
          </cell>
          <cell r="O216">
            <v>4420000</v>
          </cell>
          <cell r="P216">
            <v>0</v>
          </cell>
          <cell r="Q216">
            <v>4420000</v>
          </cell>
          <cell r="R216">
            <v>4420000</v>
          </cell>
          <cell r="S216">
            <v>4420000</v>
          </cell>
          <cell r="U216">
            <v>0</v>
          </cell>
          <cell r="V216">
            <v>4420000</v>
          </cell>
          <cell r="W216">
            <v>0</v>
          </cell>
          <cell r="X216">
            <v>4420000</v>
          </cell>
          <cell r="Y216">
            <v>0</v>
          </cell>
          <cell r="Z216">
            <v>4420000</v>
          </cell>
          <cell r="AA216">
            <v>0</v>
          </cell>
          <cell r="AB216">
            <v>4420000</v>
          </cell>
          <cell r="AC216">
            <v>4420000</v>
          </cell>
          <cell r="AD216">
            <v>4420000</v>
          </cell>
        </row>
        <row r="217">
          <cell r="C217" t="str">
            <v>Less: Dealer commission</v>
          </cell>
          <cell r="E217">
            <v>-30000</v>
          </cell>
          <cell r="F217">
            <v>0</v>
          </cell>
          <cell r="G217">
            <v>-30000</v>
          </cell>
          <cell r="H217">
            <v>0</v>
          </cell>
          <cell r="I217">
            <v>-30000</v>
          </cell>
          <cell r="J217">
            <v>0</v>
          </cell>
          <cell r="K217">
            <v>-30000</v>
          </cell>
          <cell r="L217">
            <v>0</v>
          </cell>
          <cell r="M217">
            <v>-30000</v>
          </cell>
          <cell r="N217">
            <v>0</v>
          </cell>
          <cell r="O217">
            <v>-30000</v>
          </cell>
          <cell r="P217">
            <v>0</v>
          </cell>
          <cell r="Q217">
            <v>-30000</v>
          </cell>
          <cell r="R217">
            <v>-30000</v>
          </cell>
          <cell r="S217">
            <v>-30000</v>
          </cell>
          <cell r="U217">
            <v>0</v>
          </cell>
          <cell r="V217">
            <v>-30000</v>
          </cell>
          <cell r="W217">
            <v>0</v>
          </cell>
          <cell r="X217">
            <v>-30000</v>
          </cell>
          <cell r="Y217">
            <v>0</v>
          </cell>
          <cell r="Z217">
            <v>-30000</v>
          </cell>
          <cell r="AA217">
            <v>0</v>
          </cell>
          <cell r="AB217">
            <v>-30000</v>
          </cell>
          <cell r="AC217">
            <v>-30000</v>
          </cell>
          <cell r="AD217">
            <v>-30000</v>
          </cell>
        </row>
        <row r="218">
          <cell r="C218" t="str">
            <v xml:space="preserve">  Sales tax</v>
          </cell>
          <cell r="E218">
            <v>-576521.73913043481</v>
          </cell>
          <cell r="F218">
            <v>0</v>
          </cell>
          <cell r="G218">
            <v>-576521.73913043481</v>
          </cell>
          <cell r="H218">
            <v>0</v>
          </cell>
          <cell r="I218">
            <v>-576521.73913043481</v>
          </cell>
          <cell r="J218">
            <v>0</v>
          </cell>
          <cell r="K218">
            <v>-576521.73913043481</v>
          </cell>
          <cell r="L218">
            <v>0</v>
          </cell>
          <cell r="M218">
            <v>-576521.73913043481</v>
          </cell>
          <cell r="N218">
            <v>0</v>
          </cell>
          <cell r="O218">
            <v>-576521.73913043481</v>
          </cell>
          <cell r="P218">
            <v>0</v>
          </cell>
          <cell r="Q218">
            <v>-576521.73913043481</v>
          </cell>
          <cell r="R218">
            <v>-576521.73913043481</v>
          </cell>
          <cell r="S218">
            <v>-576521.73913043481</v>
          </cell>
          <cell r="U218">
            <v>0</v>
          </cell>
          <cell r="V218">
            <v>-576521.73913043481</v>
          </cell>
          <cell r="W218">
            <v>0</v>
          </cell>
          <cell r="X218">
            <v>-576521.73913043481</v>
          </cell>
          <cell r="Y218">
            <v>0</v>
          </cell>
          <cell r="Z218">
            <v>-576521.73913043481</v>
          </cell>
          <cell r="AA218">
            <v>0</v>
          </cell>
          <cell r="AB218">
            <v>-576521.73913043481</v>
          </cell>
          <cell r="AC218">
            <v>-576521.73913043481</v>
          </cell>
          <cell r="AD218">
            <v>-576521.73913043481</v>
          </cell>
        </row>
        <row r="219">
          <cell r="C219" t="str">
            <v>Net Sales</v>
          </cell>
          <cell r="E219">
            <v>3813478.2608695654</v>
          </cell>
          <cell r="F219">
            <v>0</v>
          </cell>
          <cell r="G219">
            <v>3813478.2608695654</v>
          </cell>
          <cell r="H219">
            <v>0</v>
          </cell>
          <cell r="I219">
            <v>3813478.2608695654</v>
          </cell>
          <cell r="J219">
            <v>0</v>
          </cell>
          <cell r="K219">
            <v>3813478.2608695654</v>
          </cell>
          <cell r="L219">
            <v>0</v>
          </cell>
          <cell r="M219">
            <v>3813478.2608695654</v>
          </cell>
          <cell r="N219">
            <v>0</v>
          </cell>
          <cell r="O219">
            <v>3813478.2608695654</v>
          </cell>
          <cell r="P219">
            <v>0</v>
          </cell>
          <cell r="Q219">
            <v>3813478.2608695654</v>
          </cell>
          <cell r="R219">
            <v>3813478.2608695654</v>
          </cell>
          <cell r="S219">
            <v>3813478.2608695654</v>
          </cell>
          <cell r="U219">
            <v>0</v>
          </cell>
          <cell r="V219">
            <v>3813478.2608695654</v>
          </cell>
          <cell r="W219">
            <v>0</v>
          </cell>
          <cell r="X219">
            <v>3813478.2608695654</v>
          </cell>
          <cell r="Y219">
            <v>0</v>
          </cell>
          <cell r="Z219">
            <v>3813478.2608695654</v>
          </cell>
          <cell r="AA219">
            <v>0</v>
          </cell>
          <cell r="AB219">
            <v>3813478.2608695654</v>
          </cell>
          <cell r="AC219">
            <v>3813478.2608695654</v>
          </cell>
          <cell r="AD219">
            <v>3813478.2608695654</v>
          </cell>
        </row>
        <row r="220">
          <cell r="C220" t="str">
            <v>Landed Cost</v>
          </cell>
          <cell r="E220">
            <v>2244261</v>
          </cell>
          <cell r="F220">
            <v>0</v>
          </cell>
          <cell r="G220">
            <v>2244261</v>
          </cell>
          <cell r="H220">
            <v>0</v>
          </cell>
          <cell r="I220">
            <v>2244261</v>
          </cell>
          <cell r="J220">
            <v>0</v>
          </cell>
          <cell r="K220">
            <v>2244261</v>
          </cell>
          <cell r="L220">
            <v>0</v>
          </cell>
          <cell r="M220">
            <v>2244261</v>
          </cell>
          <cell r="N220">
            <v>0</v>
          </cell>
          <cell r="O220">
            <v>2244261</v>
          </cell>
          <cell r="P220">
            <v>0</v>
          </cell>
          <cell r="Q220">
            <v>2244261</v>
          </cell>
          <cell r="R220">
            <v>2244261</v>
          </cell>
          <cell r="S220">
            <v>2244261</v>
          </cell>
          <cell r="U220">
            <v>0</v>
          </cell>
          <cell r="V220">
            <v>2244261</v>
          </cell>
          <cell r="W220">
            <v>0</v>
          </cell>
          <cell r="X220">
            <v>2244261</v>
          </cell>
          <cell r="Y220">
            <v>0</v>
          </cell>
          <cell r="Z220">
            <v>2244261</v>
          </cell>
          <cell r="AA220">
            <v>0</v>
          </cell>
          <cell r="AB220">
            <v>2244261</v>
          </cell>
          <cell r="AC220">
            <v>2244261</v>
          </cell>
          <cell r="AD220">
            <v>2244261</v>
          </cell>
          <cell r="AF220">
            <v>4488522</v>
          </cell>
        </row>
        <row r="221">
          <cell r="C221" t="str">
            <v>Gross Profit</v>
          </cell>
          <cell r="E221">
            <v>1569217.2608695654</v>
          </cell>
          <cell r="F221">
            <v>0</v>
          </cell>
          <cell r="G221">
            <v>1569217.2608695654</v>
          </cell>
          <cell r="H221">
            <v>0</v>
          </cell>
          <cell r="I221">
            <v>1569217.2608695654</v>
          </cell>
          <cell r="J221">
            <v>0</v>
          </cell>
          <cell r="K221">
            <v>1569217.2608695654</v>
          </cell>
          <cell r="L221">
            <v>0</v>
          </cell>
          <cell r="M221">
            <v>1569217.2608695654</v>
          </cell>
          <cell r="N221">
            <v>0</v>
          </cell>
          <cell r="O221">
            <v>1569217.2608695654</v>
          </cell>
          <cell r="P221">
            <v>0</v>
          </cell>
          <cell r="Q221">
            <v>1569217.2608695654</v>
          </cell>
          <cell r="R221">
            <v>1569217.2608695654</v>
          </cell>
          <cell r="S221">
            <v>1569217.2608695654</v>
          </cell>
          <cell r="U221">
            <v>0</v>
          </cell>
          <cell r="V221">
            <v>1569217.2608695654</v>
          </cell>
          <cell r="W221">
            <v>0</v>
          </cell>
          <cell r="X221">
            <v>1569217.2608695654</v>
          </cell>
          <cell r="Y221">
            <v>0</v>
          </cell>
          <cell r="Z221">
            <v>1569217.2608695654</v>
          </cell>
          <cell r="AA221">
            <v>0</v>
          </cell>
          <cell r="AB221">
            <v>1569217.2608695654</v>
          </cell>
          <cell r="AC221">
            <v>1569217.2608695654</v>
          </cell>
          <cell r="AD221">
            <v>1569217.2608695654</v>
          </cell>
          <cell r="AG221">
            <v>3138434.5217391308</v>
          </cell>
        </row>
        <row r="222">
          <cell r="U222">
            <v>0</v>
          </cell>
        </row>
        <row r="223">
          <cell r="U223">
            <v>0</v>
          </cell>
        </row>
        <row r="224">
          <cell r="C224" t="str">
            <v>Other Expenses</v>
          </cell>
          <cell r="U224">
            <v>0</v>
          </cell>
        </row>
        <row r="225">
          <cell r="C225" t="str">
            <v>Selling Expenses</v>
          </cell>
          <cell r="E225">
            <v>15580.366396615698</v>
          </cell>
          <cell r="F225">
            <v>0</v>
          </cell>
          <cell r="G225">
            <v>14065.815418598198</v>
          </cell>
          <cell r="H225">
            <v>0</v>
          </cell>
          <cell r="I225">
            <v>13937.86149454217</v>
          </cell>
          <cell r="J225">
            <v>0</v>
          </cell>
          <cell r="K225">
            <v>12990.070739676898</v>
          </cell>
          <cell r="L225">
            <v>0</v>
          </cell>
          <cell r="M225">
            <v>17928.80038831451</v>
          </cell>
          <cell r="N225">
            <v>0</v>
          </cell>
          <cell r="O225">
            <v>16522.62377225871</v>
          </cell>
          <cell r="P225">
            <v>0</v>
          </cell>
          <cell r="Q225">
            <v>13012.379906852413</v>
          </cell>
          <cell r="R225">
            <v>13012.379906852413</v>
          </cell>
          <cell r="S225">
            <v>16957.866211611876</v>
          </cell>
          <cell r="U225">
            <v>0</v>
          </cell>
          <cell r="V225">
            <v>15996.962658356917</v>
          </cell>
          <cell r="W225">
            <v>0</v>
          </cell>
          <cell r="X225">
            <v>17004.344235451234</v>
          </cell>
          <cell r="Y225">
            <v>0</v>
          </cell>
          <cell r="Z225">
            <v>16758.208123786724</v>
          </cell>
          <cell r="AA225">
            <v>0</v>
          </cell>
          <cell r="AB225">
            <v>15514.915208059225</v>
          </cell>
          <cell r="AC225">
            <v>15514.915208059225</v>
          </cell>
          <cell r="AD225">
            <v>14263.647557455819</v>
          </cell>
        </row>
        <row r="226">
          <cell r="C226" t="str">
            <v>Advertisement Expenses</v>
          </cell>
          <cell r="E226">
            <v>2405.8167555729137</v>
          </cell>
          <cell r="F226">
            <v>0</v>
          </cell>
          <cell r="G226">
            <v>3080.827321757934</v>
          </cell>
          <cell r="H226">
            <v>0</v>
          </cell>
          <cell r="I226">
            <v>23766.822379487348</v>
          </cell>
          <cell r="J226">
            <v>0</v>
          </cell>
          <cell r="K226">
            <v>23113.454316588311</v>
          </cell>
          <cell r="L226">
            <v>0</v>
          </cell>
          <cell r="M226">
            <v>25512.297842660966</v>
          </cell>
          <cell r="N226">
            <v>0</v>
          </cell>
          <cell r="O226">
            <v>2551.3138847595887</v>
          </cell>
          <cell r="P226">
            <v>0</v>
          </cell>
          <cell r="Q226">
            <v>2503.8786398437537</v>
          </cell>
          <cell r="R226">
            <v>2503.8786398437537</v>
          </cell>
          <cell r="S226">
            <v>15993.121382039297</v>
          </cell>
          <cell r="U226">
            <v>0</v>
          </cell>
          <cell r="V226">
            <v>18583.08922809346</v>
          </cell>
          <cell r="W226">
            <v>0</v>
          </cell>
          <cell r="X226">
            <v>2625.697960996888</v>
          </cell>
          <cell r="Y226">
            <v>0</v>
          </cell>
          <cell r="Z226">
            <v>28862.71016865053</v>
          </cell>
          <cell r="AA226">
            <v>0</v>
          </cell>
          <cell r="AB226">
            <v>3501.4226255840545</v>
          </cell>
          <cell r="AC226">
            <v>3501.4226255840545</v>
          </cell>
          <cell r="AD226">
            <v>3002.6506327139041</v>
          </cell>
        </row>
        <row r="227">
          <cell r="C227" t="str">
            <v>Administrative Expenses</v>
          </cell>
          <cell r="E227">
            <v>31746.041360815143</v>
          </cell>
          <cell r="F227">
            <v>0</v>
          </cell>
          <cell r="G227">
            <v>28660.042176505169</v>
          </cell>
          <cell r="H227">
            <v>0</v>
          </cell>
          <cell r="I227">
            <v>28399.32747558237</v>
          </cell>
          <cell r="J227">
            <v>0</v>
          </cell>
          <cell r="K227">
            <v>26468.140253189009</v>
          </cell>
          <cell r="L227">
            <v>0</v>
          </cell>
          <cell r="M227">
            <v>36531.133106142057</v>
          </cell>
          <cell r="N227">
            <v>0</v>
          </cell>
          <cell r="O227">
            <v>33665.95395197178</v>
          </cell>
          <cell r="P227">
            <v>0</v>
          </cell>
          <cell r="Q227">
            <v>26513.596677373815</v>
          </cell>
          <cell r="R227">
            <v>26513.596677373815</v>
          </cell>
          <cell r="S227">
            <v>34552.789609744817</v>
          </cell>
          <cell r="U227">
            <v>0</v>
          </cell>
          <cell r="V227">
            <v>32594.884181281192</v>
          </cell>
          <cell r="W227">
            <v>0</v>
          </cell>
          <cell r="X227">
            <v>34647.491700158673</v>
          </cell>
          <cell r="Y227">
            <v>0</v>
          </cell>
          <cell r="Z227">
            <v>34145.972866622818</v>
          </cell>
          <cell r="AA227">
            <v>0</v>
          </cell>
          <cell r="AB227">
            <v>31612.680174939585</v>
          </cell>
          <cell r="AC227">
            <v>31612.680174939585</v>
          </cell>
          <cell r="AD227">
            <v>29063.1384261567</v>
          </cell>
        </row>
        <row r="228">
          <cell r="C228" t="str">
            <v>Depreciation (Admin. &amp; Selling )</v>
          </cell>
          <cell r="E228">
            <v>8927.9242923219663</v>
          </cell>
          <cell r="F228">
            <v>0</v>
          </cell>
          <cell r="G228">
            <v>8060.0501920351098</v>
          </cell>
          <cell r="H228">
            <v>0</v>
          </cell>
          <cell r="I228">
            <v>7986.7295192217998</v>
          </cell>
          <cell r="J228">
            <v>0</v>
          </cell>
          <cell r="K228">
            <v>7443.6226442616662</v>
          </cell>
          <cell r="L228">
            <v>0</v>
          </cell>
          <cell r="M228">
            <v>10273.633395026813</v>
          </cell>
          <cell r="N228">
            <v>0</v>
          </cell>
          <cell r="O228">
            <v>9467.8604080380956</v>
          </cell>
          <cell r="P228">
            <v>0</v>
          </cell>
          <cell r="Q228">
            <v>7456.4063330721565</v>
          </cell>
          <cell r="R228">
            <v>7456.4063330721565</v>
          </cell>
          <cell r="S228">
            <v>9717.2647832904422</v>
          </cell>
          <cell r="U228">
            <v>0</v>
          </cell>
          <cell r="V228">
            <v>9166.6439597938333</v>
          </cell>
          <cell r="W228">
            <v>0</v>
          </cell>
          <cell r="X228">
            <v>9743.8978076707062</v>
          </cell>
          <cell r="Y228">
            <v>0</v>
          </cell>
          <cell r="Z228">
            <v>9602.8559018125379</v>
          </cell>
          <cell r="AA228">
            <v>0</v>
          </cell>
          <cell r="AB228">
            <v>8890.4191886934896</v>
          </cell>
          <cell r="AC228">
            <v>8890.4191886934896</v>
          </cell>
          <cell r="AD228">
            <v>8173.412760882823</v>
          </cell>
        </row>
        <row r="229">
          <cell r="C229" t="str">
            <v>Financial Charges -Capital Exp.</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Z229">
            <v>0</v>
          </cell>
          <cell r="AA229">
            <v>0</v>
          </cell>
          <cell r="AB229">
            <v>0</v>
          </cell>
          <cell r="AC229">
            <v>0</v>
          </cell>
          <cell r="AD229">
            <v>0</v>
          </cell>
        </row>
        <row r="230">
          <cell r="C230" t="str">
            <v>Financial  Charges -Working Capital</v>
          </cell>
          <cell r="E230">
            <v>1593.5489361898781</v>
          </cell>
          <cell r="F230">
            <v>0</v>
          </cell>
          <cell r="G230">
            <v>1457.6240215047092</v>
          </cell>
          <cell r="H230">
            <v>0</v>
          </cell>
          <cell r="I230">
            <v>1446.6945190186796</v>
          </cell>
          <cell r="J230">
            <v>0</v>
          </cell>
          <cell r="K230">
            <v>1359.6931738041301</v>
          </cell>
          <cell r="L230">
            <v>0</v>
          </cell>
          <cell r="M230">
            <v>1819.174805065381</v>
          </cell>
          <cell r="N230">
            <v>0</v>
          </cell>
          <cell r="O230">
            <v>1683.4853438562145</v>
          </cell>
          <cell r="P230">
            <v>0</v>
          </cell>
          <cell r="Q230">
            <v>1343.3633567120232</v>
          </cell>
          <cell r="R230">
            <v>1343.3633567120232</v>
          </cell>
          <cell r="S230">
            <v>1703.3864664491034</v>
          </cell>
          <cell r="U230">
            <v>0</v>
          </cell>
          <cell r="V230">
            <v>1621.6858468907856</v>
          </cell>
          <cell r="W230">
            <v>0</v>
          </cell>
          <cell r="X230">
            <v>1714.8673233328852</v>
          </cell>
          <cell r="Y230">
            <v>0</v>
          </cell>
          <cell r="Z230">
            <v>1688.4217100899446</v>
          </cell>
          <cell r="AA230">
            <v>0</v>
          </cell>
          <cell r="AB230">
            <v>1570.4294045608508</v>
          </cell>
          <cell r="AC230">
            <v>1570.4294045608508</v>
          </cell>
          <cell r="AD230">
            <v>1456.896380636437</v>
          </cell>
        </row>
        <row r="231">
          <cell r="C231" t="str">
            <v>Other Expenses (Charity &amp; Donation)</v>
          </cell>
          <cell r="E231">
            <v>1106.6312056874151</v>
          </cell>
          <cell r="F231">
            <v>0</v>
          </cell>
          <cell r="G231">
            <v>1012.2389038227149</v>
          </cell>
          <cell r="H231">
            <v>0</v>
          </cell>
          <cell r="I231">
            <v>1004.6489715407499</v>
          </cell>
          <cell r="J231">
            <v>0</v>
          </cell>
          <cell r="K231">
            <v>944.23137069731274</v>
          </cell>
          <cell r="L231">
            <v>0</v>
          </cell>
          <cell r="M231">
            <v>1263.3158368509594</v>
          </cell>
          <cell r="N231">
            <v>0</v>
          </cell>
          <cell r="O231">
            <v>1169.0870443445933</v>
          </cell>
          <cell r="P231">
            <v>0</v>
          </cell>
          <cell r="Q231">
            <v>932.89121993890501</v>
          </cell>
          <cell r="R231">
            <v>932.89121993890501</v>
          </cell>
          <cell r="S231">
            <v>1182.9072683674331</v>
          </cell>
          <cell r="U231">
            <v>0</v>
          </cell>
          <cell r="V231">
            <v>1126.1707270074899</v>
          </cell>
          <cell r="W231">
            <v>0</v>
          </cell>
          <cell r="X231">
            <v>1190.8800856478372</v>
          </cell>
          <cell r="Y231">
            <v>0</v>
          </cell>
          <cell r="Z231">
            <v>1172.5150764513503</v>
          </cell>
          <cell r="AA231">
            <v>0</v>
          </cell>
          <cell r="AB231">
            <v>1090.5759753894795</v>
          </cell>
          <cell r="AC231">
            <v>1090.5759753894795</v>
          </cell>
          <cell r="AD231">
            <v>1011.7335976641923</v>
          </cell>
        </row>
        <row r="232">
          <cell r="C232" t="str">
            <v>Other Expenses ( W.P.P.F.)</v>
          </cell>
          <cell r="E232">
            <v>9648.5900544295782</v>
          </cell>
          <cell r="F232">
            <v>0</v>
          </cell>
          <cell r="G232">
            <v>11903.296926179239</v>
          </cell>
          <cell r="H232">
            <v>0</v>
          </cell>
          <cell r="I232">
            <v>11129.264448460395</v>
          </cell>
          <cell r="J232">
            <v>0</v>
          </cell>
          <cell r="K232">
            <v>12765.472506264148</v>
          </cell>
          <cell r="L232">
            <v>0</v>
          </cell>
          <cell r="M232">
            <v>8697.6853037127148</v>
          </cell>
          <cell r="N232">
            <v>0</v>
          </cell>
          <cell r="O232">
            <v>8477.4712963599068</v>
          </cell>
          <cell r="P232">
            <v>0</v>
          </cell>
          <cell r="Q232">
            <v>11947.065838432633</v>
          </cell>
          <cell r="R232">
            <v>11947.065838432633</v>
          </cell>
          <cell r="S232">
            <v>8315.7504207462025</v>
          </cell>
          <cell r="U232">
            <v>0</v>
          </cell>
          <cell r="V232">
            <v>10259.06027175571</v>
          </cell>
          <cell r="W232">
            <v>0</v>
          </cell>
          <cell r="X232">
            <v>11041.057493260387</v>
          </cell>
          <cell r="Y232">
            <v>0</v>
          </cell>
          <cell r="Z232">
            <v>9071.1554130804143</v>
          </cell>
          <cell r="AA232">
            <v>0</v>
          </cell>
          <cell r="AB232">
            <v>9315.9406486366006</v>
          </cell>
          <cell r="AC232">
            <v>9315.9406486366006</v>
          </cell>
          <cell r="AD232">
            <v>10631.503243534617</v>
          </cell>
        </row>
        <row r="233">
          <cell r="C233" t="str">
            <v>Workers Welfare Fund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U233">
            <v>0</v>
          </cell>
          <cell r="V233">
            <v>0</v>
          </cell>
          <cell r="W233">
            <v>0</v>
          </cell>
          <cell r="X233">
            <v>0</v>
          </cell>
          <cell r="Y233">
            <v>0</v>
          </cell>
          <cell r="Z233">
            <v>0</v>
          </cell>
          <cell r="AA233">
            <v>0</v>
          </cell>
          <cell r="AB233">
            <v>0</v>
          </cell>
          <cell r="AC233">
            <v>0</v>
          </cell>
          <cell r="AD233">
            <v>0</v>
          </cell>
        </row>
        <row r="234">
          <cell r="E234">
            <v>71008.919001632588</v>
          </cell>
          <cell r="F234">
            <v>0</v>
          </cell>
          <cell r="G234">
            <v>68239.894960403064</v>
          </cell>
          <cell r="H234">
            <v>0</v>
          </cell>
          <cell r="I234">
            <v>87671.348807853516</v>
          </cell>
          <cell r="J234">
            <v>0</v>
          </cell>
          <cell r="K234">
            <v>85084.685004481464</v>
          </cell>
          <cell r="L234">
            <v>0</v>
          </cell>
          <cell r="M234">
            <v>102026.0406777734</v>
          </cell>
          <cell r="N234">
            <v>0</v>
          </cell>
          <cell r="O234">
            <v>73537.795701588882</v>
          </cell>
          <cell r="P234">
            <v>0</v>
          </cell>
          <cell r="Q234">
            <v>63709.581972225693</v>
          </cell>
          <cell r="R234">
            <v>63709.581972225693</v>
          </cell>
          <cell r="S234">
            <v>88423.086142249173</v>
          </cell>
          <cell r="U234">
            <v>0</v>
          </cell>
          <cell r="V234">
            <v>89348.496873179378</v>
          </cell>
          <cell r="W234">
            <v>0</v>
          </cell>
          <cell r="X234">
            <v>77968.236606518607</v>
          </cell>
          <cell r="Y234">
            <v>0</v>
          </cell>
          <cell r="Z234">
            <v>101301.83926049432</v>
          </cell>
          <cell r="AA234">
            <v>0</v>
          </cell>
          <cell r="AB234">
            <v>71496.383225863276</v>
          </cell>
          <cell r="AC234">
            <v>71496.383225863276</v>
          </cell>
          <cell r="AD234">
            <v>67602.982599044481</v>
          </cell>
        </row>
        <row r="235">
          <cell r="C235" t="str">
            <v>Operating Profit</v>
          </cell>
          <cell r="E235">
            <v>1498208.3418679328</v>
          </cell>
          <cell r="F235">
            <v>0</v>
          </cell>
          <cell r="G235">
            <v>1500977.3659091624</v>
          </cell>
          <cell r="H235">
            <v>0</v>
          </cell>
          <cell r="I235">
            <v>1481545.912061712</v>
          </cell>
          <cell r="J235">
            <v>0</v>
          </cell>
          <cell r="K235">
            <v>1484132.5758650838</v>
          </cell>
          <cell r="L235">
            <v>0</v>
          </cell>
          <cell r="M235">
            <v>1467191.2201917921</v>
          </cell>
          <cell r="N235">
            <v>0</v>
          </cell>
          <cell r="O235">
            <v>1495679.4651679765</v>
          </cell>
          <cell r="P235">
            <v>0</v>
          </cell>
          <cell r="Q235">
            <v>1505507.6788973396</v>
          </cell>
          <cell r="R235">
            <v>1505507.6788973396</v>
          </cell>
          <cell r="S235">
            <v>1480794.1747273162</v>
          </cell>
          <cell r="U235">
            <v>0</v>
          </cell>
          <cell r="V235">
            <v>1479868.763996386</v>
          </cell>
          <cell r="W235">
            <v>0</v>
          </cell>
          <cell r="X235">
            <v>1491249.0242630469</v>
          </cell>
          <cell r="Y235">
            <v>0</v>
          </cell>
          <cell r="Z235">
            <v>1467915.4216090711</v>
          </cell>
          <cell r="AA235">
            <v>0</v>
          </cell>
          <cell r="AB235">
            <v>1497720.8776437021</v>
          </cell>
          <cell r="AC235">
            <v>1497720.8776437021</v>
          </cell>
          <cell r="AD235">
            <v>1501614.278270521</v>
          </cell>
        </row>
        <row r="236">
          <cell r="U236">
            <v>0</v>
          </cell>
        </row>
        <row r="237">
          <cell r="C237" t="str">
            <v>Other Income</v>
          </cell>
          <cell r="U237">
            <v>0</v>
          </cell>
        </row>
        <row r="238">
          <cell r="C238" t="str">
            <v>H.D</v>
          </cell>
          <cell r="E238">
            <v>15352.228571428572</v>
          </cell>
          <cell r="F238">
            <v>0</v>
          </cell>
          <cell r="G238">
            <v>13804.129032258064</v>
          </cell>
          <cell r="H238">
            <v>0</v>
          </cell>
          <cell r="I238">
            <v>16932</v>
          </cell>
          <cell r="J238">
            <v>0</v>
          </cell>
          <cell r="K238">
            <v>317514.93333333335</v>
          </cell>
          <cell r="L238">
            <v>0</v>
          </cell>
          <cell r="M238">
            <v>309289.29032258067</v>
          </cell>
          <cell r="N238">
            <v>0</v>
          </cell>
          <cell r="O238">
            <v>264203.22222222225</v>
          </cell>
          <cell r="P238">
            <v>0</v>
          </cell>
          <cell r="Q238">
            <v>72764.571428571435</v>
          </cell>
          <cell r="R238">
            <v>72764.571428571435</v>
          </cell>
          <cell r="S238">
            <v>14837.75</v>
          </cell>
          <cell r="U238">
            <v>0</v>
          </cell>
          <cell r="V238">
            <v>19002.533333333333</v>
          </cell>
          <cell r="W238">
            <v>0</v>
          </cell>
          <cell r="X238">
            <v>14756.137931034482</v>
          </cell>
          <cell r="Y238">
            <v>0</v>
          </cell>
          <cell r="Z238">
            <v>15316.387096774193</v>
          </cell>
          <cell r="AA238">
            <v>0</v>
          </cell>
          <cell r="AB238">
            <v>13728.648648648648</v>
          </cell>
          <cell r="AC238">
            <v>13728.648648648648</v>
          </cell>
          <cell r="AD238">
            <v>43246.610038610044</v>
          </cell>
        </row>
        <row r="239">
          <cell r="C239" t="str">
            <v>Others</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U239">
            <v>0</v>
          </cell>
          <cell r="V239">
            <v>0</v>
          </cell>
          <cell r="W239">
            <v>0</v>
          </cell>
          <cell r="X239">
            <v>0</v>
          </cell>
          <cell r="Y239">
            <v>0</v>
          </cell>
          <cell r="Z239">
            <v>0</v>
          </cell>
          <cell r="AA239">
            <v>0</v>
          </cell>
          <cell r="AB239">
            <v>0</v>
          </cell>
          <cell r="AC239">
            <v>0</v>
          </cell>
          <cell r="AD239">
            <v>0</v>
          </cell>
        </row>
        <row r="240">
          <cell r="E240">
            <v>15352.228571428572</v>
          </cell>
          <cell r="F240">
            <v>0</v>
          </cell>
          <cell r="G240">
            <v>13804.129032258064</v>
          </cell>
          <cell r="H240">
            <v>0</v>
          </cell>
          <cell r="I240">
            <v>16932</v>
          </cell>
          <cell r="J240">
            <v>0</v>
          </cell>
          <cell r="K240">
            <v>317514.93333333335</v>
          </cell>
          <cell r="L240">
            <v>0</v>
          </cell>
          <cell r="M240">
            <v>309289.29032258067</v>
          </cell>
          <cell r="N240">
            <v>0</v>
          </cell>
          <cell r="O240">
            <v>264203.22222222225</v>
          </cell>
          <cell r="P240">
            <v>0</v>
          </cell>
          <cell r="Q240">
            <v>72764.571428571435</v>
          </cell>
          <cell r="R240">
            <v>72764.571428571435</v>
          </cell>
          <cell r="S240">
            <v>14837.75</v>
          </cell>
          <cell r="U240">
            <v>0</v>
          </cell>
          <cell r="V240">
            <v>19002.533333333333</v>
          </cell>
          <cell r="W240">
            <v>0</v>
          </cell>
          <cell r="X240">
            <v>14756.137931034482</v>
          </cell>
          <cell r="Y240">
            <v>0</v>
          </cell>
          <cell r="Z240">
            <v>15316.387096774193</v>
          </cell>
          <cell r="AA240">
            <v>0</v>
          </cell>
          <cell r="AB240">
            <v>13728.648648648648</v>
          </cell>
          <cell r="AC240">
            <v>13728.648648648648</v>
          </cell>
          <cell r="AD240">
            <v>43246.610038610044</v>
          </cell>
        </row>
        <row r="241">
          <cell r="U241">
            <v>0</v>
          </cell>
        </row>
        <row r="242">
          <cell r="C242" t="str">
            <v>Profit before tax</v>
          </cell>
          <cell r="E242">
            <v>1513560.5704393615</v>
          </cell>
          <cell r="F242">
            <v>0</v>
          </cell>
          <cell r="G242">
            <v>1514781.4949414206</v>
          </cell>
          <cell r="H242">
            <v>0</v>
          </cell>
          <cell r="I242">
            <v>1498477.912061712</v>
          </cell>
          <cell r="J242">
            <v>0</v>
          </cell>
          <cell r="K242">
            <v>1801647.5091984172</v>
          </cell>
          <cell r="L242">
            <v>0</v>
          </cell>
          <cell r="M242">
            <v>1776480.5105143727</v>
          </cell>
          <cell r="N242">
            <v>0</v>
          </cell>
          <cell r="O242">
            <v>1759882.6873901987</v>
          </cell>
          <cell r="P242">
            <v>0</v>
          </cell>
          <cell r="Q242">
            <v>1578272.250325911</v>
          </cell>
          <cell r="R242">
            <v>1578272.250325911</v>
          </cell>
          <cell r="S242">
            <v>1495631.9247273162</v>
          </cell>
          <cell r="U242">
            <v>0</v>
          </cell>
          <cell r="V242">
            <v>1498871.2973297194</v>
          </cell>
          <cell r="W242">
            <v>0</v>
          </cell>
          <cell r="X242">
            <v>1506005.1621940813</v>
          </cell>
          <cell r="Y242">
            <v>0</v>
          </cell>
          <cell r="Z242">
            <v>1483231.8087058454</v>
          </cell>
          <cell r="AA242">
            <v>0</v>
          </cell>
          <cell r="AB242">
            <v>1511449.5262923508</v>
          </cell>
          <cell r="AC242">
            <v>1511449.5262923508</v>
          </cell>
          <cell r="AD242">
            <v>1544860.8883091309</v>
          </cell>
        </row>
        <row r="243">
          <cell r="U243">
            <v>0</v>
          </cell>
        </row>
        <row r="244">
          <cell r="C244" t="str">
            <v>Taxation</v>
          </cell>
          <cell r="U244">
            <v>0</v>
          </cell>
        </row>
        <row r="245">
          <cell r="C245" t="str">
            <v>Presumptive</v>
          </cell>
          <cell r="E245">
            <v>153677</v>
          </cell>
          <cell r="F245">
            <v>0</v>
          </cell>
          <cell r="G245">
            <v>153677</v>
          </cell>
          <cell r="H245">
            <v>0</v>
          </cell>
          <cell r="I245">
            <v>153677</v>
          </cell>
          <cell r="J245">
            <v>0</v>
          </cell>
          <cell r="K245">
            <v>153677</v>
          </cell>
          <cell r="L245">
            <v>0</v>
          </cell>
          <cell r="M245">
            <v>153677</v>
          </cell>
          <cell r="N245">
            <v>0</v>
          </cell>
          <cell r="O245">
            <v>153677</v>
          </cell>
          <cell r="P245">
            <v>0</v>
          </cell>
          <cell r="Q245">
            <v>153677</v>
          </cell>
          <cell r="R245">
            <v>153677</v>
          </cell>
          <cell r="S245">
            <v>153677</v>
          </cell>
          <cell r="U245">
            <v>0</v>
          </cell>
          <cell r="V245">
            <v>153677</v>
          </cell>
          <cell r="W245">
            <v>0</v>
          </cell>
          <cell r="X245">
            <v>153677</v>
          </cell>
          <cell r="Y245">
            <v>0</v>
          </cell>
          <cell r="Z245">
            <v>153677</v>
          </cell>
          <cell r="AA245">
            <v>0</v>
          </cell>
          <cell r="AB245">
            <v>153677</v>
          </cell>
          <cell r="AC245">
            <v>153677</v>
          </cell>
          <cell r="AD245">
            <v>153677</v>
          </cell>
          <cell r="AG245">
            <v>307354</v>
          </cell>
        </row>
        <row r="246">
          <cell r="C246" t="str">
            <v>Others</v>
          </cell>
          <cell r="E246">
            <v>0</v>
          </cell>
          <cell r="U246">
            <v>0</v>
          </cell>
          <cell r="AD246">
            <v>0</v>
          </cell>
        </row>
        <row r="247">
          <cell r="E247">
            <v>153677</v>
          </cell>
          <cell r="F247">
            <v>0</v>
          </cell>
          <cell r="G247">
            <v>153677</v>
          </cell>
          <cell r="H247">
            <v>0</v>
          </cell>
          <cell r="I247">
            <v>153677</v>
          </cell>
          <cell r="J247">
            <v>0</v>
          </cell>
          <cell r="K247">
            <v>153677</v>
          </cell>
          <cell r="L247">
            <v>0</v>
          </cell>
          <cell r="M247">
            <v>153677</v>
          </cell>
          <cell r="N247">
            <v>0</v>
          </cell>
          <cell r="O247">
            <v>153677</v>
          </cell>
          <cell r="P247">
            <v>0</v>
          </cell>
          <cell r="Q247">
            <v>153677</v>
          </cell>
          <cell r="R247">
            <v>153677</v>
          </cell>
          <cell r="S247">
            <v>153677</v>
          </cell>
          <cell r="U247">
            <v>0</v>
          </cell>
          <cell r="V247">
            <v>153677</v>
          </cell>
          <cell r="W247">
            <v>0</v>
          </cell>
          <cell r="X247">
            <v>153677</v>
          </cell>
          <cell r="Y247">
            <v>0</v>
          </cell>
          <cell r="Z247">
            <v>153677</v>
          </cell>
          <cell r="AA247">
            <v>0</v>
          </cell>
          <cell r="AB247">
            <v>153677</v>
          </cell>
          <cell r="AC247">
            <v>153677</v>
          </cell>
          <cell r="AD247">
            <v>153677</v>
          </cell>
        </row>
        <row r="248">
          <cell r="F248">
            <v>0</v>
          </cell>
          <cell r="H248">
            <v>0</v>
          </cell>
          <cell r="J248">
            <v>0</v>
          </cell>
          <cell r="L248">
            <v>0</v>
          </cell>
          <cell r="N248">
            <v>0</v>
          </cell>
          <cell r="P248">
            <v>0</v>
          </cell>
          <cell r="R248">
            <v>0</v>
          </cell>
          <cell r="U248">
            <v>0</v>
          </cell>
          <cell r="W248">
            <v>0</v>
          </cell>
          <cell r="Y248">
            <v>0</v>
          </cell>
          <cell r="AA248">
            <v>0</v>
          </cell>
          <cell r="AC248">
            <v>0</v>
          </cell>
        </row>
        <row r="249">
          <cell r="C249" t="str">
            <v>Net Profit after taxation</v>
          </cell>
          <cell r="E249">
            <v>1359883.5704393615</v>
          </cell>
          <cell r="F249">
            <v>0</v>
          </cell>
          <cell r="G249">
            <v>1361104.4949414206</v>
          </cell>
          <cell r="H249">
            <v>0</v>
          </cell>
          <cell r="I249">
            <v>1344800.912061712</v>
          </cell>
          <cell r="J249">
            <v>0</v>
          </cell>
          <cell r="K249">
            <v>1647970.5091984172</v>
          </cell>
          <cell r="L249">
            <v>0</v>
          </cell>
          <cell r="M249">
            <v>1622803.5105143727</v>
          </cell>
          <cell r="N249">
            <v>0</v>
          </cell>
          <cell r="O249">
            <v>1606205.6873901987</v>
          </cell>
          <cell r="P249">
            <v>0</v>
          </cell>
          <cell r="Q249">
            <v>1424595.250325911</v>
          </cell>
          <cell r="R249">
            <v>1424595.250325911</v>
          </cell>
          <cell r="S249">
            <v>1341954.9247273162</v>
          </cell>
          <cell r="U249">
            <v>0</v>
          </cell>
          <cell r="V249">
            <v>1345194.2973297194</v>
          </cell>
          <cell r="W249">
            <v>0</v>
          </cell>
          <cell r="X249">
            <v>1352328.1621940813</v>
          </cell>
          <cell r="Y249">
            <v>0</v>
          </cell>
          <cell r="Z249">
            <v>1329554.8087058454</v>
          </cell>
          <cell r="AA249">
            <v>0</v>
          </cell>
          <cell r="AB249">
            <v>1357772.5262923508</v>
          </cell>
          <cell r="AC249">
            <v>1357772.5262923508</v>
          </cell>
          <cell r="AD249">
            <v>1391183.8883091309</v>
          </cell>
        </row>
        <row r="252">
          <cell r="E252">
            <v>913</v>
          </cell>
          <cell r="G252">
            <v>944</v>
          </cell>
          <cell r="I252">
            <v>975</v>
          </cell>
          <cell r="K252">
            <v>1006</v>
          </cell>
          <cell r="M252">
            <v>1037</v>
          </cell>
          <cell r="O252">
            <v>1068</v>
          </cell>
          <cell r="Q252">
            <v>1099</v>
          </cell>
          <cell r="S252">
            <v>1130</v>
          </cell>
          <cell r="V252">
            <v>1161</v>
          </cell>
          <cell r="X252">
            <v>1192</v>
          </cell>
          <cell r="Z252">
            <v>1223</v>
          </cell>
          <cell r="AB252">
            <v>1254</v>
          </cell>
          <cell r="AD252" t="str">
            <v>Yearly</v>
          </cell>
        </row>
        <row r="253">
          <cell r="C253" t="str">
            <v>Hilux  4 x 2 - D/C A/C</v>
          </cell>
          <cell r="E253" t="str">
            <v>Per Unit</v>
          </cell>
          <cell r="F253" t="str">
            <v>Total</v>
          </cell>
          <cell r="G253" t="str">
            <v>Per Unit</v>
          </cell>
          <cell r="H253" t="str">
            <v>Total</v>
          </cell>
          <cell r="I253" t="str">
            <v>Per Unit</v>
          </cell>
          <cell r="J253" t="str">
            <v>Total</v>
          </cell>
          <cell r="K253" t="str">
            <v>Per Unit</v>
          </cell>
          <cell r="L253" t="str">
            <v>Total</v>
          </cell>
          <cell r="M253" t="str">
            <v>Per Unit</v>
          </cell>
          <cell r="N253" t="str">
            <v>Total</v>
          </cell>
          <cell r="O253" t="str">
            <v>Per Unit</v>
          </cell>
          <cell r="P253" t="str">
            <v>Total</v>
          </cell>
          <cell r="Q253" t="str">
            <v>Per Unit</v>
          </cell>
          <cell r="R253" t="str">
            <v>Total</v>
          </cell>
          <cell r="S253" t="str">
            <v>Per Unit</v>
          </cell>
          <cell r="U253" t="str">
            <v>Total</v>
          </cell>
          <cell r="V253" t="str">
            <v>Per Unit</v>
          </cell>
          <cell r="W253" t="str">
            <v>Total</v>
          </cell>
          <cell r="X253" t="str">
            <v>Per Unit</v>
          </cell>
          <cell r="Y253" t="str">
            <v>Total</v>
          </cell>
          <cell r="Z253" t="str">
            <v>Per Unit</v>
          </cell>
          <cell r="AA253" t="str">
            <v>Total</v>
          </cell>
          <cell r="AB253" t="str">
            <v>Per Unit</v>
          </cell>
          <cell r="AC253" t="str">
            <v>Total</v>
          </cell>
          <cell r="AD253" t="str">
            <v>Average</v>
          </cell>
        </row>
        <row r="254">
          <cell r="C254" t="str">
            <v>Hilux  4 x 2 - D/C Deluxe</v>
          </cell>
        </row>
        <row r="255">
          <cell r="C255" t="str">
            <v>Sales Units</v>
          </cell>
          <cell r="E255">
            <v>2</v>
          </cell>
          <cell r="F255">
            <v>2</v>
          </cell>
          <cell r="G255">
            <v>2</v>
          </cell>
          <cell r="H255">
            <v>2</v>
          </cell>
          <cell r="I255">
            <v>2</v>
          </cell>
          <cell r="J255">
            <v>2</v>
          </cell>
          <cell r="K255">
            <v>2</v>
          </cell>
          <cell r="L255">
            <v>2</v>
          </cell>
          <cell r="M255">
            <v>2</v>
          </cell>
          <cell r="N255">
            <v>2</v>
          </cell>
          <cell r="O255">
            <v>2</v>
          </cell>
          <cell r="P255">
            <v>2</v>
          </cell>
          <cell r="Q255">
            <v>2</v>
          </cell>
          <cell r="R255">
            <v>2</v>
          </cell>
          <cell r="S255">
            <v>2</v>
          </cell>
          <cell r="T255">
            <v>2</v>
          </cell>
          <cell r="U255">
            <v>2</v>
          </cell>
          <cell r="V255">
            <v>2</v>
          </cell>
          <cell r="W255">
            <v>2</v>
          </cell>
          <cell r="X255">
            <v>2</v>
          </cell>
          <cell r="Y255">
            <v>2</v>
          </cell>
          <cell r="Z255">
            <v>2</v>
          </cell>
          <cell r="AA255">
            <v>2</v>
          </cell>
          <cell r="AB255">
            <v>2</v>
          </cell>
          <cell r="AC255">
            <v>2</v>
          </cell>
          <cell r="AD255">
            <v>24</v>
          </cell>
        </row>
        <row r="256">
          <cell r="U256">
            <v>0</v>
          </cell>
        </row>
        <row r="257">
          <cell r="C257" t="str">
            <v>Selling Price</v>
          </cell>
          <cell r="E257">
            <v>2090000</v>
          </cell>
          <cell r="F257">
            <v>4180000</v>
          </cell>
          <cell r="G257">
            <v>2090000</v>
          </cell>
          <cell r="H257">
            <v>4180000</v>
          </cell>
          <cell r="I257">
            <v>2090000</v>
          </cell>
          <cell r="J257">
            <v>4180000</v>
          </cell>
          <cell r="K257">
            <v>2090000</v>
          </cell>
          <cell r="L257">
            <v>4180000</v>
          </cell>
          <cell r="M257">
            <v>2090000</v>
          </cell>
          <cell r="N257">
            <v>4180000</v>
          </cell>
          <cell r="O257">
            <v>2090000</v>
          </cell>
          <cell r="P257">
            <v>4180000</v>
          </cell>
          <cell r="Q257">
            <v>2090000</v>
          </cell>
          <cell r="R257">
            <v>4180000</v>
          </cell>
          <cell r="S257">
            <v>2090000</v>
          </cell>
          <cell r="T257">
            <v>4180000</v>
          </cell>
          <cell r="U257">
            <v>4180000</v>
          </cell>
          <cell r="V257">
            <v>2090000</v>
          </cell>
          <cell r="W257">
            <v>4180000</v>
          </cell>
          <cell r="X257">
            <v>2090000</v>
          </cell>
          <cell r="Y257">
            <v>4180000</v>
          </cell>
          <cell r="Z257">
            <v>2090000</v>
          </cell>
          <cell r="AA257">
            <v>4180000</v>
          </cell>
          <cell r="AB257">
            <v>2090000</v>
          </cell>
          <cell r="AC257">
            <v>4180000</v>
          </cell>
          <cell r="AD257">
            <v>2090000</v>
          </cell>
        </row>
        <row r="258">
          <cell r="C258" t="str">
            <v>Less: Dealer commission</v>
          </cell>
          <cell r="E258">
            <v>-30000</v>
          </cell>
          <cell r="F258">
            <v>-60000</v>
          </cell>
          <cell r="G258">
            <v>-30000</v>
          </cell>
          <cell r="H258">
            <v>-60000</v>
          </cell>
          <cell r="I258">
            <v>-30000</v>
          </cell>
          <cell r="J258">
            <v>-60000</v>
          </cell>
          <cell r="K258">
            <v>-30000</v>
          </cell>
          <cell r="L258">
            <v>-60000</v>
          </cell>
          <cell r="M258">
            <v>-30000</v>
          </cell>
          <cell r="N258">
            <v>-60000</v>
          </cell>
          <cell r="O258">
            <v>-30000</v>
          </cell>
          <cell r="P258">
            <v>-60000</v>
          </cell>
          <cell r="Q258">
            <v>-30000</v>
          </cell>
          <cell r="R258">
            <v>-60000</v>
          </cell>
          <cell r="S258">
            <v>-30000</v>
          </cell>
          <cell r="T258">
            <v>-60000</v>
          </cell>
          <cell r="U258">
            <v>-60000</v>
          </cell>
          <cell r="V258">
            <v>-30000</v>
          </cell>
          <cell r="W258">
            <v>-60000</v>
          </cell>
          <cell r="X258">
            <v>-30000</v>
          </cell>
          <cell r="Y258">
            <v>-60000</v>
          </cell>
          <cell r="Z258">
            <v>-30000</v>
          </cell>
          <cell r="AA258">
            <v>-60000</v>
          </cell>
          <cell r="AB258">
            <v>-30000</v>
          </cell>
          <cell r="AC258">
            <v>-60000</v>
          </cell>
          <cell r="AD258">
            <v>-30000</v>
          </cell>
        </row>
        <row r="259">
          <cell r="C259" t="str">
            <v xml:space="preserve">  Sales tax</v>
          </cell>
          <cell r="E259">
            <v>-272608.69565217389</v>
          </cell>
          <cell r="F259">
            <v>-545217.39130434778</v>
          </cell>
          <cell r="G259">
            <v>-272608.69565217389</v>
          </cell>
          <cell r="H259">
            <v>-545217.39130434778</v>
          </cell>
          <cell r="I259">
            <v>-272608.69565217389</v>
          </cell>
          <cell r="J259">
            <v>-545217.39130434778</v>
          </cell>
          <cell r="K259">
            <v>-272608.69565217389</v>
          </cell>
          <cell r="L259">
            <v>-545217.39130434778</v>
          </cell>
          <cell r="M259">
            <v>-272608.69565217389</v>
          </cell>
          <cell r="N259">
            <v>-545217.39130434778</v>
          </cell>
          <cell r="O259">
            <v>-272608.69565217389</v>
          </cell>
          <cell r="P259">
            <v>-545217.39130434778</v>
          </cell>
          <cell r="Q259">
            <v>-272608.69565217389</v>
          </cell>
          <cell r="R259">
            <v>-545217.39130434778</v>
          </cell>
          <cell r="S259">
            <v>-272608.69565217389</v>
          </cell>
          <cell r="T259">
            <v>-545217.39130434778</v>
          </cell>
          <cell r="U259">
            <v>-545217.39130434778</v>
          </cell>
          <cell r="V259">
            <v>-272608.69565217389</v>
          </cell>
          <cell r="W259">
            <v>-545217.39130434778</v>
          </cell>
          <cell r="X259">
            <v>-272608.69565217389</v>
          </cell>
          <cell r="Y259">
            <v>-545217.39130434778</v>
          </cell>
          <cell r="Z259">
            <v>-272608.69565217389</v>
          </cell>
          <cell r="AA259">
            <v>-545217.39130434778</v>
          </cell>
          <cell r="AB259">
            <v>-272608.69565217389</v>
          </cell>
          <cell r="AC259">
            <v>-545217.39130434778</v>
          </cell>
          <cell r="AD259">
            <v>-272608.69565217389</v>
          </cell>
        </row>
        <row r="260">
          <cell r="C260" t="str">
            <v>Net Sales</v>
          </cell>
          <cell r="E260">
            <v>1787391.3043478262</v>
          </cell>
          <cell r="F260">
            <v>3574782.6086956523</v>
          </cell>
          <cell r="G260">
            <v>1787391.3043478262</v>
          </cell>
          <cell r="H260">
            <v>3574782.6086956523</v>
          </cell>
          <cell r="I260">
            <v>1787391.3043478262</v>
          </cell>
          <cell r="J260">
            <v>3574782.6086956523</v>
          </cell>
          <cell r="K260">
            <v>1787391.3043478262</v>
          </cell>
          <cell r="L260">
            <v>3574782.6086956523</v>
          </cell>
          <cell r="M260">
            <v>1787391.3043478262</v>
          </cell>
          <cell r="N260">
            <v>3574782.6086956523</v>
          </cell>
          <cell r="O260">
            <v>1787391.3043478262</v>
          </cell>
          <cell r="P260">
            <v>3574782.6086956523</v>
          </cell>
          <cell r="Q260">
            <v>1787391.3043478262</v>
          </cell>
          <cell r="R260">
            <v>3574782.6086956523</v>
          </cell>
          <cell r="S260">
            <v>1787391.3043478262</v>
          </cell>
          <cell r="T260">
            <v>3574782.6086956523</v>
          </cell>
          <cell r="U260">
            <v>3574782.6086956523</v>
          </cell>
          <cell r="V260">
            <v>1787391.3043478262</v>
          </cell>
          <cell r="W260">
            <v>3574782.6086956523</v>
          </cell>
          <cell r="X260">
            <v>1787391.3043478262</v>
          </cell>
          <cell r="Y260">
            <v>3574782.6086956523</v>
          </cell>
          <cell r="Z260">
            <v>1787391.3043478262</v>
          </cell>
          <cell r="AA260">
            <v>3574782.6086956523</v>
          </cell>
          <cell r="AB260">
            <v>1787391.3043478262</v>
          </cell>
          <cell r="AC260">
            <v>3574782.6086956523</v>
          </cell>
          <cell r="AD260">
            <v>1787391.3043478262</v>
          </cell>
        </row>
        <row r="261">
          <cell r="C261" t="str">
            <v>Landed cost</v>
          </cell>
          <cell r="E261">
            <v>1483424</v>
          </cell>
          <cell r="F261">
            <v>2966848</v>
          </cell>
          <cell r="G261">
            <v>1483424</v>
          </cell>
          <cell r="H261">
            <v>2966848</v>
          </cell>
          <cell r="I261">
            <v>1483424</v>
          </cell>
          <cell r="J261">
            <v>2966848</v>
          </cell>
          <cell r="K261">
            <v>1483424</v>
          </cell>
          <cell r="L261">
            <v>2966848</v>
          </cell>
          <cell r="M261">
            <v>1483424</v>
          </cell>
          <cell r="N261">
            <v>2966848</v>
          </cell>
          <cell r="O261">
            <v>1483424</v>
          </cell>
          <cell r="P261">
            <v>2966848</v>
          </cell>
          <cell r="Q261">
            <v>1483424</v>
          </cell>
          <cell r="R261">
            <v>2966848</v>
          </cell>
          <cell r="S261">
            <v>1483424</v>
          </cell>
          <cell r="T261">
            <v>2966848</v>
          </cell>
          <cell r="U261">
            <v>2966848</v>
          </cell>
          <cell r="V261">
            <v>1483424</v>
          </cell>
          <cell r="W261">
            <v>2966848</v>
          </cell>
          <cell r="X261">
            <v>1483424</v>
          </cell>
          <cell r="Y261">
            <v>2966848</v>
          </cell>
          <cell r="Z261">
            <v>1483424</v>
          </cell>
          <cell r="AA261">
            <v>2966848</v>
          </cell>
          <cell r="AB261">
            <v>1483424</v>
          </cell>
          <cell r="AC261">
            <v>2966848</v>
          </cell>
          <cell r="AD261">
            <v>1483424</v>
          </cell>
          <cell r="AF261">
            <v>35602176</v>
          </cell>
        </row>
        <row r="262">
          <cell r="C262" t="str">
            <v>Gross Profit</v>
          </cell>
          <cell r="E262">
            <v>303967.30434782617</v>
          </cell>
          <cell r="F262">
            <v>607934.60869565234</v>
          </cell>
          <cell r="G262">
            <v>303967.30434782617</v>
          </cell>
          <cell r="H262">
            <v>607934.60869565234</v>
          </cell>
          <cell r="I262">
            <v>303967.30434782617</v>
          </cell>
          <cell r="J262">
            <v>607934.60869565234</v>
          </cell>
          <cell r="K262">
            <v>303967.30434782617</v>
          </cell>
          <cell r="L262">
            <v>607934.60869565234</v>
          </cell>
          <cell r="M262">
            <v>303967.30434782617</v>
          </cell>
          <cell r="N262">
            <v>607934.60869565234</v>
          </cell>
          <cell r="O262">
            <v>303967.30434782617</v>
          </cell>
          <cell r="P262">
            <v>607934.60869565234</v>
          </cell>
          <cell r="Q262">
            <v>303967.30434782617</v>
          </cell>
          <cell r="R262">
            <v>607934.60869565234</v>
          </cell>
          <cell r="S262">
            <v>303967.30434782617</v>
          </cell>
          <cell r="T262">
            <v>607934.60869565234</v>
          </cell>
          <cell r="U262">
            <v>607934.60869565234</v>
          </cell>
          <cell r="V262">
            <v>303967.30434782617</v>
          </cell>
          <cell r="W262">
            <v>607934.60869565234</v>
          </cell>
          <cell r="X262">
            <v>303967.30434782617</v>
          </cell>
          <cell r="Y262">
            <v>607934.60869565234</v>
          </cell>
          <cell r="Z262">
            <v>303967.30434782617</v>
          </cell>
          <cell r="AA262">
            <v>607934.60869565234</v>
          </cell>
          <cell r="AB262">
            <v>303967.30434782617</v>
          </cell>
          <cell r="AC262">
            <v>607934.60869565234</v>
          </cell>
          <cell r="AD262">
            <v>303967.30434782617</v>
          </cell>
        </row>
        <row r="263">
          <cell r="U263">
            <v>0</v>
          </cell>
        </row>
        <row r="264">
          <cell r="U264">
            <v>0</v>
          </cell>
        </row>
        <row r="265">
          <cell r="C265" t="str">
            <v>Other Expenses</v>
          </cell>
          <cell r="U265">
            <v>0</v>
          </cell>
        </row>
        <row r="266">
          <cell r="C266" t="str">
            <v>Selling Expenses</v>
          </cell>
          <cell r="E266">
            <v>15580.366396615698</v>
          </cell>
          <cell r="F266">
            <v>31160.732793231396</v>
          </cell>
          <cell r="G266">
            <v>14065.815418598198</v>
          </cell>
          <cell r="H266">
            <v>28131.630837196397</v>
          </cell>
          <cell r="I266">
            <v>13937.86149454217</v>
          </cell>
          <cell r="J266">
            <v>27875.722989084341</v>
          </cell>
          <cell r="K266">
            <v>12990.070739676898</v>
          </cell>
          <cell r="L266">
            <v>25980.141479353795</v>
          </cell>
          <cell r="M266">
            <v>17928.80038831451</v>
          </cell>
          <cell r="N266">
            <v>35857.60077662902</v>
          </cell>
          <cell r="O266">
            <v>16522.62377225871</v>
          </cell>
          <cell r="P266">
            <v>33045.24754451742</v>
          </cell>
          <cell r="Q266">
            <v>13012.379906852413</v>
          </cell>
          <cell r="R266">
            <v>26024.759813704826</v>
          </cell>
          <cell r="S266">
            <v>16957.866211611876</v>
          </cell>
          <cell r="T266">
            <v>33915.732423223752</v>
          </cell>
          <cell r="U266">
            <v>33915.732423223752</v>
          </cell>
          <cell r="V266">
            <v>15996.962658356917</v>
          </cell>
          <cell r="W266">
            <v>31993.925316713834</v>
          </cell>
          <cell r="X266">
            <v>17004.344235451234</v>
          </cell>
          <cell r="Y266">
            <v>34008.688470902467</v>
          </cell>
          <cell r="Z266">
            <v>16758.208123786724</v>
          </cell>
          <cell r="AA266">
            <v>33516.416247573448</v>
          </cell>
          <cell r="AB266">
            <v>15514.915208059225</v>
          </cell>
          <cell r="AC266">
            <v>31029.83041611845</v>
          </cell>
          <cell r="AD266">
            <v>15522.517879510378</v>
          </cell>
        </row>
        <row r="267">
          <cell r="C267" t="str">
            <v>Advertisement Expenses</v>
          </cell>
          <cell r="E267">
            <v>2405.8167555729137</v>
          </cell>
          <cell r="F267">
            <v>4811.6335111458275</v>
          </cell>
          <cell r="G267">
            <v>3080.827321757934</v>
          </cell>
          <cell r="H267">
            <v>6161.654643515868</v>
          </cell>
          <cell r="I267">
            <v>23766.822379487348</v>
          </cell>
          <cell r="J267">
            <v>47533.644758974697</v>
          </cell>
          <cell r="K267">
            <v>23113.454316588311</v>
          </cell>
          <cell r="L267">
            <v>46226.908633176623</v>
          </cell>
          <cell r="M267">
            <v>25512.297842660966</v>
          </cell>
          <cell r="N267">
            <v>51024.595685321932</v>
          </cell>
          <cell r="O267">
            <v>2551.3138847595887</v>
          </cell>
          <cell r="P267">
            <v>5102.6277695191775</v>
          </cell>
          <cell r="Q267">
            <v>2503.8786398437537</v>
          </cell>
          <cell r="R267">
            <v>5007.7572796875074</v>
          </cell>
          <cell r="S267">
            <v>15993.121382039297</v>
          </cell>
          <cell r="T267">
            <v>31986.242764078594</v>
          </cell>
          <cell r="U267">
            <v>31986.242764078594</v>
          </cell>
          <cell r="V267">
            <v>18583.08922809346</v>
          </cell>
          <cell r="W267">
            <v>37166.178456186921</v>
          </cell>
          <cell r="X267">
            <v>2625.697960996888</v>
          </cell>
          <cell r="Y267">
            <v>5251.395921993776</v>
          </cell>
          <cell r="Z267">
            <v>28862.71016865053</v>
          </cell>
          <cell r="AA267">
            <v>57725.42033730106</v>
          </cell>
          <cell r="AB267">
            <v>3501.4226255840545</v>
          </cell>
          <cell r="AC267">
            <v>7002.8452511681089</v>
          </cell>
          <cell r="AD267">
            <v>12708.371042169587</v>
          </cell>
        </row>
        <row r="268">
          <cell r="C268" t="str">
            <v>Administrative Expenses</v>
          </cell>
          <cell r="E268">
            <v>31746.041360815143</v>
          </cell>
          <cell r="F268">
            <v>63492.082721630286</v>
          </cell>
          <cell r="G268">
            <v>28660.042176505169</v>
          </cell>
          <cell r="H268">
            <v>57320.084353010338</v>
          </cell>
          <cell r="I268">
            <v>28399.32747558237</v>
          </cell>
          <cell r="J268">
            <v>56798.654951164739</v>
          </cell>
          <cell r="K268">
            <v>26468.140253189009</v>
          </cell>
          <cell r="L268">
            <v>52936.280506378018</v>
          </cell>
          <cell r="M268">
            <v>36531.133106142057</v>
          </cell>
          <cell r="N268">
            <v>73062.266212284114</v>
          </cell>
          <cell r="O268">
            <v>33665.95395197178</v>
          </cell>
          <cell r="P268">
            <v>67331.90790394356</v>
          </cell>
          <cell r="Q268">
            <v>26513.596677373815</v>
          </cell>
          <cell r="R268">
            <v>53027.193354747629</v>
          </cell>
          <cell r="S268">
            <v>34552.789609744817</v>
          </cell>
          <cell r="T268">
            <v>69105.579219489635</v>
          </cell>
          <cell r="U268">
            <v>69105.579219489635</v>
          </cell>
          <cell r="V268">
            <v>32594.884181281192</v>
          </cell>
          <cell r="W268">
            <v>65189.768362562383</v>
          </cell>
          <cell r="X268">
            <v>34647.491700158673</v>
          </cell>
          <cell r="Y268">
            <v>69294.983400317346</v>
          </cell>
          <cell r="Z268">
            <v>34145.972866622818</v>
          </cell>
          <cell r="AA268">
            <v>68291.945733245637</v>
          </cell>
          <cell r="AB268">
            <v>31612.680174939585</v>
          </cell>
          <cell r="AC268">
            <v>63225.360349879171</v>
          </cell>
          <cell r="AD268">
            <v>31628.171127860533</v>
          </cell>
        </row>
        <row r="269">
          <cell r="C269" t="str">
            <v>Depreciation (Admin. &amp; Selling )</v>
          </cell>
          <cell r="E269">
            <v>8927.9242923219663</v>
          </cell>
          <cell r="F269">
            <v>17855.848584643933</v>
          </cell>
          <cell r="G269">
            <v>8060.0501920351098</v>
          </cell>
          <cell r="H269">
            <v>16120.10038407022</v>
          </cell>
          <cell r="I269">
            <v>7986.7295192217998</v>
          </cell>
          <cell r="J269">
            <v>15973.4590384436</v>
          </cell>
          <cell r="K269">
            <v>7443.6226442616662</v>
          </cell>
          <cell r="L269">
            <v>14887.245288523332</v>
          </cell>
          <cell r="M269">
            <v>10273.633395026813</v>
          </cell>
          <cell r="N269">
            <v>20547.266790053625</v>
          </cell>
          <cell r="O269">
            <v>9467.8604080380956</v>
          </cell>
          <cell r="P269">
            <v>18935.720816076191</v>
          </cell>
          <cell r="Q269">
            <v>7456.4063330721565</v>
          </cell>
          <cell r="R269">
            <v>14912.812666144313</v>
          </cell>
          <cell r="S269">
            <v>9717.2647832904422</v>
          </cell>
          <cell r="T269">
            <v>19434.529566580884</v>
          </cell>
          <cell r="U269">
            <v>19434.529566580884</v>
          </cell>
          <cell r="V269">
            <v>9166.6439597938333</v>
          </cell>
          <cell r="W269">
            <v>18333.287919587667</v>
          </cell>
          <cell r="X269">
            <v>9743.8978076707062</v>
          </cell>
          <cell r="Y269">
            <v>19487.795615341412</v>
          </cell>
          <cell r="Z269">
            <v>9602.8559018125379</v>
          </cell>
          <cell r="AA269">
            <v>19205.711803625076</v>
          </cell>
          <cell r="AB269">
            <v>8890.4191886934896</v>
          </cell>
          <cell r="AC269">
            <v>17780.838377386979</v>
          </cell>
          <cell r="AD269">
            <v>8894.7757021032176</v>
          </cell>
        </row>
        <row r="270">
          <cell r="C270" t="str">
            <v>Financial Charges -Capital Exp.</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C271" t="str">
            <v>Financial  Charges -Working Capital</v>
          </cell>
          <cell r="E271">
            <v>1593.5489361898781</v>
          </cell>
          <cell r="F271">
            <v>3187.0978723797562</v>
          </cell>
          <cell r="G271">
            <v>1457.6240215047092</v>
          </cell>
          <cell r="H271">
            <v>2915.2480430094183</v>
          </cell>
          <cell r="I271">
            <v>1446.6945190186796</v>
          </cell>
          <cell r="J271">
            <v>2893.3890380373591</v>
          </cell>
          <cell r="K271">
            <v>1359.6931738041301</v>
          </cell>
          <cell r="L271">
            <v>2719.3863476082602</v>
          </cell>
          <cell r="M271">
            <v>1819.174805065381</v>
          </cell>
          <cell r="N271">
            <v>3638.3496101307619</v>
          </cell>
          <cell r="O271">
            <v>1683.4853438562145</v>
          </cell>
          <cell r="P271">
            <v>3366.970687712429</v>
          </cell>
          <cell r="Q271">
            <v>1343.3633567120232</v>
          </cell>
          <cell r="R271">
            <v>2686.7267134240465</v>
          </cell>
          <cell r="S271">
            <v>1703.3864664491034</v>
          </cell>
          <cell r="T271">
            <v>3406.7729328982068</v>
          </cell>
          <cell r="U271">
            <v>3406.7729328982068</v>
          </cell>
          <cell r="V271">
            <v>1621.6858468907856</v>
          </cell>
          <cell r="W271">
            <v>3243.3716937815711</v>
          </cell>
          <cell r="X271">
            <v>1714.8673233328852</v>
          </cell>
          <cell r="Y271">
            <v>3429.7346466657705</v>
          </cell>
          <cell r="Z271">
            <v>1688.4217100899446</v>
          </cell>
          <cell r="AA271">
            <v>3376.8434201798891</v>
          </cell>
          <cell r="AB271">
            <v>1570.4294045608508</v>
          </cell>
          <cell r="AC271">
            <v>3140.8588091217016</v>
          </cell>
          <cell r="AD271">
            <v>1583.5312422895488</v>
          </cell>
        </row>
        <row r="272">
          <cell r="C272" t="str">
            <v>Other Expenses (Charity &amp; Donation)</v>
          </cell>
          <cell r="E272">
            <v>1106.6312056874151</v>
          </cell>
          <cell r="F272">
            <v>2213.2624113748302</v>
          </cell>
          <cell r="G272">
            <v>1012.2389038227149</v>
          </cell>
          <cell r="H272">
            <v>2024.4778076454297</v>
          </cell>
          <cell r="I272">
            <v>1004.6489715407499</v>
          </cell>
          <cell r="J272">
            <v>2009.2979430814999</v>
          </cell>
          <cell r="K272">
            <v>944.23137069731274</v>
          </cell>
          <cell r="L272">
            <v>1888.4627413946255</v>
          </cell>
          <cell r="M272">
            <v>1263.3158368509594</v>
          </cell>
          <cell r="N272">
            <v>2526.6316737019188</v>
          </cell>
          <cell r="O272">
            <v>1169.0870443445933</v>
          </cell>
          <cell r="P272">
            <v>2338.1740886891866</v>
          </cell>
          <cell r="Q272">
            <v>932.89121993890501</v>
          </cell>
          <cell r="R272">
            <v>1865.78243987781</v>
          </cell>
          <cell r="S272">
            <v>1182.9072683674331</v>
          </cell>
          <cell r="T272">
            <v>2365.8145367348661</v>
          </cell>
          <cell r="U272">
            <v>2365.8145367348661</v>
          </cell>
          <cell r="V272">
            <v>1126.1707270074899</v>
          </cell>
          <cell r="W272">
            <v>2252.3414540149797</v>
          </cell>
          <cell r="X272">
            <v>1190.8800856478372</v>
          </cell>
          <cell r="Y272">
            <v>2381.7601712956744</v>
          </cell>
          <cell r="Z272">
            <v>1172.5150764513503</v>
          </cell>
          <cell r="AA272">
            <v>2345.0301529027006</v>
          </cell>
          <cell r="AB272">
            <v>1090.5759753894795</v>
          </cell>
          <cell r="AC272">
            <v>2181.151950778959</v>
          </cell>
          <cell r="AD272">
            <v>1099.6744738121868</v>
          </cell>
        </row>
        <row r="273">
          <cell r="C273" t="str">
            <v>Other Expenses ( W.P.P.F.)</v>
          </cell>
          <cell r="E273">
            <v>9648.5900544295782</v>
          </cell>
          <cell r="F273">
            <v>19297.180108859156</v>
          </cell>
          <cell r="G273">
            <v>11903.296926179239</v>
          </cell>
          <cell r="H273">
            <v>23806.593852358477</v>
          </cell>
          <cell r="I273">
            <v>11129.264448460395</v>
          </cell>
          <cell r="J273">
            <v>22258.52889692079</v>
          </cell>
          <cell r="K273">
            <v>12765.472506264148</v>
          </cell>
          <cell r="L273">
            <v>25530.945012528297</v>
          </cell>
          <cell r="M273">
            <v>8697.6853037127148</v>
          </cell>
          <cell r="N273">
            <v>17395.37060742543</v>
          </cell>
          <cell r="O273">
            <v>8477.4712963599068</v>
          </cell>
          <cell r="P273">
            <v>16954.942592719814</v>
          </cell>
          <cell r="Q273">
            <v>11947.065838432633</v>
          </cell>
          <cell r="R273">
            <v>23894.131676865265</v>
          </cell>
          <cell r="S273">
            <v>8315.7504207462025</v>
          </cell>
          <cell r="T273">
            <v>16631.500841492405</v>
          </cell>
          <cell r="U273">
            <v>16631.500841492405</v>
          </cell>
          <cell r="V273">
            <v>10259.06027175571</v>
          </cell>
          <cell r="W273">
            <v>20518.120543511421</v>
          </cell>
          <cell r="X273">
            <v>11041.057493260387</v>
          </cell>
          <cell r="Y273">
            <v>22082.114986520774</v>
          </cell>
          <cell r="Z273">
            <v>9071.1554130804143</v>
          </cell>
          <cell r="AA273">
            <v>18142.310826160829</v>
          </cell>
          <cell r="AB273">
            <v>9315.9406486366006</v>
          </cell>
          <cell r="AC273">
            <v>18631.881297273201</v>
          </cell>
          <cell r="AD273">
            <v>10214.317551776496</v>
          </cell>
        </row>
        <row r="274">
          <cell r="C274" t="str">
            <v>Workers Welfare Fund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E275">
            <v>71008.919001632588</v>
          </cell>
          <cell r="F275">
            <v>213026.75700489775</v>
          </cell>
          <cell r="G275">
            <v>68239.894960403064</v>
          </cell>
          <cell r="H275">
            <v>204719.68488120919</v>
          </cell>
          <cell r="I275">
            <v>87671.348807853516</v>
          </cell>
          <cell r="J275">
            <v>263014.04642356053</v>
          </cell>
          <cell r="K275">
            <v>85084.685004481464</v>
          </cell>
          <cell r="L275">
            <v>255254.05501344439</v>
          </cell>
          <cell r="M275">
            <v>102026.0406777734</v>
          </cell>
          <cell r="N275">
            <v>306078.12203332019</v>
          </cell>
          <cell r="O275">
            <v>73537.795701588882</v>
          </cell>
          <cell r="P275">
            <v>220613.38710476665</v>
          </cell>
          <cell r="Q275">
            <v>63709.581972225693</v>
          </cell>
          <cell r="R275">
            <v>191128.74591667709</v>
          </cell>
          <cell r="S275">
            <v>88423.086142249173</v>
          </cell>
          <cell r="T275">
            <v>265269.25842674752</v>
          </cell>
          <cell r="U275">
            <v>265269.25842674752</v>
          </cell>
          <cell r="V275">
            <v>89348.496873179378</v>
          </cell>
          <cell r="W275">
            <v>268045.49061953812</v>
          </cell>
          <cell r="X275">
            <v>77968.236606518607</v>
          </cell>
          <cell r="Y275">
            <v>233904.70981955581</v>
          </cell>
          <cell r="Z275">
            <v>101301.83926049432</v>
          </cell>
          <cell r="AA275">
            <v>303905.51778148295</v>
          </cell>
          <cell r="AB275">
            <v>71496.383225863276</v>
          </cell>
          <cell r="AC275">
            <v>142992.76645172655</v>
          </cell>
          <cell r="AD275">
            <v>81651.359019521944</v>
          </cell>
        </row>
        <row r="276">
          <cell r="C276" t="str">
            <v>Operating Profit</v>
          </cell>
          <cell r="E276">
            <v>232958.38534619357</v>
          </cell>
          <cell r="F276">
            <v>698875.1560385807</v>
          </cell>
          <cell r="G276">
            <v>235727.4093874231</v>
          </cell>
          <cell r="H276">
            <v>707182.22816226934</v>
          </cell>
          <cell r="I276">
            <v>216295.95553997264</v>
          </cell>
          <cell r="J276">
            <v>648887.86661991791</v>
          </cell>
          <cell r="K276">
            <v>218882.6193433447</v>
          </cell>
          <cell r="L276">
            <v>656647.85803003411</v>
          </cell>
          <cell r="M276">
            <v>201941.26367005275</v>
          </cell>
          <cell r="N276">
            <v>605823.79101015825</v>
          </cell>
          <cell r="O276">
            <v>230429.50864623729</v>
          </cell>
          <cell r="P276">
            <v>691288.52593871183</v>
          </cell>
          <cell r="Q276">
            <v>240257.72237560048</v>
          </cell>
          <cell r="R276">
            <v>720773.16712680145</v>
          </cell>
          <cell r="S276">
            <v>215544.218205577</v>
          </cell>
          <cell r="T276">
            <v>646632.65461673099</v>
          </cell>
          <cell r="U276">
            <v>646632.65461673099</v>
          </cell>
          <cell r="V276">
            <v>214618.80747464678</v>
          </cell>
          <cell r="W276">
            <v>643856.42242394038</v>
          </cell>
          <cell r="X276">
            <v>225999.06774130755</v>
          </cell>
          <cell r="Y276">
            <v>677997.20322392264</v>
          </cell>
          <cell r="Z276">
            <v>202665.46508733183</v>
          </cell>
          <cell r="AA276">
            <v>607996.39526199549</v>
          </cell>
          <cell r="AB276">
            <v>232470.92112196289</v>
          </cell>
          <cell r="AC276">
            <v>464941.84224392578</v>
          </cell>
          <cell r="AD276">
            <v>222315.94532830422</v>
          </cell>
        </row>
        <row r="277">
          <cell r="U277">
            <v>0</v>
          </cell>
        </row>
        <row r="278">
          <cell r="C278" t="str">
            <v>Other Income</v>
          </cell>
          <cell r="U278">
            <v>0</v>
          </cell>
        </row>
        <row r="279">
          <cell r="C279" t="str">
            <v>H.D</v>
          </cell>
          <cell r="E279">
            <v>15352.228571428572</v>
          </cell>
          <cell r="F279">
            <v>30704.457142857143</v>
          </cell>
          <cell r="G279">
            <v>13804.129032258064</v>
          </cell>
          <cell r="H279">
            <v>27608.258064516129</v>
          </cell>
          <cell r="I279">
            <v>16932</v>
          </cell>
          <cell r="J279">
            <v>33864</v>
          </cell>
          <cell r="K279">
            <v>317514.93333333335</v>
          </cell>
          <cell r="L279">
            <v>635029.8666666667</v>
          </cell>
          <cell r="M279">
            <v>309289.29032258067</v>
          </cell>
          <cell r="N279">
            <v>618578.58064516133</v>
          </cell>
          <cell r="O279">
            <v>264203.22222222225</v>
          </cell>
          <cell r="P279">
            <v>528406.4444444445</v>
          </cell>
          <cell r="Q279">
            <v>72764.571428571435</v>
          </cell>
          <cell r="R279">
            <v>145529.14285714287</v>
          </cell>
          <cell r="S279">
            <v>14837.75</v>
          </cell>
          <cell r="T279">
            <v>29675.5</v>
          </cell>
          <cell r="U279">
            <v>29675.5</v>
          </cell>
          <cell r="V279">
            <v>19002.533333333333</v>
          </cell>
          <cell r="W279">
            <v>38005.066666666666</v>
          </cell>
          <cell r="X279">
            <v>14756.137931034482</v>
          </cell>
          <cell r="Y279">
            <v>29512.275862068964</v>
          </cell>
          <cell r="Z279">
            <v>15316.387096774193</v>
          </cell>
          <cell r="AA279">
            <v>30632.774193548386</v>
          </cell>
          <cell r="AB279">
            <v>13728.648648648648</v>
          </cell>
          <cell r="AC279">
            <v>27457.297297297297</v>
          </cell>
          <cell r="AD279">
            <v>90625.152660015432</v>
          </cell>
        </row>
        <row r="280">
          <cell r="C280" t="str">
            <v>Others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E281">
            <v>15352.228571428572</v>
          </cell>
          <cell r="F281">
            <v>30704.457142857143</v>
          </cell>
          <cell r="G281">
            <v>13804.129032258064</v>
          </cell>
          <cell r="H281">
            <v>27608.258064516129</v>
          </cell>
          <cell r="I281">
            <v>16932</v>
          </cell>
          <cell r="J281">
            <v>33864</v>
          </cell>
          <cell r="K281">
            <v>317514.93333333335</v>
          </cell>
          <cell r="L281">
            <v>635029.8666666667</v>
          </cell>
          <cell r="M281">
            <v>309289.29032258067</v>
          </cell>
          <cell r="N281">
            <v>618578.58064516133</v>
          </cell>
          <cell r="O281">
            <v>264203.22222222225</v>
          </cell>
          <cell r="P281">
            <v>528406.4444444445</v>
          </cell>
          <cell r="Q281">
            <v>72764.571428571435</v>
          </cell>
          <cell r="R281">
            <v>145529.14285714287</v>
          </cell>
          <cell r="S281">
            <v>14837.75</v>
          </cell>
          <cell r="T281">
            <v>29675.5</v>
          </cell>
          <cell r="U281">
            <v>29675.5</v>
          </cell>
          <cell r="V281">
            <v>19002.533333333333</v>
          </cell>
          <cell r="W281">
            <v>38005.066666666666</v>
          </cell>
          <cell r="X281">
            <v>14756.137931034482</v>
          </cell>
          <cell r="Y281">
            <v>29512.275862068964</v>
          </cell>
          <cell r="Z281">
            <v>15316.387096774193</v>
          </cell>
          <cell r="AA281">
            <v>30632.774193548386</v>
          </cell>
          <cell r="AB281">
            <v>13728.648648648648</v>
          </cell>
          <cell r="AC281">
            <v>27457.297297297297</v>
          </cell>
          <cell r="AD281">
            <v>90625.152660015432</v>
          </cell>
        </row>
        <row r="282">
          <cell r="U282">
            <v>0</v>
          </cell>
        </row>
        <row r="283">
          <cell r="C283" t="str">
            <v>Profit before tax</v>
          </cell>
          <cell r="E283">
            <v>248310.61391762213</v>
          </cell>
          <cell r="F283">
            <v>744931.8417528664</v>
          </cell>
          <cell r="G283">
            <v>249531.53841968116</v>
          </cell>
          <cell r="H283">
            <v>748594.61525904352</v>
          </cell>
          <cell r="I283">
            <v>233227.95553997264</v>
          </cell>
          <cell r="J283">
            <v>699683.86661991791</v>
          </cell>
          <cell r="K283">
            <v>536397.55267667805</v>
          </cell>
          <cell r="L283">
            <v>1609192.658030034</v>
          </cell>
          <cell r="M283">
            <v>511230.55399263342</v>
          </cell>
          <cell r="N283">
            <v>1533691.6619779002</v>
          </cell>
          <cell r="O283">
            <v>494632.73086845956</v>
          </cell>
          <cell r="P283">
            <v>1483898.1926053786</v>
          </cell>
          <cell r="Q283">
            <v>313022.2938041719</v>
          </cell>
          <cell r="R283">
            <v>939066.88141251565</v>
          </cell>
          <cell r="S283">
            <v>230381.968205577</v>
          </cell>
          <cell r="T283">
            <v>691145.90461673099</v>
          </cell>
          <cell r="U283">
            <v>691145.90461673099</v>
          </cell>
          <cell r="V283">
            <v>233621.3408079801</v>
          </cell>
          <cell r="W283">
            <v>700864.02242394025</v>
          </cell>
          <cell r="X283">
            <v>240755.20567234204</v>
          </cell>
          <cell r="Y283">
            <v>722265.61701702606</v>
          </cell>
          <cell r="Z283">
            <v>217981.85218410601</v>
          </cell>
          <cell r="AA283">
            <v>653945.55655231804</v>
          </cell>
          <cell r="AB283">
            <v>246199.56977061153</v>
          </cell>
          <cell r="AC283">
            <v>492399.13954122306</v>
          </cell>
          <cell r="AD283">
            <v>312941.09798831964</v>
          </cell>
        </row>
        <row r="284">
          <cell r="U284">
            <v>0</v>
          </cell>
        </row>
        <row r="285">
          <cell r="C285" t="str">
            <v>Taxation</v>
          </cell>
          <cell r="U285">
            <v>0</v>
          </cell>
        </row>
        <row r="286">
          <cell r="C286" t="str">
            <v>Presumptive</v>
          </cell>
          <cell r="E286">
            <v>93372</v>
          </cell>
          <cell r="F286">
            <v>186744</v>
          </cell>
          <cell r="G286">
            <v>93372</v>
          </cell>
          <cell r="H286">
            <v>186744</v>
          </cell>
          <cell r="I286">
            <v>93372</v>
          </cell>
          <cell r="J286">
            <v>186744</v>
          </cell>
          <cell r="K286">
            <v>93372</v>
          </cell>
          <cell r="L286">
            <v>186744</v>
          </cell>
          <cell r="M286">
            <v>93372</v>
          </cell>
          <cell r="N286">
            <v>186744</v>
          </cell>
          <cell r="O286">
            <v>93372</v>
          </cell>
          <cell r="P286">
            <v>186744</v>
          </cell>
          <cell r="Q286">
            <v>93372</v>
          </cell>
          <cell r="R286">
            <v>186744</v>
          </cell>
          <cell r="S286">
            <v>93372</v>
          </cell>
          <cell r="T286">
            <v>186744</v>
          </cell>
          <cell r="U286">
            <v>186744</v>
          </cell>
          <cell r="V286">
            <v>93372</v>
          </cell>
          <cell r="W286">
            <v>186744</v>
          </cell>
          <cell r="X286">
            <v>93372</v>
          </cell>
          <cell r="Y286">
            <v>186744</v>
          </cell>
          <cell r="Z286">
            <v>93372</v>
          </cell>
          <cell r="AA286">
            <v>186744</v>
          </cell>
          <cell r="AB286">
            <v>93372</v>
          </cell>
          <cell r="AC286">
            <v>186744</v>
          </cell>
          <cell r="AD286">
            <v>93372</v>
          </cell>
        </row>
        <row r="287">
          <cell r="C287" t="str">
            <v>Others</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E288">
            <v>93372</v>
          </cell>
          <cell r="F288">
            <v>280116</v>
          </cell>
          <cell r="G288">
            <v>93372</v>
          </cell>
          <cell r="H288">
            <v>280116</v>
          </cell>
          <cell r="I288">
            <v>93372</v>
          </cell>
          <cell r="J288">
            <v>280116</v>
          </cell>
          <cell r="K288">
            <v>93372</v>
          </cell>
          <cell r="L288">
            <v>280116</v>
          </cell>
          <cell r="M288">
            <v>93372</v>
          </cell>
          <cell r="N288">
            <v>280116</v>
          </cell>
          <cell r="O288">
            <v>93372</v>
          </cell>
          <cell r="P288">
            <v>280116</v>
          </cell>
          <cell r="Q288">
            <v>93372</v>
          </cell>
          <cell r="R288">
            <v>280116</v>
          </cell>
          <cell r="S288">
            <v>93372</v>
          </cell>
          <cell r="T288">
            <v>280116</v>
          </cell>
          <cell r="U288">
            <v>280116</v>
          </cell>
          <cell r="V288">
            <v>93372</v>
          </cell>
          <cell r="W288">
            <v>280116</v>
          </cell>
          <cell r="X288">
            <v>93372</v>
          </cell>
          <cell r="Y288">
            <v>280116</v>
          </cell>
          <cell r="Z288">
            <v>93372</v>
          </cell>
          <cell r="AA288">
            <v>280116</v>
          </cell>
          <cell r="AB288">
            <v>93372</v>
          </cell>
          <cell r="AC288">
            <v>186744</v>
          </cell>
          <cell r="AD288">
            <v>93372</v>
          </cell>
        </row>
        <row r="289">
          <cell r="C289" t="str">
            <v>Net Profit after taxation</v>
          </cell>
          <cell r="E289">
            <v>154938.61391762213</v>
          </cell>
          <cell r="F289">
            <v>464815.8417528664</v>
          </cell>
          <cell r="G289">
            <v>156159.53841968116</v>
          </cell>
          <cell r="H289">
            <v>468478.61525904352</v>
          </cell>
          <cell r="I289">
            <v>139855.95553997264</v>
          </cell>
          <cell r="J289">
            <v>419567.86661991791</v>
          </cell>
          <cell r="K289">
            <v>443025.55267667805</v>
          </cell>
          <cell r="L289">
            <v>1329076.658030034</v>
          </cell>
          <cell r="M289">
            <v>417858.55399263342</v>
          </cell>
          <cell r="N289">
            <v>1253575.6619779002</v>
          </cell>
          <cell r="O289">
            <v>401260.73086845956</v>
          </cell>
          <cell r="P289">
            <v>1203782.1926053786</v>
          </cell>
          <cell r="Q289">
            <v>219650.2938041719</v>
          </cell>
          <cell r="R289">
            <v>658950.88141251565</v>
          </cell>
          <cell r="S289">
            <v>137009.968205577</v>
          </cell>
          <cell r="T289">
            <v>411029.90461673099</v>
          </cell>
          <cell r="U289">
            <v>411029.90461673099</v>
          </cell>
          <cell r="V289">
            <v>140249.3408079801</v>
          </cell>
          <cell r="W289">
            <v>420748.0224239403</v>
          </cell>
          <cell r="X289">
            <v>147383.20567234204</v>
          </cell>
          <cell r="Y289">
            <v>442149.61701702612</v>
          </cell>
          <cell r="Z289">
            <v>124609.85218410601</v>
          </cell>
          <cell r="AA289">
            <v>373829.55655231804</v>
          </cell>
          <cell r="AB289">
            <v>152827.56977061153</v>
          </cell>
          <cell r="AC289">
            <v>305655.13954122306</v>
          </cell>
          <cell r="AD289">
            <v>219569.09798831964</v>
          </cell>
        </row>
        <row r="292">
          <cell r="E292">
            <v>913</v>
          </cell>
          <cell r="G292">
            <v>944</v>
          </cell>
          <cell r="I292">
            <v>975</v>
          </cell>
          <cell r="K292">
            <v>1006</v>
          </cell>
          <cell r="M292">
            <v>1037</v>
          </cell>
          <cell r="O292">
            <v>1068</v>
          </cell>
          <cell r="Q292">
            <v>1099</v>
          </cell>
          <cell r="S292">
            <v>1130</v>
          </cell>
          <cell r="V292">
            <v>1161</v>
          </cell>
          <cell r="X292">
            <v>1192</v>
          </cell>
          <cell r="Z292">
            <v>1223</v>
          </cell>
          <cell r="AB292">
            <v>1254</v>
          </cell>
          <cell r="AD292" t="str">
            <v>Yearly</v>
          </cell>
        </row>
        <row r="293">
          <cell r="C293" t="str">
            <v>Hilux  4 x 4 - D/C US</v>
          </cell>
          <cell r="E293" t="str">
            <v>Per Unit</v>
          </cell>
          <cell r="F293" t="str">
            <v>Total</v>
          </cell>
          <cell r="G293" t="str">
            <v>Per Unit</v>
          </cell>
          <cell r="H293" t="str">
            <v>Total</v>
          </cell>
          <cell r="I293" t="str">
            <v>Per Unit</v>
          </cell>
          <cell r="J293" t="str">
            <v>Total</v>
          </cell>
          <cell r="K293" t="str">
            <v>Per Unit</v>
          </cell>
          <cell r="L293" t="str">
            <v>Total</v>
          </cell>
          <cell r="M293" t="str">
            <v>Per Unit</v>
          </cell>
          <cell r="N293" t="str">
            <v>Total</v>
          </cell>
          <cell r="O293" t="str">
            <v>Per Unit</v>
          </cell>
          <cell r="P293" t="str">
            <v>Total</v>
          </cell>
          <cell r="Q293" t="str">
            <v>Per Unit</v>
          </cell>
          <cell r="R293" t="str">
            <v>Total</v>
          </cell>
          <cell r="S293" t="str">
            <v>Per Unit</v>
          </cell>
          <cell r="U293" t="str">
            <v>Total</v>
          </cell>
          <cell r="V293" t="str">
            <v>Per Unit</v>
          </cell>
          <cell r="W293" t="str">
            <v>Total</v>
          </cell>
          <cell r="X293" t="str">
            <v>Per Unit</v>
          </cell>
          <cell r="Y293" t="str">
            <v>Total</v>
          </cell>
          <cell r="Z293" t="str">
            <v>Per Unit</v>
          </cell>
          <cell r="AA293" t="str">
            <v>Total</v>
          </cell>
          <cell r="AB293" t="str">
            <v>Per Unit</v>
          </cell>
          <cell r="AC293" t="str">
            <v>Total</v>
          </cell>
          <cell r="AD293" t="str">
            <v>Average</v>
          </cell>
        </row>
        <row r="294">
          <cell r="C294" t="str">
            <v>Hilux  4 x 4 - D/C   W/ A/C FWH</v>
          </cell>
        </row>
        <row r="295">
          <cell r="C295" t="str">
            <v>Sales Units</v>
          </cell>
          <cell r="E295">
            <v>5</v>
          </cell>
          <cell r="F295">
            <v>5</v>
          </cell>
          <cell r="G295">
            <v>3</v>
          </cell>
          <cell r="H295">
            <v>3</v>
          </cell>
          <cell r="I295">
            <v>2</v>
          </cell>
          <cell r="J295">
            <v>2</v>
          </cell>
          <cell r="K295">
            <v>2</v>
          </cell>
          <cell r="L295">
            <v>2</v>
          </cell>
          <cell r="M295">
            <v>3</v>
          </cell>
          <cell r="N295">
            <v>3</v>
          </cell>
          <cell r="O295">
            <v>6</v>
          </cell>
          <cell r="P295">
            <v>6</v>
          </cell>
          <cell r="Q295">
            <v>5</v>
          </cell>
          <cell r="R295">
            <v>5</v>
          </cell>
          <cell r="S295">
            <v>3</v>
          </cell>
          <cell r="T295">
            <v>3</v>
          </cell>
          <cell r="U295">
            <v>3</v>
          </cell>
          <cell r="V295">
            <v>2</v>
          </cell>
          <cell r="W295">
            <v>2</v>
          </cell>
          <cell r="X295">
            <v>2</v>
          </cell>
          <cell r="Y295">
            <v>2</v>
          </cell>
          <cell r="Z295">
            <v>3</v>
          </cell>
          <cell r="AA295">
            <v>3</v>
          </cell>
          <cell r="AB295">
            <v>6</v>
          </cell>
          <cell r="AC295">
            <v>6</v>
          </cell>
          <cell r="AD295">
            <v>42</v>
          </cell>
        </row>
        <row r="296">
          <cell r="U296">
            <v>0</v>
          </cell>
        </row>
        <row r="297">
          <cell r="C297" t="str">
            <v>Selling Price</v>
          </cell>
          <cell r="E297">
            <v>2290000</v>
          </cell>
          <cell r="F297">
            <v>11450000</v>
          </cell>
          <cell r="G297">
            <v>2290000</v>
          </cell>
          <cell r="H297">
            <v>6870000</v>
          </cell>
          <cell r="I297">
            <v>2290000</v>
          </cell>
          <cell r="J297">
            <v>4580000</v>
          </cell>
          <cell r="K297">
            <v>2290000</v>
          </cell>
          <cell r="L297">
            <v>4580000</v>
          </cell>
          <cell r="M297">
            <v>2290000</v>
          </cell>
          <cell r="N297">
            <v>6870000</v>
          </cell>
          <cell r="O297">
            <v>2290000</v>
          </cell>
          <cell r="P297">
            <v>13740000</v>
          </cell>
          <cell r="Q297">
            <v>2290000</v>
          </cell>
          <cell r="R297">
            <v>11450000</v>
          </cell>
          <cell r="S297">
            <v>2290000</v>
          </cell>
          <cell r="T297">
            <v>6870000</v>
          </cell>
          <cell r="U297">
            <v>6870000</v>
          </cell>
          <cell r="V297">
            <v>2290000</v>
          </cell>
          <cell r="W297">
            <v>4580000</v>
          </cell>
          <cell r="X297">
            <v>2290000</v>
          </cell>
          <cell r="Y297">
            <v>4580000</v>
          </cell>
          <cell r="Z297">
            <v>2290000</v>
          </cell>
          <cell r="AA297">
            <v>6870000</v>
          </cell>
          <cell r="AB297">
            <v>2290000</v>
          </cell>
          <cell r="AC297">
            <v>13740000</v>
          </cell>
          <cell r="AD297">
            <v>2290000</v>
          </cell>
        </row>
        <row r="298">
          <cell r="C298" t="str">
            <v>Less: Dealer commission</v>
          </cell>
          <cell r="E298">
            <v>-30000</v>
          </cell>
          <cell r="F298">
            <v>-150000</v>
          </cell>
          <cell r="G298">
            <v>-30000</v>
          </cell>
          <cell r="H298">
            <v>-90000</v>
          </cell>
          <cell r="I298">
            <v>-30000</v>
          </cell>
          <cell r="J298">
            <v>-60000</v>
          </cell>
          <cell r="K298">
            <v>-30000</v>
          </cell>
          <cell r="L298">
            <v>-60000</v>
          </cell>
          <cell r="M298">
            <v>-30000</v>
          </cell>
          <cell r="N298">
            <v>-90000</v>
          </cell>
          <cell r="O298">
            <v>-30000</v>
          </cell>
          <cell r="P298">
            <v>-180000</v>
          </cell>
          <cell r="Q298">
            <v>-30000</v>
          </cell>
          <cell r="R298">
            <v>-150000</v>
          </cell>
          <cell r="S298">
            <v>-30000</v>
          </cell>
          <cell r="T298">
            <v>-90000</v>
          </cell>
          <cell r="U298">
            <v>-90000</v>
          </cell>
          <cell r="V298">
            <v>-30000</v>
          </cell>
          <cell r="W298">
            <v>-60000</v>
          </cell>
          <cell r="X298">
            <v>-30000</v>
          </cell>
          <cell r="Y298">
            <v>-60000</v>
          </cell>
          <cell r="Z298">
            <v>-30000</v>
          </cell>
          <cell r="AA298">
            <v>-90000</v>
          </cell>
          <cell r="AB298">
            <v>-30000</v>
          </cell>
          <cell r="AC298">
            <v>-180000</v>
          </cell>
          <cell r="AD298">
            <v>-30000</v>
          </cell>
        </row>
        <row r="299">
          <cell r="C299" t="str">
            <v xml:space="preserve">  Sales tax</v>
          </cell>
          <cell r="E299">
            <v>-298695.65217391303</v>
          </cell>
          <cell r="F299">
            <v>-1493478.2608695652</v>
          </cell>
          <cell r="G299">
            <v>-298695.65217391303</v>
          </cell>
          <cell r="H299">
            <v>-896086.95652173902</v>
          </cell>
          <cell r="I299">
            <v>-298695.65217391303</v>
          </cell>
          <cell r="J299">
            <v>-597391.30434782605</v>
          </cell>
          <cell r="K299">
            <v>-298695.65217391303</v>
          </cell>
          <cell r="L299">
            <v>-597391.30434782605</v>
          </cell>
          <cell r="M299">
            <v>-298695.65217391303</v>
          </cell>
          <cell r="N299">
            <v>-896086.95652173902</v>
          </cell>
          <cell r="O299">
            <v>-298695.65217391303</v>
          </cell>
          <cell r="P299">
            <v>-1792173.913043478</v>
          </cell>
          <cell r="Q299">
            <v>-298695.65217391303</v>
          </cell>
          <cell r="R299">
            <v>-1493478.2608695652</v>
          </cell>
          <cell r="S299">
            <v>-298695.65217391303</v>
          </cell>
          <cell r="T299">
            <v>-896086.95652173902</v>
          </cell>
          <cell r="U299">
            <v>-896086.95652173902</v>
          </cell>
          <cell r="V299">
            <v>-298695.65217391303</v>
          </cell>
          <cell r="W299">
            <v>-597391.30434782605</v>
          </cell>
          <cell r="X299">
            <v>-298695.65217391303</v>
          </cell>
          <cell r="Y299">
            <v>-597391.30434782605</v>
          </cell>
          <cell r="Z299">
            <v>-298695.65217391303</v>
          </cell>
          <cell r="AA299">
            <v>-896086.95652173902</v>
          </cell>
          <cell r="AB299">
            <v>-298695.65217391303</v>
          </cell>
          <cell r="AC299">
            <v>-1792173.913043478</v>
          </cell>
          <cell r="AD299">
            <v>-298695.65217391303</v>
          </cell>
        </row>
        <row r="300">
          <cell r="C300" t="str">
            <v>Net Sales</v>
          </cell>
          <cell r="E300">
            <v>1961304.3478260869</v>
          </cell>
          <cell r="F300">
            <v>9806521.7391304336</v>
          </cell>
          <cell r="G300">
            <v>1961304.3478260869</v>
          </cell>
          <cell r="H300">
            <v>5883913.0434782607</v>
          </cell>
          <cell r="I300">
            <v>1961304.3478260869</v>
          </cell>
          <cell r="J300">
            <v>3922608.6956521738</v>
          </cell>
          <cell r="K300">
            <v>1961304.3478260869</v>
          </cell>
          <cell r="L300">
            <v>3922608.6956521738</v>
          </cell>
          <cell r="M300">
            <v>1961304.3478260869</v>
          </cell>
          <cell r="N300">
            <v>5883913.0434782607</v>
          </cell>
          <cell r="O300">
            <v>1961304.3478260869</v>
          </cell>
          <cell r="P300">
            <v>11767826.086956521</v>
          </cell>
          <cell r="Q300">
            <v>1961304.3478260869</v>
          </cell>
          <cell r="R300">
            <v>9806521.7391304336</v>
          </cell>
          <cell r="S300">
            <v>1961304.3478260869</v>
          </cell>
          <cell r="T300">
            <v>5883913.0434782607</v>
          </cell>
          <cell r="U300">
            <v>5883913.0434782607</v>
          </cell>
          <cell r="V300">
            <v>1961304.3478260869</v>
          </cell>
          <cell r="W300">
            <v>3922608.6956521738</v>
          </cell>
          <cell r="X300">
            <v>1961304.3478260869</v>
          </cell>
          <cell r="Y300">
            <v>3922608.6956521738</v>
          </cell>
          <cell r="Z300">
            <v>1961304.3478260869</v>
          </cell>
          <cell r="AA300">
            <v>5883913.0434782607</v>
          </cell>
          <cell r="AB300">
            <v>1961304.3478260869</v>
          </cell>
          <cell r="AC300">
            <v>11767826.086956521</v>
          </cell>
          <cell r="AD300">
            <v>1961304.3478260869</v>
          </cell>
        </row>
        <row r="301">
          <cell r="C301" t="str">
            <v>Landed cost</v>
          </cell>
          <cell r="E301">
            <v>1585616</v>
          </cell>
          <cell r="F301">
            <v>7928080</v>
          </cell>
          <cell r="G301">
            <v>1585616</v>
          </cell>
          <cell r="H301">
            <v>4756848</v>
          </cell>
          <cell r="I301">
            <v>1585616</v>
          </cell>
          <cell r="J301">
            <v>3171232</v>
          </cell>
          <cell r="K301">
            <v>1585616</v>
          </cell>
          <cell r="L301">
            <v>3171232</v>
          </cell>
          <cell r="M301">
            <v>1585616</v>
          </cell>
          <cell r="N301">
            <v>4756848</v>
          </cell>
          <cell r="O301">
            <v>1585616</v>
          </cell>
          <cell r="P301">
            <v>9513696</v>
          </cell>
          <cell r="Q301">
            <v>1585616</v>
          </cell>
          <cell r="R301">
            <v>7928080</v>
          </cell>
          <cell r="S301">
            <v>1585616</v>
          </cell>
          <cell r="T301">
            <v>4756848</v>
          </cell>
          <cell r="U301">
            <v>4756848</v>
          </cell>
          <cell r="V301">
            <v>1585616</v>
          </cell>
          <cell r="W301">
            <v>3171232</v>
          </cell>
          <cell r="X301">
            <v>1585616</v>
          </cell>
          <cell r="Y301">
            <v>3171232</v>
          </cell>
          <cell r="Z301">
            <v>1585616</v>
          </cell>
          <cell r="AA301">
            <v>4756848</v>
          </cell>
          <cell r="AB301">
            <v>1585616</v>
          </cell>
          <cell r="AC301">
            <v>9513696</v>
          </cell>
          <cell r="AD301">
            <v>1585616</v>
          </cell>
          <cell r="AF301">
            <v>66595872</v>
          </cell>
        </row>
        <row r="302">
          <cell r="C302" t="str">
            <v>Gross Profit</v>
          </cell>
          <cell r="E302">
            <v>375688.34782608692</v>
          </cell>
          <cell r="F302">
            <v>1878441.7391304346</v>
          </cell>
          <cell r="G302">
            <v>375688.34782608692</v>
          </cell>
          <cell r="H302">
            <v>1878441.7391304346</v>
          </cell>
          <cell r="I302">
            <v>375688.34782608692</v>
          </cell>
          <cell r="J302">
            <v>1878441.7391304346</v>
          </cell>
          <cell r="K302">
            <v>375688.34782608692</v>
          </cell>
          <cell r="L302">
            <v>1878441.7391304346</v>
          </cell>
          <cell r="M302">
            <v>375688.34782608692</v>
          </cell>
          <cell r="N302">
            <v>1878441.7391304346</v>
          </cell>
          <cell r="O302">
            <v>375688.34782608692</v>
          </cell>
          <cell r="P302">
            <v>1878441.7391304346</v>
          </cell>
          <cell r="Q302">
            <v>375688.34782608692</v>
          </cell>
          <cell r="R302">
            <v>1878441.7391304346</v>
          </cell>
          <cell r="S302">
            <v>375688.34782608692</v>
          </cell>
          <cell r="T302">
            <v>1878441.7391304346</v>
          </cell>
          <cell r="U302">
            <v>1878441.7391304346</v>
          </cell>
          <cell r="V302">
            <v>375688.34782608692</v>
          </cell>
          <cell r="W302">
            <v>1878441.7391304346</v>
          </cell>
          <cell r="X302">
            <v>375688.34782608692</v>
          </cell>
          <cell r="Y302">
            <v>1878441.7391304346</v>
          </cell>
          <cell r="Z302">
            <v>375688.34782608692</v>
          </cell>
          <cell r="AA302">
            <v>1878441.7391304346</v>
          </cell>
          <cell r="AB302">
            <v>375688.34782608692</v>
          </cell>
          <cell r="AC302">
            <v>1878441.7391304346</v>
          </cell>
          <cell r="AD302">
            <v>375688.34782608692</v>
          </cell>
        </row>
        <row r="303">
          <cell r="U303">
            <v>0</v>
          </cell>
        </row>
        <row r="304">
          <cell r="U304">
            <v>0</v>
          </cell>
        </row>
        <row r="305">
          <cell r="C305" t="str">
            <v>Other Expenses</v>
          </cell>
          <cell r="U305">
            <v>0</v>
          </cell>
        </row>
        <row r="306">
          <cell r="C306" t="str">
            <v>Selling Expenses</v>
          </cell>
          <cell r="E306">
            <v>15580.366396615698</v>
          </cell>
          <cell r="F306">
            <v>77901.831983078489</v>
          </cell>
          <cell r="G306">
            <v>14065.815418598198</v>
          </cell>
          <cell r="H306">
            <v>42197.446255794595</v>
          </cell>
          <cell r="I306">
            <v>13937.86149454217</v>
          </cell>
          <cell r="J306">
            <v>27875.722989084341</v>
          </cell>
          <cell r="K306">
            <v>12990.070739676898</v>
          </cell>
          <cell r="L306">
            <v>25980.141479353795</v>
          </cell>
          <cell r="M306">
            <v>17928.80038831451</v>
          </cell>
          <cell r="N306">
            <v>53786.401164943527</v>
          </cell>
          <cell r="O306">
            <v>16522.62377225871</v>
          </cell>
          <cell r="P306">
            <v>99135.742633552261</v>
          </cell>
          <cell r="Q306">
            <v>13012.379906852413</v>
          </cell>
          <cell r="R306">
            <v>65061.899534262062</v>
          </cell>
          <cell r="S306">
            <v>16957.866211611876</v>
          </cell>
          <cell r="T306">
            <v>50873.598634835624</v>
          </cell>
          <cell r="U306">
            <v>50873.598634835624</v>
          </cell>
          <cell r="V306">
            <v>15996.962658356917</v>
          </cell>
          <cell r="W306">
            <v>31993.925316713834</v>
          </cell>
          <cell r="X306">
            <v>17004.344235451234</v>
          </cell>
          <cell r="Y306">
            <v>34008.688470902467</v>
          </cell>
          <cell r="Z306">
            <v>16758.208123786724</v>
          </cell>
          <cell r="AA306">
            <v>50274.624371360173</v>
          </cell>
          <cell r="AB306">
            <v>15514.915208059225</v>
          </cell>
          <cell r="AC306">
            <v>93089.491248355349</v>
          </cell>
          <cell r="AD306">
            <v>15528.08366862468</v>
          </cell>
        </row>
        <row r="307">
          <cell r="C307" t="str">
            <v>Advertisement Expenses</v>
          </cell>
          <cell r="E307">
            <v>2405.8167555729137</v>
          </cell>
          <cell r="F307">
            <v>12029.083777864569</v>
          </cell>
          <cell r="G307">
            <v>3080.827321757934</v>
          </cell>
          <cell r="H307">
            <v>9242.4819652738024</v>
          </cell>
          <cell r="I307">
            <v>23766.822379487348</v>
          </cell>
          <cell r="J307">
            <v>47533.644758974697</v>
          </cell>
          <cell r="K307">
            <v>23113.454316588311</v>
          </cell>
          <cell r="L307">
            <v>46226.908633176623</v>
          </cell>
          <cell r="M307">
            <v>25512.297842660966</v>
          </cell>
          <cell r="N307">
            <v>76536.893527982902</v>
          </cell>
          <cell r="O307">
            <v>2551.3138847595887</v>
          </cell>
          <cell r="P307">
            <v>15307.883308557532</v>
          </cell>
          <cell r="Q307">
            <v>2503.8786398437537</v>
          </cell>
          <cell r="R307">
            <v>12519.393199218768</v>
          </cell>
          <cell r="S307">
            <v>15993.121382039297</v>
          </cell>
          <cell r="T307">
            <v>47979.364146117892</v>
          </cell>
          <cell r="U307">
            <v>47979.364146117892</v>
          </cell>
          <cell r="V307">
            <v>18583.08922809346</v>
          </cell>
          <cell r="W307">
            <v>37166.178456186921</v>
          </cell>
          <cell r="X307">
            <v>2625.697960996888</v>
          </cell>
          <cell r="Y307">
            <v>5251.395921993776</v>
          </cell>
          <cell r="Z307">
            <v>28862.71016865053</v>
          </cell>
          <cell r="AA307">
            <v>86588.130505951587</v>
          </cell>
          <cell r="AB307">
            <v>3501.4226255840545</v>
          </cell>
          <cell r="AC307">
            <v>21008.535753504326</v>
          </cell>
          <cell r="AD307">
            <v>9937.8546179715086</v>
          </cell>
        </row>
        <row r="308">
          <cell r="C308" t="str">
            <v>Administrative Expenses</v>
          </cell>
          <cell r="E308">
            <v>31746.041360815143</v>
          </cell>
          <cell r="F308">
            <v>158730.20680407571</v>
          </cell>
          <cell r="G308">
            <v>28660.042176505169</v>
          </cell>
          <cell r="H308">
            <v>85980.126529515503</v>
          </cell>
          <cell r="I308">
            <v>28399.32747558237</v>
          </cell>
          <cell r="J308">
            <v>56798.654951164739</v>
          </cell>
          <cell r="K308">
            <v>26468.140253189009</v>
          </cell>
          <cell r="L308">
            <v>52936.280506378018</v>
          </cell>
          <cell r="M308">
            <v>36531.133106142057</v>
          </cell>
          <cell r="N308">
            <v>109593.39931842618</v>
          </cell>
          <cell r="O308">
            <v>33665.95395197178</v>
          </cell>
          <cell r="P308">
            <v>201995.72371183068</v>
          </cell>
          <cell r="Q308">
            <v>26513.596677373815</v>
          </cell>
          <cell r="R308">
            <v>132567.98338686908</v>
          </cell>
          <cell r="S308">
            <v>34552.789609744817</v>
          </cell>
          <cell r="T308">
            <v>103658.36882923445</v>
          </cell>
          <cell r="U308">
            <v>103658.36882923445</v>
          </cell>
          <cell r="V308">
            <v>32594.884181281192</v>
          </cell>
          <cell r="W308">
            <v>65189.768362562383</v>
          </cell>
          <cell r="X308">
            <v>34647.491700158673</v>
          </cell>
          <cell r="Y308">
            <v>69294.983400317346</v>
          </cell>
          <cell r="Z308">
            <v>34145.972866622818</v>
          </cell>
          <cell r="AA308">
            <v>102437.91859986846</v>
          </cell>
          <cell r="AB308">
            <v>31612.680174939585</v>
          </cell>
          <cell r="AC308">
            <v>189676.08104963752</v>
          </cell>
          <cell r="AD308">
            <v>31639.511796425719</v>
          </cell>
        </row>
        <row r="309">
          <cell r="C309" t="str">
            <v>Depreciation (Admin. &amp; Selling )</v>
          </cell>
          <cell r="E309">
            <v>8927.9242923219663</v>
          </cell>
          <cell r="F309">
            <v>44639.62146160983</v>
          </cell>
          <cell r="G309">
            <v>8060.0501920351098</v>
          </cell>
          <cell r="H309">
            <v>24180.15057610533</v>
          </cell>
          <cell r="I309">
            <v>7986.7295192217998</v>
          </cell>
          <cell r="J309">
            <v>15973.4590384436</v>
          </cell>
          <cell r="K309">
            <v>7443.6226442616662</v>
          </cell>
          <cell r="L309">
            <v>14887.245288523332</v>
          </cell>
          <cell r="M309">
            <v>10273.633395026813</v>
          </cell>
          <cell r="N309">
            <v>30820.900185080438</v>
          </cell>
          <cell r="O309">
            <v>9467.8604080380956</v>
          </cell>
          <cell r="P309">
            <v>56807.16244822857</v>
          </cell>
          <cell r="Q309">
            <v>7456.4063330721565</v>
          </cell>
          <cell r="R309">
            <v>37282.031665360781</v>
          </cell>
          <cell r="S309">
            <v>9717.2647832904422</v>
          </cell>
          <cell r="T309">
            <v>29151.794349871328</v>
          </cell>
          <cell r="U309">
            <v>29151.794349871328</v>
          </cell>
          <cell r="V309">
            <v>9166.6439597938333</v>
          </cell>
          <cell r="W309">
            <v>18333.287919587667</v>
          </cell>
          <cell r="X309">
            <v>9743.8978076707062</v>
          </cell>
          <cell r="Y309">
            <v>19487.795615341412</v>
          </cell>
          <cell r="Z309">
            <v>9602.8559018125379</v>
          </cell>
          <cell r="AA309">
            <v>28808.567705437614</v>
          </cell>
          <cell r="AB309">
            <v>8890.4191886934896</v>
          </cell>
          <cell r="AC309">
            <v>53342.515132160937</v>
          </cell>
          <cell r="AD309">
            <v>8897.9650329940669</v>
          </cell>
        </row>
        <row r="310">
          <cell r="C310" t="str">
            <v>Financial Charges -Capital Exp.</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C311" t="str">
            <v>Financial  Charges -Working Capital</v>
          </cell>
          <cell r="E311">
            <v>1593.5489361898781</v>
          </cell>
          <cell r="F311">
            <v>7967.7446809493904</v>
          </cell>
          <cell r="G311">
            <v>1457.6240215047092</v>
          </cell>
          <cell r="H311">
            <v>4372.8720645141275</v>
          </cell>
          <cell r="I311">
            <v>1446.6945190186796</v>
          </cell>
          <cell r="J311">
            <v>2893.3890380373591</v>
          </cell>
          <cell r="K311">
            <v>1359.6931738041301</v>
          </cell>
          <cell r="L311">
            <v>2719.3863476082602</v>
          </cell>
          <cell r="M311">
            <v>1819.174805065381</v>
          </cell>
          <cell r="N311">
            <v>5457.5244151961433</v>
          </cell>
          <cell r="O311">
            <v>1683.4853438562145</v>
          </cell>
          <cell r="P311">
            <v>10100.912063137286</v>
          </cell>
          <cell r="Q311">
            <v>1343.3633567120232</v>
          </cell>
          <cell r="R311">
            <v>6716.8167835601162</v>
          </cell>
          <cell r="S311">
            <v>1703.3864664491034</v>
          </cell>
          <cell r="T311">
            <v>5110.1593993473107</v>
          </cell>
          <cell r="U311">
            <v>5110.1593993473107</v>
          </cell>
          <cell r="V311">
            <v>1621.6858468907856</v>
          </cell>
          <cell r="W311">
            <v>3243.3716937815711</v>
          </cell>
          <cell r="X311">
            <v>1714.8673233328852</v>
          </cell>
          <cell r="Y311">
            <v>3429.7346466657705</v>
          </cell>
          <cell r="Z311">
            <v>1688.4217100899446</v>
          </cell>
          <cell r="AA311">
            <v>5065.2651302698341</v>
          </cell>
          <cell r="AB311">
            <v>1570.4294045608508</v>
          </cell>
          <cell r="AC311">
            <v>9422.5764273651039</v>
          </cell>
          <cell r="AD311">
            <v>1583.327445010292</v>
          </cell>
        </row>
        <row r="312">
          <cell r="C312" t="str">
            <v>Other Expenses (Charity &amp; Donation)</v>
          </cell>
          <cell r="E312">
            <v>1106.6312056874151</v>
          </cell>
          <cell r="F312">
            <v>5533.1560284370753</v>
          </cell>
          <cell r="G312">
            <v>1012.2389038227149</v>
          </cell>
          <cell r="H312">
            <v>3036.7167114681447</v>
          </cell>
          <cell r="I312">
            <v>1004.6489715407499</v>
          </cell>
          <cell r="J312">
            <v>2009.2979430814999</v>
          </cell>
          <cell r="K312">
            <v>944.23137069731274</v>
          </cell>
          <cell r="L312">
            <v>1888.4627413946255</v>
          </cell>
          <cell r="M312">
            <v>1263.3158368509594</v>
          </cell>
          <cell r="N312">
            <v>3789.9475105528782</v>
          </cell>
          <cell r="O312">
            <v>1169.0870443445933</v>
          </cell>
          <cell r="P312">
            <v>7014.5222660675599</v>
          </cell>
          <cell r="Q312">
            <v>932.89121993890501</v>
          </cell>
          <cell r="R312">
            <v>4664.4560996945247</v>
          </cell>
          <cell r="S312">
            <v>1182.9072683674331</v>
          </cell>
          <cell r="T312">
            <v>3548.7218051022992</v>
          </cell>
          <cell r="U312">
            <v>3548.7218051022992</v>
          </cell>
          <cell r="V312">
            <v>1126.1707270074899</v>
          </cell>
          <cell r="W312">
            <v>2252.3414540149797</v>
          </cell>
          <cell r="X312">
            <v>1190.8800856478372</v>
          </cell>
          <cell r="Y312">
            <v>2381.7601712956744</v>
          </cell>
          <cell r="Z312">
            <v>1172.5150764513503</v>
          </cell>
          <cell r="AA312">
            <v>3517.5452293540511</v>
          </cell>
          <cell r="AB312">
            <v>1090.5759753894795</v>
          </cell>
          <cell r="AC312">
            <v>6543.4558523368769</v>
          </cell>
          <cell r="AD312">
            <v>1099.5329479238142</v>
          </cell>
        </row>
        <row r="313">
          <cell r="C313" t="str">
            <v>Other Expenses ( W.P.P.F.)</v>
          </cell>
          <cell r="E313">
            <v>9648.5900544295782</v>
          </cell>
          <cell r="F313">
            <v>48242.950272147893</v>
          </cell>
          <cell r="G313">
            <v>11903.296926179239</v>
          </cell>
          <cell r="H313">
            <v>35709.890778537716</v>
          </cell>
          <cell r="I313">
            <v>11129.264448460395</v>
          </cell>
          <cell r="J313">
            <v>22258.52889692079</v>
          </cell>
          <cell r="K313">
            <v>12765.472506264148</v>
          </cell>
          <cell r="L313">
            <v>25530.945012528297</v>
          </cell>
          <cell r="M313">
            <v>8697.6853037127148</v>
          </cell>
          <cell r="N313">
            <v>26093.055911138144</v>
          </cell>
          <cell r="O313">
            <v>8477.4712963599068</v>
          </cell>
          <cell r="P313">
            <v>50864.827778159437</v>
          </cell>
          <cell r="Q313">
            <v>11947.065838432633</v>
          </cell>
          <cell r="R313">
            <v>59735.329192163161</v>
          </cell>
          <cell r="S313">
            <v>8315.7504207462025</v>
          </cell>
          <cell r="T313">
            <v>24947.251262238606</v>
          </cell>
          <cell r="U313">
            <v>24947.251262238606</v>
          </cell>
          <cell r="V313">
            <v>10259.06027175571</v>
          </cell>
          <cell r="W313">
            <v>20518.120543511421</v>
          </cell>
          <cell r="X313">
            <v>11041.057493260387</v>
          </cell>
          <cell r="Y313">
            <v>22082.114986520774</v>
          </cell>
          <cell r="Z313">
            <v>9071.1554130804143</v>
          </cell>
          <cell r="AA313">
            <v>27213.466239241243</v>
          </cell>
          <cell r="AB313">
            <v>9315.9406486366006</v>
          </cell>
          <cell r="AC313">
            <v>55895.643891819607</v>
          </cell>
          <cell r="AD313">
            <v>9978.3839229744535</v>
          </cell>
        </row>
        <row r="314">
          <cell r="C314" t="str">
            <v>Workers Welfare Fund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E315">
            <v>71008.919001632588</v>
          </cell>
          <cell r="F315">
            <v>213026.75700489775</v>
          </cell>
          <cell r="G315">
            <v>68239.894960403064</v>
          </cell>
          <cell r="H315">
            <v>204719.68488120919</v>
          </cell>
          <cell r="I315">
            <v>87671.348807853516</v>
          </cell>
          <cell r="J315">
            <v>263014.04642356053</v>
          </cell>
          <cell r="K315">
            <v>85084.685004481464</v>
          </cell>
          <cell r="L315">
            <v>255254.05501344439</v>
          </cell>
          <cell r="M315">
            <v>102026.0406777734</v>
          </cell>
          <cell r="N315">
            <v>306078.12203332019</v>
          </cell>
          <cell r="O315">
            <v>73537.795701588882</v>
          </cell>
          <cell r="P315">
            <v>220613.38710476665</v>
          </cell>
          <cell r="Q315">
            <v>63709.581972225693</v>
          </cell>
          <cell r="R315">
            <v>191128.74591667709</v>
          </cell>
          <cell r="S315">
            <v>88423.086142249173</v>
          </cell>
          <cell r="T315">
            <v>265269.25842674752</v>
          </cell>
          <cell r="U315">
            <v>265269.25842674752</v>
          </cell>
          <cell r="V315">
            <v>89348.496873179378</v>
          </cell>
          <cell r="W315">
            <v>268045.49061953812</v>
          </cell>
          <cell r="X315">
            <v>77968.236606518607</v>
          </cell>
          <cell r="Y315">
            <v>233904.70981955581</v>
          </cell>
          <cell r="Z315">
            <v>101301.83926049432</v>
          </cell>
          <cell r="AA315">
            <v>303905.51778148295</v>
          </cell>
          <cell r="AB315">
            <v>71496.383225863276</v>
          </cell>
          <cell r="AC315">
            <v>428978.29935517965</v>
          </cell>
          <cell r="AD315">
            <v>78664.65943192452</v>
          </cell>
        </row>
        <row r="316">
          <cell r="C316" t="str">
            <v>Operating Profit</v>
          </cell>
          <cell r="E316">
            <v>304679.42882445431</v>
          </cell>
          <cell r="F316">
            <v>914038.28647336294</v>
          </cell>
          <cell r="G316">
            <v>307448.45286568382</v>
          </cell>
          <cell r="H316">
            <v>922345.35859705147</v>
          </cell>
          <cell r="I316">
            <v>288016.99901823339</v>
          </cell>
          <cell r="J316">
            <v>864050.99705470016</v>
          </cell>
          <cell r="K316">
            <v>290603.66282160545</v>
          </cell>
          <cell r="L316">
            <v>871810.98846481636</v>
          </cell>
          <cell r="M316">
            <v>273662.3071483135</v>
          </cell>
          <cell r="N316">
            <v>820986.9214449405</v>
          </cell>
          <cell r="O316">
            <v>302150.55212449806</v>
          </cell>
          <cell r="P316">
            <v>906451.65637349419</v>
          </cell>
          <cell r="Q316">
            <v>311978.76585386123</v>
          </cell>
          <cell r="R316">
            <v>935936.29756158369</v>
          </cell>
          <cell r="S316">
            <v>287265.26168383774</v>
          </cell>
          <cell r="T316">
            <v>861795.78505151323</v>
          </cell>
          <cell r="U316">
            <v>861795.78505151323</v>
          </cell>
          <cell r="V316">
            <v>286339.85095290752</v>
          </cell>
          <cell r="W316">
            <v>859019.55285872263</v>
          </cell>
          <cell r="X316">
            <v>297720.11121956829</v>
          </cell>
          <cell r="Y316">
            <v>893160.33365870488</v>
          </cell>
          <cell r="Z316">
            <v>274386.50856559258</v>
          </cell>
          <cell r="AA316">
            <v>823159.52569677774</v>
          </cell>
          <cell r="AB316">
            <v>304191.96460022364</v>
          </cell>
          <cell r="AC316">
            <v>1825151.787601342</v>
          </cell>
          <cell r="AD316">
            <v>297023.6883941624</v>
          </cell>
        </row>
        <row r="317">
          <cell r="U317">
            <v>0</v>
          </cell>
        </row>
        <row r="318">
          <cell r="C318" t="str">
            <v>Other Income</v>
          </cell>
          <cell r="U318">
            <v>0</v>
          </cell>
        </row>
        <row r="319">
          <cell r="C319" t="str">
            <v>H.D</v>
          </cell>
          <cell r="E319">
            <v>15352.228571428572</v>
          </cell>
          <cell r="F319">
            <v>76761.142857142855</v>
          </cell>
          <cell r="G319">
            <v>13804.129032258064</v>
          </cell>
          <cell r="H319">
            <v>41412.387096774197</v>
          </cell>
          <cell r="I319">
            <v>16932</v>
          </cell>
          <cell r="J319">
            <v>33864</v>
          </cell>
          <cell r="K319">
            <v>317514.93333333335</v>
          </cell>
          <cell r="L319">
            <v>635029.8666666667</v>
          </cell>
          <cell r="M319">
            <v>309289.29032258067</v>
          </cell>
          <cell r="N319">
            <v>927867.87096774206</v>
          </cell>
          <cell r="O319">
            <v>264203.22222222225</v>
          </cell>
          <cell r="P319">
            <v>1585219.3333333335</v>
          </cell>
          <cell r="Q319">
            <v>72764.571428571435</v>
          </cell>
          <cell r="R319">
            <v>363822.85714285716</v>
          </cell>
          <cell r="S319">
            <v>14837.75</v>
          </cell>
          <cell r="T319">
            <v>44513.25</v>
          </cell>
          <cell r="U319">
            <v>44513.25</v>
          </cell>
          <cell r="V319">
            <v>19002.533333333333</v>
          </cell>
          <cell r="W319">
            <v>38005.066666666666</v>
          </cell>
          <cell r="X319">
            <v>14756.137931034482</v>
          </cell>
          <cell r="Y319">
            <v>29512.275862068964</v>
          </cell>
          <cell r="Z319">
            <v>15316.387096774193</v>
          </cell>
          <cell r="AA319">
            <v>45949.161290322576</v>
          </cell>
          <cell r="AB319">
            <v>13728.648648648648</v>
          </cell>
          <cell r="AC319">
            <v>82371.891891891893</v>
          </cell>
          <cell r="AD319">
            <v>92960.21675655873</v>
          </cell>
        </row>
        <row r="320">
          <cell r="C320" t="str">
            <v>Others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row>
        <row r="321">
          <cell r="E321">
            <v>15352.228571428572</v>
          </cell>
          <cell r="F321">
            <v>76761.142857142855</v>
          </cell>
          <cell r="G321">
            <v>13804.129032258064</v>
          </cell>
          <cell r="H321">
            <v>41412.387096774197</v>
          </cell>
          <cell r="I321">
            <v>16932</v>
          </cell>
          <cell r="J321">
            <v>33864</v>
          </cell>
          <cell r="K321">
            <v>317514.93333333335</v>
          </cell>
          <cell r="L321">
            <v>635029.8666666667</v>
          </cell>
          <cell r="M321">
            <v>309289.29032258067</v>
          </cell>
          <cell r="N321">
            <v>927867.87096774206</v>
          </cell>
          <cell r="O321">
            <v>264203.22222222225</v>
          </cell>
          <cell r="P321">
            <v>1585219.3333333335</v>
          </cell>
          <cell r="Q321">
            <v>72764.571428571435</v>
          </cell>
          <cell r="R321">
            <v>363822.85714285716</v>
          </cell>
          <cell r="S321">
            <v>14837.75</v>
          </cell>
          <cell r="T321">
            <v>44513.25</v>
          </cell>
          <cell r="U321">
            <v>44513.25</v>
          </cell>
          <cell r="V321">
            <v>19002.533333333333</v>
          </cell>
          <cell r="W321">
            <v>38005.066666666666</v>
          </cell>
          <cell r="X321">
            <v>14756.137931034482</v>
          </cell>
          <cell r="Y321">
            <v>29512.275862068964</v>
          </cell>
          <cell r="Z321">
            <v>15316.387096774193</v>
          </cell>
          <cell r="AA321">
            <v>45949.161290322576</v>
          </cell>
          <cell r="AB321">
            <v>13728.648648648648</v>
          </cell>
          <cell r="AC321">
            <v>82371.891891891893</v>
          </cell>
          <cell r="AD321">
            <v>92960.21675655873</v>
          </cell>
        </row>
        <row r="322">
          <cell r="U322">
            <v>0</v>
          </cell>
        </row>
        <row r="323">
          <cell r="C323" t="str">
            <v>Profit before tax</v>
          </cell>
          <cell r="E323">
            <v>320031.65739588288</v>
          </cell>
          <cell r="F323">
            <v>960094.97218764864</v>
          </cell>
          <cell r="G323">
            <v>321252.58189794188</v>
          </cell>
          <cell r="H323">
            <v>963757.74569382565</v>
          </cell>
          <cell r="I323">
            <v>304948.99901823339</v>
          </cell>
          <cell r="J323">
            <v>914846.99705470016</v>
          </cell>
          <cell r="K323">
            <v>608118.5961549388</v>
          </cell>
          <cell r="L323">
            <v>1824355.7884648163</v>
          </cell>
          <cell r="M323">
            <v>582951.59747089422</v>
          </cell>
          <cell r="N323">
            <v>1748854.7924126827</v>
          </cell>
          <cell r="O323">
            <v>566353.77434672031</v>
          </cell>
          <cell r="P323">
            <v>1699061.3230401608</v>
          </cell>
          <cell r="Q323">
            <v>384743.33728243265</v>
          </cell>
          <cell r="R323">
            <v>1154230.0118472979</v>
          </cell>
          <cell r="S323">
            <v>302103.01168383774</v>
          </cell>
          <cell r="T323">
            <v>906309.03505151323</v>
          </cell>
          <cell r="U323">
            <v>906309.03505151323</v>
          </cell>
          <cell r="V323">
            <v>305342.38428624085</v>
          </cell>
          <cell r="W323">
            <v>916027.15285872249</v>
          </cell>
          <cell r="X323">
            <v>312476.24915060279</v>
          </cell>
          <cell r="Y323">
            <v>937428.7474518083</v>
          </cell>
          <cell r="Z323">
            <v>289702.89566236676</v>
          </cell>
          <cell r="AA323">
            <v>869108.68698710029</v>
          </cell>
          <cell r="AB323">
            <v>317920.61324887228</v>
          </cell>
          <cell r="AC323">
            <v>1907523.6794932336</v>
          </cell>
          <cell r="AD323">
            <v>389983.90515072114</v>
          </cell>
        </row>
        <row r="324">
          <cell r="U324">
            <v>0</v>
          </cell>
        </row>
        <row r="325">
          <cell r="C325" t="str">
            <v>Taxation</v>
          </cell>
          <cell r="U325">
            <v>0</v>
          </cell>
        </row>
        <row r="326">
          <cell r="C326" t="str">
            <v>Presumptive</v>
          </cell>
          <cell r="E326">
            <v>99465</v>
          </cell>
          <cell r="F326">
            <v>497325</v>
          </cell>
          <cell r="G326">
            <v>99465</v>
          </cell>
          <cell r="H326">
            <v>298395</v>
          </cell>
          <cell r="I326">
            <v>99465</v>
          </cell>
          <cell r="J326">
            <v>198930</v>
          </cell>
          <cell r="K326">
            <v>99465</v>
          </cell>
          <cell r="L326">
            <v>198930</v>
          </cell>
          <cell r="M326">
            <v>99465</v>
          </cell>
          <cell r="N326">
            <v>298395</v>
          </cell>
          <cell r="O326">
            <v>99465</v>
          </cell>
          <cell r="P326">
            <v>596790</v>
          </cell>
          <cell r="Q326">
            <v>99465</v>
          </cell>
          <cell r="R326">
            <v>497325</v>
          </cell>
          <cell r="S326">
            <v>99465</v>
          </cell>
          <cell r="T326">
            <v>298395</v>
          </cell>
          <cell r="U326">
            <v>298395</v>
          </cell>
          <cell r="V326">
            <v>99465</v>
          </cell>
          <cell r="W326">
            <v>198930</v>
          </cell>
          <cell r="X326">
            <v>99465</v>
          </cell>
          <cell r="Y326">
            <v>198930</v>
          </cell>
          <cell r="Z326">
            <v>99465</v>
          </cell>
          <cell r="AA326">
            <v>298395</v>
          </cell>
          <cell r="AB326">
            <v>99465</v>
          </cell>
          <cell r="AC326">
            <v>596790</v>
          </cell>
          <cell r="AD326">
            <v>99465</v>
          </cell>
        </row>
        <row r="327">
          <cell r="C327" t="str">
            <v>Others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E328">
            <v>99465</v>
          </cell>
          <cell r="F328">
            <v>298395</v>
          </cell>
          <cell r="G328">
            <v>99465</v>
          </cell>
          <cell r="H328">
            <v>298395</v>
          </cell>
          <cell r="I328">
            <v>99465</v>
          </cell>
          <cell r="J328">
            <v>298395</v>
          </cell>
          <cell r="K328">
            <v>99465</v>
          </cell>
          <cell r="L328">
            <v>298395</v>
          </cell>
          <cell r="M328">
            <v>99465</v>
          </cell>
          <cell r="N328">
            <v>298395</v>
          </cell>
          <cell r="O328">
            <v>99465</v>
          </cell>
          <cell r="P328">
            <v>298395</v>
          </cell>
          <cell r="Q328">
            <v>99465</v>
          </cell>
          <cell r="R328">
            <v>298395</v>
          </cell>
          <cell r="S328">
            <v>99465</v>
          </cell>
          <cell r="T328">
            <v>298395</v>
          </cell>
          <cell r="U328">
            <v>298395</v>
          </cell>
          <cell r="V328">
            <v>99465</v>
          </cell>
          <cell r="W328">
            <v>298395</v>
          </cell>
          <cell r="X328">
            <v>99465</v>
          </cell>
          <cell r="Y328">
            <v>298395</v>
          </cell>
          <cell r="Z328">
            <v>99465</v>
          </cell>
          <cell r="AA328">
            <v>298395</v>
          </cell>
          <cell r="AB328">
            <v>99465</v>
          </cell>
          <cell r="AC328">
            <v>596790</v>
          </cell>
          <cell r="AD328">
            <v>99465</v>
          </cell>
        </row>
        <row r="329">
          <cell r="C329" t="str">
            <v>Net Profit after taxation</v>
          </cell>
          <cell r="E329">
            <v>220566.65739588288</v>
          </cell>
          <cell r="F329">
            <v>661699.97218764864</v>
          </cell>
          <cell r="G329">
            <v>221787.58189794188</v>
          </cell>
          <cell r="H329">
            <v>665362.74569382565</v>
          </cell>
          <cell r="I329">
            <v>205483.99901823339</v>
          </cell>
          <cell r="J329">
            <v>616451.99705470016</v>
          </cell>
          <cell r="K329">
            <v>508653.5961549388</v>
          </cell>
          <cell r="L329">
            <v>1525960.7884648163</v>
          </cell>
          <cell r="M329">
            <v>483486.59747089422</v>
          </cell>
          <cell r="N329">
            <v>1450459.7924126827</v>
          </cell>
          <cell r="O329">
            <v>466888.77434672031</v>
          </cell>
          <cell r="P329">
            <v>1400666.3230401608</v>
          </cell>
          <cell r="Q329">
            <v>285278.33728243265</v>
          </cell>
          <cell r="R329">
            <v>855835.01184729789</v>
          </cell>
          <cell r="S329">
            <v>202638.01168383774</v>
          </cell>
          <cell r="T329">
            <v>607914.03505151323</v>
          </cell>
          <cell r="U329">
            <v>607914.03505151323</v>
          </cell>
          <cell r="V329">
            <v>205877.38428624085</v>
          </cell>
          <cell r="W329">
            <v>617632.15285872249</v>
          </cell>
          <cell r="X329">
            <v>213011.24915060279</v>
          </cell>
          <cell r="Y329">
            <v>639033.7474518083</v>
          </cell>
          <cell r="Z329">
            <v>190237.89566236676</v>
          </cell>
          <cell r="AA329">
            <v>570713.68698710029</v>
          </cell>
          <cell r="AB329">
            <v>218455.61324887228</v>
          </cell>
          <cell r="AC329">
            <v>1310733.6794932336</v>
          </cell>
          <cell r="AD329">
            <v>290518.90515072114</v>
          </cell>
        </row>
        <row r="331">
          <cell r="E331">
            <v>913</v>
          </cell>
          <cell r="G331">
            <v>944</v>
          </cell>
          <cell r="I331">
            <v>975</v>
          </cell>
          <cell r="K331">
            <v>1006</v>
          </cell>
          <cell r="M331">
            <v>1037</v>
          </cell>
          <cell r="O331">
            <v>1068</v>
          </cell>
          <cell r="Q331">
            <v>1099</v>
          </cell>
          <cell r="S331">
            <v>1130</v>
          </cell>
          <cell r="V331">
            <v>1161</v>
          </cell>
          <cell r="X331">
            <v>1192</v>
          </cell>
          <cell r="Z331">
            <v>1223</v>
          </cell>
          <cell r="AB331">
            <v>1254</v>
          </cell>
          <cell r="AD331" t="str">
            <v>Yearly</v>
          </cell>
        </row>
        <row r="332">
          <cell r="C332" t="str">
            <v>HiACE DUAL AC</v>
          </cell>
          <cell r="E332" t="str">
            <v>Per Unit</v>
          </cell>
          <cell r="F332" t="str">
            <v>Total</v>
          </cell>
          <cell r="G332" t="str">
            <v>Per Unit</v>
          </cell>
          <cell r="H332" t="str">
            <v>Total</v>
          </cell>
          <cell r="I332" t="str">
            <v>Per Unit</v>
          </cell>
          <cell r="J332" t="str">
            <v>Total</v>
          </cell>
          <cell r="K332" t="str">
            <v>Per Unit</v>
          </cell>
          <cell r="L332" t="str">
            <v>Total</v>
          </cell>
          <cell r="M332" t="str">
            <v>Per Unit</v>
          </cell>
          <cell r="N332" t="str">
            <v>Total</v>
          </cell>
          <cell r="O332" t="str">
            <v>Per Unit</v>
          </cell>
          <cell r="P332" t="str">
            <v>Total</v>
          </cell>
          <cell r="Q332" t="str">
            <v>Per Unit</v>
          </cell>
          <cell r="R332" t="str">
            <v>Total</v>
          </cell>
          <cell r="S332" t="str">
            <v>Per Unit</v>
          </cell>
          <cell r="U332" t="str">
            <v>Total</v>
          </cell>
          <cell r="V332" t="str">
            <v>Per Unit</v>
          </cell>
          <cell r="W332" t="str">
            <v>Total</v>
          </cell>
          <cell r="X332" t="str">
            <v>Per Unit</v>
          </cell>
          <cell r="Y332" t="str">
            <v>Total</v>
          </cell>
          <cell r="Z332" t="str">
            <v>Per Unit</v>
          </cell>
          <cell r="AA332" t="str">
            <v>Total</v>
          </cell>
          <cell r="AB332" t="str">
            <v>Per Unit</v>
          </cell>
          <cell r="AC332" t="str">
            <v>Total</v>
          </cell>
          <cell r="AD332" t="str">
            <v>Average</v>
          </cell>
        </row>
        <row r="334">
          <cell r="C334" t="str">
            <v>Sales Units</v>
          </cell>
          <cell r="E334">
            <v>10</v>
          </cell>
          <cell r="F334">
            <v>10</v>
          </cell>
          <cell r="G334">
            <v>10</v>
          </cell>
          <cell r="H334">
            <v>10</v>
          </cell>
          <cell r="I334">
            <v>10</v>
          </cell>
          <cell r="J334">
            <v>10</v>
          </cell>
          <cell r="K334">
            <v>10</v>
          </cell>
          <cell r="L334">
            <v>10</v>
          </cell>
          <cell r="M334">
            <v>10</v>
          </cell>
          <cell r="N334">
            <v>10</v>
          </cell>
          <cell r="O334">
            <v>10</v>
          </cell>
          <cell r="P334">
            <v>10</v>
          </cell>
          <cell r="Q334">
            <v>10</v>
          </cell>
          <cell r="R334">
            <v>10</v>
          </cell>
          <cell r="S334">
            <v>10</v>
          </cell>
          <cell r="T334">
            <v>10</v>
          </cell>
          <cell r="U334">
            <v>10</v>
          </cell>
          <cell r="V334">
            <v>10</v>
          </cell>
          <cell r="W334">
            <v>10</v>
          </cell>
          <cell r="X334">
            <v>10</v>
          </cell>
          <cell r="Y334">
            <v>10</v>
          </cell>
          <cell r="Z334">
            <v>10</v>
          </cell>
          <cell r="AA334">
            <v>10</v>
          </cell>
          <cell r="AB334">
            <v>10</v>
          </cell>
          <cell r="AC334">
            <v>10</v>
          </cell>
          <cell r="AD334">
            <v>120</v>
          </cell>
        </row>
        <row r="335">
          <cell r="U335">
            <v>0</v>
          </cell>
        </row>
        <row r="336">
          <cell r="C336" t="str">
            <v>Selling Price</v>
          </cell>
          <cell r="E336">
            <v>1810000</v>
          </cell>
          <cell r="F336">
            <v>18100000</v>
          </cell>
          <cell r="G336">
            <v>1810000</v>
          </cell>
          <cell r="H336">
            <v>18100000</v>
          </cell>
          <cell r="I336">
            <v>1810000</v>
          </cell>
          <cell r="J336">
            <v>18100000</v>
          </cell>
          <cell r="K336">
            <v>1810000</v>
          </cell>
          <cell r="L336">
            <v>18100000</v>
          </cell>
          <cell r="M336">
            <v>1810000</v>
          </cell>
          <cell r="N336">
            <v>18100000</v>
          </cell>
          <cell r="O336">
            <v>1810000</v>
          </cell>
          <cell r="P336">
            <v>18100000</v>
          </cell>
          <cell r="Q336">
            <v>1810000</v>
          </cell>
          <cell r="R336">
            <v>18100000</v>
          </cell>
          <cell r="S336">
            <v>1810000</v>
          </cell>
          <cell r="T336">
            <v>18100000</v>
          </cell>
          <cell r="U336">
            <v>18100000</v>
          </cell>
          <cell r="V336">
            <v>1810000</v>
          </cell>
          <cell r="W336">
            <v>18100000</v>
          </cell>
          <cell r="X336">
            <v>1810000</v>
          </cell>
          <cell r="Y336">
            <v>18100000</v>
          </cell>
          <cell r="Z336">
            <v>1810000</v>
          </cell>
          <cell r="AA336">
            <v>18100000</v>
          </cell>
          <cell r="AB336">
            <v>1810000</v>
          </cell>
          <cell r="AC336">
            <v>18100000</v>
          </cell>
          <cell r="AD336">
            <v>1810000</v>
          </cell>
        </row>
        <row r="337">
          <cell r="C337" t="str">
            <v>Less: Dealer commission</v>
          </cell>
          <cell r="E337">
            <v>-30000</v>
          </cell>
          <cell r="F337">
            <v>-300000</v>
          </cell>
          <cell r="G337">
            <v>-30000</v>
          </cell>
          <cell r="H337">
            <v>-300000</v>
          </cell>
          <cell r="I337">
            <v>-30000</v>
          </cell>
          <cell r="J337">
            <v>-300000</v>
          </cell>
          <cell r="K337">
            <v>-30000</v>
          </cell>
          <cell r="L337">
            <v>-300000</v>
          </cell>
          <cell r="M337">
            <v>-30000</v>
          </cell>
          <cell r="N337">
            <v>-300000</v>
          </cell>
          <cell r="O337">
            <v>-30000</v>
          </cell>
          <cell r="P337">
            <v>-300000</v>
          </cell>
          <cell r="Q337">
            <v>-30000</v>
          </cell>
          <cell r="R337">
            <v>-300000</v>
          </cell>
          <cell r="S337">
            <v>-30000</v>
          </cell>
          <cell r="T337">
            <v>-300000</v>
          </cell>
          <cell r="U337">
            <v>-300000</v>
          </cell>
          <cell r="V337">
            <v>-30000</v>
          </cell>
          <cell r="W337">
            <v>-300000</v>
          </cell>
          <cell r="X337">
            <v>-30000</v>
          </cell>
          <cell r="Y337">
            <v>-300000</v>
          </cell>
          <cell r="Z337">
            <v>-30000</v>
          </cell>
          <cell r="AA337">
            <v>-300000</v>
          </cell>
          <cell r="AB337">
            <v>-30000</v>
          </cell>
          <cell r="AC337">
            <v>-300000</v>
          </cell>
          <cell r="AD337">
            <v>-30000</v>
          </cell>
        </row>
        <row r="338">
          <cell r="C338" t="str">
            <v xml:space="preserve">  Sales tax</v>
          </cell>
          <cell r="E338">
            <v>-236086.95652173914</v>
          </cell>
          <cell r="F338">
            <v>-2360869.5652173916</v>
          </cell>
          <cell r="G338">
            <v>-236086.95652173914</v>
          </cell>
          <cell r="H338">
            <v>-2360869.5652173916</v>
          </cell>
          <cell r="I338">
            <v>-236086.95652173914</v>
          </cell>
          <cell r="J338">
            <v>-2360869.5652173916</v>
          </cell>
          <cell r="K338">
            <v>-236086.95652173914</v>
          </cell>
          <cell r="L338">
            <v>-2360869.5652173916</v>
          </cell>
          <cell r="M338">
            <v>-236086.95652173914</v>
          </cell>
          <cell r="N338">
            <v>-2360869.5652173916</v>
          </cell>
          <cell r="O338">
            <v>-236086.95652173914</v>
          </cell>
          <cell r="P338">
            <v>-2360869.5652173916</v>
          </cell>
          <cell r="Q338">
            <v>-236086.95652173914</v>
          </cell>
          <cell r="R338">
            <v>-2360869.5652173916</v>
          </cell>
          <cell r="S338">
            <v>-236086.95652173914</v>
          </cell>
          <cell r="T338">
            <v>-2360869.5652173916</v>
          </cell>
          <cell r="U338">
            <v>-2360869.5652173916</v>
          </cell>
          <cell r="V338">
            <v>-236086.95652173914</v>
          </cell>
          <cell r="W338">
            <v>-2360869.5652173916</v>
          </cell>
          <cell r="X338">
            <v>-236086.95652173914</v>
          </cell>
          <cell r="Y338">
            <v>-2360869.5652173916</v>
          </cell>
          <cell r="Z338">
            <v>-236086.95652173914</v>
          </cell>
          <cell r="AA338">
            <v>-2360869.5652173916</v>
          </cell>
          <cell r="AB338">
            <v>-236086.95652173914</v>
          </cell>
          <cell r="AC338">
            <v>-2360869.5652173916</v>
          </cell>
          <cell r="AD338">
            <v>-236086.95652173911</v>
          </cell>
        </row>
        <row r="339">
          <cell r="C339" t="str">
            <v>Net Sales</v>
          </cell>
          <cell r="E339">
            <v>1543913.0434782607</v>
          </cell>
          <cell r="F339">
            <v>15439130.434782607</v>
          </cell>
          <cell r="G339">
            <v>1543913.0434782607</v>
          </cell>
          <cell r="H339">
            <v>15439130.434782607</v>
          </cell>
          <cell r="I339">
            <v>1543913.0434782607</v>
          </cell>
          <cell r="J339">
            <v>15439130.434782607</v>
          </cell>
          <cell r="K339">
            <v>1543913.0434782607</v>
          </cell>
          <cell r="L339">
            <v>15439130.434782607</v>
          </cell>
          <cell r="M339">
            <v>1543913.0434782607</v>
          </cell>
          <cell r="N339">
            <v>15439130.434782607</v>
          </cell>
          <cell r="O339">
            <v>1543913.0434782607</v>
          </cell>
          <cell r="P339">
            <v>15439130.434782607</v>
          </cell>
          <cell r="Q339">
            <v>1543913.0434782607</v>
          </cell>
          <cell r="R339">
            <v>15439130.434782607</v>
          </cell>
          <cell r="S339">
            <v>1543913.0434782607</v>
          </cell>
          <cell r="T339">
            <v>15439130.434782607</v>
          </cell>
          <cell r="U339">
            <v>15439130.434782607</v>
          </cell>
          <cell r="V339">
            <v>1543913.0434782607</v>
          </cell>
          <cell r="W339">
            <v>15439130.434782607</v>
          </cell>
          <cell r="X339">
            <v>1543913.0434782607</v>
          </cell>
          <cell r="Y339">
            <v>15439130.434782607</v>
          </cell>
          <cell r="Z339">
            <v>1543913.0434782607</v>
          </cell>
          <cell r="AA339">
            <v>15439130.434782607</v>
          </cell>
          <cell r="AB339">
            <v>1543913.0434782607</v>
          </cell>
          <cell r="AC339">
            <v>15439130.434782607</v>
          </cell>
          <cell r="AD339">
            <v>1543913.043478261</v>
          </cell>
        </row>
        <row r="340">
          <cell r="C340" t="str">
            <v>Landed cost</v>
          </cell>
          <cell r="E340">
            <v>1181065</v>
          </cell>
          <cell r="F340">
            <v>11810650</v>
          </cell>
          <cell r="G340">
            <v>1181065</v>
          </cell>
          <cell r="H340">
            <v>11810650</v>
          </cell>
          <cell r="I340">
            <v>1181065</v>
          </cell>
          <cell r="J340">
            <v>11810650</v>
          </cell>
          <cell r="K340">
            <v>1181065</v>
          </cell>
          <cell r="L340">
            <v>11810650</v>
          </cell>
          <cell r="M340">
            <v>1181065</v>
          </cell>
          <cell r="N340">
            <v>11810650</v>
          </cell>
          <cell r="O340">
            <v>1181065</v>
          </cell>
          <cell r="P340">
            <v>11810650</v>
          </cell>
          <cell r="Q340">
            <v>1181065</v>
          </cell>
          <cell r="R340">
            <v>11810650</v>
          </cell>
          <cell r="S340">
            <v>1181065</v>
          </cell>
          <cell r="T340">
            <v>11810650</v>
          </cell>
          <cell r="U340">
            <v>11810650</v>
          </cell>
          <cell r="V340">
            <v>1181065</v>
          </cell>
          <cell r="W340">
            <v>11810650</v>
          </cell>
          <cell r="X340">
            <v>1181065</v>
          </cell>
          <cell r="Y340">
            <v>11810650</v>
          </cell>
          <cell r="Z340">
            <v>1181065</v>
          </cell>
          <cell r="AA340">
            <v>11810650</v>
          </cell>
          <cell r="AB340">
            <v>1181065</v>
          </cell>
          <cell r="AC340">
            <v>11810650</v>
          </cell>
          <cell r="AD340">
            <v>1181065</v>
          </cell>
          <cell r="AF340">
            <v>141727800</v>
          </cell>
        </row>
        <row r="341">
          <cell r="C341" t="str">
            <v>Gross Profit</v>
          </cell>
          <cell r="E341">
            <v>362848.04347826075</v>
          </cell>
          <cell r="F341">
            <v>3628480.4347826075</v>
          </cell>
          <cell r="G341">
            <v>362848.04347826075</v>
          </cell>
          <cell r="H341">
            <v>3628480.4347826075</v>
          </cell>
          <cell r="I341">
            <v>362848.04347826075</v>
          </cell>
          <cell r="J341">
            <v>3628480.4347826075</v>
          </cell>
          <cell r="K341">
            <v>362848.04347826075</v>
          </cell>
          <cell r="L341">
            <v>3628480.4347826075</v>
          </cell>
          <cell r="M341">
            <v>362848.04347826075</v>
          </cell>
          <cell r="N341">
            <v>3628480.4347826075</v>
          </cell>
          <cell r="O341">
            <v>362848.04347826075</v>
          </cell>
          <cell r="P341">
            <v>3628480.4347826075</v>
          </cell>
          <cell r="Q341">
            <v>362848.04347826075</v>
          </cell>
          <cell r="R341">
            <v>3628480.4347826075</v>
          </cell>
          <cell r="S341">
            <v>362848.04347826075</v>
          </cell>
          <cell r="T341">
            <v>3628480.4347826075</v>
          </cell>
          <cell r="U341">
            <v>3628480.4347826075</v>
          </cell>
          <cell r="V341">
            <v>362848.04347826075</v>
          </cell>
          <cell r="W341">
            <v>3628480.4347826075</v>
          </cell>
          <cell r="X341">
            <v>362848.04347826075</v>
          </cell>
          <cell r="Y341">
            <v>3628480.4347826075</v>
          </cell>
          <cell r="Z341">
            <v>362848.04347826075</v>
          </cell>
          <cell r="AA341">
            <v>3628480.4347826075</v>
          </cell>
          <cell r="AB341">
            <v>362848.04347826075</v>
          </cell>
          <cell r="AC341">
            <v>3628480.4347826075</v>
          </cell>
          <cell r="AD341">
            <v>362848.04347826098</v>
          </cell>
        </row>
        <row r="342">
          <cell r="U342">
            <v>0</v>
          </cell>
        </row>
        <row r="343">
          <cell r="U343">
            <v>0</v>
          </cell>
        </row>
        <row r="344">
          <cell r="C344" t="str">
            <v>Other Expenses</v>
          </cell>
          <cell r="U344">
            <v>0</v>
          </cell>
        </row>
        <row r="345">
          <cell r="C345" t="str">
            <v>Selling Expenses</v>
          </cell>
          <cell r="E345">
            <v>15580.366396615698</v>
          </cell>
          <cell r="F345">
            <v>155803.66396615698</v>
          </cell>
          <cell r="G345">
            <v>14065.815418598198</v>
          </cell>
          <cell r="H345">
            <v>140658.15418598198</v>
          </cell>
          <cell r="I345">
            <v>13937.86149454217</v>
          </cell>
          <cell r="J345">
            <v>139378.61494542169</v>
          </cell>
          <cell r="K345">
            <v>12990.070739676898</v>
          </cell>
          <cell r="L345">
            <v>129900.70739676898</v>
          </cell>
          <cell r="M345">
            <v>17928.80038831451</v>
          </cell>
          <cell r="N345">
            <v>179288.00388314511</v>
          </cell>
          <cell r="O345">
            <v>16522.62377225871</v>
          </cell>
          <cell r="P345">
            <v>165226.2377225871</v>
          </cell>
          <cell r="Q345">
            <v>13012.379906852413</v>
          </cell>
          <cell r="R345">
            <v>130123.79906852412</v>
          </cell>
          <cell r="S345">
            <v>16957.866211611876</v>
          </cell>
          <cell r="T345">
            <v>169578.66211611876</v>
          </cell>
          <cell r="U345">
            <v>169578.66211611876</v>
          </cell>
          <cell r="V345">
            <v>15996.962658356917</v>
          </cell>
          <cell r="W345">
            <v>159969.62658356916</v>
          </cell>
          <cell r="X345">
            <v>17004.344235451234</v>
          </cell>
          <cell r="Y345">
            <v>170043.44235451234</v>
          </cell>
          <cell r="Z345">
            <v>16758.208123786724</v>
          </cell>
          <cell r="AA345">
            <v>167582.08123786724</v>
          </cell>
          <cell r="AB345">
            <v>15514.915208059225</v>
          </cell>
          <cell r="AC345">
            <v>155149.15208059223</v>
          </cell>
          <cell r="AD345">
            <v>15522.517879510382</v>
          </cell>
        </row>
        <row r="346">
          <cell r="C346" t="str">
            <v>Advertisement Expenses</v>
          </cell>
          <cell r="E346">
            <v>2405.8167555729137</v>
          </cell>
          <cell r="F346">
            <v>24058.167555729138</v>
          </cell>
          <cell r="G346">
            <v>3080.827321757934</v>
          </cell>
          <cell r="H346">
            <v>30808.273217579339</v>
          </cell>
          <cell r="I346">
            <v>23766.822379487348</v>
          </cell>
          <cell r="J346">
            <v>237668.22379487348</v>
          </cell>
          <cell r="K346">
            <v>23113.454316588311</v>
          </cell>
          <cell r="L346">
            <v>231134.54316588311</v>
          </cell>
          <cell r="M346">
            <v>25512.297842660966</v>
          </cell>
          <cell r="N346">
            <v>255122.97842660965</v>
          </cell>
          <cell r="O346">
            <v>2551.3138847595887</v>
          </cell>
          <cell r="P346">
            <v>25513.138847595888</v>
          </cell>
          <cell r="Q346">
            <v>2503.8786398437537</v>
          </cell>
          <cell r="R346">
            <v>25038.786398437536</v>
          </cell>
          <cell r="S346">
            <v>15993.121382039297</v>
          </cell>
          <cell r="T346">
            <v>159931.21382039296</v>
          </cell>
          <cell r="U346">
            <v>159931.21382039296</v>
          </cell>
          <cell r="V346">
            <v>18583.08922809346</v>
          </cell>
          <cell r="W346">
            <v>185830.89228093461</v>
          </cell>
          <cell r="X346">
            <v>2625.697960996888</v>
          </cell>
          <cell r="Y346">
            <v>26256.979609968879</v>
          </cell>
          <cell r="Z346">
            <v>28862.71016865053</v>
          </cell>
          <cell r="AA346">
            <v>288627.10168650531</v>
          </cell>
          <cell r="AB346">
            <v>3501.4226255840545</v>
          </cell>
          <cell r="AC346">
            <v>35014.226255840542</v>
          </cell>
          <cell r="AD346">
            <v>12708.371042169589</v>
          </cell>
        </row>
        <row r="347">
          <cell r="C347" t="str">
            <v>Administrative Expenses</v>
          </cell>
          <cell r="E347">
            <v>31746.041360815143</v>
          </cell>
          <cell r="F347">
            <v>317460.41360815143</v>
          </cell>
          <cell r="G347">
            <v>28660.042176505169</v>
          </cell>
          <cell r="H347">
            <v>286600.42176505167</v>
          </cell>
          <cell r="I347">
            <v>28399.32747558237</v>
          </cell>
          <cell r="J347">
            <v>283993.27475582372</v>
          </cell>
          <cell r="K347">
            <v>26468.140253189009</v>
          </cell>
          <cell r="L347">
            <v>264681.40253189008</v>
          </cell>
          <cell r="M347">
            <v>36531.133106142057</v>
          </cell>
          <cell r="N347">
            <v>365311.33106142055</v>
          </cell>
          <cell r="O347">
            <v>33665.95395197178</v>
          </cell>
          <cell r="P347">
            <v>336659.5395197178</v>
          </cell>
          <cell r="Q347">
            <v>26513.596677373815</v>
          </cell>
          <cell r="R347">
            <v>265135.96677373815</v>
          </cell>
          <cell r="S347">
            <v>34552.789609744817</v>
          </cell>
          <cell r="T347">
            <v>345527.89609744819</v>
          </cell>
          <cell r="U347">
            <v>345527.89609744819</v>
          </cell>
          <cell r="V347">
            <v>32594.884181281192</v>
          </cell>
          <cell r="W347">
            <v>325948.84181281191</v>
          </cell>
          <cell r="X347">
            <v>34647.491700158673</v>
          </cell>
          <cell r="Y347">
            <v>346474.91700158676</v>
          </cell>
          <cell r="Z347">
            <v>34145.972866622818</v>
          </cell>
          <cell r="AA347">
            <v>341459.72866622818</v>
          </cell>
          <cell r="AB347">
            <v>31612.680174939585</v>
          </cell>
          <cell r="AC347">
            <v>316126.80174939585</v>
          </cell>
          <cell r="AD347">
            <v>31628.171127860536</v>
          </cell>
        </row>
        <row r="348">
          <cell r="C348" t="str">
            <v>Depreciation (Admin. &amp; Selling )</v>
          </cell>
          <cell r="E348">
            <v>8927.9242923219663</v>
          </cell>
          <cell r="F348">
            <v>89279.242923219659</v>
          </cell>
          <cell r="G348">
            <v>8060.0501920351098</v>
          </cell>
          <cell r="H348">
            <v>80600.501920351104</v>
          </cell>
          <cell r="I348">
            <v>7986.7295192217998</v>
          </cell>
          <cell r="J348">
            <v>79867.295192217993</v>
          </cell>
          <cell r="K348">
            <v>7443.6226442616662</v>
          </cell>
          <cell r="L348">
            <v>74436.226442616666</v>
          </cell>
          <cell r="M348">
            <v>10273.633395026813</v>
          </cell>
          <cell r="N348">
            <v>102736.33395026813</v>
          </cell>
          <cell r="O348">
            <v>9467.8604080380956</v>
          </cell>
          <cell r="P348">
            <v>94678.604080380959</v>
          </cell>
          <cell r="Q348">
            <v>7456.4063330721565</v>
          </cell>
          <cell r="R348">
            <v>74564.063330721561</v>
          </cell>
          <cell r="S348">
            <v>9717.2647832904422</v>
          </cell>
          <cell r="T348">
            <v>97172.647832904418</v>
          </cell>
          <cell r="U348">
            <v>97172.647832904418</v>
          </cell>
          <cell r="V348">
            <v>9166.6439597938333</v>
          </cell>
          <cell r="W348">
            <v>91666.439597938326</v>
          </cell>
          <cell r="X348">
            <v>9743.8978076707062</v>
          </cell>
          <cell r="Y348">
            <v>97438.978076707062</v>
          </cell>
          <cell r="Z348">
            <v>9602.8559018125379</v>
          </cell>
          <cell r="AA348">
            <v>96028.559018125379</v>
          </cell>
          <cell r="AB348">
            <v>8890.4191886934896</v>
          </cell>
          <cell r="AC348">
            <v>88904.191886934888</v>
          </cell>
          <cell r="AD348">
            <v>8894.7757021032194</v>
          </cell>
        </row>
        <row r="349">
          <cell r="C349" t="str">
            <v>Financial Charges -Capital Exp.</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C350" t="str">
            <v>Financial  Charges -Working Capital</v>
          </cell>
          <cell r="E350">
            <v>1593.5489361898781</v>
          </cell>
          <cell r="F350">
            <v>15935.489361898781</v>
          </cell>
          <cell r="G350">
            <v>1457.6240215047092</v>
          </cell>
          <cell r="H350">
            <v>14576.240215047092</v>
          </cell>
          <cell r="I350">
            <v>1446.6945190186796</v>
          </cell>
          <cell r="J350">
            <v>14466.945190186796</v>
          </cell>
          <cell r="K350">
            <v>1359.6931738041301</v>
          </cell>
          <cell r="L350">
            <v>13596.931738041301</v>
          </cell>
          <cell r="M350">
            <v>1819.174805065381</v>
          </cell>
          <cell r="N350">
            <v>18191.748050653809</v>
          </cell>
          <cell r="O350">
            <v>1683.4853438562145</v>
          </cell>
          <cell r="P350">
            <v>16834.853438562146</v>
          </cell>
          <cell r="Q350">
            <v>1343.3633567120232</v>
          </cell>
          <cell r="R350">
            <v>13433.633567120232</v>
          </cell>
          <cell r="S350">
            <v>1703.3864664491034</v>
          </cell>
          <cell r="T350">
            <v>17033.864664491033</v>
          </cell>
          <cell r="U350">
            <v>17033.864664491033</v>
          </cell>
          <cell r="V350">
            <v>1621.6858468907856</v>
          </cell>
          <cell r="W350">
            <v>16216.858468907856</v>
          </cell>
          <cell r="X350">
            <v>1714.8673233328852</v>
          </cell>
          <cell r="Y350">
            <v>17148.673233328853</v>
          </cell>
          <cell r="Z350">
            <v>1688.4217100899446</v>
          </cell>
          <cell r="AA350">
            <v>16884.217100899445</v>
          </cell>
          <cell r="AB350">
            <v>1570.4294045608508</v>
          </cell>
          <cell r="AC350">
            <v>15704.294045608509</v>
          </cell>
          <cell r="AD350">
            <v>1583.5312422895488</v>
          </cell>
        </row>
        <row r="351">
          <cell r="C351" t="str">
            <v>Other Expenses (Charity &amp; Donation)</v>
          </cell>
          <cell r="E351">
            <v>1106.6312056874151</v>
          </cell>
          <cell r="F351">
            <v>11066.312056874151</v>
          </cell>
          <cell r="G351">
            <v>1012.2389038227149</v>
          </cell>
          <cell r="H351">
            <v>10122.389038227149</v>
          </cell>
          <cell r="I351">
            <v>1004.6489715407499</v>
          </cell>
          <cell r="J351">
            <v>10046.489715407499</v>
          </cell>
          <cell r="K351">
            <v>944.23137069731274</v>
          </cell>
          <cell r="L351">
            <v>9442.3137069731274</v>
          </cell>
          <cell r="M351">
            <v>1263.3158368509594</v>
          </cell>
          <cell r="N351">
            <v>12633.158368509594</v>
          </cell>
          <cell r="O351">
            <v>1169.0870443445933</v>
          </cell>
          <cell r="P351">
            <v>11690.870443445932</v>
          </cell>
          <cell r="Q351">
            <v>932.89121993890501</v>
          </cell>
          <cell r="R351">
            <v>9328.9121993890494</v>
          </cell>
          <cell r="S351">
            <v>1182.9072683674331</v>
          </cell>
          <cell r="T351">
            <v>11829.072683674331</v>
          </cell>
          <cell r="U351">
            <v>11829.072683674331</v>
          </cell>
          <cell r="V351">
            <v>1126.1707270074899</v>
          </cell>
          <cell r="W351">
            <v>11261.707270074898</v>
          </cell>
          <cell r="X351">
            <v>1190.8800856478372</v>
          </cell>
          <cell r="Y351">
            <v>11908.800856478372</v>
          </cell>
          <cell r="Z351">
            <v>1172.5150764513503</v>
          </cell>
          <cell r="AA351">
            <v>11725.150764513503</v>
          </cell>
          <cell r="AB351">
            <v>1090.5759753894795</v>
          </cell>
          <cell r="AC351">
            <v>10905.759753894796</v>
          </cell>
          <cell r="AD351">
            <v>1099.6744738121865</v>
          </cell>
        </row>
        <row r="352">
          <cell r="C352" t="str">
            <v>Other Expenses ( W.P.P.F.)</v>
          </cell>
          <cell r="E352">
            <v>9648.5900544295782</v>
          </cell>
          <cell r="F352">
            <v>96485.900544295786</v>
          </cell>
          <cell r="G352">
            <v>11903.296926179239</v>
          </cell>
          <cell r="H352">
            <v>119032.96926179239</v>
          </cell>
          <cell r="I352">
            <v>11129.264448460395</v>
          </cell>
          <cell r="J352">
            <v>111292.64448460395</v>
          </cell>
          <cell r="K352">
            <v>12765.472506264148</v>
          </cell>
          <cell r="L352">
            <v>127654.72506264149</v>
          </cell>
          <cell r="M352">
            <v>8697.6853037127148</v>
          </cell>
          <cell r="N352">
            <v>86976.853037127148</v>
          </cell>
          <cell r="O352">
            <v>8477.4712963599068</v>
          </cell>
          <cell r="P352">
            <v>84774.712963599071</v>
          </cell>
          <cell r="Q352">
            <v>11947.065838432633</v>
          </cell>
          <cell r="R352">
            <v>119470.65838432632</v>
          </cell>
          <cell r="S352">
            <v>8315.7504207462025</v>
          </cell>
          <cell r="T352">
            <v>83157.504207462029</v>
          </cell>
          <cell r="U352">
            <v>83157.504207462029</v>
          </cell>
          <cell r="V352">
            <v>10259.06027175571</v>
          </cell>
          <cell r="W352">
            <v>102590.60271755711</v>
          </cell>
          <cell r="X352">
            <v>11041.057493260387</v>
          </cell>
          <cell r="Y352">
            <v>110410.57493260386</v>
          </cell>
          <cell r="Z352">
            <v>9071.1554130804143</v>
          </cell>
          <cell r="AA352">
            <v>90711.554130804143</v>
          </cell>
          <cell r="AB352">
            <v>9315.9406486366006</v>
          </cell>
          <cell r="AC352">
            <v>93159.406486366002</v>
          </cell>
          <cell r="AD352">
            <v>10214.317551776496</v>
          </cell>
        </row>
        <row r="353">
          <cell r="C353" t="str">
            <v>Workers Welfare Fund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E354">
            <v>71008.919001632588</v>
          </cell>
          <cell r="F354">
            <v>213026.75700489775</v>
          </cell>
          <cell r="G354">
            <v>68239.894960403064</v>
          </cell>
          <cell r="H354">
            <v>204719.68488120919</v>
          </cell>
          <cell r="I354">
            <v>87671.348807853516</v>
          </cell>
          <cell r="J354">
            <v>263014.04642356053</v>
          </cell>
          <cell r="K354">
            <v>85084.685004481464</v>
          </cell>
          <cell r="L354">
            <v>255254.05501344439</v>
          </cell>
          <cell r="M354">
            <v>102026.0406777734</v>
          </cell>
          <cell r="N354">
            <v>306078.12203332019</v>
          </cell>
          <cell r="O354">
            <v>73537.795701588882</v>
          </cell>
          <cell r="P354">
            <v>220613.38710476665</v>
          </cell>
          <cell r="Q354">
            <v>63709.581972225693</v>
          </cell>
          <cell r="R354">
            <v>191128.74591667709</v>
          </cell>
          <cell r="S354">
            <v>88423.086142249173</v>
          </cell>
          <cell r="T354">
            <v>265269.25842674752</v>
          </cell>
          <cell r="U354">
            <v>265269.25842674752</v>
          </cell>
          <cell r="V354">
            <v>89348.496873179378</v>
          </cell>
          <cell r="W354">
            <v>268045.49061953812</v>
          </cell>
          <cell r="X354">
            <v>77968.236606518607</v>
          </cell>
          <cell r="Y354">
            <v>233904.70981955581</v>
          </cell>
          <cell r="Z354">
            <v>101301.83926049432</v>
          </cell>
          <cell r="AA354">
            <v>303905.51778148295</v>
          </cell>
          <cell r="AB354">
            <v>71496.383225863276</v>
          </cell>
          <cell r="AC354">
            <v>714963.83225863276</v>
          </cell>
          <cell r="AD354">
            <v>81651.359019521959</v>
          </cell>
        </row>
        <row r="355">
          <cell r="C355" t="str">
            <v>Operating Profit</v>
          </cell>
          <cell r="E355">
            <v>291839.12447662815</v>
          </cell>
          <cell r="F355">
            <v>875517.37342988444</v>
          </cell>
          <cell r="G355">
            <v>294608.14851785765</v>
          </cell>
          <cell r="H355">
            <v>883824.44555357296</v>
          </cell>
          <cell r="I355">
            <v>275176.69467040722</v>
          </cell>
          <cell r="J355">
            <v>825530.08401122165</v>
          </cell>
          <cell r="K355">
            <v>277763.35847377928</v>
          </cell>
          <cell r="L355">
            <v>833290.07542133785</v>
          </cell>
          <cell r="M355">
            <v>260822.00280048733</v>
          </cell>
          <cell r="N355">
            <v>782466.00840146199</v>
          </cell>
          <cell r="O355">
            <v>289310.24777667189</v>
          </cell>
          <cell r="P355">
            <v>867930.74333001568</v>
          </cell>
          <cell r="Q355">
            <v>299138.46150603506</v>
          </cell>
          <cell r="R355">
            <v>897415.38451810519</v>
          </cell>
          <cell r="S355">
            <v>274424.95733601158</v>
          </cell>
          <cell r="T355">
            <v>823274.87200803473</v>
          </cell>
          <cell r="U355">
            <v>823274.87200803473</v>
          </cell>
          <cell r="V355">
            <v>273499.54660508136</v>
          </cell>
          <cell r="W355">
            <v>820498.63981524413</v>
          </cell>
          <cell r="X355">
            <v>284879.80687174213</v>
          </cell>
          <cell r="Y355">
            <v>854639.42061522638</v>
          </cell>
          <cell r="Z355">
            <v>261546.20421776641</v>
          </cell>
          <cell r="AA355">
            <v>784638.61265329923</v>
          </cell>
          <cell r="AB355">
            <v>291351.66025239747</v>
          </cell>
          <cell r="AC355">
            <v>2913516.6025239746</v>
          </cell>
          <cell r="AD355">
            <v>281196.68445873901</v>
          </cell>
        </row>
        <row r="356">
          <cell r="U356">
            <v>0</v>
          </cell>
        </row>
        <row r="357">
          <cell r="C357" t="str">
            <v>Other Income</v>
          </cell>
          <cell r="U357">
            <v>0</v>
          </cell>
        </row>
        <row r="358">
          <cell r="C358" t="str">
            <v>H.D</v>
          </cell>
          <cell r="E358">
            <v>15352.228571428572</v>
          </cell>
          <cell r="F358">
            <v>153522.28571428571</v>
          </cell>
          <cell r="G358">
            <v>13804.129032258064</v>
          </cell>
          <cell r="H358">
            <v>138041.29032258064</v>
          </cell>
          <cell r="I358">
            <v>16932</v>
          </cell>
          <cell r="J358">
            <v>169320</v>
          </cell>
          <cell r="K358">
            <v>317514.93333333335</v>
          </cell>
          <cell r="L358">
            <v>3175149.3333333335</v>
          </cell>
          <cell r="M358">
            <v>309289.29032258067</v>
          </cell>
          <cell r="N358">
            <v>3092892.9032258065</v>
          </cell>
          <cell r="O358">
            <v>264203.22222222225</v>
          </cell>
          <cell r="P358">
            <v>2642032.2222222225</v>
          </cell>
          <cell r="Q358">
            <v>72764.571428571435</v>
          </cell>
          <cell r="R358">
            <v>727645.71428571432</v>
          </cell>
          <cell r="S358">
            <v>14837.75</v>
          </cell>
          <cell r="T358">
            <v>148377.5</v>
          </cell>
          <cell r="U358">
            <v>148377.5</v>
          </cell>
          <cell r="V358">
            <v>19002.533333333333</v>
          </cell>
          <cell r="W358">
            <v>190025.33333333331</v>
          </cell>
          <cell r="X358">
            <v>14756.137931034482</v>
          </cell>
          <cell r="Y358">
            <v>147561.37931034481</v>
          </cell>
          <cell r="Z358">
            <v>15316.387096774193</v>
          </cell>
          <cell r="AA358">
            <v>153163.87096774194</v>
          </cell>
          <cell r="AB358">
            <v>13728.648648648648</v>
          </cell>
          <cell r="AC358">
            <v>137286.48648648648</v>
          </cell>
          <cell r="AD358">
            <v>90625.152660015432</v>
          </cell>
        </row>
        <row r="359">
          <cell r="C359" t="str">
            <v>Others</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E360">
            <v>15352.228571428572</v>
          </cell>
          <cell r="F360">
            <v>153522.28571428571</v>
          </cell>
          <cell r="G360">
            <v>13804.129032258064</v>
          </cell>
          <cell r="H360">
            <v>138041.29032258064</v>
          </cell>
          <cell r="I360">
            <v>16932</v>
          </cell>
          <cell r="J360">
            <v>169320</v>
          </cell>
          <cell r="K360">
            <v>317514.93333333335</v>
          </cell>
          <cell r="L360">
            <v>3175149.3333333335</v>
          </cell>
          <cell r="M360">
            <v>309289.29032258067</v>
          </cell>
          <cell r="N360">
            <v>3092892.9032258065</v>
          </cell>
          <cell r="O360">
            <v>264203.22222222225</v>
          </cell>
          <cell r="P360">
            <v>2642032.2222222225</v>
          </cell>
          <cell r="Q360">
            <v>72764.571428571435</v>
          </cell>
          <cell r="R360">
            <v>727645.71428571432</v>
          </cell>
          <cell r="S360">
            <v>14837.75</v>
          </cell>
          <cell r="T360">
            <v>148377.5</v>
          </cell>
          <cell r="U360">
            <v>148377.5</v>
          </cell>
          <cell r="V360">
            <v>19002.533333333333</v>
          </cell>
          <cell r="W360">
            <v>190025.33333333331</v>
          </cell>
          <cell r="X360">
            <v>14756.137931034482</v>
          </cell>
          <cell r="Y360">
            <v>147561.37931034481</v>
          </cell>
          <cell r="Z360">
            <v>15316.387096774193</v>
          </cell>
          <cell r="AA360">
            <v>153163.87096774194</v>
          </cell>
          <cell r="AB360">
            <v>13728.648648648648</v>
          </cell>
          <cell r="AC360">
            <v>137286.48648648648</v>
          </cell>
          <cell r="AD360">
            <v>90625.152660015432</v>
          </cell>
        </row>
        <row r="361">
          <cell r="U361">
            <v>0</v>
          </cell>
        </row>
        <row r="362">
          <cell r="C362" t="str">
            <v>Profit before tax</v>
          </cell>
          <cell r="E362">
            <v>307191.35304805671</v>
          </cell>
          <cell r="F362">
            <v>921574.05914417014</v>
          </cell>
          <cell r="G362">
            <v>308412.27755011572</v>
          </cell>
          <cell r="H362">
            <v>925236.83265034715</v>
          </cell>
          <cell r="I362">
            <v>292108.69467040722</v>
          </cell>
          <cell r="J362">
            <v>876326.08401122165</v>
          </cell>
          <cell r="K362">
            <v>595278.29180711263</v>
          </cell>
          <cell r="L362">
            <v>1785834.8754213378</v>
          </cell>
          <cell r="M362">
            <v>570111.29312306806</v>
          </cell>
          <cell r="N362">
            <v>1710333.8793692042</v>
          </cell>
          <cell r="O362">
            <v>553513.46999889414</v>
          </cell>
          <cell r="P362">
            <v>1660540.4099966823</v>
          </cell>
          <cell r="Q362">
            <v>371903.03293460648</v>
          </cell>
          <cell r="R362">
            <v>1115709.0988038194</v>
          </cell>
          <cell r="S362">
            <v>289262.70733601158</v>
          </cell>
          <cell r="T362">
            <v>867788.12200803473</v>
          </cell>
          <cell r="U362">
            <v>867788.12200803473</v>
          </cell>
          <cell r="V362">
            <v>292502.07993841468</v>
          </cell>
          <cell r="W362">
            <v>877506.23981524399</v>
          </cell>
          <cell r="X362">
            <v>299635.94480277662</v>
          </cell>
          <cell r="Y362">
            <v>898907.8344083298</v>
          </cell>
          <cell r="Z362">
            <v>276862.59131454059</v>
          </cell>
          <cell r="AA362">
            <v>830587.77394362178</v>
          </cell>
          <cell r="AB362">
            <v>305080.30890104611</v>
          </cell>
          <cell r="AC362">
            <v>3050803.0890104612</v>
          </cell>
          <cell r="AD362">
            <v>371821.83711875445</v>
          </cell>
        </row>
        <row r="363">
          <cell r="U363">
            <v>0</v>
          </cell>
        </row>
        <row r="364">
          <cell r="C364" t="str">
            <v>Taxation</v>
          </cell>
          <cell r="U364">
            <v>0</v>
          </cell>
        </row>
        <row r="365">
          <cell r="C365" t="str">
            <v>Presumptive</v>
          </cell>
          <cell r="E365">
            <v>73746</v>
          </cell>
          <cell r="F365">
            <v>737460</v>
          </cell>
          <cell r="G365">
            <v>73746</v>
          </cell>
          <cell r="H365">
            <v>737460</v>
          </cell>
          <cell r="I365">
            <v>73746</v>
          </cell>
          <cell r="J365">
            <v>737460</v>
          </cell>
          <cell r="K365">
            <v>73746</v>
          </cell>
          <cell r="L365">
            <v>737460</v>
          </cell>
          <cell r="M365">
            <v>73746</v>
          </cell>
          <cell r="N365">
            <v>737460</v>
          </cell>
          <cell r="O365">
            <v>73746</v>
          </cell>
          <cell r="P365">
            <v>737460</v>
          </cell>
          <cell r="Q365">
            <v>73746</v>
          </cell>
          <cell r="R365">
            <v>737460</v>
          </cell>
          <cell r="S365">
            <v>73746</v>
          </cell>
          <cell r="T365">
            <v>737460</v>
          </cell>
          <cell r="U365">
            <v>737460</v>
          </cell>
          <cell r="V365">
            <v>73746</v>
          </cell>
          <cell r="W365">
            <v>737460</v>
          </cell>
          <cell r="X365">
            <v>73746</v>
          </cell>
          <cell r="Y365">
            <v>737460</v>
          </cell>
          <cell r="Z365">
            <v>73746</v>
          </cell>
          <cell r="AA365">
            <v>737460</v>
          </cell>
          <cell r="AB365">
            <v>73746</v>
          </cell>
          <cell r="AC365">
            <v>737460</v>
          </cell>
          <cell r="AD365">
            <v>73746</v>
          </cell>
        </row>
        <row r="366">
          <cell r="C366" t="str">
            <v>Others</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row>
        <row r="367">
          <cell r="E367">
            <v>73746</v>
          </cell>
          <cell r="F367">
            <v>221238</v>
          </cell>
          <cell r="G367">
            <v>73746</v>
          </cell>
          <cell r="H367">
            <v>221238</v>
          </cell>
          <cell r="I367">
            <v>73746</v>
          </cell>
          <cell r="J367">
            <v>221238</v>
          </cell>
          <cell r="K367">
            <v>73746</v>
          </cell>
          <cell r="L367">
            <v>221238</v>
          </cell>
          <cell r="M367">
            <v>73746</v>
          </cell>
          <cell r="N367">
            <v>221238</v>
          </cell>
          <cell r="O367">
            <v>73746</v>
          </cell>
          <cell r="P367">
            <v>221238</v>
          </cell>
          <cell r="Q367">
            <v>73746</v>
          </cell>
          <cell r="R367">
            <v>221238</v>
          </cell>
          <cell r="S367">
            <v>73746</v>
          </cell>
          <cell r="T367">
            <v>221238</v>
          </cell>
          <cell r="U367">
            <v>221238</v>
          </cell>
          <cell r="V367">
            <v>73746</v>
          </cell>
          <cell r="W367">
            <v>221238</v>
          </cell>
          <cell r="X367">
            <v>73746</v>
          </cell>
          <cell r="Y367">
            <v>221238</v>
          </cell>
          <cell r="Z367">
            <v>73746</v>
          </cell>
          <cell r="AA367">
            <v>221238</v>
          </cell>
          <cell r="AB367">
            <v>73746</v>
          </cell>
          <cell r="AC367">
            <v>737460</v>
          </cell>
          <cell r="AD367">
            <v>73746</v>
          </cell>
        </row>
        <row r="368">
          <cell r="C368" t="str">
            <v>Net Profit after taxation</v>
          </cell>
          <cell r="E368">
            <v>233445.35304805671</v>
          </cell>
          <cell r="F368">
            <v>700336.05914417014</v>
          </cell>
          <cell r="G368">
            <v>234666.27755011572</v>
          </cell>
          <cell r="H368">
            <v>703998.83265034715</v>
          </cell>
          <cell r="I368">
            <v>218362.69467040722</v>
          </cell>
          <cell r="J368">
            <v>655088.08401122165</v>
          </cell>
          <cell r="K368">
            <v>521532.29180711263</v>
          </cell>
          <cell r="L368">
            <v>1564596.8754213378</v>
          </cell>
          <cell r="M368">
            <v>496365.29312306806</v>
          </cell>
          <cell r="N368">
            <v>1489095.8793692042</v>
          </cell>
          <cell r="O368">
            <v>479767.46999889414</v>
          </cell>
          <cell r="P368">
            <v>1439302.4099966823</v>
          </cell>
          <cell r="Q368">
            <v>298157.03293460648</v>
          </cell>
          <cell r="R368">
            <v>894471.09880381939</v>
          </cell>
          <cell r="S368">
            <v>215516.70733601158</v>
          </cell>
          <cell r="T368">
            <v>646550.12200803473</v>
          </cell>
          <cell r="U368">
            <v>646550.12200803473</v>
          </cell>
          <cell r="V368">
            <v>218756.07993841468</v>
          </cell>
          <cell r="W368">
            <v>656268.23981524399</v>
          </cell>
          <cell r="X368">
            <v>225889.94480277662</v>
          </cell>
          <cell r="Y368">
            <v>677669.8344083298</v>
          </cell>
          <cell r="Z368">
            <v>203116.59131454059</v>
          </cell>
          <cell r="AA368">
            <v>609349.77394362178</v>
          </cell>
          <cell r="AB368">
            <v>231334.30890104611</v>
          </cell>
          <cell r="AC368">
            <v>2313343.0890104612</v>
          </cell>
          <cell r="AD368">
            <v>298075.83711875445</v>
          </cell>
        </row>
        <row r="370">
          <cell r="E370">
            <v>913</v>
          </cell>
          <cell r="G370">
            <v>944</v>
          </cell>
          <cell r="I370">
            <v>975</v>
          </cell>
          <cell r="K370">
            <v>1006</v>
          </cell>
          <cell r="M370">
            <v>1037</v>
          </cell>
          <cell r="O370">
            <v>1068</v>
          </cell>
          <cell r="Q370">
            <v>1099</v>
          </cell>
          <cell r="S370">
            <v>1130</v>
          </cell>
          <cell r="V370">
            <v>1161</v>
          </cell>
          <cell r="X370">
            <v>1192</v>
          </cell>
          <cell r="Z370">
            <v>1223</v>
          </cell>
          <cell r="AB370">
            <v>1254</v>
          </cell>
          <cell r="AD370" t="str">
            <v>Yearly</v>
          </cell>
        </row>
        <row r="371">
          <cell r="C371" t="str">
            <v>TOTAL</v>
          </cell>
          <cell r="E371" t="str">
            <v>Per Unit</v>
          </cell>
          <cell r="F371" t="str">
            <v>Total</v>
          </cell>
          <cell r="G371" t="str">
            <v>Per Unit</v>
          </cell>
          <cell r="H371" t="str">
            <v>Total</v>
          </cell>
          <cell r="I371" t="str">
            <v>Per Unit</v>
          </cell>
          <cell r="J371" t="str">
            <v>Total</v>
          </cell>
          <cell r="K371" t="str">
            <v>Per Unit</v>
          </cell>
          <cell r="L371" t="str">
            <v>Total</v>
          </cell>
          <cell r="M371" t="str">
            <v>Per Unit</v>
          </cell>
          <cell r="N371" t="str">
            <v>Total</v>
          </cell>
          <cell r="O371" t="str">
            <v>Per Unit</v>
          </cell>
          <cell r="P371" t="str">
            <v>Total</v>
          </cell>
          <cell r="Q371" t="str">
            <v>Per Unit</v>
          </cell>
          <cell r="R371" t="str">
            <v>Total</v>
          </cell>
          <cell r="S371" t="str">
            <v>Per Unit</v>
          </cell>
          <cell r="U371" t="str">
            <v>Total</v>
          </cell>
          <cell r="V371" t="str">
            <v>Per Unit</v>
          </cell>
          <cell r="W371" t="str">
            <v>Total</v>
          </cell>
          <cell r="X371" t="str">
            <v>Per Unit</v>
          </cell>
          <cell r="Y371" t="str">
            <v>Total</v>
          </cell>
          <cell r="Z371" t="str">
            <v>Per Unit</v>
          </cell>
          <cell r="AA371" t="str">
            <v>Total</v>
          </cell>
          <cell r="AB371" t="str">
            <v>Per Unit</v>
          </cell>
          <cell r="AC371" t="str">
            <v>Total</v>
          </cell>
          <cell r="AD371" t="str">
            <v>Average</v>
          </cell>
        </row>
        <row r="373">
          <cell r="C373" t="str">
            <v>Sales Units</v>
          </cell>
          <cell r="E373">
            <v>22</v>
          </cell>
          <cell r="F373">
            <v>22</v>
          </cell>
          <cell r="G373">
            <v>18</v>
          </cell>
          <cell r="H373">
            <v>18</v>
          </cell>
          <cell r="I373">
            <v>17</v>
          </cell>
          <cell r="J373">
            <v>17</v>
          </cell>
          <cell r="K373">
            <v>17</v>
          </cell>
          <cell r="L373">
            <v>17</v>
          </cell>
          <cell r="M373">
            <v>18</v>
          </cell>
          <cell r="N373">
            <v>18</v>
          </cell>
          <cell r="O373">
            <v>23</v>
          </cell>
          <cell r="P373">
            <v>23</v>
          </cell>
          <cell r="Q373">
            <v>21</v>
          </cell>
          <cell r="R373">
            <v>21</v>
          </cell>
          <cell r="S373">
            <v>19</v>
          </cell>
          <cell r="T373">
            <v>19</v>
          </cell>
          <cell r="U373">
            <v>19</v>
          </cell>
          <cell r="V373">
            <v>17</v>
          </cell>
          <cell r="W373">
            <v>17</v>
          </cell>
          <cell r="X373">
            <v>16</v>
          </cell>
          <cell r="Y373">
            <v>16</v>
          </cell>
          <cell r="Z373">
            <v>18</v>
          </cell>
          <cell r="AA373">
            <v>18</v>
          </cell>
          <cell r="AB373">
            <v>23</v>
          </cell>
          <cell r="AC373">
            <v>23</v>
          </cell>
          <cell r="AD373">
            <v>229</v>
          </cell>
          <cell r="AE373">
            <v>229</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row>
        <row r="375">
          <cell r="C375" t="str">
            <v>Selling Price</v>
          </cell>
          <cell r="E375">
            <v>8350000</v>
          </cell>
          <cell r="F375">
            <v>44530000</v>
          </cell>
          <cell r="G375">
            <v>8350000</v>
          </cell>
          <cell r="H375">
            <v>35630000</v>
          </cell>
          <cell r="I375">
            <v>8350000</v>
          </cell>
          <cell r="J375">
            <v>33340000</v>
          </cell>
          <cell r="K375">
            <v>8350000</v>
          </cell>
          <cell r="L375">
            <v>33340000</v>
          </cell>
          <cell r="M375">
            <v>8350000</v>
          </cell>
          <cell r="N375">
            <v>35630000</v>
          </cell>
          <cell r="O375">
            <v>8350000</v>
          </cell>
          <cell r="P375">
            <v>46820000</v>
          </cell>
          <cell r="Q375">
            <v>8350000</v>
          </cell>
          <cell r="R375">
            <v>42370000</v>
          </cell>
          <cell r="S375">
            <v>8350000</v>
          </cell>
          <cell r="T375">
            <v>37790000</v>
          </cell>
          <cell r="U375">
            <v>37790000</v>
          </cell>
          <cell r="V375">
            <v>8350000</v>
          </cell>
          <cell r="W375">
            <v>33340000</v>
          </cell>
          <cell r="X375">
            <v>8350000</v>
          </cell>
          <cell r="Y375">
            <v>31180000</v>
          </cell>
          <cell r="Z375">
            <v>8350000</v>
          </cell>
          <cell r="AA375">
            <v>35630000</v>
          </cell>
          <cell r="AB375">
            <v>8350000</v>
          </cell>
          <cell r="AC375">
            <v>46820000</v>
          </cell>
          <cell r="AD375">
            <v>8350000</v>
          </cell>
        </row>
        <row r="376">
          <cell r="C376" t="str">
            <v>Less: Dealer commission</v>
          </cell>
          <cell r="E376">
            <v>-120000</v>
          </cell>
          <cell r="F376">
            <v>-660000</v>
          </cell>
          <cell r="G376">
            <v>-120000</v>
          </cell>
          <cell r="H376">
            <v>-540000</v>
          </cell>
          <cell r="I376">
            <v>-120000</v>
          </cell>
          <cell r="J376">
            <v>-510000</v>
          </cell>
          <cell r="K376">
            <v>-120000</v>
          </cell>
          <cell r="L376">
            <v>-510000</v>
          </cell>
          <cell r="M376">
            <v>-120000</v>
          </cell>
          <cell r="N376">
            <v>-540000</v>
          </cell>
          <cell r="O376">
            <v>-120000</v>
          </cell>
          <cell r="P376">
            <v>-690000</v>
          </cell>
          <cell r="Q376">
            <v>-120000</v>
          </cell>
          <cell r="R376">
            <v>-630000</v>
          </cell>
          <cell r="S376">
            <v>-120000</v>
          </cell>
          <cell r="T376">
            <v>-570000</v>
          </cell>
          <cell r="U376">
            <v>-570000</v>
          </cell>
          <cell r="V376">
            <v>-120000</v>
          </cell>
          <cell r="W376">
            <v>-510000</v>
          </cell>
          <cell r="X376">
            <v>-120000</v>
          </cell>
          <cell r="Y376">
            <v>-480000</v>
          </cell>
          <cell r="Z376">
            <v>-120000</v>
          </cell>
          <cell r="AA376">
            <v>-540000</v>
          </cell>
          <cell r="AB376">
            <v>-120000</v>
          </cell>
          <cell r="AC376">
            <v>-690000</v>
          </cell>
          <cell r="AD376">
            <v>-120000</v>
          </cell>
        </row>
        <row r="377">
          <cell r="C377" t="str">
            <v xml:space="preserve">  Sales tax</v>
          </cell>
          <cell r="E377">
            <v>-1089130.4347826084</v>
          </cell>
          <cell r="F377">
            <v>-5808260.8695652178</v>
          </cell>
          <cell r="G377">
            <v>-1089130.4347826084</v>
          </cell>
          <cell r="H377">
            <v>-4647391.3043478262</v>
          </cell>
          <cell r="I377">
            <v>-1089130.4347826084</v>
          </cell>
          <cell r="J377">
            <v>-4348695.6521739131</v>
          </cell>
          <cell r="K377">
            <v>-1089130.4347826084</v>
          </cell>
          <cell r="L377">
            <v>-4348695.6521739131</v>
          </cell>
          <cell r="M377">
            <v>-1089130.4347826084</v>
          </cell>
          <cell r="N377">
            <v>-4647391.3043478262</v>
          </cell>
          <cell r="O377">
            <v>-1089130.4347826084</v>
          </cell>
          <cell r="P377">
            <v>-6106956.5217391308</v>
          </cell>
          <cell r="Q377">
            <v>-1089130.4347826084</v>
          </cell>
          <cell r="R377">
            <v>-5526521.7391304355</v>
          </cell>
          <cell r="S377">
            <v>-1089130.4347826084</v>
          </cell>
          <cell r="T377">
            <v>-4929130.4347826093</v>
          </cell>
          <cell r="U377">
            <v>-4929130.4347826093</v>
          </cell>
          <cell r="V377">
            <v>-1089130.4347826084</v>
          </cell>
          <cell r="W377">
            <v>-4348695.6521739131</v>
          </cell>
          <cell r="X377">
            <v>-1089130.4347826084</v>
          </cell>
          <cell r="Y377">
            <v>-4066956.5217391308</v>
          </cell>
          <cell r="Z377">
            <v>-1089130.4347826084</v>
          </cell>
          <cell r="AA377">
            <v>-4647391.3043478262</v>
          </cell>
          <cell r="AB377">
            <v>-1089130.4347826084</v>
          </cell>
          <cell r="AC377">
            <v>-6106956.5217391308</v>
          </cell>
          <cell r="AD377">
            <v>-1089130.4347826084</v>
          </cell>
        </row>
        <row r="378">
          <cell r="C378" t="str">
            <v>Net Sales</v>
          </cell>
          <cell r="E378">
            <v>7140869.5652173907</v>
          </cell>
          <cell r="F378">
            <v>38061739.130434781</v>
          </cell>
          <cell r="G378">
            <v>7140869.5652173907</v>
          </cell>
          <cell r="H378">
            <v>30442608.695652172</v>
          </cell>
          <cell r="I378">
            <v>7140869.5652173907</v>
          </cell>
          <cell r="J378">
            <v>28481304.347826086</v>
          </cell>
          <cell r="K378">
            <v>7140869.5652173907</v>
          </cell>
          <cell r="L378">
            <v>28481304.347826086</v>
          </cell>
          <cell r="M378">
            <v>7140869.5652173907</v>
          </cell>
          <cell r="N378">
            <v>30442608.695652172</v>
          </cell>
          <cell r="O378">
            <v>7140869.5652173907</v>
          </cell>
          <cell r="P378">
            <v>40023043.478260867</v>
          </cell>
          <cell r="Q378">
            <v>7140869.5652173907</v>
          </cell>
          <cell r="R378">
            <v>36213478.260869563</v>
          </cell>
          <cell r="S378">
            <v>7140869.5652173907</v>
          </cell>
          <cell r="T378">
            <v>32290869.565217391</v>
          </cell>
          <cell r="U378">
            <v>32290869.565217391</v>
          </cell>
          <cell r="V378">
            <v>7140869.5652173907</v>
          </cell>
          <cell r="W378">
            <v>28481304.347826086</v>
          </cell>
          <cell r="X378">
            <v>7140869.5652173907</v>
          </cell>
          <cell r="Y378">
            <v>26633043.478260867</v>
          </cell>
          <cell r="Z378">
            <v>7140869.5652173907</v>
          </cell>
          <cell r="AA378">
            <v>30442608.695652172</v>
          </cell>
          <cell r="AB378">
            <v>7140869.5652173907</v>
          </cell>
          <cell r="AC378">
            <v>40023043.478260867</v>
          </cell>
          <cell r="AD378">
            <v>7140869.5652173907</v>
          </cell>
        </row>
        <row r="379">
          <cell r="C379" t="str">
            <v>Landed cost</v>
          </cell>
          <cell r="E379">
            <v>5754469</v>
          </cell>
          <cell r="F379">
            <v>30227398</v>
          </cell>
          <cell r="G379">
            <v>5754469</v>
          </cell>
          <cell r="H379">
            <v>24047438</v>
          </cell>
          <cell r="I379">
            <v>5754469</v>
          </cell>
          <cell r="J379">
            <v>22461822</v>
          </cell>
          <cell r="K379">
            <v>5754469</v>
          </cell>
          <cell r="L379">
            <v>22461822</v>
          </cell>
          <cell r="M379">
            <v>5754469</v>
          </cell>
          <cell r="N379">
            <v>24047438</v>
          </cell>
          <cell r="O379">
            <v>5754469</v>
          </cell>
          <cell r="P379">
            <v>31813014</v>
          </cell>
          <cell r="Q379">
            <v>5754469</v>
          </cell>
          <cell r="R379">
            <v>28723034</v>
          </cell>
          <cell r="S379">
            <v>5754469</v>
          </cell>
          <cell r="T379">
            <v>25551802</v>
          </cell>
          <cell r="U379">
            <v>25551802</v>
          </cell>
          <cell r="V379">
            <v>5754469</v>
          </cell>
          <cell r="W379">
            <v>22461822</v>
          </cell>
          <cell r="X379">
            <v>5754469</v>
          </cell>
          <cell r="Y379">
            <v>20957458</v>
          </cell>
          <cell r="Z379">
            <v>5754469</v>
          </cell>
          <cell r="AA379">
            <v>24047438</v>
          </cell>
          <cell r="AB379">
            <v>5754469</v>
          </cell>
          <cell r="AC379">
            <v>31813014</v>
          </cell>
          <cell r="AD379">
            <v>5754469</v>
          </cell>
        </row>
        <row r="380">
          <cell r="C380" t="str">
            <v>Gross Profit</v>
          </cell>
          <cell r="E380">
            <v>1290055.6956521738</v>
          </cell>
          <cell r="F380">
            <v>7352616.7826086944</v>
          </cell>
          <cell r="G380">
            <v>1290055.6956521738</v>
          </cell>
          <cell r="H380">
            <v>6857512.7826086944</v>
          </cell>
          <cell r="I380">
            <v>1290055.6956521738</v>
          </cell>
          <cell r="J380">
            <v>6857512.7826086944</v>
          </cell>
          <cell r="K380">
            <v>1222027.6956521738</v>
          </cell>
          <cell r="L380">
            <v>6653428.7826086944</v>
          </cell>
          <cell r="M380">
            <v>1222027.6956521738</v>
          </cell>
          <cell r="N380">
            <v>6653428.7826086944</v>
          </cell>
          <cell r="O380">
            <v>1222027.6956521738</v>
          </cell>
          <cell r="P380">
            <v>7012476.7826086944</v>
          </cell>
          <cell r="Q380">
            <v>1222027.6956521738</v>
          </cell>
          <cell r="R380">
            <v>6832952.7826086944</v>
          </cell>
          <cell r="S380">
            <v>1222027.6956521738</v>
          </cell>
          <cell r="T380">
            <v>6832952.7826086944</v>
          </cell>
          <cell r="U380">
            <v>6832952.7826086944</v>
          </cell>
          <cell r="V380">
            <v>1222027.6956521738</v>
          </cell>
          <cell r="W380">
            <v>6653428.7826086944</v>
          </cell>
          <cell r="X380">
            <v>1222027.6956521738</v>
          </cell>
          <cell r="Y380">
            <v>6473904.7826086944</v>
          </cell>
          <cell r="Z380">
            <v>1222027.6956521738</v>
          </cell>
          <cell r="AA380">
            <v>6653428.7826086944</v>
          </cell>
          <cell r="AB380">
            <v>1222027.6956521738</v>
          </cell>
          <cell r="AC380">
            <v>7012476.7826086944</v>
          </cell>
          <cell r="AD380">
            <v>1386400.5652173914</v>
          </cell>
        </row>
        <row r="381">
          <cell r="E381">
            <v>0.13393780286991297</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E382">
            <v>0.11460740740740741</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C383" t="str">
            <v>Other Expenses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C384" t="str">
            <v>Selling Expenses</v>
          </cell>
          <cell r="E384">
            <v>62321.465586462793</v>
          </cell>
          <cell r="F384">
            <v>342768.06072554534</v>
          </cell>
          <cell r="G384">
            <v>56263.261674392794</v>
          </cell>
          <cell r="H384">
            <v>253184.67753476754</v>
          </cell>
          <cell r="I384">
            <v>55751.445978168682</v>
          </cell>
          <cell r="J384">
            <v>236943.64540721689</v>
          </cell>
          <cell r="K384">
            <v>51960.28295870759</v>
          </cell>
          <cell r="L384">
            <v>220831.20257450725</v>
          </cell>
          <cell r="M384">
            <v>71715.201553258041</v>
          </cell>
          <cell r="N384">
            <v>322718.40698966116</v>
          </cell>
          <cell r="O384">
            <v>66090.495089034841</v>
          </cell>
          <cell r="P384">
            <v>380020.34676195029</v>
          </cell>
          <cell r="Q384">
            <v>52049.519627409652</v>
          </cell>
          <cell r="R384">
            <v>273259.97804390063</v>
          </cell>
          <cell r="S384">
            <v>67831.464846447503</v>
          </cell>
          <cell r="T384">
            <v>322199.45802062564</v>
          </cell>
          <cell r="U384">
            <v>322199.45802062564</v>
          </cell>
          <cell r="V384">
            <v>63987.850633427668</v>
          </cell>
          <cell r="W384">
            <v>271948.36519206758</v>
          </cell>
          <cell r="X384">
            <v>68017.376941804934</v>
          </cell>
          <cell r="Y384">
            <v>272069.50776721974</v>
          </cell>
          <cell r="Z384">
            <v>67032.832495146897</v>
          </cell>
          <cell r="AA384">
            <v>301647.74622816104</v>
          </cell>
          <cell r="AB384">
            <v>62059.660832236899</v>
          </cell>
          <cell r="AC384">
            <v>356843.04978536215</v>
          </cell>
          <cell r="AD384">
            <v>62085.03469041879</v>
          </cell>
        </row>
        <row r="385">
          <cell r="C385" t="str">
            <v>Advertisement Expenses</v>
          </cell>
          <cell r="E385">
            <v>9623.2670222916549</v>
          </cell>
          <cell r="F385">
            <v>52927.968622604109</v>
          </cell>
          <cell r="G385">
            <v>12323.309287031736</v>
          </cell>
          <cell r="H385">
            <v>55454.891791642811</v>
          </cell>
          <cell r="I385">
            <v>95067.289517949393</v>
          </cell>
          <cell r="J385">
            <v>404035.98045128497</v>
          </cell>
          <cell r="K385">
            <v>92453.817266353246</v>
          </cell>
          <cell r="L385">
            <v>392928.72338200134</v>
          </cell>
          <cell r="M385">
            <v>102049.19137064386</v>
          </cell>
          <cell r="N385">
            <v>459221.36116789735</v>
          </cell>
          <cell r="O385">
            <v>10205.255539038355</v>
          </cell>
          <cell r="P385">
            <v>58680.219349470543</v>
          </cell>
          <cell r="Q385">
            <v>10015.514559375015</v>
          </cell>
          <cell r="R385">
            <v>52581.451436718824</v>
          </cell>
          <cell r="S385">
            <v>63972.485528157187</v>
          </cell>
          <cell r="T385">
            <v>303869.30625874666</v>
          </cell>
          <cell r="U385">
            <v>303869.30625874666</v>
          </cell>
          <cell r="V385">
            <v>74332.356912373842</v>
          </cell>
          <cell r="W385">
            <v>315912.51687758882</v>
          </cell>
          <cell r="X385">
            <v>10502.791843987552</v>
          </cell>
          <cell r="Y385">
            <v>42011.167375950208</v>
          </cell>
          <cell r="Z385">
            <v>115450.84067460212</v>
          </cell>
          <cell r="AA385">
            <v>519528.78303570952</v>
          </cell>
          <cell r="AB385">
            <v>14005.690502336218</v>
          </cell>
          <cell r="AC385">
            <v>80532.720388433241</v>
          </cell>
          <cell r="AD385">
            <v>46756.684286283344</v>
          </cell>
        </row>
        <row r="386">
          <cell r="C386" t="str">
            <v>Administrative Expenses</v>
          </cell>
          <cell r="E386">
            <v>126984.16544326057</v>
          </cell>
          <cell r="F386">
            <v>698412.90993793309</v>
          </cell>
          <cell r="G386">
            <v>114640.16870602068</v>
          </cell>
          <cell r="H386">
            <v>515880.75917709299</v>
          </cell>
          <cell r="I386">
            <v>113597.30990232948</v>
          </cell>
          <cell r="J386">
            <v>482788.56708490028</v>
          </cell>
          <cell r="K386">
            <v>105872.56101275604</v>
          </cell>
          <cell r="L386">
            <v>449958.38430421322</v>
          </cell>
          <cell r="M386">
            <v>146124.53242456823</v>
          </cell>
          <cell r="N386">
            <v>657560.39591055701</v>
          </cell>
          <cell r="O386">
            <v>134663.81580788712</v>
          </cell>
          <cell r="P386">
            <v>774316.94089535088</v>
          </cell>
          <cell r="Q386">
            <v>106054.38670949526</v>
          </cell>
          <cell r="R386">
            <v>556785.53022485005</v>
          </cell>
          <cell r="S386">
            <v>138211.15843897927</v>
          </cell>
          <cell r="T386">
            <v>656503.00258515158</v>
          </cell>
          <cell r="U386">
            <v>656503.00258515158</v>
          </cell>
          <cell r="V386">
            <v>130379.53672512477</v>
          </cell>
          <cell r="W386">
            <v>554113.03108178033</v>
          </cell>
          <cell r="X386">
            <v>138589.96680063469</v>
          </cell>
          <cell r="Y386">
            <v>554359.86720253888</v>
          </cell>
          <cell r="Z386">
            <v>136583.89146649127</v>
          </cell>
          <cell r="AA386">
            <v>614627.51159921079</v>
          </cell>
          <cell r="AB386">
            <v>126450.72069975834</v>
          </cell>
          <cell r="AC386">
            <v>727091.64402361051</v>
          </cell>
          <cell r="AD386">
            <v>126502.42163738847</v>
          </cell>
        </row>
        <row r="387">
          <cell r="C387" t="str">
            <v>Depreciation (Admin. &amp; Selling )</v>
          </cell>
          <cell r="E387">
            <v>35711.697169287865</v>
          </cell>
          <cell r="F387">
            <v>196414.33443108323</v>
          </cell>
          <cell r="G387">
            <v>32240.200768140439</v>
          </cell>
          <cell r="H387">
            <v>145080.90345663199</v>
          </cell>
          <cell r="I387">
            <v>31946.918076887199</v>
          </cell>
          <cell r="J387">
            <v>135774.4018267706</v>
          </cell>
          <cell r="K387">
            <v>29774.490577046665</v>
          </cell>
          <cell r="L387">
            <v>126541.58495244833</v>
          </cell>
          <cell r="M387">
            <v>41094.533580107251</v>
          </cell>
          <cell r="N387">
            <v>184925.40111048266</v>
          </cell>
          <cell r="O387">
            <v>37871.441632152382</v>
          </cell>
          <cell r="P387">
            <v>217760.7893848762</v>
          </cell>
          <cell r="Q387">
            <v>29825.625332288626</v>
          </cell>
          <cell r="R387">
            <v>156584.53299451526</v>
          </cell>
          <cell r="S387">
            <v>38869.059133161769</v>
          </cell>
          <cell r="T387">
            <v>184628.03088251839</v>
          </cell>
          <cell r="U387">
            <v>184628.03088251839</v>
          </cell>
          <cell r="V387">
            <v>36666.575839175333</v>
          </cell>
          <cell r="W387">
            <v>155832.94731649515</v>
          </cell>
          <cell r="X387">
            <v>38975.591230682825</v>
          </cell>
          <cell r="Y387">
            <v>155902.3649227313</v>
          </cell>
          <cell r="Z387">
            <v>38411.423607250152</v>
          </cell>
          <cell r="AA387">
            <v>172851.40623262565</v>
          </cell>
          <cell r="AB387">
            <v>35561.676754773958</v>
          </cell>
          <cell r="AC387">
            <v>204479.64133995026</v>
          </cell>
          <cell r="AD387">
            <v>35576.216585165967</v>
          </cell>
        </row>
        <row r="388">
          <cell r="C388" t="str">
            <v>Financial Charges -Capital Exp.</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C389" t="str">
            <v>Financial  Charges -Working Capital</v>
          </cell>
          <cell r="E389">
            <v>6374.1957447595123</v>
          </cell>
          <cell r="F389">
            <v>35058.076596177314</v>
          </cell>
          <cell r="G389">
            <v>5830.4960860188366</v>
          </cell>
          <cell r="H389">
            <v>26237.232387084761</v>
          </cell>
          <cell r="I389">
            <v>5786.7780760747182</v>
          </cell>
          <cell r="J389">
            <v>24593.806823317551</v>
          </cell>
          <cell r="K389">
            <v>5438.7726952165203</v>
          </cell>
          <cell r="L389">
            <v>23114.783954670213</v>
          </cell>
          <cell r="M389">
            <v>7276.6992202615238</v>
          </cell>
          <cell r="N389">
            <v>32745.146491176856</v>
          </cell>
          <cell r="O389">
            <v>6733.9413754248581</v>
          </cell>
          <cell r="P389">
            <v>38720.162908692932</v>
          </cell>
          <cell r="Q389">
            <v>5373.4534268480929</v>
          </cell>
          <cell r="R389">
            <v>28210.630490952488</v>
          </cell>
          <cell r="S389">
            <v>6813.5458657964136</v>
          </cell>
          <cell r="T389">
            <v>32364.342862532962</v>
          </cell>
          <cell r="U389">
            <v>32364.342862532962</v>
          </cell>
          <cell r="V389">
            <v>6486.7433875631423</v>
          </cell>
          <cell r="W389">
            <v>27568.659397143354</v>
          </cell>
          <cell r="X389">
            <v>6859.4692933315409</v>
          </cell>
          <cell r="Y389">
            <v>27437.87717332616</v>
          </cell>
          <cell r="Z389">
            <v>6753.6868403597782</v>
          </cell>
          <cell r="AA389">
            <v>30391.590781619001</v>
          </cell>
          <cell r="AB389">
            <v>6281.7176182434032</v>
          </cell>
          <cell r="AC389">
            <v>36119.876304899568</v>
          </cell>
          <cell r="AD389">
            <v>6332.5744549723177</v>
          </cell>
        </row>
        <row r="390">
          <cell r="C390" t="str">
            <v>Other Expenses (Charity &amp; Donation)</v>
          </cell>
          <cell r="E390">
            <v>4426.5248227496604</v>
          </cell>
          <cell r="F390">
            <v>24345.886525123133</v>
          </cell>
          <cell r="G390">
            <v>4048.9556152908594</v>
          </cell>
          <cell r="H390">
            <v>18220.300268808867</v>
          </cell>
          <cell r="I390">
            <v>4018.5958861629997</v>
          </cell>
          <cell r="J390">
            <v>17079.032516192747</v>
          </cell>
          <cell r="K390">
            <v>3776.925482789251</v>
          </cell>
          <cell r="L390">
            <v>16051.933301854317</v>
          </cell>
          <cell r="M390">
            <v>5053.2633474038375</v>
          </cell>
          <cell r="N390">
            <v>22739.685063317273</v>
          </cell>
          <cell r="O390">
            <v>4676.3481773783733</v>
          </cell>
          <cell r="P390">
            <v>26889.002019925647</v>
          </cell>
          <cell r="Q390">
            <v>3731.56487975562</v>
          </cell>
          <cell r="R390">
            <v>19590.715618717004</v>
          </cell>
          <cell r="S390">
            <v>4731.6290734697322</v>
          </cell>
          <cell r="T390">
            <v>22475.23809898123</v>
          </cell>
          <cell r="U390">
            <v>22475.23809898123</v>
          </cell>
          <cell r="V390">
            <v>4504.6829080299594</v>
          </cell>
          <cell r="W390">
            <v>19144.902359127325</v>
          </cell>
          <cell r="X390">
            <v>4763.5203425913487</v>
          </cell>
          <cell r="Y390">
            <v>19054.081370365395</v>
          </cell>
          <cell r="Z390">
            <v>4690.0603058054012</v>
          </cell>
          <cell r="AA390">
            <v>21105.271376124307</v>
          </cell>
          <cell r="AB390">
            <v>4362.3039015579179</v>
          </cell>
          <cell r="AC390">
            <v>25083.247433958029</v>
          </cell>
          <cell r="AD390">
            <v>4397.6211492863313</v>
          </cell>
        </row>
        <row r="391">
          <cell r="C391" t="str">
            <v>Other Expenses ( W.P.P.F.)</v>
          </cell>
          <cell r="E391">
            <v>38594.360217718313</v>
          </cell>
          <cell r="F391">
            <v>212268.98119745072</v>
          </cell>
          <cell r="G391">
            <v>47613.187704716955</v>
          </cell>
          <cell r="H391">
            <v>214259.34467122628</v>
          </cell>
          <cell r="I391">
            <v>44517.057793841581</v>
          </cell>
          <cell r="J391">
            <v>189197.49562382672</v>
          </cell>
          <cell r="K391">
            <v>51061.890025056593</v>
          </cell>
          <cell r="L391">
            <v>217013.03260649054</v>
          </cell>
          <cell r="M391">
            <v>34790.741214850859</v>
          </cell>
          <cell r="N391">
            <v>156558.33546682887</v>
          </cell>
          <cell r="O391">
            <v>33909.885185439627</v>
          </cell>
          <cell r="P391">
            <v>194981.83981627785</v>
          </cell>
          <cell r="Q391">
            <v>47788.26335373053</v>
          </cell>
          <cell r="R391">
            <v>250888.38260708528</v>
          </cell>
          <cell r="S391">
            <v>33263.00168298481</v>
          </cell>
          <cell r="T391">
            <v>157999.25799417787</v>
          </cell>
          <cell r="U391">
            <v>157999.25799417787</v>
          </cell>
          <cell r="V391">
            <v>41036.241087022841</v>
          </cell>
          <cell r="W391">
            <v>174404.02461984707</v>
          </cell>
          <cell r="X391">
            <v>44164.229973041547</v>
          </cell>
          <cell r="Y391">
            <v>176656.91989216622</v>
          </cell>
          <cell r="Z391">
            <v>36284.621652321657</v>
          </cell>
          <cell r="AA391">
            <v>163280.79743544746</v>
          </cell>
          <cell r="AB391">
            <v>37263.762594546402</v>
          </cell>
          <cell r="AC391">
            <v>214266.63491864182</v>
          </cell>
          <cell r="AD391">
            <v>40449.372389986151</v>
          </cell>
        </row>
        <row r="392">
          <cell r="C392" t="str">
            <v>Workers Welfare Fund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E393">
            <v>284035.67600653035</v>
          </cell>
          <cell r="F393">
            <v>994124.86602285621</v>
          </cell>
          <cell r="G393">
            <v>272959.57984161226</v>
          </cell>
          <cell r="H393">
            <v>818878.73952483677</v>
          </cell>
          <cell r="I393">
            <v>350685.39523141406</v>
          </cell>
          <cell r="J393">
            <v>1052056.1856942421</v>
          </cell>
          <cell r="K393">
            <v>340338.74001792585</v>
          </cell>
          <cell r="L393">
            <v>1021016.2200537776</v>
          </cell>
          <cell r="M393">
            <v>408104.16271109361</v>
          </cell>
          <cell r="N393">
            <v>1224312.4881332808</v>
          </cell>
          <cell r="O393">
            <v>294151.18280635553</v>
          </cell>
          <cell r="P393">
            <v>1029529.1398222443</v>
          </cell>
          <cell r="Q393">
            <v>254838.32788890277</v>
          </cell>
          <cell r="R393">
            <v>828224.56563893403</v>
          </cell>
          <cell r="S393">
            <v>353692.34456899669</v>
          </cell>
          <cell r="T393">
            <v>1149500.1198492392</v>
          </cell>
          <cell r="U393">
            <v>1149500.1198492392</v>
          </cell>
          <cell r="V393">
            <v>357393.98749271751</v>
          </cell>
          <cell r="W393">
            <v>1072181.9624781525</v>
          </cell>
          <cell r="X393">
            <v>311872.94642607443</v>
          </cell>
          <cell r="Y393">
            <v>857650.60267170472</v>
          </cell>
          <cell r="Z393">
            <v>405207.35704197729</v>
          </cell>
          <cell r="AA393">
            <v>1215622.0711259318</v>
          </cell>
          <cell r="AB393">
            <v>285985.5329034531</v>
          </cell>
          <cell r="AC393">
            <v>1644416.8141948555</v>
          </cell>
          <cell r="AD393">
            <v>322099.92519350135</v>
          </cell>
        </row>
        <row r="394">
          <cell r="C394" t="str">
            <v>Operating Profit</v>
          </cell>
          <cell r="E394">
            <v>1006020.0196456434</v>
          </cell>
          <cell r="F394">
            <v>3371146.2209336655</v>
          </cell>
          <cell r="G394">
            <v>1017096.1158105615</v>
          </cell>
          <cell r="H394">
            <v>3051288.3474316848</v>
          </cell>
          <cell r="I394">
            <v>939370.30042075971</v>
          </cell>
          <cell r="J394">
            <v>2818110.9012622791</v>
          </cell>
          <cell r="K394">
            <v>881688.95563424798</v>
          </cell>
          <cell r="L394">
            <v>2645066.8669027439</v>
          </cell>
          <cell r="M394">
            <v>813923.53294108016</v>
          </cell>
          <cell r="N394">
            <v>2441770.5988232405</v>
          </cell>
          <cell r="O394">
            <v>927876.51284581842</v>
          </cell>
          <cell r="P394">
            <v>2995601.9471342773</v>
          </cell>
          <cell r="Q394">
            <v>967189.36776327109</v>
          </cell>
          <cell r="R394">
            <v>3017382.5213175877</v>
          </cell>
          <cell r="S394">
            <v>868335.35108317714</v>
          </cell>
          <cell r="T394">
            <v>2696106.967107282</v>
          </cell>
          <cell r="U394">
            <v>2696106.967107282</v>
          </cell>
          <cell r="V394">
            <v>864633.70815945638</v>
          </cell>
          <cell r="W394">
            <v>2593901.124478369</v>
          </cell>
          <cell r="X394">
            <v>910154.74922609935</v>
          </cell>
          <cell r="Y394">
            <v>2628908.4842848168</v>
          </cell>
          <cell r="Z394">
            <v>816820.33861019649</v>
          </cell>
          <cell r="AA394">
            <v>2450461.0158305895</v>
          </cell>
          <cell r="AB394">
            <v>936042.16274872073</v>
          </cell>
          <cell r="AC394">
            <v>5743748.316239926</v>
          </cell>
          <cell r="AD394">
            <v>1064300.64002389</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C396" t="str">
            <v>Other Income</v>
          </cell>
          <cell r="E396">
            <v>71008.919001632588</v>
          </cell>
          <cell r="F396">
            <v>355044.59500816296</v>
          </cell>
          <cell r="G396">
            <v>68239.894960403064</v>
          </cell>
          <cell r="H396">
            <v>204719.68488120919</v>
          </cell>
          <cell r="I396">
            <v>87671.348807853516</v>
          </cell>
          <cell r="J396">
            <v>263014.04642356053</v>
          </cell>
          <cell r="K396">
            <v>85084.685004481464</v>
          </cell>
          <cell r="L396">
            <v>255254.05501344439</v>
          </cell>
          <cell r="M396">
            <v>102026.0406777734</v>
          </cell>
          <cell r="N396">
            <v>306078.12203332019</v>
          </cell>
          <cell r="O396">
            <v>73537.795701588882</v>
          </cell>
          <cell r="P396">
            <v>367688.97850794438</v>
          </cell>
          <cell r="Q396">
            <v>63709.581972225693</v>
          </cell>
          <cell r="R396">
            <v>254838.32788890277</v>
          </cell>
          <cell r="S396">
            <v>88423.086142249173</v>
          </cell>
          <cell r="T396">
            <v>353692.34456899669</v>
          </cell>
          <cell r="U396">
            <v>353692.34456899669</v>
          </cell>
          <cell r="V396">
            <v>89348.496873179378</v>
          </cell>
          <cell r="W396">
            <v>268045.49061953812</v>
          </cell>
          <cell r="X396">
            <v>77968.236606518607</v>
          </cell>
          <cell r="Y396">
            <v>155936.47321303721</v>
          </cell>
          <cell r="Z396">
            <v>101301.83926049432</v>
          </cell>
          <cell r="AA396">
            <v>303905.51778148295</v>
          </cell>
          <cell r="AB396">
            <v>71496.383225863276</v>
          </cell>
          <cell r="AC396">
            <v>357481.91612931638</v>
          </cell>
          <cell r="AD396">
            <v>0</v>
          </cell>
        </row>
        <row r="397">
          <cell r="C397" t="str">
            <v>H.D</v>
          </cell>
          <cell r="E397">
            <v>61408.914285714287</v>
          </cell>
          <cell r="F397">
            <v>337749.02857142856</v>
          </cell>
          <cell r="G397">
            <v>55216.516129032258</v>
          </cell>
          <cell r="H397">
            <v>248474.32258064515</v>
          </cell>
          <cell r="I397">
            <v>67728</v>
          </cell>
          <cell r="J397">
            <v>287844</v>
          </cell>
          <cell r="K397">
            <v>1270059.7333333334</v>
          </cell>
          <cell r="L397">
            <v>5397753.8666666662</v>
          </cell>
          <cell r="M397">
            <v>1237157.1612903227</v>
          </cell>
          <cell r="N397">
            <v>5567207.2258064523</v>
          </cell>
          <cell r="O397">
            <v>1056812.888888889</v>
          </cell>
          <cell r="P397">
            <v>6076674.111111111</v>
          </cell>
          <cell r="Q397">
            <v>291058.28571428574</v>
          </cell>
          <cell r="R397">
            <v>1528056</v>
          </cell>
          <cell r="S397">
            <v>59351</v>
          </cell>
          <cell r="T397">
            <v>281917.25</v>
          </cell>
          <cell r="U397">
            <v>281917.25</v>
          </cell>
          <cell r="V397">
            <v>76010.133333333331</v>
          </cell>
          <cell r="W397">
            <v>323043.06666666659</v>
          </cell>
          <cell r="X397">
            <v>59024.551724137928</v>
          </cell>
          <cell r="Y397">
            <v>236098.20689655168</v>
          </cell>
          <cell r="Z397">
            <v>61265.548387096773</v>
          </cell>
          <cell r="AA397">
            <v>275694.96774193551</v>
          </cell>
          <cell r="AB397">
            <v>54914.594594594593</v>
          </cell>
          <cell r="AC397">
            <v>315758.91891891893</v>
          </cell>
          <cell r="AD397">
            <v>365417.96110316378</v>
          </cell>
        </row>
        <row r="398">
          <cell r="C398" t="str">
            <v>Others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E399">
            <v>61408.914285714287</v>
          </cell>
          <cell r="F399">
            <v>337749.02857142856</v>
          </cell>
          <cell r="G399">
            <v>55216.516129032258</v>
          </cell>
          <cell r="H399">
            <v>248474.32258064515</v>
          </cell>
          <cell r="I399">
            <v>67728</v>
          </cell>
          <cell r="J399">
            <v>287844</v>
          </cell>
          <cell r="K399">
            <v>1270059.7333333334</v>
          </cell>
          <cell r="L399">
            <v>5397753.8666666662</v>
          </cell>
          <cell r="M399">
            <v>1237157.1612903227</v>
          </cell>
          <cell r="N399">
            <v>5567207.2258064523</v>
          </cell>
          <cell r="O399">
            <v>1056812.888888889</v>
          </cell>
          <cell r="P399">
            <v>6076674.111111111</v>
          </cell>
          <cell r="Q399">
            <v>291058.28571428574</v>
          </cell>
          <cell r="R399">
            <v>1528056</v>
          </cell>
          <cell r="S399">
            <v>59351</v>
          </cell>
          <cell r="T399">
            <v>281917.25</v>
          </cell>
          <cell r="U399">
            <v>281917.25</v>
          </cell>
          <cell r="V399">
            <v>76010.133333333331</v>
          </cell>
          <cell r="W399">
            <v>323043.06666666659</v>
          </cell>
          <cell r="X399">
            <v>59024.551724137928</v>
          </cell>
          <cell r="Y399">
            <v>236098.20689655168</v>
          </cell>
          <cell r="Z399">
            <v>61265.548387096773</v>
          </cell>
          <cell r="AA399">
            <v>275694.96774193551</v>
          </cell>
          <cell r="AB399">
            <v>54914.594594594593</v>
          </cell>
          <cell r="AC399">
            <v>315758.91891891893</v>
          </cell>
          <cell r="AD399">
            <v>365417.96110316378</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C401" t="str">
            <v>Profit before tax</v>
          </cell>
          <cell r="E401">
            <v>1067428.9339313577</v>
          </cell>
          <cell r="F401">
            <v>3586077.4209336652</v>
          </cell>
          <cell r="G401">
            <v>1072312.6319395937</v>
          </cell>
          <cell r="H401">
            <v>3216937.8958187811</v>
          </cell>
          <cell r="I401">
            <v>1007098.3004207597</v>
          </cell>
          <cell r="J401">
            <v>3021294.9012622791</v>
          </cell>
          <cell r="K401">
            <v>2151748.6889675814</v>
          </cell>
          <cell r="L401">
            <v>6455246.0669027437</v>
          </cell>
          <cell r="M401">
            <v>2051080.6942314031</v>
          </cell>
          <cell r="N401">
            <v>6153242.0826942082</v>
          </cell>
          <cell r="O401">
            <v>1984689.4017347074</v>
          </cell>
          <cell r="P401">
            <v>6694447.0582453888</v>
          </cell>
          <cell r="Q401">
            <v>1258247.6534775568</v>
          </cell>
          <cell r="R401">
            <v>3963321.9498890163</v>
          </cell>
          <cell r="S401">
            <v>927686.35108317714</v>
          </cell>
          <cell r="T401">
            <v>2888997.717107282</v>
          </cell>
          <cell r="U401">
            <v>2888997.717107282</v>
          </cell>
          <cell r="V401">
            <v>940643.84149278956</v>
          </cell>
          <cell r="W401">
            <v>2821931.5244783685</v>
          </cell>
          <cell r="X401">
            <v>969179.30095023732</v>
          </cell>
          <cell r="Y401">
            <v>2791226.001526196</v>
          </cell>
          <cell r="Z401">
            <v>878085.88699729322</v>
          </cell>
          <cell r="AA401">
            <v>2634257.6609918801</v>
          </cell>
          <cell r="AB401">
            <v>990956.75734331529</v>
          </cell>
          <cell r="AC401">
            <v>6059507.2351588439</v>
          </cell>
          <cell r="AD401">
            <v>1429718.6011270538</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C403" t="str">
            <v>Taxation</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C404" t="str">
            <v>Presumptive</v>
          </cell>
          <cell r="E404">
            <v>360967</v>
          </cell>
          <cell r="F404">
            <v>1893449</v>
          </cell>
          <cell r="G404">
            <v>360967</v>
          </cell>
          <cell r="H404">
            <v>1505751</v>
          </cell>
          <cell r="I404">
            <v>360967</v>
          </cell>
          <cell r="J404">
            <v>1406286</v>
          </cell>
          <cell r="K404">
            <v>360967</v>
          </cell>
          <cell r="L404">
            <v>1406286</v>
          </cell>
          <cell r="M404">
            <v>360967</v>
          </cell>
          <cell r="N404">
            <v>1505751</v>
          </cell>
          <cell r="O404">
            <v>360967</v>
          </cell>
          <cell r="P404">
            <v>1992914</v>
          </cell>
          <cell r="Q404">
            <v>360967</v>
          </cell>
          <cell r="R404">
            <v>1799065</v>
          </cell>
          <cell r="S404">
            <v>360967</v>
          </cell>
          <cell r="T404">
            <v>1600135</v>
          </cell>
          <cell r="U404">
            <v>1600135</v>
          </cell>
          <cell r="V404">
            <v>360967</v>
          </cell>
          <cell r="W404">
            <v>1406286</v>
          </cell>
          <cell r="X404">
            <v>360967</v>
          </cell>
          <cell r="Y404">
            <v>1311902</v>
          </cell>
          <cell r="Z404">
            <v>360967</v>
          </cell>
          <cell r="AA404">
            <v>1505751</v>
          </cell>
          <cell r="AB404">
            <v>360967</v>
          </cell>
          <cell r="AC404">
            <v>1992914</v>
          </cell>
          <cell r="AD404">
            <v>360967</v>
          </cell>
        </row>
        <row r="405">
          <cell r="C405" t="str">
            <v>Others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E406">
            <v>360967</v>
          </cell>
          <cell r="F406">
            <v>1271669</v>
          </cell>
          <cell r="G406">
            <v>360967</v>
          </cell>
          <cell r="H406">
            <v>1082901</v>
          </cell>
          <cell r="I406">
            <v>360967</v>
          </cell>
          <cell r="J406">
            <v>1082901</v>
          </cell>
          <cell r="K406">
            <v>360967</v>
          </cell>
          <cell r="L406">
            <v>1082901</v>
          </cell>
          <cell r="M406">
            <v>360967</v>
          </cell>
          <cell r="N406">
            <v>1082901</v>
          </cell>
          <cell r="O406">
            <v>360967</v>
          </cell>
          <cell r="P406">
            <v>1271669</v>
          </cell>
          <cell r="Q406">
            <v>360967</v>
          </cell>
          <cell r="R406">
            <v>1177285</v>
          </cell>
          <cell r="S406">
            <v>360967</v>
          </cell>
          <cell r="T406">
            <v>1177285</v>
          </cell>
          <cell r="U406">
            <v>1177285</v>
          </cell>
          <cell r="V406">
            <v>360967</v>
          </cell>
          <cell r="W406">
            <v>1082901</v>
          </cell>
          <cell r="X406">
            <v>360967</v>
          </cell>
          <cell r="Y406">
            <v>988517</v>
          </cell>
          <cell r="Z406">
            <v>360967</v>
          </cell>
          <cell r="AA406">
            <v>1082901</v>
          </cell>
          <cell r="AB406">
            <v>360967</v>
          </cell>
          <cell r="AC406">
            <v>1992914</v>
          </cell>
          <cell r="AD406">
            <v>360967</v>
          </cell>
        </row>
        <row r="407">
          <cell r="C407" t="str">
            <v>Net Profit after taxation</v>
          </cell>
          <cell r="E407">
            <v>706461.93393135769</v>
          </cell>
          <cell r="F407">
            <v>2314408.4209336652</v>
          </cell>
          <cell r="G407">
            <v>711345.6319395937</v>
          </cell>
          <cell r="H407">
            <v>2134036.8958187811</v>
          </cell>
          <cell r="I407">
            <v>646131.30042075971</v>
          </cell>
          <cell r="J407">
            <v>1938393.9012622791</v>
          </cell>
          <cell r="K407">
            <v>1790781.6889675814</v>
          </cell>
          <cell r="L407">
            <v>5372345.0669027437</v>
          </cell>
          <cell r="M407">
            <v>1690113.6942314031</v>
          </cell>
          <cell r="N407">
            <v>5070341.0826942082</v>
          </cell>
          <cell r="O407">
            <v>1623722.4017347074</v>
          </cell>
          <cell r="P407">
            <v>5422778.0582453888</v>
          </cell>
          <cell r="Q407">
            <v>897280.65347755677</v>
          </cell>
          <cell r="R407">
            <v>2786036.9498890163</v>
          </cell>
          <cell r="S407">
            <v>566719.35108317714</v>
          </cell>
          <cell r="T407">
            <v>1711712.7171072823</v>
          </cell>
          <cell r="U407">
            <v>1711712.7171072823</v>
          </cell>
          <cell r="V407">
            <v>579676.84149278956</v>
          </cell>
          <cell r="W407">
            <v>1739030.5244783685</v>
          </cell>
          <cell r="X407">
            <v>608212.30095023732</v>
          </cell>
          <cell r="Y407">
            <v>1802709.001526196</v>
          </cell>
          <cell r="Z407">
            <v>517118.88699729322</v>
          </cell>
          <cell r="AA407">
            <v>1551356.6609918799</v>
          </cell>
          <cell r="AB407">
            <v>629989.75734331529</v>
          </cell>
          <cell r="AC407">
            <v>4066593.2351588449</v>
          </cell>
          <cell r="AD407">
            <v>1068751.6011270538</v>
          </cell>
        </row>
        <row r="411">
          <cell r="E411">
            <v>913</v>
          </cell>
          <cell r="G411">
            <v>944</v>
          </cell>
          <cell r="I411">
            <v>975</v>
          </cell>
          <cell r="K411">
            <v>1006</v>
          </cell>
          <cell r="M411">
            <v>1037</v>
          </cell>
          <cell r="O411">
            <v>1068</v>
          </cell>
          <cell r="Q411">
            <v>1099</v>
          </cell>
          <cell r="S411">
            <v>1130</v>
          </cell>
          <cell r="V411">
            <v>1161</v>
          </cell>
          <cell r="X411">
            <v>1192</v>
          </cell>
          <cell r="Z411">
            <v>1223</v>
          </cell>
          <cell r="AB411">
            <v>1254</v>
          </cell>
          <cell r="AD411" t="str">
            <v>Yearly</v>
          </cell>
        </row>
        <row r="412">
          <cell r="C412" t="str">
            <v>Hilux  4 x 4 - D/C</v>
          </cell>
          <cell r="E412" t="str">
            <v>Per Unit</v>
          </cell>
          <cell r="F412" t="str">
            <v>Total</v>
          </cell>
          <cell r="G412" t="str">
            <v>Per Unit</v>
          </cell>
          <cell r="H412" t="str">
            <v>Total</v>
          </cell>
          <cell r="I412" t="str">
            <v>Per Unit</v>
          </cell>
          <cell r="J412" t="str">
            <v>Total</v>
          </cell>
          <cell r="K412" t="str">
            <v>Per Unit</v>
          </cell>
          <cell r="L412" t="str">
            <v>Total</v>
          </cell>
          <cell r="M412" t="str">
            <v>Per Unit</v>
          </cell>
          <cell r="N412" t="str">
            <v>Total</v>
          </cell>
          <cell r="O412" t="str">
            <v>Per Unit</v>
          </cell>
          <cell r="P412" t="str">
            <v>Total</v>
          </cell>
          <cell r="Q412" t="str">
            <v>Per Unit</v>
          </cell>
          <cell r="R412" t="str">
            <v>Total</v>
          </cell>
          <cell r="S412" t="str">
            <v>Per Unit</v>
          </cell>
          <cell r="U412" t="str">
            <v>Total</v>
          </cell>
          <cell r="V412" t="str">
            <v>Per Unit</v>
          </cell>
          <cell r="W412" t="str">
            <v>Total</v>
          </cell>
          <cell r="X412" t="str">
            <v>Per Unit</v>
          </cell>
          <cell r="Y412" t="str">
            <v>Total</v>
          </cell>
          <cell r="Z412" t="str">
            <v>Per Unit</v>
          </cell>
          <cell r="AA412" t="str">
            <v>Total</v>
          </cell>
          <cell r="AB412" t="str">
            <v>Per Unit</v>
          </cell>
          <cell r="AC412" t="str">
            <v>Total</v>
          </cell>
          <cell r="AD412" t="str">
            <v>Average</v>
          </cell>
        </row>
        <row r="414">
          <cell r="C414" t="str">
            <v>Sales Units</v>
          </cell>
          <cell r="E414">
            <v>5</v>
          </cell>
          <cell r="F414">
            <v>5</v>
          </cell>
          <cell r="G414">
            <v>3</v>
          </cell>
          <cell r="H414">
            <v>3</v>
          </cell>
          <cell r="I414">
            <v>3</v>
          </cell>
          <cell r="J414">
            <v>3</v>
          </cell>
          <cell r="K414">
            <v>3</v>
          </cell>
          <cell r="L414">
            <v>3</v>
          </cell>
          <cell r="M414">
            <v>3</v>
          </cell>
          <cell r="N414">
            <v>3</v>
          </cell>
          <cell r="O414">
            <v>5</v>
          </cell>
          <cell r="P414">
            <v>5</v>
          </cell>
          <cell r="Q414">
            <v>4</v>
          </cell>
          <cell r="R414">
            <v>4</v>
          </cell>
          <cell r="S414">
            <v>4</v>
          </cell>
          <cell r="T414">
            <v>4</v>
          </cell>
          <cell r="U414">
            <v>4</v>
          </cell>
          <cell r="V414">
            <v>3</v>
          </cell>
          <cell r="W414">
            <v>3</v>
          </cell>
          <cell r="X414">
            <v>2</v>
          </cell>
          <cell r="Y414">
            <v>2</v>
          </cell>
          <cell r="Z414">
            <v>3</v>
          </cell>
          <cell r="AA414">
            <v>3</v>
          </cell>
          <cell r="AB414">
            <v>5</v>
          </cell>
          <cell r="AC414">
            <v>5</v>
          </cell>
          <cell r="AD414">
            <v>43</v>
          </cell>
        </row>
        <row r="415">
          <cell r="U415">
            <v>0</v>
          </cell>
        </row>
        <row r="416">
          <cell r="C416" t="str">
            <v>Selling Price</v>
          </cell>
          <cell r="E416">
            <v>2160000</v>
          </cell>
          <cell r="F416">
            <v>10800000</v>
          </cell>
          <cell r="G416">
            <v>2160000</v>
          </cell>
          <cell r="H416">
            <v>6480000</v>
          </cell>
          <cell r="I416">
            <v>2160000</v>
          </cell>
          <cell r="J416">
            <v>6480000</v>
          </cell>
          <cell r="K416">
            <v>2160000</v>
          </cell>
          <cell r="L416">
            <v>6480000</v>
          </cell>
          <cell r="M416">
            <v>2160000</v>
          </cell>
          <cell r="N416">
            <v>6480000</v>
          </cell>
          <cell r="O416">
            <v>2160000</v>
          </cell>
          <cell r="P416">
            <v>10800000</v>
          </cell>
          <cell r="Q416">
            <v>2160000</v>
          </cell>
          <cell r="R416">
            <v>8640000</v>
          </cell>
          <cell r="S416">
            <v>2160000</v>
          </cell>
          <cell r="T416">
            <v>8640000</v>
          </cell>
          <cell r="U416">
            <v>8640000</v>
          </cell>
          <cell r="V416">
            <v>2160000</v>
          </cell>
          <cell r="W416">
            <v>6480000</v>
          </cell>
          <cell r="X416">
            <v>2160000</v>
          </cell>
          <cell r="Y416">
            <v>4320000</v>
          </cell>
          <cell r="Z416">
            <v>2160000</v>
          </cell>
          <cell r="AA416">
            <v>6480000</v>
          </cell>
          <cell r="AB416">
            <v>2160000</v>
          </cell>
          <cell r="AC416">
            <v>10800000</v>
          </cell>
          <cell r="AD416">
            <v>2160000</v>
          </cell>
        </row>
        <row r="417">
          <cell r="C417" t="str">
            <v>Less: Dealer commission</v>
          </cell>
          <cell r="E417">
            <v>-30000</v>
          </cell>
          <cell r="F417">
            <v>-150000</v>
          </cell>
          <cell r="G417">
            <v>-30000</v>
          </cell>
          <cell r="H417">
            <v>-90000</v>
          </cell>
          <cell r="I417">
            <v>-30000</v>
          </cell>
          <cell r="J417">
            <v>-90000</v>
          </cell>
          <cell r="K417">
            <v>-30000</v>
          </cell>
          <cell r="L417">
            <v>-90000</v>
          </cell>
          <cell r="M417">
            <v>-30000</v>
          </cell>
          <cell r="N417">
            <v>-90000</v>
          </cell>
          <cell r="O417">
            <v>-30000</v>
          </cell>
          <cell r="P417">
            <v>-150000</v>
          </cell>
          <cell r="Q417">
            <v>-30000</v>
          </cell>
          <cell r="R417">
            <v>-120000</v>
          </cell>
          <cell r="S417">
            <v>-30000</v>
          </cell>
          <cell r="T417">
            <v>-120000</v>
          </cell>
          <cell r="U417">
            <v>-120000</v>
          </cell>
          <cell r="V417">
            <v>-30000</v>
          </cell>
          <cell r="W417">
            <v>-90000</v>
          </cell>
          <cell r="X417">
            <v>-30000</v>
          </cell>
          <cell r="Y417">
            <v>-60000</v>
          </cell>
          <cell r="Z417">
            <v>-30000</v>
          </cell>
          <cell r="AA417">
            <v>-90000</v>
          </cell>
          <cell r="AB417">
            <v>-30000</v>
          </cell>
          <cell r="AC417">
            <v>-150000</v>
          </cell>
          <cell r="AD417">
            <v>-30000</v>
          </cell>
        </row>
        <row r="418">
          <cell r="C418" t="str">
            <v xml:space="preserve">  Sales tax</v>
          </cell>
          <cell r="E418">
            <v>-281739.13043478259</v>
          </cell>
          <cell r="F418">
            <v>-1408695.6521739131</v>
          </cell>
          <cell r="G418">
            <v>-281739.13043478259</v>
          </cell>
          <cell r="H418">
            <v>-845217.39130434778</v>
          </cell>
          <cell r="I418">
            <v>-281739.13043478259</v>
          </cell>
          <cell r="J418">
            <v>-845217.39130434778</v>
          </cell>
          <cell r="K418">
            <v>-281739.13043478259</v>
          </cell>
          <cell r="L418">
            <v>-845217.39130434778</v>
          </cell>
          <cell r="M418">
            <v>-281739.13043478259</v>
          </cell>
          <cell r="N418">
            <v>-845217.39130434778</v>
          </cell>
          <cell r="O418">
            <v>-281739.13043478259</v>
          </cell>
          <cell r="P418">
            <v>-1408695.6521739131</v>
          </cell>
          <cell r="Q418">
            <v>-281739.13043478259</v>
          </cell>
          <cell r="R418">
            <v>-1126956.5217391304</v>
          </cell>
          <cell r="S418">
            <v>-281739.13043478259</v>
          </cell>
          <cell r="T418">
            <v>-1126956.5217391304</v>
          </cell>
          <cell r="U418">
            <v>-1126956.5217391304</v>
          </cell>
          <cell r="V418">
            <v>-281739.13043478259</v>
          </cell>
          <cell r="W418">
            <v>-845217.39130434778</v>
          </cell>
          <cell r="X418">
            <v>-281739.13043478259</v>
          </cell>
          <cell r="Y418">
            <v>-563478.26086956519</v>
          </cell>
          <cell r="Z418">
            <v>-281739.13043478259</v>
          </cell>
          <cell r="AA418">
            <v>-845217.39130434778</v>
          </cell>
          <cell r="AB418">
            <v>-281739.13043478259</v>
          </cell>
          <cell r="AC418">
            <v>-1408695.6521739131</v>
          </cell>
          <cell r="AD418">
            <v>-281739.13043478259</v>
          </cell>
        </row>
        <row r="419">
          <cell r="C419" t="str">
            <v>Net Sales</v>
          </cell>
          <cell r="E419">
            <v>1848260.8695652173</v>
          </cell>
          <cell r="F419">
            <v>9241304.347826086</v>
          </cell>
          <cell r="G419">
            <v>1848260.8695652173</v>
          </cell>
          <cell r="H419">
            <v>5544782.6086956523</v>
          </cell>
          <cell r="I419">
            <v>1848260.8695652173</v>
          </cell>
          <cell r="J419">
            <v>5544782.6086956523</v>
          </cell>
          <cell r="K419">
            <v>1848260.8695652173</v>
          </cell>
          <cell r="L419">
            <v>5544782.6086956523</v>
          </cell>
          <cell r="M419">
            <v>1848260.8695652173</v>
          </cell>
          <cell r="N419">
            <v>5544782.6086956523</v>
          </cell>
          <cell r="O419">
            <v>1848260.8695652173</v>
          </cell>
          <cell r="P419">
            <v>9241304.347826086</v>
          </cell>
          <cell r="Q419">
            <v>1848260.8695652173</v>
          </cell>
          <cell r="R419">
            <v>7393043.4782608692</v>
          </cell>
          <cell r="S419">
            <v>1848260.8695652173</v>
          </cell>
          <cell r="T419">
            <v>7393043.4782608692</v>
          </cell>
          <cell r="U419">
            <v>7393043.4782608692</v>
          </cell>
          <cell r="V419">
            <v>1848260.8695652173</v>
          </cell>
          <cell r="W419">
            <v>5544782.6086956523</v>
          </cell>
          <cell r="X419">
            <v>1848260.8695652173</v>
          </cell>
          <cell r="Y419">
            <v>3696521.7391304346</v>
          </cell>
          <cell r="Z419">
            <v>1848260.8695652173</v>
          </cell>
          <cell r="AA419">
            <v>5544782.6086956523</v>
          </cell>
          <cell r="AB419">
            <v>1848260.8695652173</v>
          </cell>
          <cell r="AC419">
            <v>9241304.347826086</v>
          </cell>
          <cell r="AD419">
            <v>1848260.8695652173</v>
          </cell>
        </row>
        <row r="420">
          <cell r="C420" t="str">
            <v>Landes Cost</v>
          </cell>
          <cell r="E420">
            <v>1504364</v>
          </cell>
          <cell r="F420">
            <v>7521820</v>
          </cell>
          <cell r="G420">
            <v>1504364</v>
          </cell>
          <cell r="H420">
            <v>4513092</v>
          </cell>
          <cell r="I420">
            <v>1504364</v>
          </cell>
          <cell r="J420">
            <v>4513092</v>
          </cell>
          <cell r="K420">
            <v>1504364</v>
          </cell>
          <cell r="L420">
            <v>4513092</v>
          </cell>
          <cell r="M420">
            <v>1504364</v>
          </cell>
          <cell r="N420">
            <v>4513092</v>
          </cell>
          <cell r="O420">
            <v>1504364</v>
          </cell>
          <cell r="P420">
            <v>7521820</v>
          </cell>
          <cell r="Q420">
            <v>1504364</v>
          </cell>
          <cell r="R420">
            <v>6017456</v>
          </cell>
          <cell r="S420">
            <v>1504364</v>
          </cell>
          <cell r="T420">
            <v>6017456</v>
          </cell>
          <cell r="U420">
            <v>6017456</v>
          </cell>
          <cell r="V420">
            <v>1504364</v>
          </cell>
          <cell r="W420">
            <v>4513092</v>
          </cell>
          <cell r="X420">
            <v>1504364</v>
          </cell>
          <cell r="Y420">
            <v>3008728</v>
          </cell>
          <cell r="Z420">
            <v>1504364</v>
          </cell>
          <cell r="AA420">
            <v>4513092</v>
          </cell>
          <cell r="AB420">
            <v>1504364</v>
          </cell>
          <cell r="AC420">
            <v>7521820</v>
          </cell>
          <cell r="AD420">
            <v>1504364</v>
          </cell>
          <cell r="AF420">
            <v>64687652</v>
          </cell>
        </row>
        <row r="421">
          <cell r="C421" t="str">
            <v>Gross Profit</v>
          </cell>
          <cell r="E421">
            <v>247552</v>
          </cell>
          <cell r="F421">
            <v>1237760</v>
          </cell>
          <cell r="G421">
            <v>247552</v>
          </cell>
          <cell r="H421">
            <v>742656</v>
          </cell>
          <cell r="I421">
            <v>247552</v>
          </cell>
          <cell r="J421">
            <v>742656</v>
          </cell>
          <cell r="K421">
            <v>179524</v>
          </cell>
          <cell r="L421">
            <v>538572</v>
          </cell>
          <cell r="M421">
            <v>179524</v>
          </cell>
          <cell r="N421">
            <v>538572</v>
          </cell>
          <cell r="O421">
            <v>179524</v>
          </cell>
          <cell r="P421">
            <v>897620</v>
          </cell>
          <cell r="Q421">
            <v>179524</v>
          </cell>
          <cell r="R421">
            <v>718096</v>
          </cell>
          <cell r="S421">
            <v>179524</v>
          </cell>
          <cell r="T421">
            <v>718096</v>
          </cell>
          <cell r="U421">
            <v>718096</v>
          </cell>
          <cell r="V421">
            <v>179524</v>
          </cell>
          <cell r="W421">
            <v>538572</v>
          </cell>
          <cell r="X421">
            <v>179524</v>
          </cell>
          <cell r="Y421">
            <v>359048</v>
          </cell>
          <cell r="Z421">
            <v>179524</v>
          </cell>
          <cell r="AA421">
            <v>538572</v>
          </cell>
          <cell r="AB421">
            <v>179524</v>
          </cell>
          <cell r="AC421">
            <v>897620</v>
          </cell>
          <cell r="AD421">
            <v>343896.86956521729</v>
          </cell>
        </row>
        <row r="422">
          <cell r="E422">
            <v>0.13393780286991297</v>
          </cell>
          <cell r="U422">
            <v>0</v>
          </cell>
          <cell r="AF422">
            <v>484886582</v>
          </cell>
        </row>
        <row r="423">
          <cell r="E423">
            <v>0.11460740740740741</v>
          </cell>
          <cell r="U423">
            <v>0</v>
          </cell>
        </row>
        <row r="424">
          <cell r="C424" t="str">
            <v>Other Expenses</v>
          </cell>
          <cell r="U424">
            <v>0</v>
          </cell>
        </row>
        <row r="425">
          <cell r="C425" t="str">
            <v>Selling Expenses</v>
          </cell>
          <cell r="E425">
            <v>15580.366396615698</v>
          </cell>
          <cell r="F425">
            <v>77901.831983078489</v>
          </cell>
          <cell r="G425">
            <v>14065.815418598198</v>
          </cell>
          <cell r="H425">
            <v>42197.446255794595</v>
          </cell>
          <cell r="I425">
            <v>13937.86149454217</v>
          </cell>
          <cell r="J425">
            <v>41813.58448362651</v>
          </cell>
          <cell r="K425">
            <v>12990.070739676898</v>
          </cell>
          <cell r="L425">
            <v>38970.212219030691</v>
          </cell>
          <cell r="M425">
            <v>17928.80038831451</v>
          </cell>
          <cell r="N425">
            <v>53786.401164943527</v>
          </cell>
          <cell r="O425">
            <v>16522.62377225871</v>
          </cell>
          <cell r="P425">
            <v>82613.118861293551</v>
          </cell>
          <cell r="Q425">
            <v>13012.379906852413</v>
          </cell>
          <cell r="R425">
            <v>52049.519627409652</v>
          </cell>
          <cell r="S425">
            <v>16957.866211611876</v>
          </cell>
          <cell r="T425">
            <v>67831.464846447503</v>
          </cell>
          <cell r="U425">
            <v>67831.464846447503</v>
          </cell>
          <cell r="V425">
            <v>15996.962658356917</v>
          </cell>
          <cell r="W425">
            <v>47990.887975070749</v>
          </cell>
          <cell r="X425">
            <v>17004.344235451234</v>
          </cell>
          <cell r="Y425">
            <v>34008.688470902467</v>
          </cell>
          <cell r="Z425">
            <v>16758.208123786724</v>
          </cell>
          <cell r="AA425">
            <v>50274.624371360173</v>
          </cell>
          <cell r="AB425">
            <v>15514.915208059225</v>
          </cell>
          <cell r="AC425">
            <v>77574.576040296117</v>
          </cell>
          <cell r="AD425">
            <v>15511.915262773349</v>
          </cell>
        </row>
        <row r="426">
          <cell r="C426" t="str">
            <v>Advertisement Expenses</v>
          </cell>
          <cell r="E426">
            <v>2405.8167555729137</v>
          </cell>
          <cell r="F426">
            <v>12029.083777864569</v>
          </cell>
          <cell r="G426">
            <v>3080.827321757934</v>
          </cell>
          <cell r="H426">
            <v>9242.4819652738024</v>
          </cell>
          <cell r="I426">
            <v>23766.822379487348</v>
          </cell>
          <cell r="J426">
            <v>71300.467138462045</v>
          </cell>
          <cell r="K426">
            <v>23113.454316588311</v>
          </cell>
          <cell r="L426">
            <v>69340.362949764938</v>
          </cell>
          <cell r="M426">
            <v>25512.297842660966</v>
          </cell>
          <cell r="N426">
            <v>76536.893527982902</v>
          </cell>
          <cell r="O426">
            <v>2551.3138847595887</v>
          </cell>
          <cell r="P426">
            <v>12756.569423797944</v>
          </cell>
          <cell r="Q426">
            <v>2503.8786398437537</v>
          </cell>
          <cell r="R426">
            <v>10015.514559375015</v>
          </cell>
          <cell r="S426">
            <v>15993.121382039297</v>
          </cell>
          <cell r="T426">
            <v>63972.485528157187</v>
          </cell>
          <cell r="U426">
            <v>63972.485528157187</v>
          </cell>
          <cell r="V426">
            <v>18583.08922809346</v>
          </cell>
          <cell r="W426">
            <v>55749.267684280378</v>
          </cell>
          <cell r="X426">
            <v>2625.697960996888</v>
          </cell>
          <cell r="Y426">
            <v>5251.395921993776</v>
          </cell>
          <cell r="Z426">
            <v>28862.71016865053</v>
          </cell>
          <cell r="AA426">
            <v>86588.130505951587</v>
          </cell>
          <cell r="AB426">
            <v>3501.4226255840545</v>
          </cell>
          <cell r="AC426">
            <v>17507.113127920271</v>
          </cell>
          <cell r="AD426">
            <v>11402.08758397266</v>
          </cell>
        </row>
        <row r="427">
          <cell r="C427" t="str">
            <v>Administrative Expenses</v>
          </cell>
          <cell r="E427">
            <v>31746.041360815143</v>
          </cell>
          <cell r="F427">
            <v>158730.20680407571</v>
          </cell>
          <cell r="G427">
            <v>28660.042176505169</v>
          </cell>
          <cell r="H427">
            <v>85980.126529515503</v>
          </cell>
          <cell r="I427">
            <v>28399.32747558237</v>
          </cell>
          <cell r="J427">
            <v>85197.982426747112</v>
          </cell>
          <cell r="K427">
            <v>26468.140253189009</v>
          </cell>
          <cell r="L427">
            <v>79404.42075956703</v>
          </cell>
          <cell r="M427">
            <v>36531.133106142057</v>
          </cell>
          <cell r="N427">
            <v>109593.39931842618</v>
          </cell>
          <cell r="O427">
            <v>33665.95395197178</v>
          </cell>
          <cell r="P427">
            <v>168329.7697598589</v>
          </cell>
          <cell r="Q427">
            <v>26513.596677373815</v>
          </cell>
          <cell r="R427">
            <v>106054.38670949526</v>
          </cell>
          <cell r="S427">
            <v>34552.789609744817</v>
          </cell>
          <cell r="T427">
            <v>138211.15843897927</v>
          </cell>
          <cell r="U427">
            <v>138211.15843897927</v>
          </cell>
          <cell r="V427">
            <v>32594.884181281192</v>
          </cell>
          <cell r="W427">
            <v>97784.652543843578</v>
          </cell>
          <cell r="X427">
            <v>34647.491700158673</v>
          </cell>
          <cell r="Y427">
            <v>69294.983400317346</v>
          </cell>
          <cell r="Z427">
            <v>34145.972866622818</v>
          </cell>
          <cell r="AA427">
            <v>102437.91859986846</v>
          </cell>
          <cell r="AB427">
            <v>31612.680174939585</v>
          </cell>
          <cell r="AC427">
            <v>158063.40087469792</v>
          </cell>
          <cell r="AD427">
            <v>31606.567585241679</v>
          </cell>
        </row>
        <row r="428">
          <cell r="C428" t="str">
            <v>Depreciation (Admin. &amp; Selling )</v>
          </cell>
          <cell r="E428">
            <v>8927.9242923219663</v>
          </cell>
          <cell r="F428">
            <v>44639.62146160983</v>
          </cell>
          <cell r="G428">
            <v>8060.0501920351098</v>
          </cell>
          <cell r="H428">
            <v>24180.15057610533</v>
          </cell>
          <cell r="I428">
            <v>7986.7295192217998</v>
          </cell>
          <cell r="J428">
            <v>23960.188557665399</v>
          </cell>
          <cell r="K428">
            <v>7443.6226442616662</v>
          </cell>
          <cell r="L428">
            <v>22330.867932784997</v>
          </cell>
          <cell r="M428">
            <v>10273.633395026813</v>
          </cell>
          <cell r="N428">
            <v>30820.900185080438</v>
          </cell>
          <cell r="O428">
            <v>9467.8604080380956</v>
          </cell>
          <cell r="P428">
            <v>47339.30204019048</v>
          </cell>
          <cell r="Q428">
            <v>7456.4063330721565</v>
          </cell>
          <cell r="R428">
            <v>29825.625332288626</v>
          </cell>
          <cell r="S428">
            <v>9717.2647832904422</v>
          </cell>
          <cell r="T428">
            <v>38869.059133161769</v>
          </cell>
          <cell r="U428">
            <v>38869.059133161769</v>
          </cell>
          <cell r="V428">
            <v>9166.6439597938333</v>
          </cell>
          <cell r="W428">
            <v>27499.9318793815</v>
          </cell>
          <cell r="X428">
            <v>9743.8978076707062</v>
          </cell>
          <cell r="Y428">
            <v>19487.795615341412</v>
          </cell>
          <cell r="Z428">
            <v>9602.8559018125379</v>
          </cell>
          <cell r="AA428">
            <v>28808.567705437614</v>
          </cell>
          <cell r="AB428">
            <v>8890.4191886934896</v>
          </cell>
          <cell r="AC428">
            <v>44452.095943467444</v>
          </cell>
          <cell r="AD428">
            <v>8888.7001479654609</v>
          </cell>
        </row>
        <row r="429">
          <cell r="C429" t="str">
            <v>Financial Charges -Capital Exp.</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row>
        <row r="430">
          <cell r="C430" t="str">
            <v>Financial  Charges -Working Capital</v>
          </cell>
          <cell r="E430">
            <v>1593.5489361898781</v>
          </cell>
          <cell r="F430">
            <v>7967.7446809493904</v>
          </cell>
          <cell r="G430">
            <v>1457.6240215047092</v>
          </cell>
          <cell r="H430">
            <v>4372.8720645141275</v>
          </cell>
          <cell r="I430">
            <v>1446.6945190186796</v>
          </cell>
          <cell r="J430">
            <v>4340.0835570560384</v>
          </cell>
          <cell r="K430">
            <v>1359.6931738041301</v>
          </cell>
          <cell r="L430">
            <v>4079.07952141239</v>
          </cell>
          <cell r="M430">
            <v>1819.174805065381</v>
          </cell>
          <cell r="N430">
            <v>5457.5244151961433</v>
          </cell>
          <cell r="O430">
            <v>1683.4853438562145</v>
          </cell>
          <cell r="P430">
            <v>8417.426719281073</v>
          </cell>
          <cell r="Q430">
            <v>1343.3633567120232</v>
          </cell>
          <cell r="R430">
            <v>5373.4534268480929</v>
          </cell>
          <cell r="S430">
            <v>1703.3864664491034</v>
          </cell>
          <cell r="T430">
            <v>6813.5458657964136</v>
          </cell>
          <cell r="U430">
            <v>6813.5458657964136</v>
          </cell>
          <cell r="V430">
            <v>1621.6858468907856</v>
          </cell>
          <cell r="W430">
            <v>4865.0575406723565</v>
          </cell>
          <cell r="X430">
            <v>1714.8673233328852</v>
          </cell>
          <cell r="Y430">
            <v>3429.7346466657705</v>
          </cell>
          <cell r="Z430">
            <v>1688.4217100899446</v>
          </cell>
          <cell r="AA430">
            <v>5065.2651302698341</v>
          </cell>
          <cell r="AB430">
            <v>1570.4294045608508</v>
          </cell>
          <cell r="AC430">
            <v>7852.1470228042544</v>
          </cell>
          <cell r="AD430">
            <v>1582.1845253829276</v>
          </cell>
        </row>
        <row r="431">
          <cell r="C431" t="str">
            <v>Other Expenses (Charity &amp; Donation)</v>
          </cell>
          <cell r="E431">
            <v>1106.6312056874151</v>
          </cell>
          <cell r="F431">
            <v>5533.1560284370753</v>
          </cell>
          <cell r="G431">
            <v>1012.2389038227149</v>
          </cell>
          <cell r="H431">
            <v>3036.7167114681447</v>
          </cell>
          <cell r="I431">
            <v>1004.6489715407499</v>
          </cell>
          <cell r="J431">
            <v>3013.94691462225</v>
          </cell>
          <cell r="K431">
            <v>944.23137069731274</v>
          </cell>
          <cell r="L431">
            <v>2832.6941120919382</v>
          </cell>
          <cell r="M431">
            <v>1263.3158368509594</v>
          </cell>
          <cell r="N431">
            <v>3789.9475105528782</v>
          </cell>
          <cell r="O431">
            <v>1169.0870443445933</v>
          </cell>
          <cell r="P431">
            <v>5845.4352217229662</v>
          </cell>
          <cell r="Q431">
            <v>932.89121993890501</v>
          </cell>
          <cell r="R431">
            <v>3731.56487975562</v>
          </cell>
          <cell r="S431">
            <v>1182.9072683674331</v>
          </cell>
          <cell r="T431">
            <v>4731.6290734697322</v>
          </cell>
          <cell r="U431">
            <v>4731.6290734697322</v>
          </cell>
          <cell r="V431">
            <v>1126.1707270074899</v>
          </cell>
          <cell r="W431">
            <v>3378.5121810224696</v>
          </cell>
          <cell r="X431">
            <v>1190.8800856478372</v>
          </cell>
          <cell r="Y431">
            <v>2381.7601712956744</v>
          </cell>
          <cell r="Z431">
            <v>1172.5150764513503</v>
          </cell>
          <cell r="AA431">
            <v>3517.5452293540511</v>
          </cell>
          <cell r="AB431">
            <v>1090.5759753894795</v>
          </cell>
          <cell r="AC431">
            <v>5452.8798769473979</v>
          </cell>
          <cell r="AD431">
            <v>1098.739253738144</v>
          </cell>
        </row>
        <row r="432">
          <cell r="C432" t="str">
            <v>Other Expenses ( W.P.P.F.)</v>
          </cell>
          <cell r="E432">
            <v>9648.5900544295782</v>
          </cell>
          <cell r="F432">
            <v>48242.950272147893</v>
          </cell>
          <cell r="G432">
            <v>11903.296926179239</v>
          </cell>
          <cell r="H432">
            <v>35709.890778537716</v>
          </cell>
          <cell r="I432">
            <v>11129.264448460395</v>
          </cell>
          <cell r="J432">
            <v>33387.793345381186</v>
          </cell>
          <cell r="K432">
            <v>12765.472506264148</v>
          </cell>
          <cell r="L432">
            <v>38296.417518792441</v>
          </cell>
          <cell r="M432">
            <v>8697.6853037127148</v>
          </cell>
          <cell r="N432">
            <v>26093.055911138144</v>
          </cell>
          <cell r="O432">
            <v>8477.4712963599068</v>
          </cell>
          <cell r="P432">
            <v>42387.356481799536</v>
          </cell>
          <cell r="Q432">
            <v>11947.065838432633</v>
          </cell>
          <cell r="R432">
            <v>47788.26335373053</v>
          </cell>
          <cell r="S432">
            <v>8315.7504207462025</v>
          </cell>
          <cell r="T432">
            <v>33263.00168298481</v>
          </cell>
          <cell r="U432">
            <v>33263.00168298481</v>
          </cell>
          <cell r="V432">
            <v>10259.06027175571</v>
          </cell>
          <cell r="W432">
            <v>30777.180815267129</v>
          </cell>
          <cell r="X432">
            <v>11041.057493260387</v>
          </cell>
          <cell r="Y432">
            <v>22082.114986520774</v>
          </cell>
          <cell r="Z432">
            <v>9071.1554130804143</v>
          </cell>
          <cell r="AA432">
            <v>27213.466239241243</v>
          </cell>
          <cell r="AB432">
            <v>9315.9406486366006</v>
          </cell>
          <cell r="AC432">
            <v>46579.703243183001</v>
          </cell>
          <cell r="AD432">
            <v>10042.353363458709</v>
          </cell>
        </row>
        <row r="433">
          <cell r="C433" t="str">
            <v>Workers Welfare Fund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E434">
            <v>71008.919001632588</v>
          </cell>
          <cell r="F434">
            <v>355044.59500816296</v>
          </cell>
          <cell r="G434">
            <v>68239.894960403064</v>
          </cell>
          <cell r="H434">
            <v>204719.68488120919</v>
          </cell>
          <cell r="I434">
            <v>87671.348807853516</v>
          </cell>
          <cell r="J434">
            <v>263014.04642356053</v>
          </cell>
          <cell r="K434">
            <v>85084.685004481464</v>
          </cell>
          <cell r="L434">
            <v>255254.05501344439</v>
          </cell>
          <cell r="M434">
            <v>102026.0406777734</v>
          </cell>
          <cell r="N434">
            <v>306078.12203332019</v>
          </cell>
          <cell r="O434">
            <v>73537.795701588882</v>
          </cell>
          <cell r="P434">
            <v>367688.97850794438</v>
          </cell>
          <cell r="Q434">
            <v>63709.581972225693</v>
          </cell>
          <cell r="R434">
            <v>254838.32788890277</v>
          </cell>
          <cell r="S434">
            <v>88423.086142249173</v>
          </cell>
          <cell r="T434">
            <v>353692.34456899669</v>
          </cell>
          <cell r="U434">
            <v>353692.34456899669</v>
          </cell>
          <cell r="V434">
            <v>89348.496873179378</v>
          </cell>
          <cell r="W434">
            <v>268045.49061953812</v>
          </cell>
          <cell r="X434">
            <v>77968.236606518607</v>
          </cell>
          <cell r="Y434">
            <v>155936.47321303721</v>
          </cell>
          <cell r="Z434">
            <v>101301.83926049432</v>
          </cell>
          <cell r="AA434">
            <v>303905.51778148295</v>
          </cell>
          <cell r="AB434">
            <v>71496.383225863276</v>
          </cell>
          <cell r="AC434">
            <v>357481.91612931638</v>
          </cell>
          <cell r="AD434">
            <v>80132.547722532909</v>
          </cell>
        </row>
        <row r="435">
          <cell r="C435" t="str">
            <v>Operating Profit</v>
          </cell>
          <cell r="E435">
            <v>176543.0809983674</v>
          </cell>
          <cell r="F435">
            <v>882715.40499183699</v>
          </cell>
          <cell r="G435">
            <v>179312.10503959694</v>
          </cell>
          <cell r="H435">
            <v>537936.31511879084</v>
          </cell>
          <cell r="I435">
            <v>159880.65119214647</v>
          </cell>
          <cell r="J435">
            <v>479641.95357643941</v>
          </cell>
          <cell r="K435">
            <v>94439.314995518536</v>
          </cell>
          <cell r="L435">
            <v>283317.94498655561</v>
          </cell>
          <cell r="M435">
            <v>77497.959322226598</v>
          </cell>
          <cell r="N435">
            <v>232493.87796667981</v>
          </cell>
          <cell r="O435">
            <v>105986.20429841112</v>
          </cell>
          <cell r="P435">
            <v>529931.02149205562</v>
          </cell>
          <cell r="Q435">
            <v>115814.41802777431</v>
          </cell>
          <cell r="R435">
            <v>463257.67211109726</v>
          </cell>
          <cell r="S435">
            <v>91100.913857750827</v>
          </cell>
          <cell r="T435">
            <v>364403.65543100331</v>
          </cell>
          <cell r="U435">
            <v>364403.65543100331</v>
          </cell>
          <cell r="V435">
            <v>90175.503126820622</v>
          </cell>
          <cell r="W435">
            <v>270526.50938046188</v>
          </cell>
          <cell r="X435">
            <v>101555.76339348139</v>
          </cell>
          <cell r="Y435">
            <v>203111.52678696279</v>
          </cell>
          <cell r="Z435">
            <v>78222.160739505678</v>
          </cell>
          <cell r="AA435">
            <v>234666.48221851705</v>
          </cell>
          <cell r="AB435">
            <v>108027.61677413672</v>
          </cell>
          <cell r="AC435">
            <v>540138.08387068356</v>
          </cell>
          <cell r="AD435">
            <v>263764.32184268441</v>
          </cell>
        </row>
        <row r="436">
          <cell r="U436">
            <v>0</v>
          </cell>
        </row>
        <row r="437">
          <cell r="C437" t="str">
            <v>Other Income</v>
          </cell>
          <cell r="E437">
            <v>71008.919001632588</v>
          </cell>
          <cell r="F437">
            <v>355044.59500816296</v>
          </cell>
          <cell r="G437">
            <v>68239.894960403064</v>
          </cell>
          <cell r="H437">
            <v>204719.68488120919</v>
          </cell>
          <cell r="I437">
            <v>87671.348807853516</v>
          </cell>
          <cell r="J437">
            <v>263014.04642356053</v>
          </cell>
          <cell r="K437">
            <v>85084.685004481464</v>
          </cell>
          <cell r="L437">
            <v>255254.05501344439</v>
          </cell>
          <cell r="M437">
            <v>102026.0406777734</v>
          </cell>
          <cell r="N437">
            <v>306078.12203332019</v>
          </cell>
          <cell r="O437">
            <v>73537.795701588882</v>
          </cell>
          <cell r="P437">
            <v>367688.97850794438</v>
          </cell>
          <cell r="Q437">
            <v>63709.581972225693</v>
          </cell>
          <cell r="R437">
            <v>254838.32788890277</v>
          </cell>
          <cell r="S437">
            <v>88423.086142249173</v>
          </cell>
          <cell r="T437">
            <v>353692.34456899669</v>
          </cell>
          <cell r="U437">
            <v>353692.34456899669</v>
          </cell>
          <cell r="V437">
            <v>89348.496873179378</v>
          </cell>
          <cell r="W437">
            <v>268045.49061953812</v>
          </cell>
          <cell r="X437">
            <v>77968.236606518607</v>
          </cell>
          <cell r="Y437">
            <v>155936.47321303721</v>
          </cell>
          <cell r="Z437">
            <v>101301.83926049432</v>
          </cell>
          <cell r="AA437">
            <v>303905.51778148295</v>
          </cell>
          <cell r="AB437">
            <v>71496.383225863276</v>
          </cell>
          <cell r="AC437">
            <v>357481.91612931638</v>
          </cell>
        </row>
        <row r="438">
          <cell r="C438" t="str">
            <v>H.D</v>
          </cell>
          <cell r="E438">
            <v>15352.228571428572</v>
          </cell>
          <cell r="F438">
            <v>76761.142857142855</v>
          </cell>
          <cell r="G438">
            <v>13804.129032258064</v>
          </cell>
          <cell r="H438">
            <v>41412.387096774197</v>
          </cell>
          <cell r="I438">
            <v>16932</v>
          </cell>
          <cell r="J438">
            <v>50796</v>
          </cell>
          <cell r="K438">
            <v>317514.93333333335</v>
          </cell>
          <cell r="L438">
            <v>952544.8</v>
          </cell>
          <cell r="M438">
            <v>309289.29032258067</v>
          </cell>
          <cell r="N438">
            <v>927867.87096774206</v>
          </cell>
          <cell r="O438">
            <v>264203.22222222225</v>
          </cell>
          <cell r="P438">
            <v>1321016.1111111112</v>
          </cell>
          <cell r="Q438">
            <v>72764.571428571435</v>
          </cell>
          <cell r="R438">
            <v>291058.28571428574</v>
          </cell>
          <cell r="S438">
            <v>14837.75</v>
          </cell>
          <cell r="T438">
            <v>59351</v>
          </cell>
          <cell r="U438">
            <v>59351</v>
          </cell>
          <cell r="V438">
            <v>19002.533333333333</v>
          </cell>
          <cell r="W438">
            <v>57007.6</v>
          </cell>
          <cell r="X438">
            <v>14756.137931034482</v>
          </cell>
          <cell r="Y438">
            <v>29512.275862068964</v>
          </cell>
          <cell r="Z438">
            <v>15316.387096774193</v>
          </cell>
          <cell r="AA438">
            <v>45949.161290322576</v>
          </cell>
          <cell r="AB438">
            <v>13728.648648648648</v>
          </cell>
          <cell r="AC438">
            <v>68643.24324324324</v>
          </cell>
          <cell r="AD438">
            <v>91207.439026574197</v>
          </cell>
        </row>
        <row r="439">
          <cell r="C439" t="str">
            <v>Others</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row>
        <row r="440">
          <cell r="E440">
            <v>15352.228571428572</v>
          </cell>
          <cell r="F440">
            <v>76761.142857142855</v>
          </cell>
          <cell r="G440">
            <v>13804.129032258064</v>
          </cell>
          <cell r="H440">
            <v>41412.387096774197</v>
          </cell>
          <cell r="I440">
            <v>16932</v>
          </cell>
          <cell r="J440">
            <v>50796</v>
          </cell>
          <cell r="K440">
            <v>317514.93333333335</v>
          </cell>
          <cell r="L440">
            <v>952544.8</v>
          </cell>
          <cell r="M440">
            <v>309289.29032258067</v>
          </cell>
          <cell r="N440">
            <v>927867.87096774206</v>
          </cell>
          <cell r="O440">
            <v>264203.22222222225</v>
          </cell>
          <cell r="P440">
            <v>1321016.1111111112</v>
          </cell>
          <cell r="Q440">
            <v>72764.571428571435</v>
          </cell>
          <cell r="R440">
            <v>291058.28571428574</v>
          </cell>
          <cell r="S440">
            <v>14837.75</v>
          </cell>
          <cell r="T440">
            <v>59351</v>
          </cell>
          <cell r="U440">
            <v>59351</v>
          </cell>
          <cell r="V440">
            <v>19002.533333333333</v>
          </cell>
          <cell r="W440">
            <v>57007.6</v>
          </cell>
          <cell r="X440">
            <v>14756.137931034482</v>
          </cell>
          <cell r="Y440">
            <v>29512.275862068964</v>
          </cell>
          <cell r="Z440">
            <v>15316.387096774193</v>
          </cell>
          <cell r="AA440">
            <v>45949.161290322576</v>
          </cell>
          <cell r="AB440">
            <v>13728.648648648648</v>
          </cell>
          <cell r="AC440">
            <v>68643.24324324324</v>
          </cell>
          <cell r="AD440">
            <v>91207.439026574197</v>
          </cell>
        </row>
        <row r="441">
          <cell r="U441">
            <v>0</v>
          </cell>
        </row>
        <row r="442">
          <cell r="C442" t="str">
            <v>Profit before tax</v>
          </cell>
          <cell r="E442">
            <v>191895.30956979597</v>
          </cell>
          <cell r="F442">
            <v>959476.54784897983</v>
          </cell>
          <cell r="G442">
            <v>193116.234071855</v>
          </cell>
          <cell r="H442">
            <v>579348.70221556502</v>
          </cell>
          <cell r="I442">
            <v>176812.65119214647</v>
          </cell>
          <cell r="J442">
            <v>530437.95357643941</v>
          </cell>
          <cell r="K442">
            <v>411954.24832885189</v>
          </cell>
          <cell r="L442">
            <v>1235862.7449865555</v>
          </cell>
          <cell r="M442">
            <v>386787.24964480725</v>
          </cell>
          <cell r="N442">
            <v>1160361.7489344217</v>
          </cell>
          <cell r="O442">
            <v>370189.42652063339</v>
          </cell>
          <cell r="P442">
            <v>1850947.1326031671</v>
          </cell>
          <cell r="Q442">
            <v>188578.98945634573</v>
          </cell>
          <cell r="R442">
            <v>754315.95782538294</v>
          </cell>
          <cell r="S442">
            <v>105938.66385775083</v>
          </cell>
          <cell r="T442">
            <v>423754.65543100331</v>
          </cell>
          <cell r="U442">
            <v>423754.65543100331</v>
          </cell>
          <cell r="V442">
            <v>109178.03646015396</v>
          </cell>
          <cell r="W442">
            <v>327534.10938046186</v>
          </cell>
          <cell r="X442">
            <v>116311.90132451587</v>
          </cell>
          <cell r="Y442">
            <v>232623.80264903174</v>
          </cell>
          <cell r="Z442">
            <v>93538.547836279875</v>
          </cell>
          <cell r="AA442">
            <v>280615.64350883965</v>
          </cell>
          <cell r="AB442">
            <v>121756.26542278538</v>
          </cell>
          <cell r="AC442">
            <v>608781.32711392688</v>
          </cell>
          <cell r="AD442">
            <v>354971.76086925861</v>
          </cell>
        </row>
        <row r="443">
          <cell r="U443">
            <v>0</v>
          </cell>
        </row>
        <row r="444">
          <cell r="C444" t="str">
            <v>Taxation</v>
          </cell>
          <cell r="U444">
            <v>0</v>
          </cell>
        </row>
        <row r="445">
          <cell r="C445" t="str">
            <v>Presumptive</v>
          </cell>
          <cell r="E445">
            <v>94384</v>
          </cell>
          <cell r="F445">
            <v>471920</v>
          </cell>
          <cell r="G445">
            <v>94384</v>
          </cell>
          <cell r="H445">
            <v>283152</v>
          </cell>
          <cell r="I445">
            <v>94384</v>
          </cell>
          <cell r="J445">
            <v>283152</v>
          </cell>
          <cell r="K445">
            <v>94384</v>
          </cell>
          <cell r="L445">
            <v>283152</v>
          </cell>
          <cell r="M445">
            <v>94384</v>
          </cell>
          <cell r="N445">
            <v>283152</v>
          </cell>
          <cell r="O445">
            <v>94384</v>
          </cell>
          <cell r="P445">
            <v>471920</v>
          </cell>
          <cell r="Q445">
            <v>94384</v>
          </cell>
          <cell r="R445">
            <v>377536</v>
          </cell>
          <cell r="S445">
            <v>94384</v>
          </cell>
          <cell r="T445">
            <v>377536</v>
          </cell>
          <cell r="U445">
            <v>377536</v>
          </cell>
          <cell r="V445">
            <v>94384</v>
          </cell>
          <cell r="W445">
            <v>283152</v>
          </cell>
          <cell r="X445">
            <v>94384</v>
          </cell>
          <cell r="Y445">
            <v>188768</v>
          </cell>
          <cell r="Z445">
            <v>94384</v>
          </cell>
          <cell r="AA445">
            <v>283152</v>
          </cell>
          <cell r="AB445">
            <v>94384</v>
          </cell>
          <cell r="AC445">
            <v>471920</v>
          </cell>
          <cell r="AD445">
            <v>94384</v>
          </cell>
        </row>
        <row r="446">
          <cell r="C446" t="str">
            <v>Others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row>
        <row r="447">
          <cell r="E447">
            <v>94384</v>
          </cell>
          <cell r="F447">
            <v>471920</v>
          </cell>
          <cell r="G447">
            <v>94384</v>
          </cell>
          <cell r="H447">
            <v>283152</v>
          </cell>
          <cell r="I447">
            <v>94384</v>
          </cell>
          <cell r="J447">
            <v>283152</v>
          </cell>
          <cell r="K447">
            <v>94384</v>
          </cell>
          <cell r="L447">
            <v>283152</v>
          </cell>
          <cell r="M447">
            <v>94384</v>
          </cell>
          <cell r="N447">
            <v>283152</v>
          </cell>
          <cell r="O447">
            <v>94384</v>
          </cell>
          <cell r="P447">
            <v>471920</v>
          </cell>
          <cell r="Q447">
            <v>94384</v>
          </cell>
          <cell r="R447">
            <v>377536</v>
          </cell>
          <cell r="S447">
            <v>94384</v>
          </cell>
          <cell r="T447">
            <v>377536</v>
          </cell>
          <cell r="U447">
            <v>377536</v>
          </cell>
          <cell r="V447">
            <v>94384</v>
          </cell>
          <cell r="W447">
            <v>283152</v>
          </cell>
          <cell r="X447">
            <v>94384</v>
          </cell>
          <cell r="Y447">
            <v>188768</v>
          </cell>
          <cell r="Z447">
            <v>94384</v>
          </cell>
          <cell r="AA447">
            <v>283152</v>
          </cell>
          <cell r="AB447">
            <v>94384</v>
          </cell>
          <cell r="AC447">
            <v>471920</v>
          </cell>
          <cell r="AD447">
            <v>94384</v>
          </cell>
        </row>
        <row r="448">
          <cell r="C448" t="str">
            <v>Net Profit after taxation</v>
          </cell>
          <cell r="E448">
            <v>97511.309569795965</v>
          </cell>
          <cell r="F448">
            <v>487556.54784897983</v>
          </cell>
          <cell r="G448">
            <v>98732.234071854997</v>
          </cell>
          <cell r="H448">
            <v>296196.70221556502</v>
          </cell>
          <cell r="I448">
            <v>82428.65119214647</v>
          </cell>
          <cell r="J448">
            <v>247285.95357643941</v>
          </cell>
          <cell r="K448">
            <v>317570.24832885189</v>
          </cell>
          <cell r="L448">
            <v>952710.74498655554</v>
          </cell>
          <cell r="M448">
            <v>292403.24964480725</v>
          </cell>
          <cell r="N448">
            <v>877209.74893442169</v>
          </cell>
          <cell r="O448">
            <v>275805.42652063339</v>
          </cell>
          <cell r="P448">
            <v>1379027.1326031671</v>
          </cell>
          <cell r="Q448">
            <v>94194.989456345735</v>
          </cell>
          <cell r="R448">
            <v>376779.95782538294</v>
          </cell>
          <cell r="S448">
            <v>11554.663857750827</v>
          </cell>
          <cell r="T448">
            <v>46218.65543100331</v>
          </cell>
          <cell r="U448">
            <v>46218.65543100331</v>
          </cell>
          <cell r="V448">
            <v>14794.036460153962</v>
          </cell>
          <cell r="W448">
            <v>44382.109380461858</v>
          </cell>
          <cell r="X448">
            <v>21927.901324515871</v>
          </cell>
          <cell r="Y448">
            <v>43855.802649031742</v>
          </cell>
          <cell r="Z448">
            <v>-845.4521637201251</v>
          </cell>
          <cell r="AA448">
            <v>-2536.3564911603462</v>
          </cell>
          <cell r="AB448">
            <v>27372.265422785378</v>
          </cell>
          <cell r="AC448">
            <v>136861.32711392688</v>
          </cell>
          <cell r="AD448">
            <v>260587.76086925861</v>
          </cell>
        </row>
      </sheetData>
      <sheetData sheetId="9">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85250000</v>
          </cell>
          <cell r="R31">
            <v>96492356.24999997</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128656474.99999996</v>
          </cell>
          <cell r="R32">
            <v>27136499.999999996</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C34" t="str">
            <v>Financial  Charges -Working Capital</v>
          </cell>
          <cell r="D34">
            <v>538178.35778849502</v>
          </cell>
          <cell r="E34">
            <v>545279.40365888877</v>
          </cell>
          <cell r="F34">
            <v>546159.11057164625</v>
          </cell>
          <cell r="G34">
            <v>550766.97603805922</v>
          </cell>
          <cell r="H34">
            <v>533902.17678276938</v>
          </cell>
          <cell r="I34">
            <v>536128.40429160511</v>
          </cell>
          <cell r="J34">
            <v>543219.37853817036</v>
          </cell>
          <cell r="K34">
            <v>528543.1866506486</v>
          </cell>
          <cell r="L34">
            <v>533418.02417513903</v>
          </cell>
          <cell r="M34">
            <v>530651.17195694859</v>
          </cell>
          <cell r="N34">
            <v>530141.54451475525</v>
          </cell>
          <cell r="O34">
            <v>532607.77613354742</v>
          </cell>
          <cell r="P34">
            <v>6448995.5111006731</v>
          </cell>
          <cell r="Q34">
            <v>0</v>
          </cell>
          <cell r="R34">
            <v>4855595.0184954219</v>
          </cell>
        </row>
        <row r="35">
          <cell r="C35" t="str">
            <v>Charity &amp; Donation</v>
          </cell>
          <cell r="D35">
            <v>373734.97068645491</v>
          </cell>
          <cell r="E35">
            <v>378666.25254089502</v>
          </cell>
          <cell r="F35">
            <v>379277.16011919873</v>
          </cell>
          <cell r="G35">
            <v>382477.06669309671</v>
          </cell>
          <cell r="H35">
            <v>370765.4005435899</v>
          </cell>
          <cell r="I35">
            <v>372311.39186917024</v>
          </cell>
          <cell r="J35">
            <v>377235.67954039614</v>
          </cell>
          <cell r="K35">
            <v>367043.87961850595</v>
          </cell>
          <cell r="L35">
            <v>370429.18345495779</v>
          </cell>
          <cell r="M35">
            <v>368507.75830343668</v>
          </cell>
          <cell r="N35">
            <v>368153.85035746888</v>
          </cell>
          <cell r="O35">
            <v>369866.51120385242</v>
          </cell>
          <cell r="P35">
            <v>4478469.104931023</v>
          </cell>
          <cell r="Q35">
            <v>0</v>
          </cell>
          <cell r="R35">
            <v>3371940.9850662649</v>
          </cell>
        </row>
        <row r="36">
          <cell r="C36" t="str">
            <v>W.P.P.F.</v>
          </cell>
          <cell r="D36">
            <v>3589774.5550159276</v>
          </cell>
          <cell r="E36">
            <v>3922511.6023490066</v>
          </cell>
          <cell r="F36">
            <v>3549138.8696840247</v>
          </cell>
          <cell r="G36">
            <v>4070928.0358714503</v>
          </cell>
          <cell r="H36">
            <v>2866161.5121403579</v>
          </cell>
          <cell r="I36">
            <v>3244173.7403808949</v>
          </cell>
          <cell r="J36">
            <v>4444926.430905452</v>
          </cell>
          <cell r="K36">
            <v>2828698.7636283082</v>
          </cell>
          <cell r="L36">
            <v>3271629.4725080743</v>
          </cell>
          <cell r="M36">
            <v>3403642.5566826398</v>
          </cell>
          <cell r="N36">
            <v>2989231.687253227</v>
          </cell>
          <cell r="O36">
            <v>3664069.5858620517</v>
          </cell>
          <cell r="P36">
            <v>41844886.812281415</v>
          </cell>
          <cell r="Q36">
            <v>5000000</v>
          </cell>
          <cell r="R36">
            <v>31787942.982483491</v>
          </cell>
        </row>
        <row r="37">
          <cell r="C37" t="str">
            <v>W.W.F</v>
          </cell>
          <cell r="D37">
            <v>1364114.3309060526</v>
          </cell>
          <cell r="E37">
            <v>1490554.4088926227</v>
          </cell>
          <cell r="F37">
            <v>1348672.7704799296</v>
          </cell>
          <cell r="G37">
            <v>1546952.6536311514</v>
          </cell>
          <cell r="H37">
            <v>1089141.3746133363</v>
          </cell>
          <cell r="I37">
            <v>1232786.0213447402</v>
          </cell>
          <cell r="J37">
            <v>1689072.0437440719</v>
          </cell>
          <cell r="K37">
            <v>1074905.5301787574</v>
          </cell>
          <cell r="L37">
            <v>1243219.1995530683</v>
          </cell>
          <cell r="M37">
            <v>1293384.1715394033</v>
          </cell>
          <cell r="N37">
            <v>1135908.0411562263</v>
          </cell>
          <cell r="O37">
            <v>1392346.4426275794</v>
          </cell>
          <cell r="P37">
            <v>15901056.98866694</v>
          </cell>
          <cell r="Q37">
            <v>42437948.501138672</v>
          </cell>
          <cell r="R37">
            <v>12079418.333343731</v>
          </cell>
        </row>
        <row r="38">
          <cell r="D38">
            <v>25676692.131063595</v>
          </cell>
          <cell r="E38">
            <v>26487901.584108081</v>
          </cell>
          <cell r="F38">
            <v>33794137.827521466</v>
          </cell>
          <cell r="G38">
            <v>34912014.648900427</v>
          </cell>
          <cell r="H38">
            <v>31345860.380746722</v>
          </cell>
          <cell r="I38">
            <v>25196289.474553075</v>
          </cell>
          <cell r="J38">
            <v>27065343.449394755</v>
          </cell>
          <cell r="K38">
            <v>28760081.276742883</v>
          </cell>
          <cell r="L38">
            <v>30529585.7963579</v>
          </cell>
          <cell r="M38">
            <v>25407075.575149093</v>
          </cell>
          <cell r="N38">
            <v>33084325.039948344</v>
          </cell>
          <cell r="O38">
            <v>26144780.232493695</v>
          </cell>
          <cell r="P38">
            <v>348404087.41698003</v>
          </cell>
          <cell r="Q38">
            <v>16126420.430432698</v>
          </cell>
          <cell r="R38">
            <v>263767906.5693889</v>
          </cell>
        </row>
        <row r="39">
          <cell r="R39">
            <v>0</v>
          </cell>
        </row>
        <row r="40">
          <cell r="B40" t="str">
            <v>Operating  Profit</v>
          </cell>
          <cell r="D40">
            <v>49904274.214396581</v>
          </cell>
          <cell r="E40">
            <v>56209238.035738498</v>
          </cell>
          <cell r="F40">
            <v>49177005.753516532</v>
          </cell>
          <cell r="G40">
            <v>59875232.027926408</v>
          </cell>
          <cell r="H40">
            <v>37379959.356053472</v>
          </cell>
          <cell r="I40">
            <v>44495199.045892268</v>
          </cell>
          <cell r="J40">
            <v>73817770.143459499</v>
          </cell>
          <cell r="K40">
            <v>45795562.978759103</v>
          </cell>
          <cell r="L40">
            <v>53947664.778100342</v>
          </cell>
          <cell r="M40">
            <v>56547896.405430764</v>
          </cell>
          <cell r="N40">
            <v>48784686.016655087</v>
          </cell>
          <cell r="O40">
            <v>61317015.6887514</v>
          </cell>
          <cell r="P40">
            <v>637251504.44467998</v>
          </cell>
          <cell r="R40">
            <v>470601906.33384264</v>
          </cell>
        </row>
        <row r="41">
          <cell r="R41">
            <v>0</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row>
        <row r="44">
          <cell r="C44" t="str">
            <v>Other Income</v>
          </cell>
          <cell r="D44">
            <v>16400000</v>
          </cell>
          <cell r="E44">
            <v>16400000</v>
          </cell>
          <cell r="F44">
            <v>16400000.000000004</v>
          </cell>
          <cell r="G44">
            <v>6400000</v>
          </cell>
          <cell r="H44">
            <v>6400000</v>
          </cell>
          <cell r="I44">
            <v>6400000</v>
          </cell>
          <cell r="J44">
            <v>6400000</v>
          </cell>
          <cell r="K44">
            <v>6400000</v>
          </cell>
          <cell r="L44">
            <v>6400000.0000000009</v>
          </cell>
          <cell r="M44">
            <v>6399999.9999999991</v>
          </cell>
          <cell r="N44">
            <v>6400000</v>
          </cell>
          <cell r="O44">
            <v>6400000.0000000009</v>
          </cell>
          <cell r="P44">
            <v>106800000</v>
          </cell>
          <cell r="R44">
            <v>87600000</v>
          </cell>
        </row>
        <row r="45">
          <cell r="D45">
            <v>16937328</v>
          </cell>
          <cell r="E45">
            <v>16827928</v>
          </cell>
          <cell r="F45">
            <v>16907960.000000004</v>
          </cell>
          <cell r="G45">
            <v>15925448</v>
          </cell>
          <cell r="H45">
            <v>15987968</v>
          </cell>
          <cell r="I45">
            <v>15911316</v>
          </cell>
          <cell r="J45">
            <v>8946760</v>
          </cell>
          <cell r="K45">
            <v>6874808</v>
          </cell>
          <cell r="L45">
            <v>6970076.0000000009</v>
          </cell>
          <cell r="M45">
            <v>6827927.9999999991</v>
          </cell>
          <cell r="N45">
            <v>6874808</v>
          </cell>
          <cell r="O45">
            <v>6907960.0000000009</v>
          </cell>
          <cell r="P45">
            <v>141900288</v>
          </cell>
          <cell r="R45">
            <v>121289592</v>
          </cell>
        </row>
        <row r="46">
          <cell r="R46">
            <v>0</v>
          </cell>
        </row>
        <row r="47">
          <cell r="B47" t="str">
            <v>Profit Before Tax</v>
          </cell>
          <cell r="D47">
            <v>66841602.214396581</v>
          </cell>
          <cell r="E47">
            <v>73037166.035738498</v>
          </cell>
          <cell r="F47">
            <v>66084965.75351654</v>
          </cell>
          <cell r="G47">
            <v>75800680.027926415</v>
          </cell>
          <cell r="H47">
            <v>53367927.356053472</v>
          </cell>
          <cell r="I47">
            <v>60406515.045892268</v>
          </cell>
          <cell r="J47">
            <v>82764530.143459499</v>
          </cell>
          <cell r="K47">
            <v>52670370.978759103</v>
          </cell>
          <cell r="L47">
            <v>60917740.778100342</v>
          </cell>
          <cell r="M47">
            <v>63375824.405430764</v>
          </cell>
          <cell r="N47">
            <v>55659494.016655087</v>
          </cell>
          <cell r="O47">
            <v>68224975.6887514</v>
          </cell>
          <cell r="P47">
            <v>779151792.44467998</v>
          </cell>
          <cell r="R47">
            <v>591891498.33384264</v>
          </cell>
        </row>
        <row r="48">
          <cell r="R48">
            <v>0</v>
          </cell>
        </row>
        <row r="49">
          <cell r="B49" t="str">
            <v>Taxation</v>
          </cell>
          <cell r="R49">
            <v>0</v>
          </cell>
        </row>
        <row r="50">
          <cell r="C50" t="str">
            <v>Current</v>
          </cell>
          <cell r="D50">
            <v>18048484.644129559</v>
          </cell>
          <cell r="E50">
            <v>20591185.236323565</v>
          </cell>
          <cell r="F50">
            <v>18469552.36144707</v>
          </cell>
          <cell r="G50">
            <v>21701762.407243371</v>
          </cell>
          <cell r="H50">
            <v>13878853.408999635</v>
          </cell>
          <cell r="I50">
            <v>15526752.211016374</v>
          </cell>
          <cell r="J50">
            <v>22707268.95787755</v>
          </cell>
          <cell r="K50">
            <v>13196417.320648406</v>
          </cell>
          <cell r="L50">
            <v>16282672.22888005</v>
          </cell>
          <cell r="M50">
            <v>17100221.287181277</v>
          </cell>
          <cell r="N50">
            <v>14455398.179443095</v>
          </cell>
          <cell r="O50">
            <v>17495643.356257901</v>
          </cell>
          <cell r="P50">
            <v>209454211.59944785</v>
          </cell>
          <cell r="R50">
            <v>160402948.77656555</v>
          </cell>
        </row>
        <row r="51">
          <cell r="C51" t="str">
            <v>Presumptive</v>
          </cell>
          <cell r="D51">
            <v>4312603.9179655453</v>
          </cell>
          <cell r="E51">
            <v>3473328.9179655453</v>
          </cell>
          <cell r="F51">
            <v>3825440.9179655453</v>
          </cell>
          <cell r="G51">
            <v>3995144.4331419198</v>
          </cell>
          <cell r="H51">
            <v>4053888.690730107</v>
          </cell>
          <cell r="I51">
            <v>4541051.690730107</v>
          </cell>
          <cell r="J51">
            <v>4608365.3347005742</v>
          </cell>
          <cell r="K51">
            <v>4255758.3347005742</v>
          </cell>
          <cell r="L51">
            <v>4061909.3347005742</v>
          </cell>
          <cell r="M51">
            <v>3967525.3347005742</v>
          </cell>
          <cell r="N51">
            <v>4161374.3347005742</v>
          </cell>
          <cell r="O51">
            <v>4802214.3347005742</v>
          </cell>
          <cell r="P51">
            <v>50058605.576702222</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row>
        <row r="53">
          <cell r="D53">
            <v>22554166.062095106</v>
          </cell>
          <cell r="E53">
            <v>24257591.654289111</v>
          </cell>
          <cell r="F53">
            <v>22488070.779412616</v>
          </cell>
          <cell r="G53">
            <v>25924018.340385292</v>
          </cell>
          <cell r="H53">
            <v>18159853.599729743</v>
          </cell>
          <cell r="I53">
            <v>20294915.401746482</v>
          </cell>
          <cell r="J53">
            <v>27610159.292578124</v>
          </cell>
          <cell r="K53">
            <v>17746700.655348979</v>
          </cell>
          <cell r="L53">
            <v>20639106.563580625</v>
          </cell>
          <cell r="M53">
            <v>21378634.12188185</v>
          </cell>
          <cell r="N53">
            <v>18927660.014143668</v>
          </cell>
          <cell r="O53">
            <v>22608745.190958474</v>
          </cell>
          <cell r="P53">
            <v>262589621.67615008</v>
          </cell>
          <cell r="Q53">
            <v>0</v>
          </cell>
          <cell r="R53">
            <v>199674582.3491661</v>
          </cell>
        </row>
        <row r="54">
          <cell r="R54">
            <v>0</v>
          </cell>
        </row>
        <row r="55">
          <cell r="B55" t="str">
            <v>Profit After Tax</v>
          </cell>
          <cell r="D55">
            <v>44287436.152301475</v>
          </cell>
          <cell r="E55">
            <v>48779574.381449386</v>
          </cell>
          <cell r="F55">
            <v>43596894.974103928</v>
          </cell>
          <cell r="G55">
            <v>49876661.687541127</v>
          </cell>
          <cell r="H55">
            <v>35208073.756323725</v>
          </cell>
          <cell r="I55">
            <v>40111599.644145787</v>
          </cell>
          <cell r="J55">
            <v>55154370.850881375</v>
          </cell>
          <cell r="K55">
            <v>34923670.323410124</v>
          </cell>
          <cell r="L55">
            <v>40278634.214519717</v>
          </cell>
          <cell r="M55">
            <v>41997190.283548914</v>
          </cell>
          <cell r="N55">
            <v>36731834.002511419</v>
          </cell>
          <cell r="O55">
            <v>45616230.497792929</v>
          </cell>
          <cell r="P55">
            <v>516562170.76853001</v>
          </cell>
          <cell r="Q55">
            <v>0</v>
          </cell>
          <cell r="R55">
            <v>392216915.98467672</v>
          </cell>
        </row>
        <row r="56">
          <cell r="D56">
            <v>42954102.818968162</v>
          </cell>
          <cell r="E56">
            <v>47446241.0481162</v>
          </cell>
          <cell r="F56">
            <v>42263561.640770659</v>
          </cell>
          <cell r="G56">
            <v>48543328.354207799</v>
          </cell>
          <cell r="H56">
            <v>33874740.422990426</v>
          </cell>
          <cell r="I56">
            <v>38778266.310812548</v>
          </cell>
          <cell r="J56">
            <v>53821037.517548025</v>
          </cell>
          <cell r="K56">
            <v>33590336.990076639</v>
          </cell>
          <cell r="L56">
            <v>38945300.881186426</v>
          </cell>
          <cell r="M56">
            <v>40663856.950215526</v>
          </cell>
          <cell r="N56">
            <v>35398500.66917821</v>
          </cell>
          <cell r="O56">
            <v>44282897.164459482</v>
          </cell>
          <cell r="P56">
            <v>500562170.76853019</v>
          </cell>
        </row>
        <row r="57">
          <cell r="D57">
            <v>1333333.3333333135</v>
          </cell>
          <cell r="E57">
            <v>1333333.3333331868</v>
          </cell>
          <cell r="F57">
            <v>1333333.3333332688</v>
          </cell>
          <cell r="G57">
            <v>1333333.3333333284</v>
          </cell>
          <cell r="H57">
            <v>1333333.3333332986</v>
          </cell>
          <cell r="I57">
            <v>1333333.333333239</v>
          </cell>
          <cell r="J57">
            <v>1333333.3333333507</v>
          </cell>
          <cell r="K57">
            <v>1333333.3333334848</v>
          </cell>
          <cell r="L57">
            <v>1333333.3333332911</v>
          </cell>
          <cell r="M57">
            <v>1333333.333333388</v>
          </cell>
          <cell r="N57">
            <v>1333333.3333332092</v>
          </cell>
          <cell r="O57">
            <v>1333333.3333334476</v>
          </cell>
          <cell r="P57">
            <v>15999999.999999821</v>
          </cell>
        </row>
      </sheetData>
      <sheetData sheetId="10">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C33" t="str">
            <v>Financial Charges -Working Capital</v>
          </cell>
          <cell r="E33">
            <v>60473.755293825867</v>
          </cell>
          <cell r="F33">
            <v>53527.532337999815</v>
          </cell>
          <cell r="G33">
            <v>52667.005527819274</v>
          </cell>
          <cell r="H33">
            <v>48159.604580924548</v>
          </cell>
          <cell r="I33">
            <v>64375.987664004839</v>
          </cell>
          <cell r="J33">
            <v>62207.752952627634</v>
          </cell>
          <cell r="K33">
            <v>55114.987719421209</v>
          </cell>
          <cell r="L33">
            <v>69360.660183439599</v>
          </cell>
          <cell r="M33">
            <v>64628.823803714724</v>
          </cell>
          <cell r="N33">
            <v>67314.511668711566</v>
          </cell>
          <cell r="O33">
            <v>67809.189421347022</v>
          </cell>
          <cell r="P33">
            <v>65415.30358699827</v>
          </cell>
          <cell r="Q33">
            <v>731055.11474083434</v>
          </cell>
          <cell r="R33">
            <v>341411.63835720194</v>
          </cell>
          <cell r="S33">
            <v>389643.4763836324</v>
          </cell>
          <cell r="T33">
            <v>731055.11474083434</v>
          </cell>
        </row>
        <row r="34">
          <cell r="C34" t="str">
            <v>Other Expenses  - (Charity &amp; Donation)</v>
          </cell>
          <cell r="E34">
            <v>41995.663398490193</v>
          </cell>
          <cell r="F34">
            <v>37171.897456944309</v>
          </cell>
          <cell r="G34">
            <v>36574.309394318952</v>
          </cell>
          <cell r="H34">
            <v>33444.169847864279</v>
          </cell>
          <cell r="I34">
            <v>44705.546988892253</v>
          </cell>
          <cell r="J34">
            <v>43199.828439324738</v>
          </cell>
          <cell r="K34">
            <v>38274.297027375847</v>
          </cell>
          <cell r="L34">
            <v>48167.125127388616</v>
          </cell>
          <cell r="M34">
            <v>44881.127641468564</v>
          </cell>
          <cell r="N34">
            <v>46746.188658827479</v>
          </cell>
          <cell r="O34">
            <v>47089.714875935439</v>
          </cell>
          <cell r="P34">
            <v>45427.294157637691</v>
          </cell>
          <cell r="Q34">
            <v>507677.16301446845</v>
          </cell>
          <cell r="R34">
            <v>237091.41552583475</v>
          </cell>
          <cell r="S34">
            <v>270585.74748863361</v>
          </cell>
          <cell r="T34">
            <v>507677.16301446839</v>
          </cell>
        </row>
        <row r="35">
          <cell r="C35" t="str">
            <v>W.P.P.F. &amp; Others</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593061.6888572583</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225363.44176575818</v>
          </cell>
        </row>
        <row r="37">
          <cell r="E37">
            <v>3328378.1941436292</v>
          </cell>
          <cell r="F37">
            <v>5599523.3259729948</v>
          </cell>
          <cell r="G37">
            <v>443020.12447823369</v>
          </cell>
          <cell r="H37">
            <v>953027.20920075756</v>
          </cell>
          <cell r="I37">
            <v>3310398.0749957706</v>
          </cell>
          <cell r="J37">
            <v>3516254.1369121335</v>
          </cell>
          <cell r="K37">
            <v>6718269.2673832327</v>
          </cell>
          <cell r="L37">
            <v>492150.27909972053</v>
          </cell>
          <cell r="M37">
            <v>484702.39498798066</v>
          </cell>
          <cell r="N37">
            <v>5515714.5597413173</v>
          </cell>
          <cell r="O37">
            <v>3375037.7261105245</v>
          </cell>
          <cell r="P37">
            <v>936773.03687329008</v>
          </cell>
          <cell r="Q37">
            <v>34673248.329899587</v>
          </cell>
          <cell r="R37">
            <v>17150601.065703519</v>
          </cell>
          <cell r="S37">
            <v>17522647.264196064</v>
          </cell>
          <cell r="T37">
            <v>34673248.329899579</v>
          </cell>
        </row>
        <row r="38">
          <cell r="B38" t="str">
            <v>Operating Profit</v>
          </cell>
          <cell r="E38">
            <v>-1844726.1602935405</v>
          </cell>
          <cell r="F38">
            <v>-4115871.2921229061</v>
          </cell>
          <cell r="G38">
            <v>1040631.909371855</v>
          </cell>
          <cell r="H38">
            <v>530624.82464933116</v>
          </cell>
          <cell r="I38">
            <v>-1826746.0411456819</v>
          </cell>
          <cell r="J38">
            <v>-2032602.1030620448</v>
          </cell>
          <cell r="K38">
            <v>-3442040.9884909987</v>
          </cell>
          <cell r="L38">
            <v>2784077.9997925134</v>
          </cell>
          <cell r="M38">
            <v>2791525.8839042531</v>
          </cell>
          <cell r="N38">
            <v>-2239486.2808490833</v>
          </cell>
          <cell r="O38">
            <v>-98809.44721829053</v>
          </cell>
          <cell r="P38">
            <v>2339455.2420189437</v>
          </cell>
          <cell r="Q38">
            <v>-6113966.4534456488</v>
          </cell>
          <cell r="R38">
            <v>-8248688.8626029864</v>
          </cell>
          <cell r="S38">
            <v>2134722.4091573376</v>
          </cell>
          <cell r="T38">
            <v>-6113966.4534456488</v>
          </cell>
        </row>
        <row r="39">
          <cell r="R39">
            <v>0</v>
          </cell>
          <cell r="S39">
            <v>0</v>
          </cell>
          <cell r="T39">
            <v>0</v>
          </cell>
        </row>
        <row r="40">
          <cell r="B40" t="str">
            <v>Other Income</v>
          </cell>
          <cell r="R40">
            <v>0</v>
          </cell>
          <cell r="S40">
            <v>0</v>
          </cell>
          <cell r="T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11200000.000000002</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11200000.000000002</v>
          </cell>
        </row>
        <row r="44">
          <cell r="B44" t="str">
            <v>Profit Before Tax</v>
          </cell>
          <cell r="E44">
            <v>-911392.82696020708</v>
          </cell>
          <cell r="F44">
            <v>-3182537.9587895726</v>
          </cell>
          <cell r="G44">
            <v>1973965.2427051882</v>
          </cell>
          <cell r="H44">
            <v>1463958.1579826646</v>
          </cell>
          <cell r="I44">
            <v>-893412.7078123485</v>
          </cell>
          <cell r="J44">
            <v>-1099268.7697287113</v>
          </cell>
          <cell r="K44">
            <v>-2508707.6551576653</v>
          </cell>
          <cell r="L44">
            <v>3717411.3331258469</v>
          </cell>
          <cell r="M44">
            <v>3724859.2172375866</v>
          </cell>
          <cell r="N44">
            <v>-1306152.9475157498</v>
          </cell>
          <cell r="O44">
            <v>834523.88611504307</v>
          </cell>
          <cell r="P44">
            <v>3272788.5753522771</v>
          </cell>
          <cell r="Q44">
            <v>5086033.5465543531</v>
          </cell>
          <cell r="R44">
            <v>-2648688.8626029864</v>
          </cell>
          <cell r="S44">
            <v>7734722.4091573376</v>
          </cell>
          <cell r="T44">
            <v>5086033.5465543512</v>
          </cell>
        </row>
        <row r="45">
          <cell r="R45">
            <v>0</v>
          </cell>
          <cell r="S45">
            <v>0</v>
          </cell>
          <cell r="T45">
            <v>0</v>
          </cell>
        </row>
        <row r="46">
          <cell r="B46" t="str">
            <v>Taxation</v>
          </cell>
          <cell r="R46">
            <v>0</v>
          </cell>
          <cell r="S46">
            <v>0</v>
          </cell>
          <cell r="T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1780111.7412940231</v>
          </cell>
        </row>
        <row r="48">
          <cell r="C48" t="str">
            <v>Surcharge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E50">
            <v>-318987.48943607247</v>
          </cell>
          <cell r="F50">
            <v>-1113888.2855763503</v>
          </cell>
          <cell r="G50">
            <v>690887.83494681586</v>
          </cell>
          <cell r="H50">
            <v>512385.3552939326</v>
          </cell>
          <cell r="I50">
            <v>-312694.44773432193</v>
          </cell>
          <cell r="J50">
            <v>-384744.06940504897</v>
          </cell>
          <cell r="K50">
            <v>-878047.67930518277</v>
          </cell>
          <cell r="L50">
            <v>1301093.9665940464</v>
          </cell>
          <cell r="M50">
            <v>1303700.7260331553</v>
          </cell>
          <cell r="N50">
            <v>-457153.53163051244</v>
          </cell>
          <cell r="O50">
            <v>292083.36014026508</v>
          </cell>
          <cell r="P50">
            <v>1145476.0013732968</v>
          </cell>
          <cell r="Q50">
            <v>1780111.7412940233</v>
          </cell>
          <cell r="R50">
            <v>-927041.10191104526</v>
          </cell>
          <cell r="S50">
            <v>2707152.8432050683</v>
          </cell>
          <cell r="T50">
            <v>1780111.7412940231</v>
          </cell>
        </row>
        <row r="51">
          <cell r="R51">
            <v>0</v>
          </cell>
          <cell r="S51">
            <v>0</v>
          </cell>
          <cell r="T51">
            <v>0</v>
          </cell>
        </row>
        <row r="52">
          <cell r="B52" t="str">
            <v>Profit After Tax</v>
          </cell>
          <cell r="E52">
            <v>-592405.33752413467</v>
          </cell>
          <cell r="F52">
            <v>-2068649.6732132223</v>
          </cell>
          <cell r="G52">
            <v>1283077.4077583724</v>
          </cell>
          <cell r="H52">
            <v>951572.80268873204</v>
          </cell>
          <cell r="I52">
            <v>-580718.26007802656</v>
          </cell>
          <cell r="J52">
            <v>-714524.70032366237</v>
          </cell>
          <cell r="K52">
            <v>-1630659.9758524825</v>
          </cell>
          <cell r="L52">
            <v>2416317.3665318005</v>
          </cell>
          <cell r="M52">
            <v>2421158.4912044313</v>
          </cell>
          <cell r="N52">
            <v>-848999.41588523739</v>
          </cell>
          <cell r="O52">
            <v>542440.52597477799</v>
          </cell>
          <cell r="P52">
            <v>2127312.5739789801</v>
          </cell>
          <cell r="Q52">
            <v>3305921.8052603286</v>
          </cell>
          <cell r="R52">
            <v>-1721647.7606919413</v>
          </cell>
          <cell r="S52">
            <v>5027569.5659522694</v>
          </cell>
          <cell r="T52">
            <v>3305921.8052603281</v>
          </cell>
        </row>
        <row r="53">
          <cell r="E53">
            <v>-592405.3375241342</v>
          </cell>
          <cell r="F53">
            <v>-2068649.6732132209</v>
          </cell>
          <cell r="G53">
            <v>1283077.4077583731</v>
          </cell>
          <cell r="H53">
            <v>951572.80268873251</v>
          </cell>
          <cell r="I53">
            <v>-580718.26007802645</v>
          </cell>
          <cell r="J53">
            <v>-714524.70032366191</v>
          </cell>
          <cell r="K53">
            <v>-1538111.1451193038</v>
          </cell>
          <cell r="L53">
            <v>1886254.2984366277</v>
          </cell>
          <cell r="M53">
            <v>1890350.634698085</v>
          </cell>
          <cell r="N53">
            <v>-876706.05591624917</v>
          </cell>
          <cell r="O53">
            <v>300666.20258068526</v>
          </cell>
          <cell r="P53">
            <v>1641711.7816611647</v>
          </cell>
          <cell r="Q53">
            <v>1582517.9556490723</v>
          </cell>
          <cell r="R53">
            <v>-1721647.7606919375</v>
          </cell>
          <cell r="S53">
            <v>3304165.7163410094</v>
          </cell>
          <cell r="T53">
            <v>1582517.9556490718</v>
          </cell>
        </row>
        <row r="54">
          <cell r="E54">
            <v>0</v>
          </cell>
          <cell r="F54">
            <v>0</v>
          </cell>
          <cell r="G54">
            <v>0</v>
          </cell>
          <cell r="H54">
            <v>0</v>
          </cell>
          <cell r="I54">
            <v>0</v>
          </cell>
          <cell r="J54">
            <v>0</v>
          </cell>
          <cell r="K54">
            <v>-92548.830733178649</v>
          </cell>
          <cell r="L54">
            <v>530063.06809517276</v>
          </cell>
          <cell r="M54">
            <v>530807.85650634626</v>
          </cell>
          <cell r="N54">
            <v>27706.640031011775</v>
          </cell>
          <cell r="O54">
            <v>241774.32339409273</v>
          </cell>
          <cell r="P54">
            <v>485600.79231781536</v>
          </cell>
          <cell r="Q54">
            <v>1723403.8496112563</v>
          </cell>
          <cell r="R54">
            <v>0</v>
          </cell>
          <cell r="S54">
            <v>1723403.8496112602</v>
          </cell>
          <cell r="T54">
            <v>1723403.8496112602</v>
          </cell>
        </row>
        <row r="55">
          <cell r="Q55">
            <v>3305921.8052603286</v>
          </cell>
        </row>
        <row r="56">
          <cell r="B56" t="str">
            <v>INDUS MOTOR COMPANY LIMITED</v>
          </cell>
        </row>
        <row r="57">
          <cell r="B57" t="str">
            <v>PERUNIT PROFIT &amp; LOSS ACCOUNT - DAIHTASU  (CKD)</v>
          </cell>
        </row>
        <row r="58">
          <cell r="B58" t="str">
            <v>FOR THE YEAR 2001~02</v>
          </cell>
        </row>
        <row r="59">
          <cell r="AA59" t="str">
            <v xml:space="preserve">C:\MIS\2002-03\[MIS-Aug-02-Sep17-QP.xls]Variantwise </v>
          </cell>
        </row>
        <row r="60">
          <cell r="F60">
            <v>-29905.625785854187</v>
          </cell>
          <cell r="H60">
            <v>-154804.00939961255</v>
          </cell>
          <cell r="J60">
            <v>128770.52132494061</v>
          </cell>
          <cell r="L60">
            <v>100723.40992695613</v>
          </cell>
          <cell r="N60">
            <v>-25096.358790370967</v>
          </cell>
          <cell r="P60">
            <v>-36470.247848650171</v>
          </cell>
          <cell r="R60">
            <v>-98064.057055345824</v>
          </cell>
          <cell r="T60">
            <v>212666.88331323065</v>
          </cell>
          <cell r="V60">
            <v>213038.5896744731</v>
          </cell>
          <cell r="X60">
            <v>-38047.382807163958</v>
          </cell>
          <cell r="Z60">
            <v>68788.75810036881</v>
          </cell>
          <cell r="AB60">
            <v>190476.80826130172</v>
          </cell>
          <cell r="AC60" t="str">
            <v>CL</v>
          </cell>
          <cell r="AD60">
            <v>532077.28891427338</v>
          </cell>
        </row>
        <row r="61">
          <cell r="E61">
            <v>548</v>
          </cell>
          <cell r="G61">
            <v>579</v>
          </cell>
          <cell r="I61">
            <v>610</v>
          </cell>
          <cell r="K61">
            <v>641</v>
          </cell>
          <cell r="M61">
            <v>672</v>
          </cell>
          <cell r="O61">
            <v>703</v>
          </cell>
          <cell r="Q61">
            <v>734</v>
          </cell>
          <cell r="S61">
            <v>765</v>
          </cell>
          <cell r="U61">
            <v>796</v>
          </cell>
          <cell r="W61">
            <v>827</v>
          </cell>
          <cell r="Y61">
            <v>858</v>
          </cell>
          <cell r="AA61">
            <v>889</v>
          </cell>
          <cell r="AC61" t="str">
            <v>Yearly</v>
          </cell>
        </row>
        <row r="62">
          <cell r="D62" t="str">
            <v>CL</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cell r="AD62">
            <v>0</v>
          </cell>
          <cell r="AF62" t="str">
            <v>CL</v>
          </cell>
        </row>
        <row r="64">
          <cell r="C64" t="str">
            <v>Sales Units</v>
          </cell>
          <cell r="E64">
            <v>1</v>
          </cell>
          <cell r="F64">
            <v>90</v>
          </cell>
          <cell r="G64">
            <v>1</v>
          </cell>
          <cell r="H64">
            <v>90</v>
          </cell>
          <cell r="I64">
            <v>1</v>
          </cell>
          <cell r="J64">
            <v>90</v>
          </cell>
          <cell r="K64">
            <v>1</v>
          </cell>
          <cell r="L64">
            <v>90</v>
          </cell>
          <cell r="M64">
            <v>1</v>
          </cell>
          <cell r="N64">
            <v>90</v>
          </cell>
          <cell r="O64">
            <v>1</v>
          </cell>
          <cell r="P64">
            <v>90</v>
          </cell>
          <cell r="Q64">
            <v>1</v>
          </cell>
          <cell r="R64">
            <v>90</v>
          </cell>
          <cell r="S64">
            <v>1</v>
          </cell>
          <cell r="T64">
            <v>90</v>
          </cell>
          <cell r="U64">
            <v>1</v>
          </cell>
          <cell r="V64">
            <v>90</v>
          </cell>
          <cell r="W64">
            <v>1</v>
          </cell>
          <cell r="X64">
            <v>90</v>
          </cell>
          <cell r="Y64">
            <v>1</v>
          </cell>
          <cell r="Z64">
            <v>90</v>
          </cell>
          <cell r="AA64">
            <v>1</v>
          </cell>
          <cell r="AB64">
            <v>90</v>
          </cell>
          <cell r="AC64">
            <v>1080</v>
          </cell>
          <cell r="AE64" t="str">
            <v>Sales Units</v>
          </cell>
        </row>
        <row r="66">
          <cell r="C66" t="str">
            <v>Selling Price</v>
          </cell>
          <cell r="E66">
            <v>349000</v>
          </cell>
          <cell r="F66">
            <v>31410000</v>
          </cell>
          <cell r="G66">
            <v>349000</v>
          </cell>
          <cell r="H66">
            <v>31410000</v>
          </cell>
          <cell r="I66">
            <v>349000</v>
          </cell>
          <cell r="J66">
            <v>31410000</v>
          </cell>
          <cell r="K66">
            <v>349000</v>
          </cell>
          <cell r="L66">
            <v>31410000</v>
          </cell>
          <cell r="M66">
            <v>349000</v>
          </cell>
          <cell r="N66">
            <v>31410000</v>
          </cell>
          <cell r="O66">
            <v>349000</v>
          </cell>
          <cell r="P66">
            <v>31410000</v>
          </cell>
          <cell r="Q66">
            <v>349000</v>
          </cell>
          <cell r="R66">
            <v>31410000</v>
          </cell>
          <cell r="S66">
            <v>349000</v>
          </cell>
          <cell r="T66">
            <v>31410000</v>
          </cell>
          <cell r="U66">
            <v>349000</v>
          </cell>
          <cell r="V66">
            <v>31410000</v>
          </cell>
          <cell r="W66">
            <v>349000</v>
          </cell>
          <cell r="X66">
            <v>31410000</v>
          </cell>
          <cell r="Y66">
            <v>349000</v>
          </cell>
          <cell r="Z66">
            <v>31410000</v>
          </cell>
          <cell r="AA66">
            <v>349000</v>
          </cell>
          <cell r="AB66">
            <v>31410000</v>
          </cell>
          <cell r="AC66">
            <v>349000</v>
          </cell>
          <cell r="AE66" t="str">
            <v>Selling Price</v>
          </cell>
        </row>
        <row r="67">
          <cell r="C67" t="str">
            <v>Less: Dealer commission</v>
          </cell>
          <cell r="E67">
            <v>-6000</v>
          </cell>
          <cell r="F67">
            <v>-540000</v>
          </cell>
          <cell r="G67">
            <v>-6000</v>
          </cell>
          <cell r="H67">
            <v>-540000</v>
          </cell>
          <cell r="I67">
            <v>-6000</v>
          </cell>
          <cell r="J67">
            <v>-540000</v>
          </cell>
          <cell r="K67">
            <v>-6000</v>
          </cell>
          <cell r="L67">
            <v>-540000</v>
          </cell>
          <cell r="M67">
            <v>-6000</v>
          </cell>
          <cell r="N67">
            <v>-540000</v>
          </cell>
          <cell r="O67">
            <v>-6000</v>
          </cell>
          <cell r="P67">
            <v>-540000</v>
          </cell>
          <cell r="Q67">
            <v>-6000</v>
          </cell>
          <cell r="R67">
            <v>-540000</v>
          </cell>
          <cell r="S67">
            <v>-6000</v>
          </cell>
          <cell r="T67">
            <v>-540000</v>
          </cell>
          <cell r="U67">
            <v>-6000</v>
          </cell>
          <cell r="V67">
            <v>-540000</v>
          </cell>
          <cell r="W67">
            <v>-6000</v>
          </cell>
          <cell r="X67">
            <v>-540000</v>
          </cell>
          <cell r="Y67">
            <v>-6000</v>
          </cell>
          <cell r="Z67">
            <v>-540000</v>
          </cell>
          <cell r="AA67">
            <v>-6000</v>
          </cell>
          <cell r="AB67">
            <v>-540000</v>
          </cell>
          <cell r="AC67">
            <v>-6000</v>
          </cell>
          <cell r="AE67" t="str">
            <v>Less: Dealer commission</v>
          </cell>
        </row>
        <row r="68">
          <cell r="D68" t="str">
            <v xml:space="preserve">  Sales tax</v>
          </cell>
          <cell r="E68">
            <v>-45521.739130434784</v>
          </cell>
          <cell r="F68">
            <v>-4096956.5217391304</v>
          </cell>
          <cell r="G68">
            <v>-45521.739130434784</v>
          </cell>
          <cell r="H68">
            <v>-4096956.5217391304</v>
          </cell>
          <cell r="I68">
            <v>-45521.739130434784</v>
          </cell>
          <cell r="J68">
            <v>-4096956.5217391304</v>
          </cell>
          <cell r="K68">
            <v>-45521.739130434784</v>
          </cell>
          <cell r="L68">
            <v>-4096956.5217391304</v>
          </cell>
          <cell r="M68">
            <v>-45521.739130434784</v>
          </cell>
          <cell r="N68">
            <v>-4096956.5217391304</v>
          </cell>
          <cell r="O68">
            <v>-45521.739130434784</v>
          </cell>
          <cell r="P68">
            <v>-4096956.5217391304</v>
          </cell>
          <cell r="Q68">
            <v>-45521.739130434784</v>
          </cell>
          <cell r="R68">
            <v>-4096956.5217391304</v>
          </cell>
          <cell r="S68">
            <v>-45521.739130434784</v>
          </cell>
          <cell r="T68">
            <v>-4096956.5217391304</v>
          </cell>
          <cell r="U68">
            <v>-45521.739130434784</v>
          </cell>
          <cell r="V68">
            <v>-4096956.5217391304</v>
          </cell>
          <cell r="W68">
            <v>-45521.739130434784</v>
          </cell>
          <cell r="X68">
            <v>-4096956.5217391304</v>
          </cell>
          <cell r="Y68">
            <v>-45521.739130434784</v>
          </cell>
          <cell r="Z68">
            <v>-4096956.5217391304</v>
          </cell>
          <cell r="AA68">
            <v>-45521.739130434784</v>
          </cell>
          <cell r="AB68">
            <v>-4096956.5217391304</v>
          </cell>
          <cell r="AC68">
            <v>-45521.739130434784</v>
          </cell>
          <cell r="AF68" t="str">
            <v xml:space="preserve">  Sales tax</v>
          </cell>
        </row>
        <row r="69">
          <cell r="C69" t="str">
            <v>Net Sales</v>
          </cell>
          <cell r="E69">
            <v>297478.26086956519</v>
          </cell>
          <cell r="F69">
            <v>26773043.478260871</v>
          </cell>
          <cell r="G69">
            <v>297478.26086956519</v>
          </cell>
          <cell r="H69">
            <v>26773043.478260871</v>
          </cell>
          <cell r="I69">
            <v>297478.26086956519</v>
          </cell>
          <cell r="J69">
            <v>26773043.478260871</v>
          </cell>
          <cell r="K69">
            <v>297478.26086956519</v>
          </cell>
          <cell r="L69">
            <v>26773043.478260871</v>
          </cell>
          <cell r="M69">
            <v>297478.26086956519</v>
          </cell>
          <cell r="N69">
            <v>26773043.478260871</v>
          </cell>
          <cell r="O69">
            <v>297478.26086956519</v>
          </cell>
          <cell r="P69">
            <v>26773043.478260871</v>
          </cell>
          <cell r="Q69">
            <v>297478.26086956519</v>
          </cell>
          <cell r="R69">
            <v>26773043.478260871</v>
          </cell>
          <cell r="S69">
            <v>297478.26086956519</v>
          </cell>
          <cell r="T69">
            <v>26773043.478260871</v>
          </cell>
          <cell r="U69">
            <v>297478.26086956519</v>
          </cell>
          <cell r="V69">
            <v>26773043.478260871</v>
          </cell>
          <cell r="W69">
            <v>297478.26086956519</v>
          </cell>
          <cell r="X69">
            <v>26773043.478260871</v>
          </cell>
          <cell r="Y69">
            <v>297478.26086956519</v>
          </cell>
          <cell r="Z69">
            <v>26773043.478260871</v>
          </cell>
          <cell r="AA69">
            <v>297478.26086956519</v>
          </cell>
          <cell r="AB69">
            <v>26773043.478260871</v>
          </cell>
          <cell r="AC69">
            <v>297478.26086956519</v>
          </cell>
          <cell r="AE69" t="str">
            <v>Net Sales</v>
          </cell>
        </row>
        <row r="71">
          <cell r="C71" t="str">
            <v>Variable Cost of Sales</v>
          </cell>
          <cell r="AE71" t="str">
            <v>Variable Cost of Sales</v>
          </cell>
        </row>
        <row r="72">
          <cell r="D72" t="str">
            <v>CKD Cost</v>
          </cell>
          <cell r="E72">
            <v>185405.57509915665</v>
          </cell>
          <cell r="F72">
            <v>16686501.758924099</v>
          </cell>
          <cell r="G72">
            <v>185405.57509915665</v>
          </cell>
          <cell r="H72">
            <v>16686501.758924099</v>
          </cell>
          <cell r="I72">
            <v>185405.57509915665</v>
          </cell>
          <cell r="J72">
            <v>16686501.758924099</v>
          </cell>
          <cell r="K72">
            <v>185405.57509915665</v>
          </cell>
          <cell r="L72">
            <v>16686501.758924099</v>
          </cell>
          <cell r="M72">
            <v>185405.57509915665</v>
          </cell>
          <cell r="N72">
            <v>16686501.758924099</v>
          </cell>
          <cell r="O72">
            <v>185405.57509915665</v>
          </cell>
          <cell r="P72">
            <v>16686501.758924099</v>
          </cell>
          <cell r="Q72">
            <v>185405.57509915665</v>
          </cell>
          <cell r="R72">
            <v>16686501.758924099</v>
          </cell>
          <cell r="S72">
            <v>185405.57509915665</v>
          </cell>
          <cell r="T72">
            <v>16686501.758924099</v>
          </cell>
          <cell r="U72">
            <v>185405.57509915665</v>
          </cell>
          <cell r="V72">
            <v>16686501.758924099</v>
          </cell>
          <cell r="W72">
            <v>185405.57509915665</v>
          </cell>
          <cell r="X72">
            <v>16686501.758924099</v>
          </cell>
          <cell r="Y72">
            <v>185405.57509915665</v>
          </cell>
          <cell r="Z72">
            <v>16686501.758924099</v>
          </cell>
          <cell r="AA72">
            <v>185405.57509915665</v>
          </cell>
          <cell r="AB72">
            <v>16686501.758924099</v>
          </cell>
          <cell r="AC72">
            <v>185405.57509915665</v>
          </cell>
          <cell r="AD72">
            <v>274187.48166098294</v>
          </cell>
          <cell r="AF72" t="str">
            <v>CKD Cost</v>
          </cell>
        </row>
        <row r="73">
          <cell r="D73" t="str">
            <v>Vendor parts</v>
          </cell>
          <cell r="E73">
            <v>70231</v>
          </cell>
          <cell r="F73">
            <v>6320790</v>
          </cell>
          <cell r="G73">
            <v>70231</v>
          </cell>
          <cell r="H73">
            <v>6320790</v>
          </cell>
          <cell r="I73">
            <v>70231</v>
          </cell>
          <cell r="J73">
            <v>6320790</v>
          </cell>
          <cell r="K73">
            <v>70231</v>
          </cell>
          <cell r="L73">
            <v>6320790</v>
          </cell>
          <cell r="M73">
            <v>70231</v>
          </cell>
          <cell r="N73">
            <v>6320790</v>
          </cell>
          <cell r="O73">
            <v>70231</v>
          </cell>
          <cell r="P73">
            <v>6320790</v>
          </cell>
          <cell r="Q73">
            <v>70231</v>
          </cell>
          <cell r="R73">
            <v>6320790</v>
          </cell>
          <cell r="S73">
            <v>70231</v>
          </cell>
          <cell r="T73">
            <v>6320790</v>
          </cell>
          <cell r="U73">
            <v>70231</v>
          </cell>
          <cell r="V73">
            <v>6320790</v>
          </cell>
          <cell r="W73">
            <v>70231</v>
          </cell>
          <cell r="X73">
            <v>6320790</v>
          </cell>
          <cell r="Y73">
            <v>70231</v>
          </cell>
          <cell r="Z73">
            <v>6320790</v>
          </cell>
          <cell r="AA73">
            <v>70231</v>
          </cell>
          <cell r="AB73">
            <v>6320790</v>
          </cell>
          <cell r="AC73">
            <v>70231</v>
          </cell>
          <cell r="AF73" t="str">
            <v>Vendor parts</v>
          </cell>
        </row>
        <row r="74">
          <cell r="D74" t="str">
            <v>DMC Parts</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F74" t="str">
            <v>Nomi Parts</v>
          </cell>
        </row>
        <row r="75">
          <cell r="D75" t="str">
            <v>Paints &amp; Chemicals</v>
          </cell>
          <cell r="E75">
            <v>3341</v>
          </cell>
          <cell r="F75">
            <v>300690</v>
          </cell>
          <cell r="G75">
            <v>3341</v>
          </cell>
          <cell r="H75">
            <v>300690</v>
          </cell>
          <cell r="I75">
            <v>3341</v>
          </cell>
          <cell r="J75">
            <v>300690</v>
          </cell>
          <cell r="K75">
            <v>3341</v>
          </cell>
          <cell r="L75">
            <v>300690</v>
          </cell>
          <cell r="M75">
            <v>3341</v>
          </cell>
          <cell r="N75">
            <v>300690</v>
          </cell>
          <cell r="O75">
            <v>3341</v>
          </cell>
          <cell r="P75">
            <v>300690</v>
          </cell>
          <cell r="Q75">
            <v>3341</v>
          </cell>
          <cell r="R75">
            <v>300690</v>
          </cell>
          <cell r="S75">
            <v>3341</v>
          </cell>
          <cell r="T75">
            <v>300690</v>
          </cell>
          <cell r="U75">
            <v>3341</v>
          </cell>
          <cell r="V75">
            <v>300690</v>
          </cell>
          <cell r="W75">
            <v>3341</v>
          </cell>
          <cell r="X75">
            <v>300690</v>
          </cell>
          <cell r="Y75">
            <v>3341</v>
          </cell>
          <cell r="Z75">
            <v>300690</v>
          </cell>
          <cell r="AA75">
            <v>3341</v>
          </cell>
          <cell r="AB75">
            <v>300690</v>
          </cell>
          <cell r="AC75">
            <v>3341</v>
          </cell>
          <cell r="AF75" t="str">
            <v>Paints &amp; Chemicals</v>
          </cell>
        </row>
        <row r="76">
          <cell r="D76" t="str">
            <v>Consumables</v>
          </cell>
          <cell r="E76">
            <v>3304</v>
          </cell>
          <cell r="F76">
            <v>297360</v>
          </cell>
          <cell r="G76">
            <v>3304</v>
          </cell>
          <cell r="H76">
            <v>297360</v>
          </cell>
          <cell r="I76">
            <v>3304</v>
          </cell>
          <cell r="J76">
            <v>297360</v>
          </cell>
          <cell r="K76">
            <v>3304</v>
          </cell>
          <cell r="L76">
            <v>297360</v>
          </cell>
          <cell r="M76">
            <v>3304</v>
          </cell>
          <cell r="N76">
            <v>297360</v>
          </cell>
          <cell r="O76">
            <v>3304</v>
          </cell>
          <cell r="P76">
            <v>297360</v>
          </cell>
          <cell r="Q76">
            <v>3304</v>
          </cell>
          <cell r="R76">
            <v>297360</v>
          </cell>
          <cell r="S76">
            <v>3304</v>
          </cell>
          <cell r="T76">
            <v>297360</v>
          </cell>
          <cell r="U76">
            <v>3304</v>
          </cell>
          <cell r="V76">
            <v>297360</v>
          </cell>
          <cell r="W76">
            <v>3304</v>
          </cell>
          <cell r="X76">
            <v>297360</v>
          </cell>
          <cell r="Y76">
            <v>3304</v>
          </cell>
          <cell r="Z76">
            <v>297360</v>
          </cell>
          <cell r="AA76">
            <v>3304</v>
          </cell>
          <cell r="AB76">
            <v>297360</v>
          </cell>
          <cell r="AC76">
            <v>3304</v>
          </cell>
          <cell r="AF76" t="str">
            <v>Consumables</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F77" t="str">
            <v>KD Parts</v>
          </cell>
        </row>
        <row r="78">
          <cell r="D78" t="str">
            <v>Spare parts</v>
          </cell>
          <cell r="E78">
            <v>44</v>
          </cell>
          <cell r="F78">
            <v>3960</v>
          </cell>
          <cell r="G78">
            <v>44</v>
          </cell>
          <cell r="H78">
            <v>3960</v>
          </cell>
          <cell r="I78">
            <v>44</v>
          </cell>
          <cell r="J78">
            <v>3960</v>
          </cell>
          <cell r="K78">
            <v>44</v>
          </cell>
          <cell r="L78">
            <v>3960</v>
          </cell>
          <cell r="M78">
            <v>44</v>
          </cell>
          <cell r="N78">
            <v>3960</v>
          </cell>
          <cell r="O78">
            <v>44</v>
          </cell>
          <cell r="P78">
            <v>3960</v>
          </cell>
          <cell r="Q78">
            <v>44</v>
          </cell>
          <cell r="R78">
            <v>3960</v>
          </cell>
          <cell r="S78">
            <v>44</v>
          </cell>
          <cell r="T78">
            <v>3960</v>
          </cell>
          <cell r="U78">
            <v>44</v>
          </cell>
          <cell r="V78">
            <v>3960</v>
          </cell>
          <cell r="W78">
            <v>44</v>
          </cell>
          <cell r="X78">
            <v>3960</v>
          </cell>
          <cell r="Y78">
            <v>44</v>
          </cell>
          <cell r="Z78">
            <v>3960</v>
          </cell>
          <cell r="AA78">
            <v>44</v>
          </cell>
          <cell r="AB78">
            <v>3960</v>
          </cell>
          <cell r="AC78">
            <v>44</v>
          </cell>
          <cell r="AF78" t="str">
            <v>Spare parts</v>
          </cell>
        </row>
        <row r="79">
          <cell r="D79" t="str">
            <v>Utilites</v>
          </cell>
          <cell r="E79">
            <v>3875</v>
          </cell>
          <cell r="F79">
            <v>348750</v>
          </cell>
          <cell r="G79">
            <v>3875</v>
          </cell>
          <cell r="H79">
            <v>348750</v>
          </cell>
          <cell r="I79">
            <v>3875</v>
          </cell>
          <cell r="J79">
            <v>348750</v>
          </cell>
          <cell r="K79">
            <v>3875</v>
          </cell>
          <cell r="L79">
            <v>348750</v>
          </cell>
          <cell r="M79">
            <v>3875</v>
          </cell>
          <cell r="N79">
            <v>348750</v>
          </cell>
          <cell r="O79">
            <v>3875</v>
          </cell>
          <cell r="P79">
            <v>348750</v>
          </cell>
          <cell r="Q79">
            <v>3875</v>
          </cell>
          <cell r="R79">
            <v>348750</v>
          </cell>
          <cell r="S79">
            <v>3875</v>
          </cell>
          <cell r="T79">
            <v>348750</v>
          </cell>
          <cell r="U79">
            <v>3875</v>
          </cell>
          <cell r="V79">
            <v>348750</v>
          </cell>
          <cell r="W79">
            <v>3875</v>
          </cell>
          <cell r="X79">
            <v>348750</v>
          </cell>
          <cell r="Y79">
            <v>3875</v>
          </cell>
          <cell r="Z79">
            <v>348750</v>
          </cell>
          <cell r="AA79">
            <v>3875</v>
          </cell>
          <cell r="AB79">
            <v>348750</v>
          </cell>
          <cell r="AC79">
            <v>3875</v>
          </cell>
          <cell r="AF79" t="str">
            <v>Utilites</v>
          </cell>
        </row>
        <row r="80">
          <cell r="D80" t="str">
            <v>Royalty</v>
          </cell>
          <cell r="E80">
            <v>1894</v>
          </cell>
          <cell r="F80">
            <v>170460</v>
          </cell>
          <cell r="G80">
            <v>1894</v>
          </cell>
          <cell r="H80">
            <v>170460</v>
          </cell>
          <cell r="I80">
            <v>1894</v>
          </cell>
          <cell r="J80">
            <v>170460</v>
          </cell>
          <cell r="K80">
            <v>1894</v>
          </cell>
          <cell r="L80">
            <v>170460</v>
          </cell>
          <cell r="M80">
            <v>1894</v>
          </cell>
          <cell r="N80">
            <v>170460</v>
          </cell>
          <cell r="O80">
            <v>1894</v>
          </cell>
          <cell r="P80">
            <v>170460</v>
          </cell>
          <cell r="Q80">
            <v>1894</v>
          </cell>
          <cell r="R80">
            <v>170460</v>
          </cell>
          <cell r="S80">
            <v>1894</v>
          </cell>
          <cell r="T80">
            <v>170460</v>
          </cell>
          <cell r="U80">
            <v>1894</v>
          </cell>
          <cell r="V80">
            <v>170460</v>
          </cell>
          <cell r="W80">
            <v>1894</v>
          </cell>
          <cell r="X80">
            <v>170460</v>
          </cell>
          <cell r="Y80">
            <v>1894</v>
          </cell>
          <cell r="Z80">
            <v>170460</v>
          </cell>
          <cell r="AA80">
            <v>1894</v>
          </cell>
          <cell r="AB80">
            <v>170460</v>
          </cell>
          <cell r="AC80">
            <v>1894</v>
          </cell>
          <cell r="AF80" t="str">
            <v>Royalty</v>
          </cell>
        </row>
        <row r="82">
          <cell r="E82">
            <v>268094.57509915665</v>
          </cell>
          <cell r="F82">
            <v>24128511.758924097</v>
          </cell>
          <cell r="G82">
            <v>268094.57509915665</v>
          </cell>
          <cell r="H82">
            <v>24128511.758924097</v>
          </cell>
          <cell r="I82">
            <v>268094.57509915665</v>
          </cell>
          <cell r="J82">
            <v>24128511.758924097</v>
          </cell>
          <cell r="K82">
            <v>268094.57509915665</v>
          </cell>
          <cell r="L82">
            <v>24128511.758924097</v>
          </cell>
          <cell r="M82">
            <v>268094.57509915665</v>
          </cell>
          <cell r="N82">
            <v>24128511.758924097</v>
          </cell>
          <cell r="O82">
            <v>268094.57509915665</v>
          </cell>
          <cell r="P82">
            <v>24128511.758924097</v>
          </cell>
          <cell r="Q82">
            <v>268094.57509915665</v>
          </cell>
          <cell r="R82">
            <v>24128511.758924097</v>
          </cell>
          <cell r="S82">
            <v>268094.57509915665</v>
          </cell>
          <cell r="T82">
            <v>24128511.758924097</v>
          </cell>
          <cell r="U82">
            <v>268094.57509915665</v>
          </cell>
          <cell r="V82">
            <v>24128511.758924097</v>
          </cell>
          <cell r="W82">
            <v>268094.57509915665</v>
          </cell>
          <cell r="X82">
            <v>24128511.758924097</v>
          </cell>
          <cell r="Y82">
            <v>268094.57509915665</v>
          </cell>
          <cell r="Z82">
            <v>24128511.758924097</v>
          </cell>
          <cell r="AA82">
            <v>268094.57509915665</v>
          </cell>
          <cell r="AB82">
            <v>24128511.758924097</v>
          </cell>
          <cell r="AC82">
            <v>268094.57509915665</v>
          </cell>
        </row>
        <row r="83">
          <cell r="C83" t="str">
            <v>Contribution Margin</v>
          </cell>
          <cell r="E83">
            <v>29383.685770408541</v>
          </cell>
          <cell r="F83">
            <v>2644531.7193367742</v>
          </cell>
          <cell r="G83">
            <v>29383.685770408541</v>
          </cell>
          <cell r="H83">
            <v>2644531.7193367742</v>
          </cell>
          <cell r="I83">
            <v>29383.685770408541</v>
          </cell>
          <cell r="J83">
            <v>2644531.7193367742</v>
          </cell>
          <cell r="K83">
            <v>29383.685770408541</v>
          </cell>
          <cell r="L83">
            <v>2644531.7193367742</v>
          </cell>
          <cell r="M83">
            <v>29383.685770408541</v>
          </cell>
          <cell r="N83">
            <v>2644531.7193367742</v>
          </cell>
          <cell r="O83">
            <v>29383.685770408541</v>
          </cell>
          <cell r="P83">
            <v>2644531.7193367742</v>
          </cell>
          <cell r="Q83">
            <v>29383.685770408541</v>
          </cell>
          <cell r="R83">
            <v>2644531.7193367742</v>
          </cell>
          <cell r="S83">
            <v>29383.685770408541</v>
          </cell>
          <cell r="T83">
            <v>2644531.7193367742</v>
          </cell>
          <cell r="U83">
            <v>29383.685770408541</v>
          </cell>
          <cell r="V83">
            <v>2644531.7193367742</v>
          </cell>
          <cell r="W83">
            <v>29383.685770408541</v>
          </cell>
          <cell r="X83">
            <v>2644531.7193367742</v>
          </cell>
          <cell r="Y83">
            <v>29383.685770408541</v>
          </cell>
          <cell r="Z83">
            <v>2644531.7193367742</v>
          </cell>
          <cell r="AA83">
            <v>29383.685770408541</v>
          </cell>
          <cell r="AB83">
            <v>2644531.7193367742</v>
          </cell>
          <cell r="AC83">
            <v>29383.685770408541</v>
          </cell>
          <cell r="AE83" t="str">
            <v>Contribution Margin</v>
          </cell>
        </row>
        <row r="85">
          <cell r="C85" t="str">
            <v>Production cost</v>
          </cell>
          <cell r="AE85" t="str">
            <v>Production cost</v>
          </cell>
        </row>
        <row r="86">
          <cell r="D86" t="str">
            <v xml:space="preserve">Salaries &amp; Wages </v>
          </cell>
          <cell r="E86">
            <v>4619.3194081365082</v>
          </cell>
          <cell r="F86">
            <v>415738.74673228571</v>
          </cell>
          <cell r="G86">
            <v>4619.3194081365082</v>
          </cell>
          <cell r="H86">
            <v>415738.74673228571</v>
          </cell>
          <cell r="I86">
            <v>4619.3194081365082</v>
          </cell>
          <cell r="J86">
            <v>415738.74673228571</v>
          </cell>
          <cell r="K86">
            <v>4619.3194081365082</v>
          </cell>
          <cell r="L86">
            <v>415738.74673228571</v>
          </cell>
          <cell r="M86">
            <v>4619.3194081365082</v>
          </cell>
          <cell r="N86">
            <v>415738.74673228571</v>
          </cell>
          <cell r="O86">
            <v>4619.3194081365082</v>
          </cell>
          <cell r="P86">
            <v>415738.74673228571</v>
          </cell>
          <cell r="Q86">
            <v>3959.4166355455786</v>
          </cell>
          <cell r="R86">
            <v>356347.49719910207</v>
          </cell>
          <cell r="S86">
            <v>3959.4166355455786</v>
          </cell>
          <cell r="T86">
            <v>356347.49719910207</v>
          </cell>
          <cell r="U86">
            <v>3959.4166355455786</v>
          </cell>
          <cell r="V86">
            <v>356347.49719910207</v>
          </cell>
          <cell r="W86">
            <v>3959.4166355455786</v>
          </cell>
          <cell r="X86">
            <v>356347.49719910207</v>
          </cell>
          <cell r="Y86">
            <v>3959.4166355455786</v>
          </cell>
          <cell r="Z86">
            <v>356347.49719910207</v>
          </cell>
          <cell r="AA86">
            <v>3959.4166355455786</v>
          </cell>
          <cell r="AB86">
            <v>356347.49719910207</v>
          </cell>
          <cell r="AC86">
            <v>4289.3680218410445</v>
          </cell>
          <cell r="AF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F87" t="str">
            <v xml:space="preserve">Utilities </v>
          </cell>
        </row>
        <row r="88">
          <cell r="D88" t="str">
            <v>Depreciation</v>
          </cell>
          <cell r="E88">
            <v>19315.555555555558</v>
          </cell>
          <cell r="F88">
            <v>1738400.0000000002</v>
          </cell>
          <cell r="G88">
            <v>19315.555555555558</v>
          </cell>
          <cell r="H88">
            <v>1738400.0000000002</v>
          </cell>
          <cell r="I88">
            <v>19315.555555555558</v>
          </cell>
          <cell r="J88">
            <v>1738400.0000000002</v>
          </cell>
          <cell r="K88">
            <v>19315.555555555558</v>
          </cell>
          <cell r="L88">
            <v>1738400.0000000002</v>
          </cell>
          <cell r="M88">
            <v>19315.555555555558</v>
          </cell>
          <cell r="N88">
            <v>1738400.0000000002</v>
          </cell>
          <cell r="O88">
            <v>19315.555555555558</v>
          </cell>
          <cell r="P88">
            <v>1738400.0000000002</v>
          </cell>
          <cell r="Q88">
            <v>16556.190476190477</v>
          </cell>
          <cell r="R88">
            <v>1490057.142857143</v>
          </cell>
          <cell r="S88">
            <v>16556.190476190477</v>
          </cell>
          <cell r="T88">
            <v>1490057.142857143</v>
          </cell>
          <cell r="U88">
            <v>16556.190476190477</v>
          </cell>
          <cell r="V88">
            <v>1490057.142857143</v>
          </cell>
          <cell r="W88">
            <v>16556.190476190477</v>
          </cell>
          <cell r="X88">
            <v>1490057.142857143</v>
          </cell>
          <cell r="Y88">
            <v>16556.190476190477</v>
          </cell>
          <cell r="Z88">
            <v>1490057.142857143</v>
          </cell>
          <cell r="AA88">
            <v>16556.190476190477</v>
          </cell>
          <cell r="AB88">
            <v>1490057.142857143</v>
          </cell>
          <cell r="AC88">
            <v>17935.873015873021</v>
          </cell>
          <cell r="AF88" t="str">
            <v>Depreciation</v>
          </cell>
        </row>
        <row r="89">
          <cell r="D89" t="str">
            <v xml:space="preserve">Other Factory overhead </v>
          </cell>
          <cell r="E89">
            <v>2884.1866359118612</v>
          </cell>
          <cell r="F89">
            <v>259576.7972320675</v>
          </cell>
          <cell r="G89">
            <v>2884.1866359118612</v>
          </cell>
          <cell r="H89">
            <v>259576.7972320675</v>
          </cell>
          <cell r="I89">
            <v>2884.1866359118612</v>
          </cell>
          <cell r="J89">
            <v>259576.7972320675</v>
          </cell>
          <cell r="K89">
            <v>2884.1866359118612</v>
          </cell>
          <cell r="L89">
            <v>259576.7972320675</v>
          </cell>
          <cell r="M89">
            <v>2884.1866359118612</v>
          </cell>
          <cell r="N89">
            <v>259576.7972320675</v>
          </cell>
          <cell r="O89">
            <v>2884.1866359118612</v>
          </cell>
          <cell r="P89">
            <v>259576.7972320675</v>
          </cell>
          <cell r="Q89">
            <v>2472.1599736387384</v>
          </cell>
          <cell r="R89">
            <v>222494.39762748647</v>
          </cell>
          <cell r="S89">
            <v>2472.1599736387384</v>
          </cell>
          <cell r="T89">
            <v>222494.39762748647</v>
          </cell>
          <cell r="U89">
            <v>2472.1599736387384</v>
          </cell>
          <cell r="V89">
            <v>222494.39762748647</v>
          </cell>
          <cell r="W89">
            <v>2472.1599736387384</v>
          </cell>
          <cell r="X89">
            <v>222494.39762748647</v>
          </cell>
          <cell r="Y89">
            <v>2472.1599736387384</v>
          </cell>
          <cell r="Z89">
            <v>222494.39762748647</v>
          </cell>
          <cell r="AA89">
            <v>2472.1599736387384</v>
          </cell>
          <cell r="AB89">
            <v>222494.39762748647</v>
          </cell>
          <cell r="AC89">
            <v>2678.1733047752996</v>
          </cell>
          <cell r="AF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F90" t="str">
            <v>Running Royalty</v>
          </cell>
        </row>
        <row r="91">
          <cell r="E91">
            <v>26819.061599603927</v>
          </cell>
          <cell r="F91">
            <v>2413715.5439643539</v>
          </cell>
          <cell r="G91">
            <v>26819.061599603927</v>
          </cell>
          <cell r="H91">
            <v>2413715.5439643539</v>
          </cell>
          <cell r="I91">
            <v>26819.061599603927</v>
          </cell>
          <cell r="J91">
            <v>2413715.5439643539</v>
          </cell>
          <cell r="K91">
            <v>26819.061599603927</v>
          </cell>
          <cell r="L91">
            <v>2413715.5439643539</v>
          </cell>
          <cell r="M91">
            <v>26819.061599603927</v>
          </cell>
          <cell r="N91">
            <v>2413715.5439643539</v>
          </cell>
          <cell r="O91">
            <v>26819.061599603927</v>
          </cell>
          <cell r="P91">
            <v>2413715.5439643539</v>
          </cell>
          <cell r="Q91">
            <v>22987.767085374795</v>
          </cell>
          <cell r="R91">
            <v>2068899.0376837314</v>
          </cell>
          <cell r="S91">
            <v>22987.767085374795</v>
          </cell>
          <cell r="T91">
            <v>2068899.0376837314</v>
          </cell>
          <cell r="U91">
            <v>22987.767085374795</v>
          </cell>
          <cell r="V91">
            <v>2068899.0376837314</v>
          </cell>
          <cell r="W91">
            <v>22987.767085374795</v>
          </cell>
          <cell r="X91">
            <v>2068899.0376837314</v>
          </cell>
          <cell r="Y91">
            <v>22987.767085374795</v>
          </cell>
          <cell r="Z91">
            <v>2068899.0376837314</v>
          </cell>
          <cell r="AA91">
            <v>22987.767085374795</v>
          </cell>
          <cell r="AB91">
            <v>2068899.0376837314</v>
          </cell>
          <cell r="AC91">
            <v>24903.414342489366</v>
          </cell>
        </row>
        <row r="92">
          <cell r="C92" t="str">
            <v>Gross Profit</v>
          </cell>
          <cell r="E92">
            <v>2564.6241708046146</v>
          </cell>
          <cell r="F92">
            <v>230816.17537242034</v>
          </cell>
          <cell r="G92">
            <v>2564.6241708046146</v>
          </cell>
          <cell r="H92">
            <v>230816.17537242034</v>
          </cell>
          <cell r="I92">
            <v>2564.6241708046146</v>
          </cell>
          <cell r="J92">
            <v>230816.17537242034</v>
          </cell>
          <cell r="K92">
            <v>2564.6241708046146</v>
          </cell>
          <cell r="L92">
            <v>230816.17537242034</v>
          </cell>
          <cell r="M92">
            <v>2564.6241708046146</v>
          </cell>
          <cell r="N92">
            <v>230816.17537242034</v>
          </cell>
          <cell r="O92">
            <v>2564.6241708046146</v>
          </cell>
          <cell r="P92">
            <v>230816.17537242034</v>
          </cell>
          <cell r="Q92">
            <v>6395.9186850337464</v>
          </cell>
          <cell r="R92">
            <v>575632.68165304279</v>
          </cell>
          <cell r="S92">
            <v>6395.9186850337464</v>
          </cell>
          <cell r="T92">
            <v>575632.68165304279</v>
          </cell>
          <cell r="U92">
            <v>6395.9186850337464</v>
          </cell>
          <cell r="V92">
            <v>575632.68165304279</v>
          </cell>
          <cell r="W92">
            <v>6395.9186850337464</v>
          </cell>
          <cell r="X92">
            <v>575632.68165304279</v>
          </cell>
          <cell r="Y92">
            <v>6395.9186850337464</v>
          </cell>
          <cell r="Z92">
            <v>575632.68165304279</v>
          </cell>
          <cell r="AA92">
            <v>6395.9186850337464</v>
          </cell>
          <cell r="AB92">
            <v>575632.68165304279</v>
          </cell>
          <cell r="AC92">
            <v>4480.271427919175</v>
          </cell>
          <cell r="AE92" t="str">
            <v>Gross Profit</v>
          </cell>
        </row>
        <row r="93">
          <cell r="E93">
            <v>0.86212154236343375</v>
          </cell>
          <cell r="F93">
            <v>0.86212154236345251</v>
          </cell>
          <cell r="G93">
            <v>0.86212154236343375</v>
          </cell>
          <cell r="H93">
            <v>0.86212154236345251</v>
          </cell>
          <cell r="I93">
            <v>0.86212154236343375</v>
          </cell>
          <cell r="J93">
            <v>0.86212154236345251</v>
          </cell>
          <cell r="K93">
            <v>0.86212154236343375</v>
          </cell>
          <cell r="L93">
            <v>0.86212154236345251</v>
          </cell>
          <cell r="M93">
            <v>0.86212154236343375</v>
          </cell>
          <cell r="N93">
            <v>0.86212154236345251</v>
          </cell>
          <cell r="O93">
            <v>0.86212154236343375</v>
          </cell>
          <cell r="P93">
            <v>0.86212154236345251</v>
          </cell>
          <cell r="Q93">
            <v>2.1500457432881639</v>
          </cell>
          <cell r="R93">
            <v>2.1500457432881848</v>
          </cell>
          <cell r="S93">
            <v>2.1500457432881639</v>
          </cell>
          <cell r="T93">
            <v>2.1500457432881848</v>
          </cell>
          <cell r="U93">
            <v>2.1500457432881639</v>
          </cell>
          <cell r="V93">
            <v>2.1500457432881848</v>
          </cell>
          <cell r="W93">
            <v>2.1500457432881639</v>
          </cell>
          <cell r="X93">
            <v>2.1500457432881848</v>
          </cell>
          <cell r="Y93">
            <v>2.1500457432881639</v>
          </cell>
          <cell r="Z93">
            <v>2.1500457432881848</v>
          </cell>
          <cell r="AA93">
            <v>2.1500457432881639</v>
          </cell>
          <cell r="AB93">
            <v>2.1500457432881848</v>
          </cell>
          <cell r="AC93">
            <v>1.5060836428257971</v>
          </cell>
        </row>
        <row r="94">
          <cell r="C94" t="str">
            <v>Other Expenses</v>
          </cell>
          <cell r="AE94" t="str">
            <v>Other Expenses</v>
          </cell>
        </row>
        <row r="95">
          <cell r="D95" t="str">
            <v>Selling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F95" t="str">
            <v>Selling Expenses</v>
          </cell>
        </row>
        <row r="96">
          <cell r="D96" t="str">
            <v>Advertisement Expenses</v>
          </cell>
          <cell r="E96">
            <v>10890.595130119307</v>
          </cell>
          <cell r="F96">
            <v>980153.56171073765</v>
          </cell>
          <cell r="G96">
            <v>19074.844763831719</v>
          </cell>
          <cell r="H96">
            <v>1716736.0287448547</v>
          </cell>
          <cell r="I96">
            <v>586.91830042559138</v>
          </cell>
          <cell r="J96">
            <v>52822.647038303221</v>
          </cell>
          <cell r="K96">
            <v>2441.4170969092306</v>
          </cell>
          <cell r="L96">
            <v>219727.53872183076</v>
          </cell>
          <cell r="M96">
            <v>10786.498384911953</v>
          </cell>
          <cell r="N96">
            <v>970784.85464207572</v>
          </cell>
          <cell r="O96">
            <v>11537.251658504394</v>
          </cell>
          <cell r="P96">
            <v>1038352.6492653955</v>
          </cell>
          <cell r="Q96">
            <v>19357.842486060854</v>
          </cell>
          <cell r="R96">
            <v>1742205.8237454768</v>
          </cell>
          <cell r="S96">
            <v>138.66649345315798</v>
          </cell>
          <cell r="T96">
            <v>12479.984410784218</v>
          </cell>
          <cell r="U96">
            <v>138.66649345315798</v>
          </cell>
          <cell r="V96">
            <v>12479.984410784218</v>
          </cell>
          <cell r="W96">
            <v>15599.980513480272</v>
          </cell>
          <cell r="X96">
            <v>1403998.2462132245</v>
          </cell>
          <cell r="Y96">
            <v>9013.3220744552673</v>
          </cell>
          <cell r="Z96">
            <v>811198.98670097406</v>
          </cell>
          <cell r="AA96">
            <v>1525.3314279847375</v>
          </cell>
          <cell r="AB96">
            <v>137279.82851862637</v>
          </cell>
          <cell r="AC96">
            <v>8424.2779019658046</v>
          </cell>
        </row>
        <row r="97">
          <cell r="D97" t="str">
            <v>Administrative Expenses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F97" t="str">
            <v>Administrative Expenses</v>
          </cell>
        </row>
        <row r="98">
          <cell r="D98" t="str">
            <v>Depreciation (Admin. &amp; Selling )</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F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F99" t="str">
            <v>Financial Charges -Capital Exp.</v>
          </cell>
        </row>
        <row r="100">
          <cell r="D100" t="str">
            <v>Financial  Charges -Working Capital</v>
          </cell>
          <cell r="E100">
            <v>201.57918431275289</v>
          </cell>
          <cell r="F100">
            <v>18142.126588147759</v>
          </cell>
          <cell r="G100">
            <v>178.4251077933327</v>
          </cell>
          <cell r="H100">
            <v>16058.259701399944</v>
          </cell>
          <cell r="I100">
            <v>175.55668509273093</v>
          </cell>
          <cell r="J100">
            <v>15800.101658345784</v>
          </cell>
          <cell r="K100">
            <v>160.53201526974851</v>
          </cell>
          <cell r="L100">
            <v>14447.881374277365</v>
          </cell>
          <cell r="M100">
            <v>214.5866255466828</v>
          </cell>
          <cell r="N100">
            <v>19312.796299201451</v>
          </cell>
          <cell r="O100">
            <v>207.35917650875876</v>
          </cell>
          <cell r="P100">
            <v>18662.32588578829</v>
          </cell>
          <cell r="Q100">
            <v>157.4713934840606</v>
          </cell>
          <cell r="R100">
            <v>14172.425413565454</v>
          </cell>
          <cell r="S100">
            <v>198.17331480982742</v>
          </cell>
          <cell r="T100">
            <v>17835.598332884467</v>
          </cell>
          <cell r="U100">
            <v>184.65378229632779</v>
          </cell>
          <cell r="V100">
            <v>16618.8404066695</v>
          </cell>
          <cell r="W100">
            <v>192.32717619631876</v>
          </cell>
          <cell r="X100">
            <v>17309.445857668688</v>
          </cell>
          <cell r="Y100">
            <v>193.74054120384864</v>
          </cell>
          <cell r="Z100">
            <v>17436.648708346376</v>
          </cell>
          <cell r="AA100">
            <v>186.90086739142365</v>
          </cell>
          <cell r="AB100">
            <v>16821.078065228128</v>
          </cell>
          <cell r="AC100">
            <v>187.60882249215112</v>
          </cell>
          <cell r="AF100" t="str">
            <v>Financial  Charges -Working Capital</v>
          </cell>
        </row>
        <row r="101">
          <cell r="D101" t="str">
            <v>Other Expenses (Charity &amp; Donation)</v>
          </cell>
          <cell r="E101">
            <v>139.98554466163398</v>
          </cell>
          <cell r="F101">
            <v>12598.699019547059</v>
          </cell>
          <cell r="G101">
            <v>123.90632485648104</v>
          </cell>
          <cell r="H101">
            <v>11151.569237083293</v>
          </cell>
          <cell r="I101">
            <v>121.91436464772984</v>
          </cell>
          <cell r="J101">
            <v>10972.292818295686</v>
          </cell>
          <cell r="K101">
            <v>111.48056615954759</v>
          </cell>
          <cell r="L101">
            <v>10033.250954359284</v>
          </cell>
          <cell r="M101">
            <v>149.01848996297417</v>
          </cell>
          <cell r="N101">
            <v>13411.664096667675</v>
          </cell>
          <cell r="O101">
            <v>143.99942813108245</v>
          </cell>
          <cell r="P101">
            <v>12959.948531797421</v>
          </cell>
          <cell r="Q101">
            <v>109.35513436393099</v>
          </cell>
          <cell r="R101">
            <v>9841.962092753789</v>
          </cell>
          <cell r="S101">
            <v>137.6203575068246</v>
          </cell>
          <cell r="T101">
            <v>12385.832175614214</v>
          </cell>
          <cell r="U101">
            <v>128.23179326133877</v>
          </cell>
          <cell r="V101">
            <v>11540.861393520488</v>
          </cell>
          <cell r="W101">
            <v>133.56053902522137</v>
          </cell>
          <cell r="X101">
            <v>12020.448512269924</v>
          </cell>
          <cell r="Y101">
            <v>134.54204250267267</v>
          </cell>
          <cell r="Z101">
            <v>12108.78382524054</v>
          </cell>
          <cell r="AA101">
            <v>129.79226902182199</v>
          </cell>
          <cell r="AB101">
            <v>11681.304211963979</v>
          </cell>
          <cell r="AC101">
            <v>130.2839045084383</v>
          </cell>
          <cell r="AF101" t="str">
            <v>Other Expenses (Charity &amp; Donation)</v>
          </cell>
        </row>
        <row r="102">
          <cell r="D102" t="str">
            <v>Other Expenses ( W.P.P.F.)</v>
          </cell>
          <cell r="E102">
            <v>-99.685419286180618</v>
          </cell>
          <cell r="F102">
            <v>-8971.6877357562553</v>
          </cell>
          <cell r="G102">
            <v>-516.01336466537521</v>
          </cell>
          <cell r="H102">
            <v>-46441.202819883765</v>
          </cell>
          <cell r="I102">
            <v>429.23507108313538</v>
          </cell>
          <cell r="J102">
            <v>38631.156397482184</v>
          </cell>
          <cell r="K102">
            <v>335.74469975652045</v>
          </cell>
          <cell r="L102">
            <v>30217.022978086839</v>
          </cell>
          <cell r="M102">
            <v>-83.654529301236565</v>
          </cell>
          <cell r="N102">
            <v>-7528.9076371112906</v>
          </cell>
          <cell r="O102">
            <v>-121.56749282883391</v>
          </cell>
          <cell r="P102">
            <v>-10941.074354595052</v>
          </cell>
          <cell r="Q102">
            <v>-311.31446684236766</v>
          </cell>
          <cell r="R102">
            <v>-28018.302015813089</v>
          </cell>
          <cell r="S102">
            <v>675.13296289914501</v>
          </cell>
          <cell r="T102">
            <v>60761.966660923048</v>
          </cell>
          <cell r="U102">
            <v>676.31298309356544</v>
          </cell>
          <cell r="V102">
            <v>60868.168478420892</v>
          </cell>
          <cell r="W102">
            <v>-120.78534224496495</v>
          </cell>
          <cell r="X102">
            <v>-10870.680802046845</v>
          </cell>
          <cell r="Y102">
            <v>218.37700984244069</v>
          </cell>
          <cell r="Z102">
            <v>19653.93088581966</v>
          </cell>
          <cell r="AA102">
            <v>604.68828019460864</v>
          </cell>
          <cell r="AB102">
            <v>54421.945217514774</v>
          </cell>
          <cell r="AC102">
            <v>140.53919930837142</v>
          </cell>
          <cell r="AF102" t="str">
            <v>Other Expenses ( W.P.P.F.)</v>
          </cell>
        </row>
        <row r="103">
          <cell r="D103" t="str">
            <v>Workers Welfare Fund</v>
          </cell>
          <cell r="E103">
            <v>-37.880459328748636</v>
          </cell>
          <cell r="F103">
            <v>-3409.2413395873773</v>
          </cell>
          <cell r="G103">
            <v>-196.08507857284258</v>
          </cell>
          <cell r="H103">
            <v>-17647.657071555834</v>
          </cell>
          <cell r="I103">
            <v>163.10932701159146</v>
          </cell>
          <cell r="J103">
            <v>14679.839431043232</v>
          </cell>
          <cell r="K103">
            <v>127.58298590747775</v>
          </cell>
          <cell r="L103">
            <v>11482.468731672998</v>
          </cell>
          <cell r="M103">
            <v>-31.788721134469881</v>
          </cell>
          <cell r="N103">
            <v>-2860.9849021022892</v>
          </cell>
          <cell r="O103">
            <v>-46.195647274956897</v>
          </cell>
          <cell r="P103">
            <v>-4157.608254746121</v>
          </cell>
          <cell r="Q103">
            <v>-118.29949740009971</v>
          </cell>
          <cell r="R103">
            <v>-10646.954766008974</v>
          </cell>
          <cell r="S103">
            <v>256.55052590167514</v>
          </cell>
          <cell r="T103">
            <v>23089.547331150763</v>
          </cell>
          <cell r="U103">
            <v>256.99893357555482</v>
          </cell>
          <cell r="V103">
            <v>23129.904021799932</v>
          </cell>
          <cell r="W103">
            <v>-45.898430053086649</v>
          </cell>
          <cell r="X103">
            <v>-4130.8587047777983</v>
          </cell>
          <cell r="Y103">
            <v>82.983263740127455</v>
          </cell>
          <cell r="Z103">
            <v>7468.4937366114709</v>
          </cell>
          <cell r="AA103">
            <v>229.78154647395132</v>
          </cell>
          <cell r="AB103">
            <v>20680.339182655618</v>
          </cell>
          <cell r="AC103">
            <v>53.404895737181128</v>
          </cell>
          <cell r="AF103" t="str">
            <v>Workers Welfare Fund</v>
          </cell>
        </row>
        <row r="104">
          <cell r="E104">
            <v>11094.593980478767</v>
          </cell>
          <cell r="F104">
            <v>998513.4582430888</v>
          </cell>
          <cell r="G104">
            <v>18665.077753243317</v>
          </cell>
          <cell r="H104">
            <v>1679856.9977918982</v>
          </cell>
          <cell r="I104">
            <v>1476.7337482607788</v>
          </cell>
          <cell r="J104">
            <v>132906.03734347009</v>
          </cell>
          <cell r="K104">
            <v>3176.7573640025248</v>
          </cell>
          <cell r="L104">
            <v>285908.16276022722</v>
          </cell>
          <cell r="M104">
            <v>11034.660249985904</v>
          </cell>
          <cell r="N104">
            <v>993119.42249873129</v>
          </cell>
          <cell r="O104">
            <v>11720.847123040445</v>
          </cell>
          <cell r="P104">
            <v>1054876.2410736401</v>
          </cell>
          <cell r="Q104">
            <v>19195.055049666378</v>
          </cell>
          <cell r="R104">
            <v>1727554.9544699739</v>
          </cell>
          <cell r="S104">
            <v>1406.1436545706304</v>
          </cell>
          <cell r="T104">
            <v>126552.92891135672</v>
          </cell>
          <cell r="U104">
            <v>1384.863985679945</v>
          </cell>
          <cell r="V104">
            <v>124637.75871119503</v>
          </cell>
          <cell r="W104">
            <v>15759.184456403762</v>
          </cell>
          <cell r="X104">
            <v>1418326.6010763384</v>
          </cell>
          <cell r="Y104">
            <v>9642.9649317443564</v>
          </cell>
          <cell r="Z104">
            <v>867866.8438569922</v>
          </cell>
          <cell r="AA104">
            <v>2676.4943910665434</v>
          </cell>
          <cell r="AB104">
            <v>240884.49519598886</v>
          </cell>
          <cell r="AC104">
            <v>8936.1147240119481</v>
          </cell>
        </row>
        <row r="105">
          <cell r="D105" t="str">
            <v>Operating Profit</v>
          </cell>
          <cell r="E105">
            <v>-8529.9698096741522</v>
          </cell>
          <cell r="F105">
            <v>-767697.28287066845</v>
          </cell>
          <cell r="G105">
            <v>-16100.453582438702</v>
          </cell>
          <cell r="H105">
            <v>-1449040.8224194779</v>
          </cell>
          <cell r="I105">
            <v>1087.8904225438357</v>
          </cell>
          <cell r="J105">
            <v>97910.138028950256</v>
          </cell>
          <cell r="K105">
            <v>-612.13319319791026</v>
          </cell>
          <cell r="L105">
            <v>-55091.987387806876</v>
          </cell>
          <cell r="M105">
            <v>-8470.0360791812891</v>
          </cell>
          <cell r="N105">
            <v>-762303.24712631095</v>
          </cell>
          <cell r="O105">
            <v>-9156.2229522358302</v>
          </cell>
          <cell r="P105">
            <v>-824060.06570121972</v>
          </cell>
          <cell r="Q105">
            <v>-12799.136364632632</v>
          </cell>
          <cell r="R105">
            <v>-1151922.2728169311</v>
          </cell>
          <cell r="S105">
            <v>4989.7750304631163</v>
          </cell>
          <cell r="T105">
            <v>449079.75274168607</v>
          </cell>
          <cell r="U105">
            <v>5011.054699353801</v>
          </cell>
          <cell r="V105">
            <v>450994.92294184776</v>
          </cell>
          <cell r="W105">
            <v>-9363.2657713700155</v>
          </cell>
          <cell r="X105">
            <v>-842693.91942329565</v>
          </cell>
          <cell r="Y105">
            <v>-3247.0462467106099</v>
          </cell>
          <cell r="Z105">
            <v>-292234.16220394941</v>
          </cell>
          <cell r="AA105">
            <v>3719.4242939672031</v>
          </cell>
          <cell r="AB105">
            <v>334748.18645705393</v>
          </cell>
          <cell r="AC105">
            <v>-4455.843296092773</v>
          </cell>
          <cell r="AF105" t="str">
            <v>Operating Profit</v>
          </cell>
        </row>
        <row r="107">
          <cell r="C107" t="str">
            <v>Other Income</v>
          </cell>
          <cell r="AE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F108" t="str">
            <v>H.D</v>
          </cell>
        </row>
        <row r="109">
          <cell r="D109" t="str">
            <v>Others</v>
          </cell>
          <cell r="E109">
            <v>3111.1111111111113</v>
          </cell>
          <cell r="F109">
            <v>280000</v>
          </cell>
          <cell r="G109">
            <v>3111.1111111111113</v>
          </cell>
          <cell r="H109">
            <v>280000</v>
          </cell>
          <cell r="I109">
            <v>3111.1111111111113</v>
          </cell>
          <cell r="J109">
            <v>280000</v>
          </cell>
          <cell r="K109">
            <v>3111.1111111111113</v>
          </cell>
          <cell r="L109">
            <v>280000</v>
          </cell>
          <cell r="M109">
            <v>3111.1111111111113</v>
          </cell>
          <cell r="N109">
            <v>280000</v>
          </cell>
          <cell r="O109">
            <v>3111.1111111111113</v>
          </cell>
          <cell r="P109">
            <v>280000</v>
          </cell>
          <cell r="Q109">
            <v>2666.666666666667</v>
          </cell>
          <cell r="R109">
            <v>240000.00000000003</v>
          </cell>
          <cell r="S109">
            <v>2666.666666666667</v>
          </cell>
          <cell r="T109">
            <v>240000.00000000003</v>
          </cell>
          <cell r="U109">
            <v>2666.666666666667</v>
          </cell>
          <cell r="V109">
            <v>240000.00000000003</v>
          </cell>
          <cell r="W109">
            <v>2666.666666666667</v>
          </cell>
          <cell r="X109">
            <v>240000.00000000003</v>
          </cell>
          <cell r="Y109">
            <v>2666.666666666667</v>
          </cell>
          <cell r="Z109">
            <v>240000.00000000003</v>
          </cell>
          <cell r="AA109">
            <v>2666.666666666667</v>
          </cell>
          <cell r="AB109">
            <v>240000.00000000003</v>
          </cell>
          <cell r="AC109">
            <v>2888.8888888888887</v>
          </cell>
          <cell r="AF109" t="str">
            <v>Others</v>
          </cell>
        </row>
        <row r="110">
          <cell r="E110">
            <v>3111.1111111111113</v>
          </cell>
          <cell r="F110">
            <v>280000</v>
          </cell>
          <cell r="G110">
            <v>3111.1111111111113</v>
          </cell>
          <cell r="H110">
            <v>280000</v>
          </cell>
          <cell r="I110">
            <v>3111.1111111111113</v>
          </cell>
          <cell r="J110">
            <v>280000</v>
          </cell>
          <cell r="K110">
            <v>3111.1111111111113</v>
          </cell>
          <cell r="L110">
            <v>280000</v>
          </cell>
          <cell r="M110">
            <v>3111.1111111111113</v>
          </cell>
          <cell r="N110">
            <v>280000</v>
          </cell>
          <cell r="O110">
            <v>3111.1111111111113</v>
          </cell>
          <cell r="P110">
            <v>280000</v>
          </cell>
          <cell r="Q110">
            <v>2666.666666666667</v>
          </cell>
          <cell r="R110">
            <v>240000.00000000003</v>
          </cell>
          <cell r="S110">
            <v>2666.666666666667</v>
          </cell>
          <cell r="T110">
            <v>240000.00000000003</v>
          </cell>
          <cell r="U110">
            <v>2666.666666666667</v>
          </cell>
          <cell r="V110">
            <v>240000.00000000003</v>
          </cell>
          <cell r="W110">
            <v>2666.666666666667</v>
          </cell>
          <cell r="X110">
            <v>240000.00000000003</v>
          </cell>
          <cell r="Y110">
            <v>2666.666666666667</v>
          </cell>
          <cell r="Z110">
            <v>240000.00000000003</v>
          </cell>
          <cell r="AA110">
            <v>2666.666666666667</v>
          </cell>
          <cell r="AB110">
            <v>240000.00000000003</v>
          </cell>
          <cell r="AC110">
            <v>2888.8888888888887</v>
          </cell>
        </row>
        <row r="112">
          <cell r="C112" t="str">
            <v>Profit before tax</v>
          </cell>
          <cell r="E112">
            <v>-5418.8586985630409</v>
          </cell>
          <cell r="F112">
            <v>-487697.28287066845</v>
          </cell>
          <cell r="G112">
            <v>-12989.342471327591</v>
          </cell>
          <cell r="H112">
            <v>-1169040.8224194779</v>
          </cell>
          <cell r="I112">
            <v>4199.0015336549468</v>
          </cell>
          <cell r="J112">
            <v>377910.13802895026</v>
          </cell>
          <cell r="K112">
            <v>2498.9779179132011</v>
          </cell>
          <cell r="L112">
            <v>224908.01261219312</v>
          </cell>
          <cell r="M112">
            <v>-5358.9249680701778</v>
          </cell>
          <cell r="N112">
            <v>-482303.24712631095</v>
          </cell>
          <cell r="O112">
            <v>-6045.1118411247189</v>
          </cell>
          <cell r="P112">
            <v>-544060.06570121972</v>
          </cell>
          <cell r="Q112">
            <v>-10132.469697965964</v>
          </cell>
          <cell r="R112">
            <v>-911922.27281693113</v>
          </cell>
          <cell r="S112">
            <v>7656.4416971297833</v>
          </cell>
          <cell r="T112">
            <v>689079.75274168607</v>
          </cell>
          <cell r="U112">
            <v>7677.7213660204679</v>
          </cell>
          <cell r="V112">
            <v>690994.92294184782</v>
          </cell>
          <cell r="W112">
            <v>-6696.5991047033485</v>
          </cell>
          <cell r="X112">
            <v>-602693.91942329565</v>
          </cell>
          <cell r="Y112">
            <v>-580.37958004394295</v>
          </cell>
          <cell r="Z112">
            <v>-52234.162203949381</v>
          </cell>
          <cell r="AA112">
            <v>6386.0909606338701</v>
          </cell>
          <cell r="AB112">
            <v>574748.18645705399</v>
          </cell>
          <cell r="AC112">
            <v>-1566.9544072038843</v>
          </cell>
          <cell r="AE112" t="str">
            <v>Profit before tax</v>
          </cell>
        </row>
        <row r="114">
          <cell r="C114" t="str">
            <v>Taxation</v>
          </cell>
          <cell r="AE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F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F116" t="str">
            <v>Deferred</v>
          </cell>
        </row>
        <row r="117">
          <cell r="E117">
            <v>0</v>
          </cell>
          <cell r="G117">
            <v>0</v>
          </cell>
          <cell r="I117">
            <v>0</v>
          </cell>
          <cell r="K117">
            <v>0</v>
          </cell>
          <cell r="M117">
            <v>0</v>
          </cell>
          <cell r="O117">
            <v>0</v>
          </cell>
          <cell r="Q117">
            <v>0</v>
          </cell>
          <cell r="S117">
            <v>0</v>
          </cell>
          <cell r="U117">
            <v>0</v>
          </cell>
          <cell r="W117">
            <v>0</v>
          </cell>
          <cell r="Y117">
            <v>0</v>
          </cell>
          <cell r="AA117">
            <v>0</v>
          </cell>
          <cell r="AB117">
            <v>0</v>
          </cell>
          <cell r="AC117">
            <v>0</v>
          </cell>
        </row>
        <row r="118">
          <cell r="C118" t="str">
            <v>Net Profit after taxation</v>
          </cell>
          <cell r="E118">
            <v>-5418.8586985630409</v>
          </cell>
          <cell r="F118">
            <v>-487697.28287066845</v>
          </cell>
          <cell r="G118">
            <v>-12989.342471327591</v>
          </cell>
          <cell r="H118">
            <v>-1169040.8224194779</v>
          </cell>
          <cell r="I118">
            <v>4199.0015336549468</v>
          </cell>
          <cell r="J118">
            <v>377910.13802895026</v>
          </cell>
          <cell r="K118">
            <v>2498.9779179132011</v>
          </cell>
          <cell r="L118">
            <v>224908.01261219312</v>
          </cell>
          <cell r="M118">
            <v>-5358.9249680701778</v>
          </cell>
          <cell r="N118">
            <v>-482303.24712631095</v>
          </cell>
          <cell r="O118">
            <v>-6045.1118411247189</v>
          </cell>
          <cell r="P118">
            <v>-544060.06570121972</v>
          </cell>
          <cell r="Q118">
            <v>-10132.469697965964</v>
          </cell>
          <cell r="R118">
            <v>-911922.27281693113</v>
          </cell>
          <cell r="S118">
            <v>7656.4416971297833</v>
          </cell>
          <cell r="T118">
            <v>689079.75274168607</v>
          </cell>
          <cell r="U118">
            <v>7677.7213660204679</v>
          </cell>
          <cell r="V118">
            <v>690994.92294184782</v>
          </cell>
          <cell r="W118">
            <v>-6696.5991047033485</v>
          </cell>
          <cell r="X118">
            <v>-602693.91942329565</v>
          </cell>
          <cell r="Y118">
            <v>-580.37958004394295</v>
          </cell>
          <cell r="Z118">
            <v>-52234.162203949381</v>
          </cell>
          <cell r="AA118">
            <v>6386.0909606338701</v>
          </cell>
          <cell r="AB118">
            <v>574748.18645705399</v>
          </cell>
          <cell r="AC118">
            <v>-1566.9544072038843</v>
          </cell>
          <cell r="AE118" t="str">
            <v>Net Profit after taxation</v>
          </cell>
        </row>
        <row r="120">
          <cell r="AC120" t="str">
            <v>CL CNG</v>
          </cell>
        </row>
        <row r="121">
          <cell r="E121">
            <v>548</v>
          </cell>
          <cell r="G121">
            <v>579</v>
          </cell>
          <cell r="I121">
            <v>610</v>
          </cell>
          <cell r="K121">
            <v>641</v>
          </cell>
          <cell r="M121">
            <v>672</v>
          </cell>
          <cell r="O121">
            <v>703</v>
          </cell>
          <cell r="Q121">
            <v>734</v>
          </cell>
          <cell r="S121">
            <v>765</v>
          </cell>
          <cell r="U121">
            <v>796</v>
          </cell>
          <cell r="W121">
            <v>827</v>
          </cell>
          <cell r="Y121">
            <v>858</v>
          </cell>
          <cell r="AA121">
            <v>889</v>
          </cell>
          <cell r="AC121" t="str">
            <v>Yearly</v>
          </cell>
        </row>
        <row r="122">
          <cell r="D122" t="str">
            <v>CL CNG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F122" t="str">
            <v>CG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15</v>
          </cell>
          <cell r="S124">
            <v>1</v>
          </cell>
          <cell r="T124">
            <v>15</v>
          </cell>
          <cell r="U124">
            <v>1</v>
          </cell>
          <cell r="V124">
            <v>15</v>
          </cell>
          <cell r="W124">
            <v>1</v>
          </cell>
          <cell r="X124">
            <v>15</v>
          </cell>
          <cell r="Y124">
            <v>1</v>
          </cell>
          <cell r="Z124">
            <v>15</v>
          </cell>
          <cell r="AA124">
            <v>1</v>
          </cell>
          <cell r="AB124">
            <v>15</v>
          </cell>
          <cell r="AC124">
            <v>90</v>
          </cell>
          <cell r="AD124">
            <v>0</v>
          </cell>
          <cell r="AE124">
            <v>90</v>
          </cell>
          <cell r="AF124" t="str">
            <v>Sales Units</v>
          </cell>
        </row>
        <row r="126">
          <cell r="C126" t="str">
            <v>Selling Price</v>
          </cell>
          <cell r="E126">
            <v>379000</v>
          </cell>
          <cell r="F126">
            <v>0</v>
          </cell>
          <cell r="G126">
            <v>379000</v>
          </cell>
          <cell r="H126">
            <v>0</v>
          </cell>
          <cell r="I126">
            <v>379000</v>
          </cell>
          <cell r="J126">
            <v>0</v>
          </cell>
          <cell r="K126">
            <v>379000</v>
          </cell>
          <cell r="L126">
            <v>0</v>
          </cell>
          <cell r="M126">
            <v>379000</v>
          </cell>
          <cell r="N126">
            <v>0</v>
          </cell>
          <cell r="O126">
            <v>379000</v>
          </cell>
          <cell r="P126">
            <v>0</v>
          </cell>
          <cell r="Q126">
            <v>379000</v>
          </cell>
          <cell r="R126">
            <v>5685000</v>
          </cell>
          <cell r="S126">
            <v>379000</v>
          </cell>
          <cell r="T126">
            <v>5685000</v>
          </cell>
          <cell r="U126">
            <v>379000</v>
          </cell>
          <cell r="V126">
            <v>5685000</v>
          </cell>
          <cell r="W126">
            <v>379000</v>
          </cell>
          <cell r="X126">
            <v>5685000</v>
          </cell>
          <cell r="Y126">
            <v>379000</v>
          </cell>
          <cell r="Z126">
            <v>5685000</v>
          </cell>
          <cell r="AA126">
            <v>379000</v>
          </cell>
          <cell r="AB126">
            <v>5685000</v>
          </cell>
          <cell r="AC126">
            <v>379000</v>
          </cell>
          <cell r="AD126" t="e">
            <v>#DIV/0!</v>
          </cell>
          <cell r="AE126">
            <v>379000</v>
          </cell>
          <cell r="AF126" t="str">
            <v>Selling Price</v>
          </cell>
        </row>
        <row r="127">
          <cell r="C127" t="str">
            <v>Less: Dealer commission</v>
          </cell>
          <cell r="E127">
            <v>-6000</v>
          </cell>
          <cell r="F127">
            <v>0</v>
          </cell>
          <cell r="G127">
            <v>-6000</v>
          </cell>
          <cell r="H127">
            <v>0</v>
          </cell>
          <cell r="I127">
            <v>-6000</v>
          </cell>
          <cell r="J127">
            <v>0</v>
          </cell>
          <cell r="K127">
            <v>-6000</v>
          </cell>
          <cell r="L127">
            <v>0</v>
          </cell>
          <cell r="M127">
            <v>-6000</v>
          </cell>
          <cell r="N127">
            <v>0</v>
          </cell>
          <cell r="O127">
            <v>-6000</v>
          </cell>
          <cell r="P127">
            <v>0</v>
          </cell>
          <cell r="Q127">
            <v>-6000</v>
          </cell>
          <cell r="R127">
            <v>-90000</v>
          </cell>
          <cell r="S127">
            <v>-6000</v>
          </cell>
          <cell r="T127">
            <v>-90000</v>
          </cell>
          <cell r="U127">
            <v>-6000</v>
          </cell>
          <cell r="V127">
            <v>-90000</v>
          </cell>
          <cell r="W127">
            <v>-6000</v>
          </cell>
          <cell r="X127">
            <v>-90000</v>
          </cell>
          <cell r="Y127">
            <v>-6000</v>
          </cell>
          <cell r="Z127">
            <v>-90000</v>
          </cell>
          <cell r="AA127">
            <v>-6000</v>
          </cell>
          <cell r="AB127">
            <v>-90000</v>
          </cell>
          <cell r="AC127">
            <v>-6000</v>
          </cell>
          <cell r="AD127" t="e">
            <v>#DIV/0!</v>
          </cell>
          <cell r="AE127">
            <v>-6000</v>
          </cell>
          <cell r="AF127" t="str">
            <v>Less: Dealer commission</v>
          </cell>
        </row>
        <row r="128">
          <cell r="D128" t="str">
            <v xml:space="preserve">  Sales tax</v>
          </cell>
          <cell r="E128">
            <v>-49434.782608695656</v>
          </cell>
          <cell r="F128">
            <v>0</v>
          </cell>
          <cell r="G128">
            <v>-49434.782608695656</v>
          </cell>
          <cell r="H128">
            <v>0</v>
          </cell>
          <cell r="I128">
            <v>-49434.782608695656</v>
          </cell>
          <cell r="J128">
            <v>0</v>
          </cell>
          <cell r="K128">
            <v>-49434.782608695656</v>
          </cell>
          <cell r="L128">
            <v>0</v>
          </cell>
          <cell r="M128">
            <v>-49434.782608695656</v>
          </cell>
          <cell r="N128">
            <v>0</v>
          </cell>
          <cell r="O128">
            <v>-49434.782608695656</v>
          </cell>
          <cell r="P128">
            <v>0</v>
          </cell>
          <cell r="Q128">
            <v>-49434.782608695656</v>
          </cell>
          <cell r="R128">
            <v>-741521.73913043481</v>
          </cell>
          <cell r="S128">
            <v>-49434.782608695656</v>
          </cell>
          <cell r="T128">
            <v>-741521.73913043481</v>
          </cell>
          <cell r="U128">
            <v>-49434.782608695656</v>
          </cell>
          <cell r="V128">
            <v>-741521.73913043481</v>
          </cell>
          <cell r="W128">
            <v>-49434.782608695656</v>
          </cell>
          <cell r="X128">
            <v>-741521.73913043481</v>
          </cell>
          <cell r="Y128">
            <v>-49434.782608695656</v>
          </cell>
          <cell r="Z128">
            <v>-741521.73913043481</v>
          </cell>
          <cell r="AA128">
            <v>-49434.782608695656</v>
          </cell>
          <cell r="AB128">
            <v>-741521.73913043481</v>
          </cell>
          <cell r="AC128">
            <v>-49434.782608695648</v>
          </cell>
          <cell r="AD128" t="e">
            <v>#DIV/0!</v>
          </cell>
          <cell r="AE128">
            <v>-49434.782608695648</v>
          </cell>
          <cell r="AG128" t="str">
            <v xml:space="preserve">  Sales tax</v>
          </cell>
        </row>
        <row r="129">
          <cell r="C129" t="str">
            <v>Net Sales</v>
          </cell>
          <cell r="E129">
            <v>323565.21739130432</v>
          </cell>
          <cell r="F129">
            <v>0</v>
          </cell>
          <cell r="G129">
            <v>323565.21739130432</v>
          </cell>
          <cell r="H129">
            <v>0</v>
          </cell>
          <cell r="I129">
            <v>323565.21739130432</v>
          </cell>
          <cell r="J129">
            <v>0</v>
          </cell>
          <cell r="K129">
            <v>323565.21739130432</v>
          </cell>
          <cell r="L129">
            <v>0</v>
          </cell>
          <cell r="M129">
            <v>323565.21739130432</v>
          </cell>
          <cell r="N129">
            <v>0</v>
          </cell>
          <cell r="O129">
            <v>323565.21739130432</v>
          </cell>
          <cell r="P129">
            <v>0</v>
          </cell>
          <cell r="Q129">
            <v>323565.21739130432</v>
          </cell>
          <cell r="R129">
            <v>4853478.2608695654</v>
          </cell>
          <cell r="S129">
            <v>323565.21739130432</v>
          </cell>
          <cell r="T129">
            <v>4853478.2608695654</v>
          </cell>
          <cell r="U129">
            <v>323565.21739130432</v>
          </cell>
          <cell r="V129">
            <v>4853478.2608695654</v>
          </cell>
          <cell r="W129">
            <v>323565.21739130432</v>
          </cell>
          <cell r="X129">
            <v>4853478.2608695654</v>
          </cell>
          <cell r="Y129">
            <v>323565.21739130432</v>
          </cell>
          <cell r="Z129">
            <v>4853478.2608695654</v>
          </cell>
          <cell r="AA129">
            <v>323565.21739130432</v>
          </cell>
          <cell r="AB129">
            <v>4853478.2608695654</v>
          </cell>
          <cell r="AC129">
            <v>323565.21739130432</v>
          </cell>
          <cell r="AD129" t="e">
            <v>#DIV/0!</v>
          </cell>
          <cell r="AE129">
            <v>323565.21739130438</v>
          </cell>
          <cell r="AF129" t="str">
            <v>Net Sales</v>
          </cell>
        </row>
        <row r="131">
          <cell r="C131" t="str">
            <v>Variable Cost of Sales</v>
          </cell>
          <cell r="AF131" t="str">
            <v>Variable Cost of Sales</v>
          </cell>
        </row>
        <row r="132">
          <cell r="D132" t="str">
            <v>CKD Cost</v>
          </cell>
          <cell r="E132">
            <v>185405.57509915665</v>
          </cell>
          <cell r="F132">
            <v>0</v>
          </cell>
          <cell r="G132">
            <v>185405.57509915665</v>
          </cell>
          <cell r="H132">
            <v>0</v>
          </cell>
          <cell r="I132">
            <v>185405.57509915665</v>
          </cell>
          <cell r="J132">
            <v>0</v>
          </cell>
          <cell r="K132">
            <v>185405.57509915665</v>
          </cell>
          <cell r="L132">
            <v>0</v>
          </cell>
          <cell r="M132">
            <v>185405.57509915665</v>
          </cell>
          <cell r="N132">
            <v>0</v>
          </cell>
          <cell r="O132">
            <v>185405.57509915665</v>
          </cell>
          <cell r="P132">
            <v>0</v>
          </cell>
          <cell r="Q132">
            <v>185405.57509915665</v>
          </cell>
          <cell r="R132">
            <v>2781083.6264873496</v>
          </cell>
          <cell r="S132">
            <v>185405.57509915665</v>
          </cell>
          <cell r="T132">
            <v>2781083.6264873496</v>
          </cell>
          <cell r="U132">
            <v>185405.57509915665</v>
          </cell>
          <cell r="V132">
            <v>2781083.6264873496</v>
          </cell>
          <cell r="W132">
            <v>185405.57509915665</v>
          </cell>
          <cell r="X132">
            <v>2781083.6264873496</v>
          </cell>
          <cell r="Y132">
            <v>185405.57509915665</v>
          </cell>
          <cell r="Z132">
            <v>2781083.6264873496</v>
          </cell>
          <cell r="AA132">
            <v>185405.57509915665</v>
          </cell>
          <cell r="AB132">
            <v>2781083.6264873496</v>
          </cell>
          <cell r="AC132">
            <v>185405.57509915665</v>
          </cell>
          <cell r="AD132" t="e">
            <v>#DIV/0!</v>
          </cell>
          <cell r="AE132">
            <v>185405.57509915665</v>
          </cell>
          <cell r="AG132" t="str">
            <v>CKD Cost</v>
          </cell>
        </row>
        <row r="133">
          <cell r="D133" t="str">
            <v>Vendor parts</v>
          </cell>
          <cell r="E133">
            <v>92231</v>
          </cell>
          <cell r="F133">
            <v>0</v>
          </cell>
          <cell r="G133">
            <v>92231</v>
          </cell>
          <cell r="H133">
            <v>0</v>
          </cell>
          <cell r="I133">
            <v>92231</v>
          </cell>
          <cell r="J133">
            <v>0</v>
          </cell>
          <cell r="K133">
            <v>92231</v>
          </cell>
          <cell r="L133">
            <v>0</v>
          </cell>
          <cell r="M133">
            <v>92231</v>
          </cell>
          <cell r="N133">
            <v>0</v>
          </cell>
          <cell r="O133">
            <v>92231</v>
          </cell>
          <cell r="P133">
            <v>0</v>
          </cell>
          <cell r="Q133">
            <v>92231</v>
          </cell>
          <cell r="R133">
            <v>1383465</v>
          </cell>
          <cell r="S133">
            <v>92231</v>
          </cell>
          <cell r="T133">
            <v>1383465</v>
          </cell>
          <cell r="U133">
            <v>92231</v>
          </cell>
          <cell r="V133">
            <v>1383465</v>
          </cell>
          <cell r="W133">
            <v>92231</v>
          </cell>
          <cell r="X133">
            <v>1383465</v>
          </cell>
          <cell r="Y133">
            <v>92231</v>
          </cell>
          <cell r="Z133">
            <v>1383465</v>
          </cell>
          <cell r="AA133">
            <v>92231</v>
          </cell>
          <cell r="AB133">
            <v>1383465</v>
          </cell>
          <cell r="AC133">
            <v>92231</v>
          </cell>
          <cell r="AD133" t="e">
            <v>#DIV/0!</v>
          </cell>
          <cell r="AE133">
            <v>92231</v>
          </cell>
          <cell r="AG133" t="str">
            <v>Vendor parts</v>
          </cell>
        </row>
        <row r="134">
          <cell r="D134" t="str">
            <v>DMC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e">
            <v>#DIV/0!</v>
          </cell>
          <cell r="AE134">
            <v>0</v>
          </cell>
          <cell r="AG134" t="str">
            <v>Nomi Parts</v>
          </cell>
        </row>
        <row r="135">
          <cell r="D135" t="str">
            <v>Paints &amp; Chemicals</v>
          </cell>
          <cell r="E135">
            <v>3341</v>
          </cell>
          <cell r="F135">
            <v>0</v>
          </cell>
          <cell r="G135">
            <v>3341</v>
          </cell>
          <cell r="H135">
            <v>0</v>
          </cell>
          <cell r="I135">
            <v>3341</v>
          </cell>
          <cell r="J135">
            <v>0</v>
          </cell>
          <cell r="K135">
            <v>3341</v>
          </cell>
          <cell r="L135">
            <v>0</v>
          </cell>
          <cell r="M135">
            <v>3341</v>
          </cell>
          <cell r="N135">
            <v>0</v>
          </cell>
          <cell r="O135">
            <v>3341</v>
          </cell>
          <cell r="P135">
            <v>0</v>
          </cell>
          <cell r="Q135">
            <v>3341</v>
          </cell>
          <cell r="R135">
            <v>50115</v>
          </cell>
          <cell r="S135">
            <v>3341</v>
          </cell>
          <cell r="T135">
            <v>50115</v>
          </cell>
          <cell r="U135">
            <v>3341</v>
          </cell>
          <cell r="V135">
            <v>50115</v>
          </cell>
          <cell r="W135">
            <v>3341</v>
          </cell>
          <cell r="X135">
            <v>50115</v>
          </cell>
          <cell r="Y135">
            <v>3341</v>
          </cell>
          <cell r="Z135">
            <v>50115</v>
          </cell>
          <cell r="AA135">
            <v>3341</v>
          </cell>
          <cell r="AB135">
            <v>50115</v>
          </cell>
          <cell r="AC135">
            <v>3341</v>
          </cell>
          <cell r="AD135" t="e">
            <v>#DIV/0!</v>
          </cell>
          <cell r="AE135">
            <v>3341</v>
          </cell>
          <cell r="AG135" t="str">
            <v>Paints &amp; Chemicals</v>
          </cell>
        </row>
        <row r="136">
          <cell r="D136" t="str">
            <v>Consumables</v>
          </cell>
          <cell r="E136">
            <v>3304</v>
          </cell>
          <cell r="F136">
            <v>0</v>
          </cell>
          <cell r="G136">
            <v>3304</v>
          </cell>
          <cell r="H136">
            <v>0</v>
          </cell>
          <cell r="I136">
            <v>3304</v>
          </cell>
          <cell r="J136">
            <v>0</v>
          </cell>
          <cell r="K136">
            <v>3304</v>
          </cell>
          <cell r="L136">
            <v>0</v>
          </cell>
          <cell r="M136">
            <v>3304</v>
          </cell>
          <cell r="N136">
            <v>0</v>
          </cell>
          <cell r="O136">
            <v>3304</v>
          </cell>
          <cell r="P136">
            <v>0</v>
          </cell>
          <cell r="Q136">
            <v>3304</v>
          </cell>
          <cell r="R136">
            <v>49560</v>
          </cell>
          <cell r="S136">
            <v>3304</v>
          </cell>
          <cell r="T136">
            <v>49560</v>
          </cell>
          <cell r="U136">
            <v>3304</v>
          </cell>
          <cell r="V136">
            <v>49560</v>
          </cell>
          <cell r="W136">
            <v>3304</v>
          </cell>
          <cell r="X136">
            <v>49560</v>
          </cell>
          <cell r="Y136">
            <v>3304</v>
          </cell>
          <cell r="Z136">
            <v>49560</v>
          </cell>
          <cell r="AA136">
            <v>3304</v>
          </cell>
          <cell r="AB136">
            <v>49560</v>
          </cell>
          <cell r="AC136">
            <v>3304</v>
          </cell>
          <cell r="AD136" t="e">
            <v>#DIV/0!</v>
          </cell>
          <cell r="AE136">
            <v>3304</v>
          </cell>
          <cell r="AG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e">
            <v>#DIV/0!</v>
          </cell>
          <cell r="AE137">
            <v>0</v>
          </cell>
          <cell r="AG137" t="str">
            <v>KD Parts</v>
          </cell>
        </row>
        <row r="138">
          <cell r="D138" t="str">
            <v>Spare parts</v>
          </cell>
          <cell r="E138">
            <v>44</v>
          </cell>
          <cell r="F138">
            <v>0</v>
          </cell>
          <cell r="G138">
            <v>44</v>
          </cell>
          <cell r="H138">
            <v>0</v>
          </cell>
          <cell r="I138">
            <v>44</v>
          </cell>
          <cell r="J138">
            <v>0</v>
          </cell>
          <cell r="K138">
            <v>44</v>
          </cell>
          <cell r="L138">
            <v>0</v>
          </cell>
          <cell r="M138">
            <v>44</v>
          </cell>
          <cell r="N138">
            <v>0</v>
          </cell>
          <cell r="O138">
            <v>44</v>
          </cell>
          <cell r="P138">
            <v>0</v>
          </cell>
          <cell r="Q138">
            <v>44</v>
          </cell>
          <cell r="R138">
            <v>660</v>
          </cell>
          <cell r="S138">
            <v>44</v>
          </cell>
          <cell r="T138">
            <v>660</v>
          </cell>
          <cell r="U138">
            <v>44</v>
          </cell>
          <cell r="V138">
            <v>660</v>
          </cell>
          <cell r="W138">
            <v>44</v>
          </cell>
          <cell r="X138">
            <v>660</v>
          </cell>
          <cell r="Y138">
            <v>44</v>
          </cell>
          <cell r="Z138">
            <v>660</v>
          </cell>
          <cell r="AA138">
            <v>44</v>
          </cell>
          <cell r="AB138">
            <v>660</v>
          </cell>
          <cell r="AC138">
            <v>44</v>
          </cell>
          <cell r="AD138" t="e">
            <v>#DIV/0!</v>
          </cell>
          <cell r="AE138">
            <v>44</v>
          </cell>
          <cell r="AG138" t="str">
            <v>Spare parts</v>
          </cell>
        </row>
        <row r="139">
          <cell r="D139" t="str">
            <v>Utilities</v>
          </cell>
          <cell r="E139">
            <v>3875</v>
          </cell>
          <cell r="F139">
            <v>0</v>
          </cell>
          <cell r="G139">
            <v>3875</v>
          </cell>
          <cell r="H139">
            <v>0</v>
          </cell>
          <cell r="I139">
            <v>3875</v>
          </cell>
          <cell r="J139">
            <v>0</v>
          </cell>
          <cell r="K139">
            <v>3875</v>
          </cell>
          <cell r="L139">
            <v>0</v>
          </cell>
          <cell r="M139">
            <v>3875</v>
          </cell>
          <cell r="N139">
            <v>0</v>
          </cell>
          <cell r="O139">
            <v>3875</v>
          </cell>
          <cell r="P139">
            <v>0</v>
          </cell>
          <cell r="Q139">
            <v>3875</v>
          </cell>
          <cell r="R139">
            <v>58125</v>
          </cell>
          <cell r="S139">
            <v>3875</v>
          </cell>
          <cell r="T139">
            <v>58125</v>
          </cell>
          <cell r="U139">
            <v>3875</v>
          </cell>
          <cell r="V139">
            <v>58125</v>
          </cell>
          <cell r="W139">
            <v>3875</v>
          </cell>
          <cell r="X139">
            <v>58125</v>
          </cell>
          <cell r="Y139">
            <v>3875</v>
          </cell>
          <cell r="Z139">
            <v>58125</v>
          </cell>
          <cell r="AA139">
            <v>3875</v>
          </cell>
          <cell r="AB139">
            <v>58125</v>
          </cell>
          <cell r="AC139">
            <v>3875</v>
          </cell>
          <cell r="AD139" t="e">
            <v>#DIV/0!</v>
          </cell>
          <cell r="AE139">
            <v>3875</v>
          </cell>
          <cell r="AG139" t="str">
            <v>Utilities</v>
          </cell>
        </row>
        <row r="140">
          <cell r="D140" t="str">
            <v>Royalty</v>
          </cell>
          <cell r="E140">
            <v>1894</v>
          </cell>
          <cell r="F140">
            <v>0</v>
          </cell>
          <cell r="G140">
            <v>1894</v>
          </cell>
          <cell r="H140">
            <v>0</v>
          </cell>
          <cell r="I140">
            <v>1894</v>
          </cell>
          <cell r="J140">
            <v>0</v>
          </cell>
          <cell r="K140">
            <v>1894</v>
          </cell>
          <cell r="L140">
            <v>0</v>
          </cell>
          <cell r="M140">
            <v>1894</v>
          </cell>
          <cell r="N140">
            <v>0</v>
          </cell>
          <cell r="O140">
            <v>1894</v>
          </cell>
          <cell r="P140">
            <v>0</v>
          </cell>
          <cell r="Q140">
            <v>1894</v>
          </cell>
          <cell r="R140">
            <v>28410</v>
          </cell>
          <cell r="S140">
            <v>1894</v>
          </cell>
          <cell r="T140">
            <v>28410</v>
          </cell>
          <cell r="U140">
            <v>1894</v>
          </cell>
          <cell r="V140">
            <v>28410</v>
          </cell>
          <cell r="W140">
            <v>1894</v>
          </cell>
          <cell r="X140">
            <v>28410</v>
          </cell>
          <cell r="Y140">
            <v>1894</v>
          </cell>
          <cell r="Z140">
            <v>28410</v>
          </cell>
          <cell r="AA140">
            <v>1894</v>
          </cell>
          <cell r="AB140">
            <v>28410</v>
          </cell>
          <cell r="AC140">
            <v>1894</v>
          </cell>
          <cell r="AD140" t="e">
            <v>#DIV/0!</v>
          </cell>
          <cell r="AE140">
            <v>1894</v>
          </cell>
          <cell r="AG140" t="str">
            <v>Royalty</v>
          </cell>
        </row>
        <row r="141">
          <cell r="AD141" t="e">
            <v>#DIV/0!</v>
          </cell>
          <cell r="AE141">
            <v>0</v>
          </cell>
        </row>
        <row r="142">
          <cell r="E142">
            <v>290094.57509915665</v>
          </cell>
          <cell r="F142">
            <v>0</v>
          </cell>
          <cell r="G142">
            <v>290094.57509915665</v>
          </cell>
          <cell r="H142">
            <v>0</v>
          </cell>
          <cell r="I142">
            <v>290094.57509915665</v>
          </cell>
          <cell r="J142">
            <v>0</v>
          </cell>
          <cell r="K142">
            <v>290094.57509915665</v>
          </cell>
          <cell r="L142">
            <v>0</v>
          </cell>
          <cell r="M142">
            <v>290094.57509915665</v>
          </cell>
          <cell r="N142">
            <v>0</v>
          </cell>
          <cell r="O142">
            <v>290094.57509915665</v>
          </cell>
          <cell r="P142">
            <v>0</v>
          </cell>
          <cell r="Q142">
            <v>290094.57509915665</v>
          </cell>
          <cell r="R142">
            <v>4351418.6264873501</v>
          </cell>
          <cell r="S142">
            <v>290094.57509915665</v>
          </cell>
          <cell r="T142">
            <v>4351418.6264873501</v>
          </cell>
          <cell r="U142">
            <v>290094.57509915665</v>
          </cell>
          <cell r="V142">
            <v>4351418.6264873501</v>
          </cell>
          <cell r="W142">
            <v>290094.57509915665</v>
          </cell>
          <cell r="X142">
            <v>4351418.6264873501</v>
          </cell>
          <cell r="Y142">
            <v>290094.57509915665</v>
          </cell>
          <cell r="Z142">
            <v>4351418.6264873501</v>
          </cell>
          <cell r="AA142">
            <v>290094.57509915665</v>
          </cell>
          <cell r="AB142">
            <v>4351418.6264873501</v>
          </cell>
          <cell r="AC142">
            <v>290094.57509915665</v>
          </cell>
          <cell r="AD142" t="e">
            <v>#DIV/0!</v>
          </cell>
          <cell r="AE142">
            <v>290094.5750991567</v>
          </cell>
        </row>
        <row r="143">
          <cell r="C143" t="str">
            <v>Contribution Margin</v>
          </cell>
          <cell r="E143">
            <v>33470.642292147677</v>
          </cell>
          <cell r="F143">
            <v>0</v>
          </cell>
          <cell r="G143">
            <v>33470.642292147677</v>
          </cell>
          <cell r="H143">
            <v>0</v>
          </cell>
          <cell r="I143">
            <v>33470.642292147677</v>
          </cell>
          <cell r="J143">
            <v>0</v>
          </cell>
          <cell r="K143">
            <v>33470.642292147677</v>
          </cell>
          <cell r="L143">
            <v>0</v>
          </cell>
          <cell r="M143">
            <v>33470.642292147677</v>
          </cell>
          <cell r="N143">
            <v>0</v>
          </cell>
          <cell r="O143">
            <v>33470.642292147677</v>
          </cell>
          <cell r="P143">
            <v>0</v>
          </cell>
          <cell r="Q143">
            <v>33470.642292147677</v>
          </cell>
          <cell r="R143">
            <v>502059.63438221533</v>
          </cell>
          <cell r="S143">
            <v>33470.642292147677</v>
          </cell>
          <cell r="T143">
            <v>502059.63438221533</v>
          </cell>
          <cell r="U143">
            <v>33470.642292147677</v>
          </cell>
          <cell r="V143">
            <v>502059.63438221533</v>
          </cell>
          <cell r="W143">
            <v>33470.642292147677</v>
          </cell>
          <cell r="X143">
            <v>502059.63438221533</v>
          </cell>
          <cell r="Y143">
            <v>33470.642292147677</v>
          </cell>
          <cell r="Z143">
            <v>502059.63438221533</v>
          </cell>
          <cell r="AA143">
            <v>33470.642292147677</v>
          </cell>
          <cell r="AB143">
            <v>502059.63438221533</v>
          </cell>
          <cell r="AC143">
            <v>33470.642292147677</v>
          </cell>
          <cell r="AD143" t="e">
            <v>#DIV/0!</v>
          </cell>
          <cell r="AE143">
            <v>33470.642292147691</v>
          </cell>
          <cell r="AF143" t="str">
            <v>Contribution Margin</v>
          </cell>
        </row>
        <row r="145">
          <cell r="C145" t="str">
            <v>Production cost</v>
          </cell>
          <cell r="AF145" t="str">
            <v>Production cost</v>
          </cell>
        </row>
        <row r="146">
          <cell r="D146" t="str">
            <v xml:space="preserve">Salaries &amp; Wages </v>
          </cell>
          <cell r="E146">
            <v>4619.3194081365082</v>
          </cell>
          <cell r="F146">
            <v>0</v>
          </cell>
          <cell r="G146">
            <v>4619.3194081365082</v>
          </cell>
          <cell r="H146">
            <v>0</v>
          </cell>
          <cell r="I146">
            <v>4619.3194081365082</v>
          </cell>
          <cell r="J146">
            <v>0</v>
          </cell>
          <cell r="K146">
            <v>4619.3194081365082</v>
          </cell>
          <cell r="L146">
            <v>0</v>
          </cell>
          <cell r="M146">
            <v>4619.3194081365082</v>
          </cell>
          <cell r="N146">
            <v>0</v>
          </cell>
          <cell r="O146">
            <v>4619.3194081365082</v>
          </cell>
          <cell r="P146">
            <v>0</v>
          </cell>
          <cell r="Q146">
            <v>3959.4166355455786</v>
          </cell>
          <cell r="R146">
            <v>59391.249533183676</v>
          </cell>
          <cell r="S146">
            <v>3959.4166355455786</v>
          </cell>
          <cell r="T146">
            <v>59391.249533183676</v>
          </cell>
          <cell r="U146">
            <v>3959.4166355455786</v>
          </cell>
          <cell r="V146">
            <v>59391.249533183676</v>
          </cell>
          <cell r="W146">
            <v>3959.4166355455786</v>
          </cell>
          <cell r="X146">
            <v>59391.249533183676</v>
          </cell>
          <cell r="Y146">
            <v>3959.4166355455786</v>
          </cell>
          <cell r="Z146">
            <v>59391.249533183676</v>
          </cell>
          <cell r="AA146">
            <v>3959.4166355455786</v>
          </cell>
          <cell r="AB146">
            <v>59391.249533183676</v>
          </cell>
          <cell r="AC146">
            <v>3959.4166355455786</v>
          </cell>
          <cell r="AD146" t="e">
            <v>#DIV/0!</v>
          </cell>
          <cell r="AE146">
            <v>3959.4166355455786</v>
          </cell>
          <cell r="AG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t="e">
            <v>#DIV/0!</v>
          </cell>
          <cell r="AE147">
            <v>0</v>
          </cell>
          <cell r="AG147" t="str">
            <v xml:space="preserve">Utilities </v>
          </cell>
        </row>
        <row r="148">
          <cell r="D148" t="str">
            <v>Depreciation</v>
          </cell>
          <cell r="E148">
            <v>19315.555555555558</v>
          </cell>
          <cell r="F148">
            <v>0</v>
          </cell>
          <cell r="G148">
            <v>19315.555555555558</v>
          </cell>
          <cell r="H148">
            <v>0</v>
          </cell>
          <cell r="I148">
            <v>19315.555555555558</v>
          </cell>
          <cell r="J148">
            <v>0</v>
          </cell>
          <cell r="K148">
            <v>19315.555555555558</v>
          </cell>
          <cell r="L148">
            <v>0</v>
          </cell>
          <cell r="M148">
            <v>19315.555555555558</v>
          </cell>
          <cell r="N148">
            <v>0</v>
          </cell>
          <cell r="O148">
            <v>19315.555555555558</v>
          </cell>
          <cell r="P148">
            <v>0</v>
          </cell>
          <cell r="Q148">
            <v>16556.190476190477</v>
          </cell>
          <cell r="R148">
            <v>248342.85714285716</v>
          </cell>
          <cell r="S148">
            <v>16556.190476190477</v>
          </cell>
          <cell r="T148">
            <v>248342.85714285716</v>
          </cell>
          <cell r="U148">
            <v>16556.190476190477</v>
          </cell>
          <cell r="V148">
            <v>248342.85714285716</v>
          </cell>
          <cell r="W148">
            <v>16556.190476190477</v>
          </cell>
          <cell r="X148">
            <v>248342.85714285716</v>
          </cell>
          <cell r="Y148">
            <v>16556.190476190477</v>
          </cell>
          <cell r="Z148">
            <v>248342.85714285716</v>
          </cell>
          <cell r="AA148">
            <v>16556.190476190477</v>
          </cell>
          <cell r="AB148">
            <v>248342.85714285716</v>
          </cell>
          <cell r="AC148">
            <v>16556.190476190481</v>
          </cell>
          <cell r="AD148" t="e">
            <v>#DIV/0!</v>
          </cell>
          <cell r="AE148">
            <v>16556.190476190481</v>
          </cell>
          <cell r="AG148" t="str">
            <v>Depreciation</v>
          </cell>
        </row>
        <row r="149">
          <cell r="D149" t="str">
            <v xml:space="preserve">Other Factory overhead </v>
          </cell>
          <cell r="E149">
            <v>2884.1866359118612</v>
          </cell>
          <cell r="F149">
            <v>0</v>
          </cell>
          <cell r="G149">
            <v>2884.1866359118612</v>
          </cell>
          <cell r="H149">
            <v>0</v>
          </cell>
          <cell r="I149">
            <v>2884.1866359118612</v>
          </cell>
          <cell r="J149">
            <v>0</v>
          </cell>
          <cell r="K149">
            <v>2884.1866359118612</v>
          </cell>
          <cell r="L149">
            <v>0</v>
          </cell>
          <cell r="M149">
            <v>2884.1866359118612</v>
          </cell>
          <cell r="N149">
            <v>0</v>
          </cell>
          <cell r="O149">
            <v>2884.1866359118612</v>
          </cell>
          <cell r="P149">
            <v>0</v>
          </cell>
          <cell r="Q149">
            <v>2472.1599736387384</v>
          </cell>
          <cell r="R149">
            <v>37082.399604581078</v>
          </cell>
          <cell r="S149">
            <v>2472.1599736387384</v>
          </cell>
          <cell r="T149">
            <v>37082.399604581078</v>
          </cell>
          <cell r="U149">
            <v>2472.1599736387384</v>
          </cell>
          <cell r="V149">
            <v>37082.399604581078</v>
          </cell>
          <cell r="W149">
            <v>2472.1599736387384</v>
          </cell>
          <cell r="X149">
            <v>37082.399604581078</v>
          </cell>
          <cell r="Y149">
            <v>2472.1599736387384</v>
          </cell>
          <cell r="Z149">
            <v>37082.399604581078</v>
          </cell>
          <cell r="AA149">
            <v>2472.1599736387384</v>
          </cell>
          <cell r="AB149">
            <v>37082.399604581078</v>
          </cell>
          <cell r="AC149">
            <v>2472.1599736387384</v>
          </cell>
          <cell r="AD149" t="e">
            <v>#DIV/0!</v>
          </cell>
          <cell r="AE149">
            <v>2472.1599736387384</v>
          </cell>
          <cell r="AG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t="e">
            <v>#DIV/0!</v>
          </cell>
          <cell r="AE150">
            <v>0</v>
          </cell>
          <cell r="AG150" t="str">
            <v>Running Royalty</v>
          </cell>
        </row>
        <row r="151">
          <cell r="E151">
            <v>26819.061599603927</v>
          </cell>
          <cell r="F151">
            <v>0</v>
          </cell>
          <cell r="G151">
            <v>26819.061599603927</v>
          </cell>
          <cell r="H151">
            <v>0</v>
          </cell>
          <cell r="I151">
            <v>26819.061599603927</v>
          </cell>
          <cell r="J151">
            <v>0</v>
          </cell>
          <cell r="K151">
            <v>26819.061599603927</v>
          </cell>
          <cell r="L151">
            <v>0</v>
          </cell>
          <cell r="M151">
            <v>26819.061599603927</v>
          </cell>
          <cell r="N151">
            <v>0</v>
          </cell>
          <cell r="O151">
            <v>26819.061599603927</v>
          </cell>
          <cell r="P151">
            <v>0</v>
          </cell>
          <cell r="Q151">
            <v>22987.767085374795</v>
          </cell>
          <cell r="R151">
            <v>344816.50628062192</v>
          </cell>
          <cell r="S151">
            <v>22987.767085374795</v>
          </cell>
          <cell r="T151">
            <v>344816.50628062192</v>
          </cell>
          <cell r="U151">
            <v>22987.767085374795</v>
          </cell>
          <cell r="V151">
            <v>344816.50628062192</v>
          </cell>
          <cell r="W151">
            <v>22987.767085374795</v>
          </cell>
          <cell r="X151">
            <v>344816.50628062192</v>
          </cell>
          <cell r="Y151">
            <v>22987.767085374795</v>
          </cell>
          <cell r="Z151">
            <v>344816.50628062192</v>
          </cell>
          <cell r="AA151">
            <v>22987.767085374795</v>
          </cell>
          <cell r="AB151">
            <v>344816.50628062192</v>
          </cell>
          <cell r="AC151">
            <v>22987.767085374799</v>
          </cell>
          <cell r="AD151" t="e">
            <v>#DIV/0!</v>
          </cell>
          <cell r="AE151">
            <v>22987.767085374795</v>
          </cell>
        </row>
        <row r="152">
          <cell r="C152" t="str">
            <v>Gross Profit</v>
          </cell>
          <cell r="E152">
            <v>6651.58069254375</v>
          </cell>
          <cell r="F152">
            <v>0</v>
          </cell>
          <cell r="G152">
            <v>6651.58069254375</v>
          </cell>
          <cell r="H152">
            <v>0</v>
          </cell>
          <cell r="I152">
            <v>6651.58069254375</v>
          </cell>
          <cell r="J152">
            <v>0</v>
          </cell>
          <cell r="K152">
            <v>6651.58069254375</v>
          </cell>
          <cell r="L152">
            <v>0</v>
          </cell>
          <cell r="M152">
            <v>6651.58069254375</v>
          </cell>
          <cell r="N152">
            <v>0</v>
          </cell>
          <cell r="O152">
            <v>6651.58069254375</v>
          </cell>
          <cell r="P152">
            <v>0</v>
          </cell>
          <cell r="Q152">
            <v>10482.875206772882</v>
          </cell>
          <cell r="R152">
            <v>157243.12810159341</v>
          </cell>
          <cell r="S152">
            <v>10482.875206772882</v>
          </cell>
          <cell r="T152">
            <v>157243.12810159341</v>
          </cell>
          <cell r="U152">
            <v>10482.875206772882</v>
          </cell>
          <cell r="V152">
            <v>157243.12810159341</v>
          </cell>
          <cell r="W152">
            <v>10482.875206772882</v>
          </cell>
          <cell r="X152">
            <v>157243.12810159341</v>
          </cell>
          <cell r="Y152">
            <v>10482.875206772882</v>
          </cell>
          <cell r="Z152">
            <v>157243.12810159341</v>
          </cell>
          <cell r="AA152">
            <v>10482.875206772882</v>
          </cell>
          <cell r="AB152">
            <v>157243.12810159341</v>
          </cell>
          <cell r="AC152">
            <v>10482.875206772878</v>
          </cell>
          <cell r="AD152" t="e">
            <v>#DIV/0!</v>
          </cell>
          <cell r="AE152">
            <v>10482.875206772893</v>
          </cell>
          <cell r="AF152" t="str">
            <v>Gross Profit</v>
          </cell>
        </row>
        <row r="153">
          <cell r="E153">
            <v>2.0557156131215568</v>
          </cell>
          <cell r="F153" t="e">
            <v>#DIV/0!</v>
          </cell>
          <cell r="G153">
            <v>2.0557156131215568</v>
          </cell>
          <cell r="H153" t="e">
            <v>#DIV/0!</v>
          </cell>
          <cell r="I153">
            <v>2.0557156131215568</v>
          </cell>
          <cell r="J153" t="e">
            <v>#DIV/0!</v>
          </cell>
          <cell r="K153">
            <v>2.0557156131215568</v>
          </cell>
          <cell r="L153" t="e">
            <v>#DIV/0!</v>
          </cell>
          <cell r="M153">
            <v>2.0557156131215568</v>
          </cell>
          <cell r="N153" t="e">
            <v>#DIV/0!</v>
          </cell>
          <cell r="O153">
            <v>2.0557156131215568</v>
          </cell>
          <cell r="P153" t="e">
            <v>#DIV/0!</v>
          </cell>
          <cell r="Q153">
            <v>3.2398028722893888</v>
          </cell>
          <cell r="R153">
            <v>3.2398028722893919</v>
          </cell>
          <cell r="S153">
            <v>3.2398028722893888</v>
          </cell>
          <cell r="T153">
            <v>3.2398028722893919</v>
          </cell>
          <cell r="U153">
            <v>3.2398028722893888</v>
          </cell>
          <cell r="V153">
            <v>3.2398028722893919</v>
          </cell>
          <cell r="W153">
            <v>3.2398028722893888</v>
          </cell>
          <cell r="X153">
            <v>3.2398028722893919</v>
          </cell>
          <cell r="Y153">
            <v>3.2398028722893888</v>
          </cell>
          <cell r="Z153">
            <v>3.2398028722893919</v>
          </cell>
          <cell r="AA153">
            <v>3.2398028722893888</v>
          </cell>
          <cell r="AB153">
            <v>3.2398028722893919</v>
          </cell>
          <cell r="AC153">
            <v>3.239802872289387</v>
          </cell>
          <cell r="AD153" t="e">
            <v>#DIV/0!</v>
          </cell>
          <cell r="AE153">
            <v>3.2398028722893915</v>
          </cell>
        </row>
        <row r="154">
          <cell r="C154" t="str">
            <v>Other Expenses</v>
          </cell>
          <cell r="AF154" t="str">
            <v>Other Expenses</v>
          </cell>
        </row>
        <row r="155">
          <cell r="D155" t="str">
            <v>Selling Expenses</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t="e">
            <v>#DIV/0!</v>
          </cell>
          <cell r="AE155">
            <v>0</v>
          </cell>
          <cell r="AG155" t="str">
            <v>Selling Expenses</v>
          </cell>
        </row>
        <row r="156">
          <cell r="D156" t="str">
            <v>Advertisement Expenses</v>
          </cell>
          <cell r="E156">
            <v>10890.595130119307</v>
          </cell>
          <cell r="F156">
            <v>0</v>
          </cell>
          <cell r="G156">
            <v>19074.844763831719</v>
          </cell>
          <cell r="H156">
            <v>0</v>
          </cell>
          <cell r="I156">
            <v>586.91830042559138</v>
          </cell>
          <cell r="J156">
            <v>0</v>
          </cell>
          <cell r="K156">
            <v>2441.4170969092306</v>
          </cell>
          <cell r="L156">
            <v>0</v>
          </cell>
          <cell r="M156">
            <v>10786.498384911953</v>
          </cell>
          <cell r="N156">
            <v>0</v>
          </cell>
          <cell r="O156">
            <v>11537.251658504394</v>
          </cell>
          <cell r="P156">
            <v>0</v>
          </cell>
          <cell r="Q156">
            <v>19357.842486060854</v>
          </cell>
          <cell r="R156">
            <v>290367.6372909128</v>
          </cell>
          <cell r="S156">
            <v>138.66649345315798</v>
          </cell>
          <cell r="T156">
            <v>2079.9974017973695</v>
          </cell>
          <cell r="U156">
            <v>138.66649345315798</v>
          </cell>
          <cell r="V156">
            <v>2079.9974017973695</v>
          </cell>
          <cell r="W156">
            <v>15599.980513480272</v>
          </cell>
          <cell r="X156">
            <v>233999.70770220409</v>
          </cell>
          <cell r="Y156">
            <v>9013.3220744552673</v>
          </cell>
          <cell r="Z156">
            <v>135199.83111682901</v>
          </cell>
          <cell r="AA156">
            <v>1525.3314279847375</v>
          </cell>
          <cell r="AB156">
            <v>22879.971419771064</v>
          </cell>
          <cell r="AC156">
            <v>7628.9682481479094</v>
          </cell>
          <cell r="AD156" t="e">
            <v>#DIV/0!</v>
          </cell>
          <cell r="AE156">
            <v>7628.9682481479094</v>
          </cell>
        </row>
        <row r="157">
          <cell r="D157" t="str">
            <v>Administrative Expenses</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t="e">
            <v>#DIV/0!</v>
          </cell>
          <cell r="AE157">
            <v>0</v>
          </cell>
          <cell r="AG157" t="str">
            <v>Administrative Expenses</v>
          </cell>
        </row>
        <row r="158">
          <cell r="D158" t="str">
            <v>Depreciation (Admin. &amp; Selling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t="e">
            <v>#DIV/0!</v>
          </cell>
          <cell r="AE158">
            <v>0</v>
          </cell>
          <cell r="AG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e">
            <v>#DIV/0!</v>
          </cell>
          <cell r="AE159">
            <v>0</v>
          </cell>
          <cell r="AG159" t="str">
            <v>Financial Charges -Capital Exp.</v>
          </cell>
        </row>
        <row r="160">
          <cell r="D160" t="str">
            <v>Financial  Charges -Working Capital</v>
          </cell>
          <cell r="E160">
            <v>201.57918431275289</v>
          </cell>
          <cell r="F160">
            <v>0</v>
          </cell>
          <cell r="G160">
            <v>178.4251077933327</v>
          </cell>
          <cell r="H160">
            <v>0</v>
          </cell>
          <cell r="I160">
            <v>175.55668509273093</v>
          </cell>
          <cell r="J160">
            <v>0</v>
          </cell>
          <cell r="K160">
            <v>160.53201526974851</v>
          </cell>
          <cell r="L160">
            <v>0</v>
          </cell>
          <cell r="M160">
            <v>214.5866255466828</v>
          </cell>
          <cell r="N160">
            <v>0</v>
          </cell>
          <cell r="O160">
            <v>207.35917650875876</v>
          </cell>
          <cell r="P160">
            <v>0</v>
          </cell>
          <cell r="Q160">
            <v>157.4713934840606</v>
          </cell>
          <cell r="R160">
            <v>2362.070902260909</v>
          </cell>
          <cell r="S160">
            <v>198.17331480982742</v>
          </cell>
          <cell r="T160">
            <v>2972.5997221474113</v>
          </cell>
          <cell r="U160">
            <v>184.65378229632779</v>
          </cell>
          <cell r="V160">
            <v>2769.8067344449169</v>
          </cell>
          <cell r="W160">
            <v>192.32717619631876</v>
          </cell>
          <cell r="X160">
            <v>2884.9076429447814</v>
          </cell>
          <cell r="Y160">
            <v>193.74054120384864</v>
          </cell>
          <cell r="Z160">
            <v>2906.1081180577294</v>
          </cell>
          <cell r="AA160">
            <v>186.90086739142365</v>
          </cell>
          <cell r="AB160">
            <v>2803.5130108713547</v>
          </cell>
          <cell r="AC160">
            <v>185.54451256363447</v>
          </cell>
          <cell r="AD160" t="e">
            <v>#DIV/0!</v>
          </cell>
          <cell r="AE160">
            <v>185.54451256363447</v>
          </cell>
          <cell r="AG160" t="str">
            <v>Financial  Charges -Working Capital</v>
          </cell>
        </row>
        <row r="161">
          <cell r="D161" t="str">
            <v>Other Expenses (Charity &amp; Donation)</v>
          </cell>
          <cell r="E161">
            <v>139.98554466163398</v>
          </cell>
          <cell r="F161">
            <v>0</v>
          </cell>
          <cell r="G161">
            <v>123.90632485648104</v>
          </cell>
          <cell r="H161">
            <v>0</v>
          </cell>
          <cell r="I161">
            <v>121.91436464772984</v>
          </cell>
          <cell r="J161">
            <v>0</v>
          </cell>
          <cell r="K161">
            <v>111.48056615954759</v>
          </cell>
          <cell r="L161">
            <v>0</v>
          </cell>
          <cell r="M161">
            <v>149.01848996297417</v>
          </cell>
          <cell r="N161">
            <v>0</v>
          </cell>
          <cell r="O161">
            <v>143.99942813108245</v>
          </cell>
          <cell r="P161">
            <v>0</v>
          </cell>
          <cell r="Q161">
            <v>109.35513436393099</v>
          </cell>
          <cell r="R161">
            <v>1640.3270154589648</v>
          </cell>
          <cell r="S161">
            <v>137.6203575068246</v>
          </cell>
          <cell r="T161">
            <v>2064.3053626023689</v>
          </cell>
          <cell r="U161">
            <v>128.23179326133877</v>
          </cell>
          <cell r="V161">
            <v>1923.4768989200816</v>
          </cell>
          <cell r="W161">
            <v>133.56053902522137</v>
          </cell>
          <cell r="X161">
            <v>2003.4080853783207</v>
          </cell>
          <cell r="Y161">
            <v>134.54204250267267</v>
          </cell>
          <cell r="Z161">
            <v>2018.13063754009</v>
          </cell>
          <cell r="AA161">
            <v>129.79226902182199</v>
          </cell>
          <cell r="AB161">
            <v>1946.8840353273299</v>
          </cell>
          <cell r="AC161">
            <v>128.85035594696839</v>
          </cell>
          <cell r="AD161" t="e">
            <v>#DIV/0!</v>
          </cell>
          <cell r="AE161">
            <v>128.85035594696839</v>
          </cell>
          <cell r="AG161" t="str">
            <v>Other Expenses (Charity &amp; Donation)</v>
          </cell>
        </row>
        <row r="162">
          <cell r="D162" t="str">
            <v>Other Expenses ( W.P.P.F.)</v>
          </cell>
          <cell r="E162">
            <v>-99.685419286180618</v>
          </cell>
          <cell r="F162">
            <v>0</v>
          </cell>
          <cell r="G162">
            <v>-516.01336466537521</v>
          </cell>
          <cell r="H162">
            <v>0</v>
          </cell>
          <cell r="I162">
            <v>429.23507108313538</v>
          </cell>
          <cell r="J162">
            <v>0</v>
          </cell>
          <cell r="K162">
            <v>335.74469975652045</v>
          </cell>
          <cell r="L162">
            <v>0</v>
          </cell>
          <cell r="M162">
            <v>-83.654529301236565</v>
          </cell>
          <cell r="N162">
            <v>0</v>
          </cell>
          <cell r="O162">
            <v>-121.56749282883391</v>
          </cell>
          <cell r="P162">
            <v>0</v>
          </cell>
          <cell r="Q162">
            <v>-311.31446684236766</v>
          </cell>
          <cell r="R162">
            <v>-4669.7170026355152</v>
          </cell>
          <cell r="S162">
            <v>675.13296289914501</v>
          </cell>
          <cell r="T162">
            <v>10126.994443487176</v>
          </cell>
          <cell r="U162">
            <v>676.31298309356544</v>
          </cell>
          <cell r="V162">
            <v>10144.694746403482</v>
          </cell>
          <cell r="W162">
            <v>-120.78534224496495</v>
          </cell>
          <cell r="X162">
            <v>-1811.7801336744742</v>
          </cell>
          <cell r="Y162">
            <v>218.37700984244069</v>
          </cell>
          <cell r="Z162">
            <v>3275.6551476366103</v>
          </cell>
          <cell r="AA162">
            <v>604.68828019460864</v>
          </cell>
          <cell r="AB162">
            <v>9070.3242029191297</v>
          </cell>
          <cell r="AC162">
            <v>290.40190449040455</v>
          </cell>
          <cell r="AD162" t="e">
            <v>#DIV/0!</v>
          </cell>
          <cell r="AE162">
            <v>290.40190449040455</v>
          </cell>
          <cell r="AG162" t="str">
            <v>Other Expenses ( W.P.P.F.)</v>
          </cell>
        </row>
        <row r="163">
          <cell r="D163" t="str">
            <v>Workers Welfare Fund</v>
          </cell>
          <cell r="E163">
            <v>-37.880459328748636</v>
          </cell>
          <cell r="F163">
            <v>0</v>
          </cell>
          <cell r="G163">
            <v>-196.08507857284258</v>
          </cell>
          <cell r="H163">
            <v>0</v>
          </cell>
          <cell r="I163">
            <v>163.10932701159146</v>
          </cell>
          <cell r="J163">
            <v>0</v>
          </cell>
          <cell r="K163">
            <v>127.58298590747775</v>
          </cell>
          <cell r="L163">
            <v>0</v>
          </cell>
          <cell r="M163">
            <v>-31.788721134469881</v>
          </cell>
          <cell r="N163">
            <v>0</v>
          </cell>
          <cell r="O163">
            <v>-46.195647274956897</v>
          </cell>
          <cell r="P163">
            <v>0</v>
          </cell>
          <cell r="Q163">
            <v>-118.29949740009971</v>
          </cell>
          <cell r="R163">
            <v>-1774.4924610014957</v>
          </cell>
          <cell r="S163">
            <v>256.55052590167514</v>
          </cell>
          <cell r="T163">
            <v>3848.2578885251273</v>
          </cell>
          <cell r="U163">
            <v>256.99893357555482</v>
          </cell>
          <cell r="V163">
            <v>3854.9840036333221</v>
          </cell>
          <cell r="W163">
            <v>-45.898430053086649</v>
          </cell>
          <cell r="X163">
            <v>-688.47645079629979</v>
          </cell>
          <cell r="Y163">
            <v>82.983263740127455</v>
          </cell>
          <cell r="Z163">
            <v>1244.7489561019117</v>
          </cell>
          <cell r="AA163">
            <v>229.78154647395132</v>
          </cell>
          <cell r="AB163">
            <v>3446.7231971092697</v>
          </cell>
          <cell r="AC163">
            <v>110.35272370635373</v>
          </cell>
          <cell r="AD163" t="e">
            <v>#DIV/0!</v>
          </cell>
          <cell r="AE163">
            <v>110.35272370635373</v>
          </cell>
          <cell r="AG163" t="str">
            <v>Workers Welfare Fund</v>
          </cell>
        </row>
        <row r="164">
          <cell r="E164">
            <v>11094.593980478767</v>
          </cell>
          <cell r="F164">
            <v>0</v>
          </cell>
          <cell r="G164">
            <v>18665.077753243317</v>
          </cell>
          <cell r="H164">
            <v>0</v>
          </cell>
          <cell r="I164">
            <v>1476.7337482607788</v>
          </cell>
          <cell r="J164">
            <v>0</v>
          </cell>
          <cell r="K164">
            <v>3176.7573640025248</v>
          </cell>
          <cell r="L164">
            <v>0</v>
          </cell>
          <cell r="M164">
            <v>11034.660249985904</v>
          </cell>
          <cell r="N164">
            <v>0</v>
          </cell>
          <cell r="O164">
            <v>11720.847123040445</v>
          </cell>
          <cell r="P164">
            <v>0</v>
          </cell>
          <cell r="Q164">
            <v>19195.055049666378</v>
          </cell>
          <cell r="R164">
            <v>287925.82574499561</v>
          </cell>
          <cell r="S164">
            <v>1406.1436545706304</v>
          </cell>
          <cell r="T164">
            <v>21092.154818559451</v>
          </cell>
          <cell r="U164">
            <v>1384.863985679945</v>
          </cell>
          <cell r="V164">
            <v>20772.959785199175</v>
          </cell>
          <cell r="W164">
            <v>15759.184456403762</v>
          </cell>
          <cell r="X164">
            <v>236387.76684605642</v>
          </cell>
          <cell r="Y164">
            <v>9642.9649317443564</v>
          </cell>
          <cell r="Z164">
            <v>144644.47397616535</v>
          </cell>
          <cell r="AA164">
            <v>2676.4943910665434</v>
          </cell>
          <cell r="AB164">
            <v>40147.415865998148</v>
          </cell>
          <cell r="AC164">
            <v>8344.1177448552698</v>
          </cell>
          <cell r="AD164" t="e">
            <v>#DIV/0!</v>
          </cell>
          <cell r="AE164">
            <v>8344.117744855268</v>
          </cell>
        </row>
        <row r="165">
          <cell r="D165" t="str">
            <v>Operating Profit</v>
          </cell>
          <cell r="E165">
            <v>-4443.0132879350167</v>
          </cell>
          <cell r="F165">
            <v>0</v>
          </cell>
          <cell r="G165">
            <v>-12013.497060699567</v>
          </cell>
          <cell r="H165">
            <v>0</v>
          </cell>
          <cell r="I165">
            <v>5174.846944282971</v>
          </cell>
          <cell r="J165">
            <v>0</v>
          </cell>
          <cell r="K165">
            <v>3474.8233285412252</v>
          </cell>
          <cell r="L165">
            <v>0</v>
          </cell>
          <cell r="M165">
            <v>-4383.0795574421536</v>
          </cell>
          <cell r="N165">
            <v>0</v>
          </cell>
          <cell r="O165">
            <v>-5069.2664304966947</v>
          </cell>
          <cell r="P165">
            <v>0</v>
          </cell>
          <cell r="Q165">
            <v>-8712.1798428934962</v>
          </cell>
          <cell r="R165">
            <v>-130682.69764340221</v>
          </cell>
          <cell r="S165">
            <v>9076.7315522022509</v>
          </cell>
          <cell r="T165">
            <v>136150.97328303396</v>
          </cell>
          <cell r="U165">
            <v>9098.0112210929365</v>
          </cell>
          <cell r="V165">
            <v>136470.16831639424</v>
          </cell>
          <cell r="W165">
            <v>-5276.30924963088</v>
          </cell>
          <cell r="X165">
            <v>-79144.638744463009</v>
          </cell>
          <cell r="Y165">
            <v>839.91027502852558</v>
          </cell>
          <cell r="Z165">
            <v>12598.65412542806</v>
          </cell>
          <cell r="AA165">
            <v>7806.3808157063386</v>
          </cell>
          <cell r="AB165">
            <v>117095.71223559526</v>
          </cell>
          <cell r="AC165">
            <v>2138.7574619176085</v>
          </cell>
          <cell r="AD165" t="e">
            <v>#DIV/0!</v>
          </cell>
          <cell r="AE165">
            <v>2138.7574619176253</v>
          </cell>
          <cell r="AG165" t="str">
            <v>Operating Profit</v>
          </cell>
        </row>
        <row r="167">
          <cell r="C167" t="str">
            <v>Other Income</v>
          </cell>
          <cell r="AF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e">
            <v>#DIV/0!</v>
          </cell>
          <cell r="AE168">
            <v>0</v>
          </cell>
          <cell r="AG168" t="str">
            <v>H.D</v>
          </cell>
        </row>
        <row r="169">
          <cell r="D169" t="str">
            <v>Others</v>
          </cell>
          <cell r="E169">
            <v>3111.1111111111113</v>
          </cell>
          <cell r="F169">
            <v>0</v>
          </cell>
          <cell r="G169">
            <v>3111.1111111111113</v>
          </cell>
          <cell r="H169">
            <v>0</v>
          </cell>
          <cell r="I169">
            <v>3111.1111111111113</v>
          </cell>
          <cell r="J169">
            <v>0</v>
          </cell>
          <cell r="K169">
            <v>3111.1111111111113</v>
          </cell>
          <cell r="L169">
            <v>0</v>
          </cell>
          <cell r="M169">
            <v>3111.1111111111113</v>
          </cell>
          <cell r="N169">
            <v>0</v>
          </cell>
          <cell r="O169">
            <v>3111.1111111111113</v>
          </cell>
          <cell r="P169">
            <v>0</v>
          </cell>
          <cell r="Q169">
            <v>2666.666666666667</v>
          </cell>
          <cell r="R169">
            <v>40000.000000000007</v>
          </cell>
          <cell r="S169">
            <v>2666.666666666667</v>
          </cell>
          <cell r="T169">
            <v>40000.000000000007</v>
          </cell>
          <cell r="U169">
            <v>2666.666666666667</v>
          </cell>
          <cell r="V169">
            <v>40000.000000000007</v>
          </cell>
          <cell r="W169">
            <v>2666.666666666667</v>
          </cell>
          <cell r="X169">
            <v>40000.000000000007</v>
          </cell>
          <cell r="Y169">
            <v>2666.666666666667</v>
          </cell>
          <cell r="Z169">
            <v>40000.000000000007</v>
          </cell>
          <cell r="AA169">
            <v>2666.666666666667</v>
          </cell>
          <cell r="AB169">
            <v>40000.000000000007</v>
          </cell>
          <cell r="AC169">
            <v>2666.666666666667</v>
          </cell>
          <cell r="AD169" t="e">
            <v>#DIV/0!</v>
          </cell>
          <cell r="AE169">
            <v>2666.666666666667</v>
          </cell>
          <cell r="AG169" t="str">
            <v>Others</v>
          </cell>
        </row>
        <row r="170">
          <cell r="E170">
            <v>3111.1111111111113</v>
          </cell>
          <cell r="F170">
            <v>0</v>
          </cell>
          <cell r="G170">
            <v>3111.1111111111113</v>
          </cell>
          <cell r="H170">
            <v>0</v>
          </cell>
          <cell r="I170">
            <v>3111.1111111111113</v>
          </cell>
          <cell r="J170">
            <v>0</v>
          </cell>
          <cell r="K170">
            <v>3111.1111111111113</v>
          </cell>
          <cell r="L170">
            <v>0</v>
          </cell>
          <cell r="M170">
            <v>3111.1111111111113</v>
          </cell>
          <cell r="N170">
            <v>0</v>
          </cell>
          <cell r="O170">
            <v>3111.1111111111113</v>
          </cell>
          <cell r="P170">
            <v>0</v>
          </cell>
          <cell r="Q170">
            <v>2666.666666666667</v>
          </cell>
          <cell r="R170">
            <v>40000.000000000007</v>
          </cell>
          <cell r="S170">
            <v>2666.666666666667</v>
          </cell>
          <cell r="T170">
            <v>40000.000000000007</v>
          </cell>
          <cell r="U170">
            <v>2666.666666666667</v>
          </cell>
          <cell r="V170">
            <v>40000.000000000007</v>
          </cell>
          <cell r="W170">
            <v>2666.666666666667</v>
          </cell>
          <cell r="X170">
            <v>40000.000000000007</v>
          </cell>
          <cell r="Y170">
            <v>2666.666666666667</v>
          </cell>
          <cell r="Z170">
            <v>40000.000000000007</v>
          </cell>
          <cell r="AA170">
            <v>2666.666666666667</v>
          </cell>
          <cell r="AB170">
            <v>40000.000000000007</v>
          </cell>
          <cell r="AC170">
            <v>2666.666666666667</v>
          </cell>
          <cell r="AD170" t="e">
            <v>#DIV/0!</v>
          </cell>
          <cell r="AE170">
            <v>2666.666666666667</v>
          </cell>
        </row>
        <row r="172">
          <cell r="C172" t="str">
            <v>Profit before tax</v>
          </cell>
          <cell r="E172">
            <v>-1331.9021768239054</v>
          </cell>
          <cell r="F172">
            <v>0</v>
          </cell>
          <cell r="G172">
            <v>-8902.3859495884553</v>
          </cell>
          <cell r="H172">
            <v>0</v>
          </cell>
          <cell r="I172">
            <v>8285.9580553940832</v>
          </cell>
          <cell r="J172">
            <v>0</v>
          </cell>
          <cell r="K172">
            <v>6585.9344396523366</v>
          </cell>
          <cell r="L172">
            <v>0</v>
          </cell>
          <cell r="M172">
            <v>-1271.9684463310423</v>
          </cell>
          <cell r="N172">
            <v>0</v>
          </cell>
          <cell r="O172">
            <v>-1958.1553193855834</v>
          </cell>
          <cell r="P172">
            <v>0</v>
          </cell>
          <cell r="Q172">
            <v>-6045.5131762268293</v>
          </cell>
          <cell r="R172">
            <v>-90682.697643402207</v>
          </cell>
          <cell r="S172">
            <v>11743.398218868919</v>
          </cell>
          <cell r="T172">
            <v>176150.97328303396</v>
          </cell>
          <cell r="U172">
            <v>11764.677887759604</v>
          </cell>
          <cell r="V172">
            <v>176470.16831639424</v>
          </cell>
          <cell r="W172">
            <v>-2609.642582964213</v>
          </cell>
          <cell r="X172">
            <v>-39144.638744463002</v>
          </cell>
          <cell r="Y172">
            <v>3506.5769416951925</v>
          </cell>
          <cell r="Z172">
            <v>52598.654125428067</v>
          </cell>
          <cell r="AA172">
            <v>10473.047482373006</v>
          </cell>
          <cell r="AB172">
            <v>157095.71223559527</v>
          </cell>
          <cell r="AC172">
            <v>4805.4241285842754</v>
          </cell>
          <cell r="AD172" t="e">
            <v>#DIV/0!</v>
          </cell>
          <cell r="AE172">
            <v>4805.4241285842927</v>
          </cell>
          <cell r="AF172" t="str">
            <v>Profit before tax</v>
          </cell>
        </row>
        <row r="174">
          <cell r="C174" t="str">
            <v>Taxation</v>
          </cell>
          <cell r="AE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F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F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row>
        <row r="179">
          <cell r="C179" t="str">
            <v>Net Profit after taxation</v>
          </cell>
          <cell r="E179">
            <v>-1331.9021768239054</v>
          </cell>
          <cell r="F179">
            <v>0</v>
          </cell>
          <cell r="G179">
            <v>-8902.3859495884553</v>
          </cell>
          <cell r="H179">
            <v>0</v>
          </cell>
          <cell r="I179">
            <v>8285.9580553940832</v>
          </cell>
          <cell r="J179">
            <v>0</v>
          </cell>
          <cell r="K179">
            <v>6585.9344396523366</v>
          </cell>
          <cell r="L179">
            <v>0</v>
          </cell>
          <cell r="M179">
            <v>-1271.9684463310423</v>
          </cell>
          <cell r="N179">
            <v>0</v>
          </cell>
          <cell r="O179">
            <v>-1958.1553193855834</v>
          </cell>
          <cell r="P179">
            <v>0</v>
          </cell>
          <cell r="Q179">
            <v>-6045.5131762268293</v>
          </cell>
          <cell r="R179">
            <v>-90682.697643402207</v>
          </cell>
          <cell r="S179">
            <v>11743.398218868919</v>
          </cell>
          <cell r="T179">
            <v>176150.97328303396</v>
          </cell>
          <cell r="U179">
            <v>11764.677887759604</v>
          </cell>
          <cell r="V179">
            <v>176470.16831639424</v>
          </cell>
          <cell r="W179">
            <v>-2609.642582964213</v>
          </cell>
          <cell r="X179">
            <v>-39144.638744463002</v>
          </cell>
          <cell r="Y179">
            <v>3506.5769416951925</v>
          </cell>
          <cell r="Z179">
            <v>52598.654125428067</v>
          </cell>
          <cell r="AA179">
            <v>10473.047482373006</v>
          </cell>
          <cell r="AB179">
            <v>157095.71223559527</v>
          </cell>
          <cell r="AC179">
            <v>4805.4241285842754</v>
          </cell>
          <cell r="AE179" t="str">
            <v>Net Profit after taxation</v>
          </cell>
        </row>
        <row r="182">
          <cell r="AC182" t="str">
            <v>CX</v>
          </cell>
        </row>
        <row r="183">
          <cell r="E183">
            <v>548</v>
          </cell>
          <cell r="G183">
            <v>579</v>
          </cell>
          <cell r="I183">
            <v>610</v>
          </cell>
          <cell r="K183">
            <v>641</v>
          </cell>
          <cell r="M183">
            <v>672</v>
          </cell>
          <cell r="O183">
            <v>703</v>
          </cell>
          <cell r="Q183">
            <v>734</v>
          </cell>
          <cell r="S183">
            <v>765</v>
          </cell>
          <cell r="U183">
            <v>796</v>
          </cell>
          <cell r="W183">
            <v>827</v>
          </cell>
          <cell r="Y183">
            <v>858</v>
          </cell>
          <cell r="AA183">
            <v>889</v>
          </cell>
          <cell r="AC183" t="str">
            <v>Yearly</v>
          </cell>
        </row>
        <row r="184">
          <cell r="D184" t="str">
            <v>CX</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F184" t="str">
            <v>CX</v>
          </cell>
        </row>
        <row r="186">
          <cell r="C186" t="str">
            <v>Sales Units</v>
          </cell>
          <cell r="E186">
            <v>0</v>
          </cell>
          <cell r="F186">
            <v>210</v>
          </cell>
          <cell r="G186">
            <v>1</v>
          </cell>
          <cell r="H186">
            <v>210</v>
          </cell>
          <cell r="I186">
            <v>1</v>
          </cell>
          <cell r="J186">
            <v>210</v>
          </cell>
          <cell r="K186">
            <v>1</v>
          </cell>
          <cell r="L186">
            <v>210</v>
          </cell>
          <cell r="M186">
            <v>1</v>
          </cell>
          <cell r="N186">
            <v>210</v>
          </cell>
          <cell r="O186">
            <v>1</v>
          </cell>
          <cell r="P186">
            <v>210</v>
          </cell>
          <cell r="Q186">
            <v>1</v>
          </cell>
          <cell r="R186">
            <v>210</v>
          </cell>
          <cell r="S186">
            <v>1</v>
          </cell>
          <cell r="T186">
            <v>210</v>
          </cell>
          <cell r="U186">
            <v>1</v>
          </cell>
          <cell r="V186">
            <v>210</v>
          </cell>
          <cell r="W186">
            <v>1</v>
          </cell>
          <cell r="X186">
            <v>210</v>
          </cell>
          <cell r="Y186">
            <v>1</v>
          </cell>
          <cell r="Z186">
            <v>210</v>
          </cell>
          <cell r="AA186">
            <v>1</v>
          </cell>
          <cell r="AB186">
            <v>210</v>
          </cell>
          <cell r="AC186">
            <v>2520</v>
          </cell>
          <cell r="AE186" t="str">
            <v>Sales Units</v>
          </cell>
        </row>
        <row r="188">
          <cell r="C188" t="str">
            <v>Selling Price</v>
          </cell>
          <cell r="E188">
            <v>399000</v>
          </cell>
          <cell r="F188">
            <v>83790000</v>
          </cell>
          <cell r="G188">
            <v>399000</v>
          </cell>
          <cell r="H188">
            <v>83790000</v>
          </cell>
          <cell r="I188">
            <v>399000</v>
          </cell>
          <cell r="J188">
            <v>83790000</v>
          </cell>
          <cell r="K188">
            <v>399000</v>
          </cell>
          <cell r="L188">
            <v>83790000</v>
          </cell>
          <cell r="M188">
            <v>399000</v>
          </cell>
          <cell r="N188">
            <v>83790000</v>
          </cell>
          <cell r="O188">
            <v>399000</v>
          </cell>
          <cell r="P188">
            <v>83790000</v>
          </cell>
          <cell r="Q188">
            <v>399000</v>
          </cell>
          <cell r="R188">
            <v>83790000</v>
          </cell>
          <cell r="S188">
            <v>399000</v>
          </cell>
          <cell r="T188">
            <v>83790000</v>
          </cell>
          <cell r="U188">
            <v>399000</v>
          </cell>
          <cell r="V188">
            <v>83790000</v>
          </cell>
          <cell r="W188">
            <v>399000</v>
          </cell>
          <cell r="X188">
            <v>83790000</v>
          </cell>
          <cell r="Y188">
            <v>399000</v>
          </cell>
          <cell r="Z188">
            <v>83790000</v>
          </cell>
          <cell r="AA188">
            <v>399000</v>
          </cell>
          <cell r="AB188">
            <v>83790000</v>
          </cell>
          <cell r="AC188">
            <v>399000</v>
          </cell>
          <cell r="AE188" t="str">
            <v>Selling Price</v>
          </cell>
        </row>
        <row r="189">
          <cell r="C189" t="str">
            <v>Less: Dealer commission</v>
          </cell>
          <cell r="E189">
            <v>-10000</v>
          </cell>
          <cell r="F189">
            <v>-2100000</v>
          </cell>
          <cell r="G189">
            <v>-10000</v>
          </cell>
          <cell r="H189">
            <v>-2100000</v>
          </cell>
          <cell r="I189">
            <v>-10000</v>
          </cell>
          <cell r="J189">
            <v>-2100000</v>
          </cell>
          <cell r="K189">
            <v>-10000</v>
          </cell>
          <cell r="L189">
            <v>-2100000</v>
          </cell>
          <cell r="M189">
            <v>-10000</v>
          </cell>
          <cell r="N189">
            <v>-2100000</v>
          </cell>
          <cell r="O189">
            <v>-10000</v>
          </cell>
          <cell r="P189">
            <v>-2100000</v>
          </cell>
          <cell r="Q189">
            <v>-10000</v>
          </cell>
          <cell r="R189">
            <v>-2100000</v>
          </cell>
          <cell r="S189">
            <v>-10000</v>
          </cell>
          <cell r="T189">
            <v>-2100000</v>
          </cell>
          <cell r="U189">
            <v>-10000</v>
          </cell>
          <cell r="V189">
            <v>-2100000</v>
          </cell>
          <cell r="W189">
            <v>-10000</v>
          </cell>
          <cell r="X189">
            <v>-2100000</v>
          </cell>
          <cell r="Y189">
            <v>-10000</v>
          </cell>
          <cell r="Z189">
            <v>-2100000</v>
          </cell>
          <cell r="AA189">
            <v>-10000</v>
          </cell>
          <cell r="AB189">
            <v>-2100000</v>
          </cell>
          <cell r="AC189">
            <v>-10000</v>
          </cell>
          <cell r="AE189" t="str">
            <v>Less: Dealer commission</v>
          </cell>
        </row>
        <row r="190">
          <cell r="D190" t="str">
            <v xml:space="preserve">  Sales tax</v>
          </cell>
          <cell r="E190">
            <v>-52043.478260869568</v>
          </cell>
          <cell r="F190">
            <v>-10929130.434782609</v>
          </cell>
          <cell r="G190">
            <v>-52043.478260869568</v>
          </cell>
          <cell r="H190">
            <v>-10929130.434782609</v>
          </cell>
          <cell r="I190">
            <v>-52043.478260869568</v>
          </cell>
          <cell r="J190">
            <v>-10929130.434782609</v>
          </cell>
          <cell r="K190">
            <v>-52043.478260869568</v>
          </cell>
          <cell r="L190">
            <v>-10929130.434782609</v>
          </cell>
          <cell r="M190">
            <v>-52043.478260869568</v>
          </cell>
          <cell r="N190">
            <v>-10929130.434782609</v>
          </cell>
          <cell r="O190">
            <v>-52043.478260869568</v>
          </cell>
          <cell r="P190">
            <v>-10929130.434782609</v>
          </cell>
          <cell r="Q190">
            <v>-52043.478260869568</v>
          </cell>
          <cell r="R190">
            <v>-10929130.434782609</v>
          </cell>
          <cell r="S190">
            <v>-52043.478260869568</v>
          </cell>
          <cell r="T190">
            <v>-10929130.434782609</v>
          </cell>
          <cell r="U190">
            <v>-52043.478260869568</v>
          </cell>
          <cell r="V190">
            <v>-10929130.434782609</v>
          </cell>
          <cell r="W190">
            <v>-52043.478260869568</v>
          </cell>
          <cell r="X190">
            <v>-10929130.434782609</v>
          </cell>
          <cell r="Y190">
            <v>-52043.478260869568</v>
          </cell>
          <cell r="Z190">
            <v>-10929130.434782609</v>
          </cell>
          <cell r="AA190">
            <v>-52043.478260869568</v>
          </cell>
          <cell r="AB190">
            <v>-10929130.434782609</v>
          </cell>
          <cell r="AC190">
            <v>-52043.478260869568</v>
          </cell>
          <cell r="AF190" t="str">
            <v xml:space="preserve">  Sales tax</v>
          </cell>
        </row>
        <row r="191">
          <cell r="C191" t="str">
            <v>Net Sales</v>
          </cell>
          <cell r="E191">
            <v>336956.52173913043</v>
          </cell>
          <cell r="F191">
            <v>70760869.565217391</v>
          </cell>
          <cell r="G191">
            <v>336956.52173913043</v>
          </cell>
          <cell r="H191">
            <v>70760869.565217391</v>
          </cell>
          <cell r="I191">
            <v>336956.52173913043</v>
          </cell>
          <cell r="J191">
            <v>70760869.565217391</v>
          </cell>
          <cell r="K191">
            <v>336956.52173913043</v>
          </cell>
          <cell r="L191">
            <v>70760869.565217391</v>
          </cell>
          <cell r="M191">
            <v>336956.52173913043</v>
          </cell>
          <cell r="N191">
            <v>70760869.565217391</v>
          </cell>
          <cell r="O191">
            <v>336956.52173913043</v>
          </cell>
          <cell r="P191">
            <v>70760869.565217391</v>
          </cell>
          <cell r="Q191">
            <v>336956.52173913043</v>
          </cell>
          <cell r="R191">
            <v>70760869.565217391</v>
          </cell>
          <cell r="S191">
            <v>336956.52173913043</v>
          </cell>
          <cell r="T191">
            <v>70760869.565217391</v>
          </cell>
          <cell r="U191">
            <v>336956.52173913043</v>
          </cell>
          <cell r="V191">
            <v>70760869.565217391</v>
          </cell>
          <cell r="W191">
            <v>336956.52173913043</v>
          </cell>
          <cell r="X191">
            <v>70760869.565217391</v>
          </cell>
          <cell r="Y191">
            <v>336956.52173913043</v>
          </cell>
          <cell r="Z191">
            <v>70760869.565217391</v>
          </cell>
          <cell r="AA191">
            <v>336956.52173913043</v>
          </cell>
          <cell r="AB191">
            <v>70760869.565217391</v>
          </cell>
          <cell r="AC191">
            <v>336956.52173913043</v>
          </cell>
          <cell r="AE191" t="str">
            <v>Net Sales</v>
          </cell>
        </row>
        <row r="193">
          <cell r="C193" t="str">
            <v>Variable Cost of Sales</v>
          </cell>
          <cell r="AE193" t="str">
            <v>Variable Cost of Sales</v>
          </cell>
        </row>
        <row r="194">
          <cell r="D194" t="str">
            <v>CKD Cost</v>
          </cell>
          <cell r="E194">
            <v>185405.57509915665</v>
          </cell>
          <cell r="F194">
            <v>38935170.770822898</v>
          </cell>
          <cell r="G194">
            <v>185405.57509915665</v>
          </cell>
          <cell r="H194">
            <v>38935170.770822898</v>
          </cell>
          <cell r="I194">
            <v>185405.57509915665</v>
          </cell>
          <cell r="J194">
            <v>38935170.770822898</v>
          </cell>
          <cell r="K194">
            <v>185405.57509915665</v>
          </cell>
          <cell r="L194">
            <v>38935170.770822898</v>
          </cell>
          <cell r="M194">
            <v>185405.57509915665</v>
          </cell>
          <cell r="N194">
            <v>38935170.770822898</v>
          </cell>
          <cell r="O194">
            <v>185405.57509915665</v>
          </cell>
          <cell r="P194">
            <v>38935170.770822898</v>
          </cell>
          <cell r="Q194">
            <v>185405.57509915665</v>
          </cell>
          <cell r="R194">
            <v>38935170.770822898</v>
          </cell>
          <cell r="S194">
            <v>185405.57509915665</v>
          </cell>
          <cell r="T194">
            <v>38935170.770822898</v>
          </cell>
          <cell r="U194">
            <v>185405.57509915665</v>
          </cell>
          <cell r="V194">
            <v>38935170.770822898</v>
          </cell>
          <cell r="W194">
            <v>185405.57509915665</v>
          </cell>
          <cell r="X194">
            <v>38935170.770822898</v>
          </cell>
          <cell r="Y194">
            <v>185405.57509915665</v>
          </cell>
          <cell r="Z194">
            <v>38935170.770822898</v>
          </cell>
          <cell r="AA194">
            <v>185405.57509915665</v>
          </cell>
          <cell r="AB194">
            <v>38935170.770822898</v>
          </cell>
          <cell r="AC194">
            <v>185405.57509915662</v>
          </cell>
          <cell r="AF194" t="str">
            <v>CKD Cost</v>
          </cell>
        </row>
        <row r="195">
          <cell r="D195" t="str">
            <v>Vendor parts</v>
          </cell>
          <cell r="E195">
            <v>102048</v>
          </cell>
          <cell r="F195">
            <v>21430080</v>
          </cell>
          <cell r="G195">
            <v>102048</v>
          </cell>
          <cell r="H195">
            <v>21430080</v>
          </cell>
          <cell r="I195">
            <v>102048</v>
          </cell>
          <cell r="J195">
            <v>21430080</v>
          </cell>
          <cell r="K195">
            <v>102048</v>
          </cell>
          <cell r="L195">
            <v>21430080</v>
          </cell>
          <cell r="M195">
            <v>102048</v>
          </cell>
          <cell r="N195">
            <v>21430080</v>
          </cell>
          <cell r="O195">
            <v>102048</v>
          </cell>
          <cell r="P195">
            <v>21430080</v>
          </cell>
          <cell r="Q195">
            <v>102048</v>
          </cell>
          <cell r="R195">
            <v>21430080</v>
          </cell>
          <cell r="S195">
            <v>102048</v>
          </cell>
          <cell r="T195">
            <v>21430080</v>
          </cell>
          <cell r="U195">
            <v>102048</v>
          </cell>
          <cell r="V195">
            <v>21430080</v>
          </cell>
          <cell r="W195">
            <v>102048</v>
          </cell>
          <cell r="X195">
            <v>21430080</v>
          </cell>
          <cell r="Y195">
            <v>102048</v>
          </cell>
          <cell r="Z195">
            <v>21430080</v>
          </cell>
          <cell r="AA195">
            <v>102048</v>
          </cell>
          <cell r="AB195">
            <v>21430080</v>
          </cell>
          <cell r="AC195">
            <v>102048</v>
          </cell>
          <cell r="AF195" t="str">
            <v>Vendor parts</v>
          </cell>
        </row>
        <row r="196">
          <cell r="D196" t="str">
            <v>DMC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F196" t="str">
            <v>Nomi Parts</v>
          </cell>
        </row>
        <row r="197">
          <cell r="D197" t="str">
            <v>Paints &amp; Chemicals</v>
          </cell>
          <cell r="E197">
            <v>6816</v>
          </cell>
          <cell r="F197">
            <v>1431360</v>
          </cell>
          <cell r="G197">
            <v>6816</v>
          </cell>
          <cell r="H197">
            <v>1431360</v>
          </cell>
          <cell r="I197">
            <v>6816</v>
          </cell>
          <cell r="J197">
            <v>1431360</v>
          </cell>
          <cell r="K197">
            <v>6816</v>
          </cell>
          <cell r="L197">
            <v>1431360</v>
          </cell>
          <cell r="M197">
            <v>6816</v>
          </cell>
          <cell r="N197">
            <v>1431360</v>
          </cell>
          <cell r="O197">
            <v>6816</v>
          </cell>
          <cell r="P197">
            <v>1431360</v>
          </cell>
          <cell r="Q197">
            <v>6816</v>
          </cell>
          <cell r="R197">
            <v>1431360</v>
          </cell>
          <cell r="S197">
            <v>6816</v>
          </cell>
          <cell r="T197">
            <v>1431360</v>
          </cell>
          <cell r="U197">
            <v>6816</v>
          </cell>
          <cell r="V197">
            <v>1431360</v>
          </cell>
          <cell r="W197">
            <v>6816</v>
          </cell>
          <cell r="X197">
            <v>1431360</v>
          </cell>
          <cell r="Y197">
            <v>6816</v>
          </cell>
          <cell r="Z197">
            <v>1431360</v>
          </cell>
          <cell r="AA197">
            <v>6816</v>
          </cell>
          <cell r="AB197">
            <v>1431360</v>
          </cell>
          <cell r="AC197">
            <v>6816</v>
          </cell>
          <cell r="AF197" t="str">
            <v>Paints &amp; Chemicals</v>
          </cell>
        </row>
        <row r="198">
          <cell r="D198" t="str">
            <v>Consumables</v>
          </cell>
          <cell r="E198">
            <v>3362</v>
          </cell>
          <cell r="F198">
            <v>706020</v>
          </cell>
          <cell r="G198">
            <v>3362</v>
          </cell>
          <cell r="H198">
            <v>706020</v>
          </cell>
          <cell r="I198">
            <v>3362</v>
          </cell>
          <cell r="J198">
            <v>706020</v>
          </cell>
          <cell r="K198">
            <v>3362</v>
          </cell>
          <cell r="L198">
            <v>706020</v>
          </cell>
          <cell r="M198">
            <v>3362</v>
          </cell>
          <cell r="N198">
            <v>706020</v>
          </cell>
          <cell r="O198">
            <v>3362</v>
          </cell>
          <cell r="P198">
            <v>706020</v>
          </cell>
          <cell r="Q198">
            <v>3362</v>
          </cell>
          <cell r="R198">
            <v>706020</v>
          </cell>
          <cell r="S198">
            <v>3362</v>
          </cell>
          <cell r="T198">
            <v>706020</v>
          </cell>
          <cell r="U198">
            <v>3362</v>
          </cell>
          <cell r="V198">
            <v>706020</v>
          </cell>
          <cell r="W198">
            <v>3362</v>
          </cell>
          <cell r="X198">
            <v>706020</v>
          </cell>
          <cell r="Y198">
            <v>3362</v>
          </cell>
          <cell r="Z198">
            <v>706020</v>
          </cell>
          <cell r="AA198">
            <v>3362</v>
          </cell>
          <cell r="AB198">
            <v>706020</v>
          </cell>
          <cell r="AC198">
            <v>3362</v>
          </cell>
          <cell r="AF198" t="str">
            <v>Consumables</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F199" t="str">
            <v>KD Parts</v>
          </cell>
        </row>
        <row r="200">
          <cell r="D200" t="str">
            <v>Spare parts</v>
          </cell>
          <cell r="E200">
            <v>39</v>
          </cell>
          <cell r="F200">
            <v>8190</v>
          </cell>
          <cell r="G200">
            <v>39</v>
          </cell>
          <cell r="H200">
            <v>8190</v>
          </cell>
          <cell r="I200">
            <v>39</v>
          </cell>
          <cell r="J200">
            <v>8190</v>
          </cell>
          <cell r="K200">
            <v>39</v>
          </cell>
          <cell r="L200">
            <v>8190</v>
          </cell>
          <cell r="M200">
            <v>39</v>
          </cell>
          <cell r="N200">
            <v>8190</v>
          </cell>
          <cell r="O200">
            <v>39</v>
          </cell>
          <cell r="P200">
            <v>8190</v>
          </cell>
          <cell r="Q200">
            <v>39</v>
          </cell>
          <cell r="R200">
            <v>8190</v>
          </cell>
          <cell r="S200">
            <v>39</v>
          </cell>
          <cell r="T200">
            <v>8190</v>
          </cell>
          <cell r="U200">
            <v>39</v>
          </cell>
          <cell r="V200">
            <v>8190</v>
          </cell>
          <cell r="W200">
            <v>39</v>
          </cell>
          <cell r="X200">
            <v>8190</v>
          </cell>
          <cell r="Y200">
            <v>39</v>
          </cell>
          <cell r="Z200">
            <v>8190</v>
          </cell>
          <cell r="AA200">
            <v>39</v>
          </cell>
          <cell r="AB200">
            <v>8190</v>
          </cell>
          <cell r="AC200">
            <v>39</v>
          </cell>
          <cell r="AF200" t="str">
            <v>Spare parts</v>
          </cell>
        </row>
        <row r="201">
          <cell r="D201" t="str">
            <v>Utilities</v>
          </cell>
          <cell r="E201">
            <v>4396</v>
          </cell>
          <cell r="F201">
            <v>923160</v>
          </cell>
          <cell r="G201">
            <v>4396</v>
          </cell>
          <cell r="H201">
            <v>923160</v>
          </cell>
          <cell r="I201">
            <v>4396</v>
          </cell>
          <cell r="J201">
            <v>923160</v>
          </cell>
          <cell r="K201">
            <v>4396</v>
          </cell>
          <cell r="L201">
            <v>923160</v>
          </cell>
          <cell r="M201">
            <v>4396</v>
          </cell>
          <cell r="N201">
            <v>923160</v>
          </cell>
          <cell r="O201">
            <v>4396</v>
          </cell>
          <cell r="P201">
            <v>923160</v>
          </cell>
          <cell r="Q201">
            <v>4396</v>
          </cell>
          <cell r="R201">
            <v>923160</v>
          </cell>
          <cell r="S201">
            <v>4396</v>
          </cell>
          <cell r="T201">
            <v>923160</v>
          </cell>
          <cell r="U201">
            <v>4396</v>
          </cell>
          <cell r="V201">
            <v>923160</v>
          </cell>
          <cell r="W201">
            <v>4396</v>
          </cell>
          <cell r="X201">
            <v>923160</v>
          </cell>
          <cell r="Y201">
            <v>4396</v>
          </cell>
          <cell r="Z201">
            <v>923160</v>
          </cell>
          <cell r="AA201">
            <v>4396</v>
          </cell>
          <cell r="AB201">
            <v>923160</v>
          </cell>
          <cell r="AC201">
            <v>4396</v>
          </cell>
          <cell r="AF201" t="str">
            <v>Utilities</v>
          </cell>
        </row>
        <row r="202">
          <cell r="D202" t="str">
            <v>Royalties</v>
          </cell>
          <cell r="E202">
            <v>2105</v>
          </cell>
          <cell r="F202">
            <v>442050</v>
          </cell>
          <cell r="G202">
            <v>2105</v>
          </cell>
          <cell r="H202">
            <v>442050</v>
          </cell>
          <cell r="I202">
            <v>2105</v>
          </cell>
          <cell r="J202">
            <v>442050</v>
          </cell>
          <cell r="K202">
            <v>2105</v>
          </cell>
          <cell r="L202">
            <v>442050</v>
          </cell>
          <cell r="M202">
            <v>2105</v>
          </cell>
          <cell r="N202">
            <v>442050</v>
          </cell>
          <cell r="O202">
            <v>2105</v>
          </cell>
          <cell r="P202">
            <v>442050</v>
          </cell>
          <cell r="Q202">
            <v>2105</v>
          </cell>
          <cell r="R202">
            <v>442050</v>
          </cell>
          <cell r="S202">
            <v>2105</v>
          </cell>
          <cell r="T202">
            <v>442050</v>
          </cell>
          <cell r="U202">
            <v>2105</v>
          </cell>
          <cell r="V202">
            <v>442050</v>
          </cell>
          <cell r="W202">
            <v>2105</v>
          </cell>
          <cell r="X202">
            <v>442050</v>
          </cell>
          <cell r="Y202">
            <v>2105</v>
          </cell>
          <cell r="Z202">
            <v>442050</v>
          </cell>
          <cell r="AA202">
            <v>2105</v>
          </cell>
          <cell r="AB202">
            <v>442050</v>
          </cell>
          <cell r="AC202">
            <v>2105</v>
          </cell>
          <cell r="AF202" t="str">
            <v>Royalties</v>
          </cell>
        </row>
        <row r="204">
          <cell r="E204">
            <v>304171.57509915665</v>
          </cell>
          <cell r="F204">
            <v>63876030.770822898</v>
          </cell>
          <cell r="G204">
            <v>304171.57509915665</v>
          </cell>
          <cell r="H204">
            <v>63876030.770822898</v>
          </cell>
          <cell r="I204">
            <v>304171.57509915665</v>
          </cell>
          <cell r="J204">
            <v>63876030.770822898</v>
          </cell>
          <cell r="K204">
            <v>304171.57509915665</v>
          </cell>
          <cell r="L204">
            <v>63876030.770822898</v>
          </cell>
          <cell r="M204">
            <v>304171.57509915665</v>
          </cell>
          <cell r="N204">
            <v>63876030.770822898</v>
          </cell>
          <cell r="O204">
            <v>304171.57509915665</v>
          </cell>
          <cell r="P204">
            <v>63876030.770822898</v>
          </cell>
          <cell r="Q204">
            <v>304171.57509915665</v>
          </cell>
          <cell r="R204">
            <v>63876030.770822898</v>
          </cell>
          <cell r="S204">
            <v>304171.57509915665</v>
          </cell>
          <cell r="T204">
            <v>63876030.770822898</v>
          </cell>
          <cell r="U204">
            <v>304171.57509915665</v>
          </cell>
          <cell r="V204">
            <v>63876030.770822898</v>
          </cell>
          <cell r="W204">
            <v>304171.57509915665</v>
          </cell>
          <cell r="X204">
            <v>63876030.770822898</v>
          </cell>
          <cell r="Y204">
            <v>304171.57509915665</v>
          </cell>
          <cell r="Z204">
            <v>63876030.770822898</v>
          </cell>
          <cell r="AA204">
            <v>304171.57509915665</v>
          </cell>
          <cell r="AB204">
            <v>63876030.770822898</v>
          </cell>
          <cell r="AC204">
            <v>304171.57509915659</v>
          </cell>
        </row>
        <row r="205">
          <cell r="C205" t="str">
            <v>Contribution Margin</v>
          </cell>
          <cell r="E205">
            <v>32784.946639973787</v>
          </cell>
          <cell r="F205">
            <v>6884838.7943944931</v>
          </cell>
          <cell r="G205">
            <v>32784.946639973787</v>
          </cell>
          <cell r="H205">
            <v>6884838.7943944931</v>
          </cell>
          <cell r="I205">
            <v>32784.946639973787</v>
          </cell>
          <cell r="J205">
            <v>6884838.7943944931</v>
          </cell>
          <cell r="K205">
            <v>32784.946639973787</v>
          </cell>
          <cell r="L205">
            <v>6884838.7943944931</v>
          </cell>
          <cell r="M205">
            <v>32784.946639973787</v>
          </cell>
          <cell r="N205">
            <v>6884838.7943944931</v>
          </cell>
          <cell r="O205">
            <v>32784.946639973787</v>
          </cell>
          <cell r="P205">
            <v>6884838.7943944931</v>
          </cell>
          <cell r="Q205">
            <v>32784.946639973787</v>
          </cell>
          <cell r="R205">
            <v>6884838.7943944931</v>
          </cell>
          <cell r="S205">
            <v>32784.946639973787</v>
          </cell>
          <cell r="T205">
            <v>6884838.7943944931</v>
          </cell>
          <cell r="U205">
            <v>32784.946639973787</v>
          </cell>
          <cell r="V205">
            <v>6884838.7943944931</v>
          </cell>
          <cell r="W205">
            <v>32784.946639973787</v>
          </cell>
          <cell r="X205">
            <v>6884838.7943944931</v>
          </cell>
          <cell r="Y205">
            <v>32784.946639973787</v>
          </cell>
          <cell r="Z205">
            <v>6884838.7943944931</v>
          </cell>
          <cell r="AA205">
            <v>32784.946639973787</v>
          </cell>
          <cell r="AB205">
            <v>6884838.7943944931</v>
          </cell>
          <cell r="AC205">
            <v>32784.946639973845</v>
          </cell>
          <cell r="AE205" t="str">
            <v>Contribution Margin</v>
          </cell>
        </row>
        <row r="207">
          <cell r="C207" t="str">
            <v>Production cost</v>
          </cell>
          <cell r="AE207" t="str">
            <v>Production cost</v>
          </cell>
        </row>
        <row r="208">
          <cell r="D208" t="str">
            <v xml:space="preserve">Salaries &amp; Wages </v>
          </cell>
          <cell r="E208">
            <v>4619.3194081365082</v>
          </cell>
          <cell r="F208">
            <v>970057.0757086667</v>
          </cell>
          <cell r="G208">
            <v>4619.3194081365082</v>
          </cell>
          <cell r="H208">
            <v>970057.0757086667</v>
          </cell>
          <cell r="I208">
            <v>4619.3194081365082</v>
          </cell>
          <cell r="J208">
            <v>970057.0757086667</v>
          </cell>
          <cell r="K208">
            <v>4619.3194081365082</v>
          </cell>
          <cell r="L208">
            <v>970057.0757086667</v>
          </cell>
          <cell r="M208">
            <v>4619.3194081365082</v>
          </cell>
          <cell r="N208">
            <v>970057.0757086667</v>
          </cell>
          <cell r="O208">
            <v>4619.3194081365082</v>
          </cell>
          <cell r="P208">
            <v>970057.0757086667</v>
          </cell>
          <cell r="Q208">
            <v>3959.4166355455786</v>
          </cell>
          <cell r="R208">
            <v>831477.49346457154</v>
          </cell>
          <cell r="S208">
            <v>3959.4166355455786</v>
          </cell>
          <cell r="T208">
            <v>831477.49346457154</v>
          </cell>
          <cell r="U208">
            <v>3959.4166355455786</v>
          </cell>
          <cell r="V208">
            <v>831477.49346457154</v>
          </cell>
          <cell r="W208">
            <v>3959.4166355455786</v>
          </cell>
          <cell r="X208">
            <v>831477.49346457154</v>
          </cell>
          <cell r="Y208">
            <v>3959.4166355455786</v>
          </cell>
          <cell r="Z208">
            <v>831477.49346457154</v>
          </cell>
          <cell r="AA208">
            <v>3959.4166355455786</v>
          </cell>
          <cell r="AB208">
            <v>831477.49346457154</v>
          </cell>
          <cell r="AC208">
            <v>4289.3680218410445</v>
          </cell>
          <cell r="AF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F209" t="str">
            <v xml:space="preserve">Utilities </v>
          </cell>
        </row>
        <row r="210">
          <cell r="D210" t="str">
            <v>Depreciation</v>
          </cell>
          <cell r="E210">
            <v>19315.555555555558</v>
          </cell>
          <cell r="F210">
            <v>4056266.6666666674</v>
          </cell>
          <cell r="G210">
            <v>19315.555555555558</v>
          </cell>
          <cell r="H210">
            <v>4056266.6666666674</v>
          </cell>
          <cell r="I210">
            <v>19315.555555555558</v>
          </cell>
          <cell r="J210">
            <v>4056266.6666666674</v>
          </cell>
          <cell r="K210">
            <v>19315.555555555558</v>
          </cell>
          <cell r="L210">
            <v>4056266.6666666674</v>
          </cell>
          <cell r="M210">
            <v>19315.555555555558</v>
          </cell>
          <cell r="N210">
            <v>4056266.6666666674</v>
          </cell>
          <cell r="O210">
            <v>19315.555555555558</v>
          </cell>
          <cell r="P210">
            <v>4056266.6666666674</v>
          </cell>
          <cell r="Q210">
            <v>16556.190476190477</v>
          </cell>
          <cell r="R210">
            <v>3476800</v>
          </cell>
          <cell r="S210">
            <v>16556.190476190477</v>
          </cell>
          <cell r="T210">
            <v>3476800</v>
          </cell>
          <cell r="U210">
            <v>16556.190476190477</v>
          </cell>
          <cell r="V210">
            <v>3476800</v>
          </cell>
          <cell r="W210">
            <v>16556.190476190477</v>
          </cell>
          <cell r="X210">
            <v>3476800</v>
          </cell>
          <cell r="Y210">
            <v>16556.190476190477</v>
          </cell>
          <cell r="Z210">
            <v>3476800</v>
          </cell>
          <cell r="AA210">
            <v>16556.190476190477</v>
          </cell>
          <cell r="AB210">
            <v>3476800</v>
          </cell>
          <cell r="AC210">
            <v>17935.873015873014</v>
          </cell>
          <cell r="AF210" t="str">
            <v>Depreciation</v>
          </cell>
        </row>
        <row r="211">
          <cell r="D211" t="str">
            <v xml:space="preserve">Other Factory overhead </v>
          </cell>
          <cell r="E211">
            <v>2884.1866359118612</v>
          </cell>
          <cell r="F211">
            <v>605679.19354149082</v>
          </cell>
          <cell r="G211">
            <v>2884.1866359118612</v>
          </cell>
          <cell r="H211">
            <v>605679.19354149082</v>
          </cell>
          <cell r="I211">
            <v>2884.1866359118612</v>
          </cell>
          <cell r="J211">
            <v>605679.19354149082</v>
          </cell>
          <cell r="K211">
            <v>2884.1866359118612</v>
          </cell>
          <cell r="L211">
            <v>605679.19354149082</v>
          </cell>
          <cell r="M211">
            <v>2884.1866359118612</v>
          </cell>
          <cell r="N211">
            <v>605679.19354149082</v>
          </cell>
          <cell r="O211">
            <v>2884.1866359118612</v>
          </cell>
          <cell r="P211">
            <v>605679.19354149082</v>
          </cell>
          <cell r="Q211">
            <v>2472.1599736387384</v>
          </cell>
          <cell r="R211">
            <v>519153.59446413507</v>
          </cell>
          <cell r="S211">
            <v>2472.1599736387384</v>
          </cell>
          <cell r="T211">
            <v>519153.59446413507</v>
          </cell>
          <cell r="U211">
            <v>2472.1599736387384</v>
          </cell>
          <cell r="V211">
            <v>519153.59446413507</v>
          </cell>
          <cell r="W211">
            <v>2472.1599736387384</v>
          </cell>
          <cell r="X211">
            <v>519153.59446413507</v>
          </cell>
          <cell r="Y211">
            <v>2472.1599736387384</v>
          </cell>
          <cell r="Z211">
            <v>519153.59446413507</v>
          </cell>
          <cell r="AA211">
            <v>2472.1599736387384</v>
          </cell>
          <cell r="AB211">
            <v>519153.59446413507</v>
          </cell>
          <cell r="AC211">
            <v>2678.1733047753005</v>
          </cell>
          <cell r="AF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F212" t="str">
            <v>Running Royalty</v>
          </cell>
        </row>
        <row r="213">
          <cell r="E213">
            <v>26819.061599603927</v>
          </cell>
          <cell r="F213">
            <v>5632002.9359168243</v>
          </cell>
          <cell r="G213">
            <v>26819.061599603927</v>
          </cell>
          <cell r="H213">
            <v>5632002.9359168243</v>
          </cell>
          <cell r="I213">
            <v>26819.061599603927</v>
          </cell>
          <cell r="J213">
            <v>5632002.9359168243</v>
          </cell>
          <cell r="K213">
            <v>26819.061599603927</v>
          </cell>
          <cell r="L213">
            <v>5632002.9359168243</v>
          </cell>
          <cell r="M213">
            <v>26819.061599603927</v>
          </cell>
          <cell r="N213">
            <v>5632002.9359168243</v>
          </cell>
          <cell r="O213">
            <v>26819.061599603927</v>
          </cell>
          <cell r="P213">
            <v>5632002.9359168243</v>
          </cell>
          <cell r="Q213">
            <v>22987.767085374795</v>
          </cell>
          <cell r="R213">
            <v>4827431.0879287068</v>
          </cell>
          <cell r="S213">
            <v>22987.767085374795</v>
          </cell>
          <cell r="T213">
            <v>4827431.0879287068</v>
          </cell>
          <cell r="U213">
            <v>22987.767085374795</v>
          </cell>
          <cell r="V213">
            <v>4827431.0879287068</v>
          </cell>
          <cell r="W213">
            <v>22987.767085374795</v>
          </cell>
          <cell r="X213">
            <v>4827431.0879287068</v>
          </cell>
          <cell r="Y213">
            <v>22987.767085374795</v>
          </cell>
          <cell r="Z213">
            <v>4827431.0879287068</v>
          </cell>
          <cell r="AA213">
            <v>22987.767085374795</v>
          </cell>
          <cell r="AB213">
            <v>4827431.0879287068</v>
          </cell>
          <cell r="AC213">
            <v>24903.414342489359</v>
          </cell>
        </row>
        <row r="214">
          <cell r="C214" t="str">
            <v>Gross Profit</v>
          </cell>
          <cell r="E214">
            <v>5965.8850403698598</v>
          </cell>
          <cell r="F214">
            <v>1252835.8584776688</v>
          </cell>
          <cell r="G214">
            <v>5965.8850403698598</v>
          </cell>
          <cell r="H214">
            <v>1252835.8584776688</v>
          </cell>
          <cell r="I214">
            <v>5965.8850403698598</v>
          </cell>
          <cell r="J214">
            <v>1252835.8584776688</v>
          </cell>
          <cell r="K214">
            <v>5965.8850403698598</v>
          </cell>
          <cell r="L214">
            <v>1252835.8584776688</v>
          </cell>
          <cell r="M214">
            <v>5965.8850403698598</v>
          </cell>
          <cell r="N214">
            <v>1252835.8584776688</v>
          </cell>
          <cell r="O214">
            <v>5965.8850403698598</v>
          </cell>
          <cell r="P214">
            <v>1252835.8584776688</v>
          </cell>
          <cell r="Q214">
            <v>9797.1795545989917</v>
          </cell>
          <cell r="R214">
            <v>2057407.7064657863</v>
          </cell>
          <cell r="S214">
            <v>9797.1795545989917</v>
          </cell>
          <cell r="T214">
            <v>2057407.7064657863</v>
          </cell>
          <cell r="U214">
            <v>9797.1795545989917</v>
          </cell>
          <cell r="V214">
            <v>2057407.7064657863</v>
          </cell>
          <cell r="W214">
            <v>9797.1795545989917</v>
          </cell>
          <cell r="X214">
            <v>2057407.7064657863</v>
          </cell>
          <cell r="Y214">
            <v>9797.1795545989917</v>
          </cell>
          <cell r="Z214">
            <v>2057407.7064657863</v>
          </cell>
          <cell r="AA214">
            <v>9797.1795545989917</v>
          </cell>
          <cell r="AB214">
            <v>2057407.7064657863</v>
          </cell>
          <cell r="AC214">
            <v>7881.5322974844858</v>
          </cell>
          <cell r="AE214" t="str">
            <v>Gross Profit</v>
          </cell>
        </row>
        <row r="215">
          <cell r="E215">
            <v>1.770520721658152</v>
          </cell>
          <cell r="F215">
            <v>1.7705207216581496</v>
          </cell>
          <cell r="G215">
            <v>1.770520721658152</v>
          </cell>
          <cell r="H215">
            <v>1.7705207216581496</v>
          </cell>
          <cell r="I215">
            <v>1.770520721658152</v>
          </cell>
          <cell r="J215">
            <v>1.7705207216581496</v>
          </cell>
          <cell r="K215">
            <v>1.770520721658152</v>
          </cell>
          <cell r="L215">
            <v>1.7705207216581496</v>
          </cell>
          <cell r="M215">
            <v>1.770520721658152</v>
          </cell>
          <cell r="N215">
            <v>1.7705207216581496</v>
          </cell>
          <cell r="O215">
            <v>1.770520721658152</v>
          </cell>
          <cell r="P215">
            <v>1.7705207216581496</v>
          </cell>
          <cell r="Q215">
            <v>2.9075500613648622</v>
          </cell>
          <cell r="R215">
            <v>2.9075500613648595</v>
          </cell>
          <cell r="S215">
            <v>2.9075500613648622</v>
          </cell>
          <cell r="T215">
            <v>2.9075500613648595</v>
          </cell>
          <cell r="U215">
            <v>2.9075500613648622</v>
          </cell>
          <cell r="V215">
            <v>2.9075500613648595</v>
          </cell>
          <cell r="W215">
            <v>2.9075500613648622</v>
          </cell>
          <cell r="X215">
            <v>2.9075500613648595</v>
          </cell>
          <cell r="Y215">
            <v>2.9075500613648622</v>
          </cell>
          <cell r="Z215">
            <v>2.9075500613648595</v>
          </cell>
          <cell r="AA215">
            <v>2.9075500613648622</v>
          </cell>
          <cell r="AB215">
            <v>2.9075500613648595</v>
          </cell>
          <cell r="AC215">
            <v>2.3390353915115245</v>
          </cell>
        </row>
        <row r="216">
          <cell r="C216" t="str">
            <v>Other Expenses</v>
          </cell>
          <cell r="AE216" t="str">
            <v>Other Expenses</v>
          </cell>
        </row>
        <row r="217">
          <cell r="D217" t="str">
            <v>Selling Expenses</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F217" t="str">
            <v>Selling Expenses</v>
          </cell>
        </row>
        <row r="218">
          <cell r="D218" t="str">
            <v>Advertisement Expenses</v>
          </cell>
          <cell r="E218">
            <v>10890.595130119307</v>
          </cell>
          <cell r="F218">
            <v>2287024.9773250544</v>
          </cell>
          <cell r="G218">
            <v>19074.844763831719</v>
          </cell>
          <cell r="H218">
            <v>4005717.400404661</v>
          </cell>
          <cell r="I218">
            <v>586.91830042559138</v>
          </cell>
          <cell r="J218">
            <v>123252.84308937419</v>
          </cell>
          <cell r="K218">
            <v>2441.4170969092306</v>
          </cell>
          <cell r="L218">
            <v>512697.59035093844</v>
          </cell>
          <cell r="M218">
            <v>10786.498384911953</v>
          </cell>
          <cell r="N218">
            <v>2265164.6608315101</v>
          </cell>
          <cell r="O218">
            <v>11537.251658504394</v>
          </cell>
          <cell r="P218">
            <v>2422822.8482859228</v>
          </cell>
          <cell r="Q218">
            <v>19357.842486060854</v>
          </cell>
          <cell r="R218">
            <v>4065146.9220727794</v>
          </cell>
          <cell r="S218">
            <v>138.66649345315798</v>
          </cell>
          <cell r="T218">
            <v>29119.963625163178</v>
          </cell>
          <cell r="U218">
            <v>138.66649345315798</v>
          </cell>
          <cell r="V218">
            <v>29119.963625163178</v>
          </cell>
          <cell r="W218">
            <v>15599.980513480272</v>
          </cell>
          <cell r="X218">
            <v>3275995.9078308572</v>
          </cell>
          <cell r="Y218">
            <v>9013.3220744552673</v>
          </cell>
          <cell r="Z218">
            <v>1892797.635635606</v>
          </cell>
          <cell r="AA218">
            <v>1525.3314279847375</v>
          </cell>
          <cell r="AB218">
            <v>320319.59987679485</v>
          </cell>
          <cell r="AC218">
            <v>8424.2779019658046</v>
          </cell>
        </row>
        <row r="219">
          <cell r="D219" t="str">
            <v>Administrative Expenses</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F219" t="str">
            <v>Administrative Expenses</v>
          </cell>
        </row>
        <row r="220">
          <cell r="D220" t="str">
            <v>Depreciation (Admin. &amp; Selling )</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F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F221" t="str">
            <v>Financial Charges -Capital Exp.</v>
          </cell>
        </row>
        <row r="222">
          <cell r="D222" t="str">
            <v>Financial  Charges -Working Capital</v>
          </cell>
          <cell r="E222">
            <v>201.57918431275289</v>
          </cell>
          <cell r="F222">
            <v>42331.628705678108</v>
          </cell>
          <cell r="G222">
            <v>178.4251077933327</v>
          </cell>
          <cell r="H222">
            <v>37469.272636599868</v>
          </cell>
          <cell r="I222">
            <v>175.55668509273093</v>
          </cell>
          <cell r="J222">
            <v>36866.903869473492</v>
          </cell>
          <cell r="K222">
            <v>160.53201526974851</v>
          </cell>
          <cell r="L222">
            <v>33711.723206647184</v>
          </cell>
          <cell r="M222">
            <v>214.5866255466828</v>
          </cell>
          <cell r="N222">
            <v>45063.191364803388</v>
          </cell>
          <cell r="O222">
            <v>207.35917650875876</v>
          </cell>
          <cell r="P222">
            <v>43545.427066839344</v>
          </cell>
          <cell r="Q222">
            <v>157.4713934840606</v>
          </cell>
          <cell r="R222">
            <v>33068.992631652727</v>
          </cell>
          <cell r="S222">
            <v>198.17331480982742</v>
          </cell>
          <cell r="T222">
            <v>41616.396110063761</v>
          </cell>
          <cell r="U222">
            <v>184.65378229632779</v>
          </cell>
          <cell r="V222">
            <v>38777.294282228839</v>
          </cell>
          <cell r="W222">
            <v>192.32717619631876</v>
          </cell>
          <cell r="X222">
            <v>40388.70700122694</v>
          </cell>
          <cell r="Y222">
            <v>193.74054120384864</v>
          </cell>
          <cell r="Z222">
            <v>40685.513652808215</v>
          </cell>
          <cell r="AA222">
            <v>186.90086739142365</v>
          </cell>
          <cell r="AB222">
            <v>39249.182152198962</v>
          </cell>
          <cell r="AC222">
            <v>187.60882249215112</v>
          </cell>
          <cell r="AF222" t="str">
            <v>Financial  Charges -Working Capital</v>
          </cell>
        </row>
        <row r="223">
          <cell r="D223" t="str">
            <v>Other Expenses (Charity &amp; Donation)</v>
          </cell>
          <cell r="E223">
            <v>139.98554466163398</v>
          </cell>
          <cell r="F223">
            <v>29396.964378943136</v>
          </cell>
          <cell r="G223">
            <v>123.90632485648104</v>
          </cell>
          <cell r="H223">
            <v>26020.328219861018</v>
          </cell>
          <cell r="I223">
            <v>121.91436464772984</v>
          </cell>
          <cell r="J223">
            <v>25602.016576023267</v>
          </cell>
          <cell r="K223">
            <v>111.48056615954759</v>
          </cell>
          <cell r="L223">
            <v>23410.918893504993</v>
          </cell>
          <cell r="M223">
            <v>149.01848996297417</v>
          </cell>
          <cell r="N223">
            <v>31293.882892224578</v>
          </cell>
          <cell r="O223">
            <v>143.99942813108245</v>
          </cell>
          <cell r="P223">
            <v>30239.879907527316</v>
          </cell>
          <cell r="Q223">
            <v>109.35513436393099</v>
          </cell>
          <cell r="R223">
            <v>22964.578216425507</v>
          </cell>
          <cell r="S223">
            <v>137.6203575068246</v>
          </cell>
          <cell r="T223">
            <v>28900.275076433169</v>
          </cell>
          <cell r="U223">
            <v>128.23179326133877</v>
          </cell>
          <cell r="V223">
            <v>26928.676584881141</v>
          </cell>
          <cell r="W223">
            <v>133.56053902522137</v>
          </cell>
          <cell r="X223">
            <v>28047.713195296488</v>
          </cell>
          <cell r="Y223">
            <v>134.54204250267267</v>
          </cell>
          <cell r="Z223">
            <v>28253.828925561262</v>
          </cell>
          <cell r="AA223">
            <v>129.79226902182199</v>
          </cell>
          <cell r="AB223">
            <v>27256.376494582619</v>
          </cell>
          <cell r="AC223">
            <v>130.2839045084383</v>
          </cell>
          <cell r="AF223" t="str">
            <v>Other Expenses (Charity &amp; Donation)</v>
          </cell>
        </row>
        <row r="224">
          <cell r="D224" t="str">
            <v>Other Expenses ( W.P.P.F.)</v>
          </cell>
          <cell r="E224">
            <v>-99.685419286180618</v>
          </cell>
          <cell r="F224">
            <v>-20933.938050097931</v>
          </cell>
          <cell r="G224">
            <v>-516.01336466537521</v>
          </cell>
          <cell r="H224">
            <v>-108362.8065797288</v>
          </cell>
          <cell r="I224">
            <v>429.23507108313538</v>
          </cell>
          <cell r="J224">
            <v>90139.364927458431</v>
          </cell>
          <cell r="K224">
            <v>335.74469975652045</v>
          </cell>
          <cell r="L224">
            <v>70506.386948869287</v>
          </cell>
          <cell r="M224">
            <v>-83.654529301236565</v>
          </cell>
          <cell r="N224">
            <v>-17567.451153259677</v>
          </cell>
          <cell r="O224">
            <v>-121.56749282883391</v>
          </cell>
          <cell r="P224">
            <v>-25529.173494055121</v>
          </cell>
          <cell r="Q224">
            <v>-311.31446684236766</v>
          </cell>
          <cell r="R224">
            <v>-65376.038036897211</v>
          </cell>
          <cell r="S224">
            <v>675.13296289914501</v>
          </cell>
          <cell r="T224">
            <v>141777.92220882044</v>
          </cell>
          <cell r="U224">
            <v>676.31298309356544</v>
          </cell>
          <cell r="V224">
            <v>142025.72644964873</v>
          </cell>
          <cell r="W224">
            <v>-120.78534224496495</v>
          </cell>
          <cell r="X224">
            <v>-25364.921871442639</v>
          </cell>
          <cell r="Y224">
            <v>218.37700984244069</v>
          </cell>
          <cell r="Z224">
            <v>45859.172066912543</v>
          </cell>
          <cell r="AA224">
            <v>604.68828019460864</v>
          </cell>
          <cell r="AB224">
            <v>126984.53884086781</v>
          </cell>
          <cell r="AC224">
            <v>140.53919930837139</v>
          </cell>
          <cell r="AF224" t="str">
            <v>Other Expenses ( W.P.P.F.)</v>
          </cell>
        </row>
        <row r="225">
          <cell r="D225" t="str">
            <v>Workers Welfare Fund</v>
          </cell>
          <cell r="E225">
            <v>-37.880459328748636</v>
          </cell>
          <cell r="F225">
            <v>-7954.8964590372134</v>
          </cell>
          <cell r="G225">
            <v>-196.08507857284258</v>
          </cell>
          <cell r="H225">
            <v>-41177.866500296943</v>
          </cell>
          <cell r="I225">
            <v>163.10932701159146</v>
          </cell>
          <cell r="J225">
            <v>34252.958672434208</v>
          </cell>
          <cell r="K225">
            <v>127.58298590747775</v>
          </cell>
          <cell r="L225">
            <v>26792.427040570328</v>
          </cell>
          <cell r="M225">
            <v>-31.788721134469881</v>
          </cell>
          <cell r="N225">
            <v>-6675.6314382386754</v>
          </cell>
          <cell r="O225">
            <v>-46.195647274956897</v>
          </cell>
          <cell r="P225">
            <v>-9701.085927740949</v>
          </cell>
          <cell r="Q225">
            <v>-118.29949740009971</v>
          </cell>
          <cell r="R225">
            <v>-24842.894454020938</v>
          </cell>
          <cell r="S225">
            <v>256.55052590167514</v>
          </cell>
          <cell r="T225">
            <v>53875.610439351782</v>
          </cell>
          <cell r="U225">
            <v>256.99893357555482</v>
          </cell>
          <cell r="V225">
            <v>53969.776050866509</v>
          </cell>
          <cell r="W225">
            <v>-45.898430053086649</v>
          </cell>
          <cell r="X225">
            <v>-9638.6703111481966</v>
          </cell>
          <cell r="Y225">
            <v>82.983263740127455</v>
          </cell>
          <cell r="Z225">
            <v>17426.485385426764</v>
          </cell>
          <cell r="AA225">
            <v>229.78154647395132</v>
          </cell>
          <cell r="AB225">
            <v>48254.124759529775</v>
          </cell>
          <cell r="AC225">
            <v>53.404895737181135</v>
          </cell>
          <cell r="AF225" t="str">
            <v>Workers Welfare Fund</v>
          </cell>
        </row>
        <row r="226">
          <cell r="E226">
            <v>11094.593980478767</v>
          </cell>
          <cell r="F226">
            <v>2329864.7359005404</v>
          </cell>
          <cell r="G226">
            <v>18665.077753243317</v>
          </cell>
          <cell r="H226">
            <v>3919666.3281810959</v>
          </cell>
          <cell r="I226">
            <v>1476.7337482607788</v>
          </cell>
          <cell r="J226">
            <v>310114.0871347636</v>
          </cell>
          <cell r="K226">
            <v>3176.7573640025248</v>
          </cell>
          <cell r="L226">
            <v>667119.04644053022</v>
          </cell>
          <cell r="M226">
            <v>11034.660249985904</v>
          </cell>
          <cell r="N226">
            <v>2317278.6524970396</v>
          </cell>
          <cell r="O226">
            <v>11720.847123040445</v>
          </cell>
          <cell r="P226">
            <v>2461377.8958384935</v>
          </cell>
          <cell r="Q226">
            <v>19195.055049666378</v>
          </cell>
          <cell r="R226">
            <v>4030961.5604299395</v>
          </cell>
          <cell r="S226">
            <v>1406.1436545706304</v>
          </cell>
          <cell r="T226">
            <v>295290.16745983233</v>
          </cell>
          <cell r="U226">
            <v>1384.863985679945</v>
          </cell>
          <cell r="V226">
            <v>290821.4369927884</v>
          </cell>
          <cell r="W226">
            <v>15759.184456403762</v>
          </cell>
          <cell r="X226">
            <v>3309428.7358447895</v>
          </cell>
          <cell r="Y226">
            <v>9642.9649317443564</v>
          </cell>
          <cell r="Z226">
            <v>2025022.6356663147</v>
          </cell>
          <cell r="AA226">
            <v>2676.4943910665434</v>
          </cell>
          <cell r="AB226">
            <v>562063.8221239741</v>
          </cell>
          <cell r="AC226">
            <v>8936.1147240119462</v>
          </cell>
        </row>
        <row r="227">
          <cell r="D227" t="str">
            <v>Operating Profit</v>
          </cell>
          <cell r="E227">
            <v>-5128.708940108907</v>
          </cell>
          <cell r="F227">
            <v>-1077028.8774228715</v>
          </cell>
          <cell r="G227">
            <v>-12699.192712873457</v>
          </cell>
          <cell r="H227">
            <v>-2666830.4697034271</v>
          </cell>
          <cell r="I227">
            <v>4489.1512921090807</v>
          </cell>
          <cell r="J227">
            <v>942721.77134290524</v>
          </cell>
          <cell r="K227">
            <v>2789.127676367335</v>
          </cell>
          <cell r="L227">
            <v>585716.81203713862</v>
          </cell>
          <cell r="M227">
            <v>-5068.7752096160439</v>
          </cell>
          <cell r="N227">
            <v>-1064442.7940193708</v>
          </cell>
          <cell r="O227">
            <v>-5754.962082670585</v>
          </cell>
          <cell r="P227">
            <v>-1208542.0373608246</v>
          </cell>
          <cell r="Q227">
            <v>-9397.8754950673865</v>
          </cell>
          <cell r="R227">
            <v>-1973553.8539641532</v>
          </cell>
          <cell r="S227">
            <v>8391.0359000283606</v>
          </cell>
          <cell r="T227">
            <v>1762117.5390059541</v>
          </cell>
          <cell r="U227">
            <v>8412.3155689190462</v>
          </cell>
          <cell r="V227">
            <v>1766586.2694729979</v>
          </cell>
          <cell r="W227">
            <v>-5962.0049018047703</v>
          </cell>
          <cell r="X227">
            <v>-1252021.0293790032</v>
          </cell>
          <cell r="Y227">
            <v>154.21462285463531</v>
          </cell>
          <cell r="Z227">
            <v>32385.070799471578</v>
          </cell>
          <cell r="AA227">
            <v>7120.6851635324483</v>
          </cell>
          <cell r="AB227">
            <v>1495343.8843418122</v>
          </cell>
          <cell r="AC227">
            <v>-1054.5824265274605</v>
          </cell>
          <cell r="AF227" t="str">
            <v>Operating Profit</v>
          </cell>
        </row>
        <row r="229">
          <cell r="C229" t="str">
            <v>Other Income</v>
          </cell>
          <cell r="AE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F230" t="str">
            <v>H.D</v>
          </cell>
        </row>
        <row r="231">
          <cell r="D231" t="str">
            <v>Others</v>
          </cell>
          <cell r="E231">
            <v>3111.1111111111113</v>
          </cell>
          <cell r="F231">
            <v>653333.33333333337</v>
          </cell>
          <cell r="G231">
            <v>3111.1111111111113</v>
          </cell>
          <cell r="H231">
            <v>653333.33333333337</v>
          </cell>
          <cell r="I231">
            <v>3111.1111111111113</v>
          </cell>
          <cell r="J231">
            <v>653333.33333333337</v>
          </cell>
          <cell r="K231">
            <v>3111.1111111111113</v>
          </cell>
          <cell r="L231">
            <v>653333.33333333337</v>
          </cell>
          <cell r="M231">
            <v>3111.1111111111113</v>
          </cell>
          <cell r="N231">
            <v>653333.33333333337</v>
          </cell>
          <cell r="O231">
            <v>3111.1111111111113</v>
          </cell>
          <cell r="P231">
            <v>653333.33333333337</v>
          </cell>
          <cell r="Q231">
            <v>2666.666666666667</v>
          </cell>
          <cell r="R231">
            <v>560000.00000000012</v>
          </cell>
          <cell r="S231">
            <v>2666.666666666667</v>
          </cell>
          <cell r="T231">
            <v>560000.00000000012</v>
          </cell>
          <cell r="U231">
            <v>2666.666666666667</v>
          </cell>
          <cell r="V231">
            <v>560000.00000000012</v>
          </cell>
          <cell r="W231">
            <v>2666.666666666667</v>
          </cell>
          <cell r="X231">
            <v>560000.00000000012</v>
          </cell>
          <cell r="Y231">
            <v>2666.666666666667</v>
          </cell>
          <cell r="Z231">
            <v>560000.00000000012</v>
          </cell>
          <cell r="AA231">
            <v>2666.666666666667</v>
          </cell>
          <cell r="AB231">
            <v>560000.00000000012</v>
          </cell>
          <cell r="AC231">
            <v>2888.8888888888891</v>
          </cell>
          <cell r="AF231" t="str">
            <v>Others</v>
          </cell>
        </row>
        <row r="232">
          <cell r="E232">
            <v>3111.1111111111113</v>
          </cell>
          <cell r="F232">
            <v>653333.33333333337</v>
          </cell>
          <cell r="G232">
            <v>3111.1111111111113</v>
          </cell>
          <cell r="H232">
            <v>653333.33333333337</v>
          </cell>
          <cell r="I232">
            <v>3111.1111111111113</v>
          </cell>
          <cell r="J232">
            <v>653333.33333333337</v>
          </cell>
          <cell r="K232">
            <v>3111.1111111111113</v>
          </cell>
          <cell r="L232">
            <v>653333.33333333337</v>
          </cell>
          <cell r="M232">
            <v>3111.1111111111113</v>
          </cell>
          <cell r="N232">
            <v>653333.33333333337</v>
          </cell>
          <cell r="O232">
            <v>3111.1111111111113</v>
          </cell>
          <cell r="P232">
            <v>653333.33333333337</v>
          </cell>
          <cell r="Q232">
            <v>2666.666666666667</v>
          </cell>
          <cell r="R232">
            <v>560000.00000000012</v>
          </cell>
          <cell r="S232">
            <v>2666.666666666667</v>
          </cell>
          <cell r="T232">
            <v>560000.00000000012</v>
          </cell>
          <cell r="U232">
            <v>2666.666666666667</v>
          </cell>
          <cell r="V232">
            <v>560000.00000000012</v>
          </cell>
          <cell r="W232">
            <v>2666.666666666667</v>
          </cell>
          <cell r="X232">
            <v>560000.00000000012</v>
          </cell>
          <cell r="Y232">
            <v>2666.666666666667</v>
          </cell>
          <cell r="Z232">
            <v>560000.00000000012</v>
          </cell>
          <cell r="AA232">
            <v>2666.666666666667</v>
          </cell>
          <cell r="AB232">
            <v>560000.00000000012</v>
          </cell>
          <cell r="AC232">
            <v>2888.8888888888891</v>
          </cell>
        </row>
        <row r="234">
          <cell r="C234" t="str">
            <v>Profit before tax</v>
          </cell>
          <cell r="E234">
            <v>-2017.5978289977957</v>
          </cell>
          <cell r="F234">
            <v>-423695.54408953816</v>
          </cell>
          <cell r="G234">
            <v>-9588.0816017623456</v>
          </cell>
          <cell r="H234">
            <v>-2013497.1363700936</v>
          </cell>
          <cell r="I234">
            <v>7600.262403220192</v>
          </cell>
          <cell r="J234">
            <v>1596055.1046762387</v>
          </cell>
          <cell r="K234">
            <v>5900.2387874784463</v>
          </cell>
          <cell r="L234">
            <v>1239050.145370472</v>
          </cell>
          <cell r="M234">
            <v>-1957.6640985049326</v>
          </cell>
          <cell r="N234">
            <v>-411109.46068603743</v>
          </cell>
          <cell r="O234">
            <v>-2643.8509715594737</v>
          </cell>
          <cell r="P234">
            <v>-555208.70402749127</v>
          </cell>
          <cell r="Q234">
            <v>-6731.2088284007195</v>
          </cell>
          <cell r="R234">
            <v>-1413553.8539641532</v>
          </cell>
          <cell r="S234">
            <v>11057.702566695029</v>
          </cell>
          <cell r="T234">
            <v>2322117.5390059543</v>
          </cell>
          <cell r="U234">
            <v>11078.982235585714</v>
          </cell>
          <cell r="V234">
            <v>2326586.2694729981</v>
          </cell>
          <cell r="W234">
            <v>-3295.3382351381033</v>
          </cell>
          <cell r="X234">
            <v>-692021.0293790031</v>
          </cell>
          <cell r="Y234">
            <v>2820.8812895213023</v>
          </cell>
          <cell r="Z234">
            <v>592385.07079947169</v>
          </cell>
          <cell r="AA234">
            <v>9787.3518301991153</v>
          </cell>
          <cell r="AB234">
            <v>2055343.8843418122</v>
          </cell>
          <cell r="AC234">
            <v>1834.3064623614287</v>
          </cell>
          <cell r="AE234" t="str">
            <v>Profit before tax</v>
          </cell>
        </row>
        <row r="236">
          <cell r="C236" t="str">
            <v>Taxation</v>
          </cell>
          <cell r="AE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F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F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-2017.5978289977957</v>
          </cell>
          <cell r="F241">
            <v>-423695.54408953816</v>
          </cell>
          <cell r="G241">
            <v>-9588.0816017623456</v>
          </cell>
          <cell r="H241">
            <v>-2013497.1363700936</v>
          </cell>
          <cell r="I241">
            <v>7600.262403220192</v>
          </cell>
          <cell r="J241">
            <v>1596055.1046762387</v>
          </cell>
          <cell r="K241">
            <v>5900.2387874784463</v>
          </cell>
          <cell r="L241">
            <v>1239050.145370472</v>
          </cell>
          <cell r="M241">
            <v>-1957.6640985049326</v>
          </cell>
          <cell r="N241">
            <v>-411109.46068603743</v>
          </cell>
          <cell r="O241">
            <v>-2643.8509715594737</v>
          </cell>
          <cell r="P241">
            <v>-555208.70402749127</v>
          </cell>
          <cell r="Q241">
            <v>-6731.2088284007195</v>
          </cell>
          <cell r="R241">
            <v>-1413553.8539641532</v>
          </cell>
          <cell r="S241">
            <v>11057.702566695029</v>
          </cell>
          <cell r="T241">
            <v>2322117.5390059543</v>
          </cell>
          <cell r="U241">
            <v>11078.982235585714</v>
          </cell>
          <cell r="V241">
            <v>2326586.2694729981</v>
          </cell>
          <cell r="W241">
            <v>-3295.3382351381033</v>
          </cell>
          <cell r="X241">
            <v>-692021.0293790031</v>
          </cell>
          <cell r="Y241">
            <v>2820.8812895213023</v>
          </cell>
          <cell r="Z241">
            <v>592385.07079947169</v>
          </cell>
          <cell r="AA241">
            <v>9787.3518301991153</v>
          </cell>
          <cell r="AB241">
            <v>2055343.8843418122</v>
          </cell>
          <cell r="AC241">
            <v>1834.3064623614287</v>
          </cell>
          <cell r="AE241" t="str">
            <v>Net Profit after taxation</v>
          </cell>
        </row>
        <row r="244">
          <cell r="E244">
            <v>548</v>
          </cell>
          <cell r="G244">
            <v>579</v>
          </cell>
          <cell r="I244">
            <v>610</v>
          </cell>
          <cell r="K244">
            <v>641</v>
          </cell>
          <cell r="M244">
            <v>672</v>
          </cell>
          <cell r="O244">
            <v>703</v>
          </cell>
          <cell r="Q244">
            <v>734</v>
          </cell>
          <cell r="S244">
            <v>765</v>
          </cell>
          <cell r="U244">
            <v>796</v>
          </cell>
          <cell r="W244">
            <v>827</v>
          </cell>
          <cell r="Y244">
            <v>858</v>
          </cell>
          <cell r="AA244">
            <v>889</v>
          </cell>
          <cell r="AC244" t="str">
            <v>Yearly</v>
          </cell>
        </row>
        <row r="245">
          <cell r="D245" t="str">
            <v>CX CNG</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row>
        <row r="247">
          <cell r="C247" t="str">
            <v>Sales Units</v>
          </cell>
          <cell r="E247">
            <v>0</v>
          </cell>
          <cell r="F247">
            <v>0</v>
          </cell>
          <cell r="G247">
            <v>1</v>
          </cell>
          <cell r="H247">
            <v>0</v>
          </cell>
          <cell r="I247">
            <v>1</v>
          </cell>
          <cell r="J247">
            <v>0</v>
          </cell>
          <cell r="K247">
            <v>1</v>
          </cell>
          <cell r="L247">
            <v>0</v>
          </cell>
          <cell r="M247">
            <v>1</v>
          </cell>
          <cell r="N247">
            <v>0</v>
          </cell>
          <cell r="O247">
            <v>1</v>
          </cell>
          <cell r="P247">
            <v>0</v>
          </cell>
          <cell r="Q247">
            <v>1</v>
          </cell>
          <cell r="R247">
            <v>35</v>
          </cell>
          <cell r="S247">
            <v>1</v>
          </cell>
          <cell r="T247">
            <v>35</v>
          </cell>
          <cell r="U247">
            <v>1</v>
          </cell>
          <cell r="V247">
            <v>35</v>
          </cell>
          <cell r="W247">
            <v>1</v>
          </cell>
          <cell r="X247">
            <v>35</v>
          </cell>
          <cell r="Y247">
            <v>1</v>
          </cell>
          <cell r="Z247">
            <v>35</v>
          </cell>
          <cell r="AA247">
            <v>1</v>
          </cell>
          <cell r="AB247">
            <v>35</v>
          </cell>
          <cell r="AC247">
            <v>210</v>
          </cell>
        </row>
        <row r="249">
          <cell r="C249" t="str">
            <v>Selling Price</v>
          </cell>
          <cell r="E249">
            <v>429000</v>
          </cell>
          <cell r="F249">
            <v>0</v>
          </cell>
          <cell r="G249">
            <v>429000</v>
          </cell>
          <cell r="H249">
            <v>0</v>
          </cell>
          <cell r="I249">
            <v>429000</v>
          </cell>
          <cell r="J249">
            <v>0</v>
          </cell>
          <cell r="K249">
            <v>429000</v>
          </cell>
          <cell r="L249">
            <v>0</v>
          </cell>
          <cell r="M249">
            <v>429000</v>
          </cell>
          <cell r="N249">
            <v>0</v>
          </cell>
          <cell r="O249">
            <v>429000</v>
          </cell>
          <cell r="P249">
            <v>0</v>
          </cell>
          <cell r="Q249">
            <v>429000</v>
          </cell>
          <cell r="R249">
            <v>15015000</v>
          </cell>
          <cell r="S249">
            <v>429000</v>
          </cell>
          <cell r="T249">
            <v>15015000</v>
          </cell>
          <cell r="U249">
            <v>429000</v>
          </cell>
          <cell r="V249">
            <v>15015000</v>
          </cell>
          <cell r="W249">
            <v>429000</v>
          </cell>
          <cell r="X249">
            <v>15015000</v>
          </cell>
          <cell r="Y249">
            <v>429000</v>
          </cell>
          <cell r="Z249">
            <v>15015000</v>
          </cell>
          <cell r="AA249">
            <v>429000</v>
          </cell>
          <cell r="AB249">
            <v>15015000</v>
          </cell>
          <cell r="AC249">
            <v>429000</v>
          </cell>
        </row>
        <row r="250">
          <cell r="C250" t="str">
            <v>Less: Dealer commission</v>
          </cell>
          <cell r="E250">
            <v>-10000</v>
          </cell>
          <cell r="F250">
            <v>0</v>
          </cell>
          <cell r="G250">
            <v>-10000</v>
          </cell>
          <cell r="H250">
            <v>0</v>
          </cell>
          <cell r="I250">
            <v>-10000</v>
          </cell>
          <cell r="J250">
            <v>0</v>
          </cell>
          <cell r="K250">
            <v>-10000</v>
          </cell>
          <cell r="L250">
            <v>0</v>
          </cell>
          <cell r="M250">
            <v>-10000</v>
          </cell>
          <cell r="N250">
            <v>0</v>
          </cell>
          <cell r="O250">
            <v>-10000</v>
          </cell>
          <cell r="P250">
            <v>0</v>
          </cell>
          <cell r="Q250">
            <v>-10000</v>
          </cell>
          <cell r="R250">
            <v>-350000</v>
          </cell>
          <cell r="S250">
            <v>-10000</v>
          </cell>
          <cell r="T250">
            <v>-350000</v>
          </cell>
          <cell r="U250">
            <v>-10000</v>
          </cell>
          <cell r="V250">
            <v>-350000</v>
          </cell>
          <cell r="W250">
            <v>-10000</v>
          </cell>
          <cell r="X250">
            <v>-350000</v>
          </cell>
          <cell r="Y250">
            <v>-10000</v>
          </cell>
          <cell r="Z250">
            <v>-350000</v>
          </cell>
          <cell r="AA250">
            <v>-10000</v>
          </cell>
          <cell r="AB250">
            <v>-350000</v>
          </cell>
          <cell r="AC250">
            <v>-10000</v>
          </cell>
        </row>
        <row r="251">
          <cell r="D251" t="str">
            <v xml:space="preserve">  Sales tax</v>
          </cell>
          <cell r="E251">
            <v>-55956.521739130432</v>
          </cell>
          <cell r="F251">
            <v>0</v>
          </cell>
          <cell r="G251">
            <v>-55956.521739130432</v>
          </cell>
          <cell r="H251">
            <v>0</v>
          </cell>
          <cell r="I251">
            <v>-55956.521739130432</v>
          </cell>
          <cell r="J251">
            <v>0</v>
          </cell>
          <cell r="K251">
            <v>-55956.521739130432</v>
          </cell>
          <cell r="L251">
            <v>0</v>
          </cell>
          <cell r="M251">
            <v>-55956.521739130432</v>
          </cell>
          <cell r="N251">
            <v>0</v>
          </cell>
          <cell r="O251">
            <v>-55956.521739130432</v>
          </cell>
          <cell r="P251">
            <v>0</v>
          </cell>
          <cell r="Q251">
            <v>-55956.521739130432</v>
          </cell>
          <cell r="R251">
            <v>-1958478.2608695652</v>
          </cell>
          <cell r="S251">
            <v>-55956.521739130432</v>
          </cell>
          <cell r="T251">
            <v>-1958478.2608695652</v>
          </cell>
          <cell r="U251">
            <v>-55956.521739130432</v>
          </cell>
          <cell r="V251">
            <v>-1958478.2608695652</v>
          </cell>
          <cell r="W251">
            <v>-55956.521739130432</v>
          </cell>
          <cell r="X251">
            <v>-1958478.2608695652</v>
          </cell>
          <cell r="Y251">
            <v>-55956.521739130432</v>
          </cell>
          <cell r="Z251">
            <v>-1958478.2608695652</v>
          </cell>
          <cell r="AA251">
            <v>-55956.521739130432</v>
          </cell>
          <cell r="AB251">
            <v>-1958478.2608695652</v>
          </cell>
          <cell r="AC251">
            <v>-55956.521739130432</v>
          </cell>
        </row>
        <row r="252">
          <cell r="C252" t="str">
            <v>Net Sales</v>
          </cell>
          <cell r="E252">
            <v>363043.47826086957</v>
          </cell>
          <cell r="F252">
            <v>0</v>
          </cell>
          <cell r="G252">
            <v>363043.47826086957</v>
          </cell>
          <cell r="H252">
            <v>0</v>
          </cell>
          <cell r="I252">
            <v>363043.47826086957</v>
          </cell>
          <cell r="J252">
            <v>0</v>
          </cell>
          <cell r="K252">
            <v>363043.47826086957</v>
          </cell>
          <cell r="L252">
            <v>0</v>
          </cell>
          <cell r="M252">
            <v>363043.47826086957</v>
          </cell>
          <cell r="N252">
            <v>0</v>
          </cell>
          <cell r="O252">
            <v>363043.47826086957</v>
          </cell>
          <cell r="P252">
            <v>0</v>
          </cell>
          <cell r="Q252">
            <v>363043.47826086957</v>
          </cell>
          <cell r="R252">
            <v>12706521.739130436</v>
          </cell>
          <cell r="S252">
            <v>363043.47826086957</v>
          </cell>
          <cell r="T252">
            <v>12706521.739130436</v>
          </cell>
          <cell r="U252">
            <v>363043.47826086957</v>
          </cell>
          <cell r="V252">
            <v>12706521.739130436</v>
          </cell>
          <cell r="W252">
            <v>363043.47826086957</v>
          </cell>
          <cell r="X252">
            <v>12706521.739130436</v>
          </cell>
          <cell r="Y252">
            <v>363043.47826086957</v>
          </cell>
          <cell r="Z252">
            <v>12706521.739130436</v>
          </cell>
          <cell r="AA252">
            <v>363043.47826086957</v>
          </cell>
          <cell r="AB252">
            <v>12706521.739130436</v>
          </cell>
          <cell r="AC252">
            <v>363043.47826086957</v>
          </cell>
        </row>
        <row r="254">
          <cell r="C254" t="str">
            <v>Variable Cost of Sales</v>
          </cell>
        </row>
        <row r="255">
          <cell r="D255" t="str">
            <v>CKD Cost</v>
          </cell>
          <cell r="E255">
            <v>185405.57509915665</v>
          </cell>
          <cell r="F255">
            <v>0</v>
          </cell>
          <cell r="G255">
            <v>185405.57509915665</v>
          </cell>
          <cell r="H255">
            <v>0</v>
          </cell>
          <cell r="I255">
            <v>185405.57509915665</v>
          </cell>
          <cell r="J255">
            <v>0</v>
          </cell>
          <cell r="K255">
            <v>185405.57509915665</v>
          </cell>
          <cell r="L255">
            <v>0</v>
          </cell>
          <cell r="M255">
            <v>185405.57509915665</v>
          </cell>
          <cell r="N255">
            <v>0</v>
          </cell>
          <cell r="O255">
            <v>185405.57509915665</v>
          </cell>
          <cell r="P255">
            <v>0</v>
          </cell>
          <cell r="Q255">
            <v>185405.57509915665</v>
          </cell>
          <cell r="R255">
            <v>6489195.1284704823</v>
          </cell>
          <cell r="S255">
            <v>185405.57509915665</v>
          </cell>
          <cell r="T255">
            <v>6489195.1284704823</v>
          </cell>
          <cell r="U255">
            <v>185405.57509915665</v>
          </cell>
          <cell r="V255">
            <v>6489195.1284704823</v>
          </cell>
          <cell r="W255">
            <v>185405.57509915665</v>
          </cell>
          <cell r="X255">
            <v>6489195.1284704823</v>
          </cell>
          <cell r="Y255">
            <v>185405.57509915665</v>
          </cell>
          <cell r="Z255">
            <v>6489195.1284704823</v>
          </cell>
          <cell r="AA255">
            <v>185405.57509915665</v>
          </cell>
          <cell r="AB255">
            <v>6489195.1284704823</v>
          </cell>
          <cell r="AC255">
            <v>185405.57509915662</v>
          </cell>
        </row>
        <row r="256">
          <cell r="D256" t="str">
            <v>Vendor parts</v>
          </cell>
          <cell r="E256">
            <v>124048</v>
          </cell>
          <cell r="F256">
            <v>0</v>
          </cell>
          <cell r="G256">
            <v>124048</v>
          </cell>
          <cell r="H256">
            <v>0</v>
          </cell>
          <cell r="I256">
            <v>124048</v>
          </cell>
          <cell r="J256">
            <v>0</v>
          </cell>
          <cell r="K256">
            <v>124048</v>
          </cell>
          <cell r="L256">
            <v>0</v>
          </cell>
          <cell r="M256">
            <v>124048</v>
          </cell>
          <cell r="N256">
            <v>0</v>
          </cell>
          <cell r="O256">
            <v>124048</v>
          </cell>
          <cell r="P256">
            <v>0</v>
          </cell>
          <cell r="Q256">
            <v>124048</v>
          </cell>
          <cell r="R256">
            <v>4341680</v>
          </cell>
          <cell r="S256">
            <v>124048</v>
          </cell>
          <cell r="T256">
            <v>4341680</v>
          </cell>
          <cell r="U256">
            <v>124048</v>
          </cell>
          <cell r="V256">
            <v>4341680</v>
          </cell>
          <cell r="W256">
            <v>124048</v>
          </cell>
          <cell r="X256">
            <v>4341680</v>
          </cell>
          <cell r="Y256">
            <v>124048</v>
          </cell>
          <cell r="Z256">
            <v>4341680</v>
          </cell>
          <cell r="AA256">
            <v>124048</v>
          </cell>
          <cell r="AB256">
            <v>4341680</v>
          </cell>
          <cell r="AC256">
            <v>124048</v>
          </cell>
        </row>
        <row r="257">
          <cell r="D257" t="str">
            <v>DMC Parts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row>
        <row r="258">
          <cell r="D258" t="str">
            <v>Paints &amp; Chemicals</v>
          </cell>
          <cell r="E258">
            <v>6816</v>
          </cell>
          <cell r="F258">
            <v>0</v>
          </cell>
          <cell r="G258">
            <v>6816</v>
          </cell>
          <cell r="H258">
            <v>0</v>
          </cell>
          <cell r="I258">
            <v>6816</v>
          </cell>
          <cell r="J258">
            <v>0</v>
          </cell>
          <cell r="K258">
            <v>6816</v>
          </cell>
          <cell r="L258">
            <v>0</v>
          </cell>
          <cell r="M258">
            <v>6816</v>
          </cell>
          <cell r="N258">
            <v>0</v>
          </cell>
          <cell r="O258">
            <v>6816</v>
          </cell>
          <cell r="P258">
            <v>0</v>
          </cell>
          <cell r="Q258">
            <v>6816</v>
          </cell>
          <cell r="R258">
            <v>238560</v>
          </cell>
          <cell r="S258">
            <v>6816</v>
          </cell>
          <cell r="T258">
            <v>238560</v>
          </cell>
          <cell r="U258">
            <v>6816</v>
          </cell>
          <cell r="V258">
            <v>238560</v>
          </cell>
          <cell r="W258">
            <v>6816</v>
          </cell>
          <cell r="X258">
            <v>238560</v>
          </cell>
          <cell r="Y258">
            <v>6816</v>
          </cell>
          <cell r="Z258">
            <v>238560</v>
          </cell>
          <cell r="AA258">
            <v>6816</v>
          </cell>
          <cell r="AB258">
            <v>238560</v>
          </cell>
          <cell r="AC258">
            <v>6816</v>
          </cell>
        </row>
        <row r="259">
          <cell r="D259" t="str">
            <v>Consumables</v>
          </cell>
          <cell r="E259">
            <v>3362</v>
          </cell>
          <cell r="F259">
            <v>0</v>
          </cell>
          <cell r="G259">
            <v>3362</v>
          </cell>
          <cell r="H259">
            <v>0</v>
          </cell>
          <cell r="I259">
            <v>3362</v>
          </cell>
          <cell r="J259">
            <v>0</v>
          </cell>
          <cell r="K259">
            <v>3362</v>
          </cell>
          <cell r="L259">
            <v>0</v>
          </cell>
          <cell r="M259">
            <v>3362</v>
          </cell>
          <cell r="N259">
            <v>0</v>
          </cell>
          <cell r="O259">
            <v>3362</v>
          </cell>
          <cell r="P259">
            <v>0</v>
          </cell>
          <cell r="Q259">
            <v>3362</v>
          </cell>
          <cell r="R259">
            <v>117670</v>
          </cell>
          <cell r="S259">
            <v>3362</v>
          </cell>
          <cell r="T259">
            <v>117670</v>
          </cell>
          <cell r="U259">
            <v>3362</v>
          </cell>
          <cell r="V259">
            <v>117670</v>
          </cell>
          <cell r="W259">
            <v>3362</v>
          </cell>
          <cell r="X259">
            <v>117670</v>
          </cell>
          <cell r="Y259">
            <v>3362</v>
          </cell>
          <cell r="Z259">
            <v>117670</v>
          </cell>
          <cell r="AA259">
            <v>3362</v>
          </cell>
          <cell r="AB259">
            <v>117670</v>
          </cell>
          <cell r="AC259">
            <v>3362</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row>
        <row r="261">
          <cell r="D261" t="str">
            <v>Spare parts</v>
          </cell>
          <cell r="E261">
            <v>39</v>
          </cell>
          <cell r="F261">
            <v>0</v>
          </cell>
          <cell r="G261">
            <v>39</v>
          </cell>
          <cell r="H261">
            <v>0</v>
          </cell>
          <cell r="I261">
            <v>39</v>
          </cell>
          <cell r="J261">
            <v>0</v>
          </cell>
          <cell r="K261">
            <v>39</v>
          </cell>
          <cell r="L261">
            <v>0</v>
          </cell>
          <cell r="M261">
            <v>39</v>
          </cell>
          <cell r="N261">
            <v>0</v>
          </cell>
          <cell r="O261">
            <v>39</v>
          </cell>
          <cell r="P261">
            <v>0</v>
          </cell>
          <cell r="Q261">
            <v>39</v>
          </cell>
          <cell r="R261">
            <v>1365</v>
          </cell>
          <cell r="S261">
            <v>39</v>
          </cell>
          <cell r="T261">
            <v>1365</v>
          </cell>
          <cell r="U261">
            <v>39</v>
          </cell>
          <cell r="V261">
            <v>1365</v>
          </cell>
          <cell r="W261">
            <v>39</v>
          </cell>
          <cell r="X261">
            <v>1365</v>
          </cell>
          <cell r="Y261">
            <v>39</v>
          </cell>
          <cell r="Z261">
            <v>1365</v>
          </cell>
          <cell r="AA261">
            <v>39</v>
          </cell>
          <cell r="AB261">
            <v>1365</v>
          </cell>
          <cell r="AC261">
            <v>39</v>
          </cell>
        </row>
        <row r="262">
          <cell r="D262" t="str">
            <v>Utilities</v>
          </cell>
          <cell r="E262">
            <v>4396</v>
          </cell>
          <cell r="F262">
            <v>0</v>
          </cell>
          <cell r="G262">
            <v>4396</v>
          </cell>
          <cell r="H262">
            <v>0</v>
          </cell>
          <cell r="I262">
            <v>4396</v>
          </cell>
          <cell r="J262">
            <v>0</v>
          </cell>
          <cell r="K262">
            <v>4396</v>
          </cell>
          <cell r="L262">
            <v>0</v>
          </cell>
          <cell r="M262">
            <v>4396</v>
          </cell>
          <cell r="N262">
            <v>0</v>
          </cell>
          <cell r="O262">
            <v>4396</v>
          </cell>
          <cell r="P262">
            <v>0</v>
          </cell>
          <cell r="Q262">
            <v>4396</v>
          </cell>
          <cell r="R262">
            <v>153860</v>
          </cell>
          <cell r="S262">
            <v>4396</v>
          </cell>
          <cell r="T262">
            <v>153860</v>
          </cell>
          <cell r="U262">
            <v>4396</v>
          </cell>
          <cell r="V262">
            <v>153860</v>
          </cell>
          <cell r="W262">
            <v>4396</v>
          </cell>
          <cell r="X262">
            <v>153860</v>
          </cell>
          <cell r="Y262">
            <v>4396</v>
          </cell>
          <cell r="Z262">
            <v>153860</v>
          </cell>
          <cell r="AA262">
            <v>4396</v>
          </cell>
          <cell r="AB262">
            <v>153860</v>
          </cell>
          <cell r="AC262">
            <v>4396</v>
          </cell>
        </row>
        <row r="263">
          <cell r="D263" t="str">
            <v>Royalties</v>
          </cell>
          <cell r="E263">
            <v>2105</v>
          </cell>
          <cell r="F263">
            <v>0</v>
          </cell>
          <cell r="G263">
            <v>2105</v>
          </cell>
          <cell r="H263">
            <v>0</v>
          </cell>
          <cell r="I263">
            <v>2105</v>
          </cell>
          <cell r="J263">
            <v>0</v>
          </cell>
          <cell r="K263">
            <v>2105</v>
          </cell>
          <cell r="L263">
            <v>0</v>
          </cell>
          <cell r="M263">
            <v>2105</v>
          </cell>
          <cell r="N263">
            <v>0</v>
          </cell>
          <cell r="O263">
            <v>2105</v>
          </cell>
          <cell r="P263">
            <v>0</v>
          </cell>
          <cell r="Q263">
            <v>2105</v>
          </cell>
          <cell r="R263">
            <v>73675</v>
          </cell>
          <cell r="S263">
            <v>2105</v>
          </cell>
          <cell r="T263">
            <v>73675</v>
          </cell>
          <cell r="U263">
            <v>2105</v>
          </cell>
          <cell r="V263">
            <v>73675</v>
          </cell>
          <cell r="W263">
            <v>2105</v>
          </cell>
          <cell r="X263">
            <v>73675</v>
          </cell>
          <cell r="Y263">
            <v>2105</v>
          </cell>
          <cell r="Z263">
            <v>73675</v>
          </cell>
          <cell r="AA263">
            <v>2105</v>
          </cell>
          <cell r="AB263">
            <v>73675</v>
          </cell>
          <cell r="AC263">
            <v>2105</v>
          </cell>
        </row>
        <row r="265">
          <cell r="E265">
            <v>326171.57509915665</v>
          </cell>
          <cell r="F265">
            <v>0</v>
          </cell>
          <cell r="G265">
            <v>326171.57509915665</v>
          </cell>
          <cell r="H265">
            <v>0</v>
          </cell>
          <cell r="I265">
            <v>326171.57509915665</v>
          </cell>
          <cell r="J265">
            <v>0</v>
          </cell>
          <cell r="K265">
            <v>326171.57509915665</v>
          </cell>
          <cell r="L265">
            <v>0</v>
          </cell>
          <cell r="M265">
            <v>326171.57509915665</v>
          </cell>
          <cell r="N265">
            <v>0</v>
          </cell>
          <cell r="O265">
            <v>326171.57509915665</v>
          </cell>
          <cell r="P265">
            <v>0</v>
          </cell>
          <cell r="Q265">
            <v>326171.57509915665</v>
          </cell>
          <cell r="R265">
            <v>11416005.128470482</v>
          </cell>
          <cell r="S265">
            <v>326171.57509915665</v>
          </cell>
          <cell r="T265">
            <v>11416005.128470482</v>
          </cell>
          <cell r="U265">
            <v>326171.57509915665</v>
          </cell>
          <cell r="V265">
            <v>11416005.128470482</v>
          </cell>
          <cell r="W265">
            <v>326171.57509915665</v>
          </cell>
          <cell r="X265">
            <v>11416005.128470482</v>
          </cell>
          <cell r="Y265">
            <v>326171.57509915665</v>
          </cell>
          <cell r="Z265">
            <v>11416005.128470482</v>
          </cell>
          <cell r="AA265">
            <v>326171.57509915665</v>
          </cell>
          <cell r="AB265">
            <v>11416005.128470482</v>
          </cell>
          <cell r="AC265">
            <v>326171.57509915659</v>
          </cell>
        </row>
        <row r="266">
          <cell r="C266" t="str">
            <v>Contribution Margin</v>
          </cell>
          <cell r="E266">
            <v>36871.903161712922</v>
          </cell>
          <cell r="F266">
            <v>0</v>
          </cell>
          <cell r="G266">
            <v>36871.903161712922</v>
          </cell>
          <cell r="H266">
            <v>0</v>
          </cell>
          <cell r="I266">
            <v>36871.903161712922</v>
          </cell>
          <cell r="J266">
            <v>0</v>
          </cell>
          <cell r="K266">
            <v>36871.903161712922</v>
          </cell>
          <cell r="L266">
            <v>0</v>
          </cell>
          <cell r="M266">
            <v>36871.903161712922</v>
          </cell>
          <cell r="N266">
            <v>0</v>
          </cell>
          <cell r="O266">
            <v>36871.903161712922</v>
          </cell>
          <cell r="P266">
            <v>0</v>
          </cell>
          <cell r="Q266">
            <v>36871.903161712922</v>
          </cell>
          <cell r="R266">
            <v>1290516.6106599532</v>
          </cell>
          <cell r="S266">
            <v>36871.903161712922</v>
          </cell>
          <cell r="T266">
            <v>1290516.6106599532</v>
          </cell>
          <cell r="U266">
            <v>36871.903161712922</v>
          </cell>
          <cell r="V266">
            <v>1290516.6106599532</v>
          </cell>
          <cell r="W266">
            <v>36871.903161712922</v>
          </cell>
          <cell r="X266">
            <v>1290516.6106599532</v>
          </cell>
          <cell r="Y266">
            <v>36871.903161712922</v>
          </cell>
          <cell r="Z266">
            <v>1290516.6106599532</v>
          </cell>
          <cell r="AA266">
            <v>36871.903161712922</v>
          </cell>
          <cell r="AB266">
            <v>1290516.6106599532</v>
          </cell>
          <cell r="AC266">
            <v>36871.90316171298</v>
          </cell>
        </row>
        <row r="268">
          <cell r="C268" t="str">
            <v>Production cost</v>
          </cell>
        </row>
        <row r="269">
          <cell r="D269" t="str">
            <v xml:space="preserve">Salaries &amp; Wages </v>
          </cell>
          <cell r="E269">
            <v>4619.3194081365082</v>
          </cell>
          <cell r="F269">
            <v>0</v>
          </cell>
          <cell r="G269">
            <v>4619.3194081365082</v>
          </cell>
          <cell r="H269">
            <v>0</v>
          </cell>
          <cell r="I269">
            <v>4619.3194081365082</v>
          </cell>
          <cell r="J269">
            <v>0</v>
          </cell>
          <cell r="K269">
            <v>4619.3194081365082</v>
          </cell>
          <cell r="L269">
            <v>0</v>
          </cell>
          <cell r="M269">
            <v>4619.3194081365082</v>
          </cell>
          <cell r="N269">
            <v>0</v>
          </cell>
          <cell r="O269">
            <v>4619.3194081365082</v>
          </cell>
          <cell r="P269">
            <v>0</v>
          </cell>
          <cell r="Q269">
            <v>3959.4166355455786</v>
          </cell>
          <cell r="R269">
            <v>138579.58224409525</v>
          </cell>
          <cell r="S269">
            <v>3959.4166355455786</v>
          </cell>
          <cell r="T269">
            <v>138579.58224409525</v>
          </cell>
          <cell r="U269">
            <v>3959.4166355455786</v>
          </cell>
          <cell r="V269">
            <v>138579.58224409525</v>
          </cell>
          <cell r="W269">
            <v>3959.4166355455786</v>
          </cell>
          <cell r="X269">
            <v>138579.58224409525</v>
          </cell>
          <cell r="Y269">
            <v>3959.4166355455786</v>
          </cell>
          <cell r="Z269">
            <v>138579.58224409525</v>
          </cell>
          <cell r="AA269">
            <v>3959.4166355455786</v>
          </cell>
          <cell r="AB269">
            <v>138579.58224409525</v>
          </cell>
          <cell r="AC269">
            <v>3959.4166355455786</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row>
        <row r="271">
          <cell r="D271" t="str">
            <v>Depreciation</v>
          </cell>
          <cell r="E271">
            <v>19315.555555555558</v>
          </cell>
          <cell r="F271">
            <v>0</v>
          </cell>
          <cell r="G271">
            <v>19315.555555555558</v>
          </cell>
          <cell r="H271">
            <v>0</v>
          </cell>
          <cell r="I271">
            <v>19315.555555555558</v>
          </cell>
          <cell r="J271">
            <v>0</v>
          </cell>
          <cell r="K271">
            <v>19315.555555555558</v>
          </cell>
          <cell r="L271">
            <v>0</v>
          </cell>
          <cell r="M271">
            <v>19315.555555555558</v>
          </cell>
          <cell r="N271">
            <v>0</v>
          </cell>
          <cell r="O271">
            <v>19315.555555555558</v>
          </cell>
          <cell r="P271">
            <v>0</v>
          </cell>
          <cell r="Q271">
            <v>16556.190476190477</v>
          </cell>
          <cell r="R271">
            <v>579466.66666666674</v>
          </cell>
          <cell r="S271">
            <v>16556.190476190477</v>
          </cell>
          <cell r="T271">
            <v>579466.66666666674</v>
          </cell>
          <cell r="U271">
            <v>16556.190476190477</v>
          </cell>
          <cell r="V271">
            <v>579466.66666666674</v>
          </cell>
          <cell r="W271">
            <v>16556.190476190477</v>
          </cell>
          <cell r="X271">
            <v>579466.66666666674</v>
          </cell>
          <cell r="Y271">
            <v>16556.190476190477</v>
          </cell>
          <cell r="Z271">
            <v>579466.66666666674</v>
          </cell>
          <cell r="AA271">
            <v>16556.190476190477</v>
          </cell>
          <cell r="AB271">
            <v>579466.66666666674</v>
          </cell>
          <cell r="AC271">
            <v>16556.190476190481</v>
          </cell>
        </row>
        <row r="272">
          <cell r="D272" t="str">
            <v xml:space="preserve">Other Factory overhead </v>
          </cell>
          <cell r="E272">
            <v>2884.1866359118612</v>
          </cell>
          <cell r="F272">
            <v>0</v>
          </cell>
          <cell r="G272">
            <v>2884.1866359118612</v>
          </cell>
          <cell r="H272">
            <v>0</v>
          </cell>
          <cell r="I272">
            <v>2884.1866359118612</v>
          </cell>
          <cell r="J272">
            <v>0</v>
          </cell>
          <cell r="K272">
            <v>2884.1866359118612</v>
          </cell>
          <cell r="L272">
            <v>0</v>
          </cell>
          <cell r="M272">
            <v>2884.1866359118612</v>
          </cell>
          <cell r="N272">
            <v>0</v>
          </cell>
          <cell r="O272">
            <v>2884.1866359118612</v>
          </cell>
          <cell r="P272">
            <v>0</v>
          </cell>
          <cell r="Q272">
            <v>2472.1599736387384</v>
          </cell>
          <cell r="R272">
            <v>86525.599077355844</v>
          </cell>
          <cell r="S272">
            <v>2472.1599736387384</v>
          </cell>
          <cell r="T272">
            <v>86525.599077355844</v>
          </cell>
          <cell r="U272">
            <v>2472.1599736387384</v>
          </cell>
          <cell r="V272">
            <v>86525.599077355844</v>
          </cell>
          <cell r="W272">
            <v>2472.1599736387384</v>
          </cell>
          <cell r="X272">
            <v>86525.599077355844</v>
          </cell>
          <cell r="Y272">
            <v>2472.1599736387384</v>
          </cell>
          <cell r="Z272">
            <v>86525.599077355844</v>
          </cell>
          <cell r="AA272">
            <v>2472.1599736387384</v>
          </cell>
          <cell r="AB272">
            <v>86525.599077355844</v>
          </cell>
          <cell r="AC272">
            <v>2472.1599736387379</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row>
        <row r="274">
          <cell r="E274">
            <v>26819.061599603927</v>
          </cell>
          <cell r="F274">
            <v>0</v>
          </cell>
          <cell r="G274">
            <v>26819.061599603927</v>
          </cell>
          <cell r="H274">
            <v>0</v>
          </cell>
          <cell r="I274">
            <v>26819.061599603927</v>
          </cell>
          <cell r="J274">
            <v>0</v>
          </cell>
          <cell r="K274">
            <v>26819.061599603927</v>
          </cell>
          <cell r="L274">
            <v>0</v>
          </cell>
          <cell r="M274">
            <v>26819.061599603927</v>
          </cell>
          <cell r="N274">
            <v>0</v>
          </cell>
          <cell r="O274">
            <v>26819.061599603927</v>
          </cell>
          <cell r="P274">
            <v>0</v>
          </cell>
          <cell r="Q274">
            <v>22987.767085374795</v>
          </cell>
          <cell r="R274">
            <v>804571.84798811784</v>
          </cell>
          <cell r="S274">
            <v>22987.767085374795</v>
          </cell>
          <cell r="T274">
            <v>804571.84798811784</v>
          </cell>
          <cell r="U274">
            <v>22987.767085374795</v>
          </cell>
          <cell r="V274">
            <v>804571.84798811784</v>
          </cell>
          <cell r="W274">
            <v>22987.767085374795</v>
          </cell>
          <cell r="X274">
            <v>804571.84798811784</v>
          </cell>
          <cell r="Y274">
            <v>22987.767085374795</v>
          </cell>
          <cell r="Z274">
            <v>804571.84798811784</v>
          </cell>
          <cell r="AA274">
            <v>22987.767085374795</v>
          </cell>
          <cell r="AB274">
            <v>804571.84798811784</v>
          </cell>
          <cell r="AC274">
            <v>22987.767085374799</v>
          </cell>
        </row>
        <row r="275">
          <cell r="C275" t="str">
            <v>Gross Profit</v>
          </cell>
          <cell r="E275">
            <v>10052.841562108995</v>
          </cell>
          <cell r="F275">
            <v>0</v>
          </cell>
          <cell r="G275">
            <v>10052.841562108995</v>
          </cell>
          <cell r="H275">
            <v>0</v>
          </cell>
          <cell r="I275">
            <v>10052.841562108995</v>
          </cell>
          <cell r="J275">
            <v>0</v>
          </cell>
          <cell r="K275">
            <v>10052.841562108995</v>
          </cell>
          <cell r="L275">
            <v>0</v>
          </cell>
          <cell r="M275">
            <v>10052.841562108995</v>
          </cell>
          <cell r="N275">
            <v>0</v>
          </cell>
          <cell r="O275">
            <v>10052.841562108995</v>
          </cell>
          <cell r="P275">
            <v>0</v>
          </cell>
          <cell r="Q275">
            <v>13884.136076338127</v>
          </cell>
          <cell r="R275">
            <v>485944.76267183537</v>
          </cell>
          <cell r="S275">
            <v>13884.136076338127</v>
          </cell>
          <cell r="T275">
            <v>485944.76267183537</v>
          </cell>
          <cell r="U275">
            <v>13884.136076338127</v>
          </cell>
          <cell r="V275">
            <v>485944.76267183537</v>
          </cell>
          <cell r="W275">
            <v>13884.136076338127</v>
          </cell>
          <cell r="X275">
            <v>485944.76267183537</v>
          </cell>
          <cell r="Y275">
            <v>13884.136076338127</v>
          </cell>
          <cell r="Z275">
            <v>485944.76267183537</v>
          </cell>
          <cell r="AA275">
            <v>13884.136076338127</v>
          </cell>
          <cell r="AB275">
            <v>485944.76267183537</v>
          </cell>
          <cell r="AC275">
            <v>13884.136076338182</v>
          </cell>
        </row>
        <row r="276">
          <cell r="E276">
            <v>2.7690461787845138</v>
          </cell>
          <cell r="F276" t="e">
            <v>#DIV/0!</v>
          </cell>
          <cell r="G276">
            <v>2.7690461787845138</v>
          </cell>
          <cell r="H276" t="e">
            <v>#DIV/0!</v>
          </cell>
          <cell r="I276">
            <v>2.7690461787845138</v>
          </cell>
          <cell r="J276" t="e">
            <v>#DIV/0!</v>
          </cell>
          <cell r="K276">
            <v>2.7690461787845138</v>
          </cell>
          <cell r="L276" t="e">
            <v>#DIV/0!</v>
          </cell>
          <cell r="M276">
            <v>2.7690461787845138</v>
          </cell>
          <cell r="N276" t="e">
            <v>#DIV/0!</v>
          </cell>
          <cell r="O276">
            <v>2.7690461787845138</v>
          </cell>
          <cell r="P276" t="e">
            <v>#DIV/0!</v>
          </cell>
          <cell r="Q276">
            <v>3.8243728114464304</v>
          </cell>
          <cell r="R276">
            <v>3.8243728114464375</v>
          </cell>
          <cell r="S276">
            <v>3.8243728114464304</v>
          </cell>
          <cell r="T276">
            <v>3.8243728114464375</v>
          </cell>
          <cell r="U276">
            <v>3.8243728114464304</v>
          </cell>
          <cell r="V276">
            <v>3.8243728114464375</v>
          </cell>
          <cell r="W276">
            <v>3.8243728114464304</v>
          </cell>
          <cell r="X276">
            <v>3.8243728114464375</v>
          </cell>
          <cell r="Y276">
            <v>3.8243728114464304</v>
          </cell>
          <cell r="Z276">
            <v>3.8243728114464375</v>
          </cell>
          <cell r="AA276">
            <v>3.8243728114464304</v>
          </cell>
          <cell r="AB276">
            <v>3.8243728114464375</v>
          </cell>
          <cell r="AC276">
            <v>3.824372811446445</v>
          </cell>
        </row>
        <row r="277">
          <cell r="C277" t="str">
            <v>Other Expenses</v>
          </cell>
        </row>
        <row r="278">
          <cell r="D278" t="str">
            <v>Selling Expenses</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row>
        <row r="279">
          <cell r="D279" t="str">
            <v>Advertisement Expenses</v>
          </cell>
          <cell r="E279">
            <v>10890.595130119307</v>
          </cell>
          <cell r="F279">
            <v>0</v>
          </cell>
          <cell r="G279">
            <v>19074.844763831719</v>
          </cell>
          <cell r="H279">
            <v>0</v>
          </cell>
          <cell r="I279">
            <v>586.91830042559138</v>
          </cell>
          <cell r="J279">
            <v>0</v>
          </cell>
          <cell r="K279">
            <v>2441.4170969092306</v>
          </cell>
          <cell r="L279">
            <v>0</v>
          </cell>
          <cell r="M279">
            <v>10786.498384911953</v>
          </cell>
          <cell r="N279">
            <v>0</v>
          </cell>
          <cell r="O279">
            <v>11537.251658504394</v>
          </cell>
          <cell r="P279">
            <v>0</v>
          </cell>
          <cell r="Q279">
            <v>19357.842486060854</v>
          </cell>
          <cell r="R279">
            <v>677524.48701212986</v>
          </cell>
          <cell r="S279">
            <v>138.66649345315798</v>
          </cell>
          <cell r="T279">
            <v>4853.3272708605291</v>
          </cell>
          <cell r="U279">
            <v>138.66649345315798</v>
          </cell>
          <cell r="V279">
            <v>4853.3272708605291</v>
          </cell>
          <cell r="W279">
            <v>15599.980513480272</v>
          </cell>
          <cell r="X279">
            <v>545999.31797180953</v>
          </cell>
          <cell r="Y279">
            <v>9013.3220744552673</v>
          </cell>
          <cell r="Z279">
            <v>315466.27260593435</v>
          </cell>
          <cell r="AA279">
            <v>1525.3314279847375</v>
          </cell>
          <cell r="AB279">
            <v>53386.599979465813</v>
          </cell>
          <cell r="AC279">
            <v>7628.9682481479085</v>
          </cell>
        </row>
        <row r="280">
          <cell r="D280" t="str">
            <v>Administrative Expenses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row>
        <row r="281">
          <cell r="D281" t="str">
            <v>Depreciation (Admin. &amp; Selling )</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row>
        <row r="283">
          <cell r="D283" t="str">
            <v>Financial  Charges -Working Capital</v>
          </cell>
          <cell r="E283">
            <v>201.57918431275289</v>
          </cell>
          <cell r="F283">
            <v>0</v>
          </cell>
          <cell r="G283">
            <v>178.4251077933327</v>
          </cell>
          <cell r="H283">
            <v>0</v>
          </cell>
          <cell r="I283">
            <v>175.55668509273093</v>
          </cell>
          <cell r="J283">
            <v>0</v>
          </cell>
          <cell r="K283">
            <v>160.53201526974851</v>
          </cell>
          <cell r="L283">
            <v>0</v>
          </cell>
          <cell r="M283">
            <v>214.5866255466828</v>
          </cell>
          <cell r="N283">
            <v>0</v>
          </cell>
          <cell r="O283">
            <v>207.35917650875876</v>
          </cell>
          <cell r="P283">
            <v>0</v>
          </cell>
          <cell r="Q283">
            <v>157.4713934840606</v>
          </cell>
          <cell r="R283">
            <v>5511.4987719421206</v>
          </cell>
          <cell r="S283">
            <v>198.17331480982742</v>
          </cell>
          <cell r="T283">
            <v>6936.0660183439595</v>
          </cell>
          <cell r="U283">
            <v>184.65378229632779</v>
          </cell>
          <cell r="V283">
            <v>6462.8823803714731</v>
          </cell>
          <cell r="W283">
            <v>192.32717619631876</v>
          </cell>
          <cell r="X283">
            <v>6731.4511668711566</v>
          </cell>
          <cell r="Y283">
            <v>193.74054120384864</v>
          </cell>
          <cell r="Z283">
            <v>6780.9189421347019</v>
          </cell>
          <cell r="AA283">
            <v>186.90086739142365</v>
          </cell>
          <cell r="AB283">
            <v>6541.530358699828</v>
          </cell>
          <cell r="AC283">
            <v>185.54451256363447</v>
          </cell>
        </row>
        <row r="284">
          <cell r="D284" t="str">
            <v>Other Expenses (Charity &amp; Donation)</v>
          </cell>
          <cell r="E284">
            <v>139.98554466163398</v>
          </cell>
          <cell r="F284">
            <v>0</v>
          </cell>
          <cell r="G284">
            <v>123.90632485648104</v>
          </cell>
          <cell r="H284">
            <v>0</v>
          </cell>
          <cell r="I284">
            <v>121.91436464772984</v>
          </cell>
          <cell r="J284">
            <v>0</v>
          </cell>
          <cell r="K284">
            <v>111.48056615954759</v>
          </cell>
          <cell r="L284">
            <v>0</v>
          </cell>
          <cell r="M284">
            <v>149.01848996297417</v>
          </cell>
          <cell r="N284">
            <v>0</v>
          </cell>
          <cell r="O284">
            <v>143.99942813108245</v>
          </cell>
          <cell r="P284">
            <v>0</v>
          </cell>
          <cell r="Q284">
            <v>109.35513436393099</v>
          </cell>
          <cell r="R284">
            <v>3827.4297027375846</v>
          </cell>
          <cell r="S284">
            <v>137.6203575068246</v>
          </cell>
          <cell r="T284">
            <v>4816.7125127388608</v>
          </cell>
          <cell r="U284">
            <v>128.23179326133877</v>
          </cell>
          <cell r="V284">
            <v>4488.1127641468565</v>
          </cell>
          <cell r="W284">
            <v>133.56053902522137</v>
          </cell>
          <cell r="X284">
            <v>4674.6188658827477</v>
          </cell>
          <cell r="Y284">
            <v>134.54204250267267</v>
          </cell>
          <cell r="Z284">
            <v>4708.9714875935433</v>
          </cell>
          <cell r="AA284">
            <v>129.79226902182199</v>
          </cell>
          <cell r="AB284">
            <v>4542.7294157637698</v>
          </cell>
          <cell r="AC284">
            <v>128.85035594696839</v>
          </cell>
        </row>
        <row r="285">
          <cell r="D285" t="str">
            <v>Other Expenses ( W.P.P.F.)</v>
          </cell>
          <cell r="E285">
            <v>-99.685419286180618</v>
          </cell>
          <cell r="F285">
            <v>0</v>
          </cell>
          <cell r="G285">
            <v>-516.01336466537521</v>
          </cell>
          <cell r="H285">
            <v>0</v>
          </cell>
          <cell r="I285">
            <v>429.23507108313538</v>
          </cell>
          <cell r="J285">
            <v>0</v>
          </cell>
          <cell r="K285">
            <v>335.74469975652045</v>
          </cell>
          <cell r="L285">
            <v>0</v>
          </cell>
          <cell r="M285">
            <v>-83.654529301236565</v>
          </cell>
          <cell r="N285">
            <v>0</v>
          </cell>
          <cell r="O285">
            <v>-121.56749282883391</v>
          </cell>
          <cell r="P285">
            <v>0</v>
          </cell>
          <cell r="Q285">
            <v>-311.31446684236766</v>
          </cell>
          <cell r="R285">
            <v>-10896.006339482868</v>
          </cell>
          <cell r="S285">
            <v>675.13296289914501</v>
          </cell>
          <cell r="T285">
            <v>23629.653701470077</v>
          </cell>
          <cell r="U285">
            <v>676.31298309356544</v>
          </cell>
          <cell r="V285">
            <v>23670.954408274789</v>
          </cell>
          <cell r="W285">
            <v>-120.78534224496495</v>
          </cell>
          <cell r="X285">
            <v>-4227.4869785737737</v>
          </cell>
          <cell r="Y285">
            <v>218.37700984244069</v>
          </cell>
          <cell r="Z285">
            <v>7643.1953444854244</v>
          </cell>
          <cell r="AA285">
            <v>604.68828019460864</v>
          </cell>
          <cell r="AB285">
            <v>21164.089806811302</v>
          </cell>
          <cell r="AC285">
            <v>290.40190449040455</v>
          </cell>
        </row>
        <row r="286">
          <cell r="D286" t="str">
            <v>Workers Welfare Fund</v>
          </cell>
          <cell r="E286">
            <v>-37.880459328748636</v>
          </cell>
          <cell r="F286">
            <v>0</v>
          </cell>
          <cell r="G286">
            <v>-196.08507857284258</v>
          </cell>
          <cell r="H286">
            <v>0</v>
          </cell>
          <cell r="I286">
            <v>163.10932701159146</v>
          </cell>
          <cell r="J286">
            <v>0</v>
          </cell>
          <cell r="K286">
            <v>127.58298590747775</v>
          </cell>
          <cell r="L286">
            <v>0</v>
          </cell>
          <cell r="M286">
            <v>-31.788721134469881</v>
          </cell>
          <cell r="N286">
            <v>0</v>
          </cell>
          <cell r="O286">
            <v>-46.195647274956897</v>
          </cell>
          <cell r="P286">
            <v>0</v>
          </cell>
          <cell r="Q286">
            <v>-118.29949740009971</v>
          </cell>
          <cell r="R286">
            <v>-4140.4824090034899</v>
          </cell>
          <cell r="S286">
            <v>256.55052590167514</v>
          </cell>
          <cell r="T286">
            <v>8979.2684065586309</v>
          </cell>
          <cell r="U286">
            <v>256.99893357555482</v>
          </cell>
          <cell r="V286">
            <v>8994.9626751444193</v>
          </cell>
          <cell r="W286">
            <v>-45.898430053086649</v>
          </cell>
          <cell r="X286">
            <v>-1606.4450518580327</v>
          </cell>
          <cell r="Y286">
            <v>82.983263740127455</v>
          </cell>
          <cell r="Z286">
            <v>2904.414230904461</v>
          </cell>
          <cell r="AA286">
            <v>229.78154647395132</v>
          </cell>
          <cell r="AB286">
            <v>8042.3541265882959</v>
          </cell>
          <cell r="AC286">
            <v>110.35272370635373</v>
          </cell>
        </row>
        <row r="287">
          <cell r="E287">
            <v>11094.593980478767</v>
          </cell>
          <cell r="F287">
            <v>0</v>
          </cell>
          <cell r="G287">
            <v>18665.077753243317</v>
          </cell>
          <cell r="H287">
            <v>0</v>
          </cell>
          <cell r="I287">
            <v>1476.7337482607788</v>
          </cell>
          <cell r="J287">
            <v>0</v>
          </cell>
          <cell r="K287">
            <v>3176.7573640025248</v>
          </cell>
          <cell r="L287">
            <v>0</v>
          </cell>
          <cell r="M287">
            <v>11034.660249985904</v>
          </cell>
          <cell r="N287">
            <v>0</v>
          </cell>
          <cell r="O287">
            <v>11720.847123040445</v>
          </cell>
          <cell r="P287">
            <v>0</v>
          </cell>
          <cell r="Q287">
            <v>19195.055049666378</v>
          </cell>
          <cell r="R287">
            <v>671826.92673832318</v>
          </cell>
          <cell r="S287">
            <v>1406.1436545706304</v>
          </cell>
          <cell r="T287">
            <v>49215.027909972057</v>
          </cell>
          <cell r="U287">
            <v>1384.863985679945</v>
          </cell>
          <cell r="V287">
            <v>48470.239498798066</v>
          </cell>
          <cell r="W287">
            <v>15759.184456403762</v>
          </cell>
          <cell r="X287">
            <v>551571.45597413159</v>
          </cell>
          <cell r="Y287">
            <v>9642.9649317443564</v>
          </cell>
          <cell r="Z287">
            <v>337503.7726110525</v>
          </cell>
          <cell r="AA287">
            <v>2676.4943910665434</v>
          </cell>
          <cell r="AB287">
            <v>93677.303687329011</v>
          </cell>
          <cell r="AC287">
            <v>695.34314540460571</v>
          </cell>
        </row>
        <row r="288">
          <cell r="D288" t="str">
            <v>Operating Profit</v>
          </cell>
          <cell r="E288">
            <v>-1041.7524183697715</v>
          </cell>
          <cell r="F288">
            <v>0</v>
          </cell>
          <cell r="G288">
            <v>-8612.2361911343214</v>
          </cell>
          <cell r="H288">
            <v>0</v>
          </cell>
          <cell r="I288">
            <v>8576.1078138482171</v>
          </cell>
          <cell r="J288">
            <v>0</v>
          </cell>
          <cell r="K288">
            <v>6876.0841981064705</v>
          </cell>
          <cell r="L288">
            <v>0</v>
          </cell>
          <cell r="M288">
            <v>-981.81868787690837</v>
          </cell>
          <cell r="N288">
            <v>0</v>
          </cell>
          <cell r="O288">
            <v>-1668.0055609314495</v>
          </cell>
          <cell r="P288">
            <v>0</v>
          </cell>
          <cell r="Q288">
            <v>-5310.918973328251</v>
          </cell>
          <cell r="R288">
            <v>-185882.16406648781</v>
          </cell>
          <cell r="S288">
            <v>12477.992421767496</v>
          </cell>
          <cell r="T288">
            <v>436729.73476186331</v>
          </cell>
          <cell r="U288">
            <v>12499.272090658182</v>
          </cell>
          <cell r="V288">
            <v>437474.52317303733</v>
          </cell>
          <cell r="W288">
            <v>-1875.0483800656348</v>
          </cell>
          <cell r="X288">
            <v>-65626.693302296218</v>
          </cell>
          <cell r="Y288">
            <v>4241.1711445937708</v>
          </cell>
          <cell r="Z288">
            <v>148440.99006078287</v>
          </cell>
          <cell r="AA288">
            <v>11207.641685271585</v>
          </cell>
          <cell r="AB288">
            <v>392267.45898450637</v>
          </cell>
          <cell r="AC288">
            <v>13188.792930933576</v>
          </cell>
        </row>
        <row r="290">
          <cell r="C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row>
        <row r="292">
          <cell r="D292" t="str">
            <v>Others</v>
          </cell>
          <cell r="E292">
            <v>3111.1111111111113</v>
          </cell>
          <cell r="F292">
            <v>0</v>
          </cell>
          <cell r="G292">
            <v>3111.1111111111113</v>
          </cell>
          <cell r="H292">
            <v>0</v>
          </cell>
          <cell r="I292">
            <v>3111.1111111111113</v>
          </cell>
          <cell r="J292">
            <v>0</v>
          </cell>
          <cell r="K292">
            <v>3111.1111111111113</v>
          </cell>
          <cell r="L292">
            <v>0</v>
          </cell>
          <cell r="M292">
            <v>3111.1111111111113</v>
          </cell>
          <cell r="N292">
            <v>0</v>
          </cell>
          <cell r="O292">
            <v>3111.1111111111113</v>
          </cell>
          <cell r="P292">
            <v>0</v>
          </cell>
          <cell r="Q292">
            <v>2666.666666666667</v>
          </cell>
          <cell r="R292">
            <v>93333.333333333343</v>
          </cell>
          <cell r="S292">
            <v>2666.666666666667</v>
          </cell>
          <cell r="T292">
            <v>93333.333333333343</v>
          </cell>
          <cell r="U292">
            <v>2666.666666666667</v>
          </cell>
          <cell r="V292">
            <v>93333.333333333343</v>
          </cell>
          <cell r="W292">
            <v>2666.666666666667</v>
          </cell>
          <cell r="X292">
            <v>93333.333333333343</v>
          </cell>
          <cell r="Y292">
            <v>2666.666666666667</v>
          </cell>
          <cell r="Z292">
            <v>93333.333333333343</v>
          </cell>
          <cell r="AA292">
            <v>2666.666666666667</v>
          </cell>
          <cell r="AB292">
            <v>93333.333333333343</v>
          </cell>
          <cell r="AC292">
            <v>2666.6666666666674</v>
          </cell>
        </row>
        <row r="293">
          <cell r="E293">
            <v>3111.1111111111113</v>
          </cell>
          <cell r="F293">
            <v>0</v>
          </cell>
          <cell r="G293">
            <v>3111.1111111111113</v>
          </cell>
          <cell r="H293">
            <v>0</v>
          </cell>
          <cell r="I293">
            <v>3111.1111111111113</v>
          </cell>
          <cell r="J293">
            <v>0</v>
          </cell>
          <cell r="K293">
            <v>3111.1111111111113</v>
          </cell>
          <cell r="L293">
            <v>0</v>
          </cell>
          <cell r="M293">
            <v>3111.1111111111113</v>
          </cell>
          <cell r="N293">
            <v>0</v>
          </cell>
          <cell r="O293">
            <v>3111.1111111111113</v>
          </cell>
          <cell r="P293">
            <v>0</v>
          </cell>
          <cell r="Q293">
            <v>2666.666666666667</v>
          </cell>
          <cell r="R293">
            <v>93333.333333333343</v>
          </cell>
          <cell r="S293">
            <v>2666.666666666667</v>
          </cell>
          <cell r="T293">
            <v>93333.333333333343</v>
          </cell>
          <cell r="U293">
            <v>2666.666666666667</v>
          </cell>
          <cell r="V293">
            <v>93333.333333333343</v>
          </cell>
          <cell r="W293">
            <v>2666.666666666667</v>
          </cell>
          <cell r="X293">
            <v>93333.333333333343</v>
          </cell>
          <cell r="Y293">
            <v>2666.666666666667</v>
          </cell>
          <cell r="Z293">
            <v>93333.333333333343</v>
          </cell>
          <cell r="AA293">
            <v>2666.666666666667</v>
          </cell>
          <cell r="AB293">
            <v>93333.333333333343</v>
          </cell>
          <cell r="AC293">
            <v>2666.6666666666674</v>
          </cell>
        </row>
        <row r="295">
          <cell r="C295" t="str">
            <v>Profit before tax</v>
          </cell>
          <cell r="E295">
            <v>2069.3586927413398</v>
          </cell>
          <cell r="F295">
            <v>0</v>
          </cell>
          <cell r="G295">
            <v>-5501.1250800232101</v>
          </cell>
          <cell r="H295">
            <v>0</v>
          </cell>
          <cell r="I295">
            <v>11687.218924959328</v>
          </cell>
          <cell r="J295">
            <v>0</v>
          </cell>
          <cell r="K295">
            <v>9987.1953092175827</v>
          </cell>
          <cell r="L295">
            <v>0</v>
          </cell>
          <cell r="M295">
            <v>2129.2924232342029</v>
          </cell>
          <cell r="N295">
            <v>0</v>
          </cell>
          <cell r="O295">
            <v>1443.1055501796618</v>
          </cell>
          <cell r="P295">
            <v>0</v>
          </cell>
          <cell r="Q295">
            <v>-2644.252306661584</v>
          </cell>
          <cell r="R295">
            <v>-92548.830733154464</v>
          </cell>
          <cell r="S295">
            <v>15144.659088434164</v>
          </cell>
          <cell r="T295">
            <v>530063.06809519662</v>
          </cell>
          <cell r="U295">
            <v>15165.93875732485</v>
          </cell>
          <cell r="V295">
            <v>530807.85650637071</v>
          </cell>
          <cell r="W295">
            <v>791.6182866010322</v>
          </cell>
          <cell r="X295">
            <v>27706.640031037125</v>
          </cell>
          <cell r="Y295">
            <v>6907.8378112604378</v>
          </cell>
          <cell r="Z295">
            <v>241774.32339411622</v>
          </cell>
          <cell r="AA295">
            <v>13874.308351938253</v>
          </cell>
          <cell r="AB295">
            <v>485600.79231783969</v>
          </cell>
          <cell r="AC295">
            <v>15855.459597600244</v>
          </cell>
        </row>
        <row r="333">
          <cell r="F333">
            <v>185405.57509915665</v>
          </cell>
        </row>
        <row r="334">
          <cell r="D334" t="str">
            <v>CKD Cost</v>
          </cell>
          <cell r="F334">
            <v>55621672.529746994</v>
          </cell>
          <cell r="H334">
            <v>55621672.529746994</v>
          </cell>
          <cell r="J334">
            <v>55621672.529746994</v>
          </cell>
          <cell r="L334">
            <v>55621672.529746994</v>
          </cell>
          <cell r="N334">
            <v>55621672.529746994</v>
          </cell>
          <cell r="P334">
            <v>55621672.529746994</v>
          </cell>
          <cell r="R334">
            <v>58402756.156234346</v>
          </cell>
          <cell r="T334">
            <v>58402756.156234346</v>
          </cell>
          <cell r="V334">
            <v>58402756.156234346</v>
          </cell>
          <cell r="X334">
            <v>58402756.156234346</v>
          </cell>
          <cell r="Z334">
            <v>58402756.156234346</v>
          </cell>
          <cell r="AB334">
            <v>58402756.156234346</v>
          </cell>
          <cell r="AC334">
            <v>684146572.11588812</v>
          </cell>
          <cell r="AF334" t="str">
            <v>CKD Cost</v>
          </cell>
        </row>
        <row r="335">
          <cell r="D335" t="str">
            <v>Vendor parts</v>
          </cell>
          <cell r="F335">
            <v>27750870</v>
          </cell>
          <cell r="H335">
            <v>27750870</v>
          </cell>
          <cell r="J335">
            <v>27750870</v>
          </cell>
          <cell r="L335">
            <v>27750870</v>
          </cell>
          <cell r="N335">
            <v>27750870</v>
          </cell>
          <cell r="P335">
            <v>27750870</v>
          </cell>
          <cell r="R335">
            <v>29134335</v>
          </cell>
          <cell r="T335">
            <v>29134335</v>
          </cell>
          <cell r="V335">
            <v>29134335</v>
          </cell>
          <cell r="X335">
            <v>29134335</v>
          </cell>
          <cell r="Z335">
            <v>29134335</v>
          </cell>
          <cell r="AB335">
            <v>29134335</v>
          </cell>
          <cell r="AC335">
            <v>341311230</v>
          </cell>
          <cell r="AF335" t="str">
            <v>Vendor parts</v>
          </cell>
        </row>
        <row r="336">
          <cell r="D336" t="str">
            <v>Nummi Parts</v>
          </cell>
          <cell r="F336">
            <v>0</v>
          </cell>
          <cell r="H336">
            <v>0</v>
          </cell>
          <cell r="J336">
            <v>0</v>
          </cell>
          <cell r="L336">
            <v>0</v>
          </cell>
          <cell r="N336">
            <v>0</v>
          </cell>
          <cell r="P336">
            <v>0</v>
          </cell>
          <cell r="R336">
            <v>0</v>
          </cell>
          <cell r="T336">
            <v>0</v>
          </cell>
          <cell r="V336">
            <v>0</v>
          </cell>
          <cell r="X336">
            <v>0</v>
          </cell>
          <cell r="Z336">
            <v>0</v>
          </cell>
          <cell r="AB336">
            <v>0</v>
          </cell>
          <cell r="AC336">
            <v>0</v>
          </cell>
          <cell r="AF336" t="str">
            <v>Nummi Parts</v>
          </cell>
        </row>
        <row r="337">
          <cell r="D337" t="str">
            <v>Paints &amp; Chemicals</v>
          </cell>
          <cell r="F337">
            <v>1732050</v>
          </cell>
          <cell r="H337">
            <v>1732050</v>
          </cell>
          <cell r="J337">
            <v>1732050</v>
          </cell>
          <cell r="L337">
            <v>1732050</v>
          </cell>
          <cell r="N337">
            <v>1732050</v>
          </cell>
          <cell r="P337">
            <v>1732050</v>
          </cell>
          <cell r="R337">
            <v>1782165</v>
          </cell>
          <cell r="T337">
            <v>1782165</v>
          </cell>
          <cell r="V337">
            <v>1782165</v>
          </cell>
          <cell r="X337">
            <v>1782165</v>
          </cell>
          <cell r="Z337">
            <v>1782165</v>
          </cell>
          <cell r="AB337">
            <v>1782165</v>
          </cell>
          <cell r="AC337">
            <v>21085290</v>
          </cell>
          <cell r="AF337" t="str">
            <v>Paints &amp; Chemicals</v>
          </cell>
        </row>
        <row r="338">
          <cell r="D338" t="str">
            <v>Consumables</v>
          </cell>
          <cell r="F338">
            <v>1003380</v>
          </cell>
          <cell r="H338">
            <v>1003380</v>
          </cell>
          <cell r="J338">
            <v>1003380</v>
          </cell>
          <cell r="L338">
            <v>1003380</v>
          </cell>
          <cell r="N338">
            <v>1003380</v>
          </cell>
          <cell r="P338">
            <v>1003380</v>
          </cell>
          <cell r="R338">
            <v>1052940</v>
          </cell>
          <cell r="T338">
            <v>1052940</v>
          </cell>
          <cell r="V338">
            <v>1052940</v>
          </cell>
          <cell r="X338">
            <v>1052940</v>
          </cell>
          <cell r="Z338">
            <v>1052940</v>
          </cell>
          <cell r="AB338">
            <v>1052940</v>
          </cell>
          <cell r="AC338">
            <v>12337920</v>
          </cell>
          <cell r="AF338" t="str">
            <v>Consumables</v>
          </cell>
        </row>
        <row r="339">
          <cell r="D339" t="str">
            <v>KD Parts</v>
          </cell>
          <cell r="F339">
            <v>0</v>
          </cell>
          <cell r="H339">
            <v>0</v>
          </cell>
          <cell r="J339">
            <v>0</v>
          </cell>
          <cell r="L339">
            <v>0</v>
          </cell>
          <cell r="N339">
            <v>0</v>
          </cell>
          <cell r="P339">
            <v>0</v>
          </cell>
          <cell r="R339">
            <v>0</v>
          </cell>
          <cell r="T339">
            <v>0</v>
          </cell>
          <cell r="V339">
            <v>0</v>
          </cell>
          <cell r="X339">
            <v>0</v>
          </cell>
          <cell r="Z339">
            <v>0</v>
          </cell>
          <cell r="AB339">
            <v>0</v>
          </cell>
          <cell r="AC339">
            <v>0</v>
          </cell>
          <cell r="AF339" t="str">
            <v>KD Parts</v>
          </cell>
        </row>
        <row r="340">
          <cell r="D340" t="str">
            <v>Spare parts</v>
          </cell>
          <cell r="F340">
            <v>12150</v>
          </cell>
          <cell r="H340">
            <v>12150</v>
          </cell>
          <cell r="J340">
            <v>12150</v>
          </cell>
          <cell r="L340">
            <v>12150</v>
          </cell>
          <cell r="N340">
            <v>12150</v>
          </cell>
          <cell r="P340">
            <v>12150</v>
          </cell>
          <cell r="R340">
            <v>12810</v>
          </cell>
          <cell r="T340">
            <v>12810</v>
          </cell>
          <cell r="V340">
            <v>12810</v>
          </cell>
          <cell r="X340">
            <v>12810</v>
          </cell>
          <cell r="Z340">
            <v>12810</v>
          </cell>
          <cell r="AB340">
            <v>12810</v>
          </cell>
          <cell r="AC340">
            <v>149760</v>
          </cell>
          <cell r="AF340" t="str">
            <v>Spare parts</v>
          </cell>
        </row>
        <row r="341">
          <cell r="D341" t="str">
            <v>Utilities</v>
          </cell>
          <cell r="F341">
            <v>1271910</v>
          </cell>
          <cell r="H341">
            <v>1271910</v>
          </cell>
          <cell r="J341">
            <v>1271910</v>
          </cell>
          <cell r="L341">
            <v>1271910</v>
          </cell>
          <cell r="N341">
            <v>1271910</v>
          </cell>
          <cell r="P341">
            <v>1271910</v>
          </cell>
          <cell r="R341">
            <v>1330035</v>
          </cell>
          <cell r="T341">
            <v>1330035</v>
          </cell>
          <cell r="V341">
            <v>1330035</v>
          </cell>
          <cell r="X341">
            <v>1330035</v>
          </cell>
          <cell r="Z341">
            <v>1330035</v>
          </cell>
          <cell r="AB341">
            <v>1330035</v>
          </cell>
          <cell r="AC341">
            <v>15611670</v>
          </cell>
          <cell r="AF341" t="str">
            <v>Utilities</v>
          </cell>
        </row>
        <row r="342">
          <cell r="D342" t="str">
            <v>Royalties</v>
          </cell>
          <cell r="F342">
            <v>612510</v>
          </cell>
          <cell r="H342">
            <v>612510</v>
          </cell>
          <cell r="J342">
            <v>612510</v>
          </cell>
          <cell r="L342">
            <v>612510</v>
          </cell>
          <cell r="N342">
            <v>612510</v>
          </cell>
          <cell r="P342">
            <v>612510</v>
          </cell>
          <cell r="R342">
            <v>640920</v>
          </cell>
          <cell r="T342">
            <v>640920</v>
          </cell>
          <cell r="V342">
            <v>640920</v>
          </cell>
          <cell r="X342">
            <v>640920</v>
          </cell>
          <cell r="Z342">
            <v>640920</v>
          </cell>
          <cell r="AB342">
            <v>640920</v>
          </cell>
          <cell r="AC342">
            <v>7520580</v>
          </cell>
          <cell r="AF342" t="str">
            <v>Royalties</v>
          </cell>
        </row>
        <row r="344">
          <cell r="F344">
            <v>88004542.529746994</v>
          </cell>
          <cell r="H344">
            <v>88004542.529746994</v>
          </cell>
          <cell r="J344">
            <v>88004542.529746994</v>
          </cell>
          <cell r="L344">
            <v>88004542.529746994</v>
          </cell>
          <cell r="N344">
            <v>88004542.529746994</v>
          </cell>
          <cell r="P344">
            <v>88004542.529746994</v>
          </cell>
          <cell r="R344">
            <v>92355961.156234354</v>
          </cell>
          <cell r="T344">
            <v>92355961.156234354</v>
          </cell>
          <cell r="V344">
            <v>92355961.156234354</v>
          </cell>
          <cell r="X344">
            <v>92355961.156234354</v>
          </cell>
          <cell r="Z344">
            <v>92355961.156234354</v>
          </cell>
          <cell r="AB344">
            <v>92355961.156234354</v>
          </cell>
          <cell r="AC344">
            <v>1082163022.1158881</v>
          </cell>
        </row>
        <row r="345">
          <cell r="F345">
            <v>0</v>
          </cell>
          <cell r="H345">
            <v>0</v>
          </cell>
          <cell r="J345">
            <v>0</v>
          </cell>
          <cell r="L345">
            <v>0</v>
          </cell>
          <cell r="N345">
            <v>0</v>
          </cell>
          <cell r="P345">
            <v>0</v>
          </cell>
          <cell r="R345">
            <v>-11416005.12847048</v>
          </cell>
          <cell r="T345">
            <v>-11416005.12847048</v>
          </cell>
          <cell r="V345">
            <v>-11416005.12847048</v>
          </cell>
          <cell r="X345">
            <v>-11416005.12847048</v>
          </cell>
          <cell r="Z345">
            <v>-11416005.12847048</v>
          </cell>
          <cell r="AB345">
            <v>-11416005.12847048</v>
          </cell>
          <cell r="AC345">
            <v>-68496030.770822763</v>
          </cell>
        </row>
      </sheetData>
      <sheetData sheetId="11">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C33" t="str">
            <v>Financial Charges -Working Capital</v>
          </cell>
          <cell r="E33">
            <v>61821.642211505023</v>
          </cell>
          <cell r="F33">
            <v>54720.596341111326</v>
          </cell>
          <cell r="G33">
            <v>53840.889428353745</v>
          </cell>
          <cell r="H33">
            <v>49233.023961940838</v>
          </cell>
          <cell r="I33">
            <v>66097.823217230602</v>
          </cell>
          <cell r="J33">
            <v>63871.595708394932</v>
          </cell>
          <cell r="K33">
            <v>56780.621461829563</v>
          </cell>
          <cell r="L33">
            <v>71456.813349351432</v>
          </cell>
          <cell r="M33">
            <v>66581.975824860856</v>
          </cell>
          <cell r="N33">
            <v>69348.82804305121</v>
          </cell>
          <cell r="O33">
            <v>69858.455485244849</v>
          </cell>
          <cell r="P33">
            <v>67392.223866452419</v>
          </cell>
          <cell r="Q33">
            <v>751004.48889932688</v>
          </cell>
          <cell r="R33">
            <v>349585.57086853648</v>
          </cell>
          <cell r="S33">
            <v>401418.91803079034</v>
          </cell>
          <cell r="T33">
            <v>8173.9325113345403</v>
          </cell>
          <cell r="U33">
            <v>11775.441647157946</v>
          </cell>
        </row>
        <row r="34">
          <cell r="C34" t="str">
            <v>Other Expenses  - (Charity &amp; Donation)</v>
          </cell>
          <cell r="E34">
            <v>42931.695980211829</v>
          </cell>
          <cell r="F34">
            <v>38000.414125771749</v>
          </cell>
          <cell r="G34">
            <v>37389.506547467892</v>
          </cell>
          <cell r="H34">
            <v>34189.599973570039</v>
          </cell>
          <cell r="I34">
            <v>45901.266123076814</v>
          </cell>
          <cell r="J34">
            <v>44355.274797496473</v>
          </cell>
          <cell r="K34">
            <v>39430.987126270535</v>
          </cell>
          <cell r="L34">
            <v>49622.787048160724</v>
          </cell>
          <cell r="M34">
            <v>46237.483211708932</v>
          </cell>
          <cell r="N34">
            <v>48158.90836323001</v>
          </cell>
          <cell r="O34">
            <v>48512.816309197813</v>
          </cell>
          <cell r="P34">
            <v>46800.155462814189</v>
          </cell>
          <cell r="Q34">
            <v>521530.89506897703</v>
          </cell>
          <cell r="R34">
            <v>242767.75754759478</v>
          </cell>
          <cell r="S34">
            <v>278763.13752138219</v>
          </cell>
          <cell r="T34">
            <v>5676.342021760036</v>
          </cell>
          <cell r="U34">
            <v>8177.3900327485753</v>
          </cell>
        </row>
        <row r="35">
          <cell r="C35" t="str">
            <v>W.P.P.F.</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0</v>
          </cell>
          <cell r="U35">
            <v>0</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0</v>
          </cell>
          <cell r="U36">
            <v>0</v>
          </cell>
        </row>
        <row r="37">
          <cell r="E37">
            <v>3403483.5746072386</v>
          </cell>
          <cell r="F37">
            <v>5729091.4774954198</v>
          </cell>
          <cell r="G37">
            <v>448933.71540423972</v>
          </cell>
          <cell r="H37">
            <v>971170.92963471054</v>
          </cell>
          <cell r="I37">
            <v>3399866.1142095951</v>
          </cell>
          <cell r="J37">
            <v>3611647.9284747541</v>
          </cell>
          <cell r="K37">
            <v>6925846.721103237</v>
          </cell>
          <cell r="L37">
            <v>497168.82147779921</v>
          </cell>
          <cell r="M37">
            <v>489478.62987076188</v>
          </cell>
          <cell r="N37">
            <v>5684168.4161019633</v>
          </cell>
          <cell r="O37">
            <v>3473847.3675483409</v>
          </cell>
          <cell r="P37">
            <v>956256.81866326253</v>
          </cell>
          <cell r="Q37">
            <v>35590960.514591321</v>
          </cell>
          <cell r="R37">
            <v>17564193.73982596</v>
          </cell>
          <cell r="S37">
            <v>18026766.774765365</v>
          </cell>
          <cell r="T37">
            <v>413592.67412244156</v>
          </cell>
          <cell r="U37">
            <v>504119.5105693005</v>
          </cell>
        </row>
        <row r="38">
          <cell r="B38" t="str">
            <v>Operating Profit</v>
          </cell>
          <cell r="E38">
            <v>-1490176.0854659383</v>
          </cell>
          <cell r="F38">
            <v>-3815783.9883541195</v>
          </cell>
          <cell r="G38">
            <v>1464373.7737370606</v>
          </cell>
          <cell r="H38">
            <v>942136.55950658978</v>
          </cell>
          <cell r="I38">
            <v>-1400627.5340100406</v>
          </cell>
          <cell r="J38">
            <v>-1612409.3482751995</v>
          </cell>
          <cell r="K38">
            <v>-2962169.7137450436</v>
          </cell>
          <cell r="L38">
            <v>3466508.1858803942</v>
          </cell>
          <cell r="M38">
            <v>3474198.3774874313</v>
          </cell>
          <cell r="N38">
            <v>-1720491.4087437699</v>
          </cell>
          <cell r="O38">
            <v>489829.63980985247</v>
          </cell>
          <cell r="P38">
            <v>3007420.1886949306</v>
          </cell>
          <cell r="Q38">
            <v>-157191.35347785335</v>
          </cell>
          <cell r="R38">
            <v>-5912486.622861648</v>
          </cell>
          <cell r="S38">
            <v>5755295.2693837956</v>
          </cell>
          <cell r="T38">
            <v>2336202.2397413384</v>
          </cell>
          <cell r="U38">
            <v>3620572.8602264579</v>
          </cell>
        </row>
        <row r="39">
          <cell r="R39">
            <v>0</v>
          </cell>
          <cell r="S39">
            <v>0</v>
          </cell>
          <cell r="T39">
            <v>0</v>
          </cell>
          <cell r="U39">
            <v>0</v>
          </cell>
        </row>
        <row r="40">
          <cell r="B40" t="str">
            <v>Other Income</v>
          </cell>
          <cell r="R40">
            <v>0</v>
          </cell>
          <cell r="S40">
            <v>0</v>
          </cell>
          <cell r="T40">
            <v>0</v>
          </cell>
          <cell r="U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0</v>
          </cell>
          <cell r="U42">
            <v>0</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0</v>
          </cell>
          <cell r="U43">
            <v>0</v>
          </cell>
        </row>
        <row r="44">
          <cell r="B44" t="str">
            <v>Profit Before Tax</v>
          </cell>
          <cell r="E44">
            <v>-556842.75213260495</v>
          </cell>
          <cell r="F44">
            <v>-2882450.655020786</v>
          </cell>
          <cell r="G44">
            <v>2397707.1070703939</v>
          </cell>
          <cell r="H44">
            <v>1875469.892839923</v>
          </cell>
          <cell r="I44">
            <v>-467294.2006767072</v>
          </cell>
          <cell r="J44">
            <v>-679076.01494186616</v>
          </cell>
          <cell r="K44">
            <v>-2028836.3804117101</v>
          </cell>
          <cell r="L44">
            <v>4399841.5192137277</v>
          </cell>
          <cell r="M44">
            <v>4407531.7108207652</v>
          </cell>
          <cell r="N44">
            <v>-787158.07541043626</v>
          </cell>
          <cell r="O44">
            <v>1423162.973143186</v>
          </cell>
          <cell r="P44">
            <v>3940753.5220282641</v>
          </cell>
          <cell r="Q44">
            <v>11042808.646522149</v>
          </cell>
          <cell r="R44">
            <v>-312486.62286164728</v>
          </cell>
          <cell r="S44">
            <v>11355295.269383796</v>
          </cell>
          <cell r="T44">
            <v>2336202.2397413393</v>
          </cell>
          <cell r="U44">
            <v>3620572.8602264579</v>
          </cell>
        </row>
        <row r="45">
          <cell r="R45">
            <v>0</v>
          </cell>
          <cell r="S45">
            <v>0</v>
          </cell>
          <cell r="T45">
            <v>0</v>
          </cell>
          <cell r="U45">
            <v>0</v>
          </cell>
        </row>
        <row r="46">
          <cell r="B46" t="str">
            <v>Taxation</v>
          </cell>
          <cell r="R46">
            <v>0</v>
          </cell>
          <cell r="S46">
            <v>0</v>
          </cell>
          <cell r="T46">
            <v>0</v>
          </cell>
          <cell r="U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0</v>
          </cell>
          <cell r="U47">
            <v>0</v>
          </cell>
        </row>
        <row r="48">
          <cell r="C48" t="str">
            <v>Presumptive</v>
          </cell>
          <cell r="E48">
            <v>104655.4552912223</v>
          </cell>
          <cell r="F48">
            <v>104655.4552912223</v>
          </cell>
          <cell r="G48">
            <v>104655.4552912223</v>
          </cell>
          <cell r="H48">
            <v>104655.4552912223</v>
          </cell>
          <cell r="I48">
            <v>125586.54634946678</v>
          </cell>
          <cell r="J48">
            <v>125586.54634946678</v>
          </cell>
          <cell r="K48">
            <v>167448.72846595568</v>
          </cell>
          <cell r="L48">
            <v>167448.72846595568</v>
          </cell>
          <cell r="M48">
            <v>167448.72846595568</v>
          </cell>
          <cell r="N48">
            <v>167448.72846595568</v>
          </cell>
          <cell r="O48">
            <v>167448.72846595568</v>
          </cell>
          <cell r="P48">
            <v>167448.72846595568</v>
          </cell>
          <cell r="Q48">
            <v>1674487.284659557</v>
          </cell>
          <cell r="R48">
            <v>669794.91386382282</v>
          </cell>
          <cell r="S48">
            <v>1004692.3707957341</v>
          </cell>
          <cell r="T48">
            <v>669794.91386382282</v>
          </cell>
          <cell r="U48">
            <v>1004692.3707957341</v>
          </cell>
        </row>
        <row r="49">
          <cell r="E49">
            <v>-214332.03414485016</v>
          </cell>
          <cell r="F49">
            <v>-1009232.830285128</v>
          </cell>
          <cell r="G49">
            <v>795543.29023803817</v>
          </cell>
          <cell r="H49">
            <v>617040.81058515492</v>
          </cell>
          <cell r="I49">
            <v>-187107.90138485515</v>
          </cell>
          <cell r="J49">
            <v>-259157.52305558219</v>
          </cell>
          <cell r="K49">
            <v>-710598.95083922707</v>
          </cell>
          <cell r="L49">
            <v>1468542.6950600022</v>
          </cell>
          <cell r="M49">
            <v>1471149.454499111</v>
          </cell>
          <cell r="N49">
            <v>-289704.80316455674</v>
          </cell>
          <cell r="O49">
            <v>459532.08860622079</v>
          </cell>
          <cell r="P49">
            <v>1312924.7298392525</v>
          </cell>
          <cell r="Q49">
            <v>3454599.0259535806</v>
          </cell>
          <cell r="R49">
            <v>-257246.18804722244</v>
          </cell>
          <cell r="S49">
            <v>3711845.2140008025</v>
          </cell>
          <cell r="T49">
            <v>-257246.18804722244</v>
          </cell>
          <cell r="U49">
            <v>3711845.2140008025</v>
          </cell>
        </row>
        <row r="50">
          <cell r="R50">
            <v>0</v>
          </cell>
          <cell r="S50">
            <v>0</v>
          </cell>
          <cell r="T50">
            <v>927041.10191104526</v>
          </cell>
          <cell r="U50">
            <v>-2707152.8432050683</v>
          </cell>
        </row>
        <row r="51">
          <cell r="B51" t="str">
            <v>Profit After Tax</v>
          </cell>
          <cell r="E51">
            <v>-342510.71798775479</v>
          </cell>
          <cell r="F51">
            <v>-1873217.824735658</v>
          </cell>
          <cell r="G51">
            <v>1602163.8168323557</v>
          </cell>
          <cell r="H51">
            <v>1258429.0822547681</v>
          </cell>
          <cell r="I51">
            <v>-280186.29929185205</v>
          </cell>
          <cell r="J51">
            <v>-419918.49188628397</v>
          </cell>
          <cell r="K51">
            <v>-1318237.4295724831</v>
          </cell>
          <cell r="L51">
            <v>2931298.8241537255</v>
          </cell>
          <cell r="M51">
            <v>2936382.2563216542</v>
          </cell>
          <cell r="N51">
            <v>-497453.27224587952</v>
          </cell>
          <cell r="O51">
            <v>963630.88453696517</v>
          </cell>
          <cell r="P51">
            <v>2627828.7921890114</v>
          </cell>
          <cell r="Q51">
            <v>7588209.6205685688</v>
          </cell>
          <cell r="R51">
            <v>-55240.434814424836</v>
          </cell>
          <cell r="S51">
            <v>7643450.055382994</v>
          </cell>
          <cell r="T51">
            <v>-55240.434814424836</v>
          </cell>
          <cell r="U51">
            <v>7643450.055382994</v>
          </cell>
        </row>
        <row r="55">
          <cell r="B55" t="str">
            <v>INDUS MOTOR COMPANY LIMITED</v>
          </cell>
        </row>
        <row r="56">
          <cell r="B56" t="str">
            <v>PERUNIT PROFIT &amp; LOSS ACCOUNT - DAIHTASU  (CKD)</v>
          </cell>
        </row>
        <row r="57">
          <cell r="B57" t="str">
            <v>FOR THE YEAR 2000~01</v>
          </cell>
        </row>
        <row r="58">
          <cell r="AA58" t="str">
            <v xml:space="preserve">C:\MIS\2002-03\[MIS-Aug-02-Sep17-QP.xls]Variantwise </v>
          </cell>
        </row>
        <row r="59">
          <cell r="AB59" t="str">
            <v>Rs.</v>
          </cell>
          <cell r="AC59" t="str">
            <v>CL</v>
          </cell>
        </row>
        <row r="60">
          <cell r="B60" t="str">
            <v>CL</v>
          </cell>
          <cell r="E60">
            <v>183</v>
          </cell>
          <cell r="G60">
            <v>214</v>
          </cell>
          <cell r="I60">
            <v>245</v>
          </cell>
          <cell r="K60">
            <v>276</v>
          </cell>
          <cell r="M60">
            <v>307</v>
          </cell>
          <cell r="O60">
            <v>338</v>
          </cell>
          <cell r="Q60">
            <v>369</v>
          </cell>
          <cell r="S60">
            <v>400</v>
          </cell>
          <cell r="U60">
            <v>431</v>
          </cell>
          <cell r="W60">
            <v>462</v>
          </cell>
          <cell r="Y60">
            <v>493</v>
          </cell>
          <cell r="AA60">
            <v>524</v>
          </cell>
          <cell r="AC60" t="str">
            <v>Yearly</v>
          </cell>
        </row>
        <row r="61">
          <cell r="E61" t="str">
            <v>Per Unit</v>
          </cell>
          <cell r="F61" t="str">
            <v>Total</v>
          </cell>
          <cell r="G61" t="str">
            <v>Per Unit</v>
          </cell>
          <cell r="H61" t="str">
            <v>Total</v>
          </cell>
          <cell r="I61" t="str">
            <v>Per Unit</v>
          </cell>
          <cell r="J61" t="str">
            <v>Total</v>
          </cell>
          <cell r="K61" t="str">
            <v>Per Unit</v>
          </cell>
          <cell r="L61" t="str">
            <v>Total</v>
          </cell>
          <cell r="M61" t="str">
            <v>Per Unit</v>
          </cell>
          <cell r="N61" t="str">
            <v>Total</v>
          </cell>
          <cell r="O61" t="str">
            <v>Per Unit</v>
          </cell>
          <cell r="P61" t="str">
            <v>Total</v>
          </cell>
          <cell r="Q61" t="str">
            <v>Per Unit</v>
          </cell>
          <cell r="R61" t="str">
            <v>Total</v>
          </cell>
          <cell r="S61" t="str">
            <v>Per Unit</v>
          </cell>
          <cell r="T61" t="str">
            <v>Total</v>
          </cell>
          <cell r="U61" t="str">
            <v>Per Unit</v>
          </cell>
          <cell r="V61" t="str">
            <v>Total</v>
          </cell>
          <cell r="W61" t="str">
            <v>Per Unit</v>
          </cell>
          <cell r="X61" t="str">
            <v>Total</v>
          </cell>
          <cell r="Y61" t="str">
            <v>Per Unit</v>
          </cell>
          <cell r="Z61" t="str">
            <v>Total</v>
          </cell>
          <cell r="AA61" t="str">
            <v>Per Unit</v>
          </cell>
          <cell r="AB61" t="str">
            <v>Total</v>
          </cell>
          <cell r="AC61" t="str">
            <v>Average</v>
          </cell>
        </row>
        <row r="63">
          <cell r="C63" t="str">
            <v>Sales Units</v>
          </cell>
          <cell r="E63">
            <v>1</v>
          </cell>
          <cell r="F63">
            <v>90</v>
          </cell>
          <cell r="G63">
            <v>1</v>
          </cell>
          <cell r="H63">
            <v>90</v>
          </cell>
          <cell r="I63">
            <v>1</v>
          </cell>
          <cell r="J63">
            <v>90</v>
          </cell>
          <cell r="K63">
            <v>1</v>
          </cell>
          <cell r="L63">
            <v>90</v>
          </cell>
          <cell r="M63">
            <v>1</v>
          </cell>
          <cell r="N63">
            <v>90</v>
          </cell>
          <cell r="O63">
            <v>1</v>
          </cell>
          <cell r="P63">
            <v>90</v>
          </cell>
          <cell r="Q63">
            <v>1</v>
          </cell>
          <cell r="R63">
            <v>90</v>
          </cell>
          <cell r="S63">
            <v>1</v>
          </cell>
          <cell r="T63">
            <v>90</v>
          </cell>
          <cell r="U63">
            <v>1</v>
          </cell>
          <cell r="V63">
            <v>90</v>
          </cell>
          <cell r="W63">
            <v>1</v>
          </cell>
          <cell r="X63">
            <v>90</v>
          </cell>
          <cell r="Y63">
            <v>1</v>
          </cell>
          <cell r="Z63">
            <v>90</v>
          </cell>
          <cell r="AA63">
            <v>1</v>
          </cell>
          <cell r="AB63">
            <v>90</v>
          </cell>
          <cell r="AC63">
            <v>1080</v>
          </cell>
        </row>
        <row r="65">
          <cell r="C65" t="str">
            <v>Selling Price</v>
          </cell>
          <cell r="E65">
            <v>349000</v>
          </cell>
          <cell r="F65">
            <v>31410000</v>
          </cell>
          <cell r="G65">
            <v>349000</v>
          </cell>
          <cell r="H65">
            <v>31410000</v>
          </cell>
          <cell r="I65">
            <v>349000</v>
          </cell>
          <cell r="J65">
            <v>31410000</v>
          </cell>
          <cell r="K65">
            <v>349000</v>
          </cell>
          <cell r="L65">
            <v>31410000</v>
          </cell>
          <cell r="M65">
            <v>349000</v>
          </cell>
          <cell r="N65">
            <v>31410000</v>
          </cell>
          <cell r="O65">
            <v>349000</v>
          </cell>
          <cell r="P65">
            <v>31410000</v>
          </cell>
          <cell r="Q65">
            <v>349000</v>
          </cell>
          <cell r="R65">
            <v>31410000</v>
          </cell>
          <cell r="S65">
            <v>349000</v>
          </cell>
          <cell r="T65">
            <v>31410000</v>
          </cell>
          <cell r="U65">
            <v>349000</v>
          </cell>
          <cell r="V65">
            <v>31410000</v>
          </cell>
          <cell r="W65">
            <v>349000</v>
          </cell>
          <cell r="X65">
            <v>31410000</v>
          </cell>
          <cell r="Y65">
            <v>349000</v>
          </cell>
          <cell r="Z65">
            <v>31410000</v>
          </cell>
          <cell r="AA65">
            <v>349000</v>
          </cell>
          <cell r="AB65">
            <v>31410000</v>
          </cell>
          <cell r="AC65">
            <v>349000</v>
          </cell>
        </row>
        <row r="66">
          <cell r="C66" t="str">
            <v>Less: Dealer commission</v>
          </cell>
          <cell r="E66">
            <v>-6000</v>
          </cell>
          <cell r="F66">
            <v>-540000</v>
          </cell>
          <cell r="G66">
            <v>-6000</v>
          </cell>
          <cell r="H66">
            <v>-540000</v>
          </cell>
          <cell r="I66">
            <v>-6000</v>
          </cell>
          <cell r="J66">
            <v>-540000</v>
          </cell>
          <cell r="K66">
            <v>-6000</v>
          </cell>
          <cell r="L66">
            <v>-540000</v>
          </cell>
          <cell r="M66">
            <v>-6000</v>
          </cell>
          <cell r="N66">
            <v>-540000</v>
          </cell>
          <cell r="O66">
            <v>-6000</v>
          </cell>
          <cell r="P66">
            <v>-540000</v>
          </cell>
          <cell r="Q66">
            <v>-6000</v>
          </cell>
          <cell r="R66">
            <v>-540000</v>
          </cell>
          <cell r="S66">
            <v>-6000</v>
          </cell>
          <cell r="T66">
            <v>-540000</v>
          </cell>
          <cell r="U66">
            <v>-6000</v>
          </cell>
          <cell r="V66">
            <v>-540000</v>
          </cell>
          <cell r="W66">
            <v>-6000</v>
          </cell>
          <cell r="X66">
            <v>-540000</v>
          </cell>
          <cell r="Y66">
            <v>-6000</v>
          </cell>
          <cell r="Z66">
            <v>-540000</v>
          </cell>
          <cell r="AA66">
            <v>-6000</v>
          </cell>
          <cell r="AB66">
            <v>-540000</v>
          </cell>
          <cell r="AC66">
            <v>-6000</v>
          </cell>
        </row>
        <row r="67">
          <cell r="D67" t="str">
            <v xml:space="preserve">  Sales tax</v>
          </cell>
          <cell r="E67">
            <v>-45521.739130434784</v>
          </cell>
          <cell r="F67">
            <v>-4096956.5217391304</v>
          </cell>
          <cell r="G67">
            <v>-45521.739130434784</v>
          </cell>
          <cell r="H67">
            <v>-4096956.5217391304</v>
          </cell>
          <cell r="I67">
            <v>-45521.739130434784</v>
          </cell>
          <cell r="J67">
            <v>-4096956.5217391304</v>
          </cell>
          <cell r="K67">
            <v>-45521.739130434784</v>
          </cell>
          <cell r="L67">
            <v>-4096956.5217391304</v>
          </cell>
          <cell r="M67">
            <v>-45521.739130434784</v>
          </cell>
          <cell r="N67">
            <v>-4096956.5217391304</v>
          </cell>
          <cell r="O67">
            <v>-45521.739130434784</v>
          </cell>
          <cell r="P67">
            <v>-4096956.5217391304</v>
          </cell>
          <cell r="Q67">
            <v>-45521.739130434784</v>
          </cell>
          <cell r="R67">
            <v>-4096956.5217391304</v>
          </cell>
          <cell r="S67">
            <v>-45521.739130434784</v>
          </cell>
          <cell r="T67">
            <v>-4096956.5217391304</v>
          </cell>
          <cell r="U67">
            <v>-45521.739130434784</v>
          </cell>
          <cell r="V67">
            <v>-4096956.5217391304</v>
          </cell>
          <cell r="W67">
            <v>-45521.739130434784</v>
          </cell>
          <cell r="X67">
            <v>-4096956.5217391304</v>
          </cell>
          <cell r="Y67">
            <v>-45521.739130434784</v>
          </cell>
          <cell r="Z67">
            <v>-4096956.5217391304</v>
          </cell>
          <cell r="AA67">
            <v>-45521.739130434784</v>
          </cell>
          <cell r="AB67">
            <v>-4096956.5217391304</v>
          </cell>
          <cell r="AC67">
            <v>-45521.739130434784</v>
          </cell>
        </row>
        <row r="68">
          <cell r="C68" t="str">
            <v>Net Sales</v>
          </cell>
          <cell r="E68">
            <v>297478.26086956519</v>
          </cell>
          <cell r="F68">
            <v>26773043.478260871</v>
          </cell>
          <cell r="G68">
            <v>297478.26086956519</v>
          </cell>
          <cell r="H68">
            <v>26773043.478260871</v>
          </cell>
          <cell r="I68">
            <v>297478.26086956519</v>
          </cell>
          <cell r="J68">
            <v>26773043.478260871</v>
          </cell>
          <cell r="K68">
            <v>297478.26086956519</v>
          </cell>
          <cell r="L68">
            <v>26773043.478260871</v>
          </cell>
          <cell r="M68">
            <v>297478.26086956519</v>
          </cell>
          <cell r="N68">
            <v>26773043.478260871</v>
          </cell>
          <cell r="O68">
            <v>297478.26086956519</v>
          </cell>
          <cell r="P68">
            <v>26773043.478260871</v>
          </cell>
          <cell r="Q68">
            <v>297478.26086956519</v>
          </cell>
          <cell r="R68">
            <v>26773043.478260871</v>
          </cell>
          <cell r="S68">
            <v>297478.26086956519</v>
          </cell>
          <cell r="T68">
            <v>26773043.478260871</v>
          </cell>
          <cell r="U68">
            <v>297478.26086956519</v>
          </cell>
          <cell r="V68">
            <v>26773043.478260871</v>
          </cell>
          <cell r="W68">
            <v>297478.26086956519</v>
          </cell>
          <cell r="X68">
            <v>26773043.478260871</v>
          </cell>
          <cell r="Y68">
            <v>297478.26086956519</v>
          </cell>
          <cell r="Z68">
            <v>26773043.478260871</v>
          </cell>
          <cell r="AA68">
            <v>297478.26086956519</v>
          </cell>
          <cell r="AB68">
            <v>26773043.478260871</v>
          </cell>
          <cell r="AC68">
            <v>297478.26086956519</v>
          </cell>
        </row>
        <row r="70">
          <cell r="C70" t="str">
            <v>Variable Cost of Sales</v>
          </cell>
        </row>
        <row r="71">
          <cell r="D71" t="str">
            <v>CKD Cost</v>
          </cell>
          <cell r="E71">
            <v>185405.57509915665</v>
          </cell>
          <cell r="F71">
            <v>16686501.758924099</v>
          </cell>
          <cell r="G71">
            <v>185405.57509915665</v>
          </cell>
          <cell r="H71">
            <v>16686501.758924099</v>
          </cell>
          <cell r="I71">
            <v>185405.57509915665</v>
          </cell>
          <cell r="J71">
            <v>16686501.758924099</v>
          </cell>
          <cell r="K71">
            <v>185405.57509915665</v>
          </cell>
          <cell r="L71">
            <v>16686501.758924099</v>
          </cell>
          <cell r="M71">
            <v>185405.57509915665</v>
          </cell>
          <cell r="N71">
            <v>16686501.758924099</v>
          </cell>
          <cell r="O71">
            <v>185405.57509915665</v>
          </cell>
          <cell r="P71">
            <v>16686501.758924099</v>
          </cell>
          <cell r="Q71">
            <v>185405.57509915665</v>
          </cell>
          <cell r="R71">
            <v>16686501.758924099</v>
          </cell>
          <cell r="S71">
            <v>185405.57509915665</v>
          </cell>
          <cell r="T71">
            <v>16686501.758924099</v>
          </cell>
          <cell r="U71">
            <v>185405.57509915665</v>
          </cell>
          <cell r="V71">
            <v>16686501.758924099</v>
          </cell>
          <cell r="W71">
            <v>185405.57509915665</v>
          </cell>
          <cell r="X71">
            <v>16686501.758924099</v>
          </cell>
          <cell r="Y71">
            <v>185405.57509915665</v>
          </cell>
          <cell r="Z71">
            <v>16686501.758924099</v>
          </cell>
          <cell r="AA71">
            <v>185405.57509915665</v>
          </cell>
          <cell r="AB71">
            <v>16686501.758924099</v>
          </cell>
          <cell r="AC71">
            <v>185405.57509915665</v>
          </cell>
        </row>
        <row r="72">
          <cell r="D72" t="str">
            <v>Vendor parts</v>
          </cell>
          <cell r="E72">
            <v>70231</v>
          </cell>
          <cell r="F72">
            <v>6320790</v>
          </cell>
          <cell r="G72">
            <v>70231</v>
          </cell>
          <cell r="H72">
            <v>6320790</v>
          </cell>
          <cell r="I72">
            <v>70231</v>
          </cell>
          <cell r="J72">
            <v>6320790</v>
          </cell>
          <cell r="K72">
            <v>70231</v>
          </cell>
          <cell r="L72">
            <v>6320790</v>
          </cell>
          <cell r="M72">
            <v>70231</v>
          </cell>
          <cell r="N72">
            <v>6320790</v>
          </cell>
          <cell r="O72">
            <v>70231</v>
          </cell>
          <cell r="P72">
            <v>6320790</v>
          </cell>
          <cell r="Q72">
            <v>70231</v>
          </cell>
          <cell r="R72">
            <v>6320790</v>
          </cell>
          <cell r="S72">
            <v>70231</v>
          </cell>
          <cell r="T72">
            <v>6320790</v>
          </cell>
          <cell r="U72">
            <v>70231</v>
          </cell>
          <cell r="V72">
            <v>6320790</v>
          </cell>
          <cell r="W72">
            <v>70231</v>
          </cell>
          <cell r="X72">
            <v>6320790</v>
          </cell>
          <cell r="Y72">
            <v>70231</v>
          </cell>
          <cell r="Z72">
            <v>6320790</v>
          </cell>
          <cell r="AA72">
            <v>70231</v>
          </cell>
          <cell r="AB72">
            <v>6320790</v>
          </cell>
          <cell r="AC72">
            <v>70231</v>
          </cell>
        </row>
        <row r="73">
          <cell r="D73" t="str">
            <v>Nomi Parts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row>
        <row r="74">
          <cell r="D74" t="str">
            <v>Paints &amp; Chemicals</v>
          </cell>
          <cell r="E74">
            <v>3341</v>
          </cell>
          <cell r="F74">
            <v>300690</v>
          </cell>
          <cell r="G74">
            <v>3341</v>
          </cell>
          <cell r="H74">
            <v>300690</v>
          </cell>
          <cell r="I74">
            <v>3341</v>
          </cell>
          <cell r="J74">
            <v>300690</v>
          </cell>
          <cell r="K74">
            <v>3341</v>
          </cell>
          <cell r="L74">
            <v>300690</v>
          </cell>
          <cell r="M74">
            <v>3341</v>
          </cell>
          <cell r="N74">
            <v>300690</v>
          </cell>
          <cell r="O74">
            <v>3341</v>
          </cell>
          <cell r="P74">
            <v>300690</v>
          </cell>
          <cell r="Q74">
            <v>3341</v>
          </cell>
          <cell r="R74">
            <v>300690</v>
          </cell>
          <cell r="S74">
            <v>3341</v>
          </cell>
          <cell r="T74">
            <v>300690</v>
          </cell>
          <cell r="U74">
            <v>3341</v>
          </cell>
          <cell r="V74">
            <v>300690</v>
          </cell>
          <cell r="W74">
            <v>3341</v>
          </cell>
          <cell r="X74">
            <v>300690</v>
          </cell>
          <cell r="Y74">
            <v>3341</v>
          </cell>
          <cell r="Z74">
            <v>300690</v>
          </cell>
          <cell r="AA74">
            <v>3341</v>
          </cell>
          <cell r="AB74">
            <v>300690</v>
          </cell>
          <cell r="AC74">
            <v>3341</v>
          </cell>
        </row>
        <row r="75">
          <cell r="D75" t="str">
            <v>Consumables</v>
          </cell>
          <cell r="E75">
            <v>3304</v>
          </cell>
          <cell r="F75">
            <v>297360</v>
          </cell>
          <cell r="G75">
            <v>3304</v>
          </cell>
          <cell r="H75">
            <v>297360</v>
          </cell>
          <cell r="I75">
            <v>3304</v>
          </cell>
          <cell r="J75">
            <v>297360</v>
          </cell>
          <cell r="K75">
            <v>3304</v>
          </cell>
          <cell r="L75">
            <v>297360</v>
          </cell>
          <cell r="M75">
            <v>3304</v>
          </cell>
          <cell r="N75">
            <v>297360</v>
          </cell>
          <cell r="O75">
            <v>3304</v>
          </cell>
          <cell r="P75">
            <v>297360</v>
          </cell>
          <cell r="Q75">
            <v>3304</v>
          </cell>
          <cell r="R75">
            <v>297360</v>
          </cell>
          <cell r="S75">
            <v>3304</v>
          </cell>
          <cell r="T75">
            <v>297360</v>
          </cell>
          <cell r="U75">
            <v>3304</v>
          </cell>
          <cell r="V75">
            <v>297360</v>
          </cell>
          <cell r="W75">
            <v>3304</v>
          </cell>
          <cell r="X75">
            <v>297360</v>
          </cell>
          <cell r="Y75">
            <v>3304</v>
          </cell>
          <cell r="Z75">
            <v>297360</v>
          </cell>
          <cell r="AA75">
            <v>3304</v>
          </cell>
          <cell r="AB75">
            <v>297360</v>
          </cell>
          <cell r="AC75">
            <v>3304</v>
          </cell>
        </row>
        <row r="76">
          <cell r="D76" t="str">
            <v>KD Parts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row>
        <row r="77">
          <cell r="D77" t="str">
            <v>Spare parts</v>
          </cell>
          <cell r="E77">
            <v>44</v>
          </cell>
          <cell r="F77">
            <v>3960</v>
          </cell>
          <cell r="G77">
            <v>44</v>
          </cell>
          <cell r="H77">
            <v>3960</v>
          </cell>
          <cell r="I77">
            <v>44</v>
          </cell>
          <cell r="J77">
            <v>3960</v>
          </cell>
          <cell r="K77">
            <v>44</v>
          </cell>
          <cell r="L77">
            <v>3960</v>
          </cell>
          <cell r="M77">
            <v>44</v>
          </cell>
          <cell r="N77">
            <v>3960</v>
          </cell>
          <cell r="O77">
            <v>44</v>
          </cell>
          <cell r="P77">
            <v>3960</v>
          </cell>
          <cell r="Q77">
            <v>44</v>
          </cell>
          <cell r="R77">
            <v>3960</v>
          </cell>
          <cell r="S77">
            <v>44</v>
          </cell>
          <cell r="T77">
            <v>3960</v>
          </cell>
          <cell r="U77">
            <v>44</v>
          </cell>
          <cell r="V77">
            <v>3960</v>
          </cell>
          <cell r="W77">
            <v>44</v>
          </cell>
          <cell r="X77">
            <v>3960</v>
          </cell>
          <cell r="Y77">
            <v>44</v>
          </cell>
          <cell r="Z77">
            <v>3960</v>
          </cell>
          <cell r="AA77">
            <v>44</v>
          </cell>
          <cell r="AB77">
            <v>3960</v>
          </cell>
          <cell r="AC77">
            <v>44</v>
          </cell>
        </row>
        <row r="78">
          <cell r="D78" t="str">
            <v>Utilites</v>
          </cell>
          <cell r="E78">
            <v>3875</v>
          </cell>
          <cell r="F78">
            <v>348750</v>
          </cell>
          <cell r="G78">
            <v>3875</v>
          </cell>
          <cell r="H78">
            <v>348750</v>
          </cell>
          <cell r="I78">
            <v>3875</v>
          </cell>
          <cell r="J78">
            <v>348750</v>
          </cell>
          <cell r="K78">
            <v>3875</v>
          </cell>
          <cell r="L78">
            <v>348750</v>
          </cell>
          <cell r="M78">
            <v>3875</v>
          </cell>
          <cell r="N78">
            <v>348750</v>
          </cell>
          <cell r="O78">
            <v>3875</v>
          </cell>
          <cell r="P78">
            <v>348750</v>
          </cell>
          <cell r="Q78">
            <v>3875</v>
          </cell>
          <cell r="R78">
            <v>348750</v>
          </cell>
          <cell r="S78">
            <v>3875</v>
          </cell>
          <cell r="T78">
            <v>348750</v>
          </cell>
          <cell r="U78">
            <v>3875</v>
          </cell>
          <cell r="V78">
            <v>348750</v>
          </cell>
          <cell r="W78">
            <v>3875</v>
          </cell>
          <cell r="X78">
            <v>348750</v>
          </cell>
          <cell r="Y78">
            <v>3875</v>
          </cell>
          <cell r="Z78">
            <v>348750</v>
          </cell>
          <cell r="AA78">
            <v>3875</v>
          </cell>
          <cell r="AB78">
            <v>348750</v>
          </cell>
          <cell r="AC78">
            <v>3875</v>
          </cell>
        </row>
        <row r="79">
          <cell r="D79" t="str">
            <v>Royalty</v>
          </cell>
          <cell r="E79">
            <v>1894</v>
          </cell>
          <cell r="F79">
            <v>170460</v>
          </cell>
          <cell r="G79">
            <v>1894</v>
          </cell>
          <cell r="H79">
            <v>170460</v>
          </cell>
          <cell r="I79">
            <v>1894</v>
          </cell>
          <cell r="J79">
            <v>170460</v>
          </cell>
          <cell r="K79">
            <v>1894</v>
          </cell>
          <cell r="L79">
            <v>170460</v>
          </cell>
          <cell r="M79">
            <v>1894</v>
          </cell>
          <cell r="N79">
            <v>170460</v>
          </cell>
          <cell r="O79">
            <v>1894</v>
          </cell>
          <cell r="P79">
            <v>170460</v>
          </cell>
          <cell r="Q79">
            <v>1894</v>
          </cell>
          <cell r="R79">
            <v>170460</v>
          </cell>
          <cell r="S79">
            <v>1894</v>
          </cell>
          <cell r="T79">
            <v>170460</v>
          </cell>
          <cell r="U79">
            <v>1894</v>
          </cell>
          <cell r="V79">
            <v>170460</v>
          </cell>
          <cell r="W79">
            <v>1894</v>
          </cell>
          <cell r="X79">
            <v>170460</v>
          </cell>
          <cell r="Y79">
            <v>1894</v>
          </cell>
          <cell r="Z79">
            <v>170460</v>
          </cell>
          <cell r="AA79">
            <v>1894</v>
          </cell>
          <cell r="AB79">
            <v>170460</v>
          </cell>
          <cell r="AC79">
            <v>1894</v>
          </cell>
        </row>
        <row r="81">
          <cell r="E81">
            <v>268094.57509915665</v>
          </cell>
          <cell r="F81">
            <v>24128511.758924097</v>
          </cell>
          <cell r="G81">
            <v>268094.57509915665</v>
          </cell>
          <cell r="H81">
            <v>24128511.758924097</v>
          </cell>
          <cell r="I81">
            <v>268094.57509915665</v>
          </cell>
          <cell r="J81">
            <v>24128511.758924097</v>
          </cell>
          <cell r="K81">
            <v>268094.57509915665</v>
          </cell>
          <cell r="L81">
            <v>24128511.758924097</v>
          </cell>
          <cell r="M81">
            <v>268094.57509915665</v>
          </cell>
          <cell r="N81">
            <v>24128511.758924097</v>
          </cell>
          <cell r="O81">
            <v>268094.57509915665</v>
          </cell>
          <cell r="P81">
            <v>24128511.758924097</v>
          </cell>
          <cell r="Q81">
            <v>268094.57509915665</v>
          </cell>
          <cell r="R81">
            <v>24128511.758924097</v>
          </cell>
          <cell r="S81">
            <v>268094.57509915665</v>
          </cell>
          <cell r="T81">
            <v>24128511.758924097</v>
          </cell>
          <cell r="U81">
            <v>268094.57509915665</v>
          </cell>
          <cell r="V81">
            <v>24128511.758924097</v>
          </cell>
          <cell r="W81">
            <v>268094.57509915665</v>
          </cell>
          <cell r="X81">
            <v>24128511.758924097</v>
          </cell>
          <cell r="Y81">
            <v>268094.57509915665</v>
          </cell>
          <cell r="Z81">
            <v>24128511.758924097</v>
          </cell>
          <cell r="AA81">
            <v>268094.57509915665</v>
          </cell>
          <cell r="AB81">
            <v>24128511.758924097</v>
          </cell>
          <cell r="AC81">
            <v>268094.57509915665</v>
          </cell>
        </row>
        <row r="82">
          <cell r="C82" t="str">
            <v>Contribution Margin</v>
          </cell>
          <cell r="E82">
            <v>29383.685770408541</v>
          </cell>
          <cell r="F82">
            <v>2644531.7193367742</v>
          </cell>
          <cell r="G82">
            <v>29383.685770408541</v>
          </cell>
          <cell r="H82">
            <v>2644531.7193367742</v>
          </cell>
          <cell r="I82">
            <v>29383.685770408541</v>
          </cell>
          <cell r="J82">
            <v>2644531.7193367742</v>
          </cell>
          <cell r="K82">
            <v>29383.685770408541</v>
          </cell>
          <cell r="L82">
            <v>2644531.7193367742</v>
          </cell>
          <cell r="M82">
            <v>29383.685770408541</v>
          </cell>
          <cell r="N82">
            <v>2644531.7193367742</v>
          </cell>
          <cell r="O82">
            <v>29383.685770408541</v>
          </cell>
          <cell r="P82">
            <v>2644531.7193367742</v>
          </cell>
          <cell r="Q82">
            <v>29383.685770408541</v>
          </cell>
          <cell r="R82">
            <v>2644531.7193367742</v>
          </cell>
          <cell r="S82">
            <v>29383.685770408541</v>
          </cell>
          <cell r="T82">
            <v>2644531.7193367742</v>
          </cell>
          <cell r="U82">
            <v>29383.685770408541</v>
          </cell>
          <cell r="V82">
            <v>2644531.7193367742</v>
          </cell>
          <cell r="W82">
            <v>29383.685770408541</v>
          </cell>
          <cell r="X82">
            <v>2644531.7193367742</v>
          </cell>
          <cell r="Y82">
            <v>29383.685770408541</v>
          </cell>
          <cell r="Z82">
            <v>2644531.7193367742</v>
          </cell>
          <cell r="AA82">
            <v>29383.685770408541</v>
          </cell>
          <cell r="AB82">
            <v>2644531.7193367742</v>
          </cell>
          <cell r="AC82">
            <v>29383.685770408541</v>
          </cell>
        </row>
        <row r="84">
          <cell r="C84" t="str">
            <v>Production cost</v>
          </cell>
        </row>
        <row r="85">
          <cell r="D85" t="str">
            <v xml:space="preserve">Salaries &amp; Wages </v>
          </cell>
          <cell r="E85">
            <v>4619.3194081365082</v>
          </cell>
          <cell r="F85">
            <v>415738.74673228571</v>
          </cell>
          <cell r="G85">
            <v>4619.3194081365082</v>
          </cell>
          <cell r="H85">
            <v>415738.74673228571</v>
          </cell>
          <cell r="I85">
            <v>4619.3194081365082</v>
          </cell>
          <cell r="J85">
            <v>415738.74673228571</v>
          </cell>
          <cell r="K85">
            <v>4619.3194081365082</v>
          </cell>
          <cell r="L85">
            <v>415738.74673228571</v>
          </cell>
          <cell r="M85">
            <v>4619.3194081365082</v>
          </cell>
          <cell r="N85">
            <v>415738.74673228571</v>
          </cell>
          <cell r="O85">
            <v>4619.3194081365082</v>
          </cell>
          <cell r="P85">
            <v>415738.74673228571</v>
          </cell>
          <cell r="Q85">
            <v>3959.4166355455786</v>
          </cell>
          <cell r="R85">
            <v>356347.49719910207</v>
          </cell>
          <cell r="S85">
            <v>3959.4166355455786</v>
          </cell>
          <cell r="T85">
            <v>356347.49719910207</v>
          </cell>
          <cell r="U85">
            <v>3959.4166355455786</v>
          </cell>
          <cell r="V85">
            <v>356347.49719910207</v>
          </cell>
          <cell r="W85">
            <v>3959.4166355455786</v>
          </cell>
          <cell r="X85">
            <v>356347.49719910207</v>
          </cell>
          <cell r="Y85">
            <v>3959.4166355455786</v>
          </cell>
          <cell r="Z85">
            <v>356347.49719910207</v>
          </cell>
          <cell r="AA85">
            <v>3959.4166355455786</v>
          </cell>
          <cell r="AB85">
            <v>356347.49719910207</v>
          </cell>
          <cell r="AC85">
            <v>4289.3680218410445</v>
          </cell>
        </row>
        <row r="86">
          <cell r="D86" t="str">
            <v xml:space="preserve">Utilities </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row>
        <row r="87">
          <cell r="D87" t="str">
            <v>Depreciation</v>
          </cell>
          <cell r="E87">
            <v>19315.555555555558</v>
          </cell>
          <cell r="F87">
            <v>1738400.0000000002</v>
          </cell>
          <cell r="G87">
            <v>19315.555555555558</v>
          </cell>
          <cell r="H87">
            <v>1738400.0000000002</v>
          </cell>
          <cell r="I87">
            <v>19315.555555555558</v>
          </cell>
          <cell r="J87">
            <v>1738400.0000000002</v>
          </cell>
          <cell r="K87">
            <v>19315.555555555558</v>
          </cell>
          <cell r="L87">
            <v>1738400.0000000002</v>
          </cell>
          <cell r="M87">
            <v>19315.555555555558</v>
          </cell>
          <cell r="N87">
            <v>1738400.0000000002</v>
          </cell>
          <cell r="O87">
            <v>19315.555555555558</v>
          </cell>
          <cell r="P87">
            <v>1738400.0000000002</v>
          </cell>
          <cell r="Q87">
            <v>16556.190476190477</v>
          </cell>
          <cell r="R87">
            <v>1490057.142857143</v>
          </cell>
          <cell r="S87">
            <v>16556.190476190477</v>
          </cell>
          <cell r="T87">
            <v>1490057.142857143</v>
          </cell>
          <cell r="U87">
            <v>16556.190476190477</v>
          </cell>
          <cell r="V87">
            <v>1490057.142857143</v>
          </cell>
          <cell r="W87">
            <v>16556.190476190477</v>
          </cell>
          <cell r="X87">
            <v>1490057.142857143</v>
          </cell>
          <cell r="Y87">
            <v>16556.190476190477</v>
          </cell>
          <cell r="Z87">
            <v>1490057.142857143</v>
          </cell>
          <cell r="AA87">
            <v>16556.190476190477</v>
          </cell>
          <cell r="AB87">
            <v>1490057.142857143</v>
          </cell>
          <cell r="AC87">
            <v>17935.873015873021</v>
          </cell>
        </row>
        <row r="88">
          <cell r="D88" t="str">
            <v xml:space="preserve">Other Factory overhead </v>
          </cell>
          <cell r="E88">
            <v>2884.1866359118612</v>
          </cell>
          <cell r="F88">
            <v>259576.7972320675</v>
          </cell>
          <cell r="G88">
            <v>2884.1866359118612</v>
          </cell>
          <cell r="H88">
            <v>259576.7972320675</v>
          </cell>
          <cell r="I88">
            <v>2884.1866359118612</v>
          </cell>
          <cell r="J88">
            <v>259576.7972320675</v>
          </cell>
          <cell r="K88">
            <v>2884.1866359118612</v>
          </cell>
          <cell r="L88">
            <v>259576.7972320675</v>
          </cell>
          <cell r="M88">
            <v>2884.1866359118612</v>
          </cell>
          <cell r="N88">
            <v>259576.7972320675</v>
          </cell>
          <cell r="O88">
            <v>2884.1866359118612</v>
          </cell>
          <cell r="P88">
            <v>259576.7972320675</v>
          </cell>
          <cell r="Q88">
            <v>2472.1599736387384</v>
          </cell>
          <cell r="R88">
            <v>222494.39762748647</v>
          </cell>
          <cell r="S88">
            <v>2472.1599736387384</v>
          </cell>
          <cell r="T88">
            <v>222494.39762748647</v>
          </cell>
          <cell r="U88">
            <v>2472.1599736387384</v>
          </cell>
          <cell r="V88">
            <v>222494.39762748647</v>
          </cell>
          <cell r="W88">
            <v>2472.1599736387384</v>
          </cell>
          <cell r="X88">
            <v>222494.39762748647</v>
          </cell>
          <cell r="Y88">
            <v>2472.1599736387384</v>
          </cell>
          <cell r="Z88">
            <v>222494.39762748647</v>
          </cell>
          <cell r="AA88">
            <v>2472.1599736387384</v>
          </cell>
          <cell r="AB88">
            <v>222494.39762748647</v>
          </cell>
          <cell r="AC88">
            <v>2678.1733047752996</v>
          </cell>
        </row>
        <row r="89">
          <cell r="D89" t="str">
            <v>Running Royalty</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row>
        <row r="90">
          <cell r="E90">
            <v>26819.061599603927</v>
          </cell>
          <cell r="F90">
            <v>2413715.5439643539</v>
          </cell>
          <cell r="G90">
            <v>26819.061599603927</v>
          </cell>
          <cell r="H90">
            <v>2413715.5439643539</v>
          </cell>
          <cell r="I90">
            <v>26819.061599603927</v>
          </cell>
          <cell r="J90">
            <v>2413715.5439643539</v>
          </cell>
          <cell r="K90">
            <v>26819.061599603927</v>
          </cell>
          <cell r="L90">
            <v>2413715.5439643539</v>
          </cell>
          <cell r="M90">
            <v>26819.061599603927</v>
          </cell>
          <cell r="N90">
            <v>2413715.5439643539</v>
          </cell>
          <cell r="O90">
            <v>26819.061599603927</v>
          </cell>
          <cell r="P90">
            <v>2413715.5439643539</v>
          </cell>
          <cell r="Q90">
            <v>22987.767085374795</v>
          </cell>
          <cell r="R90">
            <v>2068899.0376837314</v>
          </cell>
          <cell r="S90">
            <v>22987.767085374795</v>
          </cell>
          <cell r="T90">
            <v>2068899.0376837314</v>
          </cell>
          <cell r="U90">
            <v>22987.767085374795</v>
          </cell>
          <cell r="V90">
            <v>2068899.0376837314</v>
          </cell>
          <cell r="W90">
            <v>22987.767085374795</v>
          </cell>
          <cell r="X90">
            <v>2068899.0376837314</v>
          </cell>
          <cell r="Y90">
            <v>22987.767085374795</v>
          </cell>
          <cell r="Z90">
            <v>2068899.0376837314</v>
          </cell>
          <cell r="AA90">
            <v>22987.767085374795</v>
          </cell>
          <cell r="AB90">
            <v>2068899.0376837314</v>
          </cell>
          <cell r="AC90">
            <v>24903.414342489366</v>
          </cell>
        </row>
        <row r="91">
          <cell r="C91" t="str">
            <v>Gross Profit</v>
          </cell>
          <cell r="E91">
            <v>2564.6241708046146</v>
          </cell>
          <cell r="F91">
            <v>230816.17537242034</v>
          </cell>
          <cell r="G91">
            <v>2564.6241708046146</v>
          </cell>
          <cell r="H91">
            <v>230816.17537242034</v>
          </cell>
          <cell r="I91">
            <v>2564.6241708046146</v>
          </cell>
          <cell r="J91">
            <v>230816.17537242034</v>
          </cell>
          <cell r="K91">
            <v>2564.6241708046146</v>
          </cell>
          <cell r="L91">
            <v>230816.17537242034</v>
          </cell>
          <cell r="M91">
            <v>2564.6241708046146</v>
          </cell>
          <cell r="N91">
            <v>230816.17537242034</v>
          </cell>
          <cell r="O91">
            <v>2564.6241708046146</v>
          </cell>
          <cell r="P91">
            <v>230816.17537242034</v>
          </cell>
          <cell r="Q91">
            <v>6395.9186850337464</v>
          </cell>
          <cell r="R91">
            <v>575632.68165304279</v>
          </cell>
          <cell r="S91">
            <v>6395.9186850337464</v>
          </cell>
          <cell r="T91">
            <v>575632.68165304279</v>
          </cell>
          <cell r="U91">
            <v>6395.9186850337464</v>
          </cell>
          <cell r="V91">
            <v>575632.68165304279</v>
          </cell>
          <cell r="W91">
            <v>6395.9186850337464</v>
          </cell>
          <cell r="X91">
            <v>575632.68165304279</v>
          </cell>
          <cell r="Y91">
            <v>6395.9186850337464</v>
          </cell>
          <cell r="Z91">
            <v>575632.68165304279</v>
          </cell>
          <cell r="AA91">
            <v>6395.9186850337464</v>
          </cell>
          <cell r="AB91">
            <v>575632.68165304279</v>
          </cell>
          <cell r="AC91">
            <v>4480.271427919175</v>
          </cell>
        </row>
        <row r="93">
          <cell r="C93" t="str">
            <v>Other Expenses</v>
          </cell>
        </row>
        <row r="94">
          <cell r="D94" t="str">
            <v>Selling Expenses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D95" t="str">
            <v>Administrative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row>
        <row r="96">
          <cell r="D96" t="str">
            <v>Depreciation (Admin. &amp; Selling )</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row>
        <row r="97">
          <cell r="D97" t="str">
            <v>Financial Charges -Capital Exp.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D98" t="str">
            <v>Financial  Charges -Working Capital</v>
          </cell>
          <cell r="E98">
            <v>201.57918431275289</v>
          </cell>
          <cell r="F98">
            <v>18142.126588147759</v>
          </cell>
          <cell r="G98">
            <v>178.4251077933327</v>
          </cell>
          <cell r="H98">
            <v>16058.259701399944</v>
          </cell>
          <cell r="I98">
            <v>175.55668509273093</v>
          </cell>
          <cell r="J98">
            <v>15800.101658345784</v>
          </cell>
          <cell r="K98">
            <v>160.53201526974851</v>
          </cell>
          <cell r="L98">
            <v>14447.881374277365</v>
          </cell>
          <cell r="M98">
            <v>214.5866255466828</v>
          </cell>
          <cell r="N98">
            <v>19312.796299201451</v>
          </cell>
          <cell r="O98">
            <v>207.35917650875876</v>
          </cell>
          <cell r="P98">
            <v>18662.32588578829</v>
          </cell>
          <cell r="Q98">
            <v>157.4713934840606</v>
          </cell>
          <cell r="R98">
            <v>14172.425413565454</v>
          </cell>
          <cell r="S98">
            <v>198.17331480982742</v>
          </cell>
          <cell r="T98">
            <v>17835.598332884467</v>
          </cell>
          <cell r="U98">
            <v>184.65378229632779</v>
          </cell>
          <cell r="V98">
            <v>16618.8404066695</v>
          </cell>
          <cell r="W98">
            <v>192.32717619631876</v>
          </cell>
          <cell r="X98">
            <v>17309.445857668688</v>
          </cell>
          <cell r="Y98">
            <v>193.74054120384864</v>
          </cell>
          <cell r="Z98">
            <v>17436.648708346376</v>
          </cell>
          <cell r="AA98">
            <v>186.90086739142365</v>
          </cell>
          <cell r="AB98">
            <v>16821.078065228128</v>
          </cell>
          <cell r="AC98">
            <v>187.60882249215112</v>
          </cell>
        </row>
        <row r="99">
          <cell r="D99" t="str">
            <v>Other Expenses (Charity &amp; Donation)</v>
          </cell>
          <cell r="E99">
            <v>139.98554466163398</v>
          </cell>
          <cell r="F99">
            <v>12598.699019547059</v>
          </cell>
          <cell r="G99">
            <v>123.90632485648104</v>
          </cell>
          <cell r="H99">
            <v>11151.569237083293</v>
          </cell>
          <cell r="I99">
            <v>121.91436464772984</v>
          </cell>
          <cell r="J99">
            <v>10972.292818295686</v>
          </cell>
          <cell r="K99">
            <v>111.48056615954759</v>
          </cell>
          <cell r="L99">
            <v>10033.250954359284</v>
          </cell>
          <cell r="M99">
            <v>149.01848996297417</v>
          </cell>
          <cell r="N99">
            <v>13411.664096667675</v>
          </cell>
          <cell r="O99">
            <v>143.99942813108245</v>
          </cell>
          <cell r="P99">
            <v>12959.948531797421</v>
          </cell>
          <cell r="Q99">
            <v>109.35513436393099</v>
          </cell>
          <cell r="R99">
            <v>9841.962092753789</v>
          </cell>
          <cell r="S99">
            <v>137.6203575068246</v>
          </cell>
          <cell r="T99">
            <v>12385.832175614214</v>
          </cell>
          <cell r="U99">
            <v>128.23179326133877</v>
          </cell>
          <cell r="V99">
            <v>11540.861393520488</v>
          </cell>
          <cell r="W99">
            <v>133.56053902522137</v>
          </cell>
          <cell r="X99">
            <v>12020.448512269924</v>
          </cell>
          <cell r="Y99">
            <v>134.54204250267267</v>
          </cell>
          <cell r="Z99">
            <v>12108.78382524054</v>
          </cell>
          <cell r="AA99">
            <v>129.79226902182199</v>
          </cell>
          <cell r="AB99">
            <v>11681.304211963979</v>
          </cell>
          <cell r="AC99">
            <v>130.2839045084383</v>
          </cell>
        </row>
        <row r="100">
          <cell r="D100" t="str">
            <v>Other Expenses ( W.P.P.F.)</v>
          </cell>
          <cell r="E100">
            <v>-99.685419286180618</v>
          </cell>
          <cell r="F100">
            <v>-8971.6877357562553</v>
          </cell>
          <cell r="G100">
            <v>-516.01336466537521</v>
          </cell>
          <cell r="H100">
            <v>-46441.202819883765</v>
          </cell>
          <cell r="I100">
            <v>429.23507108313538</v>
          </cell>
          <cell r="J100">
            <v>38631.156397482184</v>
          </cell>
          <cell r="K100">
            <v>335.74469975652045</v>
          </cell>
          <cell r="L100">
            <v>30217.022978086839</v>
          </cell>
          <cell r="M100">
            <v>-83.654529301236565</v>
          </cell>
          <cell r="N100">
            <v>-7528.9076371112906</v>
          </cell>
          <cell r="O100">
            <v>-121.56749282883391</v>
          </cell>
          <cell r="P100">
            <v>-10941.074354595052</v>
          </cell>
          <cell r="Q100">
            <v>-311.31446684236766</v>
          </cell>
          <cell r="R100">
            <v>-28018.302015813089</v>
          </cell>
          <cell r="S100">
            <v>675.13296289914501</v>
          </cell>
          <cell r="T100">
            <v>60761.966660923048</v>
          </cell>
          <cell r="U100">
            <v>676.31298309356544</v>
          </cell>
          <cell r="V100">
            <v>60868.168478420892</v>
          </cell>
          <cell r="W100">
            <v>-120.78534224496495</v>
          </cell>
          <cell r="X100">
            <v>-10870.680802046845</v>
          </cell>
          <cell r="Y100">
            <v>218.37700984244069</v>
          </cell>
          <cell r="Z100">
            <v>19653.93088581966</v>
          </cell>
          <cell r="AA100">
            <v>604.68828019460864</v>
          </cell>
          <cell r="AB100">
            <v>54421.945217514774</v>
          </cell>
          <cell r="AC100">
            <v>140.53919930837142</v>
          </cell>
        </row>
        <row r="101">
          <cell r="D101" t="str">
            <v>Workers Welfare Fund</v>
          </cell>
          <cell r="E101">
            <v>-37.880459328748636</v>
          </cell>
          <cell r="F101">
            <v>-3409.2413395873773</v>
          </cell>
          <cell r="G101">
            <v>-196.08507857284258</v>
          </cell>
          <cell r="H101">
            <v>-17647.657071555834</v>
          </cell>
          <cell r="I101">
            <v>163.10932701159146</v>
          </cell>
          <cell r="J101">
            <v>14679.839431043232</v>
          </cell>
          <cell r="K101">
            <v>127.58298590747775</v>
          </cell>
          <cell r="L101">
            <v>11482.468731672998</v>
          </cell>
          <cell r="M101">
            <v>-31.788721134469881</v>
          </cell>
          <cell r="N101">
            <v>-2860.9849021022892</v>
          </cell>
          <cell r="O101">
            <v>-46.195647274956897</v>
          </cell>
          <cell r="P101">
            <v>-4157.608254746121</v>
          </cell>
          <cell r="Q101">
            <v>-118.29949740009971</v>
          </cell>
          <cell r="R101">
            <v>-10646.954766008974</v>
          </cell>
          <cell r="S101">
            <v>256.55052590167514</v>
          </cell>
          <cell r="T101">
            <v>23089.547331150763</v>
          </cell>
          <cell r="U101">
            <v>256.99893357555482</v>
          </cell>
          <cell r="V101">
            <v>23129.904021799932</v>
          </cell>
          <cell r="W101">
            <v>-45.898430053086649</v>
          </cell>
          <cell r="X101">
            <v>-4130.8587047777983</v>
          </cell>
          <cell r="Y101">
            <v>82.983263740127455</v>
          </cell>
          <cell r="Z101">
            <v>7468.4937366114709</v>
          </cell>
          <cell r="AA101">
            <v>229.78154647395132</v>
          </cell>
          <cell r="AB101">
            <v>20680.339182655618</v>
          </cell>
          <cell r="AC101">
            <v>53.404895737181128</v>
          </cell>
        </row>
        <row r="102">
          <cell r="E102">
            <v>203.99885035945763</v>
          </cell>
          <cell r="F102">
            <v>18359.896532351184</v>
          </cell>
          <cell r="G102">
            <v>-409.76701058840405</v>
          </cell>
          <cell r="H102">
            <v>-36879.03095295636</v>
          </cell>
          <cell r="I102">
            <v>889.81544783518757</v>
          </cell>
          <cell r="J102">
            <v>80083.390305166889</v>
          </cell>
          <cell r="K102">
            <v>735.3402670932943</v>
          </cell>
          <cell r="L102">
            <v>66180.624038396491</v>
          </cell>
          <cell r="M102">
            <v>248.16186507395054</v>
          </cell>
          <cell r="N102">
            <v>22334.567856655547</v>
          </cell>
          <cell r="O102">
            <v>183.59546453605043</v>
          </cell>
          <cell r="P102">
            <v>16523.591808244542</v>
          </cell>
          <cell r="Q102">
            <v>-162.78743639447578</v>
          </cell>
          <cell r="R102">
            <v>-14650.869275502821</v>
          </cell>
          <cell r="S102">
            <v>1267.4771611174722</v>
          </cell>
          <cell r="T102">
            <v>114072.9445005725</v>
          </cell>
          <cell r="U102">
            <v>1246.1974922267868</v>
          </cell>
          <cell r="V102">
            <v>112157.77430041081</v>
          </cell>
          <cell r="W102">
            <v>159.20394292348851</v>
          </cell>
          <cell r="X102">
            <v>14328.354863113971</v>
          </cell>
          <cell r="Y102">
            <v>629.64285728908942</v>
          </cell>
          <cell r="Z102">
            <v>56667.857156018043</v>
          </cell>
          <cell r="AA102">
            <v>1151.1629630818056</v>
          </cell>
          <cell r="AB102">
            <v>103604.6666773625</v>
          </cell>
          <cell r="AC102">
            <v>511.83682204614189</v>
          </cell>
        </row>
        <row r="103">
          <cell r="D103" t="str">
            <v>Operating Profit</v>
          </cell>
          <cell r="E103">
            <v>2360.6253204451568</v>
          </cell>
          <cell r="F103">
            <v>212456.27884006916</v>
          </cell>
          <cell r="G103">
            <v>2974.3911813930185</v>
          </cell>
          <cell r="H103">
            <v>267695.2063253767</v>
          </cell>
          <cell r="I103">
            <v>1674.808722969427</v>
          </cell>
          <cell r="J103">
            <v>150732.78506725346</v>
          </cell>
          <cell r="K103">
            <v>1829.2839037113204</v>
          </cell>
          <cell r="L103">
            <v>164635.55133402385</v>
          </cell>
          <cell r="M103">
            <v>2316.462305730664</v>
          </cell>
          <cell r="N103">
            <v>208481.6075157648</v>
          </cell>
          <cell r="O103">
            <v>2381.0287062685643</v>
          </cell>
          <cell r="P103">
            <v>214292.58356417582</v>
          </cell>
          <cell r="Q103">
            <v>6558.7061214282221</v>
          </cell>
          <cell r="R103">
            <v>590283.55092854565</v>
          </cell>
          <cell r="S103">
            <v>5128.4415239162745</v>
          </cell>
          <cell r="T103">
            <v>461559.73715247028</v>
          </cell>
          <cell r="U103">
            <v>5149.7211928069592</v>
          </cell>
          <cell r="V103">
            <v>463474.90735263197</v>
          </cell>
          <cell r="W103">
            <v>6236.7147421102582</v>
          </cell>
          <cell r="X103">
            <v>561304.32678992883</v>
          </cell>
          <cell r="Y103">
            <v>5766.2758277446574</v>
          </cell>
          <cell r="Z103">
            <v>518964.82449702476</v>
          </cell>
          <cell r="AA103">
            <v>5244.7557219519404</v>
          </cell>
          <cell r="AB103">
            <v>472028.01497568027</v>
          </cell>
          <cell r="AC103">
            <v>3968.434605873033</v>
          </cell>
        </row>
        <row r="105">
          <cell r="C105" t="str">
            <v>Other Income</v>
          </cell>
        </row>
        <row r="106">
          <cell r="D106" t="str">
            <v>H.D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row r="107">
          <cell r="D107" t="str">
            <v>Others</v>
          </cell>
          <cell r="E107">
            <v>3111.1111111111113</v>
          </cell>
          <cell r="F107">
            <v>280000</v>
          </cell>
          <cell r="G107">
            <v>3111.1111111111113</v>
          </cell>
          <cell r="H107">
            <v>280000</v>
          </cell>
          <cell r="I107">
            <v>3111.1111111111113</v>
          </cell>
          <cell r="J107">
            <v>280000</v>
          </cell>
          <cell r="K107">
            <v>3111.1111111111113</v>
          </cell>
          <cell r="L107">
            <v>280000</v>
          </cell>
          <cell r="M107">
            <v>3111.1111111111113</v>
          </cell>
          <cell r="N107">
            <v>280000</v>
          </cell>
          <cell r="O107">
            <v>3111.1111111111113</v>
          </cell>
          <cell r="P107">
            <v>280000</v>
          </cell>
          <cell r="Q107">
            <v>2666.666666666667</v>
          </cell>
          <cell r="R107">
            <v>240000.00000000003</v>
          </cell>
          <cell r="S107">
            <v>2666.666666666667</v>
          </cell>
          <cell r="T107">
            <v>240000.00000000003</v>
          </cell>
          <cell r="U107">
            <v>2666.666666666667</v>
          </cell>
          <cell r="V107">
            <v>240000.00000000003</v>
          </cell>
          <cell r="W107">
            <v>2666.666666666667</v>
          </cell>
          <cell r="X107">
            <v>240000.00000000003</v>
          </cell>
          <cell r="Y107">
            <v>2666.666666666667</v>
          </cell>
          <cell r="Z107">
            <v>240000.00000000003</v>
          </cell>
          <cell r="AA107">
            <v>2666.666666666667</v>
          </cell>
          <cell r="AB107">
            <v>240000.00000000003</v>
          </cell>
          <cell r="AC107">
            <v>2888.8888888888887</v>
          </cell>
        </row>
        <row r="108">
          <cell r="E108">
            <v>3111.1111111111113</v>
          </cell>
          <cell r="F108">
            <v>280000</v>
          </cell>
          <cell r="G108">
            <v>3111.1111111111113</v>
          </cell>
          <cell r="H108">
            <v>280000</v>
          </cell>
          <cell r="I108">
            <v>3111.1111111111113</v>
          </cell>
          <cell r="J108">
            <v>280000</v>
          </cell>
          <cell r="K108">
            <v>3111.1111111111113</v>
          </cell>
          <cell r="L108">
            <v>280000</v>
          </cell>
          <cell r="M108">
            <v>3111.1111111111113</v>
          </cell>
          <cell r="N108">
            <v>280000</v>
          </cell>
          <cell r="O108">
            <v>3111.1111111111113</v>
          </cell>
          <cell r="P108">
            <v>280000</v>
          </cell>
          <cell r="Q108">
            <v>2666.666666666667</v>
          </cell>
          <cell r="R108">
            <v>240000.00000000003</v>
          </cell>
          <cell r="S108">
            <v>2666.666666666667</v>
          </cell>
          <cell r="T108">
            <v>240000.00000000003</v>
          </cell>
          <cell r="U108">
            <v>2666.666666666667</v>
          </cell>
          <cell r="V108">
            <v>240000.00000000003</v>
          </cell>
          <cell r="W108">
            <v>2666.666666666667</v>
          </cell>
          <cell r="X108">
            <v>240000.00000000003</v>
          </cell>
          <cell r="Y108">
            <v>2666.666666666667</v>
          </cell>
          <cell r="Z108">
            <v>240000.00000000003</v>
          </cell>
          <cell r="AA108">
            <v>2666.666666666667</v>
          </cell>
          <cell r="AB108">
            <v>240000.00000000003</v>
          </cell>
          <cell r="AC108">
            <v>2888.8888888888887</v>
          </cell>
        </row>
        <row r="110">
          <cell r="C110" t="str">
            <v>Profit before tax</v>
          </cell>
          <cell r="E110">
            <v>5471.7364315562681</v>
          </cell>
          <cell r="F110">
            <v>492456.27884006919</v>
          </cell>
          <cell r="G110">
            <v>6085.5022925041303</v>
          </cell>
          <cell r="H110">
            <v>547695.20632537664</v>
          </cell>
          <cell r="I110">
            <v>4785.9198340805378</v>
          </cell>
          <cell r="J110">
            <v>430732.78506725346</v>
          </cell>
          <cell r="K110">
            <v>4940.3950148224321</v>
          </cell>
          <cell r="L110">
            <v>444635.55133402382</v>
          </cell>
          <cell r="M110">
            <v>5427.5734168417748</v>
          </cell>
          <cell r="N110">
            <v>488481.60751576477</v>
          </cell>
          <cell r="O110">
            <v>5492.1398173796752</v>
          </cell>
          <cell r="P110">
            <v>494292.58356417582</v>
          </cell>
          <cell r="Q110">
            <v>9225.37278809489</v>
          </cell>
          <cell r="R110">
            <v>830283.55092854565</v>
          </cell>
          <cell r="S110">
            <v>7795.1081905829415</v>
          </cell>
          <cell r="T110">
            <v>701559.73715247028</v>
          </cell>
          <cell r="U110">
            <v>7816.3878594736261</v>
          </cell>
          <cell r="V110">
            <v>703474.90735263203</v>
          </cell>
          <cell r="W110">
            <v>8903.3814087769242</v>
          </cell>
          <cell r="X110">
            <v>801304.32678992883</v>
          </cell>
          <cell r="Y110">
            <v>8432.9424944113234</v>
          </cell>
          <cell r="Z110">
            <v>758964.82449702476</v>
          </cell>
          <cell r="AA110">
            <v>7911.4223886186073</v>
          </cell>
          <cell r="AB110">
            <v>712028.01497568027</v>
          </cell>
          <cell r="AC110">
            <v>6857.3234947619221</v>
          </cell>
        </row>
        <row r="112">
          <cell r="C112" t="str">
            <v>Taxation</v>
          </cell>
        </row>
        <row r="113">
          <cell r="D113" t="str">
            <v>Current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D114" t="str">
            <v>Deferred</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E115">
            <v>0</v>
          </cell>
          <cell r="G115">
            <v>0</v>
          </cell>
          <cell r="I115">
            <v>0</v>
          </cell>
          <cell r="K115">
            <v>0</v>
          </cell>
          <cell r="M115">
            <v>0</v>
          </cell>
          <cell r="O115">
            <v>0</v>
          </cell>
          <cell r="Q115">
            <v>0</v>
          </cell>
          <cell r="S115">
            <v>0</v>
          </cell>
          <cell r="U115">
            <v>0</v>
          </cell>
          <cell r="W115">
            <v>0</v>
          </cell>
          <cell r="Y115">
            <v>0</v>
          </cell>
          <cell r="AA115">
            <v>0</v>
          </cell>
          <cell r="AB115">
            <v>0</v>
          </cell>
          <cell r="AC115">
            <v>0</v>
          </cell>
        </row>
        <row r="116">
          <cell r="C116" t="str">
            <v>Net Profit after taxation</v>
          </cell>
          <cell r="E116">
            <v>5471.7364315562681</v>
          </cell>
          <cell r="F116">
            <v>492456.27884006919</v>
          </cell>
          <cell r="G116">
            <v>6085.5022925041303</v>
          </cell>
          <cell r="H116">
            <v>547695.20632537664</v>
          </cell>
          <cell r="I116">
            <v>4785.9198340805378</v>
          </cell>
          <cell r="J116">
            <v>430732.78506725346</v>
          </cell>
          <cell r="K116">
            <v>4940.3950148224321</v>
          </cell>
          <cell r="L116">
            <v>444635.55133402382</v>
          </cell>
          <cell r="M116">
            <v>5427.5734168417748</v>
          </cell>
          <cell r="N116">
            <v>488481.60751576477</v>
          </cell>
          <cell r="O116">
            <v>5492.1398173796752</v>
          </cell>
          <cell r="P116">
            <v>494292.58356417582</v>
          </cell>
          <cell r="Q116">
            <v>9225.37278809489</v>
          </cell>
          <cell r="R116">
            <v>830283.55092854565</v>
          </cell>
          <cell r="S116">
            <v>7795.1081905829415</v>
          </cell>
          <cell r="T116">
            <v>701559.73715247028</v>
          </cell>
          <cell r="U116">
            <v>7816.3878594736261</v>
          </cell>
          <cell r="V116">
            <v>703474.90735263203</v>
          </cell>
          <cell r="W116">
            <v>8903.3814087769242</v>
          </cell>
          <cell r="X116">
            <v>801304.32678992883</v>
          </cell>
          <cell r="Y116">
            <v>8432.9424944113234</v>
          </cell>
          <cell r="Z116">
            <v>758964.82449702476</v>
          </cell>
          <cell r="AA116">
            <v>7911.4223886186073</v>
          </cell>
          <cell r="AB116">
            <v>712028.01497568027</v>
          </cell>
          <cell r="AC116">
            <v>6857.3234947619221</v>
          </cell>
        </row>
        <row r="118">
          <cell r="AC118" t="str">
            <v>CG</v>
          </cell>
        </row>
        <row r="119">
          <cell r="B119" t="str">
            <v>CG</v>
          </cell>
          <cell r="E119">
            <v>183</v>
          </cell>
          <cell r="G119">
            <v>214</v>
          </cell>
          <cell r="I119">
            <v>245</v>
          </cell>
          <cell r="K119">
            <v>276</v>
          </cell>
          <cell r="M119">
            <v>307</v>
          </cell>
          <cell r="O119">
            <v>338</v>
          </cell>
          <cell r="Q119">
            <v>369</v>
          </cell>
          <cell r="S119">
            <v>400</v>
          </cell>
          <cell r="U119">
            <v>431</v>
          </cell>
          <cell r="W119">
            <v>462</v>
          </cell>
          <cell r="Y119">
            <v>493</v>
          </cell>
          <cell r="AA119">
            <v>524</v>
          </cell>
          <cell r="AC119" t="str">
            <v>Yearly</v>
          </cell>
        </row>
        <row r="120">
          <cell r="E120" t="str">
            <v>Per Unit</v>
          </cell>
          <cell r="F120" t="str">
            <v>Total</v>
          </cell>
          <cell r="G120" t="str">
            <v>Per Unit</v>
          </cell>
          <cell r="H120" t="str">
            <v>Total</v>
          </cell>
          <cell r="I120" t="str">
            <v>Per Unit</v>
          </cell>
          <cell r="J120" t="str">
            <v>Total</v>
          </cell>
          <cell r="K120" t="str">
            <v>Per Unit</v>
          </cell>
          <cell r="L120" t="str">
            <v>Total</v>
          </cell>
          <cell r="M120" t="str">
            <v>Per Unit</v>
          </cell>
          <cell r="N120" t="str">
            <v>Total</v>
          </cell>
          <cell r="O120" t="str">
            <v>Per Unit</v>
          </cell>
          <cell r="P120" t="str">
            <v>Total</v>
          </cell>
          <cell r="Q120" t="str">
            <v>Per Unit</v>
          </cell>
          <cell r="R120" t="str">
            <v>Total</v>
          </cell>
          <cell r="S120" t="str">
            <v>Per Unit</v>
          </cell>
          <cell r="T120" t="str">
            <v>Total</v>
          </cell>
          <cell r="U120" t="str">
            <v>Per Unit</v>
          </cell>
          <cell r="V120" t="str">
            <v>Total</v>
          </cell>
          <cell r="W120" t="str">
            <v>Per Unit</v>
          </cell>
          <cell r="X120" t="str">
            <v>Total</v>
          </cell>
          <cell r="Y120" t="str">
            <v>Per Unit</v>
          </cell>
          <cell r="Z120" t="str">
            <v>Total</v>
          </cell>
          <cell r="AA120" t="str">
            <v>Per Unit</v>
          </cell>
          <cell r="AB120" t="str">
            <v>Total</v>
          </cell>
          <cell r="AC120" t="str">
            <v>Average</v>
          </cell>
        </row>
        <row r="122">
          <cell r="C122" t="str">
            <v>Sales Units</v>
          </cell>
          <cell r="E122">
            <v>1</v>
          </cell>
          <cell r="F122">
            <v>0</v>
          </cell>
          <cell r="G122">
            <v>1</v>
          </cell>
          <cell r="H122">
            <v>0</v>
          </cell>
          <cell r="I122">
            <v>1</v>
          </cell>
          <cell r="J122">
            <v>0</v>
          </cell>
          <cell r="K122">
            <v>1</v>
          </cell>
          <cell r="L122">
            <v>0</v>
          </cell>
          <cell r="M122">
            <v>1</v>
          </cell>
          <cell r="N122">
            <v>0</v>
          </cell>
          <cell r="O122">
            <v>1</v>
          </cell>
          <cell r="P122">
            <v>0</v>
          </cell>
          <cell r="Q122">
            <v>1</v>
          </cell>
          <cell r="R122">
            <v>15</v>
          </cell>
          <cell r="S122">
            <v>1</v>
          </cell>
          <cell r="T122">
            <v>15</v>
          </cell>
          <cell r="U122">
            <v>1</v>
          </cell>
          <cell r="V122">
            <v>15</v>
          </cell>
          <cell r="W122">
            <v>1</v>
          </cell>
          <cell r="X122">
            <v>15</v>
          </cell>
          <cell r="Y122">
            <v>1</v>
          </cell>
          <cell r="Z122">
            <v>15</v>
          </cell>
          <cell r="AA122">
            <v>1</v>
          </cell>
          <cell r="AB122">
            <v>15</v>
          </cell>
          <cell r="AC122">
            <v>90</v>
          </cell>
        </row>
        <row r="124">
          <cell r="C124" t="str">
            <v>Selling Price</v>
          </cell>
          <cell r="E124">
            <v>379000</v>
          </cell>
          <cell r="F124">
            <v>0</v>
          </cell>
          <cell r="G124">
            <v>379000</v>
          </cell>
          <cell r="H124">
            <v>0</v>
          </cell>
          <cell r="I124">
            <v>379000</v>
          </cell>
          <cell r="J124">
            <v>0</v>
          </cell>
          <cell r="K124">
            <v>379000</v>
          </cell>
          <cell r="L124">
            <v>0</v>
          </cell>
          <cell r="M124">
            <v>379000</v>
          </cell>
          <cell r="N124">
            <v>0</v>
          </cell>
          <cell r="O124">
            <v>379000</v>
          </cell>
          <cell r="P124">
            <v>0</v>
          </cell>
          <cell r="Q124">
            <v>379000</v>
          </cell>
          <cell r="R124">
            <v>5685000</v>
          </cell>
          <cell r="S124">
            <v>379000</v>
          </cell>
          <cell r="T124">
            <v>5685000</v>
          </cell>
          <cell r="U124">
            <v>379000</v>
          </cell>
          <cell r="V124">
            <v>5685000</v>
          </cell>
          <cell r="W124">
            <v>379000</v>
          </cell>
          <cell r="X124">
            <v>5685000</v>
          </cell>
          <cell r="Y124">
            <v>379000</v>
          </cell>
          <cell r="Z124">
            <v>5685000</v>
          </cell>
          <cell r="AA124">
            <v>379000</v>
          </cell>
          <cell r="AB124">
            <v>5685000</v>
          </cell>
          <cell r="AC124">
            <v>379000</v>
          </cell>
        </row>
        <row r="125">
          <cell r="C125" t="str">
            <v>Less: Dealer commission</v>
          </cell>
          <cell r="E125">
            <v>-6000</v>
          </cell>
          <cell r="F125">
            <v>0</v>
          </cell>
          <cell r="G125">
            <v>-6000</v>
          </cell>
          <cell r="H125">
            <v>0</v>
          </cell>
          <cell r="I125">
            <v>-6000</v>
          </cell>
          <cell r="J125">
            <v>0</v>
          </cell>
          <cell r="K125">
            <v>-6000</v>
          </cell>
          <cell r="L125">
            <v>0</v>
          </cell>
          <cell r="M125">
            <v>-6000</v>
          </cell>
          <cell r="N125">
            <v>0</v>
          </cell>
          <cell r="O125">
            <v>-6000</v>
          </cell>
          <cell r="P125">
            <v>0</v>
          </cell>
          <cell r="Q125">
            <v>-6000</v>
          </cell>
          <cell r="R125">
            <v>-90000</v>
          </cell>
          <cell r="S125">
            <v>-6000</v>
          </cell>
          <cell r="T125">
            <v>-90000</v>
          </cell>
          <cell r="U125">
            <v>-6000</v>
          </cell>
          <cell r="V125">
            <v>-90000</v>
          </cell>
          <cell r="W125">
            <v>-6000</v>
          </cell>
          <cell r="X125">
            <v>-90000</v>
          </cell>
          <cell r="Y125">
            <v>-6000</v>
          </cell>
          <cell r="Z125">
            <v>-90000</v>
          </cell>
          <cell r="AA125">
            <v>-6000</v>
          </cell>
          <cell r="AB125">
            <v>-90000</v>
          </cell>
          <cell r="AC125">
            <v>-6000</v>
          </cell>
        </row>
        <row r="126">
          <cell r="D126" t="str">
            <v xml:space="preserve">  Sales tax</v>
          </cell>
          <cell r="E126">
            <v>-49434.782608695656</v>
          </cell>
          <cell r="F126">
            <v>0</v>
          </cell>
          <cell r="G126">
            <v>-49434.782608695656</v>
          </cell>
          <cell r="H126">
            <v>0</v>
          </cell>
          <cell r="I126">
            <v>-49434.782608695656</v>
          </cell>
          <cell r="J126">
            <v>0</v>
          </cell>
          <cell r="K126">
            <v>-49434.782608695656</v>
          </cell>
          <cell r="L126">
            <v>0</v>
          </cell>
          <cell r="M126">
            <v>-49434.782608695656</v>
          </cell>
          <cell r="N126">
            <v>0</v>
          </cell>
          <cell r="O126">
            <v>-49434.782608695656</v>
          </cell>
          <cell r="P126">
            <v>0</v>
          </cell>
          <cell r="Q126">
            <v>-49434.782608695656</v>
          </cell>
          <cell r="R126">
            <v>-741521.73913043481</v>
          </cell>
          <cell r="S126">
            <v>-49434.782608695656</v>
          </cell>
          <cell r="T126">
            <v>-741521.73913043481</v>
          </cell>
          <cell r="U126">
            <v>-49434.782608695656</v>
          </cell>
          <cell r="V126">
            <v>-741521.73913043481</v>
          </cell>
          <cell r="W126">
            <v>-49434.782608695656</v>
          </cell>
          <cell r="X126">
            <v>-741521.73913043481</v>
          </cell>
          <cell r="Y126">
            <v>-49434.782608695656</v>
          </cell>
          <cell r="Z126">
            <v>-741521.73913043481</v>
          </cell>
          <cell r="AA126">
            <v>-49434.782608695656</v>
          </cell>
          <cell r="AB126">
            <v>-741521.73913043481</v>
          </cell>
          <cell r="AC126">
            <v>-49434.782608695648</v>
          </cell>
        </row>
        <row r="127">
          <cell r="C127" t="str">
            <v>Net Sales</v>
          </cell>
          <cell r="E127">
            <v>323565.21739130432</v>
          </cell>
          <cell r="F127">
            <v>0</v>
          </cell>
          <cell r="G127">
            <v>323565.21739130432</v>
          </cell>
          <cell r="H127">
            <v>0</v>
          </cell>
          <cell r="I127">
            <v>323565.21739130432</v>
          </cell>
          <cell r="J127">
            <v>0</v>
          </cell>
          <cell r="K127">
            <v>323565.21739130432</v>
          </cell>
          <cell r="L127">
            <v>0</v>
          </cell>
          <cell r="M127">
            <v>323565.21739130432</v>
          </cell>
          <cell r="N127">
            <v>0</v>
          </cell>
          <cell r="O127">
            <v>323565.21739130432</v>
          </cell>
          <cell r="P127">
            <v>0</v>
          </cell>
          <cell r="Q127">
            <v>323565.21739130432</v>
          </cell>
          <cell r="R127">
            <v>4853478.2608695654</v>
          </cell>
          <cell r="S127">
            <v>323565.21739130432</v>
          </cell>
          <cell r="T127">
            <v>4853478.2608695654</v>
          </cell>
          <cell r="U127">
            <v>323565.21739130432</v>
          </cell>
          <cell r="V127">
            <v>4853478.2608695654</v>
          </cell>
          <cell r="W127">
            <v>323565.21739130432</v>
          </cell>
          <cell r="X127">
            <v>4853478.2608695654</v>
          </cell>
          <cell r="Y127">
            <v>323565.21739130432</v>
          </cell>
          <cell r="Z127">
            <v>4853478.2608695654</v>
          </cell>
          <cell r="AA127">
            <v>323565.21739130432</v>
          </cell>
          <cell r="AB127">
            <v>4853478.2608695654</v>
          </cell>
          <cell r="AC127">
            <v>323565.21739130432</v>
          </cell>
        </row>
        <row r="129">
          <cell r="C129" t="str">
            <v>Variable Cost of Sales</v>
          </cell>
        </row>
        <row r="130">
          <cell r="D130" t="str">
            <v>CKD Cost</v>
          </cell>
          <cell r="E130">
            <v>185405.57509915665</v>
          </cell>
          <cell r="F130">
            <v>0</v>
          </cell>
          <cell r="G130">
            <v>185405.57509915665</v>
          </cell>
          <cell r="H130">
            <v>0</v>
          </cell>
          <cell r="I130">
            <v>185405.57509915665</v>
          </cell>
          <cell r="J130">
            <v>0</v>
          </cell>
          <cell r="K130">
            <v>185405.57509915665</v>
          </cell>
          <cell r="L130">
            <v>0</v>
          </cell>
          <cell r="M130">
            <v>185405.57509915665</v>
          </cell>
          <cell r="N130">
            <v>0</v>
          </cell>
          <cell r="O130">
            <v>185405.57509915665</v>
          </cell>
          <cell r="P130">
            <v>0</v>
          </cell>
          <cell r="Q130">
            <v>185405.57509915665</v>
          </cell>
          <cell r="R130">
            <v>2781083.6264873496</v>
          </cell>
          <cell r="S130">
            <v>185405.57509915665</v>
          </cell>
          <cell r="T130">
            <v>2781083.6264873496</v>
          </cell>
          <cell r="U130">
            <v>185405.57509915665</v>
          </cell>
          <cell r="V130">
            <v>2781083.6264873496</v>
          </cell>
          <cell r="W130">
            <v>185405.57509915665</v>
          </cell>
          <cell r="X130">
            <v>2781083.6264873496</v>
          </cell>
          <cell r="Y130">
            <v>185405.57509915665</v>
          </cell>
          <cell r="Z130">
            <v>2781083.6264873496</v>
          </cell>
          <cell r="AA130">
            <v>185405.57509915665</v>
          </cell>
          <cell r="AB130">
            <v>2781083.6264873496</v>
          </cell>
          <cell r="AC130">
            <v>185405.57509915665</v>
          </cell>
        </row>
        <row r="131">
          <cell r="D131" t="str">
            <v>Vendor parts</v>
          </cell>
          <cell r="E131">
            <v>92231</v>
          </cell>
          <cell r="F131">
            <v>0</v>
          </cell>
          <cell r="G131">
            <v>92231</v>
          </cell>
          <cell r="H131">
            <v>0</v>
          </cell>
          <cell r="I131">
            <v>92231</v>
          </cell>
          <cell r="J131">
            <v>0</v>
          </cell>
          <cell r="K131">
            <v>92231</v>
          </cell>
          <cell r="L131">
            <v>0</v>
          </cell>
          <cell r="M131">
            <v>92231</v>
          </cell>
          <cell r="N131">
            <v>0</v>
          </cell>
          <cell r="O131">
            <v>92231</v>
          </cell>
          <cell r="P131">
            <v>0</v>
          </cell>
          <cell r="Q131">
            <v>92231</v>
          </cell>
          <cell r="R131">
            <v>1383465</v>
          </cell>
          <cell r="S131">
            <v>92231</v>
          </cell>
          <cell r="T131">
            <v>1383465</v>
          </cell>
          <cell r="U131">
            <v>92231</v>
          </cell>
          <cell r="V131">
            <v>1383465</v>
          </cell>
          <cell r="W131">
            <v>92231</v>
          </cell>
          <cell r="X131">
            <v>1383465</v>
          </cell>
          <cell r="Y131">
            <v>92231</v>
          </cell>
          <cell r="Z131">
            <v>1383465</v>
          </cell>
          <cell r="AA131">
            <v>92231</v>
          </cell>
          <cell r="AB131">
            <v>1383465</v>
          </cell>
          <cell r="AC131">
            <v>92231</v>
          </cell>
        </row>
        <row r="132">
          <cell r="D132" t="str">
            <v>Nomi Parts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row>
        <row r="133">
          <cell r="D133" t="str">
            <v>Paints &amp; Chemicals</v>
          </cell>
          <cell r="E133">
            <v>3341</v>
          </cell>
          <cell r="F133">
            <v>0</v>
          </cell>
          <cell r="G133">
            <v>3341</v>
          </cell>
          <cell r="H133">
            <v>0</v>
          </cell>
          <cell r="I133">
            <v>3341</v>
          </cell>
          <cell r="J133">
            <v>0</v>
          </cell>
          <cell r="K133">
            <v>3341</v>
          </cell>
          <cell r="L133">
            <v>0</v>
          </cell>
          <cell r="M133">
            <v>3341</v>
          </cell>
          <cell r="N133">
            <v>0</v>
          </cell>
          <cell r="O133">
            <v>3341</v>
          </cell>
          <cell r="P133">
            <v>0</v>
          </cell>
          <cell r="Q133">
            <v>3341</v>
          </cell>
          <cell r="R133">
            <v>50115</v>
          </cell>
          <cell r="S133">
            <v>3341</v>
          </cell>
          <cell r="T133">
            <v>50115</v>
          </cell>
          <cell r="U133">
            <v>3341</v>
          </cell>
          <cell r="V133">
            <v>50115</v>
          </cell>
          <cell r="W133">
            <v>3341</v>
          </cell>
          <cell r="X133">
            <v>50115</v>
          </cell>
          <cell r="Y133">
            <v>3341</v>
          </cell>
          <cell r="Z133">
            <v>50115</v>
          </cell>
          <cell r="AA133">
            <v>3341</v>
          </cell>
          <cell r="AB133">
            <v>50115</v>
          </cell>
          <cell r="AC133">
            <v>3341</v>
          </cell>
        </row>
        <row r="134">
          <cell r="D134" t="str">
            <v>Consumables</v>
          </cell>
          <cell r="E134">
            <v>3304</v>
          </cell>
          <cell r="F134">
            <v>0</v>
          </cell>
          <cell r="G134">
            <v>3304</v>
          </cell>
          <cell r="H134">
            <v>0</v>
          </cell>
          <cell r="I134">
            <v>3304</v>
          </cell>
          <cell r="J134">
            <v>0</v>
          </cell>
          <cell r="K134">
            <v>3304</v>
          </cell>
          <cell r="L134">
            <v>0</v>
          </cell>
          <cell r="M134">
            <v>3304</v>
          </cell>
          <cell r="N134">
            <v>0</v>
          </cell>
          <cell r="O134">
            <v>3304</v>
          </cell>
          <cell r="P134">
            <v>0</v>
          </cell>
          <cell r="Q134">
            <v>3304</v>
          </cell>
          <cell r="R134">
            <v>49560</v>
          </cell>
          <cell r="S134">
            <v>3304</v>
          </cell>
          <cell r="T134">
            <v>49560</v>
          </cell>
          <cell r="U134">
            <v>3304</v>
          </cell>
          <cell r="V134">
            <v>49560</v>
          </cell>
          <cell r="W134">
            <v>3304</v>
          </cell>
          <cell r="X134">
            <v>49560</v>
          </cell>
          <cell r="Y134">
            <v>3304</v>
          </cell>
          <cell r="Z134">
            <v>49560</v>
          </cell>
          <cell r="AA134">
            <v>3304</v>
          </cell>
          <cell r="AB134">
            <v>49560</v>
          </cell>
          <cell r="AC134">
            <v>3304</v>
          </cell>
        </row>
        <row r="135">
          <cell r="D135" t="str">
            <v>KD Parts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row>
        <row r="136">
          <cell r="D136" t="str">
            <v>Spare parts</v>
          </cell>
          <cell r="E136">
            <v>44</v>
          </cell>
          <cell r="F136">
            <v>0</v>
          </cell>
          <cell r="G136">
            <v>44</v>
          </cell>
          <cell r="H136">
            <v>0</v>
          </cell>
          <cell r="I136">
            <v>44</v>
          </cell>
          <cell r="J136">
            <v>0</v>
          </cell>
          <cell r="K136">
            <v>44</v>
          </cell>
          <cell r="L136">
            <v>0</v>
          </cell>
          <cell r="M136">
            <v>44</v>
          </cell>
          <cell r="N136">
            <v>0</v>
          </cell>
          <cell r="O136">
            <v>44</v>
          </cell>
          <cell r="P136">
            <v>0</v>
          </cell>
          <cell r="Q136">
            <v>44</v>
          </cell>
          <cell r="R136">
            <v>660</v>
          </cell>
          <cell r="S136">
            <v>44</v>
          </cell>
          <cell r="T136">
            <v>660</v>
          </cell>
          <cell r="U136">
            <v>44</v>
          </cell>
          <cell r="V136">
            <v>660</v>
          </cell>
          <cell r="W136">
            <v>44</v>
          </cell>
          <cell r="X136">
            <v>660</v>
          </cell>
          <cell r="Y136">
            <v>44</v>
          </cell>
          <cell r="Z136">
            <v>660</v>
          </cell>
          <cell r="AA136">
            <v>44</v>
          </cell>
          <cell r="AB136">
            <v>660</v>
          </cell>
          <cell r="AC136">
            <v>44</v>
          </cell>
        </row>
        <row r="137">
          <cell r="D137" t="str">
            <v>Utilities</v>
          </cell>
          <cell r="E137">
            <v>3875</v>
          </cell>
          <cell r="F137">
            <v>0</v>
          </cell>
          <cell r="G137">
            <v>3875</v>
          </cell>
          <cell r="H137">
            <v>0</v>
          </cell>
          <cell r="I137">
            <v>3875</v>
          </cell>
          <cell r="J137">
            <v>0</v>
          </cell>
          <cell r="K137">
            <v>3875</v>
          </cell>
          <cell r="L137">
            <v>0</v>
          </cell>
          <cell r="M137">
            <v>3875</v>
          </cell>
          <cell r="N137">
            <v>0</v>
          </cell>
          <cell r="O137">
            <v>3875</v>
          </cell>
          <cell r="P137">
            <v>0</v>
          </cell>
          <cell r="Q137">
            <v>3875</v>
          </cell>
          <cell r="R137">
            <v>58125</v>
          </cell>
          <cell r="S137">
            <v>3875</v>
          </cell>
          <cell r="T137">
            <v>58125</v>
          </cell>
          <cell r="U137">
            <v>3875</v>
          </cell>
          <cell r="V137">
            <v>58125</v>
          </cell>
          <cell r="W137">
            <v>3875</v>
          </cell>
          <cell r="X137">
            <v>58125</v>
          </cell>
          <cell r="Y137">
            <v>3875</v>
          </cell>
          <cell r="Z137">
            <v>58125</v>
          </cell>
          <cell r="AA137">
            <v>3875</v>
          </cell>
          <cell r="AB137">
            <v>58125</v>
          </cell>
          <cell r="AC137">
            <v>3875</v>
          </cell>
        </row>
        <row r="138">
          <cell r="D138" t="str">
            <v>Royalty</v>
          </cell>
          <cell r="E138">
            <v>1894</v>
          </cell>
          <cell r="F138">
            <v>0</v>
          </cell>
          <cell r="G138">
            <v>1894</v>
          </cell>
          <cell r="H138">
            <v>0</v>
          </cell>
          <cell r="I138">
            <v>1894</v>
          </cell>
          <cell r="J138">
            <v>0</v>
          </cell>
          <cell r="K138">
            <v>1894</v>
          </cell>
          <cell r="L138">
            <v>0</v>
          </cell>
          <cell r="M138">
            <v>1894</v>
          </cell>
          <cell r="N138">
            <v>0</v>
          </cell>
          <cell r="O138">
            <v>1894</v>
          </cell>
          <cell r="P138">
            <v>0</v>
          </cell>
          <cell r="Q138">
            <v>1894</v>
          </cell>
          <cell r="R138">
            <v>28410</v>
          </cell>
          <cell r="S138">
            <v>1894</v>
          </cell>
          <cell r="T138">
            <v>28410</v>
          </cell>
          <cell r="U138">
            <v>1894</v>
          </cell>
          <cell r="V138">
            <v>28410</v>
          </cell>
          <cell r="W138">
            <v>1894</v>
          </cell>
          <cell r="X138">
            <v>28410</v>
          </cell>
          <cell r="Y138">
            <v>1894</v>
          </cell>
          <cell r="Z138">
            <v>28410</v>
          </cell>
          <cell r="AA138">
            <v>1894</v>
          </cell>
          <cell r="AB138">
            <v>28410</v>
          </cell>
          <cell r="AC138">
            <v>1894</v>
          </cell>
        </row>
        <row r="140">
          <cell r="E140">
            <v>290094.57509915665</v>
          </cell>
          <cell r="F140">
            <v>0</v>
          </cell>
          <cell r="G140">
            <v>290094.57509915665</v>
          </cell>
          <cell r="H140">
            <v>0</v>
          </cell>
          <cell r="I140">
            <v>290094.57509915665</v>
          </cell>
          <cell r="J140">
            <v>0</v>
          </cell>
          <cell r="K140">
            <v>290094.57509915665</v>
          </cell>
          <cell r="L140">
            <v>0</v>
          </cell>
          <cell r="M140">
            <v>290094.57509915665</v>
          </cell>
          <cell r="N140">
            <v>0</v>
          </cell>
          <cell r="O140">
            <v>290094.57509915665</v>
          </cell>
          <cell r="P140">
            <v>0</v>
          </cell>
          <cell r="Q140">
            <v>290094.57509915665</v>
          </cell>
          <cell r="R140">
            <v>4351418.6264873501</v>
          </cell>
          <cell r="S140">
            <v>290094.57509915665</v>
          </cell>
          <cell r="T140">
            <v>4351418.6264873501</v>
          </cell>
          <cell r="U140">
            <v>290094.57509915665</v>
          </cell>
          <cell r="V140">
            <v>4351418.6264873501</v>
          </cell>
          <cell r="W140">
            <v>290094.57509915665</v>
          </cell>
          <cell r="X140">
            <v>4351418.6264873501</v>
          </cell>
          <cell r="Y140">
            <v>290094.57509915665</v>
          </cell>
          <cell r="Z140">
            <v>4351418.6264873501</v>
          </cell>
          <cell r="AA140">
            <v>290094.57509915665</v>
          </cell>
          <cell r="AB140">
            <v>4351418.6264873501</v>
          </cell>
          <cell r="AC140">
            <v>290094.57509915665</v>
          </cell>
        </row>
        <row r="141">
          <cell r="C141" t="str">
            <v>Contribution Margin</v>
          </cell>
          <cell r="E141">
            <v>33470.642292147677</v>
          </cell>
          <cell r="F141">
            <v>0</v>
          </cell>
          <cell r="G141">
            <v>33470.642292147677</v>
          </cell>
          <cell r="H141">
            <v>0</v>
          </cell>
          <cell r="I141">
            <v>33470.642292147677</v>
          </cell>
          <cell r="J141">
            <v>0</v>
          </cell>
          <cell r="K141">
            <v>33470.642292147677</v>
          </cell>
          <cell r="L141">
            <v>0</v>
          </cell>
          <cell r="M141">
            <v>33470.642292147677</v>
          </cell>
          <cell r="N141">
            <v>0</v>
          </cell>
          <cell r="O141">
            <v>33470.642292147677</v>
          </cell>
          <cell r="P141">
            <v>0</v>
          </cell>
          <cell r="Q141">
            <v>33470.642292147677</v>
          </cell>
          <cell r="R141">
            <v>502059.63438221533</v>
          </cell>
          <cell r="S141">
            <v>33470.642292147677</v>
          </cell>
          <cell r="T141">
            <v>502059.63438221533</v>
          </cell>
          <cell r="U141">
            <v>33470.642292147677</v>
          </cell>
          <cell r="V141">
            <v>502059.63438221533</v>
          </cell>
          <cell r="W141">
            <v>33470.642292147677</v>
          </cell>
          <cell r="X141">
            <v>502059.63438221533</v>
          </cell>
          <cell r="Y141">
            <v>33470.642292147677</v>
          </cell>
          <cell r="Z141">
            <v>502059.63438221533</v>
          </cell>
          <cell r="AA141">
            <v>33470.642292147677</v>
          </cell>
          <cell r="AB141">
            <v>502059.63438221533</v>
          </cell>
          <cell r="AC141">
            <v>33470.642292147677</v>
          </cell>
        </row>
        <row r="143">
          <cell r="C143" t="str">
            <v>Production cost</v>
          </cell>
        </row>
        <row r="144">
          <cell r="D144" t="str">
            <v xml:space="preserve">Salaries &amp; Wages </v>
          </cell>
          <cell r="E144">
            <v>4619.3194081365082</v>
          </cell>
          <cell r="F144">
            <v>0</v>
          </cell>
          <cell r="G144">
            <v>4619.3194081365082</v>
          </cell>
          <cell r="H144">
            <v>0</v>
          </cell>
          <cell r="I144">
            <v>4619.3194081365082</v>
          </cell>
          <cell r="J144">
            <v>0</v>
          </cell>
          <cell r="K144">
            <v>4619.3194081365082</v>
          </cell>
          <cell r="L144">
            <v>0</v>
          </cell>
          <cell r="M144">
            <v>4619.3194081365082</v>
          </cell>
          <cell r="N144">
            <v>0</v>
          </cell>
          <cell r="O144">
            <v>4619.3194081365082</v>
          </cell>
          <cell r="P144">
            <v>0</v>
          </cell>
          <cell r="Q144">
            <v>3959.4166355455786</v>
          </cell>
          <cell r="R144">
            <v>59391.249533183676</v>
          </cell>
          <cell r="S144">
            <v>3959.4166355455786</v>
          </cell>
          <cell r="T144">
            <v>59391.249533183676</v>
          </cell>
          <cell r="U144">
            <v>3959.4166355455786</v>
          </cell>
          <cell r="V144">
            <v>59391.249533183676</v>
          </cell>
          <cell r="W144">
            <v>3959.4166355455786</v>
          </cell>
          <cell r="X144">
            <v>59391.249533183676</v>
          </cell>
          <cell r="Y144">
            <v>3959.4166355455786</v>
          </cell>
          <cell r="Z144">
            <v>59391.249533183676</v>
          </cell>
          <cell r="AA144">
            <v>3959.4166355455786</v>
          </cell>
          <cell r="AB144">
            <v>59391.249533183676</v>
          </cell>
          <cell r="AC144">
            <v>3959.4166355455786</v>
          </cell>
        </row>
        <row r="145">
          <cell r="D145" t="str">
            <v xml:space="preserve">Utilities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row>
        <row r="146">
          <cell r="D146" t="str">
            <v>Depreciation</v>
          </cell>
          <cell r="E146">
            <v>19315.555555555558</v>
          </cell>
          <cell r="F146">
            <v>0</v>
          </cell>
          <cell r="G146">
            <v>19315.555555555558</v>
          </cell>
          <cell r="H146">
            <v>0</v>
          </cell>
          <cell r="I146">
            <v>19315.555555555558</v>
          </cell>
          <cell r="J146">
            <v>0</v>
          </cell>
          <cell r="K146">
            <v>19315.555555555558</v>
          </cell>
          <cell r="L146">
            <v>0</v>
          </cell>
          <cell r="M146">
            <v>19315.555555555558</v>
          </cell>
          <cell r="N146">
            <v>0</v>
          </cell>
          <cell r="O146">
            <v>19315.555555555558</v>
          </cell>
          <cell r="P146">
            <v>0</v>
          </cell>
          <cell r="Q146">
            <v>16556.190476190477</v>
          </cell>
          <cell r="R146">
            <v>248342.85714285716</v>
          </cell>
          <cell r="S146">
            <v>16556.190476190477</v>
          </cell>
          <cell r="T146">
            <v>248342.85714285716</v>
          </cell>
          <cell r="U146">
            <v>16556.190476190477</v>
          </cell>
          <cell r="V146">
            <v>248342.85714285716</v>
          </cell>
          <cell r="W146">
            <v>16556.190476190477</v>
          </cell>
          <cell r="X146">
            <v>248342.85714285716</v>
          </cell>
          <cell r="Y146">
            <v>16556.190476190477</v>
          </cell>
          <cell r="Z146">
            <v>248342.85714285716</v>
          </cell>
          <cell r="AA146">
            <v>16556.190476190477</v>
          </cell>
          <cell r="AB146">
            <v>248342.85714285716</v>
          </cell>
          <cell r="AC146">
            <v>16556.190476190481</v>
          </cell>
        </row>
        <row r="147">
          <cell r="D147" t="str">
            <v xml:space="preserve">Other Factory overhead </v>
          </cell>
          <cell r="E147">
            <v>2884.1866359118612</v>
          </cell>
          <cell r="F147">
            <v>0</v>
          </cell>
          <cell r="G147">
            <v>2884.1866359118612</v>
          </cell>
          <cell r="H147">
            <v>0</v>
          </cell>
          <cell r="I147">
            <v>2884.1866359118612</v>
          </cell>
          <cell r="J147">
            <v>0</v>
          </cell>
          <cell r="K147">
            <v>2884.1866359118612</v>
          </cell>
          <cell r="L147">
            <v>0</v>
          </cell>
          <cell r="M147">
            <v>2884.1866359118612</v>
          </cell>
          <cell r="N147">
            <v>0</v>
          </cell>
          <cell r="O147">
            <v>2884.1866359118612</v>
          </cell>
          <cell r="P147">
            <v>0</v>
          </cell>
          <cell r="Q147">
            <v>2472.1599736387384</v>
          </cell>
          <cell r="R147">
            <v>37082.399604581078</v>
          </cell>
          <cell r="S147">
            <v>2472.1599736387384</v>
          </cell>
          <cell r="T147">
            <v>37082.399604581078</v>
          </cell>
          <cell r="U147">
            <v>2472.1599736387384</v>
          </cell>
          <cell r="V147">
            <v>37082.399604581078</v>
          </cell>
          <cell r="W147">
            <v>2472.1599736387384</v>
          </cell>
          <cell r="X147">
            <v>37082.399604581078</v>
          </cell>
          <cell r="Y147">
            <v>2472.1599736387384</v>
          </cell>
          <cell r="Z147">
            <v>37082.399604581078</v>
          </cell>
          <cell r="AA147">
            <v>2472.1599736387384</v>
          </cell>
          <cell r="AB147">
            <v>37082.399604581078</v>
          </cell>
          <cell r="AC147">
            <v>2472.1599736387384</v>
          </cell>
        </row>
        <row r="148">
          <cell r="D148" t="str">
            <v>Running Royalty</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row>
        <row r="149">
          <cell r="E149">
            <v>26819.061599603927</v>
          </cell>
          <cell r="F149">
            <v>0</v>
          </cell>
          <cell r="G149">
            <v>26819.061599603927</v>
          </cell>
          <cell r="H149">
            <v>0</v>
          </cell>
          <cell r="I149">
            <v>26819.061599603927</v>
          </cell>
          <cell r="J149">
            <v>0</v>
          </cell>
          <cell r="K149">
            <v>26819.061599603927</v>
          </cell>
          <cell r="L149">
            <v>0</v>
          </cell>
          <cell r="M149">
            <v>26819.061599603927</v>
          </cell>
          <cell r="N149">
            <v>0</v>
          </cell>
          <cell r="O149">
            <v>26819.061599603927</v>
          </cell>
          <cell r="P149">
            <v>0</v>
          </cell>
          <cell r="Q149">
            <v>22987.767085374795</v>
          </cell>
          <cell r="R149">
            <v>344816.50628062192</v>
          </cell>
          <cell r="S149">
            <v>22987.767085374795</v>
          </cell>
          <cell r="T149">
            <v>344816.50628062192</v>
          </cell>
          <cell r="U149">
            <v>22987.767085374795</v>
          </cell>
          <cell r="V149">
            <v>344816.50628062192</v>
          </cell>
          <cell r="W149">
            <v>22987.767085374795</v>
          </cell>
          <cell r="X149">
            <v>344816.50628062192</v>
          </cell>
          <cell r="Y149">
            <v>22987.767085374795</v>
          </cell>
          <cell r="Z149">
            <v>344816.50628062192</v>
          </cell>
          <cell r="AA149">
            <v>22987.767085374795</v>
          </cell>
          <cell r="AB149">
            <v>344816.50628062192</v>
          </cell>
          <cell r="AC149">
            <v>22987.767085374799</v>
          </cell>
        </row>
        <row r="150">
          <cell r="C150" t="str">
            <v>Gross Profit</v>
          </cell>
          <cell r="E150">
            <v>6651.58069254375</v>
          </cell>
          <cell r="F150">
            <v>0</v>
          </cell>
          <cell r="G150">
            <v>6651.58069254375</v>
          </cell>
          <cell r="H150">
            <v>0</v>
          </cell>
          <cell r="I150">
            <v>6651.58069254375</v>
          </cell>
          <cell r="J150">
            <v>0</v>
          </cell>
          <cell r="K150">
            <v>6651.58069254375</v>
          </cell>
          <cell r="L150">
            <v>0</v>
          </cell>
          <cell r="M150">
            <v>6651.58069254375</v>
          </cell>
          <cell r="N150">
            <v>0</v>
          </cell>
          <cell r="O150">
            <v>6651.58069254375</v>
          </cell>
          <cell r="P150">
            <v>0</v>
          </cell>
          <cell r="Q150">
            <v>10482.875206772882</v>
          </cell>
          <cell r="R150">
            <v>157243.12810159341</v>
          </cell>
          <cell r="S150">
            <v>10482.875206772882</v>
          </cell>
          <cell r="T150">
            <v>157243.12810159341</v>
          </cell>
          <cell r="U150">
            <v>10482.875206772882</v>
          </cell>
          <cell r="V150">
            <v>157243.12810159341</v>
          </cell>
          <cell r="W150">
            <v>10482.875206772882</v>
          </cell>
          <cell r="X150">
            <v>157243.12810159341</v>
          </cell>
          <cell r="Y150">
            <v>10482.875206772882</v>
          </cell>
          <cell r="Z150">
            <v>157243.12810159341</v>
          </cell>
          <cell r="AA150">
            <v>10482.875206772882</v>
          </cell>
          <cell r="AB150">
            <v>157243.12810159341</v>
          </cell>
          <cell r="AC150">
            <v>10482.875206772878</v>
          </cell>
        </row>
        <row r="152">
          <cell r="C152" t="str">
            <v>Other Expenses</v>
          </cell>
        </row>
        <row r="153">
          <cell r="D153" t="str">
            <v>Selling Expenses</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row>
        <row r="154">
          <cell r="D154" t="str">
            <v>Administrative Expenses</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row>
        <row r="155">
          <cell r="D155" t="str">
            <v>Depreciation (Admin. &amp; Selling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row>
        <row r="156">
          <cell r="D156" t="str">
            <v>Financial Charges -Capital Exp.</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row>
        <row r="157">
          <cell r="D157" t="str">
            <v>Financial  Charges -Working Capital</v>
          </cell>
          <cell r="E157">
            <v>201.57918431275289</v>
          </cell>
          <cell r="F157">
            <v>0</v>
          </cell>
          <cell r="G157">
            <v>178.4251077933327</v>
          </cell>
          <cell r="H157">
            <v>0</v>
          </cell>
          <cell r="I157">
            <v>175.55668509273093</v>
          </cell>
          <cell r="J157">
            <v>0</v>
          </cell>
          <cell r="K157">
            <v>160.53201526974851</v>
          </cell>
          <cell r="L157">
            <v>0</v>
          </cell>
          <cell r="M157">
            <v>214.5866255466828</v>
          </cell>
          <cell r="N157">
            <v>0</v>
          </cell>
          <cell r="O157">
            <v>207.35917650875876</v>
          </cell>
          <cell r="P157">
            <v>0</v>
          </cell>
          <cell r="Q157">
            <v>157.4713934840606</v>
          </cell>
          <cell r="R157">
            <v>2362.070902260909</v>
          </cell>
          <cell r="S157">
            <v>198.17331480982742</v>
          </cell>
          <cell r="T157">
            <v>2972.5997221474113</v>
          </cell>
          <cell r="U157">
            <v>184.65378229632779</v>
          </cell>
          <cell r="V157">
            <v>2769.8067344449169</v>
          </cell>
          <cell r="W157">
            <v>192.32717619631876</v>
          </cell>
          <cell r="X157">
            <v>2884.9076429447814</v>
          </cell>
          <cell r="Y157">
            <v>193.74054120384864</v>
          </cell>
          <cell r="Z157">
            <v>2906.1081180577294</v>
          </cell>
          <cell r="AA157">
            <v>186.90086739142365</v>
          </cell>
          <cell r="AB157">
            <v>2803.5130108713547</v>
          </cell>
          <cell r="AC157">
            <v>185.54451256363447</v>
          </cell>
        </row>
        <row r="158">
          <cell r="D158" t="str">
            <v>Other Expenses (Charity &amp; Donation)</v>
          </cell>
          <cell r="E158">
            <v>139.98554466163398</v>
          </cell>
          <cell r="F158">
            <v>0</v>
          </cell>
          <cell r="G158">
            <v>123.90632485648104</v>
          </cell>
          <cell r="H158">
            <v>0</v>
          </cell>
          <cell r="I158">
            <v>121.91436464772984</v>
          </cell>
          <cell r="J158">
            <v>0</v>
          </cell>
          <cell r="K158">
            <v>111.48056615954759</v>
          </cell>
          <cell r="L158">
            <v>0</v>
          </cell>
          <cell r="M158">
            <v>149.01848996297417</v>
          </cell>
          <cell r="N158">
            <v>0</v>
          </cell>
          <cell r="O158">
            <v>143.99942813108245</v>
          </cell>
          <cell r="P158">
            <v>0</v>
          </cell>
          <cell r="Q158">
            <v>109.35513436393099</v>
          </cell>
          <cell r="R158">
            <v>1640.3270154589648</v>
          </cell>
          <cell r="S158">
            <v>137.6203575068246</v>
          </cell>
          <cell r="T158">
            <v>2064.3053626023689</v>
          </cell>
          <cell r="U158">
            <v>128.23179326133877</v>
          </cell>
          <cell r="V158">
            <v>1923.4768989200816</v>
          </cell>
          <cell r="W158">
            <v>133.56053902522137</v>
          </cell>
          <cell r="X158">
            <v>2003.4080853783207</v>
          </cell>
          <cell r="Y158">
            <v>134.54204250267267</v>
          </cell>
          <cell r="Z158">
            <v>2018.13063754009</v>
          </cell>
          <cell r="AA158">
            <v>129.79226902182199</v>
          </cell>
          <cell r="AB158">
            <v>1946.8840353273299</v>
          </cell>
          <cell r="AC158">
            <v>128.85035594696839</v>
          </cell>
        </row>
        <row r="159">
          <cell r="D159" t="str">
            <v>Other Expenses ( W.P.P.F.)</v>
          </cell>
          <cell r="E159">
            <v>-99.685419286180618</v>
          </cell>
          <cell r="F159">
            <v>0</v>
          </cell>
          <cell r="G159">
            <v>-516.01336466537521</v>
          </cell>
          <cell r="H159">
            <v>0</v>
          </cell>
          <cell r="I159">
            <v>429.23507108313538</v>
          </cell>
          <cell r="J159">
            <v>0</v>
          </cell>
          <cell r="K159">
            <v>335.74469975652045</v>
          </cell>
          <cell r="L159">
            <v>0</v>
          </cell>
          <cell r="M159">
            <v>-83.654529301236565</v>
          </cell>
          <cell r="N159">
            <v>0</v>
          </cell>
          <cell r="O159">
            <v>-121.56749282883391</v>
          </cell>
          <cell r="P159">
            <v>0</v>
          </cell>
          <cell r="Q159">
            <v>-311.31446684236766</v>
          </cell>
          <cell r="R159">
            <v>-4669.7170026355152</v>
          </cell>
          <cell r="S159">
            <v>675.13296289914501</v>
          </cell>
          <cell r="T159">
            <v>10126.994443487176</v>
          </cell>
          <cell r="U159">
            <v>676.31298309356544</v>
          </cell>
          <cell r="V159">
            <v>10144.694746403482</v>
          </cell>
          <cell r="W159">
            <v>-120.78534224496495</v>
          </cell>
          <cell r="X159">
            <v>-1811.7801336744742</v>
          </cell>
          <cell r="Y159">
            <v>218.37700984244069</v>
          </cell>
          <cell r="Z159">
            <v>3275.6551476366103</v>
          </cell>
          <cell r="AA159">
            <v>604.68828019460864</v>
          </cell>
          <cell r="AB159">
            <v>9070.3242029191297</v>
          </cell>
          <cell r="AC159">
            <v>290.40190449040455</v>
          </cell>
        </row>
        <row r="160">
          <cell r="D160" t="str">
            <v>Workers Welfare Fund</v>
          </cell>
          <cell r="E160">
            <v>-37.880459328748636</v>
          </cell>
          <cell r="F160">
            <v>0</v>
          </cell>
          <cell r="G160">
            <v>-196.08507857284258</v>
          </cell>
          <cell r="H160">
            <v>0</v>
          </cell>
          <cell r="I160">
            <v>163.10932701159146</v>
          </cell>
          <cell r="J160">
            <v>0</v>
          </cell>
          <cell r="K160">
            <v>127.58298590747775</v>
          </cell>
          <cell r="L160">
            <v>0</v>
          </cell>
          <cell r="M160">
            <v>-31.788721134469881</v>
          </cell>
          <cell r="N160">
            <v>0</v>
          </cell>
          <cell r="O160">
            <v>-46.195647274956897</v>
          </cell>
          <cell r="P160">
            <v>0</v>
          </cell>
          <cell r="Q160">
            <v>-118.29949740009971</v>
          </cell>
          <cell r="R160">
            <v>-1774.4924610014957</v>
          </cell>
          <cell r="S160">
            <v>256.55052590167514</v>
          </cell>
          <cell r="T160">
            <v>3848.2578885251273</v>
          </cell>
          <cell r="U160">
            <v>256.99893357555482</v>
          </cell>
          <cell r="V160">
            <v>3854.9840036333221</v>
          </cell>
          <cell r="W160">
            <v>-45.898430053086649</v>
          </cell>
          <cell r="X160">
            <v>-688.47645079629979</v>
          </cell>
          <cell r="Y160">
            <v>82.983263740127455</v>
          </cell>
          <cell r="Z160">
            <v>1244.7489561019117</v>
          </cell>
          <cell r="AA160">
            <v>229.78154647395132</v>
          </cell>
          <cell r="AB160">
            <v>3446.7231971092697</v>
          </cell>
          <cell r="AC160">
            <v>110.35272370635373</v>
          </cell>
        </row>
        <row r="161">
          <cell r="E161">
            <v>203.99885035945763</v>
          </cell>
          <cell r="F161">
            <v>0</v>
          </cell>
          <cell r="G161">
            <v>-409.76701058840405</v>
          </cell>
          <cell r="H161">
            <v>0</v>
          </cell>
          <cell r="I161">
            <v>889.81544783518757</v>
          </cell>
          <cell r="J161">
            <v>0</v>
          </cell>
          <cell r="K161">
            <v>735.3402670932943</v>
          </cell>
          <cell r="L161">
            <v>0</v>
          </cell>
          <cell r="M161">
            <v>248.16186507395054</v>
          </cell>
          <cell r="N161">
            <v>0</v>
          </cell>
          <cell r="O161">
            <v>183.59546453605043</v>
          </cell>
          <cell r="P161">
            <v>0</v>
          </cell>
          <cell r="Q161">
            <v>-162.78743639447578</v>
          </cell>
          <cell r="R161">
            <v>-2441.8115459171377</v>
          </cell>
          <cell r="S161">
            <v>1267.4771611174722</v>
          </cell>
          <cell r="T161">
            <v>19012.157416762082</v>
          </cell>
          <cell r="U161">
            <v>1246.1974922267868</v>
          </cell>
          <cell r="V161">
            <v>18692.962383401802</v>
          </cell>
          <cell r="W161">
            <v>159.20394292348851</v>
          </cell>
          <cell r="X161">
            <v>2388.0591438523279</v>
          </cell>
          <cell r="Y161">
            <v>629.64285728908942</v>
          </cell>
          <cell r="Z161">
            <v>9444.6428593363416</v>
          </cell>
          <cell r="AA161">
            <v>1151.1629630818056</v>
          </cell>
          <cell r="AB161">
            <v>17267.444446227084</v>
          </cell>
          <cell r="AC161">
            <v>715.1494967073611</v>
          </cell>
        </row>
        <row r="162">
          <cell r="D162" t="str">
            <v>Operating Profit</v>
          </cell>
          <cell r="E162">
            <v>6447.5818421842923</v>
          </cell>
          <cell r="F162">
            <v>0</v>
          </cell>
          <cell r="G162">
            <v>7061.3477031321545</v>
          </cell>
          <cell r="H162">
            <v>0</v>
          </cell>
          <cell r="I162">
            <v>5761.765244708562</v>
          </cell>
          <cell r="J162">
            <v>0</v>
          </cell>
          <cell r="K162">
            <v>5916.2404254504554</v>
          </cell>
          <cell r="L162">
            <v>0</v>
          </cell>
          <cell r="M162">
            <v>6403.4188274697999</v>
          </cell>
          <cell r="N162">
            <v>0</v>
          </cell>
          <cell r="O162">
            <v>6467.9852280076993</v>
          </cell>
          <cell r="P162">
            <v>0</v>
          </cell>
          <cell r="Q162">
            <v>10645.662643167358</v>
          </cell>
          <cell r="R162">
            <v>159684.93964751053</v>
          </cell>
          <cell r="S162">
            <v>9215.3980456554091</v>
          </cell>
          <cell r="T162">
            <v>138230.97068483132</v>
          </cell>
          <cell r="U162">
            <v>9236.6777145460946</v>
          </cell>
          <cell r="V162">
            <v>138550.16571819159</v>
          </cell>
          <cell r="W162">
            <v>10323.671263849394</v>
          </cell>
          <cell r="X162">
            <v>154855.06895774108</v>
          </cell>
          <cell r="Y162">
            <v>9853.2323494837929</v>
          </cell>
          <cell r="Z162">
            <v>147798.48524225707</v>
          </cell>
          <cell r="AA162">
            <v>9331.7122436910759</v>
          </cell>
          <cell r="AB162">
            <v>139975.68365536633</v>
          </cell>
          <cell r="AC162">
            <v>9767.725710065517</v>
          </cell>
        </row>
        <row r="164">
          <cell r="C164" t="str">
            <v>Other Income</v>
          </cell>
        </row>
        <row r="165">
          <cell r="D165" t="str">
            <v>H.D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row>
        <row r="166">
          <cell r="D166" t="str">
            <v>Others</v>
          </cell>
          <cell r="E166">
            <v>3111.1111111111113</v>
          </cell>
          <cell r="F166">
            <v>0</v>
          </cell>
          <cell r="G166">
            <v>3111.1111111111113</v>
          </cell>
          <cell r="H166">
            <v>0</v>
          </cell>
          <cell r="I166">
            <v>3111.1111111111113</v>
          </cell>
          <cell r="J166">
            <v>0</v>
          </cell>
          <cell r="K166">
            <v>3111.1111111111113</v>
          </cell>
          <cell r="L166">
            <v>0</v>
          </cell>
          <cell r="M166">
            <v>3111.1111111111113</v>
          </cell>
          <cell r="N166">
            <v>0</v>
          </cell>
          <cell r="O166">
            <v>3111.1111111111113</v>
          </cell>
          <cell r="P166">
            <v>0</v>
          </cell>
          <cell r="Q166">
            <v>2666.666666666667</v>
          </cell>
          <cell r="R166">
            <v>40000.000000000007</v>
          </cell>
          <cell r="S166">
            <v>2666.666666666667</v>
          </cell>
          <cell r="T166">
            <v>40000.000000000007</v>
          </cell>
          <cell r="U166">
            <v>2666.666666666667</v>
          </cell>
          <cell r="V166">
            <v>40000.000000000007</v>
          </cell>
          <cell r="W166">
            <v>2666.666666666667</v>
          </cell>
          <cell r="X166">
            <v>40000.000000000007</v>
          </cell>
          <cell r="Y166">
            <v>2666.666666666667</v>
          </cell>
          <cell r="Z166">
            <v>40000.000000000007</v>
          </cell>
          <cell r="AA166">
            <v>2666.666666666667</v>
          </cell>
          <cell r="AB166">
            <v>40000.000000000007</v>
          </cell>
          <cell r="AC166">
            <v>2666.666666666667</v>
          </cell>
        </row>
        <row r="167">
          <cell r="E167">
            <v>3111.1111111111113</v>
          </cell>
          <cell r="F167">
            <v>0</v>
          </cell>
          <cell r="G167">
            <v>3111.1111111111113</v>
          </cell>
          <cell r="H167">
            <v>0</v>
          </cell>
          <cell r="I167">
            <v>3111.1111111111113</v>
          </cell>
          <cell r="J167">
            <v>0</v>
          </cell>
          <cell r="K167">
            <v>3111.1111111111113</v>
          </cell>
          <cell r="L167">
            <v>0</v>
          </cell>
          <cell r="M167">
            <v>3111.1111111111113</v>
          </cell>
          <cell r="N167">
            <v>0</v>
          </cell>
          <cell r="O167">
            <v>3111.1111111111113</v>
          </cell>
          <cell r="P167">
            <v>0</v>
          </cell>
          <cell r="Q167">
            <v>2666.666666666667</v>
          </cell>
          <cell r="R167">
            <v>40000.000000000007</v>
          </cell>
          <cell r="S167">
            <v>2666.666666666667</v>
          </cell>
          <cell r="T167">
            <v>40000.000000000007</v>
          </cell>
          <cell r="U167">
            <v>2666.666666666667</v>
          </cell>
          <cell r="V167">
            <v>40000.000000000007</v>
          </cell>
          <cell r="W167">
            <v>2666.666666666667</v>
          </cell>
          <cell r="X167">
            <v>40000.000000000007</v>
          </cell>
          <cell r="Y167">
            <v>2666.666666666667</v>
          </cell>
          <cell r="Z167">
            <v>40000.000000000007</v>
          </cell>
          <cell r="AA167">
            <v>2666.666666666667</v>
          </cell>
          <cell r="AB167">
            <v>40000.000000000007</v>
          </cell>
          <cell r="AC167">
            <v>2666.666666666667</v>
          </cell>
        </row>
        <row r="169">
          <cell r="C169" t="str">
            <v>Profit before tax</v>
          </cell>
          <cell r="E169">
            <v>9558.6929532954036</v>
          </cell>
          <cell r="F169">
            <v>0</v>
          </cell>
          <cell r="G169">
            <v>10172.458814243266</v>
          </cell>
          <cell r="H169">
            <v>0</v>
          </cell>
          <cell r="I169">
            <v>8872.8763558196733</v>
          </cell>
          <cell r="J169">
            <v>0</v>
          </cell>
          <cell r="K169">
            <v>9027.3515365615676</v>
          </cell>
          <cell r="L169">
            <v>0</v>
          </cell>
          <cell r="M169">
            <v>9514.5299385809121</v>
          </cell>
          <cell r="N169">
            <v>0</v>
          </cell>
          <cell r="O169">
            <v>9579.0963391188106</v>
          </cell>
          <cell r="P169">
            <v>0</v>
          </cell>
          <cell r="Q169">
            <v>13312.329309834025</v>
          </cell>
          <cell r="R169">
            <v>199684.93964751053</v>
          </cell>
          <cell r="S169">
            <v>11882.064712322077</v>
          </cell>
          <cell r="T169">
            <v>178230.97068483132</v>
          </cell>
          <cell r="U169">
            <v>11903.344381212763</v>
          </cell>
          <cell r="V169">
            <v>178550.16571819159</v>
          </cell>
          <cell r="W169">
            <v>12990.33793051606</v>
          </cell>
          <cell r="X169">
            <v>194855.06895774108</v>
          </cell>
          <cell r="Y169">
            <v>12519.899016150459</v>
          </cell>
          <cell r="Z169">
            <v>187798.48524225707</v>
          </cell>
          <cell r="AA169">
            <v>11998.378910357744</v>
          </cell>
          <cell r="AB169">
            <v>179975.68365536633</v>
          </cell>
          <cell r="AC169">
            <v>12434.392376732183</v>
          </cell>
        </row>
        <row r="171">
          <cell r="C171" t="str">
            <v>Taxation</v>
          </cell>
        </row>
        <row r="172">
          <cell r="D172" t="str">
            <v>Current</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row>
        <row r="173">
          <cell r="D173" t="str">
            <v>Deferred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row>
        <row r="176">
          <cell r="C176" t="str">
            <v>Net Profit after taxation</v>
          </cell>
          <cell r="E176">
            <v>9558.6929532954036</v>
          </cell>
          <cell r="F176">
            <v>0</v>
          </cell>
          <cell r="G176">
            <v>10172.458814243266</v>
          </cell>
          <cell r="H176">
            <v>0</v>
          </cell>
          <cell r="I176">
            <v>8872.8763558196733</v>
          </cell>
          <cell r="J176">
            <v>0</v>
          </cell>
          <cell r="K176">
            <v>9027.3515365615676</v>
          </cell>
          <cell r="L176">
            <v>0</v>
          </cell>
          <cell r="M176">
            <v>9514.5299385809121</v>
          </cell>
          <cell r="N176">
            <v>0</v>
          </cell>
          <cell r="O176">
            <v>9579.0963391188106</v>
          </cell>
          <cell r="P176">
            <v>0</v>
          </cell>
          <cell r="Q176">
            <v>13312.329309834025</v>
          </cell>
          <cell r="R176">
            <v>199684.93964751053</v>
          </cell>
          <cell r="S176">
            <v>11882.064712322077</v>
          </cell>
          <cell r="T176">
            <v>178230.97068483132</v>
          </cell>
          <cell r="U176">
            <v>11903.344381212763</v>
          </cell>
          <cell r="V176">
            <v>178550.16571819159</v>
          </cell>
          <cell r="W176">
            <v>12990.33793051606</v>
          </cell>
          <cell r="X176">
            <v>194855.06895774108</v>
          </cell>
          <cell r="Y176">
            <v>12519.899016150459</v>
          </cell>
          <cell r="Z176">
            <v>187798.48524225707</v>
          </cell>
          <cell r="AA176">
            <v>11998.378910357744</v>
          </cell>
          <cell r="AB176">
            <v>179975.68365536633</v>
          </cell>
          <cell r="AC176">
            <v>12434.392376732183</v>
          </cell>
        </row>
        <row r="179">
          <cell r="AC179" t="str">
            <v>CX</v>
          </cell>
        </row>
        <row r="180">
          <cell r="B180" t="str">
            <v>CX</v>
          </cell>
          <cell r="E180">
            <v>183</v>
          </cell>
          <cell r="G180">
            <v>214</v>
          </cell>
          <cell r="I180">
            <v>245</v>
          </cell>
          <cell r="K180">
            <v>276</v>
          </cell>
          <cell r="M180">
            <v>307</v>
          </cell>
          <cell r="O180">
            <v>338</v>
          </cell>
          <cell r="Q180">
            <v>369</v>
          </cell>
          <cell r="S180">
            <v>400</v>
          </cell>
          <cell r="U180">
            <v>431</v>
          </cell>
          <cell r="W180">
            <v>462</v>
          </cell>
          <cell r="Y180">
            <v>493</v>
          </cell>
          <cell r="AA180">
            <v>524</v>
          </cell>
          <cell r="AC180" t="str">
            <v>Yearly</v>
          </cell>
        </row>
        <row r="181">
          <cell r="E181" t="str">
            <v>Per Unit</v>
          </cell>
          <cell r="F181" t="str">
            <v>Total</v>
          </cell>
          <cell r="G181" t="str">
            <v>Per Unit</v>
          </cell>
          <cell r="H181" t="str">
            <v>Total</v>
          </cell>
          <cell r="I181" t="str">
            <v>Per Unit</v>
          </cell>
          <cell r="J181" t="str">
            <v>Total</v>
          </cell>
          <cell r="K181" t="str">
            <v>Per Unit</v>
          </cell>
          <cell r="L181" t="str">
            <v>Total</v>
          </cell>
          <cell r="M181" t="str">
            <v>Per Unit</v>
          </cell>
          <cell r="N181" t="str">
            <v>Total</v>
          </cell>
          <cell r="O181" t="str">
            <v>Per Unit</v>
          </cell>
          <cell r="P181" t="str">
            <v>Total</v>
          </cell>
          <cell r="Q181" t="str">
            <v>Per Unit</v>
          </cell>
          <cell r="R181" t="str">
            <v>Total</v>
          </cell>
          <cell r="S181" t="str">
            <v>Per Unit</v>
          </cell>
          <cell r="T181" t="str">
            <v>Total</v>
          </cell>
          <cell r="U181" t="str">
            <v>Per Unit</v>
          </cell>
          <cell r="V181" t="str">
            <v>Total</v>
          </cell>
          <cell r="W181" t="str">
            <v>Per Unit</v>
          </cell>
          <cell r="X181" t="str">
            <v>Total</v>
          </cell>
          <cell r="Y181" t="str">
            <v>Per Unit</v>
          </cell>
          <cell r="Z181" t="str">
            <v>Total</v>
          </cell>
          <cell r="AA181" t="str">
            <v>Per Unit</v>
          </cell>
          <cell r="AB181" t="str">
            <v>Total</v>
          </cell>
          <cell r="AC181" t="str">
            <v>Average</v>
          </cell>
        </row>
        <row r="183">
          <cell r="C183" t="str">
            <v>Sales Units</v>
          </cell>
          <cell r="E183">
            <v>1</v>
          </cell>
          <cell r="F183">
            <v>210</v>
          </cell>
          <cell r="G183">
            <v>1</v>
          </cell>
          <cell r="H183">
            <v>210</v>
          </cell>
          <cell r="I183">
            <v>1</v>
          </cell>
          <cell r="J183">
            <v>210</v>
          </cell>
          <cell r="K183">
            <v>1</v>
          </cell>
          <cell r="L183">
            <v>210</v>
          </cell>
          <cell r="M183">
            <v>1</v>
          </cell>
          <cell r="N183">
            <v>210</v>
          </cell>
          <cell r="O183">
            <v>1</v>
          </cell>
          <cell r="P183">
            <v>210</v>
          </cell>
          <cell r="Q183">
            <v>1</v>
          </cell>
          <cell r="R183">
            <v>210</v>
          </cell>
          <cell r="S183">
            <v>1</v>
          </cell>
          <cell r="T183">
            <v>210</v>
          </cell>
          <cell r="U183">
            <v>1</v>
          </cell>
          <cell r="V183">
            <v>210</v>
          </cell>
          <cell r="W183">
            <v>1</v>
          </cell>
          <cell r="X183">
            <v>210</v>
          </cell>
          <cell r="Y183">
            <v>1</v>
          </cell>
          <cell r="Z183">
            <v>210</v>
          </cell>
          <cell r="AA183">
            <v>1</v>
          </cell>
          <cell r="AB183">
            <v>210</v>
          </cell>
          <cell r="AC183">
            <v>2520</v>
          </cell>
        </row>
        <row r="185">
          <cell r="C185" t="str">
            <v>Selling Price</v>
          </cell>
          <cell r="E185">
            <v>399000</v>
          </cell>
          <cell r="F185">
            <v>83790000</v>
          </cell>
          <cell r="G185">
            <v>399000</v>
          </cell>
          <cell r="H185">
            <v>83790000</v>
          </cell>
          <cell r="I185">
            <v>399000</v>
          </cell>
          <cell r="J185">
            <v>83790000</v>
          </cell>
          <cell r="K185">
            <v>399000</v>
          </cell>
          <cell r="L185">
            <v>83790000</v>
          </cell>
          <cell r="M185">
            <v>399000</v>
          </cell>
          <cell r="N185">
            <v>83790000</v>
          </cell>
          <cell r="O185">
            <v>399000</v>
          </cell>
          <cell r="P185">
            <v>83790000</v>
          </cell>
          <cell r="Q185">
            <v>399000</v>
          </cell>
          <cell r="R185">
            <v>83790000</v>
          </cell>
          <cell r="S185">
            <v>399000</v>
          </cell>
          <cell r="T185">
            <v>83790000</v>
          </cell>
          <cell r="U185">
            <v>399000</v>
          </cell>
          <cell r="V185">
            <v>83790000</v>
          </cell>
          <cell r="W185">
            <v>399000</v>
          </cell>
          <cell r="X185">
            <v>83790000</v>
          </cell>
          <cell r="Y185">
            <v>399000</v>
          </cell>
          <cell r="Z185">
            <v>83790000</v>
          </cell>
          <cell r="AA185">
            <v>399000</v>
          </cell>
          <cell r="AB185">
            <v>83790000</v>
          </cell>
          <cell r="AC185">
            <v>399000</v>
          </cell>
        </row>
        <row r="186">
          <cell r="C186" t="str">
            <v>Less: Dealer commission</v>
          </cell>
          <cell r="E186">
            <v>-10000</v>
          </cell>
          <cell r="F186">
            <v>-2100000</v>
          </cell>
          <cell r="G186">
            <v>-10000</v>
          </cell>
          <cell r="H186">
            <v>-2100000</v>
          </cell>
          <cell r="I186">
            <v>-10000</v>
          </cell>
          <cell r="J186">
            <v>-2100000</v>
          </cell>
          <cell r="K186">
            <v>-10000</v>
          </cell>
          <cell r="L186">
            <v>-2100000</v>
          </cell>
          <cell r="M186">
            <v>-10000</v>
          </cell>
          <cell r="N186">
            <v>-2100000</v>
          </cell>
          <cell r="O186">
            <v>-10000</v>
          </cell>
          <cell r="P186">
            <v>-2100000</v>
          </cell>
          <cell r="Q186">
            <v>-10000</v>
          </cell>
          <cell r="R186">
            <v>-2100000</v>
          </cell>
          <cell r="S186">
            <v>-10000</v>
          </cell>
          <cell r="T186">
            <v>-2100000</v>
          </cell>
          <cell r="U186">
            <v>-10000</v>
          </cell>
          <cell r="V186">
            <v>-2100000</v>
          </cell>
          <cell r="W186">
            <v>-10000</v>
          </cell>
          <cell r="X186">
            <v>-2100000</v>
          </cell>
          <cell r="Y186">
            <v>-10000</v>
          </cell>
          <cell r="Z186">
            <v>-2100000</v>
          </cell>
          <cell r="AA186">
            <v>-10000</v>
          </cell>
          <cell r="AB186">
            <v>-2100000</v>
          </cell>
          <cell r="AC186">
            <v>-10000</v>
          </cell>
        </row>
        <row r="187">
          <cell r="D187" t="str">
            <v xml:space="preserve">  Sales tax</v>
          </cell>
          <cell r="E187">
            <v>-52043.478260869568</v>
          </cell>
          <cell r="F187">
            <v>-10929130.434782609</v>
          </cell>
          <cell r="G187">
            <v>-52043.478260869568</v>
          </cell>
          <cell r="H187">
            <v>-10929130.434782609</v>
          </cell>
          <cell r="I187">
            <v>-52043.478260869568</v>
          </cell>
          <cell r="J187">
            <v>-10929130.434782609</v>
          </cell>
          <cell r="K187">
            <v>-52043.478260869568</v>
          </cell>
          <cell r="L187">
            <v>-10929130.434782609</v>
          </cell>
          <cell r="M187">
            <v>-52043.478260869568</v>
          </cell>
          <cell r="N187">
            <v>-10929130.434782609</v>
          </cell>
          <cell r="O187">
            <v>-52043.478260869568</v>
          </cell>
          <cell r="P187">
            <v>-10929130.434782609</v>
          </cell>
          <cell r="Q187">
            <v>-52043.478260869568</v>
          </cell>
          <cell r="R187">
            <v>-10929130.434782609</v>
          </cell>
          <cell r="S187">
            <v>-52043.478260869568</v>
          </cell>
          <cell r="T187">
            <v>-10929130.434782609</v>
          </cell>
          <cell r="U187">
            <v>-52043.478260869568</v>
          </cell>
          <cell r="V187">
            <v>-10929130.434782609</v>
          </cell>
          <cell r="W187">
            <v>-52043.478260869568</v>
          </cell>
          <cell r="X187">
            <v>-10929130.434782609</v>
          </cell>
          <cell r="Y187">
            <v>-52043.478260869568</v>
          </cell>
          <cell r="Z187">
            <v>-10929130.434782609</v>
          </cell>
          <cell r="AA187">
            <v>-52043.478260869568</v>
          </cell>
          <cell r="AB187">
            <v>-10929130.434782609</v>
          </cell>
          <cell r="AC187">
            <v>-52043.478260869568</v>
          </cell>
        </row>
        <row r="188">
          <cell r="C188" t="str">
            <v>Net Sales</v>
          </cell>
          <cell r="E188">
            <v>336956.52173913043</v>
          </cell>
          <cell r="F188">
            <v>70760869.565217391</v>
          </cell>
          <cell r="G188">
            <v>336956.52173913043</v>
          </cell>
          <cell r="H188">
            <v>70760869.565217391</v>
          </cell>
          <cell r="I188">
            <v>336956.52173913043</v>
          </cell>
          <cell r="J188">
            <v>70760869.565217391</v>
          </cell>
          <cell r="K188">
            <v>336956.52173913043</v>
          </cell>
          <cell r="L188">
            <v>70760869.565217391</v>
          </cell>
          <cell r="M188">
            <v>336956.52173913043</v>
          </cell>
          <cell r="N188">
            <v>70760869.565217391</v>
          </cell>
          <cell r="O188">
            <v>336956.52173913043</v>
          </cell>
          <cell r="P188">
            <v>70760869.565217391</v>
          </cell>
          <cell r="Q188">
            <v>336956.52173913043</v>
          </cell>
          <cell r="R188">
            <v>70760869.565217391</v>
          </cell>
          <cell r="S188">
            <v>336956.52173913043</v>
          </cell>
          <cell r="T188">
            <v>70760869.565217391</v>
          </cell>
          <cell r="U188">
            <v>336956.52173913043</v>
          </cell>
          <cell r="V188">
            <v>70760869.565217391</v>
          </cell>
          <cell r="W188">
            <v>336956.52173913043</v>
          </cell>
          <cell r="X188">
            <v>70760869.565217391</v>
          </cell>
          <cell r="Y188">
            <v>336956.52173913043</v>
          </cell>
          <cell r="Z188">
            <v>70760869.565217391</v>
          </cell>
          <cell r="AA188">
            <v>336956.52173913043</v>
          </cell>
          <cell r="AB188">
            <v>70760869.565217391</v>
          </cell>
          <cell r="AC188">
            <v>336956.52173913043</v>
          </cell>
        </row>
        <row r="190">
          <cell r="C190" t="str">
            <v>Variable Cost of Sales</v>
          </cell>
        </row>
        <row r="191">
          <cell r="D191" t="str">
            <v>CKD Cost</v>
          </cell>
          <cell r="E191">
            <v>185405.57509915665</v>
          </cell>
          <cell r="F191">
            <v>38935170.770822898</v>
          </cell>
          <cell r="G191">
            <v>185405.57509915665</v>
          </cell>
          <cell r="H191">
            <v>38935170.770822898</v>
          </cell>
          <cell r="I191">
            <v>185405.57509915665</v>
          </cell>
          <cell r="J191">
            <v>38935170.770822898</v>
          </cell>
          <cell r="K191">
            <v>185405.57509915665</v>
          </cell>
          <cell r="L191">
            <v>38935170.770822898</v>
          </cell>
          <cell r="M191">
            <v>185405.57509915665</v>
          </cell>
          <cell r="N191">
            <v>38935170.770822898</v>
          </cell>
          <cell r="O191">
            <v>185405.57509915665</v>
          </cell>
          <cell r="P191">
            <v>38935170.770822898</v>
          </cell>
          <cell r="Q191">
            <v>185405.57509915665</v>
          </cell>
          <cell r="R191">
            <v>38935170.770822898</v>
          </cell>
          <cell r="S191">
            <v>185405.57509915665</v>
          </cell>
          <cell r="T191">
            <v>38935170.770822898</v>
          </cell>
          <cell r="U191">
            <v>185405.57509915665</v>
          </cell>
          <cell r="V191">
            <v>38935170.770822898</v>
          </cell>
          <cell r="W191">
            <v>185405.57509915665</v>
          </cell>
          <cell r="X191">
            <v>38935170.770822898</v>
          </cell>
          <cell r="Y191">
            <v>185405.57509915665</v>
          </cell>
          <cell r="Z191">
            <v>38935170.770822898</v>
          </cell>
          <cell r="AA191">
            <v>185405.57509915665</v>
          </cell>
          <cell r="AB191">
            <v>38935170.770822898</v>
          </cell>
          <cell r="AC191">
            <v>185405.57509915662</v>
          </cell>
        </row>
        <row r="192">
          <cell r="D192" t="str">
            <v>Vendor parts</v>
          </cell>
          <cell r="E192">
            <v>102048</v>
          </cell>
          <cell r="F192">
            <v>21430080</v>
          </cell>
          <cell r="G192">
            <v>102048</v>
          </cell>
          <cell r="H192">
            <v>21430080</v>
          </cell>
          <cell r="I192">
            <v>102048</v>
          </cell>
          <cell r="J192">
            <v>21430080</v>
          </cell>
          <cell r="K192">
            <v>102048</v>
          </cell>
          <cell r="L192">
            <v>21430080</v>
          </cell>
          <cell r="M192">
            <v>102048</v>
          </cell>
          <cell r="N192">
            <v>21430080</v>
          </cell>
          <cell r="O192">
            <v>102048</v>
          </cell>
          <cell r="P192">
            <v>21430080</v>
          </cell>
          <cell r="Q192">
            <v>102048</v>
          </cell>
          <cell r="R192">
            <v>21430080</v>
          </cell>
          <cell r="S192">
            <v>102048</v>
          </cell>
          <cell r="T192">
            <v>21430080</v>
          </cell>
          <cell r="U192">
            <v>102048</v>
          </cell>
          <cell r="V192">
            <v>21430080</v>
          </cell>
          <cell r="W192">
            <v>102048</v>
          </cell>
          <cell r="X192">
            <v>21430080</v>
          </cell>
          <cell r="Y192">
            <v>102048</v>
          </cell>
          <cell r="Z192">
            <v>21430080</v>
          </cell>
          <cell r="AA192">
            <v>102048</v>
          </cell>
          <cell r="AB192">
            <v>21430080</v>
          </cell>
          <cell r="AC192">
            <v>102048</v>
          </cell>
        </row>
        <row r="193">
          <cell r="D193" t="str">
            <v>Nomi Parts</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row>
        <row r="194">
          <cell r="D194" t="str">
            <v>Paints &amp; Chemicals</v>
          </cell>
          <cell r="E194">
            <v>6816</v>
          </cell>
          <cell r="F194">
            <v>1431360</v>
          </cell>
          <cell r="G194">
            <v>6816</v>
          </cell>
          <cell r="H194">
            <v>1431360</v>
          </cell>
          <cell r="I194">
            <v>6816</v>
          </cell>
          <cell r="J194">
            <v>1431360</v>
          </cell>
          <cell r="K194">
            <v>6816</v>
          </cell>
          <cell r="L194">
            <v>1431360</v>
          </cell>
          <cell r="M194">
            <v>6816</v>
          </cell>
          <cell r="N194">
            <v>1431360</v>
          </cell>
          <cell r="O194">
            <v>6816</v>
          </cell>
          <cell r="P194">
            <v>1431360</v>
          </cell>
          <cell r="Q194">
            <v>6816</v>
          </cell>
          <cell r="R194">
            <v>1431360</v>
          </cell>
          <cell r="S194">
            <v>6816</v>
          </cell>
          <cell r="T194">
            <v>1431360</v>
          </cell>
          <cell r="U194">
            <v>6816</v>
          </cell>
          <cell r="V194">
            <v>1431360</v>
          </cell>
          <cell r="W194">
            <v>6816</v>
          </cell>
          <cell r="X194">
            <v>1431360</v>
          </cell>
          <cell r="Y194">
            <v>6816</v>
          </cell>
          <cell r="Z194">
            <v>1431360</v>
          </cell>
          <cell r="AA194">
            <v>6816</v>
          </cell>
          <cell r="AB194">
            <v>1431360</v>
          </cell>
          <cell r="AC194">
            <v>6816</v>
          </cell>
        </row>
        <row r="195">
          <cell r="D195" t="str">
            <v>Consumables</v>
          </cell>
          <cell r="E195">
            <v>3362</v>
          </cell>
          <cell r="F195">
            <v>706020</v>
          </cell>
          <cell r="G195">
            <v>3362</v>
          </cell>
          <cell r="H195">
            <v>706020</v>
          </cell>
          <cell r="I195">
            <v>3362</v>
          </cell>
          <cell r="J195">
            <v>706020</v>
          </cell>
          <cell r="K195">
            <v>3362</v>
          </cell>
          <cell r="L195">
            <v>706020</v>
          </cell>
          <cell r="M195">
            <v>3362</v>
          </cell>
          <cell r="N195">
            <v>706020</v>
          </cell>
          <cell r="O195">
            <v>3362</v>
          </cell>
          <cell r="P195">
            <v>706020</v>
          </cell>
          <cell r="Q195">
            <v>3362</v>
          </cell>
          <cell r="R195">
            <v>706020</v>
          </cell>
          <cell r="S195">
            <v>3362</v>
          </cell>
          <cell r="T195">
            <v>706020</v>
          </cell>
          <cell r="U195">
            <v>3362</v>
          </cell>
          <cell r="V195">
            <v>706020</v>
          </cell>
          <cell r="W195">
            <v>3362</v>
          </cell>
          <cell r="X195">
            <v>706020</v>
          </cell>
          <cell r="Y195">
            <v>3362</v>
          </cell>
          <cell r="Z195">
            <v>706020</v>
          </cell>
          <cell r="AA195">
            <v>3362</v>
          </cell>
          <cell r="AB195">
            <v>706020</v>
          </cell>
          <cell r="AC195">
            <v>3362</v>
          </cell>
        </row>
        <row r="196">
          <cell r="D196" t="str">
            <v>KD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row>
        <row r="197">
          <cell r="D197" t="str">
            <v>Spare parts</v>
          </cell>
          <cell r="E197">
            <v>39</v>
          </cell>
          <cell r="F197">
            <v>8190</v>
          </cell>
          <cell r="G197">
            <v>39</v>
          </cell>
          <cell r="H197">
            <v>8190</v>
          </cell>
          <cell r="I197">
            <v>39</v>
          </cell>
          <cell r="J197">
            <v>8190</v>
          </cell>
          <cell r="K197">
            <v>39</v>
          </cell>
          <cell r="L197">
            <v>8190</v>
          </cell>
          <cell r="M197">
            <v>39</v>
          </cell>
          <cell r="N197">
            <v>8190</v>
          </cell>
          <cell r="O197">
            <v>39</v>
          </cell>
          <cell r="P197">
            <v>8190</v>
          </cell>
          <cell r="Q197">
            <v>39</v>
          </cell>
          <cell r="R197">
            <v>8190</v>
          </cell>
          <cell r="S197">
            <v>39</v>
          </cell>
          <cell r="T197">
            <v>8190</v>
          </cell>
          <cell r="U197">
            <v>39</v>
          </cell>
          <cell r="V197">
            <v>8190</v>
          </cell>
          <cell r="W197">
            <v>39</v>
          </cell>
          <cell r="X197">
            <v>8190</v>
          </cell>
          <cell r="Y197">
            <v>39</v>
          </cell>
          <cell r="Z197">
            <v>8190</v>
          </cell>
          <cell r="AA197">
            <v>39</v>
          </cell>
          <cell r="AB197">
            <v>8190</v>
          </cell>
          <cell r="AC197">
            <v>39</v>
          </cell>
        </row>
        <row r="198">
          <cell r="D198" t="str">
            <v>Utilities</v>
          </cell>
          <cell r="E198">
            <v>4396</v>
          </cell>
          <cell r="F198">
            <v>923160</v>
          </cell>
          <cell r="G198">
            <v>4396</v>
          </cell>
          <cell r="H198">
            <v>923160</v>
          </cell>
          <cell r="I198">
            <v>4396</v>
          </cell>
          <cell r="J198">
            <v>923160</v>
          </cell>
          <cell r="K198">
            <v>4396</v>
          </cell>
          <cell r="L198">
            <v>923160</v>
          </cell>
          <cell r="M198">
            <v>4396</v>
          </cell>
          <cell r="N198">
            <v>923160</v>
          </cell>
          <cell r="O198">
            <v>4396</v>
          </cell>
          <cell r="P198">
            <v>923160</v>
          </cell>
          <cell r="Q198">
            <v>4396</v>
          </cell>
          <cell r="R198">
            <v>923160</v>
          </cell>
          <cell r="S198">
            <v>4396</v>
          </cell>
          <cell r="T198">
            <v>923160</v>
          </cell>
          <cell r="U198">
            <v>4396</v>
          </cell>
          <cell r="V198">
            <v>923160</v>
          </cell>
          <cell r="W198">
            <v>4396</v>
          </cell>
          <cell r="X198">
            <v>923160</v>
          </cell>
          <cell r="Y198">
            <v>4396</v>
          </cell>
          <cell r="Z198">
            <v>923160</v>
          </cell>
          <cell r="AA198">
            <v>4396</v>
          </cell>
          <cell r="AB198">
            <v>923160</v>
          </cell>
          <cell r="AC198">
            <v>4396</v>
          </cell>
        </row>
        <row r="199">
          <cell r="D199" t="str">
            <v>Royalties</v>
          </cell>
          <cell r="E199">
            <v>2105</v>
          </cell>
          <cell r="F199">
            <v>442050</v>
          </cell>
          <cell r="G199">
            <v>2105</v>
          </cell>
          <cell r="H199">
            <v>442050</v>
          </cell>
          <cell r="I199">
            <v>2105</v>
          </cell>
          <cell r="J199">
            <v>442050</v>
          </cell>
          <cell r="K199">
            <v>2105</v>
          </cell>
          <cell r="L199">
            <v>442050</v>
          </cell>
          <cell r="M199">
            <v>2105</v>
          </cell>
          <cell r="N199">
            <v>442050</v>
          </cell>
          <cell r="O199">
            <v>2105</v>
          </cell>
          <cell r="P199">
            <v>442050</v>
          </cell>
          <cell r="Q199">
            <v>2105</v>
          </cell>
          <cell r="R199">
            <v>442050</v>
          </cell>
          <cell r="S199">
            <v>2105</v>
          </cell>
          <cell r="T199">
            <v>442050</v>
          </cell>
          <cell r="U199">
            <v>2105</v>
          </cell>
          <cell r="V199">
            <v>442050</v>
          </cell>
          <cell r="W199">
            <v>2105</v>
          </cell>
          <cell r="X199">
            <v>442050</v>
          </cell>
          <cell r="Y199">
            <v>2105</v>
          </cell>
          <cell r="Z199">
            <v>442050</v>
          </cell>
          <cell r="AA199">
            <v>2105</v>
          </cell>
          <cell r="AB199">
            <v>442050</v>
          </cell>
          <cell r="AC199">
            <v>2105</v>
          </cell>
        </row>
        <row r="201">
          <cell r="E201">
            <v>304171.57509915665</v>
          </cell>
          <cell r="F201">
            <v>63876030.770822898</v>
          </cell>
          <cell r="G201">
            <v>304171.57509915665</v>
          </cell>
          <cell r="H201">
            <v>63876030.770822898</v>
          </cell>
          <cell r="I201">
            <v>304171.57509915665</v>
          </cell>
          <cell r="J201">
            <v>63876030.770822898</v>
          </cell>
          <cell r="K201">
            <v>304171.57509915665</v>
          </cell>
          <cell r="L201">
            <v>63876030.770822898</v>
          </cell>
          <cell r="M201">
            <v>304171.57509915665</v>
          </cell>
          <cell r="N201">
            <v>63876030.770822898</v>
          </cell>
          <cell r="O201">
            <v>304171.57509915665</v>
          </cell>
          <cell r="P201">
            <v>63876030.770822898</v>
          </cell>
          <cell r="Q201">
            <v>304171.57509915665</v>
          </cell>
          <cell r="R201">
            <v>63876030.770822898</v>
          </cell>
          <cell r="S201">
            <v>304171.57509915665</v>
          </cell>
          <cell r="T201">
            <v>63876030.770822898</v>
          </cell>
          <cell r="U201">
            <v>304171.57509915665</v>
          </cell>
          <cell r="V201">
            <v>63876030.770822898</v>
          </cell>
          <cell r="W201">
            <v>304171.57509915665</v>
          </cell>
          <cell r="X201">
            <v>63876030.770822898</v>
          </cell>
          <cell r="Y201">
            <v>304171.57509915665</v>
          </cell>
          <cell r="Z201">
            <v>63876030.770822898</v>
          </cell>
          <cell r="AA201">
            <v>304171.57509915665</v>
          </cell>
          <cell r="AB201">
            <v>63876030.770822898</v>
          </cell>
          <cell r="AC201">
            <v>304171.57509915659</v>
          </cell>
        </row>
        <row r="202">
          <cell r="C202" t="str">
            <v>Contribution Margin</v>
          </cell>
          <cell r="E202">
            <v>32784.946639973787</v>
          </cell>
          <cell r="F202">
            <v>6884838.7943944931</v>
          </cell>
          <cell r="G202">
            <v>32784.946639973787</v>
          </cell>
          <cell r="H202">
            <v>6884838.7943944931</v>
          </cell>
          <cell r="I202">
            <v>32784.946639973787</v>
          </cell>
          <cell r="J202">
            <v>6884838.7943944931</v>
          </cell>
          <cell r="K202">
            <v>32784.946639973787</v>
          </cell>
          <cell r="L202">
            <v>6884838.7943944931</v>
          </cell>
          <cell r="M202">
            <v>32784.946639973787</v>
          </cell>
          <cell r="N202">
            <v>6884838.7943944931</v>
          </cell>
          <cell r="O202">
            <v>32784.946639973787</v>
          </cell>
          <cell r="P202">
            <v>6884838.7943944931</v>
          </cell>
          <cell r="Q202">
            <v>32784.946639973787</v>
          </cell>
          <cell r="R202">
            <v>6884838.7943944931</v>
          </cell>
          <cell r="S202">
            <v>32784.946639973787</v>
          </cell>
          <cell r="T202">
            <v>6884838.7943944931</v>
          </cell>
          <cell r="U202">
            <v>32784.946639973787</v>
          </cell>
          <cell r="V202">
            <v>6884838.7943944931</v>
          </cell>
          <cell r="W202">
            <v>32784.946639973787</v>
          </cell>
          <cell r="X202">
            <v>6884838.7943944931</v>
          </cell>
          <cell r="Y202">
            <v>32784.946639973787</v>
          </cell>
          <cell r="Z202">
            <v>6884838.7943944931</v>
          </cell>
          <cell r="AA202">
            <v>32784.946639973787</v>
          </cell>
          <cell r="AB202">
            <v>6884838.7943944931</v>
          </cell>
          <cell r="AC202">
            <v>32784.946639973845</v>
          </cell>
        </row>
        <row r="204">
          <cell r="C204" t="str">
            <v>Production cost</v>
          </cell>
        </row>
        <row r="205">
          <cell r="D205" t="str">
            <v xml:space="preserve">Salaries &amp; Wages </v>
          </cell>
          <cell r="E205">
            <v>4619.3194081365082</v>
          </cell>
          <cell r="F205">
            <v>970057.0757086667</v>
          </cell>
          <cell r="G205">
            <v>4619.3194081365082</v>
          </cell>
          <cell r="H205">
            <v>970057.0757086667</v>
          </cell>
          <cell r="I205">
            <v>4619.3194081365082</v>
          </cell>
          <cell r="J205">
            <v>970057.0757086667</v>
          </cell>
          <cell r="K205">
            <v>4619.3194081365082</v>
          </cell>
          <cell r="L205">
            <v>970057.0757086667</v>
          </cell>
          <cell r="M205">
            <v>4619.3194081365082</v>
          </cell>
          <cell r="N205">
            <v>970057.0757086667</v>
          </cell>
          <cell r="O205">
            <v>4619.3194081365082</v>
          </cell>
          <cell r="P205">
            <v>970057.0757086667</v>
          </cell>
          <cell r="Q205">
            <v>3959.4166355455786</v>
          </cell>
          <cell r="R205">
            <v>831477.49346457154</v>
          </cell>
          <cell r="S205">
            <v>3959.4166355455786</v>
          </cell>
          <cell r="T205">
            <v>831477.49346457154</v>
          </cell>
          <cell r="U205">
            <v>3959.4166355455786</v>
          </cell>
          <cell r="V205">
            <v>831477.49346457154</v>
          </cell>
          <cell r="W205">
            <v>3959.4166355455786</v>
          </cell>
          <cell r="X205">
            <v>831477.49346457154</v>
          </cell>
          <cell r="Y205">
            <v>3959.4166355455786</v>
          </cell>
          <cell r="Z205">
            <v>831477.49346457154</v>
          </cell>
          <cell r="AA205">
            <v>3959.4166355455786</v>
          </cell>
          <cell r="AB205">
            <v>831477.49346457154</v>
          </cell>
          <cell r="AC205">
            <v>4289.3680218410445</v>
          </cell>
        </row>
        <row r="206">
          <cell r="D206" t="str">
            <v xml:space="preserve">Utilities </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row>
        <row r="207">
          <cell r="D207" t="str">
            <v>Depreciation</v>
          </cell>
          <cell r="E207">
            <v>19315.555555555558</v>
          </cell>
          <cell r="F207">
            <v>4056266.6666666674</v>
          </cell>
          <cell r="G207">
            <v>19315.555555555558</v>
          </cell>
          <cell r="H207">
            <v>4056266.6666666674</v>
          </cell>
          <cell r="I207">
            <v>19315.555555555558</v>
          </cell>
          <cell r="J207">
            <v>4056266.6666666674</v>
          </cell>
          <cell r="K207">
            <v>19315.555555555558</v>
          </cell>
          <cell r="L207">
            <v>4056266.6666666674</v>
          </cell>
          <cell r="M207">
            <v>19315.555555555558</v>
          </cell>
          <cell r="N207">
            <v>4056266.6666666674</v>
          </cell>
          <cell r="O207">
            <v>19315.555555555558</v>
          </cell>
          <cell r="P207">
            <v>4056266.6666666674</v>
          </cell>
          <cell r="Q207">
            <v>16556.190476190477</v>
          </cell>
          <cell r="R207">
            <v>3476800</v>
          </cell>
          <cell r="S207">
            <v>16556.190476190477</v>
          </cell>
          <cell r="T207">
            <v>3476800</v>
          </cell>
          <cell r="U207">
            <v>16556.190476190477</v>
          </cell>
          <cell r="V207">
            <v>3476800</v>
          </cell>
          <cell r="W207">
            <v>16556.190476190477</v>
          </cell>
          <cell r="X207">
            <v>3476800</v>
          </cell>
          <cell r="Y207">
            <v>16556.190476190477</v>
          </cell>
          <cell r="Z207">
            <v>3476800</v>
          </cell>
          <cell r="AA207">
            <v>16556.190476190477</v>
          </cell>
          <cell r="AB207">
            <v>3476800</v>
          </cell>
          <cell r="AC207">
            <v>17935.873015873014</v>
          </cell>
        </row>
        <row r="208">
          <cell r="D208" t="str">
            <v xml:space="preserve">Other Factory overhead </v>
          </cell>
          <cell r="E208">
            <v>2884.1866359118612</v>
          </cell>
          <cell r="F208">
            <v>605679.19354149082</v>
          </cell>
          <cell r="G208">
            <v>2884.1866359118612</v>
          </cell>
          <cell r="H208">
            <v>605679.19354149082</v>
          </cell>
          <cell r="I208">
            <v>2884.1866359118612</v>
          </cell>
          <cell r="J208">
            <v>605679.19354149082</v>
          </cell>
          <cell r="K208">
            <v>2884.1866359118612</v>
          </cell>
          <cell r="L208">
            <v>605679.19354149082</v>
          </cell>
          <cell r="M208">
            <v>2884.1866359118612</v>
          </cell>
          <cell r="N208">
            <v>605679.19354149082</v>
          </cell>
          <cell r="O208">
            <v>2884.1866359118612</v>
          </cell>
          <cell r="P208">
            <v>605679.19354149082</v>
          </cell>
          <cell r="Q208">
            <v>2472.1599736387384</v>
          </cell>
          <cell r="R208">
            <v>519153.59446413507</v>
          </cell>
          <cell r="S208">
            <v>2472.1599736387384</v>
          </cell>
          <cell r="T208">
            <v>519153.59446413507</v>
          </cell>
          <cell r="U208">
            <v>2472.1599736387384</v>
          </cell>
          <cell r="V208">
            <v>519153.59446413507</v>
          </cell>
          <cell r="W208">
            <v>2472.1599736387384</v>
          </cell>
          <cell r="X208">
            <v>519153.59446413507</v>
          </cell>
          <cell r="Y208">
            <v>2472.1599736387384</v>
          </cell>
          <cell r="Z208">
            <v>519153.59446413507</v>
          </cell>
          <cell r="AA208">
            <v>2472.1599736387384</v>
          </cell>
          <cell r="AB208">
            <v>519153.59446413507</v>
          </cell>
          <cell r="AC208">
            <v>2678.1733047753005</v>
          </cell>
        </row>
        <row r="209">
          <cell r="D209" t="str">
            <v>Running Royalty</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row>
        <row r="210">
          <cell r="E210">
            <v>26819.061599603927</v>
          </cell>
          <cell r="F210">
            <v>5632002.9359168243</v>
          </cell>
          <cell r="G210">
            <v>26819.061599603927</v>
          </cell>
          <cell r="H210">
            <v>5632002.9359168243</v>
          </cell>
          <cell r="I210">
            <v>26819.061599603927</v>
          </cell>
          <cell r="J210">
            <v>5632002.9359168243</v>
          </cell>
          <cell r="K210">
            <v>26819.061599603927</v>
          </cell>
          <cell r="L210">
            <v>5632002.9359168243</v>
          </cell>
          <cell r="M210">
            <v>26819.061599603927</v>
          </cell>
          <cell r="N210">
            <v>5632002.9359168243</v>
          </cell>
          <cell r="O210">
            <v>26819.061599603927</v>
          </cell>
          <cell r="P210">
            <v>5632002.9359168243</v>
          </cell>
          <cell r="Q210">
            <v>22987.767085374795</v>
          </cell>
          <cell r="R210">
            <v>4827431.0879287068</v>
          </cell>
          <cell r="S210">
            <v>22987.767085374795</v>
          </cell>
          <cell r="T210">
            <v>4827431.0879287068</v>
          </cell>
          <cell r="U210">
            <v>22987.767085374795</v>
          </cell>
          <cell r="V210">
            <v>4827431.0879287068</v>
          </cell>
          <cell r="W210">
            <v>22987.767085374795</v>
          </cell>
          <cell r="X210">
            <v>4827431.0879287068</v>
          </cell>
          <cell r="Y210">
            <v>22987.767085374795</v>
          </cell>
          <cell r="Z210">
            <v>4827431.0879287068</v>
          </cell>
          <cell r="AA210">
            <v>22987.767085374795</v>
          </cell>
          <cell r="AB210">
            <v>4827431.0879287068</v>
          </cell>
          <cell r="AC210">
            <v>24903.414342489359</v>
          </cell>
        </row>
        <row r="211">
          <cell r="C211" t="str">
            <v>Gross Profit</v>
          </cell>
          <cell r="E211">
            <v>5965.8850403698598</v>
          </cell>
          <cell r="F211">
            <v>1252835.8584776688</v>
          </cell>
          <cell r="G211">
            <v>5965.8850403698598</v>
          </cell>
          <cell r="H211">
            <v>1252835.8584776688</v>
          </cell>
          <cell r="I211">
            <v>5965.8850403698598</v>
          </cell>
          <cell r="J211">
            <v>1252835.8584776688</v>
          </cell>
          <cell r="K211">
            <v>5965.8850403698598</v>
          </cell>
          <cell r="L211">
            <v>1252835.8584776688</v>
          </cell>
          <cell r="M211">
            <v>5965.8850403698598</v>
          </cell>
          <cell r="N211">
            <v>1252835.8584776688</v>
          </cell>
          <cell r="O211">
            <v>5965.8850403698598</v>
          </cell>
          <cell r="P211">
            <v>1252835.8584776688</v>
          </cell>
          <cell r="Q211">
            <v>9797.1795545989917</v>
          </cell>
          <cell r="R211">
            <v>2057407.7064657863</v>
          </cell>
          <cell r="S211">
            <v>9797.1795545989917</v>
          </cell>
          <cell r="T211">
            <v>2057407.7064657863</v>
          </cell>
          <cell r="U211">
            <v>9797.1795545989917</v>
          </cell>
          <cell r="V211">
            <v>2057407.7064657863</v>
          </cell>
          <cell r="W211">
            <v>9797.1795545989917</v>
          </cell>
          <cell r="X211">
            <v>2057407.7064657863</v>
          </cell>
          <cell r="Y211">
            <v>9797.1795545989917</v>
          </cell>
          <cell r="Z211">
            <v>2057407.7064657863</v>
          </cell>
          <cell r="AA211">
            <v>9797.1795545989917</v>
          </cell>
          <cell r="AB211">
            <v>2057407.7064657863</v>
          </cell>
          <cell r="AC211">
            <v>7881.5322974844858</v>
          </cell>
        </row>
        <row r="213">
          <cell r="C213" t="str">
            <v>Other Expenses</v>
          </cell>
        </row>
        <row r="214">
          <cell r="D214" t="str">
            <v>Selling Expenses</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row>
        <row r="215">
          <cell r="D215" t="str">
            <v>Administrative Expenses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row>
        <row r="216">
          <cell r="D216" t="str">
            <v>Depreciation (Admin. &amp; Selling )</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row>
        <row r="217">
          <cell r="D217" t="str">
            <v>Financial Charges -Capital Exp.</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row>
        <row r="218">
          <cell r="D218" t="str">
            <v>Financial  Charges -Working Capital</v>
          </cell>
          <cell r="E218">
            <v>201.57918431275289</v>
          </cell>
          <cell r="F218">
            <v>42331.628705678108</v>
          </cell>
          <cell r="G218">
            <v>178.4251077933327</v>
          </cell>
          <cell r="H218">
            <v>37469.272636599868</v>
          </cell>
          <cell r="I218">
            <v>175.55668509273093</v>
          </cell>
          <cell r="J218">
            <v>36866.903869473492</v>
          </cell>
          <cell r="K218">
            <v>160.53201526974851</v>
          </cell>
          <cell r="L218">
            <v>33711.723206647184</v>
          </cell>
          <cell r="M218">
            <v>214.5866255466828</v>
          </cell>
          <cell r="N218">
            <v>45063.191364803388</v>
          </cell>
          <cell r="O218">
            <v>207.35917650875876</v>
          </cell>
          <cell r="P218">
            <v>43545.427066839344</v>
          </cell>
          <cell r="Q218">
            <v>157.4713934840606</v>
          </cell>
          <cell r="R218">
            <v>33068.992631652727</v>
          </cell>
          <cell r="S218">
            <v>198.17331480982742</v>
          </cell>
          <cell r="T218">
            <v>41616.396110063761</v>
          </cell>
          <cell r="U218">
            <v>184.65378229632779</v>
          </cell>
          <cell r="V218">
            <v>38777.294282228839</v>
          </cell>
          <cell r="W218">
            <v>192.32717619631876</v>
          </cell>
          <cell r="X218">
            <v>40388.70700122694</v>
          </cell>
          <cell r="Y218">
            <v>193.74054120384864</v>
          </cell>
          <cell r="Z218">
            <v>40685.513652808215</v>
          </cell>
          <cell r="AA218">
            <v>186.90086739142365</v>
          </cell>
          <cell r="AB218">
            <v>39249.182152198962</v>
          </cell>
          <cell r="AC218">
            <v>187.60882249215112</v>
          </cell>
        </row>
        <row r="219">
          <cell r="D219" t="str">
            <v>Other Expenses (Charity &amp; Donation)</v>
          </cell>
          <cell r="E219">
            <v>139.98554466163398</v>
          </cell>
          <cell r="F219">
            <v>29396.964378943136</v>
          </cell>
          <cell r="G219">
            <v>123.90632485648104</v>
          </cell>
          <cell r="H219">
            <v>26020.328219861018</v>
          </cell>
          <cell r="I219">
            <v>121.91436464772984</v>
          </cell>
          <cell r="J219">
            <v>25602.016576023267</v>
          </cell>
          <cell r="K219">
            <v>111.48056615954759</v>
          </cell>
          <cell r="L219">
            <v>23410.918893504993</v>
          </cell>
          <cell r="M219">
            <v>149.01848996297417</v>
          </cell>
          <cell r="N219">
            <v>31293.882892224578</v>
          </cell>
          <cell r="O219">
            <v>143.99942813108245</v>
          </cell>
          <cell r="P219">
            <v>30239.879907527316</v>
          </cell>
          <cell r="Q219">
            <v>109.35513436393099</v>
          </cell>
          <cell r="R219">
            <v>22964.578216425507</v>
          </cell>
          <cell r="S219">
            <v>137.6203575068246</v>
          </cell>
          <cell r="T219">
            <v>28900.275076433169</v>
          </cell>
          <cell r="U219">
            <v>128.23179326133877</v>
          </cell>
          <cell r="V219">
            <v>26928.676584881141</v>
          </cell>
          <cell r="W219">
            <v>133.56053902522137</v>
          </cell>
          <cell r="X219">
            <v>28047.713195296488</v>
          </cell>
          <cell r="Y219">
            <v>134.54204250267267</v>
          </cell>
          <cell r="Z219">
            <v>28253.828925561262</v>
          </cell>
          <cell r="AA219">
            <v>129.79226902182199</v>
          </cell>
          <cell r="AB219">
            <v>27256.376494582619</v>
          </cell>
          <cell r="AC219">
            <v>130.2839045084383</v>
          </cell>
        </row>
        <row r="220">
          <cell r="D220" t="str">
            <v>Other Expenses ( W.P.P.F.)</v>
          </cell>
          <cell r="E220">
            <v>-99.685419286180618</v>
          </cell>
          <cell r="F220">
            <v>-20933.938050097931</v>
          </cell>
          <cell r="G220">
            <v>-516.01336466537521</v>
          </cell>
          <cell r="H220">
            <v>-108362.8065797288</v>
          </cell>
          <cell r="I220">
            <v>429.23507108313538</v>
          </cell>
          <cell r="J220">
            <v>90139.364927458431</v>
          </cell>
          <cell r="K220">
            <v>335.74469975652045</v>
          </cell>
          <cell r="L220">
            <v>70506.386948869287</v>
          </cell>
          <cell r="M220">
            <v>-83.654529301236565</v>
          </cell>
          <cell r="N220">
            <v>-17567.451153259677</v>
          </cell>
          <cell r="O220">
            <v>-121.56749282883391</v>
          </cell>
          <cell r="P220">
            <v>-25529.173494055121</v>
          </cell>
          <cell r="Q220">
            <v>-311.31446684236766</v>
          </cell>
          <cell r="R220">
            <v>-65376.038036897211</v>
          </cell>
          <cell r="S220">
            <v>675.13296289914501</v>
          </cell>
          <cell r="T220">
            <v>141777.92220882044</v>
          </cell>
          <cell r="U220">
            <v>676.31298309356544</v>
          </cell>
          <cell r="V220">
            <v>142025.72644964873</v>
          </cell>
          <cell r="W220">
            <v>-120.78534224496495</v>
          </cell>
          <cell r="X220">
            <v>-25364.921871442639</v>
          </cell>
          <cell r="Y220">
            <v>218.37700984244069</v>
          </cell>
          <cell r="Z220">
            <v>45859.172066912543</v>
          </cell>
          <cell r="AA220">
            <v>604.68828019460864</v>
          </cell>
          <cell r="AB220">
            <v>126984.53884086781</v>
          </cell>
          <cell r="AC220">
            <v>140.53919930837139</v>
          </cell>
        </row>
        <row r="221">
          <cell r="D221" t="str">
            <v>Workers Welfare Fund</v>
          </cell>
          <cell r="E221">
            <v>-37.880459328748636</v>
          </cell>
          <cell r="F221">
            <v>-7954.8964590372134</v>
          </cell>
          <cell r="G221">
            <v>-196.08507857284258</v>
          </cell>
          <cell r="H221">
            <v>-41177.866500296943</v>
          </cell>
          <cell r="I221">
            <v>163.10932701159146</v>
          </cell>
          <cell r="J221">
            <v>34252.958672434208</v>
          </cell>
          <cell r="K221">
            <v>127.58298590747775</v>
          </cell>
          <cell r="L221">
            <v>26792.427040570328</v>
          </cell>
          <cell r="M221">
            <v>-31.788721134469881</v>
          </cell>
          <cell r="N221">
            <v>-6675.6314382386754</v>
          </cell>
          <cell r="O221">
            <v>-46.195647274956897</v>
          </cell>
          <cell r="P221">
            <v>-9701.085927740949</v>
          </cell>
          <cell r="Q221">
            <v>-118.29949740009971</v>
          </cell>
          <cell r="R221">
            <v>-24842.894454020938</v>
          </cell>
          <cell r="S221">
            <v>256.55052590167514</v>
          </cell>
          <cell r="T221">
            <v>53875.610439351782</v>
          </cell>
          <cell r="U221">
            <v>256.99893357555482</v>
          </cell>
          <cell r="V221">
            <v>53969.776050866509</v>
          </cell>
          <cell r="W221">
            <v>-45.898430053086649</v>
          </cell>
          <cell r="X221">
            <v>-9638.6703111481966</v>
          </cell>
          <cell r="Y221">
            <v>82.983263740127455</v>
          </cell>
          <cell r="Z221">
            <v>17426.485385426764</v>
          </cell>
          <cell r="AA221">
            <v>229.78154647395132</v>
          </cell>
          <cell r="AB221">
            <v>48254.124759529775</v>
          </cell>
          <cell r="AC221">
            <v>53.404895737181135</v>
          </cell>
        </row>
        <row r="222">
          <cell r="E222">
            <v>203.99885035945763</v>
          </cell>
          <cell r="F222">
            <v>42839.758575486099</v>
          </cell>
          <cell r="G222">
            <v>-409.76701058840405</v>
          </cell>
          <cell r="H222">
            <v>-86051.072223564857</v>
          </cell>
          <cell r="I222">
            <v>889.81544783518757</v>
          </cell>
          <cell r="J222">
            <v>186861.24404538941</v>
          </cell>
          <cell r="K222">
            <v>735.3402670932943</v>
          </cell>
          <cell r="L222">
            <v>154421.45608959178</v>
          </cell>
          <cell r="M222">
            <v>248.16186507395054</v>
          </cell>
          <cell r="N222">
            <v>52113.991665529611</v>
          </cell>
          <cell r="O222">
            <v>183.59546453605043</v>
          </cell>
          <cell r="P222">
            <v>38555.047552570584</v>
          </cell>
          <cell r="Q222">
            <v>-162.78743639447578</v>
          </cell>
          <cell r="R222">
            <v>-34185.361642839911</v>
          </cell>
          <cell r="S222">
            <v>1267.4771611174722</v>
          </cell>
          <cell r="T222">
            <v>266170.20383466914</v>
          </cell>
          <cell r="U222">
            <v>1246.1974922267868</v>
          </cell>
          <cell r="V222">
            <v>261701.47336762521</v>
          </cell>
          <cell r="W222">
            <v>159.20394292348851</v>
          </cell>
          <cell r="X222">
            <v>33432.828013932587</v>
          </cell>
          <cell r="Y222">
            <v>629.64285728908942</v>
          </cell>
          <cell r="Z222">
            <v>132225.00003070879</v>
          </cell>
          <cell r="AA222">
            <v>1151.1629630818056</v>
          </cell>
          <cell r="AB222">
            <v>241744.22224717916</v>
          </cell>
          <cell r="AC222">
            <v>511.83682204614189</v>
          </cell>
        </row>
        <row r="223">
          <cell r="D223" t="str">
            <v>Operating Profit</v>
          </cell>
          <cell r="E223">
            <v>5761.8861900104021</v>
          </cell>
          <cell r="F223">
            <v>1209996.0999021828</v>
          </cell>
          <cell r="G223">
            <v>6375.6520509582642</v>
          </cell>
          <cell r="H223">
            <v>1338886.9307012337</v>
          </cell>
          <cell r="I223">
            <v>5076.0695925346718</v>
          </cell>
          <cell r="J223">
            <v>1065974.6144322795</v>
          </cell>
          <cell r="K223">
            <v>5230.5447732765651</v>
          </cell>
          <cell r="L223">
            <v>1098414.402388077</v>
          </cell>
          <cell r="M223">
            <v>5717.7231752959096</v>
          </cell>
          <cell r="N223">
            <v>1200721.8668121393</v>
          </cell>
          <cell r="O223">
            <v>5782.2895758338091</v>
          </cell>
          <cell r="P223">
            <v>1214280.8109250981</v>
          </cell>
          <cell r="Q223">
            <v>9959.9669909934673</v>
          </cell>
          <cell r="R223">
            <v>2091593.0681086262</v>
          </cell>
          <cell r="S223">
            <v>8529.7023934815188</v>
          </cell>
          <cell r="T223">
            <v>1791237.5026311171</v>
          </cell>
          <cell r="U223">
            <v>8550.9820623722044</v>
          </cell>
          <cell r="V223">
            <v>1795706.2330981612</v>
          </cell>
          <cell r="W223">
            <v>9637.9756116755034</v>
          </cell>
          <cell r="X223">
            <v>2023974.8784518538</v>
          </cell>
          <cell r="Y223">
            <v>9167.5366973099026</v>
          </cell>
          <cell r="Z223">
            <v>1925182.7064350776</v>
          </cell>
          <cell r="AA223">
            <v>8646.0165915171856</v>
          </cell>
          <cell r="AB223">
            <v>1815663.4842186072</v>
          </cell>
          <cell r="AC223">
            <v>7369.6954754383441</v>
          </cell>
        </row>
        <row r="225">
          <cell r="C225" t="str">
            <v>Other Income</v>
          </cell>
        </row>
        <row r="226">
          <cell r="D226" t="str">
            <v>H.D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row>
        <row r="227">
          <cell r="D227" t="str">
            <v>Others</v>
          </cell>
          <cell r="E227">
            <v>3111.1111111111113</v>
          </cell>
          <cell r="F227">
            <v>653333.33333333337</v>
          </cell>
          <cell r="G227">
            <v>3111.1111111111113</v>
          </cell>
          <cell r="H227">
            <v>653333.33333333337</v>
          </cell>
          <cell r="I227">
            <v>3111.1111111111113</v>
          </cell>
          <cell r="J227">
            <v>653333.33333333337</v>
          </cell>
          <cell r="K227">
            <v>3111.1111111111113</v>
          </cell>
          <cell r="L227">
            <v>653333.33333333337</v>
          </cell>
          <cell r="M227">
            <v>3111.1111111111113</v>
          </cell>
          <cell r="N227">
            <v>653333.33333333337</v>
          </cell>
          <cell r="O227">
            <v>3111.1111111111113</v>
          </cell>
          <cell r="P227">
            <v>653333.33333333337</v>
          </cell>
          <cell r="Q227">
            <v>2666.666666666667</v>
          </cell>
          <cell r="R227">
            <v>560000.00000000012</v>
          </cell>
          <cell r="S227">
            <v>2666.666666666667</v>
          </cell>
          <cell r="T227">
            <v>560000.00000000012</v>
          </cell>
          <cell r="U227">
            <v>2666.666666666667</v>
          </cell>
          <cell r="V227">
            <v>560000.00000000012</v>
          </cell>
          <cell r="W227">
            <v>2666.666666666667</v>
          </cell>
          <cell r="X227">
            <v>560000.00000000012</v>
          </cell>
          <cell r="Y227">
            <v>2666.666666666667</v>
          </cell>
          <cell r="Z227">
            <v>560000.00000000012</v>
          </cell>
          <cell r="AA227">
            <v>2666.666666666667</v>
          </cell>
          <cell r="AB227">
            <v>560000.00000000012</v>
          </cell>
          <cell r="AC227">
            <v>2888.8888888888891</v>
          </cell>
        </row>
        <row r="228">
          <cell r="E228">
            <v>3111.1111111111113</v>
          </cell>
          <cell r="F228">
            <v>653333.33333333337</v>
          </cell>
          <cell r="G228">
            <v>3111.1111111111113</v>
          </cell>
          <cell r="H228">
            <v>653333.33333333337</v>
          </cell>
          <cell r="I228">
            <v>3111.1111111111113</v>
          </cell>
          <cell r="J228">
            <v>653333.33333333337</v>
          </cell>
          <cell r="K228">
            <v>3111.1111111111113</v>
          </cell>
          <cell r="L228">
            <v>653333.33333333337</v>
          </cell>
          <cell r="M228">
            <v>3111.1111111111113</v>
          </cell>
          <cell r="N228">
            <v>653333.33333333337</v>
          </cell>
          <cell r="O228">
            <v>3111.1111111111113</v>
          </cell>
          <cell r="P228">
            <v>653333.33333333337</v>
          </cell>
          <cell r="Q228">
            <v>2666.666666666667</v>
          </cell>
          <cell r="R228">
            <v>560000.00000000012</v>
          </cell>
          <cell r="S228">
            <v>2666.666666666667</v>
          </cell>
          <cell r="T228">
            <v>560000.00000000012</v>
          </cell>
          <cell r="U228">
            <v>2666.666666666667</v>
          </cell>
          <cell r="V228">
            <v>560000.00000000012</v>
          </cell>
          <cell r="W228">
            <v>2666.666666666667</v>
          </cell>
          <cell r="X228">
            <v>560000.00000000012</v>
          </cell>
          <cell r="Y228">
            <v>2666.666666666667</v>
          </cell>
          <cell r="Z228">
            <v>560000.00000000012</v>
          </cell>
          <cell r="AA228">
            <v>2666.666666666667</v>
          </cell>
          <cell r="AB228">
            <v>560000.00000000012</v>
          </cell>
          <cell r="AC228">
            <v>2888.8888888888891</v>
          </cell>
        </row>
        <row r="230">
          <cell r="C230" t="str">
            <v>Profit before tax</v>
          </cell>
          <cell r="E230">
            <v>8872.9973011215134</v>
          </cell>
          <cell r="F230">
            <v>1863329.4332355163</v>
          </cell>
          <cell r="G230">
            <v>9486.7631620693755</v>
          </cell>
          <cell r="H230">
            <v>1992220.2640345669</v>
          </cell>
          <cell r="I230">
            <v>8187.1807036457831</v>
          </cell>
          <cell r="J230">
            <v>1719307.947765613</v>
          </cell>
          <cell r="K230">
            <v>8341.6558843876774</v>
          </cell>
          <cell r="L230">
            <v>1751747.7357214103</v>
          </cell>
          <cell r="M230">
            <v>8828.8342864070219</v>
          </cell>
          <cell r="N230">
            <v>1854055.2001454728</v>
          </cell>
          <cell r="O230">
            <v>8893.4006869449204</v>
          </cell>
          <cell r="P230">
            <v>1867614.1442584316</v>
          </cell>
          <cell r="Q230">
            <v>12626.633657660135</v>
          </cell>
          <cell r="R230">
            <v>2651593.0681086262</v>
          </cell>
          <cell r="S230">
            <v>11196.369060148187</v>
          </cell>
          <cell r="T230">
            <v>2351237.5026311171</v>
          </cell>
          <cell r="U230">
            <v>11217.648729038872</v>
          </cell>
          <cell r="V230">
            <v>2355706.2330981614</v>
          </cell>
          <cell r="W230">
            <v>12304.642278342169</v>
          </cell>
          <cell r="X230">
            <v>2583974.878451854</v>
          </cell>
          <cell r="Y230">
            <v>11834.203363976569</v>
          </cell>
          <cell r="Z230">
            <v>2485182.7064350778</v>
          </cell>
          <cell r="AA230">
            <v>11312.683258183853</v>
          </cell>
          <cell r="AB230">
            <v>2375663.4842186072</v>
          </cell>
          <cell r="AC230">
            <v>10258.584364327233</v>
          </cell>
        </row>
        <row r="232">
          <cell r="C232" t="str">
            <v>Taxation</v>
          </cell>
        </row>
        <row r="233">
          <cell r="D233" t="str">
            <v>Current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row>
        <row r="234">
          <cell r="D234" t="str">
            <v>Deferred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row>
        <row r="237">
          <cell r="C237" t="str">
            <v>Net Profit after taxation</v>
          </cell>
          <cell r="E237">
            <v>8872.9973011215134</v>
          </cell>
          <cell r="F237">
            <v>1863329.4332355163</v>
          </cell>
          <cell r="G237">
            <v>9486.7631620693755</v>
          </cell>
          <cell r="H237">
            <v>1992220.2640345669</v>
          </cell>
          <cell r="I237">
            <v>8187.1807036457831</v>
          </cell>
          <cell r="J237">
            <v>1719307.947765613</v>
          </cell>
          <cell r="K237">
            <v>8341.6558843876774</v>
          </cell>
          <cell r="L237">
            <v>1751747.7357214103</v>
          </cell>
          <cell r="M237">
            <v>8828.8342864070219</v>
          </cell>
          <cell r="N237">
            <v>1854055.2001454728</v>
          </cell>
          <cell r="O237">
            <v>8893.4006869449204</v>
          </cell>
          <cell r="P237">
            <v>1867614.1442584316</v>
          </cell>
          <cell r="Q237">
            <v>12626.633657660135</v>
          </cell>
          <cell r="R237">
            <v>2651593.0681086262</v>
          </cell>
          <cell r="S237">
            <v>11196.369060148187</v>
          </cell>
          <cell r="T237">
            <v>2351237.5026311171</v>
          </cell>
          <cell r="U237">
            <v>11217.648729038872</v>
          </cell>
          <cell r="V237">
            <v>2355706.2330981614</v>
          </cell>
          <cell r="W237">
            <v>12304.642278342169</v>
          </cell>
          <cell r="X237">
            <v>2583974.878451854</v>
          </cell>
          <cell r="Y237">
            <v>11834.203363976569</v>
          </cell>
          <cell r="Z237">
            <v>2485182.7064350778</v>
          </cell>
          <cell r="AA237">
            <v>11312.683258183853</v>
          </cell>
          <cell r="AB237">
            <v>2375663.4842186072</v>
          </cell>
          <cell r="AC237">
            <v>10258.584364327233</v>
          </cell>
        </row>
        <row r="241">
          <cell r="D241" t="str">
            <v>CKD Cost</v>
          </cell>
          <cell r="F241">
            <v>55621672.529746994</v>
          </cell>
          <cell r="H241">
            <v>55621672.529746994</v>
          </cell>
          <cell r="J241">
            <v>55621672.529746994</v>
          </cell>
          <cell r="L241">
            <v>55621672.529746994</v>
          </cell>
          <cell r="N241">
            <v>55621672.529746994</v>
          </cell>
          <cell r="P241">
            <v>55621672.529746994</v>
          </cell>
          <cell r="R241">
            <v>58402756.156234346</v>
          </cell>
          <cell r="T241">
            <v>58402756.156234346</v>
          </cell>
          <cell r="V241">
            <v>58402756.156234346</v>
          </cell>
          <cell r="X241">
            <v>58402756.156234346</v>
          </cell>
          <cell r="Z241">
            <v>58402756.156234346</v>
          </cell>
          <cell r="AB241">
            <v>58402756.156234346</v>
          </cell>
          <cell r="AC241">
            <v>684146572.11588812</v>
          </cell>
          <cell r="AD241" t="e">
            <v>#REF!</v>
          </cell>
        </row>
        <row r="242">
          <cell r="D242" t="str">
            <v>Vendor parts</v>
          </cell>
          <cell r="F242">
            <v>27750870</v>
          </cell>
          <cell r="H242">
            <v>27750870</v>
          </cell>
          <cell r="J242">
            <v>27750870</v>
          </cell>
          <cell r="L242">
            <v>27750870</v>
          </cell>
          <cell r="N242">
            <v>27750870</v>
          </cell>
          <cell r="P242">
            <v>27750870</v>
          </cell>
          <cell r="R242">
            <v>29134335</v>
          </cell>
          <cell r="T242">
            <v>29134335</v>
          </cell>
          <cell r="V242">
            <v>29134335</v>
          </cell>
          <cell r="X242">
            <v>29134335</v>
          </cell>
          <cell r="Z242">
            <v>29134335</v>
          </cell>
          <cell r="AB242">
            <v>29134335</v>
          </cell>
          <cell r="AC242">
            <v>341311230</v>
          </cell>
          <cell r="AD242" t="e">
            <v>#REF!</v>
          </cell>
        </row>
        <row r="243">
          <cell r="D243" t="str">
            <v>Nummi Parts</v>
          </cell>
          <cell r="F243">
            <v>0</v>
          </cell>
          <cell r="H243">
            <v>0</v>
          </cell>
          <cell r="J243">
            <v>0</v>
          </cell>
          <cell r="L243">
            <v>0</v>
          </cell>
          <cell r="N243">
            <v>0</v>
          </cell>
          <cell r="P243">
            <v>0</v>
          </cell>
          <cell r="R243">
            <v>0</v>
          </cell>
          <cell r="T243">
            <v>0</v>
          </cell>
          <cell r="V243">
            <v>0</v>
          </cell>
          <cell r="X243">
            <v>0</v>
          </cell>
          <cell r="Z243">
            <v>0</v>
          </cell>
          <cell r="AB243">
            <v>0</v>
          </cell>
          <cell r="AC243">
            <v>0</v>
          </cell>
          <cell r="AD243" t="e">
            <v>#REF!</v>
          </cell>
        </row>
        <row r="244">
          <cell r="D244" t="str">
            <v>Paints &amp; Chemicals</v>
          </cell>
          <cell r="F244">
            <v>1732050</v>
          </cell>
          <cell r="H244">
            <v>1732050</v>
          </cell>
          <cell r="J244">
            <v>1732050</v>
          </cell>
          <cell r="L244">
            <v>1732050</v>
          </cell>
          <cell r="N244">
            <v>1732050</v>
          </cell>
          <cell r="P244">
            <v>1732050</v>
          </cell>
          <cell r="R244">
            <v>1782165</v>
          </cell>
          <cell r="T244">
            <v>1782165</v>
          </cell>
          <cell r="V244">
            <v>1782165</v>
          </cell>
          <cell r="X244">
            <v>1782165</v>
          </cell>
          <cell r="Z244">
            <v>1782165</v>
          </cell>
          <cell r="AB244">
            <v>1782165</v>
          </cell>
          <cell r="AC244">
            <v>21085290</v>
          </cell>
          <cell r="AD244" t="e">
            <v>#REF!</v>
          </cell>
        </row>
        <row r="245">
          <cell r="D245" t="str">
            <v>Consumables</v>
          </cell>
          <cell r="F245">
            <v>1003380</v>
          </cell>
          <cell r="H245">
            <v>1003380</v>
          </cell>
          <cell r="J245">
            <v>1003380</v>
          </cell>
          <cell r="L245">
            <v>1003380</v>
          </cell>
          <cell r="N245">
            <v>1003380</v>
          </cell>
          <cell r="P245">
            <v>1003380</v>
          </cell>
          <cell r="R245">
            <v>1052940</v>
          </cell>
          <cell r="T245">
            <v>1052940</v>
          </cell>
          <cell r="V245">
            <v>1052940</v>
          </cell>
          <cell r="X245">
            <v>1052940</v>
          </cell>
          <cell r="Z245">
            <v>1052940</v>
          </cell>
          <cell r="AB245">
            <v>1052940</v>
          </cell>
          <cell r="AC245">
            <v>12337920</v>
          </cell>
          <cell r="AD245" t="e">
            <v>#REF!</v>
          </cell>
        </row>
        <row r="246">
          <cell r="D246" t="str">
            <v>KD Parts</v>
          </cell>
          <cell r="F246">
            <v>0</v>
          </cell>
          <cell r="H246">
            <v>0</v>
          </cell>
          <cell r="J246">
            <v>0</v>
          </cell>
          <cell r="L246">
            <v>0</v>
          </cell>
          <cell r="N246">
            <v>0</v>
          </cell>
          <cell r="P246">
            <v>0</v>
          </cell>
          <cell r="R246">
            <v>0</v>
          </cell>
          <cell r="T246">
            <v>0</v>
          </cell>
          <cell r="V246">
            <v>0</v>
          </cell>
          <cell r="X246">
            <v>0</v>
          </cell>
          <cell r="Z246">
            <v>0</v>
          </cell>
          <cell r="AB246">
            <v>0</v>
          </cell>
          <cell r="AC246">
            <v>0</v>
          </cell>
          <cell r="AD246" t="e">
            <v>#REF!</v>
          </cell>
        </row>
        <row r="247">
          <cell r="D247" t="str">
            <v>Spare parts</v>
          </cell>
          <cell r="F247">
            <v>12150</v>
          </cell>
          <cell r="H247">
            <v>12150</v>
          </cell>
          <cell r="J247">
            <v>12150</v>
          </cell>
          <cell r="L247">
            <v>12150</v>
          </cell>
          <cell r="N247">
            <v>12150</v>
          </cell>
          <cell r="P247">
            <v>12150</v>
          </cell>
          <cell r="R247">
            <v>12810</v>
          </cell>
          <cell r="T247">
            <v>12810</v>
          </cell>
          <cell r="V247">
            <v>12810</v>
          </cell>
          <cell r="X247">
            <v>12810</v>
          </cell>
          <cell r="Z247">
            <v>12810</v>
          </cell>
          <cell r="AB247">
            <v>12810</v>
          </cell>
          <cell r="AC247">
            <v>149760</v>
          </cell>
          <cell r="AD247" t="e">
            <v>#REF!</v>
          </cell>
        </row>
        <row r="248">
          <cell r="D248" t="str">
            <v>Utilities</v>
          </cell>
          <cell r="F248">
            <v>1271910</v>
          </cell>
          <cell r="H248">
            <v>1271910</v>
          </cell>
          <cell r="J248">
            <v>1271910</v>
          </cell>
          <cell r="L248">
            <v>1271910</v>
          </cell>
          <cell r="N248">
            <v>1271910</v>
          </cell>
          <cell r="P248">
            <v>1271910</v>
          </cell>
          <cell r="R248">
            <v>1330035</v>
          </cell>
          <cell r="T248">
            <v>1330035</v>
          </cell>
          <cell r="V248">
            <v>1330035</v>
          </cell>
          <cell r="X248">
            <v>1330035</v>
          </cell>
          <cell r="Z248">
            <v>1330035</v>
          </cell>
          <cell r="AB248">
            <v>1330035</v>
          </cell>
          <cell r="AC248">
            <v>15611670</v>
          </cell>
        </row>
        <row r="249">
          <cell r="D249" t="str">
            <v>Royalties</v>
          </cell>
          <cell r="F249">
            <v>612510</v>
          </cell>
          <cell r="H249">
            <v>612510</v>
          </cell>
          <cell r="J249">
            <v>612510</v>
          </cell>
          <cell r="L249">
            <v>612510</v>
          </cell>
          <cell r="N249">
            <v>612510</v>
          </cell>
          <cell r="P249">
            <v>612510</v>
          </cell>
          <cell r="R249">
            <v>640920</v>
          </cell>
          <cell r="T249">
            <v>640920</v>
          </cell>
          <cell r="V249">
            <v>640920</v>
          </cell>
          <cell r="X249">
            <v>640920</v>
          </cell>
          <cell r="Z249">
            <v>640920</v>
          </cell>
          <cell r="AB249">
            <v>640920</v>
          </cell>
          <cell r="AC249">
            <v>7520580</v>
          </cell>
        </row>
        <row r="251">
          <cell r="F251">
            <v>88004542.529746994</v>
          </cell>
          <cell r="H251">
            <v>88004542.529746994</v>
          </cell>
          <cell r="J251">
            <v>88004542.529746994</v>
          </cell>
          <cell r="L251">
            <v>88004542.529746994</v>
          </cell>
          <cell r="N251">
            <v>88004542.529746994</v>
          </cell>
          <cell r="P251">
            <v>88004542.529746994</v>
          </cell>
          <cell r="R251">
            <v>92355961.156234354</v>
          </cell>
          <cell r="T251">
            <v>92355961.156234354</v>
          </cell>
          <cell r="V251">
            <v>92355961.156234354</v>
          </cell>
          <cell r="X251">
            <v>92355961.156234354</v>
          </cell>
          <cell r="Z251">
            <v>92355961.156234354</v>
          </cell>
          <cell r="AB251">
            <v>92355961.156234354</v>
          </cell>
          <cell r="AC251">
            <v>1059030772.1158881</v>
          </cell>
        </row>
        <row r="252">
          <cell r="F252">
            <v>-1744257.5881870389</v>
          </cell>
          <cell r="H252">
            <v>-1744257.5881870389</v>
          </cell>
          <cell r="J252">
            <v>-1744257.5881870389</v>
          </cell>
          <cell r="L252">
            <v>-1744257.5881870389</v>
          </cell>
          <cell r="N252">
            <v>-2093109.1058244407</v>
          </cell>
          <cell r="P252">
            <v>-2093109.1058244407</v>
          </cell>
          <cell r="R252">
            <v>-14206817.26956974</v>
          </cell>
          <cell r="T252">
            <v>-14206817.26956974</v>
          </cell>
          <cell r="V252">
            <v>-14206817.26956974</v>
          </cell>
          <cell r="X252">
            <v>-14206817.26956974</v>
          </cell>
          <cell r="Z252">
            <v>-14206817.26956974</v>
          </cell>
          <cell r="AB252">
            <v>-14206817.26956974</v>
          </cell>
          <cell r="AC252">
            <v>-119536402.18181562</v>
          </cell>
        </row>
      </sheetData>
      <sheetData sheetId="12">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128656474.99999996</v>
          </cell>
          <cell r="R31">
            <v>96492356.24999997</v>
          </cell>
          <cell r="S31">
            <v>0</v>
          </cell>
          <cell r="T31">
            <v>1.0167250052835973E-2</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36182000.000000007</v>
          </cell>
          <cell r="R32">
            <v>27136499.999999996</v>
          </cell>
          <cell r="S32">
            <v>0</v>
          </cell>
          <cell r="T32">
            <v>2.859330954090817E-3</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C34" t="str">
            <v>Financial  Charges -Working Capital</v>
          </cell>
          <cell r="D34">
            <v>600000</v>
          </cell>
          <cell r="E34">
            <v>600000.00000000012</v>
          </cell>
          <cell r="F34">
            <v>600000</v>
          </cell>
          <cell r="G34">
            <v>600000</v>
          </cell>
          <cell r="H34">
            <v>600000</v>
          </cell>
          <cell r="I34">
            <v>600000</v>
          </cell>
          <cell r="J34">
            <v>599999.99999999988</v>
          </cell>
          <cell r="K34">
            <v>600000</v>
          </cell>
          <cell r="L34">
            <v>599999.99999999988</v>
          </cell>
          <cell r="M34">
            <v>599999.99999999977</v>
          </cell>
          <cell r="N34">
            <v>600000.00000000012</v>
          </cell>
          <cell r="O34">
            <v>599999.99999999988</v>
          </cell>
          <cell r="P34">
            <v>7200000</v>
          </cell>
          <cell r="Q34">
            <v>7200000.0000000009</v>
          </cell>
          <cell r="R34">
            <v>5400000</v>
          </cell>
          <cell r="S34">
            <v>0</v>
          </cell>
          <cell r="T34">
            <v>5.6898963212243328E-4</v>
          </cell>
        </row>
        <row r="35">
          <cell r="C35" t="str">
            <v>Charity &amp; Donation</v>
          </cell>
          <cell r="D35">
            <v>416666.66666666674</v>
          </cell>
          <cell r="E35">
            <v>416666.66666666674</v>
          </cell>
          <cell r="F35">
            <v>416666.66666666663</v>
          </cell>
          <cell r="G35">
            <v>416666.66666666674</v>
          </cell>
          <cell r="H35">
            <v>416666.66666666674</v>
          </cell>
          <cell r="I35">
            <v>416666.66666666674</v>
          </cell>
          <cell r="J35">
            <v>416666.66666666669</v>
          </cell>
          <cell r="K35">
            <v>416666.66666666669</v>
          </cell>
          <cell r="L35">
            <v>416666.66666666674</v>
          </cell>
          <cell r="M35">
            <v>416666.66666666669</v>
          </cell>
          <cell r="N35">
            <v>416666.66666666669</v>
          </cell>
          <cell r="O35">
            <v>416666.66666666663</v>
          </cell>
          <cell r="P35">
            <v>5000000</v>
          </cell>
          <cell r="Q35">
            <v>5000000</v>
          </cell>
          <cell r="R35">
            <v>3750000</v>
          </cell>
          <cell r="S35">
            <v>0</v>
          </cell>
          <cell r="T35">
            <v>3.95131688973912E-4</v>
          </cell>
        </row>
        <row r="36">
          <cell r="C36" t="str">
            <v>W.P.P.F.</v>
          </cell>
          <cell r="D36">
            <v>3559868.9292300735</v>
          </cell>
          <cell r="E36">
            <v>3767707.5929493941</v>
          </cell>
          <cell r="F36">
            <v>3677909.3910089652</v>
          </cell>
          <cell r="G36">
            <v>4171651.4457984064</v>
          </cell>
          <cell r="H36">
            <v>2841065.1533499868</v>
          </cell>
          <cell r="I36">
            <v>3207703.4925322449</v>
          </cell>
          <cell r="J36">
            <v>4335966.3675106233</v>
          </cell>
          <cell r="K36">
            <v>3064995.3006430091</v>
          </cell>
          <cell r="L36">
            <v>3508339.016590822</v>
          </cell>
          <cell r="M36">
            <v>3361367.686896902</v>
          </cell>
          <cell r="N36">
            <v>3065663.6406980813</v>
          </cell>
          <cell r="O36">
            <v>3875710.4839301649</v>
          </cell>
          <cell r="P36">
            <v>42437948.50113868</v>
          </cell>
          <cell r="Q36">
            <v>42437948.501138672</v>
          </cell>
          <cell r="R36">
            <v>32135206.689613532</v>
          </cell>
          <cell r="S36">
            <v>0</v>
          </cell>
          <cell r="T36">
            <v>3.3537156535685649E-3</v>
          </cell>
        </row>
        <row r="37">
          <cell r="C37" t="str">
            <v>W.W.F</v>
          </cell>
          <cell r="D37">
            <v>1352750.193107428</v>
          </cell>
          <cell r="E37">
            <v>1431728.8853207699</v>
          </cell>
          <cell r="F37">
            <v>1397605.568583407</v>
          </cell>
          <cell r="G37">
            <v>1585227.5494033948</v>
          </cell>
          <cell r="H37">
            <v>1079604.7582729952</v>
          </cell>
          <cell r="I37">
            <v>1218927.3271622532</v>
          </cell>
          <cell r="J37">
            <v>1647667.2196540369</v>
          </cell>
          <cell r="K37">
            <v>1164698.2142443438</v>
          </cell>
          <cell r="L37">
            <v>1333168.8263045123</v>
          </cell>
          <cell r="M37">
            <v>1277319.7210208229</v>
          </cell>
          <cell r="N37">
            <v>1164952.183465271</v>
          </cell>
          <cell r="O37">
            <v>1472769.9838934625</v>
          </cell>
          <cell r="P37">
            <v>16126420.430432696</v>
          </cell>
          <cell r="Q37">
            <v>16126420.430432698</v>
          </cell>
          <cell r="R37">
            <v>12211378.542053141</v>
          </cell>
          <cell r="S37">
            <v>0</v>
          </cell>
          <cell r="T37">
            <v>1.2744119483560545E-3</v>
          </cell>
        </row>
        <row r="38">
          <cell r="D38">
            <v>29080175.705670834</v>
          </cell>
          <cell r="E38">
            <v>32216993.061603501</v>
          </cell>
          <cell r="F38">
            <v>34243071.542925708</v>
          </cell>
          <cell r="G38">
            <v>35883185.578535132</v>
          </cell>
          <cell r="H38">
            <v>34745726.494956322</v>
          </cell>
          <cell r="I38">
            <v>28807937.403027836</v>
          </cell>
          <cell r="J38">
            <v>33991190.170497991</v>
          </cell>
          <cell r="K38">
            <v>29257250.09822068</v>
          </cell>
          <cell r="L38">
            <v>31019064.426228669</v>
          </cell>
          <cell r="M38">
            <v>31091243.991251055</v>
          </cell>
          <cell r="N38">
            <v>36558172.407496691</v>
          </cell>
          <cell r="O38">
            <v>27101037.05115696</v>
          </cell>
          <cell r="P38">
            <v>383995047.9315713</v>
          </cell>
          <cell r="Q38">
            <v>383995047.9315713</v>
          </cell>
          <cell r="R38">
            <v>289244594.48166662</v>
          </cell>
          <cell r="S38">
            <v>0</v>
          </cell>
          <cell r="T38">
            <v>3.0345722369364014E-2</v>
          </cell>
        </row>
        <row r="39">
          <cell r="R39">
            <v>0</v>
          </cell>
        </row>
        <row r="40">
          <cell r="B40" t="str">
            <v>Operating  Profit</v>
          </cell>
          <cell r="D40">
            <v>47080764.79559736</v>
          </cell>
          <cell r="E40">
            <v>51060120.714051098</v>
          </cell>
          <cell r="F40">
            <v>49308046.193920426</v>
          </cell>
          <cell r="G40">
            <v>59484035.254099481</v>
          </cell>
          <cell r="H40">
            <v>34645998.488710143</v>
          </cell>
          <cell r="I40">
            <v>41549456.364283785</v>
          </cell>
          <cell r="J40">
            <v>69522267.096381009</v>
          </cell>
          <cell r="K40">
            <v>47928737.831306055</v>
          </cell>
          <cell r="L40">
            <v>56088529.822254434</v>
          </cell>
          <cell r="M40">
            <v>53494071.663353667</v>
          </cell>
          <cell r="N40">
            <v>47941182.323131606</v>
          </cell>
          <cell r="O40">
            <v>62991102.544113003</v>
          </cell>
          <cell r="P40">
            <v>621094313.09120202</v>
          </cell>
          <cell r="R40">
            <v>456667956.56060368</v>
          </cell>
          <cell r="T40">
            <v>4.9082808988763674E-2</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cell r="T43">
            <v>2.7738472161821471E-3</v>
          </cell>
        </row>
        <row r="44">
          <cell r="C44" t="str">
            <v>Other Income</v>
          </cell>
          <cell r="D44">
            <v>17333333.333333332</v>
          </cell>
          <cell r="E44">
            <v>17333333.333333332</v>
          </cell>
          <cell r="F44">
            <v>17333333.333333336</v>
          </cell>
          <cell r="G44">
            <v>7333333.333333333</v>
          </cell>
          <cell r="H44">
            <v>7333333.333333333</v>
          </cell>
          <cell r="I44">
            <v>7333333.333333333</v>
          </cell>
          <cell r="J44">
            <v>7333333.333333334</v>
          </cell>
          <cell r="K44">
            <v>7333333.333333334</v>
          </cell>
          <cell r="L44">
            <v>7333333.3333333349</v>
          </cell>
          <cell r="M44">
            <v>7333333.333333333</v>
          </cell>
          <cell r="N44">
            <v>7333333.333333334</v>
          </cell>
          <cell r="O44">
            <v>7333333.3333333349</v>
          </cell>
          <cell r="P44">
            <v>117999999.99999997</v>
          </cell>
          <cell r="R44">
            <v>95999999.999999985</v>
          </cell>
          <cell r="T44">
            <v>9.325107859784321E-3</v>
          </cell>
        </row>
        <row r="45">
          <cell r="D45">
            <v>17870661.333333332</v>
          </cell>
          <cell r="E45">
            <v>17761261.333333332</v>
          </cell>
          <cell r="F45">
            <v>17841293.333333336</v>
          </cell>
          <cell r="G45">
            <v>16858781.333333332</v>
          </cell>
          <cell r="H45">
            <v>16921301.333333332</v>
          </cell>
          <cell r="I45">
            <v>16844649.333333332</v>
          </cell>
          <cell r="J45">
            <v>9880093.333333334</v>
          </cell>
          <cell r="K45">
            <v>7808141.333333334</v>
          </cell>
          <cell r="L45">
            <v>7903409.3333333349</v>
          </cell>
          <cell r="M45">
            <v>7761261.333333333</v>
          </cell>
          <cell r="N45">
            <v>7808141.333333334</v>
          </cell>
          <cell r="O45">
            <v>7841293.3333333349</v>
          </cell>
          <cell r="P45">
            <v>153100288</v>
          </cell>
          <cell r="R45">
            <v>129689591.99999999</v>
          </cell>
          <cell r="T45">
            <v>1.2098955075966471E-2</v>
          </cell>
        </row>
        <row r="46">
          <cell r="R46">
            <v>0</v>
          </cell>
        </row>
        <row r="47">
          <cell r="B47" t="str">
            <v>Profit Before Tax</v>
          </cell>
          <cell r="D47">
            <v>64951426.128930688</v>
          </cell>
          <cell r="E47">
            <v>68821382.047384426</v>
          </cell>
          <cell r="F47">
            <v>67149339.527253762</v>
          </cell>
          <cell r="G47">
            <v>76342816.587432817</v>
          </cell>
          <cell r="H47">
            <v>51567299.822043478</v>
          </cell>
          <cell r="I47">
            <v>58394105.697617114</v>
          </cell>
          <cell r="J47">
            <v>79402360.429714337</v>
          </cell>
          <cell r="K47">
            <v>55736879.164639391</v>
          </cell>
          <cell r="L47">
            <v>63991939.15558777</v>
          </cell>
          <cell r="M47">
            <v>61255332.996687002</v>
          </cell>
          <cell r="N47">
            <v>55749323.656464942</v>
          </cell>
          <cell r="O47">
            <v>70832395.877446339</v>
          </cell>
          <cell r="P47">
            <v>774194601.09120202</v>
          </cell>
          <cell r="R47">
            <v>586357548.56060374</v>
          </cell>
          <cell r="T47">
            <v>6.1181764064730144E-2</v>
          </cell>
        </row>
        <row r="48">
          <cell r="R48">
            <v>0</v>
          </cell>
        </row>
        <row r="49">
          <cell r="B49" t="str">
            <v>Taxation</v>
          </cell>
          <cell r="R49">
            <v>0</v>
          </cell>
        </row>
        <row r="50">
          <cell r="C50" t="str">
            <v>Current</v>
          </cell>
          <cell r="D50">
            <v>17729497.154693488</v>
          </cell>
          <cell r="E50">
            <v>19477296.950747214</v>
          </cell>
          <cell r="F50">
            <v>19160440.196393885</v>
          </cell>
          <cell r="G50">
            <v>22214147.762537304</v>
          </cell>
          <cell r="H50">
            <v>13566158.961265313</v>
          </cell>
          <cell r="I50">
            <v>15142008.141611325</v>
          </cell>
          <cell r="J50">
            <v>21829221.278572366</v>
          </cell>
          <cell r="K50">
            <v>14497511.287242452</v>
          </cell>
          <cell r="L50">
            <v>17586372.954913206</v>
          </cell>
          <cell r="M50">
            <v>16643067.755550765</v>
          </cell>
          <cell r="N50">
            <v>14747481.539583361</v>
          </cell>
          <cell r="O50">
            <v>18641119.357631199</v>
          </cell>
          <cell r="P50">
            <v>211234323.34074187</v>
          </cell>
          <cell r="R50">
            <v>161202654.68797654</v>
          </cell>
          <cell r="T50">
            <v>1.6693074990177758E-2</v>
          </cell>
        </row>
        <row r="51">
          <cell r="C51" t="str">
            <v>Presumptive</v>
          </cell>
          <cell r="D51">
            <v>4417259.3732567672</v>
          </cell>
          <cell r="E51">
            <v>3577984.3732567676</v>
          </cell>
          <cell r="F51">
            <v>3930096.3732567676</v>
          </cell>
          <cell r="G51">
            <v>4099799.8884331421</v>
          </cell>
          <cell r="H51">
            <v>4179475.2370795738</v>
          </cell>
          <cell r="I51">
            <v>4666638.2370795738</v>
          </cell>
          <cell r="J51">
            <v>4775814.0631665299</v>
          </cell>
          <cell r="K51">
            <v>4423207.0631665299</v>
          </cell>
          <cell r="L51">
            <v>4229358.0631665299</v>
          </cell>
          <cell r="M51">
            <v>4134974.0631665299</v>
          </cell>
          <cell r="N51">
            <v>4328823.0631665299</v>
          </cell>
          <cell r="O51">
            <v>4969663.0631665299</v>
          </cell>
          <cell r="P51">
            <v>51733092.861361764</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cell r="T52">
            <v>2.4314859174550657E-4</v>
          </cell>
        </row>
        <row r="53">
          <cell r="D53">
            <v>22339834.027950257</v>
          </cell>
          <cell r="E53">
            <v>23248358.824003983</v>
          </cell>
          <cell r="F53">
            <v>23283614.069650654</v>
          </cell>
          <cell r="G53">
            <v>26541059.150970448</v>
          </cell>
          <cell r="H53">
            <v>17972745.698344886</v>
          </cell>
          <cell r="I53">
            <v>20035757.878690898</v>
          </cell>
          <cell r="J53">
            <v>26899560.341738895</v>
          </cell>
          <cell r="K53">
            <v>19215243.350408982</v>
          </cell>
          <cell r="L53">
            <v>22110256.018079735</v>
          </cell>
          <cell r="M53">
            <v>21088929.318717293</v>
          </cell>
          <cell r="N53">
            <v>19387192.102749892</v>
          </cell>
          <cell r="O53">
            <v>23921669.920797728</v>
          </cell>
          <cell r="P53">
            <v>266044220.70210361</v>
          </cell>
          <cell r="Q53">
            <v>0</v>
          </cell>
          <cell r="R53">
            <v>201646429.35983869</v>
          </cell>
          <cell r="T53">
            <v>2.1024500453554081E-2</v>
          </cell>
        </row>
        <row r="54">
          <cell r="R54">
            <v>0</v>
          </cell>
        </row>
        <row r="55">
          <cell r="B55" t="str">
            <v>Profit After Tax</v>
          </cell>
          <cell r="D55">
            <v>42611592.100980431</v>
          </cell>
          <cell r="E55">
            <v>45573023.223380446</v>
          </cell>
          <cell r="F55">
            <v>43865725.457603112</v>
          </cell>
          <cell r="G55">
            <v>49801757.436462373</v>
          </cell>
          <cell r="H55">
            <v>33594554.123698592</v>
          </cell>
          <cell r="I55">
            <v>38358347.818926215</v>
          </cell>
          <cell r="J55">
            <v>52502800.087975442</v>
          </cell>
          <cell r="K55">
            <v>36521635.814230412</v>
          </cell>
          <cell r="L55">
            <v>41881683.137508035</v>
          </cell>
          <cell r="M55">
            <v>40166403.677969709</v>
          </cell>
          <cell r="N55">
            <v>36362131.55371505</v>
          </cell>
          <cell r="O55">
            <v>46910725.956648611</v>
          </cell>
          <cell r="P55">
            <v>508150380.38909835</v>
          </cell>
          <cell r="Q55">
            <v>0</v>
          </cell>
          <cell r="R55">
            <v>384711119.20076501</v>
          </cell>
          <cell r="T55">
            <v>4.015726361117606E-2</v>
          </cell>
        </row>
        <row r="56">
          <cell r="D56">
            <v>42361697.481444031</v>
          </cell>
          <cell r="E56">
            <v>45377591.374902979</v>
          </cell>
          <cell r="F56">
            <v>43546639.048529029</v>
          </cell>
          <cell r="G56">
            <v>49494901.156896532</v>
          </cell>
          <cell r="H56">
            <v>33294022.162912402</v>
          </cell>
          <cell r="I56">
            <v>38063741.610488892</v>
          </cell>
          <cell r="J56">
            <v>52190377.54169555</v>
          </cell>
          <cell r="K56">
            <v>36006654.356608436</v>
          </cell>
          <cell r="L56">
            <v>41366459.372390851</v>
          </cell>
          <cell r="M56">
            <v>39814857.534330294</v>
          </cell>
          <cell r="N56">
            <v>35940941.195152983</v>
          </cell>
          <cell r="O56">
            <v>46410209.738438457</v>
          </cell>
          <cell r="P56">
            <v>503868092.57379049</v>
          </cell>
        </row>
        <row r="57">
          <cell r="D57">
            <v>249894.61953639984</v>
          </cell>
          <cell r="E57">
            <v>195431.84847746789</v>
          </cell>
          <cell r="F57">
            <v>319086.40907408297</v>
          </cell>
          <cell r="G57">
            <v>306856.27956584096</v>
          </cell>
          <cell r="H57">
            <v>300531.96078618988</v>
          </cell>
          <cell r="I57">
            <v>294606.20843732357</v>
          </cell>
          <cell r="J57">
            <v>312422.54627989233</v>
          </cell>
          <cell r="K57">
            <v>514981.45762197673</v>
          </cell>
          <cell r="L57">
            <v>515223.76511718333</v>
          </cell>
          <cell r="M57">
            <v>351546.1436394155</v>
          </cell>
          <cell r="N57">
            <v>421190.35856206715</v>
          </cell>
          <cell r="O57">
            <v>500516.21821015328</v>
          </cell>
          <cell r="P57">
            <v>4282287.8153078556</v>
          </cell>
        </row>
      </sheetData>
      <sheetData sheetId="13">
        <row r="31">
          <cell r="B31" t="str">
            <v>L/c Opening &amp; Bank Charges</v>
          </cell>
          <cell r="D31">
            <v>1358.4292800000003</v>
          </cell>
          <cell r="E31">
            <v>1358.4292800000003</v>
          </cell>
          <cell r="F31">
            <v>1358.4292800000003</v>
          </cell>
          <cell r="G31">
            <v>1337.4410400000002</v>
          </cell>
          <cell r="H31">
            <v>1337.4410400000002</v>
          </cell>
          <cell r="I31">
            <v>1337.4410400000002</v>
          </cell>
          <cell r="J31">
            <v>1337.4410400000002</v>
          </cell>
          <cell r="K31">
            <v>1337.4410400000002</v>
          </cell>
          <cell r="L31">
            <v>1337.4410400000002</v>
          </cell>
          <cell r="M31">
            <v>1337.4410400000002</v>
          </cell>
          <cell r="N31">
            <v>1337.4410400000002</v>
          </cell>
          <cell r="O31">
            <v>1337.4410400000002</v>
          </cell>
        </row>
        <row r="32">
          <cell r="B32" t="str">
            <v xml:space="preserve">Inland transport </v>
          </cell>
          <cell r="C32" t="str">
            <v>0.1% of DAV</v>
          </cell>
          <cell r="D32">
            <v>2317.4124302160003</v>
          </cell>
          <cell r="E32">
            <v>2317.4124302160003</v>
          </cell>
          <cell r="F32">
            <v>2317.4124302160003</v>
          </cell>
          <cell r="G32">
            <v>2281.6075421880005</v>
          </cell>
          <cell r="H32">
            <v>2281.6075421880005</v>
          </cell>
          <cell r="I32">
            <v>2281.6075421880005</v>
          </cell>
          <cell r="J32">
            <v>2281.6075421880005</v>
          </cell>
          <cell r="K32">
            <v>2281.6075421880005</v>
          </cell>
          <cell r="L32">
            <v>2281.6075421880005</v>
          </cell>
          <cell r="M32">
            <v>2281.6075421880005</v>
          </cell>
          <cell r="N32">
            <v>2281.6075421880005</v>
          </cell>
          <cell r="O32">
            <v>2281.6075421880005</v>
          </cell>
        </row>
        <row r="33">
          <cell r="B33" t="str">
            <v xml:space="preserve">Import Duty </v>
          </cell>
          <cell r="C33" t="str">
            <v>35% of   (DAV)</v>
          </cell>
          <cell r="D33">
            <v>81109.435057560011</v>
          </cell>
          <cell r="E33">
            <v>81109.435057560011</v>
          </cell>
          <cell r="F33">
            <v>81109.435057560011</v>
          </cell>
          <cell r="G33">
            <v>79856.263976579998</v>
          </cell>
          <cell r="H33">
            <v>79856.263976579998</v>
          </cell>
          <cell r="I33">
            <v>79856.263976579998</v>
          </cell>
          <cell r="J33">
            <v>79856.263976579998</v>
          </cell>
          <cell r="K33">
            <v>79856.263976579998</v>
          </cell>
          <cell r="L33">
            <v>79856.263976579998</v>
          </cell>
          <cell r="M33">
            <v>79856.263976579998</v>
          </cell>
          <cell r="N33">
            <v>79856.263976579998</v>
          </cell>
          <cell r="O33">
            <v>79856.263976579998</v>
          </cell>
        </row>
        <row r="34">
          <cell r="B34" t="str">
            <v>(DAV)</v>
          </cell>
          <cell r="C34" t="str">
            <v>(C &amp; F Rupee  - Loading)</v>
          </cell>
          <cell r="D34">
            <v>231741.24302160004</v>
          </cell>
          <cell r="E34">
            <v>231741.24302160004</v>
          </cell>
          <cell r="F34">
            <v>231741.24302160004</v>
          </cell>
          <cell r="G34">
            <v>228160.75421880002</v>
          </cell>
          <cell r="H34">
            <v>228160.75421880002</v>
          </cell>
          <cell r="I34">
            <v>228160.75421880002</v>
          </cell>
          <cell r="J34">
            <v>228160.75421880002</v>
          </cell>
          <cell r="K34">
            <v>228160.75421880002</v>
          </cell>
          <cell r="L34">
            <v>228160.75421880002</v>
          </cell>
          <cell r="M34">
            <v>228160.75421880002</v>
          </cell>
          <cell r="N34">
            <v>228160.75421880002</v>
          </cell>
          <cell r="O34">
            <v>228160.75421880002</v>
          </cell>
        </row>
        <row r="35">
          <cell r="B35" t="str">
            <v>CIF (Rupees)</v>
          </cell>
          <cell r="C35" t="str">
            <v>Actual</v>
          </cell>
          <cell r="D35">
            <v>227197.29708000005</v>
          </cell>
          <cell r="E35">
            <v>227197.29708000005</v>
          </cell>
          <cell r="F35">
            <v>227197.29708000005</v>
          </cell>
          <cell r="G35">
            <v>223687.01394000003</v>
          </cell>
          <cell r="H35">
            <v>223687.01394000003</v>
          </cell>
          <cell r="I35">
            <v>223687.01394000003</v>
          </cell>
          <cell r="J35">
            <v>223687.01394000003</v>
          </cell>
          <cell r="K35">
            <v>223687.01394000003</v>
          </cell>
          <cell r="L35">
            <v>223687.01394000003</v>
          </cell>
          <cell r="M35">
            <v>223687.01394000003</v>
          </cell>
          <cell r="N35">
            <v>223687.01394000003</v>
          </cell>
          <cell r="O35">
            <v>223687.01394000003</v>
          </cell>
        </row>
        <row r="36">
          <cell r="B36" t="str">
            <v>Insurance</v>
          </cell>
          <cell r="C36" t="str">
            <v>Actual</v>
          </cell>
          <cell r="D36">
            <v>792.41708000000017</v>
          </cell>
          <cell r="E36">
            <v>792.41708000000017</v>
          </cell>
          <cell r="F36">
            <v>792.41708000000017</v>
          </cell>
          <cell r="G36">
            <v>780.17394000000013</v>
          </cell>
          <cell r="H36">
            <v>780.17394000000013</v>
          </cell>
          <cell r="I36">
            <v>780.17394000000013</v>
          </cell>
          <cell r="J36">
            <v>780.17394000000013</v>
          </cell>
          <cell r="K36">
            <v>780.17394000000013</v>
          </cell>
          <cell r="L36">
            <v>780.17394000000013</v>
          </cell>
          <cell r="M36">
            <v>780.17394000000013</v>
          </cell>
          <cell r="N36">
            <v>780.17394000000013</v>
          </cell>
          <cell r="O36">
            <v>780.17394000000013</v>
          </cell>
        </row>
        <row r="37">
          <cell r="B37" t="str">
            <v>C &amp; F (Rupees)</v>
          </cell>
          <cell r="C37" t="str">
            <v>Actual</v>
          </cell>
          <cell r="D37">
            <v>226404.88000000003</v>
          </cell>
          <cell r="E37">
            <v>226404.88000000003</v>
          </cell>
          <cell r="F37">
            <v>226404.88000000003</v>
          </cell>
          <cell r="G37">
            <v>222906.84000000003</v>
          </cell>
          <cell r="H37">
            <v>222906.84000000003</v>
          </cell>
          <cell r="I37">
            <v>222906.84000000003</v>
          </cell>
          <cell r="J37">
            <v>222906.84000000003</v>
          </cell>
          <cell r="K37">
            <v>222906.84000000003</v>
          </cell>
          <cell r="L37">
            <v>222906.84000000003</v>
          </cell>
          <cell r="M37">
            <v>222906.84000000003</v>
          </cell>
          <cell r="N37">
            <v>222906.84000000003</v>
          </cell>
          <cell r="O37">
            <v>222906.84000000003</v>
          </cell>
        </row>
        <row r="38">
          <cell r="B38" t="str">
            <v>Exchange rate</v>
          </cell>
          <cell r="C38" t="str">
            <v>¥ to Re</v>
          </cell>
          <cell r="D38">
            <v>1.9230769230769229</v>
          </cell>
          <cell r="E38">
            <v>1.9230769230769229</v>
          </cell>
          <cell r="F38">
            <v>1.9230769230769229</v>
          </cell>
          <cell r="G38">
            <v>1.9230769230769229</v>
          </cell>
          <cell r="H38">
            <v>1.9230769230769229</v>
          </cell>
          <cell r="I38">
            <v>1.9230769230769229</v>
          </cell>
          <cell r="J38">
            <v>1.9230769230769229</v>
          </cell>
          <cell r="K38">
            <v>1.9230769230769229</v>
          </cell>
          <cell r="L38">
            <v>1.9230769230769229</v>
          </cell>
          <cell r="M38">
            <v>1.9230769230769229</v>
          </cell>
          <cell r="N38">
            <v>1.9230769230769229</v>
          </cell>
          <cell r="O38">
            <v>1.9230769230769229</v>
          </cell>
        </row>
        <row r="39">
          <cell r="B39" t="str">
            <v>C &amp; F (Yen)</v>
          </cell>
          <cell r="C39" t="str">
            <v>Actual</v>
          </cell>
          <cell r="D39">
            <v>435394</v>
          </cell>
          <cell r="E39">
            <v>435394</v>
          </cell>
          <cell r="F39">
            <v>435394</v>
          </cell>
          <cell r="G39">
            <v>428667</v>
          </cell>
          <cell r="H39">
            <v>428667</v>
          </cell>
          <cell r="I39">
            <v>428667</v>
          </cell>
          <cell r="J39">
            <v>428667</v>
          </cell>
          <cell r="K39">
            <v>428667</v>
          </cell>
          <cell r="L39">
            <v>428667</v>
          </cell>
          <cell r="M39">
            <v>428667</v>
          </cell>
          <cell r="N39">
            <v>428667</v>
          </cell>
          <cell r="O39">
            <v>428667</v>
          </cell>
        </row>
        <row r="40">
          <cell r="B40" t="str">
            <v>Freight</v>
          </cell>
          <cell r="D40">
            <v>0</v>
          </cell>
          <cell r="E40">
            <v>0</v>
          </cell>
          <cell r="F40">
            <v>0</v>
          </cell>
          <cell r="G40">
            <v>0</v>
          </cell>
          <cell r="H40">
            <v>0</v>
          </cell>
          <cell r="I40">
            <v>0</v>
          </cell>
          <cell r="J40">
            <v>0</v>
          </cell>
          <cell r="K40">
            <v>0</v>
          </cell>
          <cell r="L40">
            <v>0</v>
          </cell>
          <cell r="M40">
            <v>0</v>
          </cell>
          <cell r="N40">
            <v>0</v>
          </cell>
          <cell r="O40">
            <v>0</v>
          </cell>
        </row>
        <row r="41">
          <cell r="B41" t="str">
            <v>TTC FOB</v>
          </cell>
          <cell r="D41">
            <v>435394</v>
          </cell>
          <cell r="E41">
            <v>435394</v>
          </cell>
          <cell r="F41">
            <v>435394</v>
          </cell>
          <cell r="G41">
            <v>428667</v>
          </cell>
          <cell r="H41">
            <v>428667</v>
          </cell>
          <cell r="I41">
            <v>428667</v>
          </cell>
          <cell r="J41">
            <v>428667</v>
          </cell>
          <cell r="K41">
            <v>428667</v>
          </cell>
          <cell r="L41">
            <v>428667</v>
          </cell>
          <cell r="M41">
            <v>428667</v>
          </cell>
          <cell r="N41">
            <v>428667</v>
          </cell>
          <cell r="O41">
            <v>428667</v>
          </cell>
        </row>
        <row r="42">
          <cell r="D42">
            <v>1.3900787602381057</v>
          </cell>
          <cell r="E42">
            <v>1.3900787602381057</v>
          </cell>
          <cell r="F42">
            <v>1.3900787602381057</v>
          </cell>
          <cell r="G42">
            <v>1.3901134168096234</v>
          </cell>
          <cell r="H42">
            <v>1.3901134168096234</v>
          </cell>
          <cell r="I42">
            <v>1.3901134168096234</v>
          </cell>
          <cell r="J42">
            <v>1.3901134168096234</v>
          </cell>
          <cell r="K42">
            <v>1.3901134168096234</v>
          </cell>
          <cell r="L42">
            <v>1.3901134168096234</v>
          </cell>
          <cell r="M42">
            <v>1.3901134168096234</v>
          </cell>
          <cell r="N42">
            <v>1.3901134168096234</v>
          </cell>
          <cell r="O42">
            <v>1.3901134168096234</v>
          </cell>
        </row>
        <row r="44">
          <cell r="D44">
            <v>0.52</v>
          </cell>
          <cell r="E44">
            <v>0.52</v>
          </cell>
          <cell r="F44">
            <v>0.52</v>
          </cell>
          <cell r="G44">
            <v>0.52</v>
          </cell>
          <cell r="H44">
            <v>0.52</v>
          </cell>
          <cell r="I44">
            <v>0.52</v>
          </cell>
          <cell r="J44">
            <v>0.52</v>
          </cell>
          <cell r="K44">
            <v>0.52</v>
          </cell>
          <cell r="L44">
            <v>0.52</v>
          </cell>
          <cell r="M44">
            <v>0.52</v>
          </cell>
          <cell r="N44">
            <v>0.52</v>
          </cell>
          <cell r="O44">
            <v>0.52</v>
          </cell>
        </row>
        <row r="45">
          <cell r="D45">
            <v>0.52</v>
          </cell>
          <cell r="E45">
            <v>0.52</v>
          </cell>
          <cell r="F45">
            <v>0.52</v>
          </cell>
          <cell r="G45">
            <v>0.52</v>
          </cell>
          <cell r="H45">
            <v>0.52</v>
          </cell>
          <cell r="I45">
            <v>0.52</v>
          </cell>
          <cell r="J45">
            <v>0.52</v>
          </cell>
          <cell r="K45">
            <v>0.52</v>
          </cell>
          <cell r="L45">
            <v>0.52</v>
          </cell>
          <cell r="M45">
            <v>0.52</v>
          </cell>
          <cell r="N45">
            <v>0.52</v>
          </cell>
          <cell r="O45">
            <v>0.52</v>
          </cell>
        </row>
        <row r="46">
          <cell r="C46" t="str">
            <v>SE SALOON</v>
          </cell>
          <cell r="D46">
            <v>37073</v>
          </cell>
          <cell r="E46">
            <v>37104</v>
          </cell>
          <cell r="F46">
            <v>37135</v>
          </cell>
          <cell r="G46">
            <v>37166</v>
          </cell>
          <cell r="H46">
            <v>37197</v>
          </cell>
          <cell r="I46">
            <v>37228</v>
          </cell>
          <cell r="J46">
            <v>37259</v>
          </cell>
          <cell r="K46">
            <v>37290</v>
          </cell>
          <cell r="L46">
            <v>37321</v>
          </cell>
          <cell r="M46">
            <v>37352</v>
          </cell>
          <cell r="N46">
            <v>37383</v>
          </cell>
          <cell r="O46">
            <v>37414</v>
          </cell>
        </row>
        <row r="47">
          <cell r="B47" t="str">
            <v>CKD cost at factory</v>
          </cell>
          <cell r="D47">
            <v>380307.31398791802</v>
          </cell>
          <cell r="E47">
            <v>380307.31398791802</v>
          </cell>
          <cell r="F47">
            <v>380307.31398791802</v>
          </cell>
          <cell r="G47">
            <v>374422.63277064578</v>
          </cell>
          <cell r="H47">
            <v>374422.63277064578</v>
          </cell>
          <cell r="I47">
            <v>374422.63277064578</v>
          </cell>
          <cell r="J47">
            <v>374422.63277064578</v>
          </cell>
          <cell r="K47">
            <v>374422.63277064578</v>
          </cell>
          <cell r="L47">
            <v>374422.63277064578</v>
          </cell>
          <cell r="M47">
            <v>374422.63277064578</v>
          </cell>
          <cell r="N47">
            <v>374422.63277064578</v>
          </cell>
          <cell r="O47">
            <v>374422.63277064578</v>
          </cell>
          <cell r="P47">
            <v>125165.36722935422</v>
          </cell>
        </row>
        <row r="48">
          <cell r="B48" t="str">
            <v>KMC DMI</v>
          </cell>
          <cell r="C48" t="str">
            <v>0.30% of (DAV +Duty)*S.Tax)</v>
          </cell>
          <cell r="D48">
            <v>1304.6224429399592</v>
          </cell>
          <cell r="E48">
            <v>1304.6224429399592</v>
          </cell>
          <cell r="F48">
            <v>1304.6224429399592</v>
          </cell>
          <cell r="G48">
            <v>1284.4088059117771</v>
          </cell>
          <cell r="H48">
            <v>1284.4088059117771</v>
          </cell>
          <cell r="I48">
            <v>1284.4088059117771</v>
          </cell>
          <cell r="J48">
            <v>1284.4088059117771</v>
          </cell>
          <cell r="K48">
            <v>1284.4088059117771</v>
          </cell>
          <cell r="L48">
            <v>1284.4088059117771</v>
          </cell>
          <cell r="M48">
            <v>1284.4088059117771</v>
          </cell>
          <cell r="N48">
            <v>1284.4088059117771</v>
          </cell>
          <cell r="O48">
            <v>1284.4088059117771</v>
          </cell>
        </row>
        <row r="49">
          <cell r="B49" t="str">
            <v>Clearing charge</v>
          </cell>
          <cell r="C49" t="str">
            <v>0.05% of DAV</v>
          </cell>
          <cell r="D49">
            <v>1400.5608619860004</v>
          </cell>
          <cell r="E49">
            <v>1400.5608619860004</v>
          </cell>
          <cell r="F49">
            <v>1400.5608619860004</v>
          </cell>
          <cell r="G49">
            <v>1378.8607685580002</v>
          </cell>
          <cell r="H49">
            <v>1378.8607685580002</v>
          </cell>
          <cell r="I49">
            <v>1378.8607685580002</v>
          </cell>
          <cell r="J49">
            <v>1378.8607685580002</v>
          </cell>
          <cell r="K49">
            <v>1378.8607685580002</v>
          </cell>
          <cell r="L49">
            <v>1378.8607685580002</v>
          </cell>
          <cell r="M49">
            <v>1378.8607685580002</v>
          </cell>
          <cell r="N49">
            <v>1378.8607685580002</v>
          </cell>
          <cell r="O49">
            <v>1378.8607685580002</v>
          </cell>
        </row>
        <row r="50">
          <cell r="B50" t="str">
            <v>Wharfage</v>
          </cell>
          <cell r="D50">
            <v>500</v>
          </cell>
          <cell r="E50">
            <v>500</v>
          </cell>
          <cell r="F50">
            <v>500</v>
          </cell>
          <cell r="G50">
            <v>500</v>
          </cell>
          <cell r="H50">
            <v>500</v>
          </cell>
          <cell r="I50">
            <v>500</v>
          </cell>
          <cell r="J50">
            <v>500</v>
          </cell>
          <cell r="K50">
            <v>500</v>
          </cell>
          <cell r="L50">
            <v>500</v>
          </cell>
          <cell r="M50">
            <v>500</v>
          </cell>
          <cell r="N50">
            <v>500</v>
          </cell>
          <cell r="O50">
            <v>500</v>
          </cell>
        </row>
        <row r="51">
          <cell r="B51" t="str">
            <v>L/c Opening &amp; Bank Charges</v>
          </cell>
          <cell r="D51">
            <v>1641.9717600000001</v>
          </cell>
          <cell r="E51">
            <v>1641.9717600000001</v>
          </cell>
          <cell r="F51">
            <v>1641.9717600000001</v>
          </cell>
          <cell r="G51">
            <v>1616.5312800000002</v>
          </cell>
          <cell r="H51">
            <v>1616.5312800000002</v>
          </cell>
          <cell r="I51">
            <v>1616.5312800000002</v>
          </cell>
          <cell r="J51">
            <v>1616.5312800000002</v>
          </cell>
          <cell r="K51">
            <v>1616.5312800000002</v>
          </cell>
          <cell r="L51">
            <v>1616.5312800000002</v>
          </cell>
          <cell r="M51">
            <v>1616.5312800000002</v>
          </cell>
          <cell r="N51">
            <v>1616.5312800000002</v>
          </cell>
          <cell r="O51">
            <v>1616.5312800000002</v>
          </cell>
        </row>
        <row r="52">
          <cell r="B52" t="str">
            <v xml:space="preserve">Inland transport </v>
          </cell>
          <cell r="C52" t="str">
            <v>0.1% of DAV</v>
          </cell>
          <cell r="D52">
            <v>2801.1217239720008</v>
          </cell>
          <cell r="E52">
            <v>2801.1217239720008</v>
          </cell>
          <cell r="F52">
            <v>2801.1217239720008</v>
          </cell>
          <cell r="G52">
            <v>2757.7215371160005</v>
          </cell>
          <cell r="H52">
            <v>2757.7215371160005</v>
          </cell>
          <cell r="I52">
            <v>2757.7215371160005</v>
          </cell>
          <cell r="J52">
            <v>2757.7215371160005</v>
          </cell>
          <cell r="K52">
            <v>2757.7215371160005</v>
          </cell>
          <cell r="L52">
            <v>2757.7215371160005</v>
          </cell>
          <cell r="M52">
            <v>2757.7215371160005</v>
          </cell>
          <cell r="N52">
            <v>2757.7215371160005</v>
          </cell>
          <cell r="O52">
            <v>2757.7215371160005</v>
          </cell>
        </row>
        <row r="53">
          <cell r="B53" t="str">
            <v xml:space="preserve">Import Duty </v>
          </cell>
          <cell r="C53" t="str">
            <v>35% of   (DAV)</v>
          </cell>
          <cell r="D53">
            <v>98039.260339020024</v>
          </cell>
          <cell r="E53">
            <v>98039.260339020024</v>
          </cell>
          <cell r="F53">
            <v>98039.260339020024</v>
          </cell>
          <cell r="G53">
            <v>96520.25379906001</v>
          </cell>
          <cell r="H53">
            <v>96520.25379906001</v>
          </cell>
          <cell r="I53">
            <v>96520.25379906001</v>
          </cell>
          <cell r="J53">
            <v>96520.25379906001</v>
          </cell>
          <cell r="K53">
            <v>96520.25379906001</v>
          </cell>
          <cell r="L53">
            <v>96520.25379906001</v>
          </cell>
          <cell r="M53">
            <v>96520.25379906001</v>
          </cell>
          <cell r="N53">
            <v>96520.25379906001</v>
          </cell>
          <cell r="O53">
            <v>96520.25379906001</v>
          </cell>
        </row>
        <row r="54">
          <cell r="B54" t="str">
            <v>(DAV)</v>
          </cell>
          <cell r="C54" t="str">
            <v>(C &amp; F Rupee  - Loading)</v>
          </cell>
          <cell r="D54">
            <v>280112.17239720008</v>
          </cell>
          <cell r="E54">
            <v>280112.17239720008</v>
          </cell>
          <cell r="F54">
            <v>280112.17239720008</v>
          </cell>
          <cell r="G54">
            <v>275772.15371160005</v>
          </cell>
          <cell r="H54">
            <v>275772.15371160005</v>
          </cell>
          <cell r="I54">
            <v>275772.15371160005</v>
          </cell>
          <cell r="J54">
            <v>275772.15371160005</v>
          </cell>
          <cell r="K54">
            <v>275772.15371160005</v>
          </cell>
          <cell r="L54">
            <v>275772.15371160005</v>
          </cell>
          <cell r="M54">
            <v>275772.15371160005</v>
          </cell>
          <cell r="N54">
            <v>275772.15371160005</v>
          </cell>
          <cell r="O54">
            <v>275772.15371160005</v>
          </cell>
        </row>
        <row r="55">
          <cell r="B55" t="str">
            <v>CIF (Rupees)</v>
          </cell>
          <cell r="C55" t="str">
            <v>Actual</v>
          </cell>
          <cell r="D55">
            <v>274619.77686000004</v>
          </cell>
          <cell r="E55">
            <v>274619.77686000004</v>
          </cell>
          <cell r="F55">
            <v>274619.77686000004</v>
          </cell>
          <cell r="G55">
            <v>270364.85658000002</v>
          </cell>
          <cell r="H55">
            <v>270364.85658000002</v>
          </cell>
          <cell r="I55">
            <v>270364.85658000002</v>
          </cell>
          <cell r="J55">
            <v>270364.85658000002</v>
          </cell>
          <cell r="K55">
            <v>270364.85658000002</v>
          </cell>
          <cell r="L55">
            <v>270364.85658000002</v>
          </cell>
          <cell r="M55">
            <v>270364.85658000002</v>
          </cell>
          <cell r="N55">
            <v>270364.85658000002</v>
          </cell>
          <cell r="O55">
            <v>270364.85658000002</v>
          </cell>
        </row>
        <row r="56">
          <cell r="B56" t="str">
            <v>Insurance</v>
          </cell>
          <cell r="C56" t="str">
            <v>Actual</v>
          </cell>
          <cell r="D56">
            <v>957.81686000000013</v>
          </cell>
          <cell r="E56">
            <v>957.81686000000013</v>
          </cell>
          <cell r="F56">
            <v>957.81686000000013</v>
          </cell>
          <cell r="G56">
            <v>942.97658000000001</v>
          </cell>
          <cell r="H56">
            <v>942.97658000000001</v>
          </cell>
          <cell r="I56">
            <v>942.97658000000001</v>
          </cell>
          <cell r="J56">
            <v>942.97658000000001</v>
          </cell>
          <cell r="K56">
            <v>942.97658000000001</v>
          </cell>
          <cell r="L56">
            <v>942.97658000000001</v>
          </cell>
          <cell r="M56">
            <v>942.97658000000001</v>
          </cell>
          <cell r="N56">
            <v>942.97658000000001</v>
          </cell>
          <cell r="O56">
            <v>942.97658000000001</v>
          </cell>
        </row>
        <row r="57">
          <cell r="B57" t="str">
            <v>C &amp; F (Rupees)</v>
          </cell>
          <cell r="C57" t="str">
            <v>Actual</v>
          </cell>
          <cell r="D57">
            <v>273661.96000000002</v>
          </cell>
          <cell r="E57">
            <v>273661.96000000002</v>
          </cell>
          <cell r="F57">
            <v>273661.96000000002</v>
          </cell>
          <cell r="G57">
            <v>269421.88</v>
          </cell>
          <cell r="H57">
            <v>269421.88</v>
          </cell>
          <cell r="I57">
            <v>269421.88</v>
          </cell>
          <cell r="J57">
            <v>269421.88</v>
          </cell>
          <cell r="K57">
            <v>269421.88</v>
          </cell>
          <cell r="L57">
            <v>269421.88</v>
          </cell>
          <cell r="M57">
            <v>269421.88</v>
          </cell>
          <cell r="N57">
            <v>269421.88</v>
          </cell>
          <cell r="O57">
            <v>269421.88</v>
          </cell>
        </row>
        <row r="58">
          <cell r="B58" t="str">
            <v>Exchange rate</v>
          </cell>
          <cell r="C58" t="str">
            <v>¥ to Re</v>
          </cell>
          <cell r="D58">
            <v>1.9230769230769229</v>
          </cell>
          <cell r="E58">
            <v>1.9230769230769229</v>
          </cell>
          <cell r="F58">
            <v>1.9230769230769229</v>
          </cell>
          <cell r="G58">
            <v>1.9230769230769229</v>
          </cell>
          <cell r="H58">
            <v>1.9230769230769229</v>
          </cell>
          <cell r="I58">
            <v>1.9230769230769229</v>
          </cell>
          <cell r="J58">
            <v>1.9230769230769229</v>
          </cell>
          <cell r="K58">
            <v>1.9230769230769229</v>
          </cell>
          <cell r="L58">
            <v>1.9230769230769229</v>
          </cell>
          <cell r="M58">
            <v>1.9230769230769229</v>
          </cell>
          <cell r="N58">
            <v>1.9230769230769229</v>
          </cell>
          <cell r="O58">
            <v>1.9230769230769229</v>
          </cell>
        </row>
        <row r="59">
          <cell r="B59" t="str">
            <v>C &amp; F (Yen)</v>
          </cell>
          <cell r="C59" t="str">
            <v>Actual</v>
          </cell>
          <cell r="D59">
            <v>526273</v>
          </cell>
          <cell r="E59">
            <v>526273</v>
          </cell>
          <cell r="F59">
            <v>526273</v>
          </cell>
          <cell r="G59">
            <v>518119</v>
          </cell>
          <cell r="H59">
            <v>518119</v>
          </cell>
          <cell r="I59">
            <v>518119</v>
          </cell>
          <cell r="J59">
            <v>518119</v>
          </cell>
          <cell r="K59">
            <v>518119</v>
          </cell>
          <cell r="L59">
            <v>518119</v>
          </cell>
          <cell r="M59">
            <v>518119</v>
          </cell>
          <cell r="N59">
            <v>518119</v>
          </cell>
          <cell r="O59">
            <v>518119</v>
          </cell>
        </row>
        <row r="60">
          <cell r="B60" t="str">
            <v>Freight</v>
          </cell>
          <cell r="D60">
            <v>0</v>
          </cell>
          <cell r="E60">
            <v>0</v>
          </cell>
          <cell r="F60">
            <v>0</v>
          </cell>
          <cell r="G60">
            <v>0</v>
          </cell>
          <cell r="H60">
            <v>0</v>
          </cell>
          <cell r="I60">
            <v>0</v>
          </cell>
          <cell r="J60">
            <v>0</v>
          </cell>
          <cell r="K60">
            <v>0</v>
          </cell>
          <cell r="L60">
            <v>0</v>
          </cell>
          <cell r="M60">
            <v>0</v>
          </cell>
          <cell r="N60">
            <v>0</v>
          </cell>
          <cell r="O60">
            <v>0</v>
          </cell>
        </row>
        <row r="61">
          <cell r="B61" t="str">
            <v>TTC FOB</v>
          </cell>
          <cell r="D61">
            <v>526273</v>
          </cell>
          <cell r="E61">
            <v>526273</v>
          </cell>
          <cell r="F61">
            <v>526273</v>
          </cell>
          <cell r="G61">
            <v>518119</v>
          </cell>
          <cell r="H61">
            <v>518119</v>
          </cell>
          <cell r="I61">
            <v>518119</v>
          </cell>
          <cell r="J61">
            <v>518119</v>
          </cell>
          <cell r="K61">
            <v>518119</v>
          </cell>
          <cell r="L61">
            <v>518119</v>
          </cell>
          <cell r="M61">
            <v>518119</v>
          </cell>
          <cell r="N61">
            <v>518119</v>
          </cell>
          <cell r="O61">
            <v>518119</v>
          </cell>
        </row>
        <row r="62">
          <cell r="D62">
            <v>1.3896973988928458</v>
          </cell>
          <cell r="E62">
            <v>1.3896973988928458</v>
          </cell>
          <cell r="F62">
            <v>1.3896973988928458</v>
          </cell>
          <cell r="G62">
            <v>1.3897261527929572</v>
          </cell>
          <cell r="H62">
            <v>1.3897261527929572</v>
          </cell>
          <cell r="I62">
            <v>1.3897261527929572</v>
          </cell>
          <cell r="J62">
            <v>1.3897261527929572</v>
          </cell>
          <cell r="K62">
            <v>1.3897261527929572</v>
          </cell>
          <cell r="L62">
            <v>1.3897261527929572</v>
          </cell>
          <cell r="M62">
            <v>1.3897261527929572</v>
          </cell>
          <cell r="N62">
            <v>1.3897261527929572</v>
          </cell>
          <cell r="O62">
            <v>1.3897261527929572</v>
          </cell>
        </row>
        <row r="64">
          <cell r="D64">
            <v>0.52</v>
          </cell>
          <cell r="E64">
            <v>0.52</v>
          </cell>
          <cell r="F64">
            <v>0.52</v>
          </cell>
          <cell r="G64">
            <v>0.52</v>
          </cell>
          <cell r="H64">
            <v>0.52</v>
          </cell>
          <cell r="I64">
            <v>0.52</v>
          </cell>
          <cell r="J64">
            <v>0.52</v>
          </cell>
          <cell r="K64">
            <v>0.52</v>
          </cell>
          <cell r="L64">
            <v>0.52</v>
          </cell>
          <cell r="M64">
            <v>0.52</v>
          </cell>
          <cell r="N64">
            <v>0.52</v>
          </cell>
          <cell r="O64">
            <v>0.52</v>
          </cell>
        </row>
        <row r="65">
          <cell r="D65">
            <v>0.52</v>
          </cell>
          <cell r="E65">
            <v>0.52</v>
          </cell>
          <cell r="F65">
            <v>0.52</v>
          </cell>
          <cell r="G65">
            <v>0.52</v>
          </cell>
          <cell r="H65">
            <v>0.52</v>
          </cell>
          <cell r="I65">
            <v>0.52</v>
          </cell>
          <cell r="J65">
            <v>0.52</v>
          </cell>
          <cell r="K65">
            <v>0.52</v>
          </cell>
          <cell r="L65">
            <v>0.52</v>
          </cell>
          <cell r="M65">
            <v>0.52</v>
          </cell>
          <cell r="N65">
            <v>0.52</v>
          </cell>
          <cell r="O65">
            <v>0.52</v>
          </cell>
        </row>
        <row r="66">
          <cell r="B66" t="str">
            <v>GLi - A/T</v>
          </cell>
          <cell r="C66" t="str">
            <v>SE SALOON AT</v>
          </cell>
          <cell r="D66">
            <v>37073</v>
          </cell>
          <cell r="E66">
            <v>37104</v>
          </cell>
          <cell r="F66">
            <v>37135</v>
          </cell>
          <cell r="G66">
            <v>37166</v>
          </cell>
          <cell r="H66">
            <v>37197</v>
          </cell>
          <cell r="I66">
            <v>37228</v>
          </cell>
          <cell r="J66">
            <v>37259</v>
          </cell>
          <cell r="K66">
            <v>37290</v>
          </cell>
          <cell r="L66">
            <v>37321</v>
          </cell>
          <cell r="M66">
            <v>37352</v>
          </cell>
          <cell r="N66">
            <v>37383</v>
          </cell>
          <cell r="O66">
            <v>37414</v>
          </cell>
        </row>
        <row r="67">
          <cell r="B67" t="str">
            <v>CKD cost at factory</v>
          </cell>
          <cell r="D67">
            <v>441703.14431852615</v>
          </cell>
          <cell r="E67">
            <v>441703.14431852615</v>
          </cell>
          <cell r="F67">
            <v>441703.14431852615</v>
          </cell>
          <cell r="G67">
            <v>441703.14431852615</v>
          </cell>
          <cell r="H67">
            <v>441703.14431852615</v>
          </cell>
          <cell r="I67">
            <v>441703.14431852615</v>
          </cell>
          <cell r="J67">
            <v>441703.14431852615</v>
          </cell>
          <cell r="K67">
            <v>441703.14431852615</v>
          </cell>
          <cell r="L67">
            <v>441703.14431852615</v>
          </cell>
          <cell r="M67">
            <v>441703.14431852615</v>
          </cell>
          <cell r="N67">
            <v>441703.14431852615</v>
          </cell>
          <cell r="O67">
            <v>441703.14431852615</v>
          </cell>
          <cell r="P67">
            <v>116552.85568147385</v>
          </cell>
        </row>
        <row r="68">
          <cell r="B68" t="str">
            <v>KMC DMI</v>
          </cell>
          <cell r="C68" t="str">
            <v>0.30% of (DAV +Duty)*S.Tax)</v>
          </cell>
          <cell r="D68">
            <v>1515.5145853561348</v>
          </cell>
          <cell r="E68">
            <v>1515.5145853561348</v>
          </cell>
          <cell r="F68">
            <v>1515.5145853561348</v>
          </cell>
          <cell r="G68">
            <v>1515.5145853561348</v>
          </cell>
          <cell r="H68">
            <v>1515.5145853561348</v>
          </cell>
          <cell r="I68">
            <v>1515.5145853561348</v>
          </cell>
          <cell r="J68">
            <v>1515.5145853561348</v>
          </cell>
          <cell r="K68">
            <v>1515.5145853561348</v>
          </cell>
          <cell r="L68">
            <v>1515.5145853561348</v>
          </cell>
          <cell r="M68">
            <v>1515.5145853561348</v>
          </cell>
          <cell r="N68">
            <v>1515.5145853561348</v>
          </cell>
          <cell r="O68">
            <v>1515.5145853561348</v>
          </cell>
        </row>
        <row r="69">
          <cell r="B69" t="str">
            <v>Clearing charge</v>
          </cell>
          <cell r="C69" t="str">
            <v>0.05% of DAV</v>
          </cell>
          <cell r="D69">
            <v>1626.9614442900001</v>
          </cell>
          <cell r="E69">
            <v>1626.9614442900001</v>
          </cell>
          <cell r="F69">
            <v>1626.9614442900001</v>
          </cell>
          <cell r="G69">
            <v>1626.9614442900001</v>
          </cell>
          <cell r="H69">
            <v>1626.9614442900001</v>
          </cell>
          <cell r="I69">
            <v>1626.9614442900001</v>
          </cell>
          <cell r="J69">
            <v>1626.9614442900001</v>
          </cell>
          <cell r="K69">
            <v>1626.9614442900001</v>
          </cell>
          <cell r="L69">
            <v>1626.9614442900001</v>
          </cell>
          <cell r="M69">
            <v>1626.9614442900001</v>
          </cell>
          <cell r="N69">
            <v>1626.9614442900001</v>
          </cell>
          <cell r="O69">
            <v>1626.9614442900001</v>
          </cell>
        </row>
        <row r="70">
          <cell r="B70" t="str">
            <v>Wharfage</v>
          </cell>
          <cell r="D70">
            <v>500</v>
          </cell>
          <cell r="E70">
            <v>500</v>
          </cell>
          <cell r="F70">
            <v>500</v>
          </cell>
          <cell r="G70">
            <v>500</v>
          </cell>
          <cell r="H70">
            <v>500</v>
          </cell>
          <cell r="I70">
            <v>500</v>
          </cell>
          <cell r="J70">
            <v>500</v>
          </cell>
          <cell r="K70">
            <v>500</v>
          </cell>
          <cell r="L70">
            <v>500</v>
          </cell>
          <cell r="M70">
            <v>500</v>
          </cell>
          <cell r="N70">
            <v>500</v>
          </cell>
          <cell r="O70">
            <v>500</v>
          </cell>
        </row>
        <row r="71">
          <cell r="B71" t="str">
            <v>L/c Opening &amp; Bank Charges</v>
          </cell>
          <cell r="D71">
            <v>1907.3964000000001</v>
          </cell>
          <cell r="E71">
            <v>1907.3964000000001</v>
          </cell>
          <cell r="F71">
            <v>1907.3964000000001</v>
          </cell>
          <cell r="G71">
            <v>1907.3964000000001</v>
          </cell>
          <cell r="H71">
            <v>1907.3964000000001</v>
          </cell>
          <cell r="I71">
            <v>1907.3964000000001</v>
          </cell>
          <cell r="J71">
            <v>1907.3964000000001</v>
          </cell>
          <cell r="K71">
            <v>1907.3964000000001</v>
          </cell>
          <cell r="L71">
            <v>1907.3964000000001</v>
          </cell>
          <cell r="M71">
            <v>1907.3964000000001</v>
          </cell>
          <cell r="N71">
            <v>1907.3964000000001</v>
          </cell>
          <cell r="O71">
            <v>1907.3964000000001</v>
          </cell>
        </row>
        <row r="72">
          <cell r="B72" t="str">
            <v xml:space="preserve">Inland transport </v>
          </cell>
          <cell r="C72" t="str">
            <v>0.1% of DAV</v>
          </cell>
          <cell r="D72">
            <v>3253.9228885800003</v>
          </cell>
          <cell r="E72">
            <v>3253.9228885800003</v>
          </cell>
          <cell r="F72">
            <v>3253.9228885800003</v>
          </cell>
          <cell r="G72">
            <v>3253.9228885800003</v>
          </cell>
          <cell r="H72">
            <v>3253.9228885800003</v>
          </cell>
          <cell r="I72">
            <v>3253.9228885800003</v>
          </cell>
          <cell r="J72">
            <v>3253.9228885800003</v>
          </cell>
          <cell r="K72">
            <v>3253.9228885800003</v>
          </cell>
          <cell r="L72">
            <v>3253.9228885800003</v>
          </cell>
          <cell r="M72">
            <v>3253.9228885800003</v>
          </cell>
          <cell r="N72">
            <v>3253.9228885800003</v>
          </cell>
          <cell r="O72">
            <v>3253.9228885800003</v>
          </cell>
        </row>
        <row r="73">
          <cell r="B73" t="str">
            <v xml:space="preserve">Import Duty </v>
          </cell>
          <cell r="C73" t="str">
            <v>35% of   (DAV)</v>
          </cell>
          <cell r="D73">
            <v>113887.3011003</v>
          </cell>
          <cell r="E73">
            <v>113887.3011003</v>
          </cell>
          <cell r="F73">
            <v>113887.3011003</v>
          </cell>
          <cell r="G73">
            <v>113887.3011003</v>
          </cell>
          <cell r="H73">
            <v>113887.3011003</v>
          </cell>
          <cell r="I73">
            <v>113887.3011003</v>
          </cell>
          <cell r="J73">
            <v>113887.3011003</v>
          </cell>
          <cell r="K73">
            <v>113887.3011003</v>
          </cell>
          <cell r="L73">
            <v>113887.3011003</v>
          </cell>
          <cell r="M73">
            <v>113887.3011003</v>
          </cell>
          <cell r="N73">
            <v>113887.3011003</v>
          </cell>
          <cell r="O73">
            <v>113887.3011003</v>
          </cell>
        </row>
        <row r="74">
          <cell r="B74" t="str">
            <v>(DAV)</v>
          </cell>
          <cell r="C74" t="str">
            <v>(C &amp; F Rupee  - Loading)</v>
          </cell>
          <cell r="D74">
            <v>325392.28885800001</v>
          </cell>
          <cell r="E74">
            <v>325392.28885800001</v>
          </cell>
          <cell r="F74">
            <v>325392.28885800001</v>
          </cell>
          <cell r="G74">
            <v>325392.28885800001</v>
          </cell>
          <cell r="H74">
            <v>325392.28885800001</v>
          </cell>
          <cell r="I74">
            <v>325392.28885800001</v>
          </cell>
          <cell r="J74">
            <v>325392.28885800001</v>
          </cell>
          <cell r="K74">
            <v>325392.28885800001</v>
          </cell>
          <cell r="L74">
            <v>325392.28885800001</v>
          </cell>
          <cell r="M74">
            <v>325392.28885800001</v>
          </cell>
          <cell r="N74">
            <v>325392.28885800001</v>
          </cell>
          <cell r="O74">
            <v>325392.28885800001</v>
          </cell>
        </row>
        <row r="75">
          <cell r="B75" t="str">
            <v>CIF (Rupees)</v>
          </cell>
          <cell r="C75" t="str">
            <v>Actual</v>
          </cell>
          <cell r="D75">
            <v>319012.04790000001</v>
          </cell>
          <cell r="E75">
            <v>319012.04790000001</v>
          </cell>
          <cell r="F75">
            <v>319012.04790000001</v>
          </cell>
          <cell r="G75">
            <v>319012.04790000001</v>
          </cell>
          <cell r="H75">
            <v>319012.04790000001</v>
          </cell>
          <cell r="I75">
            <v>319012.04790000001</v>
          </cell>
          <cell r="J75">
            <v>319012.04790000001</v>
          </cell>
          <cell r="K75">
            <v>319012.04790000001</v>
          </cell>
          <cell r="L75">
            <v>319012.04790000001</v>
          </cell>
          <cell r="M75">
            <v>319012.04790000001</v>
          </cell>
          <cell r="N75">
            <v>319012.04790000001</v>
          </cell>
          <cell r="O75">
            <v>319012.04790000001</v>
          </cell>
        </row>
        <row r="76">
          <cell r="B76" t="str">
            <v>Insurance</v>
          </cell>
          <cell r="C76" t="str">
            <v>Actual</v>
          </cell>
          <cell r="D76">
            <v>1112.6479000000002</v>
          </cell>
          <cell r="E76">
            <v>1112.6479000000002</v>
          </cell>
          <cell r="F76">
            <v>1112.6479000000002</v>
          </cell>
          <cell r="G76">
            <v>1112.6479000000002</v>
          </cell>
          <cell r="H76">
            <v>1112.6479000000002</v>
          </cell>
          <cell r="I76">
            <v>1112.6479000000002</v>
          </cell>
          <cell r="J76">
            <v>1112.6479000000002</v>
          </cell>
          <cell r="K76">
            <v>1112.6479000000002</v>
          </cell>
          <cell r="L76">
            <v>1112.6479000000002</v>
          </cell>
          <cell r="M76">
            <v>1112.6479000000002</v>
          </cell>
          <cell r="N76">
            <v>1112.6479000000002</v>
          </cell>
          <cell r="O76">
            <v>1112.6479000000002</v>
          </cell>
        </row>
        <row r="77">
          <cell r="B77" t="str">
            <v>C &amp; F (Rupees)</v>
          </cell>
          <cell r="C77" t="str">
            <v>Actual</v>
          </cell>
          <cell r="D77">
            <v>317899.40000000002</v>
          </cell>
          <cell r="E77">
            <v>317899.40000000002</v>
          </cell>
          <cell r="F77">
            <v>317899.40000000002</v>
          </cell>
          <cell r="G77">
            <v>317899.40000000002</v>
          </cell>
          <cell r="H77">
            <v>317899.40000000002</v>
          </cell>
          <cell r="I77">
            <v>317899.40000000002</v>
          </cell>
          <cell r="J77">
            <v>317899.40000000002</v>
          </cell>
          <cell r="K77">
            <v>317899.40000000002</v>
          </cell>
          <cell r="L77">
            <v>317899.40000000002</v>
          </cell>
          <cell r="M77">
            <v>317899.40000000002</v>
          </cell>
          <cell r="N77">
            <v>317899.40000000002</v>
          </cell>
          <cell r="O77">
            <v>317899.40000000002</v>
          </cell>
        </row>
        <row r="78">
          <cell r="B78" t="str">
            <v>Exchange rate</v>
          </cell>
          <cell r="C78" t="str">
            <v>¥ to Re</v>
          </cell>
          <cell r="D78">
            <v>1.9230769230769229</v>
          </cell>
          <cell r="E78">
            <v>1.9230769230769229</v>
          </cell>
          <cell r="F78">
            <v>1.9230769230769229</v>
          </cell>
          <cell r="G78">
            <v>1.9230769230769229</v>
          </cell>
          <cell r="H78">
            <v>1.9230769230769229</v>
          </cell>
          <cell r="I78">
            <v>1.9230769230769229</v>
          </cell>
          <cell r="J78">
            <v>1.9230769230769229</v>
          </cell>
          <cell r="K78">
            <v>1.9230769230769229</v>
          </cell>
          <cell r="L78">
            <v>1.9230769230769229</v>
          </cell>
          <cell r="M78">
            <v>1.9230769230769229</v>
          </cell>
          <cell r="N78">
            <v>1.9230769230769229</v>
          </cell>
          <cell r="O78">
            <v>1.9230769230769229</v>
          </cell>
        </row>
        <row r="79">
          <cell r="B79" t="str">
            <v>C &amp; F (Yen)</v>
          </cell>
          <cell r="C79" t="str">
            <v>Actual</v>
          </cell>
          <cell r="D79">
            <v>611345</v>
          </cell>
          <cell r="E79">
            <v>611345</v>
          </cell>
          <cell r="F79">
            <v>611345</v>
          </cell>
          <cell r="G79">
            <v>611345</v>
          </cell>
          <cell r="H79">
            <v>611345</v>
          </cell>
          <cell r="I79">
            <v>611345</v>
          </cell>
          <cell r="J79">
            <v>611345</v>
          </cell>
          <cell r="K79">
            <v>611345</v>
          </cell>
          <cell r="L79">
            <v>611345</v>
          </cell>
          <cell r="M79">
            <v>611345</v>
          </cell>
          <cell r="N79">
            <v>611345</v>
          </cell>
          <cell r="O79">
            <v>611345</v>
          </cell>
        </row>
        <row r="80">
          <cell r="B80" t="str">
            <v>Freight</v>
          </cell>
          <cell r="D80">
            <v>0</v>
          </cell>
          <cell r="E80">
            <v>0</v>
          </cell>
          <cell r="F80">
            <v>0</v>
          </cell>
          <cell r="G80">
            <v>0</v>
          </cell>
          <cell r="H80">
            <v>0</v>
          </cell>
          <cell r="I80">
            <v>0</v>
          </cell>
          <cell r="J80">
            <v>0</v>
          </cell>
          <cell r="K80">
            <v>0</v>
          </cell>
          <cell r="L80">
            <v>0</v>
          </cell>
          <cell r="M80">
            <v>0</v>
          </cell>
          <cell r="N80">
            <v>0</v>
          </cell>
          <cell r="O80">
            <v>0</v>
          </cell>
        </row>
        <row r="81">
          <cell r="B81" t="str">
            <v>TTC FOB</v>
          </cell>
          <cell r="D81">
            <v>611345</v>
          </cell>
          <cell r="E81">
            <v>611345</v>
          </cell>
          <cell r="F81">
            <v>611345</v>
          </cell>
          <cell r="G81">
            <v>611345</v>
          </cell>
          <cell r="H81">
            <v>611345</v>
          </cell>
          <cell r="I81">
            <v>611345</v>
          </cell>
          <cell r="J81">
            <v>611345</v>
          </cell>
          <cell r="K81">
            <v>611345</v>
          </cell>
          <cell r="L81">
            <v>611345</v>
          </cell>
          <cell r="M81">
            <v>611345</v>
          </cell>
          <cell r="N81">
            <v>611345</v>
          </cell>
          <cell r="O81">
            <v>611345</v>
          </cell>
        </row>
        <row r="82">
          <cell r="D82">
            <v>1.3894431518855528</v>
          </cell>
          <cell r="E82">
            <v>1.3894431518855528</v>
          </cell>
          <cell r="F82">
            <v>1.3894431518855528</v>
          </cell>
          <cell r="G82">
            <v>1.3894431518855528</v>
          </cell>
          <cell r="H82">
            <v>1.3894431518855528</v>
          </cell>
          <cell r="I82">
            <v>1.3894431518855528</v>
          </cell>
          <cell r="J82">
            <v>1.3894431518855528</v>
          </cell>
          <cell r="K82">
            <v>1.3894431518855528</v>
          </cell>
          <cell r="L82">
            <v>1.3894431518855528</v>
          </cell>
          <cell r="M82">
            <v>1.3894431518855528</v>
          </cell>
          <cell r="N82">
            <v>1.3894431518855528</v>
          </cell>
          <cell r="O82">
            <v>1.3894431518855528</v>
          </cell>
        </row>
        <row r="84">
          <cell r="D84">
            <v>0.52</v>
          </cell>
          <cell r="E84">
            <v>0.52</v>
          </cell>
          <cell r="F84">
            <v>0.52</v>
          </cell>
          <cell r="G84">
            <v>0.52</v>
          </cell>
          <cell r="H84">
            <v>0.52</v>
          </cell>
          <cell r="I84">
            <v>0.52</v>
          </cell>
          <cell r="J84">
            <v>0.52</v>
          </cell>
          <cell r="K84">
            <v>0.52</v>
          </cell>
          <cell r="L84">
            <v>0.52</v>
          </cell>
          <cell r="M84">
            <v>0.52</v>
          </cell>
          <cell r="N84">
            <v>0.52</v>
          </cell>
          <cell r="O84">
            <v>0.52</v>
          </cell>
        </row>
        <row r="85">
          <cell r="D85">
            <v>0.52</v>
          </cell>
          <cell r="E85">
            <v>0.52</v>
          </cell>
          <cell r="F85">
            <v>0.52</v>
          </cell>
          <cell r="G85">
            <v>0.52</v>
          </cell>
          <cell r="H85">
            <v>0.52</v>
          </cell>
          <cell r="I85">
            <v>0.52</v>
          </cell>
          <cell r="J85">
            <v>0.52</v>
          </cell>
          <cell r="K85">
            <v>0.52</v>
          </cell>
          <cell r="L85">
            <v>0.52</v>
          </cell>
          <cell r="M85">
            <v>0.52</v>
          </cell>
          <cell r="N85">
            <v>0.52</v>
          </cell>
          <cell r="O85">
            <v>0.52</v>
          </cell>
        </row>
        <row r="86">
          <cell r="B86" t="str">
            <v>2.O D</v>
          </cell>
          <cell r="D86">
            <v>37073</v>
          </cell>
          <cell r="E86">
            <v>37104</v>
          </cell>
          <cell r="F86">
            <v>37135</v>
          </cell>
          <cell r="G86">
            <v>37166</v>
          </cell>
          <cell r="H86">
            <v>37197</v>
          </cell>
          <cell r="I86">
            <v>37228</v>
          </cell>
          <cell r="J86">
            <v>37259</v>
          </cell>
          <cell r="K86">
            <v>37290</v>
          </cell>
          <cell r="L86">
            <v>37321</v>
          </cell>
          <cell r="M86">
            <v>37352</v>
          </cell>
          <cell r="N86">
            <v>37383</v>
          </cell>
          <cell r="O86">
            <v>37414</v>
          </cell>
        </row>
        <row r="87">
          <cell r="B87" t="str">
            <v>CKD cost at factory</v>
          </cell>
          <cell r="D87">
            <v>379442.00459626858</v>
          </cell>
          <cell r="E87">
            <v>379442.00459626858</v>
          </cell>
          <cell r="F87">
            <v>379442.00459626858</v>
          </cell>
          <cell r="G87">
            <v>373578.25246353168</v>
          </cell>
          <cell r="H87">
            <v>373578.25246353168</v>
          </cell>
          <cell r="I87">
            <v>373578.25246353168</v>
          </cell>
          <cell r="J87">
            <v>373578.25246353168</v>
          </cell>
          <cell r="K87">
            <v>373578.25246353168</v>
          </cell>
          <cell r="L87">
            <v>373578.25246353168</v>
          </cell>
          <cell r="M87">
            <v>373578.25246353168</v>
          </cell>
          <cell r="N87">
            <v>373578.25246353168</v>
          </cell>
          <cell r="O87">
            <v>373578.25246353168</v>
          </cell>
          <cell r="P87">
            <v>78798.74753646832</v>
          </cell>
        </row>
        <row r="88">
          <cell r="B88" t="str">
            <v>KMC DMI</v>
          </cell>
          <cell r="C88" t="str">
            <v>0.30% of (DAV +Duty)*S.Tax)</v>
          </cell>
          <cell r="D88">
            <v>1301.650140904542</v>
          </cell>
          <cell r="E88">
            <v>1301.650140904542</v>
          </cell>
          <cell r="F88">
            <v>1301.650140904542</v>
          </cell>
          <cell r="G88">
            <v>1281.5083944176668</v>
          </cell>
          <cell r="H88">
            <v>1281.5083944176668</v>
          </cell>
          <cell r="I88">
            <v>1281.5083944176668</v>
          </cell>
          <cell r="J88">
            <v>1281.5083944176668</v>
          </cell>
          <cell r="K88">
            <v>1281.5083944176668</v>
          </cell>
          <cell r="L88">
            <v>1281.5083944176668</v>
          </cell>
          <cell r="M88">
            <v>1281.5083944176668</v>
          </cell>
          <cell r="N88">
            <v>1281.5083944176668</v>
          </cell>
          <cell r="O88">
            <v>1281.5083944176668</v>
          </cell>
        </row>
        <row r="89">
          <cell r="B89" t="str">
            <v>Clearing charge</v>
          </cell>
          <cell r="C89" t="str">
            <v>0.05% of DAV</v>
          </cell>
          <cell r="D89">
            <v>1397.3699848680001</v>
          </cell>
          <cell r="E89">
            <v>1397.3699848680001</v>
          </cell>
          <cell r="F89">
            <v>1397.3699848680001</v>
          </cell>
          <cell r="G89">
            <v>1375.747068618</v>
          </cell>
          <cell r="H89">
            <v>1375.747068618</v>
          </cell>
          <cell r="I89">
            <v>1375.747068618</v>
          </cell>
          <cell r="J89">
            <v>1375.747068618</v>
          </cell>
          <cell r="K89">
            <v>1375.747068618</v>
          </cell>
          <cell r="L89">
            <v>1375.747068618</v>
          </cell>
          <cell r="M89">
            <v>1375.747068618</v>
          </cell>
          <cell r="N89">
            <v>1375.747068618</v>
          </cell>
          <cell r="O89">
            <v>1375.747068618</v>
          </cell>
        </row>
        <row r="90">
          <cell r="B90" t="str">
            <v>Wharfage</v>
          </cell>
          <cell r="D90">
            <v>500</v>
          </cell>
          <cell r="E90">
            <v>500</v>
          </cell>
          <cell r="F90">
            <v>500</v>
          </cell>
          <cell r="G90">
            <v>500</v>
          </cell>
          <cell r="H90">
            <v>500</v>
          </cell>
          <cell r="I90">
            <v>500</v>
          </cell>
          <cell r="J90">
            <v>500</v>
          </cell>
          <cell r="K90">
            <v>500</v>
          </cell>
          <cell r="L90">
            <v>500</v>
          </cell>
          <cell r="M90">
            <v>500</v>
          </cell>
          <cell r="N90">
            <v>500</v>
          </cell>
          <cell r="O90">
            <v>500</v>
          </cell>
        </row>
        <row r="91">
          <cell r="B91" t="str">
            <v>L/c Opening &amp; Bank Charges</v>
          </cell>
          <cell r="D91">
            <v>1638.2308800000003</v>
          </cell>
          <cell r="E91">
            <v>1638.2308800000003</v>
          </cell>
          <cell r="F91">
            <v>1638.2308800000003</v>
          </cell>
          <cell r="G91">
            <v>1612.8808800000002</v>
          </cell>
          <cell r="H91">
            <v>1612.8808800000002</v>
          </cell>
          <cell r="I91">
            <v>1612.8808800000002</v>
          </cell>
          <cell r="J91">
            <v>1612.8808800000002</v>
          </cell>
          <cell r="K91">
            <v>1612.8808800000002</v>
          </cell>
          <cell r="L91">
            <v>1612.8808800000002</v>
          </cell>
          <cell r="M91">
            <v>1612.8808800000002</v>
          </cell>
          <cell r="N91">
            <v>1612.8808800000002</v>
          </cell>
          <cell r="O91">
            <v>1612.8808800000002</v>
          </cell>
        </row>
        <row r="92">
          <cell r="B92" t="str">
            <v xml:space="preserve">Inland transport </v>
          </cell>
          <cell r="C92" t="str">
            <v>0.1% of DAV</v>
          </cell>
          <cell r="D92">
            <v>2794.7399697360001</v>
          </cell>
          <cell r="E92">
            <v>2794.7399697360001</v>
          </cell>
          <cell r="F92">
            <v>2794.7399697360001</v>
          </cell>
          <cell r="G92">
            <v>2751.4941372359999</v>
          </cell>
          <cell r="H92">
            <v>2751.4941372359999</v>
          </cell>
          <cell r="I92">
            <v>2751.4941372359999</v>
          </cell>
          <cell r="J92">
            <v>2751.4941372359999</v>
          </cell>
          <cell r="K92">
            <v>2751.4941372359999</v>
          </cell>
          <cell r="L92">
            <v>2751.4941372359999</v>
          </cell>
          <cell r="M92">
            <v>2751.4941372359999</v>
          </cell>
          <cell r="N92">
            <v>2751.4941372359999</v>
          </cell>
          <cell r="O92">
            <v>2751.4941372359999</v>
          </cell>
        </row>
        <row r="93">
          <cell r="B93" t="str">
            <v xml:space="preserve">Import Duty </v>
          </cell>
          <cell r="C93" t="str">
            <v>35% of   (DAV)</v>
          </cell>
          <cell r="D93">
            <v>97815.898940760002</v>
          </cell>
          <cell r="E93">
            <v>97815.898940760002</v>
          </cell>
          <cell r="F93">
            <v>97815.898940760002</v>
          </cell>
          <cell r="G93">
            <v>96302.294803259982</v>
          </cell>
          <cell r="H93">
            <v>96302.294803259982</v>
          </cell>
          <cell r="I93">
            <v>96302.294803259982</v>
          </cell>
          <cell r="J93">
            <v>96302.294803259982</v>
          </cell>
          <cell r="K93">
            <v>96302.294803259982</v>
          </cell>
          <cell r="L93">
            <v>96302.294803259982</v>
          </cell>
          <cell r="M93">
            <v>96302.294803259982</v>
          </cell>
          <cell r="N93">
            <v>96302.294803259982</v>
          </cell>
          <cell r="O93">
            <v>96302.294803259982</v>
          </cell>
        </row>
        <row r="94">
          <cell r="B94" t="str">
            <v>(DAV)</v>
          </cell>
          <cell r="C94" t="str">
            <v>(C &amp; F Rupee  - Loading)</v>
          </cell>
          <cell r="D94">
            <v>279473.99697360001</v>
          </cell>
          <cell r="E94">
            <v>279473.99697360001</v>
          </cell>
          <cell r="F94">
            <v>279473.99697360001</v>
          </cell>
          <cell r="G94">
            <v>275149.41372359998</v>
          </cell>
          <cell r="H94">
            <v>275149.41372359998</v>
          </cell>
          <cell r="I94">
            <v>275149.41372359998</v>
          </cell>
          <cell r="J94">
            <v>275149.41372359998</v>
          </cell>
          <cell r="K94">
            <v>275149.41372359998</v>
          </cell>
          <cell r="L94">
            <v>275149.41372359998</v>
          </cell>
          <cell r="M94">
            <v>275149.41372359998</v>
          </cell>
          <cell r="N94">
            <v>275149.41372359998</v>
          </cell>
          <cell r="O94">
            <v>275149.41372359998</v>
          </cell>
        </row>
        <row r="95">
          <cell r="B95" t="str">
            <v>CIF (Rupees)</v>
          </cell>
          <cell r="C95" t="str">
            <v>Actual</v>
          </cell>
          <cell r="D95">
            <v>273994.11468000006</v>
          </cell>
          <cell r="E95">
            <v>273994.11468000006</v>
          </cell>
          <cell r="F95">
            <v>273994.11468000006</v>
          </cell>
          <cell r="G95">
            <v>269754.32718000002</v>
          </cell>
          <cell r="H95">
            <v>269754.32718000002</v>
          </cell>
          <cell r="I95">
            <v>269754.32718000002</v>
          </cell>
          <cell r="J95">
            <v>269754.32718000002</v>
          </cell>
          <cell r="K95">
            <v>269754.32718000002</v>
          </cell>
          <cell r="L95">
            <v>269754.32718000002</v>
          </cell>
          <cell r="M95">
            <v>269754.32718000002</v>
          </cell>
          <cell r="N95">
            <v>269754.32718000002</v>
          </cell>
          <cell r="O95">
            <v>269754.32718000002</v>
          </cell>
        </row>
        <row r="96">
          <cell r="B96" t="str">
            <v>Insurance</v>
          </cell>
          <cell r="C96" t="str">
            <v>Actual</v>
          </cell>
          <cell r="D96">
            <v>955.63468000000012</v>
          </cell>
          <cell r="E96">
            <v>955.63468000000012</v>
          </cell>
          <cell r="F96">
            <v>955.63468000000012</v>
          </cell>
          <cell r="G96">
            <v>940.84718000000021</v>
          </cell>
          <cell r="H96">
            <v>940.84718000000021</v>
          </cell>
          <cell r="I96">
            <v>940.84718000000021</v>
          </cell>
          <cell r="J96">
            <v>940.84718000000021</v>
          </cell>
          <cell r="K96">
            <v>940.84718000000021</v>
          </cell>
          <cell r="L96">
            <v>940.84718000000021</v>
          </cell>
          <cell r="M96">
            <v>940.84718000000021</v>
          </cell>
          <cell r="N96">
            <v>940.84718000000021</v>
          </cell>
          <cell r="O96">
            <v>940.84718000000021</v>
          </cell>
        </row>
        <row r="97">
          <cell r="B97" t="str">
            <v>C &amp; F (Rupees)</v>
          </cell>
          <cell r="C97" t="str">
            <v>Actual</v>
          </cell>
          <cell r="D97">
            <v>273038.48000000004</v>
          </cell>
          <cell r="E97">
            <v>273038.48000000004</v>
          </cell>
          <cell r="F97">
            <v>273038.48000000004</v>
          </cell>
          <cell r="G97">
            <v>268813.48000000004</v>
          </cell>
          <cell r="H97">
            <v>268813.48000000004</v>
          </cell>
          <cell r="I97">
            <v>268813.48000000004</v>
          </cell>
          <cell r="J97">
            <v>268813.48000000004</v>
          </cell>
          <cell r="K97">
            <v>268813.48000000004</v>
          </cell>
          <cell r="L97">
            <v>268813.48000000004</v>
          </cell>
          <cell r="M97">
            <v>268813.48000000004</v>
          </cell>
          <cell r="N97">
            <v>268813.48000000004</v>
          </cell>
          <cell r="O97">
            <v>268813.48000000004</v>
          </cell>
        </row>
        <row r="98">
          <cell r="B98" t="str">
            <v>Exchange rate</v>
          </cell>
          <cell r="C98" t="str">
            <v>¥ to Re</v>
          </cell>
          <cell r="D98">
            <v>1.9230769230769229</v>
          </cell>
          <cell r="E98">
            <v>1.9230769230769229</v>
          </cell>
          <cell r="F98">
            <v>1.9230769230769229</v>
          </cell>
          <cell r="G98">
            <v>1.9230769230769229</v>
          </cell>
          <cell r="H98">
            <v>1.9230769230769229</v>
          </cell>
          <cell r="I98">
            <v>1.9230769230769229</v>
          </cell>
          <cell r="J98">
            <v>1.9230769230769229</v>
          </cell>
          <cell r="K98">
            <v>1.9230769230769229</v>
          </cell>
          <cell r="L98">
            <v>1.9230769230769229</v>
          </cell>
          <cell r="M98">
            <v>1.9230769230769229</v>
          </cell>
          <cell r="N98">
            <v>1.9230769230769229</v>
          </cell>
          <cell r="O98">
            <v>1.9230769230769229</v>
          </cell>
        </row>
        <row r="99">
          <cell r="B99" t="str">
            <v>C &amp; F (Yen)</v>
          </cell>
          <cell r="C99" t="str">
            <v>Actual</v>
          </cell>
          <cell r="D99">
            <v>525074</v>
          </cell>
          <cell r="E99">
            <v>525074</v>
          </cell>
          <cell r="F99">
            <v>525074</v>
          </cell>
          <cell r="G99">
            <v>516949</v>
          </cell>
          <cell r="H99">
            <v>516949</v>
          </cell>
          <cell r="I99">
            <v>516949</v>
          </cell>
          <cell r="J99">
            <v>516949</v>
          </cell>
          <cell r="K99">
            <v>516949</v>
          </cell>
          <cell r="L99">
            <v>516949</v>
          </cell>
          <cell r="M99">
            <v>516949</v>
          </cell>
          <cell r="N99">
            <v>516949</v>
          </cell>
          <cell r="O99">
            <v>516949</v>
          </cell>
        </row>
        <row r="100">
          <cell r="B100" t="str">
            <v>Freight</v>
          </cell>
          <cell r="D100">
            <v>0</v>
          </cell>
          <cell r="E100">
            <v>0</v>
          </cell>
          <cell r="F100">
            <v>0</v>
          </cell>
          <cell r="G100">
            <v>0</v>
          </cell>
          <cell r="H100">
            <v>0</v>
          </cell>
          <cell r="I100">
            <v>0</v>
          </cell>
          <cell r="J100">
            <v>0</v>
          </cell>
          <cell r="K100">
            <v>0</v>
          </cell>
          <cell r="L100">
            <v>0</v>
          </cell>
          <cell r="M100">
            <v>0</v>
          </cell>
          <cell r="N100">
            <v>0</v>
          </cell>
          <cell r="O100">
            <v>0</v>
          </cell>
        </row>
        <row r="101">
          <cell r="B101" t="str">
            <v>TTC FOB</v>
          </cell>
          <cell r="D101">
            <v>525074</v>
          </cell>
          <cell r="E101">
            <v>525074</v>
          </cell>
          <cell r="F101">
            <v>525074</v>
          </cell>
          <cell r="G101">
            <v>516949</v>
          </cell>
          <cell r="H101">
            <v>516949</v>
          </cell>
          <cell r="I101">
            <v>516949</v>
          </cell>
          <cell r="J101">
            <v>516949</v>
          </cell>
          <cell r="K101">
            <v>516949</v>
          </cell>
          <cell r="L101">
            <v>516949</v>
          </cell>
          <cell r="M101">
            <v>516949</v>
          </cell>
          <cell r="N101">
            <v>516949</v>
          </cell>
          <cell r="O101">
            <v>516949</v>
          </cell>
        </row>
        <row r="102">
          <cell r="D102">
            <v>1.3897015709883402</v>
          </cell>
          <cell r="E102">
            <v>1.3897015709883402</v>
          </cell>
          <cell r="F102">
            <v>1.3897015709883402</v>
          </cell>
          <cell r="G102">
            <v>1.3897303530445408</v>
          </cell>
          <cell r="H102">
            <v>1.3897303530445408</v>
          </cell>
          <cell r="I102">
            <v>1.3897303530445408</v>
          </cell>
          <cell r="J102">
            <v>1.3897303530445408</v>
          </cell>
          <cell r="K102">
            <v>1.3897303530445408</v>
          </cell>
          <cell r="L102">
            <v>1.3897303530445408</v>
          </cell>
          <cell r="M102">
            <v>1.3897303530445408</v>
          </cell>
          <cell r="N102">
            <v>1.3897303530445408</v>
          </cell>
          <cell r="O102">
            <v>1.3897303530445408</v>
          </cell>
        </row>
        <row r="104">
          <cell r="D104">
            <v>0.52</v>
          </cell>
          <cell r="E104">
            <v>0.52</v>
          </cell>
          <cell r="F104">
            <v>0.52</v>
          </cell>
          <cell r="G104">
            <v>0.52</v>
          </cell>
          <cell r="H104">
            <v>0.52</v>
          </cell>
          <cell r="I104">
            <v>0.52</v>
          </cell>
          <cell r="J104">
            <v>0.52</v>
          </cell>
          <cell r="K104">
            <v>0.52</v>
          </cell>
          <cell r="L104">
            <v>0.52</v>
          </cell>
          <cell r="M104">
            <v>0.52</v>
          </cell>
          <cell r="N104">
            <v>0.52</v>
          </cell>
          <cell r="O104">
            <v>0.52</v>
          </cell>
        </row>
        <row r="105">
          <cell r="D105">
            <v>0.52</v>
          </cell>
          <cell r="E105">
            <v>0.52</v>
          </cell>
          <cell r="F105">
            <v>0.52</v>
          </cell>
          <cell r="G105">
            <v>0.52</v>
          </cell>
          <cell r="H105">
            <v>0.52</v>
          </cell>
          <cell r="I105">
            <v>0.52</v>
          </cell>
          <cell r="J105">
            <v>0.52</v>
          </cell>
          <cell r="K105">
            <v>0.52</v>
          </cell>
          <cell r="L105">
            <v>0.52</v>
          </cell>
          <cell r="M105">
            <v>0.52</v>
          </cell>
          <cell r="N105">
            <v>0.52</v>
          </cell>
          <cell r="O105">
            <v>0.52</v>
          </cell>
        </row>
        <row r="106">
          <cell r="B106" t="str">
            <v>2.O D SALOON</v>
          </cell>
          <cell r="D106">
            <v>37073</v>
          </cell>
          <cell r="E106">
            <v>37104</v>
          </cell>
          <cell r="F106">
            <v>37135</v>
          </cell>
          <cell r="G106">
            <v>37166</v>
          </cell>
          <cell r="H106">
            <v>37197</v>
          </cell>
          <cell r="I106">
            <v>37228</v>
          </cell>
          <cell r="J106">
            <v>37259</v>
          </cell>
          <cell r="K106">
            <v>37290</v>
          </cell>
          <cell r="L106">
            <v>37321</v>
          </cell>
          <cell r="M106">
            <v>37352</v>
          </cell>
          <cell r="N106">
            <v>37383</v>
          </cell>
          <cell r="O106">
            <v>37414</v>
          </cell>
        </row>
        <row r="107">
          <cell r="B107" t="str">
            <v>CKD cost at factory</v>
          </cell>
          <cell r="D107">
            <v>514635.2303835096</v>
          </cell>
          <cell r="E107">
            <v>514635.2303835096</v>
          </cell>
          <cell r="F107">
            <v>514635.2303835096</v>
          </cell>
          <cell r="G107">
            <v>514635.2303835096</v>
          </cell>
          <cell r="H107">
            <v>514635.2303835096</v>
          </cell>
          <cell r="I107">
            <v>514635.2303835096</v>
          </cell>
          <cell r="J107">
            <v>514635.2303835096</v>
          </cell>
          <cell r="K107">
            <v>514635.2303835096</v>
          </cell>
          <cell r="L107">
            <v>514635.2303835096</v>
          </cell>
          <cell r="M107">
            <v>514635.2303835096</v>
          </cell>
          <cell r="N107">
            <v>514635.2303835096</v>
          </cell>
          <cell r="O107">
            <v>514635.2303835096</v>
          </cell>
          <cell r="P107">
            <v>-62258.230383509595</v>
          </cell>
        </row>
        <row r="108">
          <cell r="B108" t="str">
            <v>KMC DMI</v>
          </cell>
          <cell r="C108" t="str">
            <v>0.30% of (DAV +Duty)*S.Tax)</v>
          </cell>
          <cell r="D108">
            <v>1766.033289937566</v>
          </cell>
          <cell r="E108">
            <v>1766.033289937566</v>
          </cell>
          <cell r="F108">
            <v>1766.033289937566</v>
          </cell>
          <cell r="G108">
            <v>1766.033289937566</v>
          </cell>
          <cell r="H108">
            <v>1766.033289937566</v>
          </cell>
          <cell r="I108">
            <v>1766.033289937566</v>
          </cell>
          <cell r="J108">
            <v>1766.033289937566</v>
          </cell>
          <cell r="K108">
            <v>1766.033289937566</v>
          </cell>
          <cell r="L108">
            <v>1766.033289937566</v>
          </cell>
          <cell r="M108">
            <v>1766.033289937566</v>
          </cell>
          <cell r="N108">
            <v>1766.033289937566</v>
          </cell>
          <cell r="O108">
            <v>1766.033289937566</v>
          </cell>
        </row>
        <row r="109">
          <cell r="B109" t="str">
            <v>Clearing charge</v>
          </cell>
          <cell r="C109" t="str">
            <v>0.05% of DAV</v>
          </cell>
          <cell r="D109">
            <v>1895.902619364</v>
          </cell>
          <cell r="E109">
            <v>1895.902619364</v>
          </cell>
          <cell r="F109">
            <v>1895.902619364</v>
          </cell>
          <cell r="G109">
            <v>1895.902619364</v>
          </cell>
          <cell r="H109">
            <v>1895.902619364</v>
          </cell>
          <cell r="I109">
            <v>1895.902619364</v>
          </cell>
          <cell r="J109">
            <v>1895.902619364</v>
          </cell>
          <cell r="K109">
            <v>1895.902619364</v>
          </cell>
          <cell r="L109">
            <v>1895.902619364</v>
          </cell>
          <cell r="M109">
            <v>1895.902619364</v>
          </cell>
          <cell r="N109">
            <v>1895.902619364</v>
          </cell>
          <cell r="O109">
            <v>1895.902619364</v>
          </cell>
        </row>
        <row r="110">
          <cell r="B110" t="str">
            <v>Wharfage</v>
          </cell>
          <cell r="D110">
            <v>500</v>
          </cell>
          <cell r="E110">
            <v>500</v>
          </cell>
          <cell r="F110">
            <v>500</v>
          </cell>
          <cell r="G110">
            <v>500</v>
          </cell>
          <cell r="H110">
            <v>500</v>
          </cell>
          <cell r="I110">
            <v>500</v>
          </cell>
          <cell r="J110">
            <v>500</v>
          </cell>
          <cell r="K110">
            <v>500</v>
          </cell>
          <cell r="L110">
            <v>500</v>
          </cell>
          <cell r="M110">
            <v>500</v>
          </cell>
          <cell r="N110">
            <v>500</v>
          </cell>
          <cell r="O110">
            <v>500</v>
          </cell>
        </row>
        <row r="111">
          <cell r="B111" t="str">
            <v>L/c Opening &amp; Bank Charges</v>
          </cell>
          <cell r="D111">
            <v>2222.6942400000003</v>
          </cell>
          <cell r="E111">
            <v>2222.6942400000003</v>
          </cell>
          <cell r="F111">
            <v>2222.6942400000003</v>
          </cell>
          <cell r="G111">
            <v>2222.6942400000003</v>
          </cell>
          <cell r="H111">
            <v>2222.6942400000003</v>
          </cell>
          <cell r="I111">
            <v>2222.6942400000003</v>
          </cell>
          <cell r="J111">
            <v>2222.6942400000003</v>
          </cell>
          <cell r="K111">
            <v>2222.6942400000003</v>
          </cell>
          <cell r="L111">
            <v>2222.6942400000003</v>
          </cell>
          <cell r="M111">
            <v>2222.6942400000003</v>
          </cell>
          <cell r="N111">
            <v>2222.6942400000003</v>
          </cell>
          <cell r="O111">
            <v>2222.6942400000003</v>
          </cell>
        </row>
        <row r="112">
          <cell r="B112" t="str">
            <v xml:space="preserve">Inland transport </v>
          </cell>
          <cell r="C112" t="str">
            <v>0.1% of DAV</v>
          </cell>
          <cell r="D112">
            <v>3791.8052387279999</v>
          </cell>
          <cell r="E112">
            <v>3791.8052387279999</v>
          </cell>
          <cell r="F112">
            <v>3791.8052387279999</v>
          </cell>
          <cell r="G112">
            <v>3791.8052387279999</v>
          </cell>
          <cell r="H112">
            <v>3791.8052387279999</v>
          </cell>
          <cell r="I112">
            <v>3791.8052387279999</v>
          </cell>
          <cell r="J112">
            <v>3791.8052387279999</v>
          </cell>
          <cell r="K112">
            <v>3791.8052387279999</v>
          </cell>
          <cell r="L112">
            <v>3791.8052387279999</v>
          </cell>
          <cell r="M112">
            <v>3791.8052387279999</v>
          </cell>
          <cell r="N112">
            <v>3791.8052387279999</v>
          </cell>
          <cell r="O112">
            <v>3791.8052387279999</v>
          </cell>
        </row>
        <row r="113">
          <cell r="B113" t="str">
            <v xml:space="preserve">Import Duty </v>
          </cell>
          <cell r="C113" t="str">
            <v>35% of   (DAV)</v>
          </cell>
          <cell r="D113">
            <v>132713.18335548</v>
          </cell>
          <cell r="E113">
            <v>132713.18335548</v>
          </cell>
          <cell r="F113">
            <v>132713.18335548</v>
          </cell>
          <cell r="G113">
            <v>132713.18335548</v>
          </cell>
          <cell r="H113">
            <v>132713.18335548</v>
          </cell>
          <cell r="I113">
            <v>132713.18335548</v>
          </cell>
          <cell r="J113">
            <v>132713.18335548</v>
          </cell>
          <cell r="K113">
            <v>132713.18335548</v>
          </cell>
          <cell r="L113">
            <v>132713.18335548</v>
          </cell>
          <cell r="M113">
            <v>132713.18335548</v>
          </cell>
          <cell r="N113">
            <v>132713.18335548</v>
          </cell>
          <cell r="O113">
            <v>132713.18335548</v>
          </cell>
        </row>
        <row r="114">
          <cell r="B114" t="str">
            <v>(DAV)</v>
          </cell>
          <cell r="C114" t="str">
            <v>(C &amp; F Rupee  - Loading)</v>
          </cell>
          <cell r="D114">
            <v>379180.5238728</v>
          </cell>
          <cell r="E114">
            <v>379180.5238728</v>
          </cell>
          <cell r="F114">
            <v>379180.5238728</v>
          </cell>
          <cell r="G114">
            <v>379180.5238728</v>
          </cell>
          <cell r="H114">
            <v>379180.5238728</v>
          </cell>
          <cell r="I114">
            <v>379180.5238728</v>
          </cell>
          <cell r="J114">
            <v>379180.5238728</v>
          </cell>
          <cell r="K114">
            <v>379180.5238728</v>
          </cell>
          <cell r="L114">
            <v>379180.5238728</v>
          </cell>
          <cell r="M114">
            <v>379180.5238728</v>
          </cell>
          <cell r="N114">
            <v>379180.5238728</v>
          </cell>
          <cell r="O114">
            <v>379180.5238728</v>
          </cell>
        </row>
        <row r="115">
          <cell r="B115" t="str">
            <v>CIF (Rupees)</v>
          </cell>
          <cell r="C115" t="str">
            <v>Actual</v>
          </cell>
          <cell r="D115">
            <v>371745.61164000002</v>
          </cell>
          <cell r="E115">
            <v>371745.61164000002</v>
          </cell>
          <cell r="F115">
            <v>371745.61164000002</v>
          </cell>
          <cell r="G115">
            <v>371745.61164000002</v>
          </cell>
          <cell r="H115">
            <v>371745.61164000002</v>
          </cell>
          <cell r="I115">
            <v>371745.61164000002</v>
          </cell>
          <cell r="J115">
            <v>371745.61164000002</v>
          </cell>
          <cell r="K115">
            <v>371745.61164000002</v>
          </cell>
          <cell r="L115">
            <v>371745.61164000002</v>
          </cell>
          <cell r="M115">
            <v>371745.61164000002</v>
          </cell>
          <cell r="N115">
            <v>371745.61164000002</v>
          </cell>
          <cell r="O115">
            <v>371745.61164000002</v>
          </cell>
        </row>
        <row r="116">
          <cell r="B116" t="str">
            <v>Insurance</v>
          </cell>
          <cell r="C116" t="str">
            <v>Actual</v>
          </cell>
          <cell r="D116">
            <v>1296.5716400000001</v>
          </cell>
          <cell r="E116">
            <v>1296.5716400000001</v>
          </cell>
          <cell r="F116">
            <v>1296.5716400000001</v>
          </cell>
          <cell r="G116">
            <v>1296.5716400000001</v>
          </cell>
          <cell r="H116">
            <v>1296.5716400000001</v>
          </cell>
          <cell r="I116">
            <v>1296.5716400000001</v>
          </cell>
          <cell r="J116">
            <v>1296.5716400000001</v>
          </cell>
          <cell r="K116">
            <v>1296.5716400000001</v>
          </cell>
          <cell r="L116">
            <v>1296.5716400000001</v>
          </cell>
          <cell r="M116">
            <v>1296.5716400000001</v>
          </cell>
          <cell r="N116">
            <v>1296.5716400000001</v>
          </cell>
          <cell r="O116">
            <v>1296.5716400000001</v>
          </cell>
        </row>
        <row r="117">
          <cell r="B117" t="str">
            <v>C &amp; F (Rupees)</v>
          </cell>
          <cell r="C117" t="str">
            <v>Actual</v>
          </cell>
          <cell r="D117">
            <v>370449.04000000004</v>
          </cell>
          <cell r="E117">
            <v>370449.04000000004</v>
          </cell>
          <cell r="F117">
            <v>370449.04000000004</v>
          </cell>
          <cell r="G117">
            <v>370449.04000000004</v>
          </cell>
          <cell r="H117">
            <v>370449.04000000004</v>
          </cell>
          <cell r="I117">
            <v>370449.04000000004</v>
          </cell>
          <cell r="J117">
            <v>370449.04000000004</v>
          </cell>
          <cell r="K117">
            <v>370449.04000000004</v>
          </cell>
          <cell r="L117">
            <v>370449.04000000004</v>
          </cell>
          <cell r="M117">
            <v>370449.04000000004</v>
          </cell>
          <cell r="N117">
            <v>370449.04000000004</v>
          </cell>
          <cell r="O117">
            <v>370449.04000000004</v>
          </cell>
        </row>
        <row r="118">
          <cell r="B118" t="str">
            <v>Exchange rate</v>
          </cell>
          <cell r="C118" t="str">
            <v>¥ to Re</v>
          </cell>
          <cell r="D118">
            <v>1.9230769230769229</v>
          </cell>
          <cell r="E118">
            <v>1.9230769230769229</v>
          </cell>
          <cell r="F118">
            <v>1.9230769230769229</v>
          </cell>
          <cell r="G118">
            <v>1.9230769230769229</v>
          </cell>
          <cell r="H118">
            <v>1.9230769230769229</v>
          </cell>
          <cell r="I118">
            <v>1.9230769230769229</v>
          </cell>
          <cell r="J118">
            <v>1.9230769230769229</v>
          </cell>
          <cell r="K118">
            <v>1.9230769230769229</v>
          </cell>
          <cell r="L118">
            <v>1.9230769230769229</v>
          </cell>
          <cell r="M118">
            <v>1.9230769230769229</v>
          </cell>
          <cell r="N118">
            <v>1.9230769230769229</v>
          </cell>
          <cell r="O118">
            <v>1.9230769230769229</v>
          </cell>
        </row>
        <row r="119">
          <cell r="B119" t="str">
            <v>C &amp; F (Yen)</v>
          </cell>
          <cell r="C119" t="str">
            <v>Actual</v>
          </cell>
          <cell r="D119">
            <v>712402</v>
          </cell>
          <cell r="E119">
            <v>712402</v>
          </cell>
          <cell r="F119">
            <v>712402</v>
          </cell>
          <cell r="G119">
            <v>712402</v>
          </cell>
          <cell r="H119">
            <v>712402</v>
          </cell>
          <cell r="I119">
            <v>712402</v>
          </cell>
          <cell r="J119">
            <v>712402</v>
          </cell>
          <cell r="K119">
            <v>712402</v>
          </cell>
          <cell r="L119">
            <v>712402</v>
          </cell>
          <cell r="M119">
            <v>712402</v>
          </cell>
          <cell r="N119">
            <v>712402</v>
          </cell>
          <cell r="O119">
            <v>712402</v>
          </cell>
        </row>
        <row r="120">
          <cell r="B120" t="str">
            <v>Freight</v>
          </cell>
          <cell r="D120">
            <v>1189000</v>
          </cell>
          <cell r="E120">
            <v>1189000</v>
          </cell>
          <cell r="F120">
            <v>1189000</v>
          </cell>
          <cell r="G120">
            <v>1189000</v>
          </cell>
          <cell r="H120">
            <v>1189000</v>
          </cell>
          <cell r="I120">
            <v>1189000</v>
          </cell>
          <cell r="J120">
            <v>1189000</v>
          </cell>
          <cell r="K120">
            <v>1189000</v>
          </cell>
          <cell r="L120">
            <v>1189000</v>
          </cell>
          <cell r="M120">
            <v>1189000</v>
          </cell>
          <cell r="N120">
            <v>1189000</v>
          </cell>
          <cell r="O120">
            <v>1189000</v>
          </cell>
        </row>
        <row r="121">
          <cell r="B121" t="str">
            <v>TTC FOB</v>
          </cell>
          <cell r="D121">
            <v>-476598</v>
          </cell>
          <cell r="E121">
            <v>-476598</v>
          </cell>
          <cell r="F121">
            <v>-476598</v>
          </cell>
          <cell r="G121">
            <v>-476598</v>
          </cell>
          <cell r="H121">
            <v>-476598</v>
          </cell>
          <cell r="I121">
            <v>-476598</v>
          </cell>
          <cell r="J121">
            <v>-476598</v>
          </cell>
          <cell r="K121">
            <v>-476598</v>
          </cell>
          <cell r="L121">
            <v>-476598</v>
          </cell>
          <cell r="M121">
            <v>-476598</v>
          </cell>
          <cell r="N121">
            <v>-476598</v>
          </cell>
          <cell r="O121">
            <v>-476598</v>
          </cell>
        </row>
        <row r="122">
          <cell r="D122">
            <v>1.3892200405850952</v>
          </cell>
          <cell r="E122">
            <v>1.3892200405850952</v>
          </cell>
          <cell r="F122">
            <v>1.3892200405850952</v>
          </cell>
          <cell r="G122">
            <v>1.3892200405850952</v>
          </cell>
          <cell r="H122">
            <v>1.3892200405850952</v>
          </cell>
          <cell r="I122">
            <v>1.3892200405850952</v>
          </cell>
          <cell r="J122">
            <v>1.3892200405850952</v>
          </cell>
          <cell r="K122">
            <v>1.3892200405850952</v>
          </cell>
          <cell r="L122">
            <v>1.3892200405850952</v>
          </cell>
          <cell r="M122">
            <v>1.3892200405850952</v>
          </cell>
          <cell r="N122">
            <v>1.3892200405850952</v>
          </cell>
          <cell r="O122">
            <v>1.3892200405850952</v>
          </cell>
        </row>
        <row r="124">
          <cell r="D124">
            <v>0.52</v>
          </cell>
          <cell r="E124">
            <v>0.52</v>
          </cell>
          <cell r="F124">
            <v>0.52</v>
          </cell>
          <cell r="G124">
            <v>0.52</v>
          </cell>
          <cell r="H124">
            <v>0.52</v>
          </cell>
          <cell r="I124">
            <v>0.52</v>
          </cell>
          <cell r="J124">
            <v>0.52</v>
          </cell>
          <cell r="K124">
            <v>0.52</v>
          </cell>
          <cell r="L124">
            <v>0.52</v>
          </cell>
          <cell r="M124">
            <v>0.52</v>
          </cell>
          <cell r="N124">
            <v>0.52</v>
          </cell>
          <cell r="O124">
            <v>0.52</v>
          </cell>
        </row>
        <row r="125">
          <cell r="D125">
            <v>0.52</v>
          </cell>
          <cell r="E125">
            <v>0.52</v>
          </cell>
          <cell r="F125">
            <v>0.52</v>
          </cell>
          <cell r="G125">
            <v>0.52</v>
          </cell>
          <cell r="H125">
            <v>0.52</v>
          </cell>
          <cell r="I125">
            <v>0.52</v>
          </cell>
          <cell r="J125">
            <v>0.52</v>
          </cell>
          <cell r="K125">
            <v>0.52</v>
          </cell>
          <cell r="L125">
            <v>0.52</v>
          </cell>
          <cell r="M125">
            <v>0.52</v>
          </cell>
          <cell r="N125">
            <v>0.52</v>
          </cell>
          <cell r="O125">
            <v>0.52</v>
          </cell>
        </row>
        <row r="126">
          <cell r="B126" t="str">
            <v>Hilux  4 X 2 - Std</v>
          </cell>
          <cell r="C126">
            <v>0</v>
          </cell>
          <cell r="D126">
            <v>37073</v>
          </cell>
          <cell r="E126">
            <v>37104</v>
          </cell>
          <cell r="F126">
            <v>37135</v>
          </cell>
          <cell r="G126">
            <v>37166</v>
          </cell>
          <cell r="H126">
            <v>37197</v>
          </cell>
          <cell r="I126">
            <v>37228</v>
          </cell>
          <cell r="J126">
            <v>37259</v>
          </cell>
          <cell r="K126">
            <v>37290</v>
          </cell>
          <cell r="L126">
            <v>37321</v>
          </cell>
          <cell r="M126">
            <v>37352</v>
          </cell>
          <cell r="N126">
            <v>37383</v>
          </cell>
          <cell r="O126">
            <v>37414</v>
          </cell>
        </row>
        <row r="127">
          <cell r="B127" t="str">
            <v>CKD cost at factory</v>
          </cell>
          <cell r="D127">
            <v>456549.51474417676</v>
          </cell>
          <cell r="E127">
            <v>456549.51474417676</v>
          </cell>
          <cell r="F127">
            <v>456549.51474417676</v>
          </cell>
          <cell r="G127">
            <v>456549.51474417676</v>
          </cell>
          <cell r="H127">
            <v>456549.51474417676</v>
          </cell>
          <cell r="I127">
            <v>456549.51474417676</v>
          </cell>
          <cell r="J127">
            <v>456549.51474417676</v>
          </cell>
          <cell r="K127">
            <v>456549.51474417676</v>
          </cell>
          <cell r="L127">
            <v>456549.51474417676</v>
          </cell>
          <cell r="M127">
            <v>456549.51474417676</v>
          </cell>
          <cell r="N127">
            <v>456549.51474417676</v>
          </cell>
          <cell r="O127">
            <v>456549.51474417676</v>
          </cell>
          <cell r="P127">
            <v>79601.485255823238</v>
          </cell>
        </row>
        <row r="128">
          <cell r="B128" t="str">
            <v>KMC DMI</v>
          </cell>
          <cell r="C128" t="str">
            <v>0.30% of (DAV +Duty)*S.Tax)</v>
          </cell>
          <cell r="D128">
            <v>1566.3301803527042</v>
          </cell>
          <cell r="E128">
            <v>1566.3301803527042</v>
          </cell>
          <cell r="F128">
            <v>1566.3301803527042</v>
          </cell>
          <cell r="G128">
            <v>1566.3301803527042</v>
          </cell>
          <cell r="H128">
            <v>1566.3301803527042</v>
          </cell>
          <cell r="I128">
            <v>1566.3301803527042</v>
          </cell>
          <cell r="J128">
            <v>1566.3301803527042</v>
          </cell>
          <cell r="K128">
            <v>1566.3301803527042</v>
          </cell>
          <cell r="L128">
            <v>1566.3301803527042</v>
          </cell>
          <cell r="M128">
            <v>1566.3301803527042</v>
          </cell>
          <cell r="N128">
            <v>1566.3301803527042</v>
          </cell>
          <cell r="O128">
            <v>1566.3301803527042</v>
          </cell>
        </row>
        <row r="129">
          <cell r="B129" t="str">
            <v>Clearing charge</v>
          </cell>
          <cell r="C129" t="str">
            <v>0.05% of DAV</v>
          </cell>
          <cell r="D129">
            <v>1891.7031163680003</v>
          </cell>
          <cell r="E129">
            <v>1891.7031163680003</v>
          </cell>
          <cell r="F129">
            <v>1891.7031163680003</v>
          </cell>
          <cell r="G129">
            <v>1891.7031163680003</v>
          </cell>
          <cell r="H129">
            <v>1891.7031163680003</v>
          </cell>
          <cell r="I129">
            <v>1891.7031163680003</v>
          </cell>
          <cell r="J129">
            <v>1891.7031163680003</v>
          </cell>
          <cell r="K129">
            <v>1891.7031163680003</v>
          </cell>
          <cell r="L129">
            <v>1891.7031163680003</v>
          </cell>
          <cell r="M129">
            <v>1891.7031163680003</v>
          </cell>
          <cell r="N129">
            <v>1891.7031163680003</v>
          </cell>
          <cell r="O129">
            <v>1891.7031163680003</v>
          </cell>
        </row>
        <row r="130">
          <cell r="B130" t="str">
            <v>Wharfage</v>
          </cell>
          <cell r="D130">
            <v>500</v>
          </cell>
          <cell r="E130">
            <v>500</v>
          </cell>
          <cell r="F130">
            <v>500</v>
          </cell>
          <cell r="G130">
            <v>500</v>
          </cell>
          <cell r="H130">
            <v>500</v>
          </cell>
          <cell r="I130">
            <v>500</v>
          </cell>
          <cell r="J130">
            <v>500</v>
          </cell>
          <cell r="K130">
            <v>500</v>
          </cell>
          <cell r="L130">
            <v>500</v>
          </cell>
          <cell r="M130">
            <v>500</v>
          </cell>
          <cell r="N130">
            <v>500</v>
          </cell>
          <cell r="O130">
            <v>500</v>
          </cell>
        </row>
        <row r="131">
          <cell r="B131" t="str">
            <v>L/c Opening &amp; Bank Charges</v>
          </cell>
          <cell r="D131">
            <v>2217.7708800000005</v>
          </cell>
          <cell r="E131">
            <v>2217.7708800000005</v>
          </cell>
          <cell r="F131">
            <v>2217.7708800000005</v>
          </cell>
          <cell r="G131">
            <v>2217.7708800000005</v>
          </cell>
          <cell r="H131">
            <v>2217.7708800000005</v>
          </cell>
          <cell r="I131">
            <v>2217.7708800000005</v>
          </cell>
          <cell r="J131">
            <v>2217.7708800000005</v>
          </cell>
          <cell r="K131">
            <v>2217.7708800000005</v>
          </cell>
          <cell r="L131">
            <v>2217.7708800000005</v>
          </cell>
          <cell r="M131">
            <v>2217.7708800000005</v>
          </cell>
          <cell r="N131">
            <v>2217.7708800000005</v>
          </cell>
          <cell r="O131">
            <v>2217.7708800000005</v>
          </cell>
        </row>
        <row r="132">
          <cell r="B132" t="str">
            <v xml:space="preserve">Inland transport </v>
          </cell>
          <cell r="C132" t="str">
            <v>0.1% of DAV</v>
          </cell>
          <cell r="D132">
            <v>3783.4062327360007</v>
          </cell>
          <cell r="E132">
            <v>3783.4062327360007</v>
          </cell>
          <cell r="F132">
            <v>3783.4062327360007</v>
          </cell>
          <cell r="G132">
            <v>3783.4062327360007</v>
          </cell>
          <cell r="H132">
            <v>3783.4062327360007</v>
          </cell>
          <cell r="I132">
            <v>3783.4062327360007</v>
          </cell>
          <cell r="J132">
            <v>3783.4062327360007</v>
          </cell>
          <cell r="K132">
            <v>3783.4062327360007</v>
          </cell>
          <cell r="L132">
            <v>3783.4062327360007</v>
          </cell>
          <cell r="M132">
            <v>3783.4062327360007</v>
          </cell>
          <cell r="N132">
            <v>3783.4062327360007</v>
          </cell>
          <cell r="O132">
            <v>3783.4062327360007</v>
          </cell>
        </row>
        <row r="133">
          <cell r="B133" t="str">
            <v xml:space="preserve">Import Duty </v>
          </cell>
          <cell r="C133" t="str">
            <v>20% of   (DAV)</v>
          </cell>
          <cell r="D133">
            <v>75668.124654720013</v>
          </cell>
          <cell r="E133">
            <v>75668.124654720013</v>
          </cell>
          <cell r="F133">
            <v>75668.124654720013</v>
          </cell>
          <cell r="G133">
            <v>75668.124654720013</v>
          </cell>
          <cell r="H133">
            <v>75668.124654720013</v>
          </cell>
          <cell r="I133">
            <v>75668.124654720013</v>
          </cell>
          <cell r="J133">
            <v>75668.124654720013</v>
          </cell>
          <cell r="K133">
            <v>75668.124654720013</v>
          </cell>
          <cell r="L133">
            <v>75668.124654720013</v>
          </cell>
          <cell r="M133">
            <v>75668.124654720013</v>
          </cell>
          <cell r="N133">
            <v>75668.124654720013</v>
          </cell>
          <cell r="O133">
            <v>75668.124654720013</v>
          </cell>
        </row>
        <row r="134">
          <cell r="B134" t="str">
            <v>(DAV)</v>
          </cell>
          <cell r="C134" t="str">
            <v>(C &amp; F Rupee  - Loading)</v>
          </cell>
          <cell r="D134">
            <v>378340.62327360007</v>
          </cell>
          <cell r="E134">
            <v>378340.62327360007</v>
          </cell>
          <cell r="F134">
            <v>378340.62327360007</v>
          </cell>
          <cell r="G134">
            <v>378340.62327360007</v>
          </cell>
          <cell r="H134">
            <v>378340.62327360007</v>
          </cell>
          <cell r="I134">
            <v>378340.62327360007</v>
          </cell>
          <cell r="J134">
            <v>378340.62327360007</v>
          </cell>
          <cell r="K134">
            <v>378340.62327360007</v>
          </cell>
          <cell r="L134">
            <v>378340.62327360007</v>
          </cell>
          <cell r="M134">
            <v>378340.62327360007</v>
          </cell>
          <cell r="N134">
            <v>378340.62327360007</v>
          </cell>
          <cell r="O134">
            <v>378340.62327360007</v>
          </cell>
        </row>
        <row r="135">
          <cell r="B135" t="str">
            <v>CIF (Rupees)</v>
          </cell>
          <cell r="C135" t="str">
            <v>Actual</v>
          </cell>
          <cell r="D135">
            <v>370922.17968000006</v>
          </cell>
          <cell r="E135">
            <v>370922.17968000006</v>
          </cell>
          <cell r="F135">
            <v>370922.17968000006</v>
          </cell>
          <cell r="G135">
            <v>370922.17968000006</v>
          </cell>
          <cell r="H135">
            <v>370922.17968000006</v>
          </cell>
          <cell r="I135">
            <v>370922.17968000006</v>
          </cell>
          <cell r="J135">
            <v>370922.17968000006</v>
          </cell>
          <cell r="K135">
            <v>370922.17968000006</v>
          </cell>
          <cell r="L135">
            <v>370922.17968000006</v>
          </cell>
          <cell r="M135">
            <v>370922.17968000006</v>
          </cell>
          <cell r="N135">
            <v>370922.17968000006</v>
          </cell>
          <cell r="O135">
            <v>370922.17968000006</v>
          </cell>
        </row>
        <row r="136">
          <cell r="B136" t="str">
            <v>Insurance</v>
          </cell>
          <cell r="C136" t="str">
            <v>Actual</v>
          </cell>
          <cell r="D136">
            <v>1293.6996800000002</v>
          </cell>
          <cell r="E136">
            <v>1293.6996800000002</v>
          </cell>
          <cell r="F136">
            <v>1293.6996800000002</v>
          </cell>
          <cell r="G136">
            <v>1293.6996800000002</v>
          </cell>
          <cell r="H136">
            <v>1293.6996800000002</v>
          </cell>
          <cell r="I136">
            <v>1293.6996800000002</v>
          </cell>
          <cell r="J136">
            <v>1293.6996800000002</v>
          </cell>
          <cell r="K136">
            <v>1293.6996800000002</v>
          </cell>
          <cell r="L136">
            <v>1293.6996800000002</v>
          </cell>
          <cell r="M136">
            <v>1293.6996800000002</v>
          </cell>
          <cell r="N136">
            <v>1293.6996800000002</v>
          </cell>
          <cell r="O136">
            <v>1293.6996800000002</v>
          </cell>
        </row>
        <row r="137">
          <cell r="B137" t="str">
            <v>C &amp; F (Rupees)</v>
          </cell>
          <cell r="C137" t="str">
            <v>Actual</v>
          </cell>
          <cell r="D137">
            <v>369628.48000000004</v>
          </cell>
          <cell r="E137">
            <v>369628.48000000004</v>
          </cell>
          <cell r="F137">
            <v>369628.48000000004</v>
          </cell>
          <cell r="G137">
            <v>369628.48000000004</v>
          </cell>
          <cell r="H137">
            <v>369628.48000000004</v>
          </cell>
          <cell r="I137">
            <v>369628.48000000004</v>
          </cell>
          <cell r="J137">
            <v>369628.48000000004</v>
          </cell>
          <cell r="K137">
            <v>369628.48000000004</v>
          </cell>
          <cell r="L137">
            <v>369628.48000000004</v>
          </cell>
          <cell r="M137">
            <v>369628.48000000004</v>
          </cell>
          <cell r="N137">
            <v>369628.48000000004</v>
          </cell>
          <cell r="O137">
            <v>369628.48000000004</v>
          </cell>
        </row>
        <row r="138">
          <cell r="B138" t="str">
            <v>Exchange rate</v>
          </cell>
          <cell r="C138" t="str">
            <v>¥ to Re</v>
          </cell>
          <cell r="D138">
            <v>1.9230769230769229</v>
          </cell>
          <cell r="E138">
            <v>1.9230769230769229</v>
          </cell>
          <cell r="F138">
            <v>1.9230769230769229</v>
          </cell>
          <cell r="G138">
            <v>1.9230769230769229</v>
          </cell>
          <cell r="H138">
            <v>1.9230769230769229</v>
          </cell>
          <cell r="I138">
            <v>1.9230769230769229</v>
          </cell>
          <cell r="J138">
            <v>1.9230769230769229</v>
          </cell>
          <cell r="K138">
            <v>1.9230769230769229</v>
          </cell>
          <cell r="L138">
            <v>1.9230769230769229</v>
          </cell>
          <cell r="M138">
            <v>1.9230769230769229</v>
          </cell>
          <cell r="N138">
            <v>1.9230769230769229</v>
          </cell>
          <cell r="O138">
            <v>1.9230769230769229</v>
          </cell>
        </row>
        <row r="139">
          <cell r="B139" t="str">
            <v>C &amp; F (Yen)</v>
          </cell>
          <cell r="C139" t="str">
            <v>Actual</v>
          </cell>
          <cell r="D139">
            <v>710824</v>
          </cell>
          <cell r="E139">
            <v>710824</v>
          </cell>
          <cell r="F139">
            <v>710824</v>
          </cell>
          <cell r="G139">
            <v>710824</v>
          </cell>
          <cell r="H139">
            <v>710824</v>
          </cell>
          <cell r="I139">
            <v>710824</v>
          </cell>
          <cell r="J139">
            <v>710824</v>
          </cell>
          <cell r="K139">
            <v>710824</v>
          </cell>
          <cell r="L139">
            <v>710824</v>
          </cell>
          <cell r="M139">
            <v>710824</v>
          </cell>
          <cell r="N139">
            <v>710824</v>
          </cell>
          <cell r="O139">
            <v>710824</v>
          </cell>
        </row>
        <row r="140">
          <cell r="B140" t="str">
            <v>Freight</v>
          </cell>
          <cell r="D140">
            <v>0</v>
          </cell>
          <cell r="E140">
            <v>0</v>
          </cell>
          <cell r="F140">
            <v>0</v>
          </cell>
          <cell r="G140">
            <v>0</v>
          </cell>
          <cell r="H140">
            <v>0</v>
          </cell>
          <cell r="I140">
            <v>0</v>
          </cell>
          <cell r="J140">
            <v>0</v>
          </cell>
          <cell r="K140">
            <v>0</v>
          </cell>
          <cell r="L140">
            <v>0</v>
          </cell>
          <cell r="M140">
            <v>0</v>
          </cell>
          <cell r="N140">
            <v>0</v>
          </cell>
          <cell r="O140">
            <v>0</v>
          </cell>
        </row>
        <row r="141">
          <cell r="B141" t="str">
            <v>TTC FOB</v>
          </cell>
          <cell r="D141">
            <v>710824</v>
          </cell>
          <cell r="E141">
            <v>710824</v>
          </cell>
          <cell r="F141">
            <v>710824</v>
          </cell>
          <cell r="G141">
            <v>710824</v>
          </cell>
          <cell r="H141">
            <v>710824</v>
          </cell>
          <cell r="I141">
            <v>710824</v>
          </cell>
          <cell r="J141">
            <v>710824</v>
          </cell>
          <cell r="K141">
            <v>710824</v>
          </cell>
          <cell r="L141">
            <v>710824</v>
          </cell>
          <cell r="M141">
            <v>710824</v>
          </cell>
          <cell r="N141">
            <v>710824</v>
          </cell>
          <cell r="O141">
            <v>710824</v>
          </cell>
        </row>
        <row r="142">
          <cell r="D142">
            <v>1.2351578394180467</v>
          </cell>
          <cell r="E142">
            <v>1.2351578394180467</v>
          </cell>
          <cell r="F142">
            <v>1.2351578394180467</v>
          </cell>
          <cell r="G142">
            <v>1.2351578394180467</v>
          </cell>
          <cell r="H142">
            <v>1.2351578394180467</v>
          </cell>
          <cell r="I142">
            <v>1.2351578394180467</v>
          </cell>
          <cell r="J142">
            <v>1.2351578394180467</v>
          </cell>
          <cell r="K142">
            <v>1.2351578394180467</v>
          </cell>
          <cell r="L142">
            <v>1.2351578394180467</v>
          </cell>
          <cell r="M142">
            <v>1.2351578394180467</v>
          </cell>
          <cell r="N142">
            <v>1.2351578394180467</v>
          </cell>
          <cell r="O142">
            <v>1.2351578394180467</v>
          </cell>
        </row>
        <row r="144">
          <cell r="D144">
            <v>0.52</v>
          </cell>
          <cell r="E144">
            <v>0.52</v>
          </cell>
          <cell r="F144">
            <v>0.52</v>
          </cell>
          <cell r="G144">
            <v>0.52</v>
          </cell>
          <cell r="H144">
            <v>0.52</v>
          </cell>
          <cell r="I144">
            <v>0.52</v>
          </cell>
          <cell r="J144">
            <v>0.52</v>
          </cell>
          <cell r="K144">
            <v>0.52</v>
          </cell>
          <cell r="L144">
            <v>0.52</v>
          </cell>
          <cell r="M144">
            <v>0.52</v>
          </cell>
          <cell r="N144">
            <v>0.52</v>
          </cell>
          <cell r="O144">
            <v>0.52</v>
          </cell>
        </row>
        <row r="145">
          <cell r="D145">
            <v>0.52</v>
          </cell>
          <cell r="E145">
            <v>0.52</v>
          </cell>
          <cell r="F145">
            <v>0.52</v>
          </cell>
          <cell r="G145">
            <v>0.52</v>
          </cell>
          <cell r="H145">
            <v>0.52</v>
          </cell>
          <cell r="I145">
            <v>0.52</v>
          </cell>
          <cell r="J145">
            <v>0.52</v>
          </cell>
          <cell r="K145">
            <v>0.52</v>
          </cell>
          <cell r="L145">
            <v>0.52</v>
          </cell>
          <cell r="M145">
            <v>0.52</v>
          </cell>
          <cell r="N145">
            <v>0.52</v>
          </cell>
          <cell r="O145">
            <v>0.52</v>
          </cell>
        </row>
        <row r="146">
          <cell r="B146" t="str">
            <v>Hilux 4 X 2 Deckless</v>
          </cell>
          <cell r="D146">
            <v>37073</v>
          </cell>
          <cell r="E146">
            <v>37104</v>
          </cell>
          <cell r="F146">
            <v>37135</v>
          </cell>
          <cell r="G146">
            <v>37166</v>
          </cell>
          <cell r="H146">
            <v>37197</v>
          </cell>
          <cell r="I146">
            <v>37228</v>
          </cell>
          <cell r="J146">
            <v>37259</v>
          </cell>
          <cell r="K146">
            <v>37290</v>
          </cell>
          <cell r="L146">
            <v>37321</v>
          </cell>
          <cell r="M146">
            <v>37352</v>
          </cell>
          <cell r="N146">
            <v>37383</v>
          </cell>
          <cell r="O146">
            <v>37414</v>
          </cell>
        </row>
        <row r="147">
          <cell r="B147" t="str">
            <v>CKD cost at factory</v>
          </cell>
          <cell r="D147">
            <v>456549.51474417676</v>
          </cell>
          <cell r="E147">
            <v>456549.51474417676</v>
          </cell>
          <cell r="F147">
            <v>456549.51474417676</v>
          </cell>
          <cell r="G147">
            <v>456549.51474417676</v>
          </cell>
          <cell r="H147">
            <v>456549.51474417676</v>
          </cell>
          <cell r="I147">
            <v>456549.51474417676</v>
          </cell>
          <cell r="J147">
            <v>456549.51474417676</v>
          </cell>
          <cell r="K147">
            <v>456549.51474417676</v>
          </cell>
          <cell r="L147">
            <v>456549.51474417676</v>
          </cell>
          <cell r="M147">
            <v>456549.51474417676</v>
          </cell>
          <cell r="N147">
            <v>456549.51474417676</v>
          </cell>
          <cell r="O147">
            <v>456549.51474417676</v>
          </cell>
          <cell r="P147">
            <v>282777.48525582324</v>
          </cell>
        </row>
        <row r="148">
          <cell r="B148" t="str">
            <v>KMC DMI</v>
          </cell>
          <cell r="C148" t="str">
            <v>0.30% of (DAV +Duty)*S.Tax)</v>
          </cell>
          <cell r="D148">
            <v>1566.3301803527042</v>
          </cell>
          <cell r="E148">
            <v>1566.3301803527042</v>
          </cell>
          <cell r="F148">
            <v>1566.3301803527042</v>
          </cell>
          <cell r="G148">
            <v>1566.3301803527042</v>
          </cell>
          <cell r="H148">
            <v>1566.3301803527042</v>
          </cell>
          <cell r="I148">
            <v>1566.3301803527042</v>
          </cell>
          <cell r="J148">
            <v>1566.3301803527042</v>
          </cell>
          <cell r="K148">
            <v>1566.3301803527042</v>
          </cell>
          <cell r="L148">
            <v>1566.3301803527042</v>
          </cell>
          <cell r="M148">
            <v>1566.3301803527042</v>
          </cell>
          <cell r="N148">
            <v>1566.3301803527042</v>
          </cell>
          <cell r="O148">
            <v>1566.3301803527042</v>
          </cell>
        </row>
        <row r="149">
          <cell r="B149" t="str">
            <v>Clearing charge</v>
          </cell>
          <cell r="C149" t="str">
            <v>0.05% of DAV</v>
          </cell>
          <cell r="D149">
            <v>1891.7031163680003</v>
          </cell>
          <cell r="E149">
            <v>1891.7031163680003</v>
          </cell>
          <cell r="F149">
            <v>1891.7031163680003</v>
          </cell>
          <cell r="G149">
            <v>1891.7031163680003</v>
          </cell>
          <cell r="H149">
            <v>1891.7031163680003</v>
          </cell>
          <cell r="I149">
            <v>1891.7031163680003</v>
          </cell>
          <cell r="J149">
            <v>1891.7031163680003</v>
          </cell>
          <cell r="K149">
            <v>1891.7031163680003</v>
          </cell>
          <cell r="L149">
            <v>1891.7031163680003</v>
          </cell>
          <cell r="M149">
            <v>1891.7031163680003</v>
          </cell>
          <cell r="N149">
            <v>1891.7031163680003</v>
          </cell>
          <cell r="O149">
            <v>1891.7031163680003</v>
          </cell>
        </row>
        <row r="150">
          <cell r="B150" t="str">
            <v>Wharfage</v>
          </cell>
          <cell r="D150">
            <v>500</v>
          </cell>
          <cell r="E150">
            <v>500</v>
          </cell>
          <cell r="F150">
            <v>500</v>
          </cell>
          <cell r="G150">
            <v>500</v>
          </cell>
          <cell r="H150">
            <v>500</v>
          </cell>
          <cell r="I150">
            <v>500</v>
          </cell>
          <cell r="J150">
            <v>500</v>
          </cell>
          <cell r="K150">
            <v>500</v>
          </cell>
          <cell r="L150">
            <v>500</v>
          </cell>
          <cell r="M150">
            <v>500</v>
          </cell>
          <cell r="N150">
            <v>500</v>
          </cell>
          <cell r="O150">
            <v>500</v>
          </cell>
        </row>
        <row r="151">
          <cell r="B151" t="str">
            <v>L/c Opening &amp; Bank Charges</v>
          </cell>
          <cell r="D151">
            <v>2217.7708800000005</v>
          </cell>
          <cell r="E151">
            <v>2217.7708800000005</v>
          </cell>
          <cell r="F151">
            <v>2217.7708800000005</v>
          </cell>
          <cell r="G151">
            <v>2217.7708800000005</v>
          </cell>
          <cell r="H151">
            <v>2217.7708800000005</v>
          </cell>
          <cell r="I151">
            <v>2217.7708800000005</v>
          </cell>
          <cell r="J151">
            <v>2217.7708800000005</v>
          </cell>
          <cell r="K151">
            <v>2217.7708800000005</v>
          </cell>
          <cell r="L151">
            <v>2217.7708800000005</v>
          </cell>
          <cell r="M151">
            <v>2217.7708800000005</v>
          </cell>
          <cell r="N151">
            <v>2217.7708800000005</v>
          </cell>
          <cell r="O151">
            <v>2217.7708800000005</v>
          </cell>
        </row>
        <row r="152">
          <cell r="B152" t="str">
            <v xml:space="preserve">Inland transport </v>
          </cell>
          <cell r="C152" t="str">
            <v>0.1% of DAV</v>
          </cell>
          <cell r="D152">
            <v>3783.4062327360007</v>
          </cell>
          <cell r="E152">
            <v>3783.4062327360007</v>
          </cell>
          <cell r="F152">
            <v>3783.4062327360007</v>
          </cell>
          <cell r="G152">
            <v>3783.4062327360007</v>
          </cell>
          <cell r="H152">
            <v>3783.4062327360007</v>
          </cell>
          <cell r="I152">
            <v>3783.4062327360007</v>
          </cell>
          <cell r="J152">
            <v>3783.4062327360007</v>
          </cell>
          <cell r="K152">
            <v>3783.4062327360007</v>
          </cell>
          <cell r="L152">
            <v>3783.4062327360007</v>
          </cell>
          <cell r="M152">
            <v>3783.4062327360007</v>
          </cell>
          <cell r="N152">
            <v>3783.4062327360007</v>
          </cell>
          <cell r="O152">
            <v>3783.4062327360007</v>
          </cell>
        </row>
        <row r="153">
          <cell r="B153" t="str">
            <v xml:space="preserve">Import Duty </v>
          </cell>
          <cell r="C153" t="str">
            <v>20% of   (DAV)</v>
          </cell>
          <cell r="D153">
            <v>75668.124654720013</v>
          </cell>
          <cell r="E153">
            <v>75668.124654720013</v>
          </cell>
          <cell r="F153">
            <v>75668.124654720013</v>
          </cell>
          <cell r="G153">
            <v>75668.124654720013</v>
          </cell>
          <cell r="H153">
            <v>75668.124654720013</v>
          </cell>
          <cell r="I153">
            <v>75668.124654720013</v>
          </cell>
          <cell r="J153">
            <v>75668.124654720013</v>
          </cell>
          <cell r="K153">
            <v>75668.124654720013</v>
          </cell>
          <cell r="L153">
            <v>75668.124654720013</v>
          </cell>
          <cell r="M153">
            <v>75668.124654720013</v>
          </cell>
          <cell r="N153">
            <v>75668.124654720013</v>
          </cell>
          <cell r="O153">
            <v>75668.124654720013</v>
          </cell>
        </row>
        <row r="154">
          <cell r="B154" t="str">
            <v>(DAV)</v>
          </cell>
          <cell r="C154" t="str">
            <v>(C &amp; F Rupee  - Loading)</v>
          </cell>
          <cell r="D154">
            <v>378340.62327360007</v>
          </cell>
          <cell r="E154">
            <v>378340.62327360007</v>
          </cell>
          <cell r="F154">
            <v>378340.62327360007</v>
          </cell>
          <cell r="G154">
            <v>378340.62327360007</v>
          </cell>
          <cell r="H154">
            <v>378340.62327360007</v>
          </cell>
          <cell r="I154">
            <v>378340.62327360007</v>
          </cell>
          <cell r="J154">
            <v>378340.62327360007</v>
          </cell>
          <cell r="K154">
            <v>378340.62327360007</v>
          </cell>
          <cell r="L154">
            <v>378340.62327360007</v>
          </cell>
          <cell r="M154">
            <v>378340.62327360007</v>
          </cell>
          <cell r="N154">
            <v>378340.62327360007</v>
          </cell>
          <cell r="O154">
            <v>378340.62327360007</v>
          </cell>
        </row>
        <row r="155">
          <cell r="B155" t="str">
            <v>CIF (Rupees)</v>
          </cell>
          <cell r="C155" t="str">
            <v>Actual</v>
          </cell>
          <cell r="D155">
            <v>370922.17968000006</v>
          </cell>
          <cell r="E155">
            <v>370922.17968000006</v>
          </cell>
          <cell r="F155">
            <v>370922.17968000006</v>
          </cell>
          <cell r="G155">
            <v>370922.17968000006</v>
          </cell>
          <cell r="H155">
            <v>370922.17968000006</v>
          </cell>
          <cell r="I155">
            <v>370922.17968000006</v>
          </cell>
          <cell r="J155">
            <v>370922.17968000006</v>
          </cell>
          <cell r="K155">
            <v>370922.17968000006</v>
          </cell>
          <cell r="L155">
            <v>370922.17968000006</v>
          </cell>
          <cell r="M155">
            <v>370922.17968000006</v>
          </cell>
          <cell r="N155">
            <v>370922.17968000006</v>
          </cell>
          <cell r="O155">
            <v>370922.17968000006</v>
          </cell>
        </row>
        <row r="156">
          <cell r="B156" t="str">
            <v>Insurance</v>
          </cell>
          <cell r="C156" t="str">
            <v>Actual</v>
          </cell>
          <cell r="D156">
            <v>1293.6996800000002</v>
          </cell>
          <cell r="E156">
            <v>1293.6996800000002</v>
          </cell>
          <cell r="F156">
            <v>1293.6996800000002</v>
          </cell>
          <cell r="G156">
            <v>1293.6996800000002</v>
          </cell>
          <cell r="H156">
            <v>1293.6996800000002</v>
          </cell>
          <cell r="I156">
            <v>1293.6996800000002</v>
          </cell>
          <cell r="J156">
            <v>1293.6996800000002</v>
          </cell>
          <cell r="K156">
            <v>1293.6996800000002</v>
          </cell>
          <cell r="L156">
            <v>1293.6996800000002</v>
          </cell>
          <cell r="M156">
            <v>1293.6996800000002</v>
          </cell>
          <cell r="N156">
            <v>1293.6996800000002</v>
          </cell>
          <cell r="O156">
            <v>1293.6996800000002</v>
          </cell>
        </row>
        <row r="157">
          <cell r="B157" t="str">
            <v>C &amp; F (Rupees)</v>
          </cell>
          <cell r="C157" t="str">
            <v>Actual</v>
          </cell>
          <cell r="D157">
            <v>369628.48000000004</v>
          </cell>
          <cell r="E157">
            <v>369628.48000000004</v>
          </cell>
          <cell r="F157">
            <v>369628.48000000004</v>
          </cell>
          <cell r="G157">
            <v>369628.48000000004</v>
          </cell>
          <cell r="H157">
            <v>369628.48000000004</v>
          </cell>
          <cell r="I157">
            <v>369628.48000000004</v>
          </cell>
          <cell r="J157">
            <v>369628.48000000004</v>
          </cell>
          <cell r="K157">
            <v>369628.48000000004</v>
          </cell>
          <cell r="L157">
            <v>369628.48000000004</v>
          </cell>
          <cell r="M157">
            <v>369628.48000000004</v>
          </cell>
          <cell r="N157">
            <v>369628.48000000004</v>
          </cell>
          <cell r="O157">
            <v>369628.48000000004</v>
          </cell>
        </row>
        <row r="158">
          <cell r="B158" t="str">
            <v>Exchange rate</v>
          </cell>
          <cell r="C158" t="str">
            <v>¥ to Re</v>
          </cell>
          <cell r="D158">
            <v>1.9230769230769229</v>
          </cell>
          <cell r="E158">
            <v>1.9230769230769229</v>
          </cell>
          <cell r="F158">
            <v>1.9230769230769229</v>
          </cell>
          <cell r="G158">
            <v>1.9230769230769229</v>
          </cell>
          <cell r="H158">
            <v>1.9230769230769229</v>
          </cell>
          <cell r="I158">
            <v>1.9230769230769229</v>
          </cell>
          <cell r="J158">
            <v>1.9230769230769229</v>
          </cell>
          <cell r="K158">
            <v>1.9230769230769229</v>
          </cell>
          <cell r="L158">
            <v>1.9230769230769229</v>
          </cell>
          <cell r="M158">
            <v>1.9230769230769229</v>
          </cell>
          <cell r="N158">
            <v>1.9230769230769229</v>
          </cell>
          <cell r="O158">
            <v>1.9230769230769229</v>
          </cell>
        </row>
        <row r="159">
          <cell r="B159" t="str">
            <v>C &amp; F (Yen)</v>
          </cell>
          <cell r="C159" t="str">
            <v>Actual</v>
          </cell>
          <cell r="D159">
            <v>710824</v>
          </cell>
          <cell r="E159">
            <v>710824</v>
          </cell>
          <cell r="F159">
            <v>710824</v>
          </cell>
          <cell r="G159">
            <v>710824</v>
          </cell>
          <cell r="H159">
            <v>710824</v>
          </cell>
          <cell r="I159">
            <v>710824</v>
          </cell>
          <cell r="J159">
            <v>710824</v>
          </cell>
          <cell r="K159">
            <v>710824</v>
          </cell>
          <cell r="L159">
            <v>710824</v>
          </cell>
          <cell r="M159">
            <v>710824</v>
          </cell>
          <cell r="N159">
            <v>710824</v>
          </cell>
          <cell r="O159">
            <v>710824</v>
          </cell>
        </row>
        <row r="160">
          <cell r="B160" t="str">
            <v>Freight</v>
          </cell>
          <cell r="D160">
            <v>0</v>
          </cell>
          <cell r="E160">
            <v>0</v>
          </cell>
          <cell r="F160">
            <v>0</v>
          </cell>
          <cell r="G160">
            <v>0</v>
          </cell>
          <cell r="H160">
            <v>0</v>
          </cell>
          <cell r="I160">
            <v>0</v>
          </cell>
          <cell r="J160">
            <v>0</v>
          </cell>
          <cell r="K160">
            <v>0</v>
          </cell>
          <cell r="L160">
            <v>0</v>
          </cell>
          <cell r="M160">
            <v>0</v>
          </cell>
          <cell r="N160">
            <v>0</v>
          </cell>
          <cell r="O160">
            <v>0</v>
          </cell>
        </row>
        <row r="161">
          <cell r="B161" t="str">
            <v>TTC FOB</v>
          </cell>
          <cell r="D161">
            <v>710824</v>
          </cell>
          <cell r="E161">
            <v>710824</v>
          </cell>
          <cell r="F161">
            <v>710824</v>
          </cell>
          <cell r="G161">
            <v>710824</v>
          </cell>
          <cell r="H161">
            <v>710824</v>
          </cell>
          <cell r="I161">
            <v>710824</v>
          </cell>
          <cell r="J161">
            <v>710824</v>
          </cell>
          <cell r="K161">
            <v>710824</v>
          </cell>
          <cell r="L161">
            <v>710824</v>
          </cell>
          <cell r="M161">
            <v>710824</v>
          </cell>
          <cell r="N161">
            <v>710824</v>
          </cell>
          <cell r="O161">
            <v>710824</v>
          </cell>
        </row>
        <row r="162">
          <cell r="D162">
            <v>1.2351578394180467</v>
          </cell>
          <cell r="E162">
            <v>1.2351578394180467</v>
          </cell>
          <cell r="F162">
            <v>1.2351578394180467</v>
          </cell>
          <cell r="G162">
            <v>1.2351578394180467</v>
          </cell>
          <cell r="H162">
            <v>1.2351578394180467</v>
          </cell>
          <cell r="I162">
            <v>1.2351578394180467</v>
          </cell>
          <cell r="J162">
            <v>1.2351578394180467</v>
          </cell>
          <cell r="K162">
            <v>1.2351578394180467</v>
          </cell>
          <cell r="L162">
            <v>1.2351578394180467</v>
          </cell>
          <cell r="M162">
            <v>1.2351578394180467</v>
          </cell>
          <cell r="N162">
            <v>1.2351578394180467</v>
          </cell>
          <cell r="O162">
            <v>1.2351578394180467</v>
          </cell>
        </row>
        <row r="164">
          <cell r="D164">
            <v>0.52</v>
          </cell>
          <cell r="E164">
            <v>0.52</v>
          </cell>
          <cell r="F164">
            <v>0.52</v>
          </cell>
          <cell r="G164">
            <v>0.52</v>
          </cell>
          <cell r="H164">
            <v>0.52</v>
          </cell>
          <cell r="I164">
            <v>0.52</v>
          </cell>
          <cell r="J164">
            <v>0.52</v>
          </cell>
          <cell r="K164">
            <v>0.52</v>
          </cell>
          <cell r="L164">
            <v>0.52</v>
          </cell>
          <cell r="M164">
            <v>0.52</v>
          </cell>
          <cell r="N164">
            <v>0.52</v>
          </cell>
          <cell r="O164">
            <v>0.52</v>
          </cell>
        </row>
        <row r="165">
          <cell r="D165">
            <v>0.52</v>
          </cell>
          <cell r="E165">
            <v>0.52</v>
          </cell>
          <cell r="F165">
            <v>0.52</v>
          </cell>
          <cell r="G165">
            <v>0.52</v>
          </cell>
          <cell r="H165">
            <v>0.52</v>
          </cell>
          <cell r="I165">
            <v>0.52</v>
          </cell>
          <cell r="J165">
            <v>0.52</v>
          </cell>
          <cell r="K165">
            <v>0.52</v>
          </cell>
          <cell r="L165">
            <v>0.52</v>
          </cell>
          <cell r="M165">
            <v>0.52</v>
          </cell>
          <cell r="N165">
            <v>0.52</v>
          </cell>
          <cell r="O165">
            <v>0.52</v>
          </cell>
        </row>
        <row r="166">
          <cell r="B166" t="str">
            <v xml:space="preserve">Cuore </v>
          </cell>
          <cell r="D166">
            <v>37073</v>
          </cell>
          <cell r="E166">
            <v>37104</v>
          </cell>
          <cell r="F166">
            <v>37135</v>
          </cell>
          <cell r="G166">
            <v>37166</v>
          </cell>
          <cell r="H166">
            <v>37197</v>
          </cell>
          <cell r="I166">
            <v>37228</v>
          </cell>
          <cell r="J166">
            <v>37259</v>
          </cell>
          <cell r="K166">
            <v>37290</v>
          </cell>
          <cell r="L166">
            <v>37321</v>
          </cell>
          <cell r="M166">
            <v>37352</v>
          </cell>
          <cell r="N166">
            <v>37383</v>
          </cell>
          <cell r="O166">
            <v>37414</v>
          </cell>
        </row>
        <row r="167">
          <cell r="B167" t="str">
            <v>CKD cost at factory</v>
          </cell>
          <cell r="D167">
            <v>185405.57509915665</v>
          </cell>
          <cell r="E167">
            <v>185405.57509915665</v>
          </cell>
          <cell r="F167">
            <v>185405.57509915665</v>
          </cell>
          <cell r="G167">
            <v>185405.57509915665</v>
          </cell>
          <cell r="H167">
            <v>185405.57509915665</v>
          </cell>
          <cell r="I167">
            <v>185405.57509915665</v>
          </cell>
          <cell r="J167">
            <v>185405.57509915665</v>
          </cell>
          <cell r="K167">
            <v>185405.57509915665</v>
          </cell>
          <cell r="L167">
            <v>185405.57509915665</v>
          </cell>
          <cell r="M167">
            <v>185405.57509915665</v>
          </cell>
          <cell r="N167">
            <v>185405.57509915665</v>
          </cell>
          <cell r="O167">
            <v>185405.57509915665</v>
          </cell>
        </row>
        <row r="168">
          <cell r="B168" t="str">
            <v>KMC DMI</v>
          </cell>
          <cell r="C168" t="str">
            <v>0.30% of (DAV +Duty)*S.Tax)</v>
          </cell>
          <cell r="D168">
            <v>635.14301651061305</v>
          </cell>
          <cell r="E168">
            <v>635.14301651061305</v>
          </cell>
          <cell r="F168">
            <v>635.14301651061305</v>
          </cell>
          <cell r="G168">
            <v>635.14301651061305</v>
          </cell>
          <cell r="H168">
            <v>635.14301651061305</v>
          </cell>
          <cell r="I168">
            <v>635.14301651061305</v>
          </cell>
          <cell r="J168">
            <v>635.14301651061305</v>
          </cell>
          <cell r="K168">
            <v>635.14301651061305</v>
          </cell>
          <cell r="L168">
            <v>635.14301651061305</v>
          </cell>
          <cell r="M168">
            <v>635.14301651061305</v>
          </cell>
          <cell r="N168">
            <v>635.14301651061305</v>
          </cell>
          <cell r="O168">
            <v>635.14301651061305</v>
          </cell>
        </row>
        <row r="169">
          <cell r="B169" t="str">
            <v>Clearing charge</v>
          </cell>
          <cell r="C169" t="str">
            <v>0.05% of DAV</v>
          </cell>
          <cell r="D169">
            <v>681.84972250200008</v>
          </cell>
          <cell r="E169">
            <v>681.84972250200008</v>
          </cell>
          <cell r="F169">
            <v>681.84972250200008</v>
          </cell>
          <cell r="G169">
            <v>681.84972250200008</v>
          </cell>
          <cell r="H169">
            <v>681.84972250200008</v>
          </cell>
          <cell r="I169">
            <v>681.84972250200008</v>
          </cell>
          <cell r="J169">
            <v>681.84972250200008</v>
          </cell>
          <cell r="K169">
            <v>681.84972250200008</v>
          </cell>
          <cell r="L169">
            <v>681.84972250200008</v>
          </cell>
          <cell r="M169">
            <v>681.84972250200008</v>
          </cell>
          <cell r="N169">
            <v>681.84972250200008</v>
          </cell>
          <cell r="O169">
            <v>681.84972250200008</v>
          </cell>
        </row>
        <row r="170">
          <cell r="B170" t="str">
            <v>Wharfage</v>
          </cell>
          <cell r="D170">
            <v>500</v>
          </cell>
          <cell r="E170">
            <v>500</v>
          </cell>
          <cell r="F170">
            <v>500</v>
          </cell>
          <cell r="G170">
            <v>500</v>
          </cell>
          <cell r="H170">
            <v>500</v>
          </cell>
          <cell r="I170">
            <v>500</v>
          </cell>
          <cell r="J170">
            <v>500</v>
          </cell>
          <cell r="K170">
            <v>500</v>
          </cell>
          <cell r="L170">
            <v>500</v>
          </cell>
          <cell r="M170">
            <v>500</v>
          </cell>
          <cell r="N170">
            <v>500</v>
          </cell>
          <cell r="O170">
            <v>500</v>
          </cell>
        </row>
        <row r="171">
          <cell r="B171" t="str">
            <v>L/c Opening &amp; Bank Charges</v>
          </cell>
          <cell r="D171">
            <v>799.37832000000003</v>
          </cell>
          <cell r="E171">
            <v>799.37832000000003</v>
          </cell>
          <cell r="F171">
            <v>799.37832000000003</v>
          </cell>
          <cell r="G171">
            <v>799.37832000000003</v>
          </cell>
          <cell r="H171">
            <v>799.37832000000003</v>
          </cell>
          <cell r="I171">
            <v>799.37832000000003</v>
          </cell>
          <cell r="J171">
            <v>799.37832000000003</v>
          </cell>
          <cell r="K171">
            <v>799.37832000000003</v>
          </cell>
          <cell r="L171">
            <v>799.37832000000003</v>
          </cell>
          <cell r="M171">
            <v>799.37832000000003</v>
          </cell>
          <cell r="N171">
            <v>799.37832000000003</v>
          </cell>
          <cell r="O171">
            <v>799.37832000000003</v>
          </cell>
        </row>
        <row r="172">
          <cell r="B172" t="str">
            <v xml:space="preserve">Inland transport </v>
          </cell>
          <cell r="C172" t="str">
            <v>0.1% of DAV</v>
          </cell>
          <cell r="D172">
            <v>1363.6994450040002</v>
          </cell>
          <cell r="E172">
            <v>1363.6994450040002</v>
          </cell>
          <cell r="F172">
            <v>1363.6994450040002</v>
          </cell>
          <cell r="G172">
            <v>1363.6994450040002</v>
          </cell>
          <cell r="H172">
            <v>1363.6994450040002</v>
          </cell>
          <cell r="I172">
            <v>1363.6994450040002</v>
          </cell>
          <cell r="J172">
            <v>1363.6994450040002</v>
          </cell>
          <cell r="K172">
            <v>1363.6994450040002</v>
          </cell>
          <cell r="L172">
            <v>1363.6994450040002</v>
          </cell>
          <cell r="M172">
            <v>1363.6994450040002</v>
          </cell>
          <cell r="N172">
            <v>1363.6994450040002</v>
          </cell>
          <cell r="O172">
            <v>1363.6994450040002</v>
          </cell>
        </row>
        <row r="173">
          <cell r="B173" t="str">
            <v xml:space="preserve">Import Duty </v>
          </cell>
          <cell r="C173" t="str">
            <v>35% of   (DAV)</v>
          </cell>
          <cell r="D173">
            <v>47729.480575140005</v>
          </cell>
          <cell r="E173">
            <v>47729.480575140005</v>
          </cell>
          <cell r="F173">
            <v>47729.480575140005</v>
          </cell>
          <cell r="G173">
            <v>47729.480575140005</v>
          </cell>
          <cell r="H173">
            <v>47729.480575140005</v>
          </cell>
          <cell r="I173">
            <v>47729.480575140005</v>
          </cell>
          <cell r="J173">
            <v>47729.480575140005</v>
          </cell>
          <cell r="K173">
            <v>47729.480575140005</v>
          </cell>
          <cell r="L173">
            <v>47729.480575140005</v>
          </cell>
          <cell r="M173">
            <v>47729.480575140005</v>
          </cell>
          <cell r="N173">
            <v>47729.480575140005</v>
          </cell>
          <cell r="O173">
            <v>47729.480575140005</v>
          </cell>
        </row>
        <row r="174">
          <cell r="B174" t="str">
            <v>(DAV)</v>
          </cell>
          <cell r="C174" t="str">
            <v>(C &amp; F Rupee  - Loading)</v>
          </cell>
          <cell r="D174">
            <v>136369.94450040002</v>
          </cell>
          <cell r="E174">
            <v>136369.94450040002</v>
          </cell>
          <cell r="F174">
            <v>136369.94450040002</v>
          </cell>
          <cell r="G174">
            <v>136369.94450040002</v>
          </cell>
          <cell r="H174">
            <v>136369.94450040002</v>
          </cell>
          <cell r="I174">
            <v>136369.94450040002</v>
          </cell>
          <cell r="J174">
            <v>136369.94450040002</v>
          </cell>
          <cell r="K174">
            <v>136369.94450040002</v>
          </cell>
          <cell r="L174">
            <v>136369.94450040002</v>
          </cell>
          <cell r="M174">
            <v>136369.94450040002</v>
          </cell>
          <cell r="N174">
            <v>136369.94450040002</v>
          </cell>
          <cell r="O174">
            <v>136369.94450040002</v>
          </cell>
        </row>
        <row r="175">
          <cell r="B175" t="str">
            <v>CIF (Rupees)</v>
          </cell>
          <cell r="C175" t="str">
            <v>Actual</v>
          </cell>
          <cell r="D175">
            <v>133696.02402000001</v>
          </cell>
          <cell r="E175">
            <v>133696.02402000001</v>
          </cell>
          <cell r="F175">
            <v>133696.02402000001</v>
          </cell>
          <cell r="G175">
            <v>133696.02402000001</v>
          </cell>
          <cell r="H175">
            <v>133696.02402000001</v>
          </cell>
          <cell r="I175">
            <v>133696.02402000001</v>
          </cell>
          <cell r="J175">
            <v>133696.02402000001</v>
          </cell>
          <cell r="K175">
            <v>133696.02402000001</v>
          </cell>
          <cell r="L175">
            <v>133696.02402000001</v>
          </cell>
          <cell r="M175">
            <v>133696.02402000001</v>
          </cell>
          <cell r="N175">
            <v>133696.02402000001</v>
          </cell>
          <cell r="O175">
            <v>133696.02402000001</v>
          </cell>
        </row>
        <row r="176">
          <cell r="B176" t="str">
            <v>Insurance</v>
          </cell>
          <cell r="C176" t="str">
            <v>Actual</v>
          </cell>
          <cell r="D176">
            <v>466.30402000000004</v>
          </cell>
          <cell r="E176">
            <v>466.30402000000004</v>
          </cell>
          <cell r="F176">
            <v>466.30402000000004</v>
          </cell>
          <cell r="G176">
            <v>466.30402000000004</v>
          </cell>
          <cell r="H176">
            <v>466.30402000000004</v>
          </cell>
          <cell r="I176">
            <v>466.30402000000004</v>
          </cell>
          <cell r="J176">
            <v>466.30402000000004</v>
          </cell>
          <cell r="K176">
            <v>466.30402000000004</v>
          </cell>
          <cell r="L176">
            <v>466.30402000000004</v>
          </cell>
          <cell r="M176">
            <v>466.30402000000004</v>
          </cell>
          <cell r="N176">
            <v>466.30402000000004</v>
          </cell>
          <cell r="O176">
            <v>466.30402000000004</v>
          </cell>
        </row>
        <row r="177">
          <cell r="B177" t="str">
            <v>C &amp; F (Rupees)</v>
          </cell>
          <cell r="C177" t="str">
            <v>Actual</v>
          </cell>
          <cell r="D177">
            <v>133229.72</v>
          </cell>
          <cell r="E177">
            <v>133229.72</v>
          </cell>
          <cell r="F177">
            <v>133229.72</v>
          </cell>
          <cell r="G177">
            <v>133229.72</v>
          </cell>
          <cell r="H177">
            <v>133229.72</v>
          </cell>
          <cell r="I177">
            <v>133229.72</v>
          </cell>
          <cell r="J177">
            <v>133229.72</v>
          </cell>
          <cell r="K177">
            <v>133229.72</v>
          </cell>
          <cell r="L177">
            <v>133229.72</v>
          </cell>
          <cell r="M177">
            <v>133229.72</v>
          </cell>
          <cell r="N177">
            <v>133229.72</v>
          </cell>
          <cell r="O177">
            <v>133229.72</v>
          </cell>
        </row>
        <row r="178">
          <cell r="B178" t="str">
            <v>Exchange rate</v>
          </cell>
          <cell r="C178" t="str">
            <v>¥ to Re</v>
          </cell>
          <cell r="D178">
            <v>1.9230769230769229</v>
          </cell>
          <cell r="E178">
            <v>1.9230769230769229</v>
          </cell>
          <cell r="F178">
            <v>1.9230769230769229</v>
          </cell>
          <cell r="G178">
            <v>1.9230769230769229</v>
          </cell>
          <cell r="H178">
            <v>1.9230769230769229</v>
          </cell>
          <cell r="I178">
            <v>1.9230769230769229</v>
          </cell>
          <cell r="J178">
            <v>1.9230769230769229</v>
          </cell>
          <cell r="K178">
            <v>1.9230769230769229</v>
          </cell>
          <cell r="L178">
            <v>1.9230769230769229</v>
          </cell>
          <cell r="M178">
            <v>1.9230769230769229</v>
          </cell>
          <cell r="N178">
            <v>1.9230769230769229</v>
          </cell>
          <cell r="O178">
            <v>1.9230769230769229</v>
          </cell>
        </row>
        <row r="179">
          <cell r="B179" t="str">
            <v>C &amp; F (Yen)</v>
          </cell>
          <cell r="C179" t="str">
            <v>Actual</v>
          </cell>
          <cell r="D179">
            <v>256211</v>
          </cell>
          <cell r="E179">
            <v>256211</v>
          </cell>
          <cell r="F179">
            <v>256211</v>
          </cell>
          <cell r="G179">
            <v>256211</v>
          </cell>
          <cell r="H179">
            <v>256211</v>
          </cell>
          <cell r="I179">
            <v>256211</v>
          </cell>
          <cell r="J179">
            <v>256211</v>
          </cell>
          <cell r="K179">
            <v>256211</v>
          </cell>
          <cell r="L179">
            <v>256211</v>
          </cell>
          <cell r="M179">
            <v>256211</v>
          </cell>
          <cell r="N179">
            <v>256211</v>
          </cell>
          <cell r="O179">
            <v>256211</v>
          </cell>
        </row>
        <row r="180">
          <cell r="B180" t="str">
            <v>Freight</v>
          </cell>
          <cell r="D180">
            <v>0</v>
          </cell>
          <cell r="E180">
            <v>0</v>
          </cell>
          <cell r="F180">
            <v>0</v>
          </cell>
          <cell r="G180">
            <v>0</v>
          </cell>
          <cell r="H180">
            <v>0</v>
          </cell>
          <cell r="I180">
            <v>0</v>
          </cell>
          <cell r="J180">
            <v>0</v>
          </cell>
          <cell r="K180">
            <v>0</v>
          </cell>
          <cell r="L180">
            <v>0</v>
          </cell>
          <cell r="M180">
            <v>0</v>
          </cell>
          <cell r="N180">
            <v>0</v>
          </cell>
          <cell r="O180">
            <v>0</v>
          </cell>
        </row>
        <row r="181">
          <cell r="B181" t="str">
            <v>TTC FOB</v>
          </cell>
          <cell r="D181">
            <v>256211</v>
          </cell>
          <cell r="E181">
            <v>256211</v>
          </cell>
          <cell r="F181">
            <v>256211</v>
          </cell>
          <cell r="G181">
            <v>256211</v>
          </cell>
          <cell r="H181">
            <v>256211</v>
          </cell>
          <cell r="I181">
            <v>256211</v>
          </cell>
          <cell r="J181">
            <v>256211</v>
          </cell>
          <cell r="K181">
            <v>256211</v>
          </cell>
          <cell r="L181">
            <v>256211</v>
          </cell>
          <cell r="M181">
            <v>256211</v>
          </cell>
          <cell r="N181">
            <v>256211</v>
          </cell>
          <cell r="O181">
            <v>256211</v>
          </cell>
        </row>
        <row r="182">
          <cell r="D182">
            <v>1.3916232436663278</v>
          </cell>
          <cell r="E182">
            <v>1.3916232436663278</v>
          </cell>
          <cell r="F182">
            <v>1.3916232436663278</v>
          </cell>
          <cell r="G182">
            <v>1.3916232436663278</v>
          </cell>
          <cell r="H182">
            <v>1.3916232436663278</v>
          </cell>
          <cell r="I182">
            <v>1.3916232436663278</v>
          </cell>
          <cell r="J182">
            <v>1.3916232436663278</v>
          </cell>
          <cell r="K182">
            <v>1.3916232436663278</v>
          </cell>
          <cell r="L182">
            <v>1.3916232436663278</v>
          </cell>
          <cell r="M182">
            <v>1.3916232436663278</v>
          </cell>
          <cell r="N182">
            <v>1.3916232436663278</v>
          </cell>
          <cell r="O182">
            <v>1.3916232436663278</v>
          </cell>
        </row>
        <row r="186">
          <cell r="B186" t="str">
            <v>CBU</v>
          </cell>
        </row>
        <row r="188">
          <cell r="B188" t="str">
            <v>INDUS MOTOR COMPANY LIMITED</v>
          </cell>
        </row>
        <row r="189">
          <cell r="B189" t="str">
            <v>COMPUTATION OF LANDED COST</v>
          </cell>
        </row>
        <row r="190">
          <cell r="B190" t="str">
            <v>FOR THE YEAR 1998 ~ 99</v>
          </cell>
        </row>
        <row r="191">
          <cell r="D191">
            <v>0</v>
          </cell>
        </row>
        <row r="193">
          <cell r="B193" t="str">
            <v>4 x 2   - D/C</v>
          </cell>
          <cell r="D193">
            <v>548</v>
          </cell>
          <cell r="E193">
            <v>579</v>
          </cell>
          <cell r="F193">
            <v>610</v>
          </cell>
          <cell r="G193">
            <v>641</v>
          </cell>
          <cell r="H193">
            <v>672</v>
          </cell>
          <cell r="I193">
            <v>703</v>
          </cell>
          <cell r="J193">
            <v>734</v>
          </cell>
          <cell r="K193">
            <v>765</v>
          </cell>
          <cell r="L193">
            <v>796</v>
          </cell>
          <cell r="M193">
            <v>827</v>
          </cell>
          <cell r="N193">
            <v>858</v>
          </cell>
          <cell r="O193">
            <v>889</v>
          </cell>
        </row>
        <row r="195">
          <cell r="B195" t="str">
            <v>Document Retirement i.e. C &amp; F</v>
          </cell>
          <cell r="D195">
            <v>0.52</v>
          </cell>
          <cell r="E195">
            <v>0.52</v>
          </cell>
          <cell r="F195">
            <v>0.52</v>
          </cell>
          <cell r="G195">
            <v>0.52</v>
          </cell>
          <cell r="H195">
            <v>0.52</v>
          </cell>
          <cell r="I195">
            <v>0.52</v>
          </cell>
          <cell r="J195">
            <v>0.52</v>
          </cell>
          <cell r="K195">
            <v>0.52</v>
          </cell>
          <cell r="L195">
            <v>0.52</v>
          </cell>
          <cell r="M195">
            <v>0.52</v>
          </cell>
          <cell r="N195">
            <v>0.52</v>
          </cell>
          <cell r="O195">
            <v>0.52</v>
          </cell>
        </row>
        <row r="196">
          <cell r="B196" t="str">
            <v>Duty / Sales tax / Octroi / DMI / Tax etc.</v>
          </cell>
          <cell r="D196">
            <v>0.52</v>
          </cell>
          <cell r="E196">
            <v>0.52</v>
          </cell>
          <cell r="F196">
            <v>0.52</v>
          </cell>
          <cell r="G196">
            <v>0.52</v>
          </cell>
          <cell r="H196">
            <v>0.52</v>
          </cell>
          <cell r="I196">
            <v>0.52</v>
          </cell>
          <cell r="J196">
            <v>0.52</v>
          </cell>
          <cell r="K196">
            <v>0.52</v>
          </cell>
          <cell r="L196">
            <v>0.52</v>
          </cell>
          <cell r="M196">
            <v>0.52</v>
          </cell>
          <cell r="N196">
            <v>0.52</v>
          </cell>
          <cell r="O196">
            <v>0.52</v>
          </cell>
        </row>
        <row r="198">
          <cell r="B198" t="str">
            <v>QUANTITY</v>
          </cell>
          <cell r="D198">
            <v>1</v>
          </cell>
          <cell r="E198">
            <v>1</v>
          </cell>
          <cell r="F198">
            <v>1</v>
          </cell>
          <cell r="G198">
            <v>1</v>
          </cell>
          <cell r="H198">
            <v>1</v>
          </cell>
          <cell r="I198">
            <v>1</v>
          </cell>
          <cell r="J198">
            <v>1</v>
          </cell>
          <cell r="K198">
            <v>1</v>
          </cell>
          <cell r="L198">
            <v>1</v>
          </cell>
          <cell r="M198">
            <v>1</v>
          </cell>
          <cell r="N198">
            <v>1</v>
          </cell>
          <cell r="O198">
            <v>1</v>
          </cell>
        </row>
        <row r="199">
          <cell r="B199" t="str">
            <v>C &amp; F</v>
          </cell>
          <cell r="C199" t="str">
            <v>¥</v>
          </cell>
          <cell r="D199">
            <v>1324000</v>
          </cell>
          <cell r="E199">
            <v>1324000</v>
          </cell>
          <cell r="F199">
            <v>1324000</v>
          </cell>
          <cell r="G199">
            <v>1324000</v>
          </cell>
          <cell r="H199">
            <v>1324000</v>
          </cell>
          <cell r="I199">
            <v>1324000</v>
          </cell>
          <cell r="J199">
            <v>1324000</v>
          </cell>
          <cell r="K199">
            <v>1324000</v>
          </cell>
          <cell r="L199">
            <v>1324000</v>
          </cell>
          <cell r="M199">
            <v>1324000</v>
          </cell>
          <cell r="N199">
            <v>1324000</v>
          </cell>
          <cell r="O199">
            <v>1324000</v>
          </cell>
        </row>
        <row r="200">
          <cell r="B200" t="str">
            <v>F.O.B. VALUE - ITP</v>
          </cell>
          <cell r="C200" t="str">
            <v>¥</v>
          </cell>
          <cell r="D200">
            <v>1324000</v>
          </cell>
          <cell r="E200">
            <v>1324000</v>
          </cell>
          <cell r="F200">
            <v>1324000</v>
          </cell>
          <cell r="G200">
            <v>1324000</v>
          </cell>
          <cell r="H200">
            <v>1324000</v>
          </cell>
          <cell r="I200">
            <v>1324000</v>
          </cell>
          <cell r="J200">
            <v>1324000</v>
          </cell>
          <cell r="K200">
            <v>1324000</v>
          </cell>
          <cell r="L200">
            <v>1324000</v>
          </cell>
          <cell r="M200">
            <v>1324000</v>
          </cell>
          <cell r="N200">
            <v>1324000</v>
          </cell>
          <cell r="O200">
            <v>1324000</v>
          </cell>
        </row>
        <row r="201">
          <cell r="B201" t="str">
            <v>OPTIONS</v>
          </cell>
          <cell r="C201" t="str">
            <v>¥</v>
          </cell>
          <cell r="D201">
            <v>0</v>
          </cell>
          <cell r="E201">
            <v>0</v>
          </cell>
          <cell r="F201">
            <v>0</v>
          </cell>
          <cell r="G201">
            <v>0</v>
          </cell>
          <cell r="H201">
            <v>0</v>
          </cell>
          <cell r="I201">
            <v>0</v>
          </cell>
          <cell r="J201">
            <v>0</v>
          </cell>
          <cell r="K201">
            <v>0</v>
          </cell>
          <cell r="L201">
            <v>0</v>
          </cell>
          <cell r="M201">
            <v>0</v>
          </cell>
          <cell r="N201">
            <v>0</v>
          </cell>
          <cell r="O201">
            <v>0</v>
          </cell>
        </row>
        <row r="202">
          <cell r="B202" t="str">
            <v>COMMISSION  (FIXED)</v>
          </cell>
          <cell r="C202" t="str">
            <v>¥</v>
          </cell>
          <cell r="D202">
            <v>0</v>
          </cell>
          <cell r="E202">
            <v>0</v>
          </cell>
          <cell r="F202">
            <v>0</v>
          </cell>
          <cell r="G202">
            <v>0</v>
          </cell>
          <cell r="H202">
            <v>0</v>
          </cell>
          <cell r="I202">
            <v>0</v>
          </cell>
          <cell r="J202">
            <v>0</v>
          </cell>
          <cell r="K202">
            <v>0</v>
          </cell>
          <cell r="L202">
            <v>0</v>
          </cell>
          <cell r="M202">
            <v>0</v>
          </cell>
          <cell r="N202">
            <v>0</v>
          </cell>
          <cell r="O202">
            <v>0</v>
          </cell>
        </row>
        <row r="203">
          <cell r="B203" t="str">
            <v>ESTIMATED YEN</v>
          </cell>
          <cell r="C203" t="str">
            <v>¥</v>
          </cell>
        </row>
        <row r="204">
          <cell r="B204" t="str">
            <v>LOADING FOR ADVERTISING/WARRANTY</v>
          </cell>
          <cell r="C204" t="str">
            <v>¥</v>
          </cell>
          <cell r="D204">
            <v>0</v>
          </cell>
          <cell r="E204">
            <v>0</v>
          </cell>
          <cell r="F204">
            <v>0</v>
          </cell>
          <cell r="G204">
            <v>0</v>
          </cell>
          <cell r="H204">
            <v>0</v>
          </cell>
          <cell r="I204">
            <v>0</v>
          </cell>
          <cell r="J204">
            <v>0</v>
          </cell>
          <cell r="K204">
            <v>0</v>
          </cell>
          <cell r="L204">
            <v>0</v>
          </cell>
          <cell r="M204">
            <v>0</v>
          </cell>
          <cell r="N204">
            <v>0</v>
          </cell>
          <cell r="O204">
            <v>0</v>
          </cell>
        </row>
        <row r="205">
          <cell r="B205" t="str">
            <v>SUB - TOTAL</v>
          </cell>
          <cell r="C205" t="str">
            <v>¥</v>
          </cell>
          <cell r="D205">
            <v>1324000</v>
          </cell>
          <cell r="E205">
            <v>1324000</v>
          </cell>
          <cell r="F205">
            <v>1324000</v>
          </cell>
          <cell r="G205">
            <v>1324000</v>
          </cell>
          <cell r="H205">
            <v>1324000</v>
          </cell>
          <cell r="I205">
            <v>1324000</v>
          </cell>
          <cell r="J205">
            <v>1324000</v>
          </cell>
          <cell r="K205">
            <v>1324000</v>
          </cell>
          <cell r="L205">
            <v>1324000</v>
          </cell>
          <cell r="M205">
            <v>1324000</v>
          </cell>
          <cell r="N205">
            <v>1324000</v>
          </cell>
          <cell r="O205">
            <v>1324000</v>
          </cell>
        </row>
        <row r="206">
          <cell r="B206" t="str">
            <v>SUB - TOTAL</v>
          </cell>
          <cell r="C206" t="str">
            <v>Rs</v>
          </cell>
          <cell r="D206">
            <v>688480</v>
          </cell>
          <cell r="E206">
            <v>688480</v>
          </cell>
          <cell r="F206">
            <v>688480</v>
          </cell>
          <cell r="G206">
            <v>688480</v>
          </cell>
          <cell r="H206">
            <v>688480</v>
          </cell>
          <cell r="I206">
            <v>688480</v>
          </cell>
          <cell r="J206">
            <v>688480</v>
          </cell>
          <cell r="K206">
            <v>688480</v>
          </cell>
          <cell r="L206">
            <v>688480</v>
          </cell>
          <cell r="M206">
            <v>688480</v>
          </cell>
          <cell r="N206">
            <v>688480</v>
          </cell>
          <cell r="O206">
            <v>688480</v>
          </cell>
        </row>
        <row r="207">
          <cell r="B207" t="str">
            <v>INSURANCE @ 0.3% OF C&amp;F</v>
          </cell>
          <cell r="C207" t="str">
            <v>Rs</v>
          </cell>
          <cell r="D207">
            <v>2065.44</v>
          </cell>
          <cell r="E207">
            <v>2065.44</v>
          </cell>
          <cell r="F207">
            <v>2065.44</v>
          </cell>
          <cell r="G207">
            <v>2065.44</v>
          </cell>
          <cell r="H207">
            <v>2065.44</v>
          </cell>
          <cell r="I207">
            <v>2065.44</v>
          </cell>
          <cell r="J207">
            <v>2065.44</v>
          </cell>
          <cell r="K207">
            <v>2065.44</v>
          </cell>
          <cell r="L207">
            <v>2065.44</v>
          </cell>
          <cell r="M207">
            <v>2065.44</v>
          </cell>
          <cell r="N207">
            <v>2065.44</v>
          </cell>
          <cell r="O207">
            <v>2065.44</v>
          </cell>
        </row>
        <row r="208">
          <cell r="B208" t="str">
            <v>OCEAN FREIGHT</v>
          </cell>
          <cell r="C208" t="str">
            <v>Rs</v>
          </cell>
          <cell r="D208">
            <v>0</v>
          </cell>
          <cell r="E208">
            <v>0</v>
          </cell>
          <cell r="F208">
            <v>0</v>
          </cell>
          <cell r="G208">
            <v>0</v>
          </cell>
          <cell r="H208">
            <v>0</v>
          </cell>
          <cell r="I208">
            <v>0</v>
          </cell>
          <cell r="J208">
            <v>0</v>
          </cell>
          <cell r="K208">
            <v>0</v>
          </cell>
          <cell r="L208">
            <v>0</v>
          </cell>
          <cell r="M208">
            <v>0</v>
          </cell>
          <cell r="N208">
            <v>0</v>
          </cell>
          <cell r="O208">
            <v>0</v>
          </cell>
        </row>
        <row r="209">
          <cell r="B209" t="str">
            <v>TOTAL  C &amp; F</v>
          </cell>
          <cell r="C209" t="str">
            <v>Rs</v>
          </cell>
          <cell r="D209">
            <v>690545.44</v>
          </cell>
          <cell r="E209">
            <v>690545.44</v>
          </cell>
          <cell r="F209">
            <v>690545.44</v>
          </cell>
          <cell r="G209">
            <v>690545.44</v>
          </cell>
          <cell r="H209">
            <v>690545.44</v>
          </cell>
          <cell r="I209">
            <v>690545.44</v>
          </cell>
          <cell r="J209">
            <v>690545.44</v>
          </cell>
          <cell r="K209">
            <v>690545.44</v>
          </cell>
          <cell r="L209">
            <v>690545.44</v>
          </cell>
          <cell r="M209">
            <v>690545.44</v>
          </cell>
          <cell r="N209">
            <v>690545.44</v>
          </cell>
          <cell r="O209">
            <v>690545.44</v>
          </cell>
        </row>
        <row r="210">
          <cell r="B210" t="str">
            <v>LANDING  CHARGES 1%</v>
          </cell>
          <cell r="C210" t="str">
            <v>Rs</v>
          </cell>
          <cell r="D210">
            <v>6905.4543999999996</v>
          </cell>
          <cell r="E210">
            <v>6905.4543999999996</v>
          </cell>
          <cell r="F210">
            <v>6905.4543999999996</v>
          </cell>
          <cell r="G210">
            <v>6905.4543999999996</v>
          </cell>
          <cell r="H210">
            <v>6905.4543999999996</v>
          </cell>
          <cell r="I210">
            <v>6905.4543999999996</v>
          </cell>
          <cell r="J210">
            <v>6905.4543999999996</v>
          </cell>
          <cell r="K210">
            <v>6905.4543999999996</v>
          </cell>
          <cell r="L210">
            <v>6905.4543999999996</v>
          </cell>
          <cell r="M210">
            <v>6905.4543999999996</v>
          </cell>
          <cell r="N210">
            <v>6905.4543999999996</v>
          </cell>
          <cell r="O210">
            <v>6905.4543999999996</v>
          </cell>
        </row>
        <row r="211">
          <cell r="B211" t="str">
            <v>UNIT  VALUE</v>
          </cell>
          <cell r="C211" t="str">
            <v>Rs</v>
          </cell>
          <cell r="D211">
            <v>697450.89439999999</v>
          </cell>
          <cell r="E211">
            <v>697450.89439999999</v>
          </cell>
          <cell r="F211">
            <v>697450.89439999999</v>
          </cell>
          <cell r="G211">
            <v>697450.89439999999</v>
          </cell>
          <cell r="H211">
            <v>697450.89439999999</v>
          </cell>
          <cell r="I211">
            <v>697450.89439999999</v>
          </cell>
          <cell r="J211">
            <v>697450.89439999999</v>
          </cell>
          <cell r="K211">
            <v>697450.89439999999</v>
          </cell>
          <cell r="L211">
            <v>697450.89439999999</v>
          </cell>
          <cell r="M211">
            <v>697450.89439999999</v>
          </cell>
          <cell r="N211">
            <v>697450.89439999999</v>
          </cell>
          <cell r="O211">
            <v>697450.89439999999</v>
          </cell>
        </row>
        <row r="212">
          <cell r="B212" t="str">
            <v>DUTY ASSESSIBLE VALUE (DAV)</v>
          </cell>
          <cell r="C212">
            <v>1</v>
          </cell>
          <cell r="D212">
            <v>697450.89439999999</v>
          </cell>
          <cell r="E212">
            <v>697450.89439999999</v>
          </cell>
          <cell r="F212">
            <v>697450.89439999999</v>
          </cell>
          <cell r="G212">
            <v>697450.89439999999</v>
          </cell>
          <cell r="H212">
            <v>697450.89439999999</v>
          </cell>
          <cell r="I212">
            <v>697450.89439999999</v>
          </cell>
          <cell r="J212">
            <v>697450.89439999999</v>
          </cell>
          <cell r="K212">
            <v>697450.89439999999</v>
          </cell>
          <cell r="L212">
            <v>697450.89439999999</v>
          </cell>
          <cell r="M212">
            <v>697450.89439999999</v>
          </cell>
          <cell r="N212">
            <v>697450.89439999999</v>
          </cell>
          <cell r="O212">
            <v>697450.89439999999</v>
          </cell>
        </row>
        <row r="213">
          <cell r="B213" t="str">
            <v>C &amp; F</v>
          </cell>
          <cell r="C213">
            <v>2</v>
          </cell>
          <cell r="D213">
            <v>688480</v>
          </cell>
          <cell r="E213">
            <v>688480</v>
          </cell>
          <cell r="F213">
            <v>688480</v>
          </cell>
          <cell r="G213">
            <v>688480</v>
          </cell>
          <cell r="H213">
            <v>688480</v>
          </cell>
          <cell r="I213">
            <v>688480</v>
          </cell>
          <cell r="J213">
            <v>688480</v>
          </cell>
          <cell r="K213">
            <v>688480</v>
          </cell>
          <cell r="L213">
            <v>688480</v>
          </cell>
          <cell r="M213">
            <v>688480</v>
          </cell>
          <cell r="N213">
            <v>688480</v>
          </cell>
          <cell r="O213">
            <v>688480</v>
          </cell>
        </row>
        <row r="214">
          <cell r="B214" t="str">
            <v>BANK  CHARGES  @ 0.5 %       OF (2)</v>
          </cell>
          <cell r="C214">
            <v>3</v>
          </cell>
          <cell r="D214">
            <v>3442.4</v>
          </cell>
          <cell r="E214">
            <v>3442.4</v>
          </cell>
          <cell r="F214">
            <v>3442.4</v>
          </cell>
          <cell r="G214">
            <v>3442.4</v>
          </cell>
          <cell r="H214">
            <v>3442.4</v>
          </cell>
          <cell r="I214">
            <v>3442.4</v>
          </cell>
          <cell r="J214">
            <v>3442.4</v>
          </cell>
          <cell r="K214">
            <v>3442.4</v>
          </cell>
          <cell r="L214">
            <v>3442.4</v>
          </cell>
          <cell r="M214">
            <v>3442.4</v>
          </cell>
          <cell r="N214">
            <v>3442.4</v>
          </cell>
          <cell r="O214">
            <v>3442.4</v>
          </cell>
        </row>
        <row r="215">
          <cell r="B215" t="str">
            <v>LC OPENING CHG @ 0.35 %      OF (2)</v>
          </cell>
          <cell r="C215">
            <v>4</v>
          </cell>
          <cell r="D215">
            <v>2409.6799999999998</v>
          </cell>
          <cell r="E215">
            <v>2409.6799999999998</v>
          </cell>
          <cell r="F215">
            <v>2409.6799999999998</v>
          </cell>
          <cell r="G215">
            <v>2409.6799999999998</v>
          </cell>
          <cell r="H215">
            <v>2409.6799999999998</v>
          </cell>
          <cell r="I215">
            <v>2409.6799999999998</v>
          </cell>
          <cell r="J215">
            <v>2409.6799999999998</v>
          </cell>
          <cell r="K215">
            <v>2409.6799999999998</v>
          </cell>
          <cell r="L215">
            <v>2409.6799999999998</v>
          </cell>
          <cell r="M215">
            <v>2409.6799999999998</v>
          </cell>
          <cell r="N215">
            <v>2409.6799999999998</v>
          </cell>
          <cell r="O215">
            <v>2409.6799999999998</v>
          </cell>
        </row>
        <row r="216">
          <cell r="B216" t="str">
            <v>ITP Valuation Provisional 8% of (1)</v>
          </cell>
          <cell r="C216">
            <v>5</v>
          </cell>
          <cell r="D216">
            <v>55796.071552000001</v>
          </cell>
          <cell r="E216">
            <v>55796.071552000001</v>
          </cell>
          <cell r="F216">
            <v>55796.071552000001</v>
          </cell>
          <cell r="G216">
            <v>55796.071552000001</v>
          </cell>
          <cell r="H216">
            <v>55796.071552000001</v>
          </cell>
          <cell r="I216">
            <v>55796.071552000001</v>
          </cell>
          <cell r="J216">
            <v>55796.071552000001</v>
          </cell>
          <cell r="K216">
            <v>55796.071552000001</v>
          </cell>
          <cell r="L216">
            <v>55796.071552000001</v>
          </cell>
          <cell r="M216">
            <v>55796.071552000001</v>
          </cell>
          <cell r="N216">
            <v>55796.071552000001</v>
          </cell>
          <cell r="O216">
            <v>55796.071552000001</v>
          </cell>
        </row>
        <row r="217">
          <cell r="B217" t="str">
            <v>INSURANCE @ 0.3 %                OF (2)</v>
          </cell>
          <cell r="C217">
            <v>6</v>
          </cell>
          <cell r="D217">
            <v>2065.44</v>
          </cell>
          <cell r="E217">
            <v>2065.44</v>
          </cell>
          <cell r="F217">
            <v>2065.44</v>
          </cell>
          <cell r="G217">
            <v>2065.44</v>
          </cell>
          <cell r="H217">
            <v>2065.44</v>
          </cell>
          <cell r="I217">
            <v>2065.44</v>
          </cell>
          <cell r="J217">
            <v>2065.44</v>
          </cell>
          <cell r="K217">
            <v>2065.44</v>
          </cell>
          <cell r="L217">
            <v>2065.44</v>
          </cell>
          <cell r="M217">
            <v>2065.44</v>
          </cell>
          <cell r="N217">
            <v>2065.44</v>
          </cell>
          <cell r="O217">
            <v>2065.44</v>
          </cell>
        </row>
        <row r="218">
          <cell r="B218" t="str">
            <v>CUSTOM DUTY @ 60 %            OF (1)</v>
          </cell>
          <cell r="C218">
            <v>7</v>
          </cell>
          <cell r="D218">
            <v>418470.53664000001</v>
          </cell>
          <cell r="E218">
            <v>418470.53664000001</v>
          </cell>
          <cell r="F218">
            <v>418470.53664000001</v>
          </cell>
          <cell r="G218">
            <v>418470.53664000001</v>
          </cell>
          <cell r="H218">
            <v>418470.53664000001</v>
          </cell>
          <cell r="I218">
            <v>418470.53664000001</v>
          </cell>
          <cell r="J218">
            <v>418470.53664000001</v>
          </cell>
          <cell r="K218">
            <v>418470.53664000001</v>
          </cell>
          <cell r="L218">
            <v>418470.53664000001</v>
          </cell>
          <cell r="M218">
            <v>418470.53664000001</v>
          </cell>
          <cell r="N218">
            <v>418470.53664000001</v>
          </cell>
          <cell r="O218">
            <v>418470.53664000001</v>
          </cell>
        </row>
        <row r="219">
          <cell r="B219" t="str">
            <v>C.V.T. 7.5% of (1+7+9+10+11)</v>
          </cell>
          <cell r="C219">
            <v>8</v>
          </cell>
          <cell r="D219">
            <v>101064.38459855999</v>
          </cell>
          <cell r="E219">
            <v>101064.38459855999</v>
          </cell>
          <cell r="F219">
            <v>101064.38459855999</v>
          </cell>
          <cell r="G219">
            <v>101064.38459855999</v>
          </cell>
          <cell r="H219">
            <v>101064.38459855999</v>
          </cell>
          <cell r="I219">
            <v>101064.38459855999</v>
          </cell>
          <cell r="J219">
            <v>101064.38459855999</v>
          </cell>
          <cell r="K219">
            <v>101064.38459855999</v>
          </cell>
          <cell r="L219">
            <v>101064.38459855999</v>
          </cell>
          <cell r="M219">
            <v>101064.38459855999</v>
          </cell>
          <cell r="N219">
            <v>101064.38459855999</v>
          </cell>
          <cell r="O219">
            <v>101064.38459855999</v>
          </cell>
        </row>
        <row r="220">
          <cell r="B220" t="str">
            <v>SALES TAX   @ 15 %  OF (1+7)</v>
          </cell>
          <cell r="C220">
            <v>9</v>
          </cell>
          <cell r="D220">
            <v>167388.214656</v>
          </cell>
          <cell r="E220">
            <v>167388.214656</v>
          </cell>
          <cell r="F220">
            <v>167388.214656</v>
          </cell>
          <cell r="G220">
            <v>167388.214656</v>
          </cell>
          <cell r="H220">
            <v>167388.214656</v>
          </cell>
          <cell r="I220">
            <v>167388.214656</v>
          </cell>
          <cell r="J220">
            <v>167388.214656</v>
          </cell>
          <cell r="K220">
            <v>167388.214656</v>
          </cell>
          <cell r="L220">
            <v>167388.214656</v>
          </cell>
          <cell r="M220">
            <v>167388.214656</v>
          </cell>
          <cell r="N220">
            <v>167388.214656</v>
          </cell>
          <cell r="O220">
            <v>167388.214656</v>
          </cell>
        </row>
        <row r="221">
          <cell r="B221" t="str">
            <v>INCOME TAX  @ 5 % OF (1+7+9)</v>
          </cell>
          <cell r="C221">
            <v>10</v>
          </cell>
          <cell r="D221">
            <v>64165.482284800004</v>
          </cell>
          <cell r="E221">
            <v>64165.482284800004</v>
          </cell>
          <cell r="F221">
            <v>64165.482284800004</v>
          </cell>
          <cell r="G221">
            <v>64165.482284800004</v>
          </cell>
          <cell r="H221">
            <v>64165.482284800004</v>
          </cell>
          <cell r="I221">
            <v>64165.482284800004</v>
          </cell>
          <cell r="J221">
            <v>64165.482284800004</v>
          </cell>
          <cell r="K221">
            <v>64165.482284800004</v>
          </cell>
          <cell r="L221">
            <v>64165.482284800004</v>
          </cell>
          <cell r="M221">
            <v>64165.482284800004</v>
          </cell>
          <cell r="N221">
            <v>64165.482284800004</v>
          </cell>
          <cell r="O221">
            <v>64165.482284800004</v>
          </cell>
        </row>
        <row r="222">
          <cell r="B222" t="str">
            <v>CENTRAL EXCISE DUTY     @ Rs.50</v>
          </cell>
          <cell r="C222">
            <v>11</v>
          </cell>
          <cell r="D222">
            <v>50</v>
          </cell>
          <cell r="E222">
            <v>50</v>
          </cell>
          <cell r="F222">
            <v>50</v>
          </cell>
          <cell r="G222">
            <v>50</v>
          </cell>
          <cell r="H222">
            <v>50</v>
          </cell>
          <cell r="I222">
            <v>50</v>
          </cell>
          <cell r="J222">
            <v>50</v>
          </cell>
          <cell r="K222">
            <v>50</v>
          </cell>
          <cell r="L222">
            <v>50</v>
          </cell>
          <cell r="M222">
            <v>50</v>
          </cell>
          <cell r="N222">
            <v>50</v>
          </cell>
          <cell r="O222">
            <v>50</v>
          </cell>
        </row>
        <row r="223">
          <cell r="B223" t="str">
            <v>OCTROI @ 2 % OF  (1+5+7+8+9+11)</v>
          </cell>
          <cell r="C223">
            <v>12</v>
          </cell>
          <cell r="D223">
            <v>0</v>
          </cell>
          <cell r="E223">
            <v>0</v>
          </cell>
          <cell r="F223">
            <v>0</v>
          </cell>
          <cell r="G223">
            <v>0</v>
          </cell>
          <cell r="H223">
            <v>0</v>
          </cell>
          <cell r="I223">
            <v>0</v>
          </cell>
          <cell r="J223">
            <v>0</v>
          </cell>
          <cell r="K223">
            <v>0</v>
          </cell>
          <cell r="L223">
            <v>0</v>
          </cell>
          <cell r="M223">
            <v>0</v>
          </cell>
          <cell r="N223">
            <v>0</v>
          </cell>
          <cell r="O223">
            <v>0</v>
          </cell>
        </row>
        <row r="224">
          <cell r="B224" t="str">
            <v>KMC DMI @ 0.2 OF (1+5+7+8+9+10)</v>
          </cell>
          <cell r="C224">
            <v>13</v>
          </cell>
          <cell r="D224">
            <v>3008.6711682627197</v>
          </cell>
          <cell r="E224">
            <v>3008.6711682627197</v>
          </cell>
          <cell r="F224">
            <v>3008.6711682627197</v>
          </cell>
          <cell r="G224">
            <v>3008.6711682627197</v>
          </cell>
          <cell r="H224">
            <v>3008.6711682627197</v>
          </cell>
          <cell r="I224">
            <v>3008.6711682627197</v>
          </cell>
          <cell r="J224">
            <v>3008.6711682627197</v>
          </cell>
          <cell r="K224">
            <v>3008.6711682627197</v>
          </cell>
          <cell r="L224">
            <v>3008.6711682627197</v>
          </cell>
          <cell r="M224">
            <v>3008.6711682627197</v>
          </cell>
          <cell r="N224">
            <v>3008.6711682627197</v>
          </cell>
          <cell r="O224">
            <v>3008.6711682627197</v>
          </cell>
        </row>
        <row r="225">
          <cell r="B225" t="str">
            <v>WHARFAGE @ Rs.314 per cubic meter</v>
          </cell>
          <cell r="C225">
            <v>14</v>
          </cell>
          <cell r="D225">
            <v>4396</v>
          </cell>
          <cell r="E225">
            <v>4396</v>
          </cell>
          <cell r="F225">
            <v>4396</v>
          </cell>
          <cell r="G225">
            <v>4396</v>
          </cell>
          <cell r="H225">
            <v>4396</v>
          </cell>
          <cell r="I225">
            <v>4396</v>
          </cell>
          <cell r="J225">
            <v>4396</v>
          </cell>
          <cell r="K225">
            <v>4396</v>
          </cell>
          <cell r="L225">
            <v>4396</v>
          </cell>
          <cell r="M225">
            <v>4396</v>
          </cell>
          <cell r="N225">
            <v>4396</v>
          </cell>
          <cell r="O225">
            <v>4396</v>
          </cell>
        </row>
        <row r="226">
          <cell r="B226" t="str">
            <v>BONDING FEE @ 0 %               OF (1)</v>
          </cell>
          <cell r="C226">
            <v>15</v>
          </cell>
          <cell r="D226">
            <v>0</v>
          </cell>
          <cell r="E226">
            <v>0</v>
          </cell>
          <cell r="F226">
            <v>0</v>
          </cell>
          <cell r="G226">
            <v>0</v>
          </cell>
          <cell r="H226">
            <v>0</v>
          </cell>
          <cell r="I226">
            <v>0</v>
          </cell>
          <cell r="J226">
            <v>0</v>
          </cell>
          <cell r="K226">
            <v>0</v>
          </cell>
          <cell r="L226">
            <v>0</v>
          </cell>
          <cell r="M226">
            <v>0</v>
          </cell>
          <cell r="N226">
            <v>0</v>
          </cell>
          <cell r="O226">
            <v>0</v>
          </cell>
        </row>
        <row r="227">
          <cell r="B227" t="str">
            <v>STAMP DUTY CHARGE    @ Rs. 225</v>
          </cell>
          <cell r="C227">
            <v>16</v>
          </cell>
          <cell r="D227">
            <v>225</v>
          </cell>
          <cell r="E227">
            <v>225</v>
          </cell>
          <cell r="F227">
            <v>225</v>
          </cell>
          <cell r="G227">
            <v>225</v>
          </cell>
          <cell r="H227">
            <v>225</v>
          </cell>
          <cell r="I227">
            <v>225</v>
          </cell>
          <cell r="J227">
            <v>225</v>
          </cell>
          <cell r="K227">
            <v>225</v>
          </cell>
          <cell r="L227">
            <v>225</v>
          </cell>
          <cell r="M227">
            <v>225</v>
          </cell>
          <cell r="N227">
            <v>225</v>
          </cell>
          <cell r="O227">
            <v>225</v>
          </cell>
        </row>
        <row r="228">
          <cell r="B228" t="str">
            <v>CLEARING  CHARGES      @ Rs. 750</v>
          </cell>
          <cell r="C228">
            <v>17</v>
          </cell>
          <cell r="D228">
            <v>750</v>
          </cell>
          <cell r="E228">
            <v>750</v>
          </cell>
          <cell r="F228">
            <v>750</v>
          </cell>
          <cell r="G228">
            <v>750</v>
          </cell>
          <cell r="H228">
            <v>750</v>
          </cell>
          <cell r="I228">
            <v>750</v>
          </cell>
          <cell r="J228">
            <v>750</v>
          </cell>
          <cell r="K228">
            <v>750</v>
          </cell>
          <cell r="L228">
            <v>750</v>
          </cell>
          <cell r="M228">
            <v>750</v>
          </cell>
          <cell r="N228">
            <v>750</v>
          </cell>
          <cell r="O228">
            <v>750</v>
          </cell>
        </row>
        <row r="229">
          <cell r="B229" t="str">
            <v>OTHER CLEARING CHARGES @ Rs.200</v>
          </cell>
          <cell r="C229">
            <v>18</v>
          </cell>
          <cell r="D229">
            <v>200</v>
          </cell>
          <cell r="E229">
            <v>200</v>
          </cell>
          <cell r="F229">
            <v>200</v>
          </cell>
          <cell r="G229">
            <v>200</v>
          </cell>
          <cell r="H229">
            <v>200</v>
          </cell>
          <cell r="I229">
            <v>200</v>
          </cell>
          <cell r="J229">
            <v>200</v>
          </cell>
          <cell r="K229">
            <v>200</v>
          </cell>
          <cell r="L229">
            <v>200</v>
          </cell>
          <cell r="M229">
            <v>200</v>
          </cell>
          <cell r="N229">
            <v>200</v>
          </cell>
          <cell r="O229">
            <v>200</v>
          </cell>
        </row>
        <row r="230">
          <cell r="B230" t="str">
            <v>DELIEVERY ORDER CHARGES @ Rs.600</v>
          </cell>
          <cell r="C230">
            <v>19</v>
          </cell>
          <cell r="D230">
            <v>600</v>
          </cell>
          <cell r="E230">
            <v>600</v>
          </cell>
          <cell r="F230">
            <v>600</v>
          </cell>
          <cell r="G230">
            <v>600</v>
          </cell>
          <cell r="H230">
            <v>600</v>
          </cell>
          <cell r="I230">
            <v>600</v>
          </cell>
          <cell r="J230">
            <v>600</v>
          </cell>
          <cell r="K230">
            <v>600</v>
          </cell>
          <cell r="L230">
            <v>600</v>
          </cell>
          <cell r="M230">
            <v>600</v>
          </cell>
          <cell r="N230">
            <v>600</v>
          </cell>
          <cell r="O230">
            <v>600</v>
          </cell>
        </row>
        <row r="231">
          <cell r="B231" t="str">
            <v>DEMURRAGE</v>
          </cell>
          <cell r="C231">
            <v>20</v>
          </cell>
          <cell r="D231">
            <v>0</v>
          </cell>
          <cell r="E231">
            <v>0</v>
          </cell>
          <cell r="F231">
            <v>0</v>
          </cell>
          <cell r="G231">
            <v>0</v>
          </cell>
          <cell r="H231">
            <v>0</v>
          </cell>
          <cell r="I231">
            <v>0</v>
          </cell>
          <cell r="J231">
            <v>0</v>
          </cell>
          <cell r="K231">
            <v>0</v>
          </cell>
          <cell r="L231">
            <v>0</v>
          </cell>
          <cell r="M231">
            <v>0</v>
          </cell>
          <cell r="N231">
            <v>0</v>
          </cell>
          <cell r="O231">
            <v>0</v>
          </cell>
        </row>
        <row r="232">
          <cell r="B232" t="str">
            <v>SHIFTING CHARGES          @ Rs. 500</v>
          </cell>
          <cell r="C232">
            <v>21</v>
          </cell>
          <cell r="D232">
            <v>500</v>
          </cell>
          <cell r="E232">
            <v>500</v>
          </cell>
          <cell r="F232">
            <v>500</v>
          </cell>
          <cell r="G232">
            <v>500</v>
          </cell>
          <cell r="H232">
            <v>500</v>
          </cell>
          <cell r="I232">
            <v>500</v>
          </cell>
          <cell r="J232">
            <v>500</v>
          </cell>
          <cell r="K232">
            <v>500</v>
          </cell>
          <cell r="L232">
            <v>500</v>
          </cell>
          <cell r="M232">
            <v>500</v>
          </cell>
          <cell r="N232">
            <v>500</v>
          </cell>
          <cell r="O232">
            <v>500</v>
          </cell>
        </row>
        <row r="233">
          <cell r="B233" t="str">
            <v>Total Landed Cost excluding presumptive tax</v>
          </cell>
          <cell r="C233" t="str">
            <v>A</v>
          </cell>
          <cell r="D233">
            <v>1281458.1839588226</v>
          </cell>
          <cell r="E233">
            <v>1281458.1839588226</v>
          </cell>
          <cell r="F233">
            <v>1281458.1839588226</v>
          </cell>
          <cell r="G233">
            <v>1281458.1839588226</v>
          </cell>
          <cell r="H233">
            <v>1281458.1839588226</v>
          </cell>
          <cell r="I233">
            <v>1281458.1839588226</v>
          </cell>
          <cell r="J233">
            <v>1281458.1839588226</v>
          </cell>
          <cell r="K233">
            <v>1281458.1839588226</v>
          </cell>
          <cell r="L233">
            <v>1281458.1839588226</v>
          </cell>
          <cell r="M233">
            <v>1281458.1839588226</v>
          </cell>
          <cell r="N233">
            <v>1281458.1839588226</v>
          </cell>
          <cell r="O233">
            <v>1281458.1839588226</v>
          </cell>
        </row>
        <row r="234">
          <cell r="D234">
            <v>1.8612859980810228</v>
          </cell>
          <cell r="E234">
            <v>1.8612859980810228</v>
          </cell>
          <cell r="F234">
            <v>1.8612859980810228</v>
          </cell>
          <cell r="G234">
            <v>1.8612859980810228</v>
          </cell>
          <cell r="H234">
            <v>1.8612859980810228</v>
          </cell>
          <cell r="I234">
            <v>1.8612859980810228</v>
          </cell>
          <cell r="J234">
            <v>1.8612859980810228</v>
          </cell>
          <cell r="K234">
            <v>1.8612859980810228</v>
          </cell>
          <cell r="L234">
            <v>1.8612859980810228</v>
          </cell>
          <cell r="M234">
            <v>1.8612859980810228</v>
          </cell>
          <cell r="N234">
            <v>1.8612859980810228</v>
          </cell>
          <cell r="O234">
            <v>1.8612859980810228</v>
          </cell>
        </row>
        <row r="236">
          <cell r="B236" t="str">
            <v>Presumptive tax</v>
          </cell>
          <cell r="D236">
            <v>64165.482284800004</v>
          </cell>
          <cell r="E236">
            <v>64165.482284800004</v>
          </cell>
          <cell r="F236">
            <v>64165.482284800004</v>
          </cell>
          <cell r="G236">
            <v>64165.482284800004</v>
          </cell>
          <cell r="H236">
            <v>64165.482284800004</v>
          </cell>
          <cell r="I236">
            <v>64165.482284800004</v>
          </cell>
          <cell r="J236">
            <v>64165.482284800004</v>
          </cell>
          <cell r="K236">
            <v>64165.482284800004</v>
          </cell>
          <cell r="L236">
            <v>64165.482284800004</v>
          </cell>
          <cell r="M236">
            <v>64165.482284800004</v>
          </cell>
          <cell r="N236">
            <v>64165.482284800004</v>
          </cell>
          <cell r="O236">
            <v>64165.482284800004</v>
          </cell>
        </row>
        <row r="237">
          <cell r="B237" t="str">
            <v>Tax U/S 50 (4) @ 3.5%</v>
          </cell>
          <cell r="D237">
            <v>0</v>
          </cell>
          <cell r="E237">
            <v>0</v>
          </cell>
          <cell r="F237">
            <v>0</v>
          </cell>
          <cell r="G237">
            <v>0</v>
          </cell>
          <cell r="H237">
            <v>0</v>
          </cell>
          <cell r="I237">
            <v>0</v>
          </cell>
          <cell r="J237">
            <v>0</v>
          </cell>
          <cell r="K237">
            <v>0</v>
          </cell>
          <cell r="L237">
            <v>0</v>
          </cell>
          <cell r="M237">
            <v>0</v>
          </cell>
          <cell r="N237">
            <v>0</v>
          </cell>
          <cell r="O237">
            <v>0</v>
          </cell>
        </row>
        <row r="238">
          <cell r="D238">
            <v>64165.482284800004</v>
          </cell>
          <cell r="E238">
            <v>64165.482284800004</v>
          </cell>
          <cell r="F238">
            <v>64165.482284800004</v>
          </cell>
          <cell r="G238">
            <v>64165.482284800004</v>
          </cell>
          <cell r="H238">
            <v>64165.482284800004</v>
          </cell>
          <cell r="I238">
            <v>64165.482284800004</v>
          </cell>
          <cell r="J238">
            <v>64165.482284800004</v>
          </cell>
          <cell r="K238">
            <v>64165.482284800004</v>
          </cell>
          <cell r="L238">
            <v>64165.482284800004</v>
          </cell>
          <cell r="M238">
            <v>64165.482284800004</v>
          </cell>
          <cell r="N238">
            <v>64165.482284800004</v>
          </cell>
          <cell r="O238">
            <v>64165.482284800004</v>
          </cell>
        </row>
        <row r="240">
          <cell r="B240" t="str">
            <v>Existing selling price</v>
          </cell>
        </row>
        <row r="241">
          <cell r="B241" t="str">
            <v>Landed cost</v>
          </cell>
          <cell r="D241">
            <v>1345623.6662436225</v>
          </cell>
          <cell r="E241">
            <v>1345623.6662436225</v>
          </cell>
          <cell r="F241">
            <v>1345623.6662436225</v>
          </cell>
          <cell r="G241">
            <v>1345623.6662436225</v>
          </cell>
          <cell r="H241">
            <v>1345623.6662436225</v>
          </cell>
          <cell r="I241">
            <v>1345623.6662436225</v>
          </cell>
          <cell r="J241">
            <v>1345623.6662436225</v>
          </cell>
          <cell r="K241">
            <v>1345623.6662436225</v>
          </cell>
          <cell r="L241">
            <v>1345623.6662436225</v>
          </cell>
          <cell r="M241">
            <v>1345623.6662436225</v>
          </cell>
          <cell r="N241">
            <v>1345623.6662436225</v>
          </cell>
          <cell r="O241">
            <v>1345623.6662436225</v>
          </cell>
        </row>
        <row r="242">
          <cell r="B242" t="str">
            <v>Distributor Mark-up.</v>
          </cell>
          <cell r="D242">
            <v>60000</v>
          </cell>
          <cell r="E242">
            <v>60000</v>
          </cell>
          <cell r="F242">
            <v>60000</v>
          </cell>
          <cell r="G242">
            <v>60000</v>
          </cell>
          <cell r="H242">
            <v>60000</v>
          </cell>
          <cell r="I242">
            <v>60000</v>
          </cell>
          <cell r="J242">
            <v>60000</v>
          </cell>
          <cell r="K242">
            <v>60000</v>
          </cell>
          <cell r="L242">
            <v>60000</v>
          </cell>
          <cell r="M242">
            <v>60000</v>
          </cell>
          <cell r="N242">
            <v>60000</v>
          </cell>
          <cell r="O242">
            <v>60000</v>
          </cell>
        </row>
        <row r="243">
          <cell r="B243" t="str">
            <v>Income  Tax 5%</v>
          </cell>
          <cell r="D243">
            <v>0</v>
          </cell>
          <cell r="E243">
            <v>0</v>
          </cell>
          <cell r="F243">
            <v>0</v>
          </cell>
          <cell r="G243">
            <v>0</v>
          </cell>
          <cell r="H243">
            <v>0</v>
          </cell>
          <cell r="I243">
            <v>0</v>
          </cell>
          <cell r="J243">
            <v>0</v>
          </cell>
          <cell r="K243">
            <v>0</v>
          </cell>
          <cell r="L243">
            <v>0</v>
          </cell>
          <cell r="M243">
            <v>0</v>
          </cell>
          <cell r="N243">
            <v>0</v>
          </cell>
          <cell r="O243">
            <v>0</v>
          </cell>
        </row>
        <row r="244">
          <cell r="B244" t="str">
            <v>Dealer commission</v>
          </cell>
          <cell r="D244">
            <v>30000</v>
          </cell>
          <cell r="E244">
            <v>30000</v>
          </cell>
          <cell r="F244">
            <v>30000</v>
          </cell>
          <cell r="G244">
            <v>30000</v>
          </cell>
          <cell r="H244">
            <v>30000</v>
          </cell>
          <cell r="I244">
            <v>30000</v>
          </cell>
          <cell r="J244">
            <v>30000</v>
          </cell>
          <cell r="K244">
            <v>30000</v>
          </cell>
          <cell r="L244">
            <v>30000</v>
          </cell>
          <cell r="M244">
            <v>30000</v>
          </cell>
          <cell r="N244">
            <v>30000</v>
          </cell>
          <cell r="O244">
            <v>30000</v>
          </cell>
        </row>
        <row r="245">
          <cell r="D245">
            <v>1435623.6662436225</v>
          </cell>
          <cell r="E245">
            <v>1435623.6662436225</v>
          </cell>
          <cell r="F245">
            <v>1435623.6662436225</v>
          </cell>
          <cell r="G245">
            <v>1435623.6662436225</v>
          </cell>
          <cell r="H245">
            <v>1435623.6662436225</v>
          </cell>
          <cell r="I245">
            <v>1435623.6662436225</v>
          </cell>
          <cell r="J245">
            <v>1435623.6662436225</v>
          </cell>
          <cell r="K245">
            <v>1435623.6662436225</v>
          </cell>
          <cell r="L245">
            <v>1435623.6662436225</v>
          </cell>
          <cell r="M245">
            <v>1435623.6662436225</v>
          </cell>
          <cell r="N245">
            <v>1435623.6662436225</v>
          </cell>
          <cell r="O245">
            <v>1435623.6662436225</v>
          </cell>
        </row>
        <row r="246">
          <cell r="B246" t="str">
            <v>Sales tax</v>
          </cell>
          <cell r="D246">
            <v>215343.54993654336</v>
          </cell>
          <cell r="E246">
            <v>215343.54993654336</v>
          </cell>
          <cell r="F246">
            <v>215343.54993654336</v>
          </cell>
          <cell r="G246">
            <v>215343.54993654336</v>
          </cell>
          <cell r="H246">
            <v>215343.54993654336</v>
          </cell>
          <cell r="I246">
            <v>215343.54993654336</v>
          </cell>
          <cell r="J246">
            <v>215343.54993654336</v>
          </cell>
          <cell r="K246">
            <v>215343.54993654336</v>
          </cell>
          <cell r="L246">
            <v>215343.54993654336</v>
          </cell>
          <cell r="M246">
            <v>215343.54993654336</v>
          </cell>
          <cell r="N246">
            <v>215343.54993654336</v>
          </cell>
          <cell r="O246">
            <v>215343.54993654336</v>
          </cell>
        </row>
        <row r="247">
          <cell r="B247" t="str">
            <v>Selling Price taken in budget</v>
          </cell>
          <cell r="D247">
            <v>1650967.216180166</v>
          </cell>
          <cell r="E247">
            <v>1650967.216180166</v>
          </cell>
          <cell r="F247">
            <v>1650967.216180166</v>
          </cell>
          <cell r="G247">
            <v>1650967.216180166</v>
          </cell>
          <cell r="H247">
            <v>1650967.216180166</v>
          </cell>
          <cell r="I247">
            <v>1650967.216180166</v>
          </cell>
          <cell r="J247">
            <v>1650967.216180166</v>
          </cell>
          <cell r="K247">
            <v>1650967.216180166</v>
          </cell>
          <cell r="L247">
            <v>1650967.216180166</v>
          </cell>
          <cell r="M247">
            <v>1650967.216180166</v>
          </cell>
          <cell r="N247">
            <v>1650967.216180166</v>
          </cell>
          <cell r="O247">
            <v>1650967.216180166</v>
          </cell>
        </row>
        <row r="248">
          <cell r="B248" t="str">
            <v>Selling price as per sales price list</v>
          </cell>
          <cell r="D248">
            <v>1860000</v>
          </cell>
          <cell r="E248">
            <v>1860000</v>
          </cell>
          <cell r="F248">
            <v>1860000</v>
          </cell>
          <cell r="G248">
            <v>1860000</v>
          </cell>
          <cell r="H248">
            <v>1860000</v>
          </cell>
          <cell r="I248">
            <v>1860000</v>
          </cell>
          <cell r="J248">
            <v>1860000</v>
          </cell>
          <cell r="K248">
            <v>1860000</v>
          </cell>
          <cell r="L248">
            <v>1860000</v>
          </cell>
          <cell r="M248">
            <v>1860000</v>
          </cell>
          <cell r="N248">
            <v>1860000</v>
          </cell>
          <cell r="O248">
            <v>1860000</v>
          </cell>
        </row>
        <row r="250">
          <cell r="B250" t="str">
            <v>Units sold</v>
          </cell>
          <cell r="D250">
            <v>3</v>
          </cell>
          <cell r="E250">
            <v>3</v>
          </cell>
          <cell r="F250">
            <v>3</v>
          </cell>
          <cell r="G250">
            <v>3</v>
          </cell>
          <cell r="H250">
            <v>3</v>
          </cell>
          <cell r="I250">
            <v>3</v>
          </cell>
          <cell r="J250">
            <v>3</v>
          </cell>
          <cell r="K250">
            <v>3</v>
          </cell>
          <cell r="L250">
            <v>3</v>
          </cell>
          <cell r="M250">
            <v>3</v>
          </cell>
          <cell r="N250">
            <v>3</v>
          </cell>
          <cell r="O250">
            <v>3</v>
          </cell>
          <cell r="P250">
            <v>36</v>
          </cell>
        </row>
        <row r="251">
          <cell r="D251">
            <v>2065440</v>
          </cell>
          <cell r="E251">
            <v>2065440</v>
          </cell>
          <cell r="F251">
            <v>2065440</v>
          </cell>
          <cell r="G251">
            <v>2065440</v>
          </cell>
          <cell r="H251">
            <v>2065440</v>
          </cell>
          <cell r="I251">
            <v>2065440</v>
          </cell>
          <cell r="J251">
            <v>2065440</v>
          </cell>
          <cell r="K251">
            <v>2065440</v>
          </cell>
          <cell r="L251">
            <v>2065440</v>
          </cell>
          <cell r="M251">
            <v>2065440</v>
          </cell>
          <cell r="N251">
            <v>2065440</v>
          </cell>
          <cell r="O251">
            <v>2065440</v>
          </cell>
          <cell r="P251">
            <v>24785280</v>
          </cell>
        </row>
        <row r="253">
          <cell r="B253" t="str">
            <v xml:space="preserve">Working </v>
          </cell>
        </row>
        <row r="254">
          <cell r="B254" t="str">
            <v xml:space="preserve">Sales </v>
          </cell>
          <cell r="D254">
            <v>4952901.6485404978</v>
          </cell>
          <cell r="E254">
            <v>4952901.6485404978</v>
          </cell>
          <cell r="F254">
            <v>4952901.6485404978</v>
          </cell>
          <cell r="G254">
            <v>4952901.6485404978</v>
          </cell>
          <cell r="H254">
            <v>4952901.6485404978</v>
          </cell>
          <cell r="I254">
            <v>4952901.6485404978</v>
          </cell>
          <cell r="J254">
            <v>4952901.6485404978</v>
          </cell>
          <cell r="K254">
            <v>4952901.6485404978</v>
          </cell>
          <cell r="L254">
            <v>4952901.6485404978</v>
          </cell>
          <cell r="M254">
            <v>4952901.6485404978</v>
          </cell>
          <cell r="N254">
            <v>4952901.6485404978</v>
          </cell>
          <cell r="O254">
            <v>4952901.6485404978</v>
          </cell>
        </row>
        <row r="255">
          <cell r="B255" t="str">
            <v>Sales tax</v>
          </cell>
          <cell r="D255">
            <v>215343.54993654336</v>
          </cell>
          <cell r="E255">
            <v>215343.54993654336</v>
          </cell>
          <cell r="F255">
            <v>215343.54993654336</v>
          </cell>
          <cell r="G255">
            <v>215343.54993654336</v>
          </cell>
          <cell r="H255">
            <v>215343.54993654336</v>
          </cell>
          <cell r="I255">
            <v>215343.54993654336</v>
          </cell>
          <cell r="J255">
            <v>215343.54993654336</v>
          </cell>
          <cell r="K255">
            <v>215343.54993654336</v>
          </cell>
          <cell r="L255">
            <v>215343.54993654336</v>
          </cell>
          <cell r="M255">
            <v>215343.54993654336</v>
          </cell>
          <cell r="N255">
            <v>215343.54993654336</v>
          </cell>
          <cell r="O255">
            <v>215343.54993654336</v>
          </cell>
        </row>
        <row r="256">
          <cell r="B256" t="str">
            <v>Cost of Sales - per unit</v>
          </cell>
          <cell r="D256">
            <v>1281458.1839588226</v>
          </cell>
          <cell r="E256">
            <v>1281458.1839588226</v>
          </cell>
          <cell r="F256">
            <v>1281458.1839588226</v>
          </cell>
          <cell r="G256">
            <v>1281458.1839588226</v>
          </cell>
          <cell r="H256">
            <v>1281458.1839588226</v>
          </cell>
          <cell r="I256">
            <v>1281458.1839588226</v>
          </cell>
          <cell r="J256">
            <v>1281458.1839588226</v>
          </cell>
          <cell r="K256">
            <v>1281458.1839588226</v>
          </cell>
          <cell r="L256">
            <v>1281458.1839588226</v>
          </cell>
          <cell r="M256">
            <v>1281458.1839588226</v>
          </cell>
          <cell r="N256">
            <v>1281458.1839588226</v>
          </cell>
          <cell r="O256">
            <v>1281458.1839588226</v>
          </cell>
        </row>
        <row r="257">
          <cell r="B257" t="str">
            <v>Cost of Sales - Total</v>
          </cell>
          <cell r="D257">
            <v>3844374.5518764677</v>
          </cell>
          <cell r="E257">
            <v>3844374.5518764677</v>
          </cell>
          <cell r="F257">
            <v>3844374.5518764677</v>
          </cell>
          <cell r="G257">
            <v>3844374.5518764677</v>
          </cell>
          <cell r="H257">
            <v>3844374.5518764677</v>
          </cell>
          <cell r="I257">
            <v>3844374.5518764677</v>
          </cell>
          <cell r="J257">
            <v>3844374.5518764677</v>
          </cell>
          <cell r="K257">
            <v>3844374.5518764677</v>
          </cell>
          <cell r="L257">
            <v>3844374.5518764677</v>
          </cell>
          <cell r="M257">
            <v>3844374.5518764677</v>
          </cell>
          <cell r="N257">
            <v>3844374.5518764677</v>
          </cell>
          <cell r="O257">
            <v>3844374.5518764677</v>
          </cell>
        </row>
        <row r="258">
          <cell r="B258" t="str">
            <v>Presumptive Tax - Per unit</v>
          </cell>
          <cell r="D258">
            <v>64165.482284800004</v>
          </cell>
          <cell r="E258">
            <v>64165.482284800004</v>
          </cell>
          <cell r="F258">
            <v>64165.482284800004</v>
          </cell>
          <cell r="G258">
            <v>64165.482284800004</v>
          </cell>
          <cell r="H258">
            <v>64165.482284800004</v>
          </cell>
          <cell r="I258">
            <v>64165.482284800004</v>
          </cell>
          <cell r="J258">
            <v>64165.482284800004</v>
          </cell>
          <cell r="K258">
            <v>64165.482284800004</v>
          </cell>
          <cell r="L258">
            <v>64165.482284800004</v>
          </cell>
          <cell r="M258">
            <v>64165.482284800004</v>
          </cell>
          <cell r="N258">
            <v>64165.482284800004</v>
          </cell>
          <cell r="O258">
            <v>64165.482284800004</v>
          </cell>
        </row>
        <row r="259">
          <cell r="B259" t="str">
            <v>Presumptive Tax - Total</v>
          </cell>
          <cell r="D259">
            <v>192496.44685440001</v>
          </cell>
          <cell r="E259">
            <v>192496.44685440001</v>
          </cell>
          <cell r="F259">
            <v>192496.44685440001</v>
          </cell>
          <cell r="G259">
            <v>192496.44685440001</v>
          </cell>
          <cell r="H259">
            <v>192496.44685440001</v>
          </cell>
          <cell r="I259">
            <v>192496.44685440001</v>
          </cell>
          <cell r="J259">
            <v>192496.44685440001</v>
          </cell>
          <cell r="K259">
            <v>192496.44685440001</v>
          </cell>
          <cell r="L259">
            <v>192496.44685440001</v>
          </cell>
          <cell r="M259">
            <v>192496.44685440001</v>
          </cell>
          <cell r="N259">
            <v>192496.44685440001</v>
          </cell>
          <cell r="O259">
            <v>192496.44685440001</v>
          </cell>
        </row>
        <row r="260">
          <cell r="D260">
            <v>154165.48228479992</v>
          </cell>
          <cell r="E260">
            <v>154165.48228479992</v>
          </cell>
          <cell r="F260">
            <v>154165.48228479992</v>
          </cell>
          <cell r="G260">
            <v>154165.48228479992</v>
          </cell>
          <cell r="H260">
            <v>154165.48228479992</v>
          </cell>
          <cell r="I260">
            <v>154165.48228479992</v>
          </cell>
          <cell r="J260">
            <v>154165.48228479992</v>
          </cell>
          <cell r="K260">
            <v>154165.48228479992</v>
          </cell>
          <cell r="L260">
            <v>154165.48228479992</v>
          </cell>
          <cell r="M260">
            <v>154165.48228479992</v>
          </cell>
          <cell r="N260">
            <v>154165.48228479992</v>
          </cell>
          <cell r="O260">
            <v>154165.48228479992</v>
          </cell>
        </row>
        <row r="261">
          <cell r="D261">
            <v>0.10738572086108139</v>
          </cell>
          <cell r="E261">
            <v>0.10738572086108139</v>
          </cell>
          <cell r="F261">
            <v>0.10738572086108139</v>
          </cell>
          <cell r="G261">
            <v>0.10738572086108139</v>
          </cell>
          <cell r="H261">
            <v>0.10738572086108139</v>
          </cell>
          <cell r="I261">
            <v>0.10738572086108139</v>
          </cell>
          <cell r="J261">
            <v>0.10738572086108139</v>
          </cell>
          <cell r="K261">
            <v>0.10738572086108139</v>
          </cell>
          <cell r="L261">
            <v>0.10738572086108139</v>
          </cell>
          <cell r="M261">
            <v>0.10738572086108139</v>
          </cell>
          <cell r="N261">
            <v>0.10738572086108139</v>
          </cell>
          <cell r="O261">
            <v>0.10738572086108139</v>
          </cell>
        </row>
        <row r="263">
          <cell r="B263" t="str">
            <v>4 x 4   - D/C</v>
          </cell>
          <cell r="D263">
            <v>548</v>
          </cell>
          <cell r="E263">
            <v>579</v>
          </cell>
          <cell r="F263">
            <v>610</v>
          </cell>
          <cell r="G263">
            <v>641</v>
          </cell>
          <cell r="H263">
            <v>672</v>
          </cell>
          <cell r="I263">
            <v>703</v>
          </cell>
          <cell r="J263">
            <v>734</v>
          </cell>
          <cell r="K263">
            <v>765</v>
          </cell>
          <cell r="L263">
            <v>796</v>
          </cell>
          <cell r="M263">
            <v>827</v>
          </cell>
          <cell r="N263">
            <v>858</v>
          </cell>
          <cell r="O263">
            <v>889</v>
          </cell>
        </row>
        <row r="264">
          <cell r="D264">
            <v>1671900</v>
          </cell>
        </row>
        <row r="265">
          <cell r="B265" t="str">
            <v>Document Retirement i.e. C &amp; F</v>
          </cell>
          <cell r="D265">
            <v>0.52</v>
          </cell>
          <cell r="E265">
            <v>0.52</v>
          </cell>
          <cell r="F265">
            <v>0.52</v>
          </cell>
          <cell r="G265">
            <v>0.52</v>
          </cell>
          <cell r="H265">
            <v>0.52</v>
          </cell>
          <cell r="I265">
            <v>0.52</v>
          </cell>
          <cell r="J265">
            <v>0.52</v>
          </cell>
          <cell r="K265">
            <v>0.52</v>
          </cell>
          <cell r="L265">
            <v>0.52</v>
          </cell>
          <cell r="M265">
            <v>0.52</v>
          </cell>
          <cell r="N265">
            <v>0.52</v>
          </cell>
          <cell r="O265">
            <v>0.52</v>
          </cell>
        </row>
        <row r="266">
          <cell r="B266" t="str">
            <v>Duty / Sales tax / Octroi / DMI / Tax etc.</v>
          </cell>
          <cell r="D266">
            <v>0.52</v>
          </cell>
          <cell r="E266">
            <v>0.52</v>
          </cell>
          <cell r="F266">
            <v>0.52</v>
          </cell>
          <cell r="G266">
            <v>0.52</v>
          </cell>
          <cell r="H266">
            <v>0.52</v>
          </cell>
          <cell r="I266">
            <v>0.52</v>
          </cell>
          <cell r="J266">
            <v>0.52</v>
          </cell>
          <cell r="K266">
            <v>0.52</v>
          </cell>
          <cell r="L266">
            <v>0.52</v>
          </cell>
          <cell r="M266">
            <v>0.52</v>
          </cell>
          <cell r="N266">
            <v>0.52</v>
          </cell>
          <cell r="O266">
            <v>0.52</v>
          </cell>
        </row>
        <row r="267">
          <cell r="B267" t="str">
            <v>QUANTITY</v>
          </cell>
          <cell r="D267">
            <v>1</v>
          </cell>
          <cell r="E267">
            <v>1</v>
          </cell>
          <cell r="F267">
            <v>1</v>
          </cell>
          <cell r="G267">
            <v>1</v>
          </cell>
          <cell r="H267">
            <v>1</v>
          </cell>
          <cell r="I267">
            <v>1</v>
          </cell>
          <cell r="J267">
            <v>1</v>
          </cell>
          <cell r="K267">
            <v>1</v>
          </cell>
          <cell r="L267">
            <v>1</v>
          </cell>
          <cell r="M267">
            <v>1</v>
          </cell>
          <cell r="N267">
            <v>1</v>
          </cell>
          <cell r="O267">
            <v>1</v>
          </cell>
        </row>
        <row r="268">
          <cell r="B268" t="str">
            <v>C &amp; F</v>
          </cell>
          <cell r="C268" t="str">
            <v>¥</v>
          </cell>
          <cell r="D268">
            <v>1541500</v>
          </cell>
          <cell r="E268">
            <v>1541500</v>
          </cell>
          <cell r="F268">
            <v>1541500</v>
          </cell>
          <cell r="G268">
            <v>1541500</v>
          </cell>
          <cell r="H268">
            <v>1541500</v>
          </cell>
          <cell r="I268">
            <v>1541500</v>
          </cell>
          <cell r="J268">
            <v>1541500</v>
          </cell>
          <cell r="K268">
            <v>1541500</v>
          </cell>
          <cell r="L268">
            <v>1541500</v>
          </cell>
          <cell r="M268">
            <v>1541500</v>
          </cell>
          <cell r="N268">
            <v>1541500</v>
          </cell>
          <cell r="O268">
            <v>1541500</v>
          </cell>
        </row>
        <row r="269">
          <cell r="B269" t="str">
            <v>F.O.B. VALUE - ITP</v>
          </cell>
          <cell r="C269" t="str">
            <v>¥</v>
          </cell>
          <cell r="D269">
            <v>1541500</v>
          </cell>
          <cell r="E269">
            <v>1541500</v>
          </cell>
          <cell r="F269">
            <v>1541500</v>
          </cell>
          <cell r="G269">
            <v>1541500</v>
          </cell>
          <cell r="H269">
            <v>1541500</v>
          </cell>
          <cell r="I269">
            <v>1541500</v>
          </cell>
          <cell r="J269">
            <v>1541500</v>
          </cell>
          <cell r="K269">
            <v>1541500</v>
          </cell>
          <cell r="L269">
            <v>1541500</v>
          </cell>
          <cell r="M269">
            <v>1541500</v>
          </cell>
          <cell r="N269">
            <v>1541500</v>
          </cell>
          <cell r="O269">
            <v>1541500</v>
          </cell>
        </row>
        <row r="270">
          <cell r="B270" t="str">
            <v>OPTIONS</v>
          </cell>
          <cell r="C270" t="str">
            <v>¥</v>
          </cell>
          <cell r="D270">
            <v>0</v>
          </cell>
          <cell r="E270">
            <v>0</v>
          </cell>
          <cell r="F270">
            <v>0</v>
          </cell>
          <cell r="G270">
            <v>0</v>
          </cell>
          <cell r="H270">
            <v>0</v>
          </cell>
          <cell r="I270">
            <v>0</v>
          </cell>
          <cell r="J270">
            <v>0</v>
          </cell>
          <cell r="K270">
            <v>0</v>
          </cell>
          <cell r="L270">
            <v>0</v>
          </cell>
          <cell r="M270">
            <v>0</v>
          </cell>
          <cell r="N270">
            <v>0</v>
          </cell>
          <cell r="O270">
            <v>0</v>
          </cell>
        </row>
        <row r="271">
          <cell r="B271" t="str">
            <v>COMMISSION  (FIXED)</v>
          </cell>
          <cell r="C271" t="str">
            <v>¥</v>
          </cell>
          <cell r="D271">
            <v>0</v>
          </cell>
          <cell r="E271">
            <v>0</v>
          </cell>
          <cell r="F271">
            <v>0</v>
          </cell>
          <cell r="G271">
            <v>0</v>
          </cell>
          <cell r="H271">
            <v>0</v>
          </cell>
          <cell r="I271">
            <v>0</v>
          </cell>
          <cell r="J271">
            <v>0</v>
          </cell>
          <cell r="K271">
            <v>0</v>
          </cell>
          <cell r="L271">
            <v>0</v>
          </cell>
          <cell r="M271">
            <v>0</v>
          </cell>
          <cell r="N271">
            <v>0</v>
          </cell>
          <cell r="O271">
            <v>0</v>
          </cell>
        </row>
        <row r="272">
          <cell r="B272" t="str">
            <v>ESTIMATED YEN</v>
          </cell>
          <cell r="C272" t="str">
            <v>¥</v>
          </cell>
        </row>
        <row r="273">
          <cell r="B273" t="str">
            <v>LOADING FOR ADVERTISING/WARRANTY</v>
          </cell>
          <cell r="C273" t="str">
            <v>¥</v>
          </cell>
          <cell r="D273">
            <v>0</v>
          </cell>
          <cell r="E273">
            <v>0</v>
          </cell>
          <cell r="F273">
            <v>0</v>
          </cell>
          <cell r="G273">
            <v>0</v>
          </cell>
          <cell r="H273">
            <v>0</v>
          </cell>
          <cell r="I273">
            <v>0</v>
          </cell>
          <cell r="J273">
            <v>0</v>
          </cell>
          <cell r="K273">
            <v>0</v>
          </cell>
          <cell r="L273">
            <v>0</v>
          </cell>
          <cell r="M273">
            <v>0</v>
          </cell>
          <cell r="N273">
            <v>0</v>
          </cell>
          <cell r="O273">
            <v>0</v>
          </cell>
        </row>
        <row r="274">
          <cell r="B274" t="str">
            <v>SUB - TOTAL</v>
          </cell>
          <cell r="C274" t="str">
            <v>¥</v>
          </cell>
          <cell r="D274">
            <v>1541500</v>
          </cell>
          <cell r="E274">
            <v>1541500</v>
          </cell>
          <cell r="F274">
            <v>1541500</v>
          </cell>
          <cell r="G274">
            <v>1541500</v>
          </cell>
          <cell r="H274">
            <v>1541500</v>
          </cell>
          <cell r="I274">
            <v>1541500</v>
          </cell>
          <cell r="J274">
            <v>1541500</v>
          </cell>
          <cell r="K274">
            <v>1541500</v>
          </cell>
          <cell r="L274">
            <v>1541500</v>
          </cell>
          <cell r="M274">
            <v>1541500</v>
          </cell>
          <cell r="N274">
            <v>1541500</v>
          </cell>
          <cell r="O274">
            <v>1541500</v>
          </cell>
        </row>
        <row r="275">
          <cell r="B275" t="str">
            <v>SUB - TOTAL</v>
          </cell>
          <cell r="C275" t="str">
            <v>Rs</v>
          </cell>
          <cell r="D275">
            <v>801580</v>
          </cell>
          <cell r="E275">
            <v>801580</v>
          </cell>
          <cell r="F275">
            <v>801580</v>
          </cell>
          <cell r="G275">
            <v>801580</v>
          </cell>
          <cell r="H275">
            <v>801580</v>
          </cell>
          <cell r="I275">
            <v>801580</v>
          </cell>
          <cell r="J275">
            <v>801580</v>
          </cell>
          <cell r="K275">
            <v>801580</v>
          </cell>
          <cell r="L275">
            <v>801580</v>
          </cell>
          <cell r="M275">
            <v>801580</v>
          </cell>
          <cell r="N275">
            <v>801580</v>
          </cell>
          <cell r="O275">
            <v>801580</v>
          </cell>
        </row>
        <row r="276">
          <cell r="B276" t="str">
            <v>INSURANCE @ 0.3% OF C&amp;F</v>
          </cell>
          <cell r="C276" t="str">
            <v>Rs</v>
          </cell>
          <cell r="D276">
            <v>2404.7400000000002</v>
          </cell>
          <cell r="E276">
            <v>2404.7400000000002</v>
          </cell>
          <cell r="F276">
            <v>2404.7400000000002</v>
          </cell>
          <cell r="G276">
            <v>2404.7400000000002</v>
          </cell>
          <cell r="H276">
            <v>2404.7400000000002</v>
          </cell>
          <cell r="I276">
            <v>2404.7400000000002</v>
          </cell>
          <cell r="J276">
            <v>2404.7400000000002</v>
          </cell>
          <cell r="K276">
            <v>2404.7400000000002</v>
          </cell>
          <cell r="L276">
            <v>2404.7400000000002</v>
          </cell>
          <cell r="M276">
            <v>2404.7400000000002</v>
          </cell>
          <cell r="N276">
            <v>2404.7400000000002</v>
          </cell>
          <cell r="O276">
            <v>2404.7400000000002</v>
          </cell>
        </row>
        <row r="277">
          <cell r="B277" t="str">
            <v>OCEAN FREIGHT</v>
          </cell>
          <cell r="C277" t="str">
            <v>Rs</v>
          </cell>
          <cell r="D277">
            <v>0</v>
          </cell>
          <cell r="E277">
            <v>0</v>
          </cell>
          <cell r="F277">
            <v>0</v>
          </cell>
          <cell r="G277">
            <v>0</v>
          </cell>
          <cell r="H277">
            <v>0</v>
          </cell>
          <cell r="I277">
            <v>0</v>
          </cell>
          <cell r="J277">
            <v>0</v>
          </cell>
          <cell r="K277">
            <v>0</v>
          </cell>
          <cell r="L277">
            <v>0</v>
          </cell>
          <cell r="M277">
            <v>0</v>
          </cell>
          <cell r="N277">
            <v>0</v>
          </cell>
          <cell r="O277">
            <v>0</v>
          </cell>
        </row>
        <row r="278">
          <cell r="B278" t="str">
            <v>TOTAL  C &amp; F</v>
          </cell>
          <cell r="C278" t="str">
            <v>Rs</v>
          </cell>
          <cell r="D278">
            <v>803984.74</v>
          </cell>
          <cell r="E278">
            <v>803984.74</v>
          </cell>
          <cell r="F278">
            <v>803984.74</v>
          </cell>
          <cell r="G278">
            <v>803984.74</v>
          </cell>
          <cell r="H278">
            <v>803984.74</v>
          </cell>
          <cell r="I278">
            <v>803984.74</v>
          </cell>
          <cell r="J278">
            <v>803984.74</v>
          </cell>
          <cell r="K278">
            <v>803984.74</v>
          </cell>
          <cell r="L278">
            <v>803984.74</v>
          </cell>
          <cell r="M278">
            <v>803984.74</v>
          </cell>
          <cell r="N278">
            <v>803984.74</v>
          </cell>
          <cell r="O278">
            <v>803984.74</v>
          </cell>
        </row>
        <row r="279">
          <cell r="B279" t="str">
            <v>LANDING  CHARGES 1%</v>
          </cell>
          <cell r="C279" t="str">
            <v>Rs</v>
          </cell>
          <cell r="D279">
            <v>8039.8473999999997</v>
          </cell>
          <cell r="E279">
            <v>8039.8473999999997</v>
          </cell>
          <cell r="F279">
            <v>8039.8473999999997</v>
          </cell>
          <cell r="G279">
            <v>8039.8473999999997</v>
          </cell>
          <cell r="H279">
            <v>8039.8473999999997</v>
          </cell>
          <cell r="I279">
            <v>8039.8473999999997</v>
          </cell>
          <cell r="J279">
            <v>8039.8473999999997</v>
          </cell>
          <cell r="K279">
            <v>8039.8473999999997</v>
          </cell>
          <cell r="L279">
            <v>8039.8473999999997</v>
          </cell>
          <cell r="M279">
            <v>8039.8473999999997</v>
          </cell>
          <cell r="N279">
            <v>8039.8473999999997</v>
          </cell>
          <cell r="O279">
            <v>8039.8473999999997</v>
          </cell>
        </row>
        <row r="280">
          <cell r="B280" t="str">
            <v>UNIT  VALUE</v>
          </cell>
          <cell r="C280" t="str">
            <v>Rs</v>
          </cell>
          <cell r="D280">
            <v>812024.58739999996</v>
          </cell>
          <cell r="E280">
            <v>812024.58739999996</v>
          </cell>
          <cell r="F280">
            <v>812024.58739999996</v>
          </cell>
          <cell r="G280">
            <v>812024.58739999996</v>
          </cell>
          <cell r="H280">
            <v>812024.58739999996</v>
          </cell>
          <cell r="I280">
            <v>812024.58739999996</v>
          </cell>
          <cell r="J280">
            <v>812024.58739999996</v>
          </cell>
          <cell r="K280">
            <v>812024.58739999996</v>
          </cell>
          <cell r="L280">
            <v>812024.58739999996</v>
          </cell>
          <cell r="M280">
            <v>812024.58739999996</v>
          </cell>
          <cell r="N280">
            <v>812024.58739999996</v>
          </cell>
          <cell r="O280">
            <v>812024.58739999996</v>
          </cell>
        </row>
        <row r="281">
          <cell r="B281" t="str">
            <v>DUTY ASSESSIBLE VALUE (DAV)</v>
          </cell>
          <cell r="C281">
            <v>1</v>
          </cell>
          <cell r="D281">
            <v>812024.58739999996</v>
          </cell>
          <cell r="E281">
            <v>812024.58739999996</v>
          </cell>
          <cell r="F281">
            <v>812024.58739999996</v>
          </cell>
          <cell r="G281">
            <v>812024.58739999996</v>
          </cell>
          <cell r="H281">
            <v>812024.58739999996</v>
          </cell>
          <cell r="I281">
            <v>812024.58739999996</v>
          </cell>
          <cell r="J281">
            <v>812024.58739999996</v>
          </cell>
          <cell r="K281">
            <v>812024.58739999996</v>
          </cell>
          <cell r="L281">
            <v>812024.58739999996</v>
          </cell>
          <cell r="M281">
            <v>812024.58739999996</v>
          </cell>
          <cell r="N281">
            <v>812024.58739999996</v>
          </cell>
          <cell r="O281">
            <v>812024.58739999996</v>
          </cell>
        </row>
        <row r="282">
          <cell r="B282" t="str">
            <v>C &amp; F</v>
          </cell>
          <cell r="C282">
            <v>2</v>
          </cell>
          <cell r="D282">
            <v>801580</v>
          </cell>
          <cell r="E282">
            <v>801580</v>
          </cell>
          <cell r="F282">
            <v>801580</v>
          </cell>
          <cell r="G282">
            <v>801580</v>
          </cell>
          <cell r="H282">
            <v>801580</v>
          </cell>
          <cell r="I282">
            <v>801580</v>
          </cell>
          <cell r="J282">
            <v>801580</v>
          </cell>
          <cell r="K282">
            <v>801580</v>
          </cell>
          <cell r="L282">
            <v>801580</v>
          </cell>
          <cell r="M282">
            <v>801580</v>
          </cell>
          <cell r="N282">
            <v>801580</v>
          </cell>
          <cell r="O282">
            <v>801580</v>
          </cell>
        </row>
        <row r="283">
          <cell r="B283" t="str">
            <v>BANK  CHARGES  @ 0.5 %       OF (2)</v>
          </cell>
          <cell r="C283">
            <v>3</v>
          </cell>
          <cell r="D283">
            <v>4007.9</v>
          </cell>
          <cell r="E283">
            <v>4007.9</v>
          </cell>
          <cell r="F283">
            <v>4007.9</v>
          </cell>
          <cell r="G283">
            <v>4007.9</v>
          </cell>
          <cell r="H283">
            <v>4007.9</v>
          </cell>
          <cell r="I283">
            <v>4007.9</v>
          </cell>
          <cell r="J283">
            <v>4007.9</v>
          </cell>
          <cell r="K283">
            <v>4007.9</v>
          </cell>
          <cell r="L283">
            <v>4007.9</v>
          </cell>
          <cell r="M283">
            <v>4007.9</v>
          </cell>
          <cell r="N283">
            <v>4007.9</v>
          </cell>
          <cell r="O283">
            <v>4007.9</v>
          </cell>
        </row>
        <row r="284">
          <cell r="B284" t="str">
            <v>LC OPENING CHG @ 0.35 %      OF (2)</v>
          </cell>
          <cell r="C284">
            <v>4</v>
          </cell>
          <cell r="D284">
            <v>2805.53</v>
          </cell>
          <cell r="E284">
            <v>2805.53</v>
          </cell>
          <cell r="F284">
            <v>2805.53</v>
          </cell>
          <cell r="G284">
            <v>2805.53</v>
          </cell>
          <cell r="H284">
            <v>2805.53</v>
          </cell>
          <cell r="I284">
            <v>2805.53</v>
          </cell>
          <cell r="J284">
            <v>2805.53</v>
          </cell>
          <cell r="K284">
            <v>2805.53</v>
          </cell>
          <cell r="L284">
            <v>2805.53</v>
          </cell>
          <cell r="M284">
            <v>2805.53</v>
          </cell>
          <cell r="N284">
            <v>2805.53</v>
          </cell>
          <cell r="O284">
            <v>2805.53</v>
          </cell>
        </row>
        <row r="285">
          <cell r="B285" t="str">
            <v>ITP Valuation Provisional 8% of (1)</v>
          </cell>
          <cell r="C285">
            <v>5</v>
          </cell>
          <cell r="D285">
            <v>64961.966992000001</v>
          </cell>
          <cell r="E285">
            <v>64961.966992000001</v>
          </cell>
          <cell r="F285">
            <v>64961.966992000001</v>
          </cell>
          <cell r="G285">
            <v>64961.966992000001</v>
          </cell>
          <cell r="H285">
            <v>64961.966992000001</v>
          </cell>
          <cell r="I285">
            <v>64961.966992000001</v>
          </cell>
          <cell r="J285">
            <v>64961.966992000001</v>
          </cell>
          <cell r="K285">
            <v>64961.966992000001</v>
          </cell>
          <cell r="L285">
            <v>64961.966992000001</v>
          </cell>
          <cell r="M285">
            <v>64961.966992000001</v>
          </cell>
          <cell r="N285">
            <v>64961.966992000001</v>
          </cell>
          <cell r="O285">
            <v>64961.966992000001</v>
          </cell>
        </row>
        <row r="286">
          <cell r="B286" t="str">
            <v>INSURANCE @ 0.3 %                OF (2)</v>
          </cell>
          <cell r="C286">
            <v>6</v>
          </cell>
          <cell r="D286">
            <v>2404.7400000000002</v>
          </cell>
          <cell r="E286">
            <v>2404.7400000000002</v>
          </cell>
          <cell r="F286">
            <v>2404.7400000000002</v>
          </cell>
          <cell r="G286">
            <v>2404.7400000000002</v>
          </cell>
          <cell r="H286">
            <v>2404.7400000000002</v>
          </cell>
          <cell r="I286">
            <v>2404.7400000000002</v>
          </cell>
          <cell r="J286">
            <v>2404.7400000000002</v>
          </cell>
          <cell r="K286">
            <v>2404.7400000000002</v>
          </cell>
          <cell r="L286">
            <v>2404.7400000000002</v>
          </cell>
          <cell r="M286">
            <v>2404.7400000000002</v>
          </cell>
          <cell r="N286">
            <v>2404.7400000000002</v>
          </cell>
          <cell r="O286">
            <v>2404.7400000000002</v>
          </cell>
        </row>
        <row r="287">
          <cell r="B287" t="str">
            <v>CUSTOM DUTY @ 60 %            OF (1)</v>
          </cell>
          <cell r="C287">
            <v>7</v>
          </cell>
          <cell r="D287">
            <v>487214.75243999995</v>
          </cell>
          <cell r="E287">
            <v>487214.75243999995</v>
          </cell>
          <cell r="F287">
            <v>487214.75243999995</v>
          </cell>
          <cell r="G287">
            <v>487214.75243999995</v>
          </cell>
          <cell r="H287">
            <v>487214.75243999995</v>
          </cell>
          <cell r="I287">
            <v>487214.75243999995</v>
          </cell>
          <cell r="J287">
            <v>487214.75243999995</v>
          </cell>
          <cell r="K287">
            <v>487214.75243999995</v>
          </cell>
          <cell r="L287">
            <v>487214.75243999995</v>
          </cell>
          <cell r="M287">
            <v>487214.75243999995</v>
          </cell>
          <cell r="N287">
            <v>487214.75243999995</v>
          </cell>
          <cell r="O287">
            <v>487214.75243999995</v>
          </cell>
        </row>
        <row r="288">
          <cell r="B288" t="str">
            <v>C.V.T. 7.5% of (1+7+9+10+11)</v>
          </cell>
          <cell r="C288">
            <v>8</v>
          </cell>
          <cell r="D288">
            <v>117666.11271425999</v>
          </cell>
          <cell r="E288">
            <v>117666.11271425999</v>
          </cell>
          <cell r="F288">
            <v>117666.11271425999</v>
          </cell>
          <cell r="G288">
            <v>117666.11271425999</v>
          </cell>
          <cell r="H288">
            <v>117666.11271425999</v>
          </cell>
          <cell r="I288">
            <v>117666.11271425999</v>
          </cell>
          <cell r="J288">
            <v>117666.11271425999</v>
          </cell>
          <cell r="K288">
            <v>117666.11271425999</v>
          </cell>
          <cell r="L288">
            <v>117666.11271425999</v>
          </cell>
          <cell r="M288">
            <v>117666.11271425999</v>
          </cell>
          <cell r="N288">
            <v>117666.11271425999</v>
          </cell>
          <cell r="O288">
            <v>117666.11271425999</v>
          </cell>
        </row>
        <row r="289">
          <cell r="B289" t="str">
            <v>SALES TAX   @ 15 %  OF (1+7)</v>
          </cell>
          <cell r="C289">
            <v>9</v>
          </cell>
          <cell r="D289">
            <v>194885.900976</v>
          </cell>
          <cell r="E289">
            <v>194885.900976</v>
          </cell>
          <cell r="F289">
            <v>194885.900976</v>
          </cell>
          <cell r="G289">
            <v>194885.900976</v>
          </cell>
          <cell r="H289">
            <v>194885.900976</v>
          </cell>
          <cell r="I289">
            <v>194885.900976</v>
          </cell>
          <cell r="J289">
            <v>194885.900976</v>
          </cell>
          <cell r="K289">
            <v>194885.900976</v>
          </cell>
          <cell r="L289">
            <v>194885.900976</v>
          </cell>
          <cell r="M289">
            <v>194885.900976</v>
          </cell>
          <cell r="N289">
            <v>194885.900976</v>
          </cell>
          <cell r="O289">
            <v>194885.900976</v>
          </cell>
        </row>
        <row r="290">
          <cell r="B290" t="str">
            <v>INCOME TAX  @ 5 % OF (1+7+9)</v>
          </cell>
          <cell r="C290">
            <v>10</v>
          </cell>
          <cell r="D290">
            <v>74706.262040799993</v>
          </cell>
          <cell r="E290">
            <v>74706.262040799993</v>
          </cell>
          <cell r="F290">
            <v>74706.262040799993</v>
          </cell>
          <cell r="G290">
            <v>74706.262040799993</v>
          </cell>
          <cell r="H290">
            <v>74706.262040799993</v>
          </cell>
          <cell r="I290">
            <v>74706.262040799993</v>
          </cell>
          <cell r="J290">
            <v>74706.262040799993</v>
          </cell>
          <cell r="K290">
            <v>74706.262040799993</v>
          </cell>
          <cell r="L290">
            <v>74706.262040799993</v>
          </cell>
          <cell r="M290">
            <v>74706.262040799993</v>
          </cell>
          <cell r="N290">
            <v>74706.262040799993</v>
          </cell>
          <cell r="O290">
            <v>74706.262040799993</v>
          </cell>
        </row>
        <row r="291">
          <cell r="B291" t="str">
            <v>CENTRAL EXCISE DUTY     @ Rs.50</v>
          </cell>
          <cell r="C291">
            <v>11</v>
          </cell>
          <cell r="D291">
            <v>50</v>
          </cell>
          <cell r="E291">
            <v>50</v>
          </cell>
          <cell r="F291">
            <v>50</v>
          </cell>
          <cell r="G291">
            <v>50</v>
          </cell>
          <cell r="H291">
            <v>50</v>
          </cell>
          <cell r="I291">
            <v>50</v>
          </cell>
          <cell r="J291">
            <v>50</v>
          </cell>
          <cell r="K291">
            <v>50</v>
          </cell>
          <cell r="L291">
            <v>50</v>
          </cell>
          <cell r="M291">
            <v>50</v>
          </cell>
          <cell r="N291">
            <v>50</v>
          </cell>
          <cell r="O291">
            <v>50</v>
          </cell>
        </row>
        <row r="292">
          <cell r="B292" t="str">
            <v>OCTROI @ 2 % OF  (1+5+7+8+9+11)</v>
          </cell>
          <cell r="C292">
            <v>12</v>
          </cell>
          <cell r="D292">
            <v>0</v>
          </cell>
          <cell r="E292">
            <v>0</v>
          </cell>
          <cell r="F292">
            <v>0</v>
          </cell>
          <cell r="G292">
            <v>0</v>
          </cell>
          <cell r="H292">
            <v>0</v>
          </cell>
          <cell r="I292">
            <v>0</v>
          </cell>
          <cell r="J292">
            <v>0</v>
          </cell>
          <cell r="K292">
            <v>0</v>
          </cell>
          <cell r="L292">
            <v>0</v>
          </cell>
          <cell r="M292">
            <v>0</v>
          </cell>
          <cell r="N292">
            <v>0</v>
          </cell>
          <cell r="O292">
            <v>0</v>
          </cell>
        </row>
        <row r="293">
          <cell r="B293" t="str">
            <v>KMC DMI @ 0.2 OF (1+5+7+8+9+10)</v>
          </cell>
          <cell r="C293">
            <v>13</v>
          </cell>
          <cell r="D293">
            <v>3502.9191651261199</v>
          </cell>
          <cell r="E293">
            <v>3502.9191651261199</v>
          </cell>
          <cell r="F293">
            <v>3502.9191651261199</v>
          </cell>
          <cell r="G293">
            <v>3502.9191651261199</v>
          </cell>
          <cell r="H293">
            <v>3502.9191651261199</v>
          </cell>
          <cell r="I293">
            <v>3502.9191651261199</v>
          </cell>
          <cell r="J293">
            <v>3502.9191651261199</v>
          </cell>
          <cell r="K293">
            <v>3502.9191651261199</v>
          </cell>
          <cell r="L293">
            <v>3502.9191651261199</v>
          </cell>
          <cell r="M293">
            <v>3502.9191651261199</v>
          </cell>
          <cell r="N293">
            <v>3502.9191651261199</v>
          </cell>
          <cell r="O293">
            <v>3502.9191651261199</v>
          </cell>
        </row>
        <row r="294">
          <cell r="B294" t="str">
            <v>WHARFAGE @ Rs.314 per cubic meter</v>
          </cell>
          <cell r="C294">
            <v>14</v>
          </cell>
          <cell r="D294">
            <v>4396</v>
          </cell>
          <cell r="E294">
            <v>4396</v>
          </cell>
          <cell r="F294">
            <v>4396</v>
          </cell>
          <cell r="G294">
            <v>4396</v>
          </cell>
          <cell r="H294">
            <v>4396</v>
          </cell>
          <cell r="I294">
            <v>4396</v>
          </cell>
          <cell r="J294">
            <v>4396</v>
          </cell>
          <cell r="K294">
            <v>4396</v>
          </cell>
          <cell r="L294">
            <v>4396</v>
          </cell>
          <cell r="M294">
            <v>4396</v>
          </cell>
          <cell r="N294">
            <v>4396</v>
          </cell>
          <cell r="O294">
            <v>4396</v>
          </cell>
        </row>
        <row r="295">
          <cell r="B295" t="str">
            <v>BONDING FEE @ 0 %               OF (1)</v>
          </cell>
          <cell r="C295">
            <v>15</v>
          </cell>
          <cell r="D295">
            <v>0</v>
          </cell>
          <cell r="E295">
            <v>0</v>
          </cell>
          <cell r="F295">
            <v>0</v>
          </cell>
          <cell r="G295">
            <v>0</v>
          </cell>
          <cell r="H295">
            <v>0</v>
          </cell>
          <cell r="I295">
            <v>0</v>
          </cell>
          <cell r="J295">
            <v>0</v>
          </cell>
          <cell r="K295">
            <v>0</v>
          </cell>
          <cell r="L295">
            <v>0</v>
          </cell>
          <cell r="M295">
            <v>0</v>
          </cell>
          <cell r="N295">
            <v>0</v>
          </cell>
          <cell r="O295">
            <v>0</v>
          </cell>
        </row>
        <row r="296">
          <cell r="B296" t="str">
            <v>STAMP DUTY CHARGE    @ Rs. 225</v>
          </cell>
          <cell r="C296">
            <v>16</v>
          </cell>
          <cell r="D296">
            <v>225</v>
          </cell>
          <cell r="E296">
            <v>225</v>
          </cell>
          <cell r="F296">
            <v>225</v>
          </cell>
          <cell r="G296">
            <v>225</v>
          </cell>
          <cell r="H296">
            <v>225</v>
          </cell>
          <cell r="I296">
            <v>225</v>
          </cell>
          <cell r="J296">
            <v>225</v>
          </cell>
          <cell r="K296">
            <v>225</v>
          </cell>
          <cell r="L296">
            <v>225</v>
          </cell>
          <cell r="M296">
            <v>225</v>
          </cell>
          <cell r="N296">
            <v>225</v>
          </cell>
          <cell r="O296">
            <v>225</v>
          </cell>
        </row>
        <row r="297">
          <cell r="B297" t="str">
            <v>CLEARING  CHARGES      @ Rs. 750</v>
          </cell>
          <cell r="C297">
            <v>17</v>
          </cell>
          <cell r="D297">
            <v>750</v>
          </cell>
          <cell r="E297">
            <v>750</v>
          </cell>
          <cell r="F297">
            <v>750</v>
          </cell>
          <cell r="G297">
            <v>750</v>
          </cell>
          <cell r="H297">
            <v>750</v>
          </cell>
          <cell r="I297">
            <v>750</v>
          </cell>
          <cell r="J297">
            <v>750</v>
          </cell>
          <cell r="K297">
            <v>750</v>
          </cell>
          <cell r="L297">
            <v>750</v>
          </cell>
          <cell r="M297">
            <v>750</v>
          </cell>
          <cell r="N297">
            <v>750</v>
          </cell>
          <cell r="O297">
            <v>750</v>
          </cell>
        </row>
        <row r="298">
          <cell r="B298" t="str">
            <v>OTHER CLEARING CHARGES @ Rs.200</v>
          </cell>
          <cell r="C298">
            <v>18</v>
          </cell>
          <cell r="D298">
            <v>200</v>
          </cell>
          <cell r="E298">
            <v>200</v>
          </cell>
          <cell r="F298">
            <v>200</v>
          </cell>
          <cell r="G298">
            <v>200</v>
          </cell>
          <cell r="H298">
            <v>200</v>
          </cell>
          <cell r="I298">
            <v>200</v>
          </cell>
          <cell r="J298">
            <v>200</v>
          </cell>
          <cell r="K298">
            <v>200</v>
          </cell>
          <cell r="L298">
            <v>200</v>
          </cell>
          <cell r="M298">
            <v>200</v>
          </cell>
          <cell r="N298">
            <v>200</v>
          </cell>
          <cell r="O298">
            <v>200</v>
          </cell>
        </row>
        <row r="299">
          <cell r="B299" t="str">
            <v>DELIEVERY ORDER CHARGES @ Rs.600</v>
          </cell>
          <cell r="C299">
            <v>19</v>
          </cell>
          <cell r="D299">
            <v>600</v>
          </cell>
          <cell r="E299">
            <v>600</v>
          </cell>
          <cell r="F299">
            <v>600</v>
          </cell>
          <cell r="G299">
            <v>600</v>
          </cell>
          <cell r="H299">
            <v>600</v>
          </cell>
          <cell r="I299">
            <v>600</v>
          </cell>
          <cell r="J299">
            <v>600</v>
          </cell>
          <cell r="K299">
            <v>600</v>
          </cell>
          <cell r="L299">
            <v>600</v>
          </cell>
          <cell r="M299">
            <v>600</v>
          </cell>
          <cell r="N299">
            <v>600</v>
          </cell>
          <cell r="O299">
            <v>600</v>
          </cell>
        </row>
        <row r="300">
          <cell r="B300" t="str">
            <v>DEMURRAGE</v>
          </cell>
          <cell r="C300">
            <v>20</v>
          </cell>
          <cell r="D300">
            <v>0</v>
          </cell>
          <cell r="E300">
            <v>0</v>
          </cell>
          <cell r="F300">
            <v>0</v>
          </cell>
          <cell r="G300">
            <v>0</v>
          </cell>
          <cell r="H300">
            <v>0</v>
          </cell>
          <cell r="I300">
            <v>0</v>
          </cell>
          <cell r="J300">
            <v>0</v>
          </cell>
          <cell r="K300">
            <v>0</v>
          </cell>
          <cell r="L300">
            <v>0</v>
          </cell>
          <cell r="M300">
            <v>0</v>
          </cell>
          <cell r="N300">
            <v>0</v>
          </cell>
          <cell r="O300">
            <v>0</v>
          </cell>
        </row>
        <row r="301">
          <cell r="B301" t="str">
            <v>SHIFTING CHARGES          @ Rs. 500</v>
          </cell>
          <cell r="C301">
            <v>21</v>
          </cell>
          <cell r="D301">
            <v>500</v>
          </cell>
          <cell r="E301">
            <v>500</v>
          </cell>
          <cell r="F301">
            <v>500</v>
          </cell>
          <cell r="G301">
            <v>500</v>
          </cell>
          <cell r="H301">
            <v>500</v>
          </cell>
          <cell r="I301">
            <v>500</v>
          </cell>
          <cell r="J301">
            <v>500</v>
          </cell>
          <cell r="K301">
            <v>500</v>
          </cell>
          <cell r="L301">
            <v>500</v>
          </cell>
          <cell r="M301">
            <v>500</v>
          </cell>
          <cell r="N301">
            <v>500</v>
          </cell>
          <cell r="O301">
            <v>500</v>
          </cell>
        </row>
        <row r="302">
          <cell r="B302" t="str">
            <v>Total Landed Cost excluding presumptive tax</v>
          </cell>
          <cell r="C302" t="str">
            <v>A</v>
          </cell>
          <cell r="D302">
            <v>1490864.9213113859</v>
          </cell>
          <cell r="E302">
            <v>1490864.9213113859</v>
          </cell>
          <cell r="F302">
            <v>1490864.9213113859</v>
          </cell>
          <cell r="G302">
            <v>1490864.9213113859</v>
          </cell>
          <cell r="H302">
            <v>1490864.9213113859</v>
          </cell>
          <cell r="I302">
            <v>1490864.9213113859</v>
          </cell>
          <cell r="J302">
            <v>1490864.9213113859</v>
          </cell>
          <cell r="K302">
            <v>1490864.9213113859</v>
          </cell>
          <cell r="L302">
            <v>1490864.9213113859</v>
          </cell>
          <cell r="M302">
            <v>1490864.9213113859</v>
          </cell>
          <cell r="N302">
            <v>1490864.9213113859</v>
          </cell>
          <cell r="O302">
            <v>1490864.9213113859</v>
          </cell>
        </row>
        <row r="303">
          <cell r="D303">
            <v>1.8599078336677386</v>
          </cell>
          <cell r="E303">
            <v>1.8599078336677386</v>
          </cell>
          <cell r="F303">
            <v>1.8599078336677386</v>
          </cell>
          <cell r="G303">
            <v>1.8599078336677386</v>
          </cell>
          <cell r="H303">
            <v>1.8599078336677386</v>
          </cell>
          <cell r="I303">
            <v>1.8599078336677386</v>
          </cell>
          <cell r="J303">
            <v>1.8599078336677386</v>
          </cell>
          <cell r="K303">
            <v>1.8599078336677386</v>
          </cell>
          <cell r="L303">
            <v>1.8599078336677386</v>
          </cell>
          <cell r="M303">
            <v>1.8599078336677386</v>
          </cell>
          <cell r="N303">
            <v>1.8599078336677386</v>
          </cell>
          <cell r="O303">
            <v>1.8599078336677386</v>
          </cell>
        </row>
        <row r="305">
          <cell r="B305" t="str">
            <v>Presumptive tax</v>
          </cell>
          <cell r="D305">
            <v>74706.262040799993</v>
          </cell>
          <cell r="E305">
            <v>74706.262040799993</v>
          </cell>
          <cell r="F305">
            <v>74706.262040799993</v>
          </cell>
          <cell r="G305">
            <v>74706.262040799993</v>
          </cell>
          <cell r="H305">
            <v>74706.262040799993</v>
          </cell>
          <cell r="I305">
            <v>74706.262040799993</v>
          </cell>
          <cell r="J305">
            <v>74706.262040799993</v>
          </cell>
          <cell r="K305">
            <v>74706.262040799993</v>
          </cell>
          <cell r="L305">
            <v>74706.262040799993</v>
          </cell>
          <cell r="M305">
            <v>74706.262040799993</v>
          </cell>
          <cell r="N305">
            <v>74706.262040799993</v>
          </cell>
          <cell r="O305">
            <v>74706.262040799993</v>
          </cell>
        </row>
        <row r="306">
          <cell r="B306" t="str">
            <v>Tax U/S 50 (4) @ 3.5%</v>
          </cell>
          <cell r="D306">
            <v>0</v>
          </cell>
          <cell r="E306">
            <v>0</v>
          </cell>
          <cell r="F306">
            <v>0</v>
          </cell>
          <cell r="G306">
            <v>0</v>
          </cell>
          <cell r="H306">
            <v>0</v>
          </cell>
          <cell r="I306">
            <v>0</v>
          </cell>
          <cell r="J306">
            <v>0</v>
          </cell>
          <cell r="K306">
            <v>0</v>
          </cell>
          <cell r="L306">
            <v>0</v>
          </cell>
          <cell r="M306">
            <v>0</v>
          </cell>
          <cell r="N306">
            <v>0</v>
          </cell>
          <cell r="O306">
            <v>0</v>
          </cell>
        </row>
        <row r="307">
          <cell r="D307">
            <v>74706.262040799993</v>
          </cell>
          <cell r="E307">
            <v>74706.262040799993</v>
          </cell>
          <cell r="F307">
            <v>74706.262040799993</v>
          </cell>
          <cell r="G307">
            <v>74706.262040799993</v>
          </cell>
          <cell r="H307">
            <v>74706.262040799993</v>
          </cell>
          <cell r="I307">
            <v>74706.262040799993</v>
          </cell>
          <cell r="J307">
            <v>74706.262040799993</v>
          </cell>
          <cell r="K307">
            <v>74706.262040799993</v>
          </cell>
          <cell r="L307">
            <v>74706.262040799993</v>
          </cell>
          <cell r="M307">
            <v>74706.262040799993</v>
          </cell>
          <cell r="N307">
            <v>74706.262040799993</v>
          </cell>
          <cell r="O307">
            <v>74706.262040799993</v>
          </cell>
        </row>
        <row r="309">
          <cell r="B309" t="str">
            <v>Existing selling price</v>
          </cell>
        </row>
        <row r="310">
          <cell r="B310" t="str">
            <v>Landed cost</v>
          </cell>
          <cell r="D310">
            <v>1565571.1833521859</v>
          </cell>
          <cell r="E310">
            <v>1565571.1833521859</v>
          </cell>
          <cell r="F310">
            <v>1565571.1833521859</v>
          </cell>
          <cell r="G310">
            <v>1565571.1833521859</v>
          </cell>
          <cell r="H310">
            <v>1565571.1833521859</v>
          </cell>
          <cell r="I310">
            <v>1565571.1833521859</v>
          </cell>
          <cell r="J310">
            <v>1565571.1833521859</v>
          </cell>
          <cell r="K310">
            <v>1565571.1833521859</v>
          </cell>
          <cell r="L310">
            <v>1565571.1833521859</v>
          </cell>
          <cell r="M310">
            <v>1565571.1833521859</v>
          </cell>
          <cell r="N310">
            <v>1565571.1833521859</v>
          </cell>
          <cell r="O310">
            <v>1565571.1833521859</v>
          </cell>
        </row>
        <row r="311">
          <cell r="B311" t="str">
            <v>Distributor Mark-up.</v>
          </cell>
          <cell r="D311">
            <v>60000</v>
          </cell>
          <cell r="E311">
            <v>60000</v>
          </cell>
          <cell r="F311">
            <v>60000</v>
          </cell>
          <cell r="G311">
            <v>60000</v>
          </cell>
          <cell r="H311">
            <v>60000</v>
          </cell>
          <cell r="I311">
            <v>60000</v>
          </cell>
          <cell r="J311">
            <v>60000</v>
          </cell>
          <cell r="K311">
            <v>60000</v>
          </cell>
          <cell r="L311">
            <v>60000</v>
          </cell>
          <cell r="M311">
            <v>60000</v>
          </cell>
          <cell r="N311">
            <v>60000</v>
          </cell>
          <cell r="O311">
            <v>60000</v>
          </cell>
        </row>
        <row r="312">
          <cell r="B312" t="str">
            <v>Income  Tax 3.5%</v>
          </cell>
          <cell r="D312">
            <v>0</v>
          </cell>
          <cell r="E312">
            <v>0</v>
          </cell>
          <cell r="F312">
            <v>0</v>
          </cell>
          <cell r="G312">
            <v>0</v>
          </cell>
          <cell r="H312">
            <v>0</v>
          </cell>
          <cell r="I312">
            <v>0</v>
          </cell>
          <cell r="J312">
            <v>0</v>
          </cell>
          <cell r="K312">
            <v>0</v>
          </cell>
          <cell r="L312">
            <v>0</v>
          </cell>
          <cell r="M312">
            <v>0</v>
          </cell>
          <cell r="N312">
            <v>0</v>
          </cell>
          <cell r="O312">
            <v>0</v>
          </cell>
        </row>
        <row r="313">
          <cell r="B313" t="str">
            <v>Dealer commission</v>
          </cell>
          <cell r="D313">
            <v>30000</v>
          </cell>
          <cell r="E313">
            <v>30000</v>
          </cell>
          <cell r="F313">
            <v>30000</v>
          </cell>
          <cell r="G313">
            <v>30000</v>
          </cell>
          <cell r="H313">
            <v>30000</v>
          </cell>
          <cell r="I313">
            <v>30000</v>
          </cell>
          <cell r="J313">
            <v>30000</v>
          </cell>
          <cell r="K313">
            <v>30000</v>
          </cell>
          <cell r="L313">
            <v>30000</v>
          </cell>
          <cell r="M313">
            <v>30000</v>
          </cell>
          <cell r="N313">
            <v>30000</v>
          </cell>
          <cell r="O313">
            <v>30000</v>
          </cell>
        </row>
        <row r="314">
          <cell r="D314">
            <v>1655571.1833521859</v>
          </cell>
          <cell r="E314">
            <v>1655571.1833521859</v>
          </cell>
          <cell r="F314">
            <v>1655571.1833521859</v>
          </cell>
          <cell r="G314">
            <v>1655571.1833521859</v>
          </cell>
          <cell r="H314">
            <v>1655571.1833521859</v>
          </cell>
          <cell r="I314">
            <v>1655571.1833521859</v>
          </cell>
          <cell r="J314">
            <v>1655571.1833521859</v>
          </cell>
          <cell r="K314">
            <v>1655571.1833521859</v>
          </cell>
          <cell r="L314">
            <v>1655571.1833521859</v>
          </cell>
          <cell r="M314">
            <v>1655571.1833521859</v>
          </cell>
          <cell r="N314">
            <v>1655571.1833521859</v>
          </cell>
          <cell r="O314">
            <v>1655571.1833521859</v>
          </cell>
        </row>
        <row r="315">
          <cell r="B315" t="str">
            <v>Sales tax</v>
          </cell>
          <cell r="D315">
            <v>248335.67750282786</v>
          </cell>
          <cell r="E315">
            <v>248335.67750282786</v>
          </cell>
          <cell r="F315">
            <v>248335.67750282786</v>
          </cell>
          <cell r="G315">
            <v>248335.67750282786</v>
          </cell>
          <cell r="H315">
            <v>248335.67750282786</v>
          </cell>
          <cell r="I315">
            <v>248335.67750282786</v>
          </cell>
          <cell r="J315">
            <v>248335.67750282786</v>
          </cell>
          <cell r="K315">
            <v>248335.67750282786</v>
          </cell>
          <cell r="L315">
            <v>248335.67750282786</v>
          </cell>
          <cell r="M315">
            <v>248335.67750282786</v>
          </cell>
          <cell r="N315">
            <v>248335.67750282786</v>
          </cell>
          <cell r="O315">
            <v>248335.67750282786</v>
          </cell>
        </row>
        <row r="316">
          <cell r="B316" t="str">
            <v>Selling price taken in budget</v>
          </cell>
          <cell r="D316">
            <v>1903906.8608550138</v>
          </cell>
          <cell r="E316">
            <v>1903906.8608550138</v>
          </cell>
          <cell r="F316">
            <v>1903906.8608550138</v>
          </cell>
          <cell r="G316">
            <v>1903906.8608550138</v>
          </cell>
          <cell r="H316">
            <v>1903906.8608550138</v>
          </cell>
          <cell r="I316">
            <v>1903906.8608550138</v>
          </cell>
          <cell r="J316">
            <v>1903906.8608550138</v>
          </cell>
          <cell r="K316">
            <v>1903906.8608550138</v>
          </cell>
          <cell r="L316">
            <v>1903906.8608550138</v>
          </cell>
          <cell r="M316">
            <v>1903906.8608550138</v>
          </cell>
          <cell r="N316">
            <v>1903906.8608550138</v>
          </cell>
          <cell r="O316">
            <v>1903906.8608550138</v>
          </cell>
        </row>
        <row r="317">
          <cell r="B317" t="str">
            <v>Selling price as per sales price list</v>
          </cell>
          <cell r="D317">
            <v>2090000</v>
          </cell>
          <cell r="E317">
            <v>2090000</v>
          </cell>
          <cell r="F317">
            <v>2090000</v>
          </cell>
          <cell r="G317">
            <v>2090000</v>
          </cell>
          <cell r="H317">
            <v>2090000</v>
          </cell>
          <cell r="I317">
            <v>2090000</v>
          </cell>
          <cell r="J317">
            <v>2090000</v>
          </cell>
          <cell r="K317">
            <v>2090000</v>
          </cell>
          <cell r="L317">
            <v>2090000</v>
          </cell>
          <cell r="M317">
            <v>2090000</v>
          </cell>
          <cell r="N317">
            <v>2090000</v>
          </cell>
          <cell r="O317">
            <v>2090000</v>
          </cell>
        </row>
        <row r="319">
          <cell r="B319" t="str">
            <v>Units sold</v>
          </cell>
          <cell r="D319">
            <v>5</v>
          </cell>
          <cell r="E319">
            <v>3</v>
          </cell>
          <cell r="F319">
            <v>3</v>
          </cell>
          <cell r="G319">
            <v>3</v>
          </cell>
          <cell r="H319">
            <v>3</v>
          </cell>
          <cell r="I319">
            <v>5</v>
          </cell>
          <cell r="J319">
            <v>4</v>
          </cell>
          <cell r="K319">
            <v>4</v>
          </cell>
          <cell r="L319">
            <v>3</v>
          </cell>
          <cell r="M319">
            <v>2</v>
          </cell>
          <cell r="N319">
            <v>3</v>
          </cell>
          <cell r="O319">
            <v>5</v>
          </cell>
        </row>
        <row r="320">
          <cell r="D320">
            <v>4007900</v>
          </cell>
          <cell r="E320">
            <v>2404740</v>
          </cell>
          <cell r="F320">
            <v>2404740</v>
          </cell>
          <cell r="G320">
            <v>2404740</v>
          </cell>
          <cell r="H320">
            <v>2404740</v>
          </cell>
          <cell r="I320">
            <v>4007900</v>
          </cell>
          <cell r="J320">
            <v>3206320</v>
          </cell>
          <cell r="K320">
            <v>3206320</v>
          </cell>
          <cell r="L320">
            <v>2404740</v>
          </cell>
          <cell r="M320">
            <v>1603160</v>
          </cell>
          <cell r="N320">
            <v>2404740</v>
          </cell>
          <cell r="O320">
            <v>4007900</v>
          </cell>
          <cell r="P320">
            <v>34467940</v>
          </cell>
        </row>
        <row r="321">
          <cell r="B321" t="str">
            <v xml:space="preserve">Working </v>
          </cell>
        </row>
        <row r="322">
          <cell r="B322" t="str">
            <v xml:space="preserve">Sales </v>
          </cell>
          <cell r="D322">
            <v>9519534.3042750694</v>
          </cell>
          <cell r="E322">
            <v>5711720.5825650413</v>
          </cell>
          <cell r="F322">
            <v>5711720.5825650413</v>
          </cell>
          <cell r="G322">
            <v>5711720.5825650413</v>
          </cell>
          <cell r="H322">
            <v>5711720.5825650413</v>
          </cell>
          <cell r="I322">
            <v>9519534.3042750694</v>
          </cell>
          <cell r="J322">
            <v>7615627.4434200553</v>
          </cell>
          <cell r="K322">
            <v>7615627.4434200553</v>
          </cell>
          <cell r="L322">
            <v>5711720.5825650413</v>
          </cell>
          <cell r="M322">
            <v>3807813.7217100277</v>
          </cell>
          <cell r="N322">
            <v>5711720.5825650413</v>
          </cell>
          <cell r="O322">
            <v>9519534.3042750694</v>
          </cell>
        </row>
        <row r="323">
          <cell r="B323" t="str">
            <v>Saels tax</v>
          </cell>
          <cell r="D323">
            <v>248335.67750282786</v>
          </cell>
          <cell r="E323">
            <v>248335.67750282786</v>
          </cell>
          <cell r="F323">
            <v>248335.67750282786</v>
          </cell>
          <cell r="G323">
            <v>248335.67750282786</v>
          </cell>
          <cell r="H323">
            <v>248335.67750282786</v>
          </cell>
          <cell r="I323">
            <v>248335.67750282786</v>
          </cell>
          <cell r="J323">
            <v>248335.67750282786</v>
          </cell>
          <cell r="K323">
            <v>248335.67750282786</v>
          </cell>
          <cell r="L323">
            <v>248335.67750282786</v>
          </cell>
          <cell r="M323">
            <v>248335.67750282786</v>
          </cell>
          <cell r="N323">
            <v>248335.67750282786</v>
          </cell>
          <cell r="O323">
            <v>248335.67750282786</v>
          </cell>
        </row>
        <row r="324">
          <cell r="B324" t="str">
            <v>Cost of Sales - Per unit</v>
          </cell>
          <cell r="D324">
            <v>1490864.9213113859</v>
          </cell>
          <cell r="E324">
            <v>1490864.9213113859</v>
          </cell>
          <cell r="F324">
            <v>1490864.9213113859</v>
          </cell>
          <cell r="G324">
            <v>1490864.9213113859</v>
          </cell>
          <cell r="H324">
            <v>1490864.9213113859</v>
          </cell>
          <cell r="I324">
            <v>1490864.9213113859</v>
          </cell>
          <cell r="J324">
            <v>1490864.9213113859</v>
          </cell>
          <cell r="K324">
            <v>1490864.9213113859</v>
          </cell>
          <cell r="L324">
            <v>1490864.9213113859</v>
          </cell>
          <cell r="M324">
            <v>1490864.9213113859</v>
          </cell>
          <cell r="N324">
            <v>1490864.9213113859</v>
          </cell>
          <cell r="O324">
            <v>1490864.9213113859</v>
          </cell>
        </row>
        <row r="325">
          <cell r="B325" t="str">
            <v>Cost of Sales - Total</v>
          </cell>
          <cell r="D325">
            <v>7454324.6065569296</v>
          </cell>
          <cell r="E325">
            <v>4472594.7639341578</v>
          </cell>
          <cell r="F325">
            <v>4472594.7639341578</v>
          </cell>
          <cell r="G325">
            <v>4472594.7639341578</v>
          </cell>
          <cell r="H325">
            <v>4472594.7639341578</v>
          </cell>
          <cell r="I325">
            <v>7454324.6065569296</v>
          </cell>
          <cell r="J325">
            <v>5963459.6852455437</v>
          </cell>
          <cell r="K325">
            <v>5963459.6852455437</v>
          </cell>
          <cell r="L325">
            <v>4472594.7639341578</v>
          </cell>
          <cell r="M325">
            <v>2981729.8426227719</v>
          </cell>
          <cell r="N325">
            <v>4472594.7639341578</v>
          </cell>
          <cell r="O325">
            <v>7454324.6065569296</v>
          </cell>
        </row>
        <row r="326">
          <cell r="B326" t="str">
            <v>Presumptive Tax - Per unit</v>
          </cell>
          <cell r="D326">
            <v>74706.262040799993</v>
          </cell>
          <cell r="E326">
            <v>74706.262040799993</v>
          </cell>
          <cell r="F326">
            <v>74706.262040799993</v>
          </cell>
          <cell r="G326">
            <v>74706.262040799993</v>
          </cell>
          <cell r="H326">
            <v>74706.262040799993</v>
          </cell>
          <cell r="I326">
            <v>74706.262040799993</v>
          </cell>
          <cell r="J326">
            <v>74706.262040799993</v>
          </cell>
          <cell r="K326">
            <v>74706.262040799993</v>
          </cell>
          <cell r="L326">
            <v>74706.262040799993</v>
          </cell>
          <cell r="M326">
            <v>74706.262040799993</v>
          </cell>
          <cell r="N326">
            <v>74706.262040799993</v>
          </cell>
          <cell r="O326">
            <v>74706.262040799993</v>
          </cell>
        </row>
        <row r="327">
          <cell r="B327" t="str">
            <v>Presumptive Tax - Total</v>
          </cell>
          <cell r="D327">
            <v>373531.31020399998</v>
          </cell>
          <cell r="E327">
            <v>224118.78612239996</v>
          </cell>
          <cell r="F327">
            <v>224118.78612239996</v>
          </cell>
          <cell r="G327">
            <v>224118.78612239996</v>
          </cell>
          <cell r="H327">
            <v>224118.78612239996</v>
          </cell>
          <cell r="I327">
            <v>373531.31020399998</v>
          </cell>
          <cell r="J327">
            <v>298825.04816319997</v>
          </cell>
          <cell r="K327">
            <v>298825.04816319997</v>
          </cell>
          <cell r="L327">
            <v>224118.78612239996</v>
          </cell>
          <cell r="M327">
            <v>149412.52408159999</v>
          </cell>
          <cell r="N327">
            <v>224118.78612239996</v>
          </cell>
          <cell r="O327">
            <v>373531.31020399998</v>
          </cell>
        </row>
        <row r="328">
          <cell r="D328">
            <v>164706.26204079995</v>
          </cell>
          <cell r="E328">
            <v>164706.26204079995</v>
          </cell>
          <cell r="F328">
            <v>164706.26204079995</v>
          </cell>
          <cell r="G328">
            <v>164706.26204079995</v>
          </cell>
          <cell r="H328">
            <v>164706.26204079995</v>
          </cell>
          <cell r="I328">
            <v>164706.26204079995</v>
          </cell>
          <cell r="J328">
            <v>164706.26204079995</v>
          </cell>
          <cell r="K328">
            <v>164706.26204079995</v>
          </cell>
          <cell r="L328">
            <v>164706.26204079995</v>
          </cell>
          <cell r="M328">
            <v>164706.26204079995</v>
          </cell>
          <cell r="N328">
            <v>164706.26204079995</v>
          </cell>
          <cell r="O328">
            <v>164706.26204079995</v>
          </cell>
        </row>
        <row r="329">
          <cell r="D329">
            <v>9.9486064807738542E-2</v>
          </cell>
          <cell r="E329">
            <v>9.9486064807738542E-2</v>
          </cell>
          <cell r="F329">
            <v>9.9486064807738542E-2</v>
          </cell>
          <cell r="G329">
            <v>9.9486064807738542E-2</v>
          </cell>
          <cell r="H329">
            <v>9.9486064807738542E-2</v>
          </cell>
          <cell r="I329">
            <v>9.9486064807738542E-2</v>
          </cell>
          <cell r="J329">
            <v>9.9486064807738542E-2</v>
          </cell>
          <cell r="K329">
            <v>9.9486064807738542E-2</v>
          </cell>
          <cell r="L329">
            <v>9.9486064807738542E-2</v>
          </cell>
          <cell r="M329">
            <v>9.9486064807738542E-2</v>
          </cell>
          <cell r="N329">
            <v>9.9486064807738542E-2</v>
          </cell>
          <cell r="O329">
            <v>9.9486064807738542E-2</v>
          </cell>
        </row>
        <row r="331">
          <cell r="B331" t="str">
            <v>Hiace -  Commuter</v>
          </cell>
          <cell r="D331">
            <v>548</v>
          </cell>
          <cell r="E331">
            <v>579</v>
          </cell>
          <cell r="F331">
            <v>610</v>
          </cell>
          <cell r="G331">
            <v>641</v>
          </cell>
          <cell r="H331">
            <v>672</v>
          </cell>
          <cell r="I331">
            <v>703</v>
          </cell>
          <cell r="J331">
            <v>734</v>
          </cell>
          <cell r="K331">
            <v>765</v>
          </cell>
          <cell r="L331">
            <v>796</v>
          </cell>
          <cell r="M331">
            <v>827</v>
          </cell>
          <cell r="N331">
            <v>858</v>
          </cell>
          <cell r="O331">
            <v>889</v>
          </cell>
        </row>
        <row r="333">
          <cell r="B333" t="str">
            <v>Document Retirement i.e. C &amp; F</v>
          </cell>
          <cell r="D333">
            <v>0.52</v>
          </cell>
          <cell r="E333">
            <v>0.52</v>
          </cell>
          <cell r="F333">
            <v>0.52</v>
          </cell>
          <cell r="G333">
            <v>0.52</v>
          </cell>
          <cell r="H333">
            <v>0.52</v>
          </cell>
          <cell r="I333">
            <v>0.52</v>
          </cell>
          <cell r="J333">
            <v>0.52</v>
          </cell>
          <cell r="K333">
            <v>0.52</v>
          </cell>
          <cell r="L333">
            <v>0.52</v>
          </cell>
          <cell r="M333">
            <v>0.52</v>
          </cell>
          <cell r="N333">
            <v>0.52</v>
          </cell>
          <cell r="O333">
            <v>0.52</v>
          </cell>
        </row>
        <row r="334">
          <cell r="B334" t="str">
            <v>Duty / Sales tax / Octroi / DMI / Tax etc.</v>
          </cell>
          <cell r="D334">
            <v>0.52</v>
          </cell>
          <cell r="E334">
            <v>0.52</v>
          </cell>
          <cell r="F334">
            <v>0.52</v>
          </cell>
          <cell r="G334">
            <v>0.52</v>
          </cell>
          <cell r="H334">
            <v>0.52</v>
          </cell>
          <cell r="I334">
            <v>0.52</v>
          </cell>
          <cell r="J334">
            <v>0.52</v>
          </cell>
          <cell r="K334">
            <v>0.52</v>
          </cell>
          <cell r="L334">
            <v>0.52</v>
          </cell>
          <cell r="M334">
            <v>0.52</v>
          </cell>
          <cell r="N334">
            <v>0.52</v>
          </cell>
          <cell r="O334">
            <v>0.52</v>
          </cell>
        </row>
        <row r="335">
          <cell r="B335" t="str">
            <v>QUANTITY</v>
          </cell>
          <cell r="D335">
            <v>1</v>
          </cell>
          <cell r="E335">
            <v>1</v>
          </cell>
          <cell r="F335">
            <v>1</v>
          </cell>
          <cell r="G335">
            <v>1</v>
          </cell>
          <cell r="H335">
            <v>1</v>
          </cell>
          <cell r="I335">
            <v>1</v>
          </cell>
          <cell r="J335">
            <v>1</v>
          </cell>
          <cell r="K335">
            <v>1</v>
          </cell>
          <cell r="L335">
            <v>1</v>
          </cell>
          <cell r="M335">
            <v>1</v>
          </cell>
          <cell r="N335">
            <v>1</v>
          </cell>
          <cell r="O335">
            <v>1</v>
          </cell>
        </row>
        <row r="336">
          <cell r="B336" t="str">
            <v>C &amp; F</v>
          </cell>
          <cell r="C336" t="str">
            <v>¥</v>
          </cell>
          <cell r="D336">
            <v>1596300</v>
          </cell>
          <cell r="E336">
            <v>1596300</v>
          </cell>
          <cell r="F336">
            <v>1596300</v>
          </cell>
          <cell r="G336">
            <v>1596300</v>
          </cell>
          <cell r="H336">
            <v>1596300</v>
          </cell>
          <cell r="I336">
            <v>1596300</v>
          </cell>
          <cell r="J336">
            <v>1596300</v>
          </cell>
          <cell r="K336">
            <v>1596300</v>
          </cell>
          <cell r="L336">
            <v>1596300</v>
          </cell>
          <cell r="M336">
            <v>1596300</v>
          </cell>
          <cell r="N336">
            <v>1596300</v>
          </cell>
          <cell r="O336">
            <v>1596300</v>
          </cell>
        </row>
        <row r="337">
          <cell r="B337" t="str">
            <v>F.O.B. VALUE - ITP</v>
          </cell>
          <cell r="C337" t="str">
            <v>¥</v>
          </cell>
          <cell r="D337">
            <v>1596300</v>
          </cell>
          <cell r="E337">
            <v>1596300</v>
          </cell>
          <cell r="F337">
            <v>1596300</v>
          </cell>
          <cell r="G337">
            <v>1596300</v>
          </cell>
          <cell r="H337">
            <v>1596300</v>
          </cell>
          <cell r="I337">
            <v>1596300</v>
          </cell>
          <cell r="J337">
            <v>1596300</v>
          </cell>
          <cell r="K337">
            <v>1596300</v>
          </cell>
          <cell r="L337">
            <v>1596300</v>
          </cell>
          <cell r="M337">
            <v>1596300</v>
          </cell>
          <cell r="N337">
            <v>1596300</v>
          </cell>
          <cell r="O337">
            <v>1596300</v>
          </cell>
        </row>
        <row r="338">
          <cell r="B338" t="str">
            <v>OPTIONS</v>
          </cell>
          <cell r="C338" t="str">
            <v>¥</v>
          </cell>
          <cell r="D338">
            <v>0</v>
          </cell>
          <cell r="E338">
            <v>0</v>
          </cell>
          <cell r="F338">
            <v>0</v>
          </cell>
          <cell r="G338">
            <v>0</v>
          </cell>
          <cell r="H338">
            <v>0</v>
          </cell>
          <cell r="I338">
            <v>0</v>
          </cell>
          <cell r="J338">
            <v>0</v>
          </cell>
          <cell r="K338">
            <v>0</v>
          </cell>
          <cell r="L338">
            <v>0</v>
          </cell>
          <cell r="M338">
            <v>0</v>
          </cell>
          <cell r="N338">
            <v>0</v>
          </cell>
          <cell r="O338">
            <v>0</v>
          </cell>
        </row>
        <row r="339">
          <cell r="B339" t="str">
            <v>COMMISSION  (FIXED)</v>
          </cell>
          <cell r="C339" t="str">
            <v>¥</v>
          </cell>
          <cell r="D339">
            <v>0</v>
          </cell>
          <cell r="E339">
            <v>0</v>
          </cell>
          <cell r="F339">
            <v>0</v>
          </cell>
          <cell r="G339">
            <v>0</v>
          </cell>
          <cell r="H339">
            <v>0</v>
          </cell>
          <cell r="I339">
            <v>0</v>
          </cell>
          <cell r="J339">
            <v>0</v>
          </cell>
          <cell r="K339">
            <v>0</v>
          </cell>
          <cell r="L339">
            <v>0</v>
          </cell>
          <cell r="M339">
            <v>0</v>
          </cell>
          <cell r="N339">
            <v>0</v>
          </cell>
          <cell r="O339">
            <v>0</v>
          </cell>
        </row>
        <row r="340">
          <cell r="B340" t="str">
            <v>ESTIMATED YEN</v>
          </cell>
          <cell r="C340" t="str">
            <v>¥</v>
          </cell>
        </row>
        <row r="341">
          <cell r="B341" t="str">
            <v>LOADING FOR ADVERTISING/WARRANTY</v>
          </cell>
          <cell r="C341" t="str">
            <v>¥</v>
          </cell>
          <cell r="D341">
            <v>0</v>
          </cell>
          <cell r="E341">
            <v>0</v>
          </cell>
          <cell r="F341">
            <v>0</v>
          </cell>
          <cell r="G341">
            <v>0</v>
          </cell>
          <cell r="H341">
            <v>0</v>
          </cell>
          <cell r="I341">
            <v>0</v>
          </cell>
          <cell r="J341">
            <v>0</v>
          </cell>
          <cell r="K341">
            <v>0</v>
          </cell>
          <cell r="L341">
            <v>0</v>
          </cell>
          <cell r="M341">
            <v>0</v>
          </cell>
          <cell r="N341">
            <v>0</v>
          </cell>
          <cell r="O341">
            <v>0</v>
          </cell>
        </row>
        <row r="342">
          <cell r="B342" t="str">
            <v>SUB - TOTAL</v>
          </cell>
          <cell r="C342" t="str">
            <v>¥</v>
          </cell>
          <cell r="D342">
            <v>1596300</v>
          </cell>
          <cell r="E342">
            <v>1596300</v>
          </cell>
          <cell r="F342">
            <v>1596300</v>
          </cell>
          <cell r="G342">
            <v>1596300</v>
          </cell>
          <cell r="H342">
            <v>1596300</v>
          </cell>
          <cell r="I342">
            <v>1596300</v>
          </cell>
          <cell r="J342">
            <v>1596300</v>
          </cell>
          <cell r="K342">
            <v>1596300</v>
          </cell>
          <cell r="L342">
            <v>1596300</v>
          </cell>
          <cell r="M342">
            <v>1596300</v>
          </cell>
          <cell r="N342">
            <v>1596300</v>
          </cell>
          <cell r="O342">
            <v>1596300</v>
          </cell>
        </row>
        <row r="343">
          <cell r="B343" t="str">
            <v>SUB - TOTAL</v>
          </cell>
          <cell r="C343" t="str">
            <v>Rs</v>
          </cell>
          <cell r="D343">
            <v>830076</v>
          </cell>
          <cell r="E343">
            <v>830076</v>
          </cell>
          <cell r="F343">
            <v>830076</v>
          </cell>
          <cell r="G343">
            <v>830076</v>
          </cell>
          <cell r="H343">
            <v>830076</v>
          </cell>
          <cell r="I343">
            <v>830076</v>
          </cell>
          <cell r="J343">
            <v>830076</v>
          </cell>
          <cell r="K343">
            <v>830076</v>
          </cell>
          <cell r="L343">
            <v>830076</v>
          </cell>
          <cell r="M343">
            <v>830076</v>
          </cell>
          <cell r="N343">
            <v>830076</v>
          </cell>
          <cell r="O343">
            <v>830076</v>
          </cell>
        </row>
        <row r="344">
          <cell r="B344" t="str">
            <v>INSURANCE @ 0.3% OF C&amp;F</v>
          </cell>
          <cell r="C344" t="str">
            <v>Rs</v>
          </cell>
          <cell r="D344">
            <v>2490.2280000000001</v>
          </cell>
          <cell r="E344">
            <v>2490.2280000000001</v>
          </cell>
          <cell r="F344">
            <v>2490.2280000000001</v>
          </cell>
          <cell r="G344">
            <v>2490.2280000000001</v>
          </cell>
          <cell r="H344">
            <v>2490.2280000000001</v>
          </cell>
          <cell r="I344">
            <v>2490.2280000000001</v>
          </cell>
          <cell r="J344">
            <v>2490.2280000000001</v>
          </cell>
          <cell r="K344">
            <v>2490.2280000000001</v>
          </cell>
          <cell r="L344">
            <v>2490.2280000000001</v>
          </cell>
          <cell r="M344">
            <v>2490.2280000000001</v>
          </cell>
          <cell r="N344">
            <v>2490.2280000000001</v>
          </cell>
          <cell r="O344">
            <v>2490.2280000000001</v>
          </cell>
        </row>
        <row r="345">
          <cell r="B345" t="str">
            <v>OCEAN FREIGHT</v>
          </cell>
          <cell r="C345" t="str">
            <v>Rs</v>
          </cell>
          <cell r="D345">
            <v>0</v>
          </cell>
          <cell r="E345">
            <v>0</v>
          </cell>
          <cell r="F345">
            <v>0</v>
          </cell>
          <cell r="G345">
            <v>0</v>
          </cell>
          <cell r="H345">
            <v>0</v>
          </cell>
          <cell r="I345">
            <v>0</v>
          </cell>
          <cell r="J345">
            <v>0</v>
          </cell>
          <cell r="K345">
            <v>0</v>
          </cell>
          <cell r="L345">
            <v>0</v>
          </cell>
          <cell r="M345">
            <v>0</v>
          </cell>
          <cell r="N345">
            <v>0</v>
          </cell>
          <cell r="O345">
            <v>0</v>
          </cell>
        </row>
        <row r="346">
          <cell r="B346" t="str">
            <v>TOTAL  C &amp; F</v>
          </cell>
          <cell r="C346" t="str">
            <v>Rs</v>
          </cell>
          <cell r="D346">
            <v>832566.228</v>
          </cell>
          <cell r="E346">
            <v>832566.228</v>
          </cell>
          <cell r="F346">
            <v>832566.228</v>
          </cell>
          <cell r="G346">
            <v>832566.228</v>
          </cell>
          <cell r="H346">
            <v>832566.228</v>
          </cell>
          <cell r="I346">
            <v>832566.228</v>
          </cell>
          <cell r="J346">
            <v>832566.228</v>
          </cell>
          <cell r="K346">
            <v>832566.228</v>
          </cell>
          <cell r="L346">
            <v>832566.228</v>
          </cell>
          <cell r="M346">
            <v>832566.228</v>
          </cell>
          <cell r="N346">
            <v>832566.228</v>
          </cell>
          <cell r="O346">
            <v>832566.228</v>
          </cell>
        </row>
        <row r="347">
          <cell r="B347" t="str">
            <v>LANDING  CHARGES 1%</v>
          </cell>
          <cell r="C347" t="str">
            <v>Rs</v>
          </cell>
          <cell r="D347">
            <v>8325.6622800000005</v>
          </cell>
          <cell r="E347">
            <v>8325.6622800000005</v>
          </cell>
          <cell r="F347">
            <v>8325.6622800000005</v>
          </cell>
          <cell r="G347">
            <v>8325.6622800000005</v>
          </cell>
          <cell r="H347">
            <v>8325.6622800000005</v>
          </cell>
          <cell r="I347">
            <v>8325.6622800000005</v>
          </cell>
          <cell r="J347">
            <v>8325.6622800000005</v>
          </cell>
          <cell r="K347">
            <v>8325.6622800000005</v>
          </cell>
          <cell r="L347">
            <v>8325.6622800000005</v>
          </cell>
          <cell r="M347">
            <v>8325.6622800000005</v>
          </cell>
          <cell r="N347">
            <v>8325.6622800000005</v>
          </cell>
          <cell r="O347">
            <v>8325.6622800000005</v>
          </cell>
        </row>
        <row r="348">
          <cell r="B348" t="str">
            <v>UNIT  VALUE</v>
          </cell>
          <cell r="C348" t="str">
            <v>Rs</v>
          </cell>
          <cell r="D348">
            <v>840891.89028000005</v>
          </cell>
          <cell r="E348">
            <v>840891.89028000005</v>
          </cell>
          <cell r="F348">
            <v>840891.89028000005</v>
          </cell>
          <cell r="G348">
            <v>840891.89028000005</v>
          </cell>
          <cell r="H348">
            <v>840891.89028000005</v>
          </cell>
          <cell r="I348">
            <v>840891.89028000005</v>
          </cell>
          <cell r="J348">
            <v>840891.89028000005</v>
          </cell>
          <cell r="K348">
            <v>840891.89028000005</v>
          </cell>
          <cell r="L348">
            <v>840891.89028000005</v>
          </cell>
          <cell r="M348">
            <v>840891.89028000005</v>
          </cell>
          <cell r="N348">
            <v>840891.89028000005</v>
          </cell>
          <cell r="O348">
            <v>840891.89028000005</v>
          </cell>
        </row>
        <row r="349">
          <cell r="B349" t="str">
            <v>DUTY ASSESSIBLE VALUE (DAV)</v>
          </cell>
          <cell r="C349">
            <v>1</v>
          </cell>
          <cell r="D349">
            <v>840891.89028000005</v>
          </cell>
          <cell r="E349">
            <v>840891.89028000005</v>
          </cell>
          <cell r="F349">
            <v>840891.89028000005</v>
          </cell>
          <cell r="G349">
            <v>840891.89028000005</v>
          </cell>
          <cell r="H349">
            <v>840891.89028000005</v>
          </cell>
          <cell r="I349">
            <v>840891.89028000005</v>
          </cell>
          <cell r="J349">
            <v>840891.89028000005</v>
          </cell>
          <cell r="K349">
            <v>840891.89028000005</v>
          </cell>
          <cell r="L349">
            <v>840891.89028000005</v>
          </cell>
          <cell r="M349">
            <v>840891.89028000005</v>
          </cell>
          <cell r="N349">
            <v>840891.89028000005</v>
          </cell>
          <cell r="O349">
            <v>840891.89028000005</v>
          </cell>
        </row>
        <row r="350">
          <cell r="B350" t="str">
            <v>C &amp; F</v>
          </cell>
          <cell r="C350">
            <v>2</v>
          </cell>
          <cell r="D350">
            <v>830076</v>
          </cell>
          <cell r="E350">
            <v>830076</v>
          </cell>
          <cell r="F350">
            <v>830076</v>
          </cell>
          <cell r="G350">
            <v>830076</v>
          </cell>
          <cell r="H350">
            <v>830076</v>
          </cell>
          <cell r="I350">
            <v>830076</v>
          </cell>
          <cell r="J350">
            <v>830076</v>
          </cell>
          <cell r="K350">
            <v>830076</v>
          </cell>
          <cell r="L350">
            <v>830076</v>
          </cell>
          <cell r="M350">
            <v>830076</v>
          </cell>
          <cell r="N350">
            <v>830076</v>
          </cell>
          <cell r="O350">
            <v>830076</v>
          </cell>
        </row>
        <row r="351">
          <cell r="B351" t="str">
            <v>BANK  CHARGES  @ 0.5 %       OF (2)</v>
          </cell>
          <cell r="C351">
            <v>3</v>
          </cell>
          <cell r="D351">
            <v>4150.38</v>
          </cell>
          <cell r="E351">
            <v>4150.38</v>
          </cell>
          <cell r="F351">
            <v>4150.38</v>
          </cell>
          <cell r="G351">
            <v>4150.38</v>
          </cell>
          <cell r="H351">
            <v>4150.38</v>
          </cell>
          <cell r="I351">
            <v>4150.38</v>
          </cell>
          <cell r="J351">
            <v>4150.38</v>
          </cell>
          <cell r="K351">
            <v>4150.38</v>
          </cell>
          <cell r="L351">
            <v>4150.38</v>
          </cell>
          <cell r="M351">
            <v>4150.38</v>
          </cell>
          <cell r="N351">
            <v>4150.38</v>
          </cell>
          <cell r="O351">
            <v>4150.38</v>
          </cell>
        </row>
        <row r="352">
          <cell r="B352" t="str">
            <v>LC OPENING CHG @ 0.35 %      OF (2)</v>
          </cell>
          <cell r="C352">
            <v>4</v>
          </cell>
          <cell r="D352">
            <v>2905.2660000000001</v>
          </cell>
          <cell r="E352">
            <v>2905.2660000000001</v>
          </cell>
          <cell r="F352">
            <v>2905.2660000000001</v>
          </cell>
          <cell r="G352">
            <v>2905.2660000000001</v>
          </cell>
          <cell r="H352">
            <v>2905.2660000000001</v>
          </cell>
          <cell r="I352">
            <v>2905.2660000000001</v>
          </cell>
          <cell r="J352">
            <v>2905.2660000000001</v>
          </cell>
          <cell r="K352">
            <v>2905.2660000000001</v>
          </cell>
          <cell r="L352">
            <v>2905.2660000000001</v>
          </cell>
          <cell r="M352">
            <v>2905.2660000000001</v>
          </cell>
          <cell r="N352">
            <v>2905.2660000000001</v>
          </cell>
          <cell r="O352">
            <v>2905.2660000000001</v>
          </cell>
        </row>
        <row r="353">
          <cell r="B353" t="str">
            <v>ITP Valuation Provisional 8% of (1)</v>
          </cell>
          <cell r="C353">
            <v>5</v>
          </cell>
          <cell r="D353">
            <v>67271.351222400001</v>
          </cell>
          <cell r="E353">
            <v>67271.351222400001</v>
          </cell>
          <cell r="F353">
            <v>67271.351222400001</v>
          </cell>
          <cell r="G353">
            <v>67271.351222400001</v>
          </cell>
          <cell r="H353">
            <v>67271.351222400001</v>
          </cell>
          <cell r="I353">
            <v>67271.351222400001</v>
          </cell>
          <cell r="J353">
            <v>67271.351222400001</v>
          </cell>
          <cell r="K353">
            <v>67271.351222400001</v>
          </cell>
          <cell r="L353">
            <v>67271.351222400001</v>
          </cell>
          <cell r="M353">
            <v>67271.351222400001</v>
          </cell>
          <cell r="N353">
            <v>67271.351222400001</v>
          </cell>
          <cell r="O353">
            <v>67271.351222400001</v>
          </cell>
        </row>
        <row r="354">
          <cell r="B354" t="str">
            <v>INSURANCE @ 0.3 %                OF (2)</v>
          </cell>
          <cell r="C354">
            <v>6</v>
          </cell>
          <cell r="D354">
            <v>2490.2280000000001</v>
          </cell>
          <cell r="E354">
            <v>2490.2280000000001</v>
          </cell>
          <cell r="F354">
            <v>2490.2280000000001</v>
          </cell>
          <cell r="G354">
            <v>2490.2280000000001</v>
          </cell>
          <cell r="H354">
            <v>2490.2280000000001</v>
          </cell>
          <cell r="I354">
            <v>2490.2280000000001</v>
          </cell>
          <cell r="J354">
            <v>2490.2280000000001</v>
          </cell>
          <cell r="K354">
            <v>2490.2280000000001</v>
          </cell>
          <cell r="L354">
            <v>2490.2280000000001</v>
          </cell>
          <cell r="M354">
            <v>2490.2280000000001</v>
          </cell>
          <cell r="N354">
            <v>2490.2280000000001</v>
          </cell>
          <cell r="O354">
            <v>2490.2280000000001</v>
          </cell>
        </row>
        <row r="355">
          <cell r="B355" t="str">
            <v>CUSTOM DUTY @ 60 %            OF (1)</v>
          </cell>
          <cell r="C355">
            <v>7</v>
          </cell>
          <cell r="D355">
            <v>504535.13416800002</v>
          </cell>
          <cell r="E355">
            <v>504535.13416800002</v>
          </cell>
          <cell r="F355">
            <v>504535.13416800002</v>
          </cell>
          <cell r="G355">
            <v>504535.13416800002</v>
          </cell>
          <cell r="H355">
            <v>504535.13416800002</v>
          </cell>
          <cell r="I355">
            <v>504535.13416800002</v>
          </cell>
          <cell r="J355">
            <v>504535.13416800002</v>
          </cell>
          <cell r="K355">
            <v>504535.13416800002</v>
          </cell>
          <cell r="L355">
            <v>504535.13416800002</v>
          </cell>
          <cell r="M355">
            <v>504535.13416800002</v>
          </cell>
          <cell r="N355">
            <v>504535.13416800002</v>
          </cell>
          <cell r="O355">
            <v>504535.13416800002</v>
          </cell>
        </row>
        <row r="356">
          <cell r="B356" t="str">
            <v>C.V.T. 7.5% of (1+7+9+10+11)</v>
          </cell>
          <cell r="C356">
            <v>8</v>
          </cell>
          <cell r="D356">
            <v>121848.984901572</v>
          </cell>
          <cell r="E356">
            <v>121848.984901572</v>
          </cell>
          <cell r="F356">
            <v>121848.984901572</v>
          </cell>
          <cell r="G356">
            <v>121848.984901572</v>
          </cell>
          <cell r="H356">
            <v>121848.984901572</v>
          </cell>
          <cell r="I356">
            <v>121848.984901572</v>
          </cell>
          <cell r="J356">
            <v>121848.984901572</v>
          </cell>
          <cell r="K356">
            <v>121848.984901572</v>
          </cell>
          <cell r="L356">
            <v>121848.984901572</v>
          </cell>
          <cell r="M356">
            <v>121848.984901572</v>
          </cell>
          <cell r="N356">
            <v>121848.984901572</v>
          </cell>
          <cell r="O356">
            <v>121848.984901572</v>
          </cell>
        </row>
        <row r="357">
          <cell r="B357" t="str">
            <v>SALES TAX   @ 15 %  OF (1+7)</v>
          </cell>
          <cell r="C357">
            <v>9</v>
          </cell>
          <cell r="D357">
            <v>201814.0536672</v>
          </cell>
          <cell r="E357">
            <v>201814.0536672</v>
          </cell>
          <cell r="F357">
            <v>201814.0536672</v>
          </cell>
          <cell r="G357">
            <v>201814.0536672</v>
          </cell>
          <cell r="H357">
            <v>201814.0536672</v>
          </cell>
          <cell r="I357">
            <v>201814.0536672</v>
          </cell>
          <cell r="J357">
            <v>201814.0536672</v>
          </cell>
          <cell r="K357">
            <v>201814.0536672</v>
          </cell>
          <cell r="L357">
            <v>201814.0536672</v>
          </cell>
          <cell r="M357">
            <v>201814.0536672</v>
          </cell>
          <cell r="N357">
            <v>201814.0536672</v>
          </cell>
          <cell r="O357">
            <v>201814.0536672</v>
          </cell>
        </row>
        <row r="358">
          <cell r="B358" t="str">
            <v>INCOME TAX  @ 5 % OF (1+7+9)</v>
          </cell>
          <cell r="C358">
            <v>10</v>
          </cell>
          <cell r="D358">
            <v>77362.053905760011</v>
          </cell>
          <cell r="E358">
            <v>77362.053905760011</v>
          </cell>
          <cell r="F358">
            <v>77362.053905760011</v>
          </cell>
          <cell r="G358">
            <v>77362.053905760011</v>
          </cell>
          <cell r="H358">
            <v>77362.053905760011</v>
          </cell>
          <cell r="I358">
            <v>77362.053905760011</v>
          </cell>
          <cell r="J358">
            <v>77362.053905760011</v>
          </cell>
          <cell r="K358">
            <v>77362.053905760011</v>
          </cell>
          <cell r="L358">
            <v>77362.053905760011</v>
          </cell>
          <cell r="M358">
            <v>77362.053905760011</v>
          </cell>
          <cell r="N358">
            <v>77362.053905760011</v>
          </cell>
          <cell r="O358">
            <v>77362.053905760011</v>
          </cell>
        </row>
        <row r="359">
          <cell r="B359" t="str">
            <v>CENTRAL EXCISE DUTY     @ Rs.50</v>
          </cell>
          <cell r="C359">
            <v>11</v>
          </cell>
          <cell r="D359">
            <v>50</v>
          </cell>
          <cell r="E359">
            <v>50</v>
          </cell>
          <cell r="F359">
            <v>50</v>
          </cell>
          <cell r="G359">
            <v>50</v>
          </cell>
          <cell r="H359">
            <v>50</v>
          </cell>
          <cell r="I359">
            <v>50</v>
          </cell>
          <cell r="J359">
            <v>50</v>
          </cell>
          <cell r="K359">
            <v>50</v>
          </cell>
          <cell r="L359">
            <v>50</v>
          </cell>
          <cell r="M359">
            <v>50</v>
          </cell>
          <cell r="N359">
            <v>50</v>
          </cell>
          <cell r="O359">
            <v>50</v>
          </cell>
        </row>
        <row r="360">
          <cell r="B360" t="str">
            <v>OCTROI @ 2 % OF  (1+5+7+8+9+11)</v>
          </cell>
          <cell r="C360">
            <v>12</v>
          </cell>
          <cell r="D360">
            <v>0</v>
          </cell>
          <cell r="E360">
            <v>0</v>
          </cell>
          <cell r="F360">
            <v>0</v>
          </cell>
          <cell r="G360">
            <v>0</v>
          </cell>
          <cell r="H360">
            <v>0</v>
          </cell>
          <cell r="I360">
            <v>0</v>
          </cell>
          <cell r="J360">
            <v>0</v>
          </cell>
          <cell r="K360">
            <v>0</v>
          </cell>
          <cell r="L360">
            <v>0</v>
          </cell>
          <cell r="M360">
            <v>0</v>
          </cell>
          <cell r="N360">
            <v>0</v>
          </cell>
          <cell r="O360">
            <v>0</v>
          </cell>
        </row>
        <row r="361">
          <cell r="B361" t="str">
            <v>KMC DMI @ 0.2 OF (1+5+7+8+9+10)</v>
          </cell>
          <cell r="C361">
            <v>13</v>
          </cell>
          <cell r="D361">
            <v>3627.4469362898644</v>
          </cell>
          <cell r="E361">
            <v>3627.4469362898644</v>
          </cell>
          <cell r="F361">
            <v>3627.4469362898644</v>
          </cell>
          <cell r="G361">
            <v>3627.4469362898644</v>
          </cell>
          <cell r="H361">
            <v>3627.4469362898644</v>
          </cell>
          <cell r="I361">
            <v>3627.4469362898644</v>
          </cell>
          <cell r="J361">
            <v>3627.4469362898644</v>
          </cell>
          <cell r="K361">
            <v>3627.4469362898644</v>
          </cell>
          <cell r="L361">
            <v>3627.4469362898644</v>
          </cell>
          <cell r="M361">
            <v>3627.4469362898644</v>
          </cell>
          <cell r="N361">
            <v>3627.4469362898644</v>
          </cell>
          <cell r="O361">
            <v>3627.4469362898644</v>
          </cell>
        </row>
        <row r="362">
          <cell r="B362" t="str">
            <v>WHARFAGE @ Rs.314 per cubic meter</v>
          </cell>
          <cell r="C362">
            <v>14</v>
          </cell>
          <cell r="D362">
            <v>4396</v>
          </cell>
          <cell r="E362">
            <v>4396</v>
          </cell>
          <cell r="F362">
            <v>4396</v>
          </cell>
          <cell r="G362">
            <v>4396</v>
          </cell>
          <cell r="H362">
            <v>4396</v>
          </cell>
          <cell r="I362">
            <v>4396</v>
          </cell>
          <cell r="J362">
            <v>4396</v>
          </cell>
          <cell r="K362">
            <v>4396</v>
          </cell>
          <cell r="L362">
            <v>4396</v>
          </cell>
          <cell r="M362">
            <v>4396</v>
          </cell>
          <cell r="N362">
            <v>4396</v>
          </cell>
          <cell r="O362">
            <v>4396</v>
          </cell>
        </row>
        <row r="363">
          <cell r="B363" t="str">
            <v>BONDING FEE @ 0 %               OF (1)</v>
          </cell>
          <cell r="C363">
            <v>15</v>
          </cell>
          <cell r="D363">
            <v>0</v>
          </cell>
          <cell r="E363">
            <v>0</v>
          </cell>
          <cell r="F363">
            <v>0</v>
          </cell>
          <cell r="G363">
            <v>0</v>
          </cell>
          <cell r="H363">
            <v>0</v>
          </cell>
          <cell r="I363">
            <v>0</v>
          </cell>
          <cell r="J363">
            <v>0</v>
          </cell>
          <cell r="K363">
            <v>0</v>
          </cell>
          <cell r="L363">
            <v>0</v>
          </cell>
          <cell r="M363">
            <v>0</v>
          </cell>
          <cell r="N363">
            <v>0</v>
          </cell>
          <cell r="O363">
            <v>0</v>
          </cell>
        </row>
        <row r="364">
          <cell r="B364" t="str">
            <v>STAMP DUTY CHARGE    @ Rs. 225</v>
          </cell>
          <cell r="C364">
            <v>16</v>
          </cell>
          <cell r="D364">
            <v>225</v>
          </cell>
          <cell r="E364">
            <v>225</v>
          </cell>
          <cell r="F364">
            <v>225</v>
          </cell>
          <cell r="G364">
            <v>225</v>
          </cell>
          <cell r="H364">
            <v>225</v>
          </cell>
          <cell r="I364">
            <v>225</v>
          </cell>
          <cell r="J364">
            <v>225</v>
          </cell>
          <cell r="K364">
            <v>225</v>
          </cell>
          <cell r="L364">
            <v>225</v>
          </cell>
          <cell r="M364">
            <v>225</v>
          </cell>
          <cell r="N364">
            <v>225</v>
          </cell>
          <cell r="O364">
            <v>225</v>
          </cell>
        </row>
        <row r="365">
          <cell r="B365" t="str">
            <v>CLEARING  CHARGES      @ Rs. 750</v>
          </cell>
          <cell r="C365">
            <v>17</v>
          </cell>
          <cell r="D365">
            <v>750</v>
          </cell>
          <cell r="E365">
            <v>750</v>
          </cell>
          <cell r="F365">
            <v>750</v>
          </cell>
          <cell r="G365">
            <v>750</v>
          </cell>
          <cell r="H365">
            <v>750</v>
          </cell>
          <cell r="I365">
            <v>750</v>
          </cell>
          <cell r="J365">
            <v>750</v>
          </cell>
          <cell r="K365">
            <v>750</v>
          </cell>
          <cell r="L365">
            <v>750</v>
          </cell>
          <cell r="M365">
            <v>750</v>
          </cell>
          <cell r="N365">
            <v>750</v>
          </cell>
          <cell r="O365">
            <v>750</v>
          </cell>
        </row>
        <row r="366">
          <cell r="B366" t="str">
            <v>OTHER CLEARING CHARGES @ Rs.200</v>
          </cell>
          <cell r="C366">
            <v>18</v>
          </cell>
          <cell r="D366">
            <v>200</v>
          </cell>
          <cell r="E366">
            <v>200</v>
          </cell>
          <cell r="F366">
            <v>200</v>
          </cell>
          <cell r="G366">
            <v>200</v>
          </cell>
          <cell r="H366">
            <v>200</v>
          </cell>
          <cell r="I366">
            <v>200</v>
          </cell>
          <cell r="J366">
            <v>200</v>
          </cell>
          <cell r="K366">
            <v>200</v>
          </cell>
          <cell r="L366">
            <v>200</v>
          </cell>
          <cell r="M366">
            <v>200</v>
          </cell>
          <cell r="N366">
            <v>200</v>
          </cell>
          <cell r="O366">
            <v>200</v>
          </cell>
        </row>
        <row r="367">
          <cell r="B367" t="str">
            <v>DELIEVERY ORDER CHARGES @ Rs.600</v>
          </cell>
          <cell r="C367">
            <v>19</v>
          </cell>
          <cell r="D367">
            <v>600</v>
          </cell>
          <cell r="E367">
            <v>600</v>
          </cell>
          <cell r="F367">
            <v>600</v>
          </cell>
          <cell r="G367">
            <v>600</v>
          </cell>
          <cell r="H367">
            <v>600</v>
          </cell>
          <cell r="I367">
            <v>600</v>
          </cell>
          <cell r="J367">
            <v>600</v>
          </cell>
          <cell r="K367">
            <v>600</v>
          </cell>
          <cell r="L367">
            <v>600</v>
          </cell>
          <cell r="M367">
            <v>600</v>
          </cell>
          <cell r="N367">
            <v>600</v>
          </cell>
          <cell r="O367">
            <v>600</v>
          </cell>
        </row>
        <row r="368">
          <cell r="B368" t="str">
            <v>DEMURRAGE</v>
          </cell>
          <cell r="C368">
            <v>20</v>
          </cell>
          <cell r="D368">
            <v>0</v>
          </cell>
          <cell r="E368">
            <v>0</v>
          </cell>
          <cell r="F368">
            <v>0</v>
          </cell>
          <cell r="G368">
            <v>0</v>
          </cell>
          <cell r="H368">
            <v>0</v>
          </cell>
          <cell r="I368">
            <v>0</v>
          </cell>
          <cell r="J368">
            <v>0</v>
          </cell>
          <cell r="K368">
            <v>0</v>
          </cell>
          <cell r="L368">
            <v>0</v>
          </cell>
          <cell r="M368">
            <v>0</v>
          </cell>
          <cell r="N368">
            <v>0</v>
          </cell>
          <cell r="O368">
            <v>0</v>
          </cell>
        </row>
        <row r="369">
          <cell r="B369" t="str">
            <v>SHIFTING CHARGES          @ Rs. 500</v>
          </cell>
          <cell r="C369">
            <v>21</v>
          </cell>
          <cell r="D369">
            <v>500</v>
          </cell>
          <cell r="E369">
            <v>500</v>
          </cell>
          <cell r="F369">
            <v>500</v>
          </cell>
          <cell r="G369">
            <v>500</v>
          </cell>
          <cell r="H369">
            <v>500</v>
          </cell>
          <cell r="I369">
            <v>500</v>
          </cell>
          <cell r="J369">
            <v>500</v>
          </cell>
          <cell r="K369">
            <v>500</v>
          </cell>
          <cell r="L369">
            <v>500</v>
          </cell>
          <cell r="M369">
            <v>500</v>
          </cell>
          <cell r="N369">
            <v>500</v>
          </cell>
          <cell r="O369">
            <v>500</v>
          </cell>
        </row>
        <row r="370">
          <cell r="B370" t="str">
            <v>Total Landed Cost excluding presumptive tax</v>
          </cell>
          <cell r="C370" t="str">
            <v>A</v>
          </cell>
          <cell r="D370">
            <v>1543625.7912282618</v>
          </cell>
          <cell r="E370">
            <v>1543625.7912282618</v>
          </cell>
          <cell r="F370">
            <v>1543625.7912282618</v>
          </cell>
          <cell r="G370">
            <v>1543625.7912282618</v>
          </cell>
          <cell r="H370">
            <v>1543625.7912282618</v>
          </cell>
          <cell r="I370">
            <v>1543625.7912282618</v>
          </cell>
          <cell r="J370">
            <v>1543625.7912282618</v>
          </cell>
          <cell r="K370">
            <v>1543625.7912282618</v>
          </cell>
          <cell r="L370">
            <v>1543625.7912282618</v>
          </cell>
          <cell r="M370">
            <v>1543625.7912282618</v>
          </cell>
          <cell r="N370">
            <v>1543625.7912282618</v>
          </cell>
          <cell r="O370">
            <v>1543625.7912282618</v>
          </cell>
        </row>
        <row r="371">
          <cell r="D371">
            <v>1.8596198314711687</v>
          </cell>
          <cell r="E371">
            <v>1.8596198314711687</v>
          </cell>
          <cell r="F371">
            <v>1.8596198314711687</v>
          </cell>
          <cell r="G371">
            <v>1.8596198314711687</v>
          </cell>
          <cell r="H371">
            <v>1.8596198314711687</v>
          </cell>
          <cell r="I371">
            <v>1.8596198314711687</v>
          </cell>
          <cell r="J371">
            <v>1.8596198314711687</v>
          </cell>
          <cell r="K371">
            <v>1.8596198314711687</v>
          </cell>
          <cell r="L371">
            <v>1.8596198314711687</v>
          </cell>
          <cell r="M371">
            <v>1.8596198314711687</v>
          </cell>
          <cell r="N371">
            <v>1.8596198314711687</v>
          </cell>
          <cell r="O371">
            <v>1.8596198314711687</v>
          </cell>
        </row>
        <row r="373">
          <cell r="B373" t="str">
            <v>Presumptive tax</v>
          </cell>
          <cell r="D373">
            <v>77362.053905760011</v>
          </cell>
          <cell r="E373">
            <v>77362.053905760011</v>
          </cell>
          <cell r="F373">
            <v>77362.053905760011</v>
          </cell>
          <cell r="G373">
            <v>77362.053905760011</v>
          </cell>
          <cell r="H373">
            <v>77362.053905760011</v>
          </cell>
          <cell r="I373">
            <v>77362.053905760011</v>
          </cell>
          <cell r="J373">
            <v>77362.053905760011</v>
          </cell>
          <cell r="K373">
            <v>77362.053905760011</v>
          </cell>
          <cell r="L373">
            <v>77362.053905760011</v>
          </cell>
          <cell r="M373">
            <v>77362.053905760011</v>
          </cell>
          <cell r="N373">
            <v>77362.053905760011</v>
          </cell>
          <cell r="O373">
            <v>77362.053905760011</v>
          </cell>
        </row>
        <row r="374">
          <cell r="B374" t="str">
            <v>Tax U/S 50 (4) @ 3.5%</v>
          </cell>
          <cell r="D374">
            <v>0</v>
          </cell>
          <cell r="E374">
            <v>0</v>
          </cell>
          <cell r="F374">
            <v>0</v>
          </cell>
          <cell r="G374">
            <v>0</v>
          </cell>
          <cell r="H374">
            <v>0</v>
          </cell>
          <cell r="I374">
            <v>0</v>
          </cell>
          <cell r="J374">
            <v>0</v>
          </cell>
          <cell r="K374">
            <v>0</v>
          </cell>
          <cell r="L374">
            <v>0</v>
          </cell>
          <cell r="M374">
            <v>0</v>
          </cell>
          <cell r="N374">
            <v>0</v>
          </cell>
          <cell r="O374">
            <v>0</v>
          </cell>
        </row>
        <row r="375">
          <cell r="D375">
            <v>77362.053905760011</v>
          </cell>
          <cell r="E375">
            <v>77362.053905760011</v>
          </cell>
          <cell r="F375">
            <v>77362.053905760011</v>
          </cell>
          <cell r="G375">
            <v>77362.053905760011</v>
          </cell>
          <cell r="H375">
            <v>77362.053905760011</v>
          </cell>
          <cell r="I375">
            <v>77362.053905760011</v>
          </cell>
          <cell r="J375">
            <v>77362.053905760011</v>
          </cell>
          <cell r="K375">
            <v>77362.053905760011</v>
          </cell>
          <cell r="L375">
            <v>77362.053905760011</v>
          </cell>
          <cell r="M375">
            <v>77362.053905760011</v>
          </cell>
          <cell r="N375">
            <v>77362.053905760011</v>
          </cell>
          <cell r="O375">
            <v>77362.053905760011</v>
          </cell>
        </row>
        <row r="377">
          <cell r="B377" t="str">
            <v>Existing selling price</v>
          </cell>
        </row>
        <row r="378">
          <cell r="B378" t="str">
            <v>Landed cost</v>
          </cell>
          <cell r="D378">
            <v>1620987.8451340217</v>
          </cell>
          <cell r="E378">
            <v>1620987.8451340217</v>
          </cell>
          <cell r="F378">
            <v>1620987.8451340217</v>
          </cell>
          <cell r="G378">
            <v>1620987.8451340217</v>
          </cell>
          <cell r="H378">
            <v>1620987.8451340217</v>
          </cell>
          <cell r="I378">
            <v>1620987.8451340217</v>
          </cell>
          <cell r="J378">
            <v>1620987.8451340217</v>
          </cell>
          <cell r="K378">
            <v>1620987.8451340217</v>
          </cell>
          <cell r="L378">
            <v>1620987.8451340217</v>
          </cell>
          <cell r="M378">
            <v>1620987.8451340217</v>
          </cell>
          <cell r="N378">
            <v>1620987.8451340217</v>
          </cell>
          <cell r="O378">
            <v>1620987.8451340217</v>
          </cell>
        </row>
        <row r="379">
          <cell r="B379" t="str">
            <v>Distributor Mark-up.</v>
          </cell>
          <cell r="D379">
            <v>60000</v>
          </cell>
          <cell r="E379">
            <v>60000</v>
          </cell>
          <cell r="F379">
            <v>60000</v>
          </cell>
          <cell r="G379">
            <v>60000</v>
          </cell>
          <cell r="H379">
            <v>60000</v>
          </cell>
          <cell r="I379">
            <v>60000</v>
          </cell>
          <cell r="J379">
            <v>60000</v>
          </cell>
          <cell r="K379">
            <v>60000</v>
          </cell>
          <cell r="L379">
            <v>60000</v>
          </cell>
          <cell r="M379">
            <v>60000</v>
          </cell>
          <cell r="N379">
            <v>60000</v>
          </cell>
          <cell r="O379">
            <v>60000</v>
          </cell>
        </row>
        <row r="380">
          <cell r="B380" t="str">
            <v>Income  Tax 3.5%</v>
          </cell>
          <cell r="D380">
            <v>0</v>
          </cell>
          <cell r="E380">
            <v>0</v>
          </cell>
          <cell r="F380">
            <v>0</v>
          </cell>
          <cell r="G380">
            <v>0</v>
          </cell>
          <cell r="H380">
            <v>0</v>
          </cell>
          <cell r="I380">
            <v>0</v>
          </cell>
          <cell r="J380">
            <v>0</v>
          </cell>
          <cell r="K380">
            <v>0</v>
          </cell>
          <cell r="L380">
            <v>0</v>
          </cell>
          <cell r="M380">
            <v>0</v>
          </cell>
          <cell r="N380">
            <v>0</v>
          </cell>
          <cell r="O380">
            <v>0</v>
          </cell>
        </row>
        <row r="381">
          <cell r="B381" t="str">
            <v>Dealer commission</v>
          </cell>
          <cell r="D381">
            <v>30000</v>
          </cell>
          <cell r="E381">
            <v>30000</v>
          </cell>
          <cell r="F381">
            <v>30000</v>
          </cell>
          <cell r="G381">
            <v>30000</v>
          </cell>
          <cell r="H381">
            <v>30000</v>
          </cell>
          <cell r="I381">
            <v>30000</v>
          </cell>
          <cell r="J381">
            <v>30000</v>
          </cell>
          <cell r="K381">
            <v>30000</v>
          </cell>
          <cell r="L381">
            <v>30000</v>
          </cell>
          <cell r="M381">
            <v>30000</v>
          </cell>
          <cell r="N381">
            <v>30000</v>
          </cell>
          <cell r="O381">
            <v>30000</v>
          </cell>
        </row>
        <row r="382">
          <cell r="D382">
            <v>1710987.8451340217</v>
          </cell>
          <cell r="E382">
            <v>1710987.8451340217</v>
          </cell>
          <cell r="F382">
            <v>1710987.8451340217</v>
          </cell>
          <cell r="G382">
            <v>1710987.8451340217</v>
          </cell>
          <cell r="H382">
            <v>1710987.8451340217</v>
          </cell>
          <cell r="I382">
            <v>1710987.8451340217</v>
          </cell>
          <cell r="J382">
            <v>1710987.8451340217</v>
          </cell>
          <cell r="K382">
            <v>1710987.8451340217</v>
          </cell>
          <cell r="L382">
            <v>1710987.8451340217</v>
          </cell>
          <cell r="M382">
            <v>1710987.8451340217</v>
          </cell>
          <cell r="N382">
            <v>1710987.8451340217</v>
          </cell>
          <cell r="O382">
            <v>1710987.8451340217</v>
          </cell>
        </row>
        <row r="383">
          <cell r="B383" t="str">
            <v>Sales tax</v>
          </cell>
          <cell r="D383">
            <v>256648.17677010325</v>
          </cell>
          <cell r="E383">
            <v>256648.17677010325</v>
          </cell>
          <cell r="F383">
            <v>256648.17677010325</v>
          </cell>
          <cell r="G383">
            <v>256648.17677010325</v>
          </cell>
          <cell r="H383">
            <v>256648.17677010325</v>
          </cell>
          <cell r="I383">
            <v>256648.17677010325</v>
          </cell>
          <cell r="J383">
            <v>256648.17677010325</v>
          </cell>
          <cell r="K383">
            <v>256648.17677010325</v>
          </cell>
          <cell r="L383">
            <v>256648.17677010325</v>
          </cell>
          <cell r="M383">
            <v>256648.17677010325</v>
          </cell>
          <cell r="N383">
            <v>256648.17677010325</v>
          </cell>
          <cell r="O383">
            <v>256648.17677010325</v>
          </cell>
        </row>
        <row r="384">
          <cell r="B384" t="str">
            <v>Selling price taken in budget</v>
          </cell>
          <cell r="D384">
            <v>1967636.0219041249</v>
          </cell>
          <cell r="E384">
            <v>1967636.0219041249</v>
          </cell>
          <cell r="F384">
            <v>1967636.0219041249</v>
          </cell>
          <cell r="G384">
            <v>1967636.0219041249</v>
          </cell>
          <cell r="H384">
            <v>1967636.0219041249</v>
          </cell>
          <cell r="I384">
            <v>1967636.0219041249</v>
          </cell>
          <cell r="J384">
            <v>1967636.0219041249</v>
          </cell>
          <cell r="K384">
            <v>1967636.0219041249</v>
          </cell>
          <cell r="L384">
            <v>1967636.0219041249</v>
          </cell>
          <cell r="M384">
            <v>1967636.0219041249</v>
          </cell>
          <cell r="N384">
            <v>1967636.0219041249</v>
          </cell>
          <cell r="O384">
            <v>1967636.0219041249</v>
          </cell>
        </row>
        <row r="385">
          <cell r="B385" t="str">
            <v>Selling price as per sales price list</v>
          </cell>
          <cell r="D385">
            <v>1580000</v>
          </cell>
          <cell r="E385">
            <v>1580000</v>
          </cell>
          <cell r="F385">
            <v>1580000</v>
          </cell>
          <cell r="G385">
            <v>1580000</v>
          </cell>
          <cell r="H385">
            <v>1580000</v>
          </cell>
          <cell r="I385">
            <v>1580000</v>
          </cell>
          <cell r="J385">
            <v>1580000</v>
          </cell>
          <cell r="K385">
            <v>1580000</v>
          </cell>
          <cell r="L385">
            <v>1580000</v>
          </cell>
          <cell r="M385">
            <v>1580000</v>
          </cell>
          <cell r="N385">
            <v>1580000</v>
          </cell>
          <cell r="O385">
            <v>1580000</v>
          </cell>
        </row>
        <row r="387">
          <cell r="B387" t="str">
            <v>Units sold</v>
          </cell>
          <cell r="D387">
            <v>10</v>
          </cell>
          <cell r="E387">
            <v>10</v>
          </cell>
          <cell r="F387">
            <v>10</v>
          </cell>
          <cell r="G387">
            <v>10</v>
          </cell>
          <cell r="H387">
            <v>10</v>
          </cell>
          <cell r="I387">
            <v>10</v>
          </cell>
          <cell r="J387">
            <v>10</v>
          </cell>
          <cell r="K387">
            <v>10</v>
          </cell>
          <cell r="L387">
            <v>10</v>
          </cell>
          <cell r="M387">
            <v>10</v>
          </cell>
          <cell r="N387">
            <v>10</v>
          </cell>
          <cell r="O387">
            <v>10</v>
          </cell>
        </row>
        <row r="388">
          <cell r="D388">
            <v>8300760</v>
          </cell>
          <cell r="E388">
            <v>8300760</v>
          </cell>
          <cell r="F388">
            <v>8300760</v>
          </cell>
          <cell r="G388">
            <v>8300760</v>
          </cell>
          <cell r="H388">
            <v>8300760</v>
          </cell>
          <cell r="I388">
            <v>8300760</v>
          </cell>
          <cell r="J388">
            <v>8300760</v>
          </cell>
          <cell r="K388">
            <v>8300760</v>
          </cell>
          <cell r="L388">
            <v>8300760</v>
          </cell>
          <cell r="M388">
            <v>8300760</v>
          </cell>
          <cell r="N388">
            <v>8300760</v>
          </cell>
          <cell r="O388">
            <v>8300760</v>
          </cell>
          <cell r="P388">
            <v>99609120</v>
          </cell>
        </row>
        <row r="389">
          <cell r="B389" t="str">
            <v xml:space="preserve">Working </v>
          </cell>
        </row>
        <row r="390">
          <cell r="B390" t="str">
            <v xml:space="preserve">Sales </v>
          </cell>
          <cell r="D390">
            <v>19676360.219041251</v>
          </cell>
          <cell r="E390">
            <v>19676360.219041251</v>
          </cell>
          <cell r="F390">
            <v>19676360.219041251</v>
          </cell>
          <cell r="G390">
            <v>19676360.219041251</v>
          </cell>
          <cell r="H390">
            <v>19676360.219041251</v>
          </cell>
          <cell r="I390">
            <v>19676360.219041251</v>
          </cell>
          <cell r="J390">
            <v>19676360.219041251</v>
          </cell>
          <cell r="K390">
            <v>19676360.219041251</v>
          </cell>
          <cell r="L390">
            <v>19676360.219041251</v>
          </cell>
          <cell r="M390">
            <v>19676360.219041251</v>
          </cell>
          <cell r="N390">
            <v>19676360.219041251</v>
          </cell>
          <cell r="O390">
            <v>19676360.219041251</v>
          </cell>
        </row>
        <row r="391">
          <cell r="B391" t="str">
            <v>Sales tax</v>
          </cell>
          <cell r="D391">
            <v>256648.17677010325</v>
          </cell>
          <cell r="E391">
            <v>256648.17677010325</v>
          </cell>
          <cell r="F391">
            <v>256648.17677010325</v>
          </cell>
          <cell r="G391">
            <v>256648.17677010325</v>
          </cell>
          <cell r="H391">
            <v>256648.17677010325</v>
          </cell>
          <cell r="I391">
            <v>256648.17677010325</v>
          </cell>
          <cell r="J391">
            <v>256648.17677010325</v>
          </cell>
          <cell r="K391">
            <v>256648.17677010325</v>
          </cell>
          <cell r="L391">
            <v>256648.17677010325</v>
          </cell>
          <cell r="M391">
            <v>256648.17677010325</v>
          </cell>
          <cell r="N391">
            <v>256648.17677010325</v>
          </cell>
          <cell r="O391">
            <v>256648.17677010325</v>
          </cell>
        </row>
        <row r="392">
          <cell r="B392" t="str">
            <v>Cost of Sales - Per unit</v>
          </cell>
          <cell r="D392">
            <v>1543625.7912282618</v>
          </cell>
          <cell r="E392">
            <v>1543625.7912282618</v>
          </cell>
          <cell r="F392">
            <v>1543625.7912282618</v>
          </cell>
          <cell r="G392">
            <v>1543625.7912282618</v>
          </cell>
          <cell r="H392">
            <v>1543625.7912282618</v>
          </cell>
          <cell r="I392">
            <v>1543625.7912282618</v>
          </cell>
          <cell r="J392">
            <v>1543625.7912282618</v>
          </cell>
          <cell r="K392">
            <v>1543625.7912282618</v>
          </cell>
          <cell r="L392">
            <v>1543625.7912282618</v>
          </cell>
          <cell r="M392">
            <v>1543625.7912282618</v>
          </cell>
          <cell r="N392">
            <v>1543625.7912282618</v>
          </cell>
          <cell r="O392">
            <v>1543625.7912282618</v>
          </cell>
        </row>
        <row r="393">
          <cell r="B393" t="str">
            <v>Cost of Sales - Total</v>
          </cell>
          <cell r="D393">
            <v>14662637.373225018</v>
          </cell>
          <cell r="E393">
            <v>14662637.373225018</v>
          </cell>
          <cell r="F393">
            <v>14662637.373225018</v>
          </cell>
          <cell r="G393">
            <v>14662637.373225018</v>
          </cell>
          <cell r="H393">
            <v>14662637.373225018</v>
          </cell>
          <cell r="I393">
            <v>14662637.373225018</v>
          </cell>
          <cell r="J393">
            <v>14662637.373225018</v>
          </cell>
          <cell r="K393">
            <v>14662637.373225018</v>
          </cell>
          <cell r="L393">
            <v>14662637.373225018</v>
          </cell>
          <cell r="M393">
            <v>14662637.373225018</v>
          </cell>
          <cell r="N393">
            <v>14662637.373225018</v>
          </cell>
          <cell r="O393">
            <v>14662637.373225018</v>
          </cell>
        </row>
        <row r="394">
          <cell r="B394" t="str">
            <v>Presumptive Tax - Per unit</v>
          </cell>
          <cell r="D394">
            <v>77362.053905760011</v>
          </cell>
          <cell r="E394">
            <v>77362.053905760011</v>
          </cell>
          <cell r="F394">
            <v>77362.053905760011</v>
          </cell>
          <cell r="G394">
            <v>77362.053905760011</v>
          </cell>
          <cell r="H394">
            <v>77362.053905760011</v>
          </cell>
          <cell r="I394">
            <v>77362.053905760011</v>
          </cell>
          <cell r="J394">
            <v>77362.053905760011</v>
          </cell>
          <cell r="K394">
            <v>77362.053905760011</v>
          </cell>
          <cell r="L394">
            <v>77362.053905760011</v>
          </cell>
          <cell r="M394">
            <v>77362.053905760011</v>
          </cell>
          <cell r="N394">
            <v>77362.053905760011</v>
          </cell>
          <cell r="O394">
            <v>77362.053905760011</v>
          </cell>
        </row>
        <row r="395">
          <cell r="B395" t="str">
            <v>Presumptive Tax - Total</v>
          </cell>
          <cell r="D395">
            <v>773620.53905760008</v>
          </cell>
          <cell r="E395">
            <v>773620.53905760008</v>
          </cell>
          <cell r="F395">
            <v>773620.53905760008</v>
          </cell>
          <cell r="G395">
            <v>773620.53905760008</v>
          </cell>
          <cell r="H395">
            <v>773620.53905760008</v>
          </cell>
          <cell r="I395">
            <v>773620.53905760008</v>
          </cell>
          <cell r="J395">
            <v>773620.53905760008</v>
          </cell>
          <cell r="K395">
            <v>773620.53905760008</v>
          </cell>
          <cell r="L395">
            <v>773620.53905760008</v>
          </cell>
          <cell r="M395">
            <v>773620.53905760008</v>
          </cell>
          <cell r="N395">
            <v>773620.53905760008</v>
          </cell>
          <cell r="O395">
            <v>773620.53905760008</v>
          </cell>
        </row>
        <row r="396">
          <cell r="D396">
            <v>167362.05390575994</v>
          </cell>
          <cell r="E396">
            <v>167362.05390575994</v>
          </cell>
          <cell r="F396">
            <v>167362.05390575994</v>
          </cell>
          <cell r="G396">
            <v>167362.05390575994</v>
          </cell>
          <cell r="H396">
            <v>167362.05390575994</v>
          </cell>
          <cell r="I396">
            <v>167362.05390575994</v>
          </cell>
          <cell r="J396">
            <v>167362.05390575994</v>
          </cell>
          <cell r="K396">
            <v>167362.05390575994</v>
          </cell>
          <cell r="L396">
            <v>167362.05390575994</v>
          </cell>
          <cell r="M396">
            <v>167362.05390575994</v>
          </cell>
          <cell r="N396">
            <v>167362.05390575994</v>
          </cell>
          <cell r="O396">
            <v>167362.05390575994</v>
          </cell>
        </row>
        <row r="397">
          <cell r="D397">
            <v>9.7816039068734859E-2</v>
          </cell>
          <cell r="E397">
            <v>9.7816039068734859E-2</v>
          </cell>
          <cell r="F397">
            <v>9.7816039068734859E-2</v>
          </cell>
          <cell r="G397">
            <v>9.7816039068734859E-2</v>
          </cell>
          <cell r="H397">
            <v>9.7816039068734859E-2</v>
          </cell>
          <cell r="I397">
            <v>9.7816039068734859E-2</v>
          </cell>
          <cell r="J397">
            <v>9.7816039068734859E-2</v>
          </cell>
          <cell r="K397">
            <v>9.7816039068734859E-2</v>
          </cell>
          <cell r="L397">
            <v>9.7816039068734859E-2</v>
          </cell>
          <cell r="M397">
            <v>9.7816039068734859E-2</v>
          </cell>
          <cell r="N397">
            <v>9.7816039068734859E-2</v>
          </cell>
          <cell r="O397">
            <v>9.7816039068734859E-2</v>
          </cell>
        </row>
        <row r="399">
          <cell r="B399" t="str">
            <v>Hiace - Panel Van</v>
          </cell>
          <cell r="D399">
            <v>548</v>
          </cell>
          <cell r="E399">
            <v>579</v>
          </cell>
          <cell r="F399">
            <v>610</v>
          </cell>
          <cell r="G399">
            <v>641</v>
          </cell>
          <cell r="H399">
            <v>672</v>
          </cell>
          <cell r="I399">
            <v>703</v>
          </cell>
          <cell r="J399">
            <v>734</v>
          </cell>
          <cell r="K399">
            <v>765</v>
          </cell>
          <cell r="L399">
            <v>796</v>
          </cell>
          <cell r="M399">
            <v>827</v>
          </cell>
          <cell r="N399">
            <v>858</v>
          </cell>
          <cell r="O399">
            <v>889</v>
          </cell>
        </row>
        <row r="401">
          <cell r="B401" t="str">
            <v>Document Retirement i.e. C &amp; F</v>
          </cell>
          <cell r="D401">
            <v>0.52</v>
          </cell>
          <cell r="E401">
            <v>0.52</v>
          </cell>
          <cell r="F401">
            <v>0.52</v>
          </cell>
          <cell r="G401">
            <v>0.52</v>
          </cell>
          <cell r="H401">
            <v>0.52</v>
          </cell>
          <cell r="I401">
            <v>0.52</v>
          </cell>
          <cell r="J401">
            <v>0.52</v>
          </cell>
          <cell r="K401">
            <v>0.52</v>
          </cell>
          <cell r="L401">
            <v>0.52</v>
          </cell>
          <cell r="M401">
            <v>0.52</v>
          </cell>
          <cell r="N401">
            <v>0.52</v>
          </cell>
          <cell r="O401">
            <v>0.52</v>
          </cell>
        </row>
        <row r="402">
          <cell r="B402" t="str">
            <v>Duty / Sales tax / Octroi / DMI / Tax etc.</v>
          </cell>
          <cell r="D402">
            <v>0.52</v>
          </cell>
          <cell r="E402">
            <v>0.52</v>
          </cell>
          <cell r="F402">
            <v>0.52</v>
          </cell>
          <cell r="G402">
            <v>0.52</v>
          </cell>
          <cell r="H402">
            <v>0.52</v>
          </cell>
          <cell r="I402">
            <v>0.52</v>
          </cell>
          <cell r="J402">
            <v>0.52</v>
          </cell>
          <cell r="K402">
            <v>0.52</v>
          </cell>
          <cell r="L402">
            <v>0.52</v>
          </cell>
          <cell r="M402">
            <v>0.52</v>
          </cell>
          <cell r="N402">
            <v>0.52</v>
          </cell>
          <cell r="O402">
            <v>0.52</v>
          </cell>
        </row>
        <row r="403">
          <cell r="B403" t="str">
            <v>QUANTITY</v>
          </cell>
          <cell r="D403">
            <v>1</v>
          </cell>
          <cell r="E403">
            <v>1</v>
          </cell>
          <cell r="F403">
            <v>1</v>
          </cell>
          <cell r="G403">
            <v>1</v>
          </cell>
          <cell r="H403">
            <v>1</v>
          </cell>
          <cell r="I403">
            <v>1</v>
          </cell>
          <cell r="J403">
            <v>1</v>
          </cell>
          <cell r="K403">
            <v>1</v>
          </cell>
          <cell r="L403">
            <v>1</v>
          </cell>
          <cell r="M403">
            <v>1</v>
          </cell>
          <cell r="N403">
            <v>1</v>
          </cell>
          <cell r="O403">
            <v>1</v>
          </cell>
        </row>
        <row r="404">
          <cell r="B404" t="str">
            <v>C &amp; F</v>
          </cell>
          <cell r="C404" t="str">
            <v>¥</v>
          </cell>
          <cell r="D404">
            <v>1408411</v>
          </cell>
          <cell r="E404">
            <v>1408411</v>
          </cell>
          <cell r="F404">
            <v>1408411</v>
          </cell>
          <cell r="G404">
            <v>1408411</v>
          </cell>
          <cell r="H404">
            <v>1408411</v>
          </cell>
          <cell r="I404">
            <v>1408411</v>
          </cell>
          <cell r="J404">
            <v>1408411</v>
          </cell>
          <cell r="K404">
            <v>1408411</v>
          </cell>
          <cell r="L404">
            <v>1408411</v>
          </cell>
          <cell r="M404">
            <v>1408411</v>
          </cell>
          <cell r="N404">
            <v>1408411</v>
          </cell>
          <cell r="O404">
            <v>1408411</v>
          </cell>
        </row>
        <row r="405">
          <cell r="B405" t="str">
            <v>F.O.B. VALUE - ITP</v>
          </cell>
          <cell r="C405" t="str">
            <v>¥</v>
          </cell>
          <cell r="D405">
            <v>1408411</v>
          </cell>
          <cell r="E405">
            <v>1408411</v>
          </cell>
          <cell r="F405">
            <v>1408411</v>
          </cell>
          <cell r="G405">
            <v>1408411</v>
          </cell>
          <cell r="H405">
            <v>1408411</v>
          </cell>
          <cell r="I405">
            <v>1408411</v>
          </cell>
          <cell r="J405">
            <v>1408411</v>
          </cell>
          <cell r="K405">
            <v>1408411</v>
          </cell>
          <cell r="L405">
            <v>1408411</v>
          </cell>
          <cell r="M405">
            <v>1408411</v>
          </cell>
          <cell r="N405">
            <v>1408411</v>
          </cell>
          <cell r="O405">
            <v>1408411</v>
          </cell>
        </row>
        <row r="406">
          <cell r="B406" t="str">
            <v>OPTIONS</v>
          </cell>
          <cell r="C406" t="str">
            <v>¥</v>
          </cell>
          <cell r="D406">
            <v>0</v>
          </cell>
          <cell r="E406">
            <v>0</v>
          </cell>
          <cell r="F406">
            <v>0</v>
          </cell>
          <cell r="G406">
            <v>0</v>
          </cell>
          <cell r="H406">
            <v>0</v>
          </cell>
          <cell r="I406">
            <v>0</v>
          </cell>
          <cell r="J406">
            <v>0</v>
          </cell>
          <cell r="K406">
            <v>0</v>
          </cell>
          <cell r="L406">
            <v>0</v>
          </cell>
          <cell r="M406">
            <v>0</v>
          </cell>
          <cell r="N406">
            <v>0</v>
          </cell>
          <cell r="O406">
            <v>0</v>
          </cell>
        </row>
        <row r="407">
          <cell r="B407" t="str">
            <v>COMMISSION  (FIXED)</v>
          </cell>
          <cell r="C407" t="str">
            <v>¥</v>
          </cell>
          <cell r="D407">
            <v>0</v>
          </cell>
          <cell r="E407">
            <v>0</v>
          </cell>
          <cell r="F407">
            <v>0</v>
          </cell>
          <cell r="G407">
            <v>0</v>
          </cell>
          <cell r="H407">
            <v>0</v>
          </cell>
          <cell r="I407">
            <v>0</v>
          </cell>
          <cell r="J407">
            <v>0</v>
          </cell>
          <cell r="K407">
            <v>0</v>
          </cell>
          <cell r="L407">
            <v>0</v>
          </cell>
          <cell r="M407">
            <v>0</v>
          </cell>
          <cell r="N407">
            <v>0</v>
          </cell>
          <cell r="O407">
            <v>0</v>
          </cell>
        </row>
        <row r="408">
          <cell r="B408" t="str">
            <v>ESTIMATED YEN</v>
          </cell>
          <cell r="C408" t="str">
            <v>¥</v>
          </cell>
        </row>
        <row r="409">
          <cell r="B409" t="str">
            <v>LOADING FOR ADVERTISING/WARRANTY</v>
          </cell>
          <cell r="C409" t="str">
            <v>¥</v>
          </cell>
          <cell r="D409">
            <v>0</v>
          </cell>
          <cell r="E409">
            <v>0</v>
          </cell>
          <cell r="F409">
            <v>0</v>
          </cell>
          <cell r="G409">
            <v>0</v>
          </cell>
          <cell r="H409">
            <v>0</v>
          </cell>
          <cell r="I409">
            <v>0</v>
          </cell>
          <cell r="J409">
            <v>0</v>
          </cell>
          <cell r="K409">
            <v>0</v>
          </cell>
          <cell r="L409">
            <v>0</v>
          </cell>
          <cell r="M409">
            <v>0</v>
          </cell>
          <cell r="N409">
            <v>0</v>
          </cell>
          <cell r="O409">
            <v>0</v>
          </cell>
        </row>
        <row r="410">
          <cell r="B410" t="str">
            <v>SUB - TOTAL</v>
          </cell>
          <cell r="C410" t="str">
            <v>¥</v>
          </cell>
          <cell r="D410">
            <v>1408411</v>
          </cell>
          <cell r="E410">
            <v>1408411</v>
          </cell>
          <cell r="F410">
            <v>1408411</v>
          </cell>
          <cell r="G410">
            <v>1408411</v>
          </cell>
          <cell r="H410">
            <v>1408411</v>
          </cell>
          <cell r="I410">
            <v>1408411</v>
          </cell>
          <cell r="J410">
            <v>1408411</v>
          </cell>
          <cell r="K410">
            <v>1408411</v>
          </cell>
          <cell r="L410">
            <v>1408411</v>
          </cell>
          <cell r="M410">
            <v>1408411</v>
          </cell>
          <cell r="N410">
            <v>1408411</v>
          </cell>
          <cell r="O410">
            <v>1408411</v>
          </cell>
        </row>
        <row r="411">
          <cell r="B411" t="str">
            <v>SUB - TOTAL</v>
          </cell>
          <cell r="C411" t="str">
            <v>Rs</v>
          </cell>
          <cell r="D411">
            <v>732373.72</v>
          </cell>
          <cell r="E411">
            <v>732373.72</v>
          </cell>
          <cell r="F411">
            <v>732373.72</v>
          </cell>
          <cell r="G411">
            <v>732373.72</v>
          </cell>
          <cell r="H411">
            <v>732373.72</v>
          </cell>
          <cell r="I411">
            <v>732373.72</v>
          </cell>
          <cell r="J411">
            <v>732373.72</v>
          </cell>
          <cell r="K411">
            <v>732373.72</v>
          </cell>
          <cell r="L411">
            <v>732373.72</v>
          </cell>
          <cell r="M411">
            <v>732373.72</v>
          </cell>
          <cell r="N411">
            <v>732373.72</v>
          </cell>
          <cell r="O411">
            <v>732373.72</v>
          </cell>
        </row>
        <row r="412">
          <cell r="B412" t="str">
            <v>INSURANCE @ 0.3% OF C&amp;F</v>
          </cell>
          <cell r="C412" t="str">
            <v>Rs</v>
          </cell>
          <cell r="D412">
            <v>2197.1211600000001</v>
          </cell>
          <cell r="E412">
            <v>2197.1211600000001</v>
          </cell>
          <cell r="F412">
            <v>2197.1211600000001</v>
          </cell>
          <cell r="G412">
            <v>2197.1211600000001</v>
          </cell>
          <cell r="H412">
            <v>2197.1211600000001</v>
          </cell>
          <cell r="I412">
            <v>2197.1211600000001</v>
          </cell>
          <cell r="J412">
            <v>2197.1211600000001</v>
          </cell>
          <cell r="K412">
            <v>2197.1211600000001</v>
          </cell>
          <cell r="L412">
            <v>2197.1211600000001</v>
          </cell>
          <cell r="M412">
            <v>2197.1211600000001</v>
          </cell>
          <cell r="N412">
            <v>2197.1211600000001</v>
          </cell>
          <cell r="O412">
            <v>2197.1211600000001</v>
          </cell>
        </row>
        <row r="413">
          <cell r="B413" t="str">
            <v>OCEAN FREIGHT</v>
          </cell>
          <cell r="C413" t="str">
            <v>Rs</v>
          </cell>
          <cell r="D413">
            <v>0</v>
          </cell>
          <cell r="E413">
            <v>0</v>
          </cell>
          <cell r="F413">
            <v>0</v>
          </cell>
          <cell r="G413">
            <v>0</v>
          </cell>
          <cell r="H413">
            <v>0</v>
          </cell>
          <cell r="I413">
            <v>0</v>
          </cell>
          <cell r="J413">
            <v>0</v>
          </cell>
          <cell r="K413">
            <v>0</v>
          </cell>
          <cell r="L413">
            <v>0</v>
          </cell>
          <cell r="M413">
            <v>0</v>
          </cell>
          <cell r="N413">
            <v>0</v>
          </cell>
          <cell r="O413">
            <v>0</v>
          </cell>
        </row>
        <row r="414">
          <cell r="B414" t="str">
            <v>TOTAL  C &amp; F</v>
          </cell>
          <cell r="C414" t="str">
            <v>Rs</v>
          </cell>
          <cell r="D414">
            <v>734570.84115999995</v>
          </cell>
          <cell r="E414">
            <v>734570.84115999995</v>
          </cell>
          <cell r="F414">
            <v>734570.84115999995</v>
          </cell>
          <cell r="G414">
            <v>734570.84115999995</v>
          </cell>
          <cell r="H414">
            <v>734570.84115999995</v>
          </cell>
          <cell r="I414">
            <v>734570.84115999995</v>
          </cell>
          <cell r="J414">
            <v>734570.84115999995</v>
          </cell>
          <cell r="K414">
            <v>734570.84115999995</v>
          </cell>
          <cell r="L414">
            <v>734570.84115999995</v>
          </cell>
          <cell r="M414">
            <v>734570.84115999995</v>
          </cell>
          <cell r="N414">
            <v>734570.84115999995</v>
          </cell>
          <cell r="O414">
            <v>734570.84115999995</v>
          </cell>
        </row>
        <row r="415">
          <cell r="B415" t="str">
            <v>LANDING  CHARGES 1%</v>
          </cell>
          <cell r="C415" t="str">
            <v>Rs</v>
          </cell>
          <cell r="D415">
            <v>7345.7084115999996</v>
          </cell>
          <cell r="E415">
            <v>7345.7084115999996</v>
          </cell>
          <cell r="F415">
            <v>7345.7084115999996</v>
          </cell>
          <cell r="G415">
            <v>7345.7084115999996</v>
          </cell>
          <cell r="H415">
            <v>7345.7084115999996</v>
          </cell>
          <cell r="I415">
            <v>7345.7084115999996</v>
          </cell>
          <cell r="J415">
            <v>7345.7084115999996</v>
          </cell>
          <cell r="K415">
            <v>7345.7084115999996</v>
          </cell>
          <cell r="L415">
            <v>7345.7084115999996</v>
          </cell>
          <cell r="M415">
            <v>7345.7084115999996</v>
          </cell>
          <cell r="N415">
            <v>7345.7084115999996</v>
          </cell>
          <cell r="O415">
            <v>7345.7084115999996</v>
          </cell>
        </row>
        <row r="416">
          <cell r="B416" t="str">
            <v>UNIT  VALUE</v>
          </cell>
          <cell r="C416" t="str">
            <v>Rs</v>
          </cell>
          <cell r="D416">
            <v>741916.54957159993</v>
          </cell>
          <cell r="E416">
            <v>741916.54957159993</v>
          </cell>
          <cell r="F416">
            <v>741916.54957159993</v>
          </cell>
          <cell r="G416">
            <v>741916.54957159993</v>
          </cell>
          <cell r="H416">
            <v>741916.54957159993</v>
          </cell>
          <cell r="I416">
            <v>741916.54957159993</v>
          </cell>
          <cell r="J416">
            <v>741916.54957159993</v>
          </cell>
          <cell r="K416">
            <v>741916.54957159993</v>
          </cell>
          <cell r="L416">
            <v>741916.54957159993</v>
          </cell>
          <cell r="M416">
            <v>741916.54957159993</v>
          </cell>
          <cell r="N416">
            <v>741916.54957159993</v>
          </cell>
          <cell r="O416">
            <v>741916.54957159993</v>
          </cell>
        </row>
        <row r="417">
          <cell r="B417" t="str">
            <v>DUTY ASSESSIBLE VALUE (DAV)</v>
          </cell>
          <cell r="C417">
            <v>1</v>
          </cell>
          <cell r="D417">
            <v>741916.54957159993</v>
          </cell>
          <cell r="E417">
            <v>741916.54957159993</v>
          </cell>
          <cell r="F417">
            <v>741916.54957159993</v>
          </cell>
          <cell r="G417">
            <v>741916.54957159993</v>
          </cell>
          <cell r="H417">
            <v>741916.54957159993</v>
          </cell>
          <cell r="I417">
            <v>741916.54957159993</v>
          </cell>
          <cell r="J417">
            <v>741916.54957159993</v>
          </cell>
          <cell r="K417">
            <v>741916.54957159993</v>
          </cell>
          <cell r="L417">
            <v>741916.54957159993</v>
          </cell>
          <cell r="M417">
            <v>741916.54957159993</v>
          </cell>
          <cell r="N417">
            <v>741916.54957159993</v>
          </cell>
          <cell r="O417">
            <v>741916.54957159993</v>
          </cell>
        </row>
        <row r="418">
          <cell r="B418" t="str">
            <v>C &amp; F</v>
          </cell>
          <cell r="C418">
            <v>2</v>
          </cell>
          <cell r="D418">
            <v>732373.72</v>
          </cell>
          <cell r="E418">
            <v>732373.72</v>
          </cell>
          <cell r="F418">
            <v>732373.72</v>
          </cell>
          <cell r="G418">
            <v>732373.72</v>
          </cell>
          <cell r="H418">
            <v>732373.72</v>
          </cell>
          <cell r="I418">
            <v>732373.72</v>
          </cell>
          <cell r="J418">
            <v>732373.72</v>
          </cell>
          <cell r="K418">
            <v>732373.72</v>
          </cell>
          <cell r="L418">
            <v>732373.72</v>
          </cell>
          <cell r="M418">
            <v>732373.72</v>
          </cell>
          <cell r="N418">
            <v>732373.72</v>
          </cell>
          <cell r="O418">
            <v>732373.72</v>
          </cell>
        </row>
        <row r="419">
          <cell r="B419" t="str">
            <v>BANK  CHARGES  @ 0.5 %       OF (2)</v>
          </cell>
          <cell r="C419">
            <v>3</v>
          </cell>
          <cell r="D419">
            <v>3661.8685999999998</v>
          </cell>
          <cell r="E419">
            <v>3661.8685999999998</v>
          </cell>
          <cell r="F419">
            <v>3661.8685999999998</v>
          </cell>
          <cell r="G419">
            <v>3661.8685999999998</v>
          </cell>
          <cell r="H419">
            <v>3661.8685999999998</v>
          </cell>
          <cell r="I419">
            <v>3661.8685999999998</v>
          </cell>
          <cell r="J419">
            <v>3661.8685999999998</v>
          </cell>
          <cell r="K419">
            <v>3661.8685999999998</v>
          </cell>
          <cell r="L419">
            <v>3661.8685999999998</v>
          </cell>
          <cell r="M419">
            <v>3661.8685999999998</v>
          </cell>
          <cell r="N419">
            <v>3661.8685999999998</v>
          </cell>
          <cell r="O419">
            <v>3661.8685999999998</v>
          </cell>
        </row>
        <row r="420">
          <cell r="B420" t="str">
            <v>LC OPENING CHG @ 0.35 %      OF (2)</v>
          </cell>
          <cell r="C420">
            <v>4</v>
          </cell>
          <cell r="D420">
            <v>2563.3080199999999</v>
          </cell>
          <cell r="E420">
            <v>2563.3080199999999</v>
          </cell>
          <cell r="F420">
            <v>2563.3080199999999</v>
          </cell>
          <cell r="G420">
            <v>2563.3080199999999</v>
          </cell>
          <cell r="H420">
            <v>2563.3080199999999</v>
          </cell>
          <cell r="I420">
            <v>2563.3080199999999</v>
          </cell>
          <cell r="J420">
            <v>2563.3080199999999</v>
          </cell>
          <cell r="K420">
            <v>2563.3080199999999</v>
          </cell>
          <cell r="L420">
            <v>2563.3080199999999</v>
          </cell>
          <cell r="M420">
            <v>2563.3080199999999</v>
          </cell>
          <cell r="N420">
            <v>2563.3080199999999</v>
          </cell>
          <cell r="O420">
            <v>2563.3080199999999</v>
          </cell>
        </row>
        <row r="421">
          <cell r="B421" t="str">
            <v>ITP Valuation Provisional 8% of (1)</v>
          </cell>
          <cell r="C421">
            <v>5</v>
          </cell>
          <cell r="D421">
            <v>59353.323965727992</v>
          </cell>
          <cell r="E421">
            <v>59353.323965727992</v>
          </cell>
          <cell r="F421">
            <v>59353.323965727992</v>
          </cell>
          <cell r="G421">
            <v>59353.323965727992</v>
          </cell>
          <cell r="H421">
            <v>59353.323965727992</v>
          </cell>
          <cell r="I421">
            <v>59353.323965727992</v>
          </cell>
          <cell r="J421">
            <v>59353.323965727992</v>
          </cell>
          <cell r="K421">
            <v>59353.323965727992</v>
          </cell>
          <cell r="L421">
            <v>59353.323965727992</v>
          </cell>
          <cell r="M421">
            <v>59353.323965727992</v>
          </cell>
          <cell r="N421">
            <v>59353.323965727992</v>
          </cell>
          <cell r="O421">
            <v>59353.323965727992</v>
          </cell>
        </row>
        <row r="422">
          <cell r="B422" t="str">
            <v>INSURANCE @ 0.3 %                OF (2)</v>
          </cell>
          <cell r="C422">
            <v>6</v>
          </cell>
          <cell r="D422">
            <v>2197.1211600000001</v>
          </cell>
          <cell r="E422">
            <v>2197.1211600000001</v>
          </cell>
          <cell r="F422">
            <v>2197.1211600000001</v>
          </cell>
          <cell r="G422">
            <v>2197.1211600000001</v>
          </cell>
          <cell r="H422">
            <v>2197.1211600000001</v>
          </cell>
          <cell r="I422">
            <v>2197.1211600000001</v>
          </cell>
          <cell r="J422">
            <v>2197.1211600000001</v>
          </cell>
          <cell r="K422">
            <v>2197.1211600000001</v>
          </cell>
          <cell r="L422">
            <v>2197.1211600000001</v>
          </cell>
          <cell r="M422">
            <v>2197.1211600000001</v>
          </cell>
          <cell r="N422">
            <v>2197.1211600000001</v>
          </cell>
          <cell r="O422">
            <v>2197.1211600000001</v>
          </cell>
        </row>
        <row r="423">
          <cell r="B423" t="str">
            <v>CUSTOM DUTY @ 60 %            OF (1)</v>
          </cell>
          <cell r="C423">
            <v>7</v>
          </cell>
          <cell r="D423">
            <v>445149.92974295997</v>
          </cell>
          <cell r="E423">
            <v>445149.92974295997</v>
          </cell>
          <cell r="F423">
            <v>445149.92974295997</v>
          </cell>
          <cell r="G423">
            <v>445149.92974295997</v>
          </cell>
          <cell r="H423">
            <v>445149.92974295997</v>
          </cell>
          <cell r="I423">
            <v>445149.92974295997</v>
          </cell>
          <cell r="J423">
            <v>445149.92974295997</v>
          </cell>
          <cell r="K423">
            <v>445149.92974295997</v>
          </cell>
          <cell r="L423">
            <v>445149.92974295997</v>
          </cell>
          <cell r="M423">
            <v>445149.92974295997</v>
          </cell>
          <cell r="N423">
            <v>445149.92974295997</v>
          </cell>
          <cell r="O423">
            <v>445149.92974295997</v>
          </cell>
        </row>
        <row r="424">
          <cell r="B424" t="str">
            <v>C.V.T. 7.5% of (1+7+9+10+11)</v>
          </cell>
          <cell r="C424">
            <v>8</v>
          </cell>
          <cell r="D424">
            <v>107507.45803292481</v>
          </cell>
          <cell r="E424">
            <v>107507.45803292481</v>
          </cell>
          <cell r="F424">
            <v>107507.45803292481</v>
          </cell>
          <cell r="G424">
            <v>107507.45803292481</v>
          </cell>
          <cell r="H424">
            <v>107507.45803292481</v>
          </cell>
          <cell r="I424">
            <v>107507.45803292481</v>
          </cell>
          <cell r="J424">
            <v>107507.45803292481</v>
          </cell>
          <cell r="K424">
            <v>107507.45803292481</v>
          </cell>
          <cell r="L424">
            <v>107507.45803292481</v>
          </cell>
          <cell r="M424">
            <v>107507.45803292481</v>
          </cell>
          <cell r="N424">
            <v>107507.45803292481</v>
          </cell>
          <cell r="O424">
            <v>107507.45803292481</v>
          </cell>
        </row>
        <row r="425">
          <cell r="B425" t="str">
            <v>SALES TAX   @ 15 %  OF (1+7)</v>
          </cell>
          <cell r="C425">
            <v>9</v>
          </cell>
          <cell r="D425">
            <v>178059.97189718398</v>
          </cell>
          <cell r="E425">
            <v>178059.97189718398</v>
          </cell>
          <cell r="F425">
            <v>178059.97189718398</v>
          </cell>
          <cell r="G425">
            <v>178059.97189718398</v>
          </cell>
          <cell r="H425">
            <v>178059.97189718398</v>
          </cell>
          <cell r="I425">
            <v>178059.97189718398</v>
          </cell>
          <cell r="J425">
            <v>178059.97189718398</v>
          </cell>
          <cell r="K425">
            <v>178059.97189718398</v>
          </cell>
          <cell r="L425">
            <v>178059.97189718398</v>
          </cell>
          <cell r="M425">
            <v>178059.97189718398</v>
          </cell>
          <cell r="N425">
            <v>178059.97189718398</v>
          </cell>
          <cell r="O425">
            <v>178059.97189718398</v>
          </cell>
        </row>
        <row r="426">
          <cell r="B426" t="str">
            <v>INCOME TAX  @ 5 % OF (1+7+9)</v>
          </cell>
          <cell r="C426">
            <v>10</v>
          </cell>
          <cell r="D426">
            <v>68256.322560587185</v>
          </cell>
          <cell r="E426">
            <v>68256.322560587185</v>
          </cell>
          <cell r="F426">
            <v>68256.322560587185</v>
          </cell>
          <cell r="G426">
            <v>68256.322560587185</v>
          </cell>
          <cell r="H426">
            <v>68256.322560587185</v>
          </cell>
          <cell r="I426">
            <v>68256.322560587185</v>
          </cell>
          <cell r="J426">
            <v>68256.322560587185</v>
          </cell>
          <cell r="K426">
            <v>68256.322560587185</v>
          </cell>
          <cell r="L426">
            <v>68256.322560587185</v>
          </cell>
          <cell r="M426">
            <v>68256.322560587185</v>
          </cell>
          <cell r="N426">
            <v>68256.322560587185</v>
          </cell>
          <cell r="O426">
            <v>68256.322560587185</v>
          </cell>
        </row>
        <row r="427">
          <cell r="B427" t="str">
            <v>CENTRAL EXCISE DUTY     @ Rs.50</v>
          </cell>
          <cell r="C427">
            <v>11</v>
          </cell>
          <cell r="D427">
            <v>50</v>
          </cell>
          <cell r="E427">
            <v>50</v>
          </cell>
          <cell r="F427">
            <v>50</v>
          </cell>
          <cell r="G427">
            <v>50</v>
          </cell>
          <cell r="H427">
            <v>50</v>
          </cell>
          <cell r="I427">
            <v>50</v>
          </cell>
          <cell r="J427">
            <v>50</v>
          </cell>
          <cell r="K427">
            <v>50</v>
          </cell>
          <cell r="L427">
            <v>50</v>
          </cell>
          <cell r="M427">
            <v>50</v>
          </cell>
          <cell r="N427">
            <v>50</v>
          </cell>
          <cell r="O427">
            <v>50</v>
          </cell>
        </row>
        <row r="428">
          <cell r="B428" t="str">
            <v>OCTROI @ 2 % OF  (1+5+7+8+9+11)</v>
          </cell>
          <cell r="C428">
            <v>12</v>
          </cell>
          <cell r="D428">
            <v>0</v>
          </cell>
          <cell r="E428">
            <v>0</v>
          </cell>
          <cell r="F428">
            <v>0</v>
          </cell>
          <cell r="G428">
            <v>0</v>
          </cell>
          <cell r="H428">
            <v>0</v>
          </cell>
          <cell r="I428">
            <v>0</v>
          </cell>
          <cell r="J428">
            <v>0</v>
          </cell>
          <cell r="K428">
            <v>0</v>
          </cell>
          <cell r="L428">
            <v>0</v>
          </cell>
          <cell r="M428">
            <v>0</v>
          </cell>
          <cell r="N428">
            <v>0</v>
          </cell>
          <cell r="O428">
            <v>0</v>
          </cell>
        </row>
        <row r="429">
          <cell r="B429" t="str">
            <v>KMC DMI @ 0.2 OF (1+5+7+8+9+10)</v>
          </cell>
          <cell r="C429">
            <v>13</v>
          </cell>
          <cell r="D429">
            <v>3200.4871115419678</v>
          </cell>
          <cell r="E429">
            <v>3200.4871115419678</v>
          </cell>
          <cell r="F429">
            <v>3200.4871115419678</v>
          </cell>
          <cell r="G429">
            <v>3200.4871115419678</v>
          </cell>
          <cell r="H429">
            <v>3200.4871115419678</v>
          </cell>
          <cell r="I429">
            <v>3200.4871115419678</v>
          </cell>
          <cell r="J429">
            <v>3200.4871115419678</v>
          </cell>
          <cell r="K429">
            <v>3200.4871115419678</v>
          </cell>
          <cell r="L429">
            <v>3200.4871115419678</v>
          </cell>
          <cell r="M429">
            <v>3200.4871115419678</v>
          </cell>
          <cell r="N429">
            <v>3200.4871115419678</v>
          </cell>
          <cell r="O429">
            <v>3200.4871115419678</v>
          </cell>
        </row>
        <row r="430">
          <cell r="B430" t="str">
            <v>WHARFAGE @ Rs.314 per cubic meter</v>
          </cell>
          <cell r="C430">
            <v>14</v>
          </cell>
          <cell r="D430">
            <v>4396</v>
          </cell>
          <cell r="E430">
            <v>4396</v>
          </cell>
          <cell r="F430">
            <v>4396</v>
          </cell>
          <cell r="G430">
            <v>4396</v>
          </cell>
          <cell r="H430">
            <v>4396</v>
          </cell>
          <cell r="I430">
            <v>4396</v>
          </cell>
          <cell r="J430">
            <v>4396</v>
          </cell>
          <cell r="K430">
            <v>4396</v>
          </cell>
          <cell r="L430">
            <v>4396</v>
          </cell>
          <cell r="M430">
            <v>4396</v>
          </cell>
          <cell r="N430">
            <v>4396</v>
          </cell>
          <cell r="O430">
            <v>4396</v>
          </cell>
        </row>
        <row r="431">
          <cell r="B431" t="str">
            <v>BONDING FEE @ 0 %               OF (1)</v>
          </cell>
          <cell r="C431">
            <v>15</v>
          </cell>
          <cell r="D431">
            <v>0</v>
          </cell>
          <cell r="E431">
            <v>0</v>
          </cell>
          <cell r="F431">
            <v>0</v>
          </cell>
          <cell r="G431">
            <v>0</v>
          </cell>
          <cell r="H431">
            <v>0</v>
          </cell>
          <cell r="I431">
            <v>0</v>
          </cell>
          <cell r="J431">
            <v>0</v>
          </cell>
          <cell r="K431">
            <v>0</v>
          </cell>
          <cell r="L431">
            <v>0</v>
          </cell>
          <cell r="M431">
            <v>0</v>
          </cell>
          <cell r="N431">
            <v>0</v>
          </cell>
          <cell r="O431">
            <v>0</v>
          </cell>
        </row>
        <row r="432">
          <cell r="B432" t="str">
            <v>STAMP DUTY CHARGE    @ Rs. 225</v>
          </cell>
          <cell r="C432">
            <v>16</v>
          </cell>
          <cell r="D432">
            <v>225</v>
          </cell>
          <cell r="E432">
            <v>225</v>
          </cell>
          <cell r="F432">
            <v>225</v>
          </cell>
          <cell r="G432">
            <v>225</v>
          </cell>
          <cell r="H432">
            <v>225</v>
          </cell>
          <cell r="I432">
            <v>225</v>
          </cell>
          <cell r="J432">
            <v>225</v>
          </cell>
          <cell r="K432">
            <v>225</v>
          </cell>
          <cell r="L432">
            <v>225</v>
          </cell>
          <cell r="M432">
            <v>225</v>
          </cell>
          <cell r="N432">
            <v>225</v>
          </cell>
          <cell r="O432">
            <v>225</v>
          </cell>
        </row>
        <row r="433">
          <cell r="B433" t="str">
            <v>CLEARING  CHARGES      @ Rs. 750</v>
          </cell>
          <cell r="C433">
            <v>17</v>
          </cell>
          <cell r="D433">
            <v>750</v>
          </cell>
          <cell r="E433">
            <v>750</v>
          </cell>
          <cell r="F433">
            <v>750</v>
          </cell>
          <cell r="G433">
            <v>750</v>
          </cell>
          <cell r="H433">
            <v>750</v>
          </cell>
          <cell r="I433">
            <v>750</v>
          </cell>
          <cell r="J433">
            <v>750</v>
          </cell>
          <cell r="K433">
            <v>750</v>
          </cell>
          <cell r="L433">
            <v>750</v>
          </cell>
          <cell r="M433">
            <v>750</v>
          </cell>
          <cell r="N433">
            <v>750</v>
          </cell>
          <cell r="O433">
            <v>750</v>
          </cell>
        </row>
        <row r="434">
          <cell r="B434" t="str">
            <v>OTHER CLEARING CHARGES @ Rs.200</v>
          </cell>
          <cell r="C434">
            <v>18</v>
          </cell>
          <cell r="D434">
            <v>200</v>
          </cell>
          <cell r="E434">
            <v>200</v>
          </cell>
          <cell r="F434">
            <v>200</v>
          </cell>
          <cell r="G434">
            <v>200</v>
          </cell>
          <cell r="H434">
            <v>200</v>
          </cell>
          <cell r="I434">
            <v>200</v>
          </cell>
          <cell r="J434">
            <v>200</v>
          </cell>
          <cell r="K434">
            <v>200</v>
          </cell>
          <cell r="L434">
            <v>200</v>
          </cell>
          <cell r="M434">
            <v>200</v>
          </cell>
          <cell r="N434">
            <v>200</v>
          </cell>
          <cell r="O434">
            <v>200</v>
          </cell>
        </row>
        <row r="435">
          <cell r="B435" t="str">
            <v>DELIEVERY ORDER CHARGES @ Rs.600</v>
          </cell>
          <cell r="C435">
            <v>19</v>
          </cell>
          <cell r="D435">
            <v>600</v>
          </cell>
          <cell r="E435">
            <v>600</v>
          </cell>
          <cell r="F435">
            <v>600</v>
          </cell>
          <cell r="G435">
            <v>600</v>
          </cell>
          <cell r="H435">
            <v>600</v>
          </cell>
          <cell r="I435">
            <v>600</v>
          </cell>
          <cell r="J435">
            <v>600</v>
          </cell>
          <cell r="K435">
            <v>600</v>
          </cell>
          <cell r="L435">
            <v>600</v>
          </cell>
          <cell r="M435">
            <v>600</v>
          </cell>
          <cell r="N435">
            <v>600</v>
          </cell>
          <cell r="O435">
            <v>600</v>
          </cell>
        </row>
        <row r="436">
          <cell r="B436" t="str">
            <v>DEMURRAGE</v>
          </cell>
          <cell r="C436">
            <v>20</v>
          </cell>
          <cell r="D436">
            <v>0</v>
          </cell>
          <cell r="E436">
            <v>0</v>
          </cell>
          <cell r="F436">
            <v>0</v>
          </cell>
          <cell r="G436">
            <v>0</v>
          </cell>
          <cell r="H436">
            <v>0</v>
          </cell>
          <cell r="I436">
            <v>0</v>
          </cell>
          <cell r="J436">
            <v>0</v>
          </cell>
          <cell r="K436">
            <v>0</v>
          </cell>
          <cell r="L436">
            <v>0</v>
          </cell>
          <cell r="M436">
            <v>0</v>
          </cell>
          <cell r="N436">
            <v>0</v>
          </cell>
          <cell r="O436">
            <v>0</v>
          </cell>
        </row>
        <row r="437">
          <cell r="B437" t="str">
            <v>SHIFTING CHARGES          @ Rs. 500</v>
          </cell>
          <cell r="C437">
            <v>21</v>
          </cell>
          <cell r="D437">
            <v>500</v>
          </cell>
          <cell r="E437">
            <v>500</v>
          </cell>
          <cell r="F437">
            <v>500</v>
          </cell>
          <cell r="G437">
            <v>500</v>
          </cell>
          <cell r="H437">
            <v>500</v>
          </cell>
          <cell r="I437">
            <v>500</v>
          </cell>
          <cell r="J437">
            <v>500</v>
          </cell>
          <cell r="K437">
            <v>500</v>
          </cell>
          <cell r="L437">
            <v>500</v>
          </cell>
          <cell r="M437">
            <v>500</v>
          </cell>
          <cell r="N437">
            <v>500</v>
          </cell>
          <cell r="O437">
            <v>500</v>
          </cell>
        </row>
        <row r="438">
          <cell r="B438" t="str">
            <v>Total Landed Cost excluding presumptive tax</v>
          </cell>
          <cell r="C438" t="str">
            <v>A</v>
          </cell>
          <cell r="D438">
            <v>1362728.2166331548</v>
          </cell>
          <cell r="E438">
            <v>1362728.2166331548</v>
          </cell>
          <cell r="F438">
            <v>1362728.2166331548</v>
          </cell>
          <cell r="G438">
            <v>1362728.2166331548</v>
          </cell>
          <cell r="H438">
            <v>1362728.2166331548</v>
          </cell>
          <cell r="I438">
            <v>1362728.2166331548</v>
          </cell>
          <cell r="J438">
            <v>1362728.2166331548</v>
          </cell>
          <cell r="K438">
            <v>1362728.2166331548</v>
          </cell>
          <cell r="L438">
            <v>1362728.2166331548</v>
          </cell>
          <cell r="M438">
            <v>1362728.2166331548</v>
          </cell>
          <cell r="N438">
            <v>1362728.2166331548</v>
          </cell>
          <cell r="O438">
            <v>1362728.2166331548</v>
          </cell>
        </row>
        <row r="439">
          <cell r="D439">
            <v>1.8607005950911986</v>
          </cell>
          <cell r="E439">
            <v>1.8607005950911986</v>
          </cell>
          <cell r="F439">
            <v>1.8607005950911986</v>
          </cell>
          <cell r="G439">
            <v>1.8607005950911986</v>
          </cell>
          <cell r="H439">
            <v>1.8607005950911986</v>
          </cell>
          <cell r="I439">
            <v>1.8607005950911986</v>
          </cell>
          <cell r="J439">
            <v>1.8607005950911986</v>
          </cell>
          <cell r="K439">
            <v>1.8607005950911986</v>
          </cell>
          <cell r="L439">
            <v>1.8607005950911986</v>
          </cell>
          <cell r="M439">
            <v>1.8607005950911986</v>
          </cell>
          <cell r="N439">
            <v>1.8607005950911986</v>
          </cell>
          <cell r="O439">
            <v>1.8607005950911986</v>
          </cell>
        </row>
        <row r="441">
          <cell r="B441" t="str">
            <v>Presumptive tax</v>
          </cell>
          <cell r="D441">
            <v>68256.322560587185</v>
          </cell>
          <cell r="E441">
            <v>68256.322560587185</v>
          </cell>
          <cell r="F441">
            <v>68256.322560587185</v>
          </cell>
          <cell r="G441">
            <v>68256.322560587185</v>
          </cell>
          <cell r="H441">
            <v>68256.322560587185</v>
          </cell>
          <cell r="I441">
            <v>68256.322560587185</v>
          </cell>
          <cell r="J441">
            <v>68256.322560587185</v>
          </cell>
          <cell r="K441">
            <v>68256.322560587185</v>
          </cell>
          <cell r="L441">
            <v>68256.322560587185</v>
          </cell>
          <cell r="M441">
            <v>68256.322560587185</v>
          </cell>
          <cell r="N441">
            <v>68256.322560587185</v>
          </cell>
          <cell r="O441">
            <v>68256.322560587185</v>
          </cell>
        </row>
        <row r="442">
          <cell r="B442" t="str">
            <v>Tax U/S 50 (4) @ 3.5%</v>
          </cell>
          <cell r="D442">
            <v>0</v>
          </cell>
          <cell r="E442">
            <v>0</v>
          </cell>
          <cell r="F442">
            <v>0</v>
          </cell>
          <cell r="G442">
            <v>0</v>
          </cell>
          <cell r="H442">
            <v>0</v>
          </cell>
          <cell r="I442">
            <v>0</v>
          </cell>
          <cell r="J442">
            <v>0</v>
          </cell>
          <cell r="K442">
            <v>0</v>
          </cell>
          <cell r="L442">
            <v>0</v>
          </cell>
          <cell r="M442">
            <v>0</v>
          </cell>
          <cell r="N442">
            <v>0</v>
          </cell>
          <cell r="O442">
            <v>0</v>
          </cell>
        </row>
        <row r="443">
          <cell r="D443">
            <v>68256.322560587185</v>
          </cell>
          <cell r="E443">
            <v>68256.322560587185</v>
          </cell>
          <cell r="F443">
            <v>68256.322560587185</v>
          </cell>
          <cell r="G443">
            <v>68256.322560587185</v>
          </cell>
          <cell r="H443">
            <v>68256.322560587185</v>
          </cell>
          <cell r="I443">
            <v>68256.322560587185</v>
          </cell>
          <cell r="J443">
            <v>68256.322560587185</v>
          </cell>
          <cell r="K443">
            <v>68256.322560587185</v>
          </cell>
          <cell r="L443">
            <v>68256.322560587185</v>
          </cell>
          <cell r="M443">
            <v>68256.322560587185</v>
          </cell>
          <cell r="N443">
            <v>68256.322560587185</v>
          </cell>
          <cell r="O443">
            <v>68256.322560587185</v>
          </cell>
        </row>
        <row r="446">
          <cell r="B446" t="str">
            <v>Existing selling price</v>
          </cell>
        </row>
        <row r="447">
          <cell r="B447" t="str">
            <v>Landed cost</v>
          </cell>
          <cell r="D447">
            <v>1362728.2166331548</v>
          </cell>
          <cell r="E447">
            <v>1362728.2166331548</v>
          </cell>
          <cell r="F447">
            <v>1362728.2166331548</v>
          </cell>
          <cell r="G447">
            <v>1362728.2166331548</v>
          </cell>
          <cell r="H447">
            <v>1362728.2166331548</v>
          </cell>
          <cell r="I447">
            <v>1362728.2166331548</v>
          </cell>
          <cell r="J447">
            <v>1362728.2166331548</v>
          </cell>
          <cell r="K447">
            <v>1362728.2166331548</v>
          </cell>
          <cell r="L447">
            <v>1362728.2166331548</v>
          </cell>
          <cell r="M447">
            <v>1362728.2166331548</v>
          </cell>
          <cell r="N447">
            <v>1362728.2166331548</v>
          </cell>
          <cell r="O447">
            <v>1362728.2166331548</v>
          </cell>
        </row>
        <row r="448">
          <cell r="B448" t="str">
            <v>Distributor Mark-up.</v>
          </cell>
          <cell r="D448">
            <v>60000</v>
          </cell>
          <cell r="E448">
            <v>60000</v>
          </cell>
          <cell r="F448">
            <v>60000</v>
          </cell>
          <cell r="G448">
            <v>60000</v>
          </cell>
          <cell r="H448">
            <v>60000</v>
          </cell>
          <cell r="I448">
            <v>60000</v>
          </cell>
          <cell r="J448">
            <v>60000</v>
          </cell>
          <cell r="K448">
            <v>60000</v>
          </cell>
          <cell r="L448">
            <v>60000</v>
          </cell>
          <cell r="M448">
            <v>60000</v>
          </cell>
          <cell r="N448">
            <v>60000</v>
          </cell>
          <cell r="O448">
            <v>60000</v>
          </cell>
        </row>
        <row r="449">
          <cell r="B449" t="str">
            <v>Income  Tax 3.5%</v>
          </cell>
          <cell r="D449">
            <v>0</v>
          </cell>
          <cell r="E449">
            <v>0</v>
          </cell>
          <cell r="F449">
            <v>0</v>
          </cell>
          <cell r="G449">
            <v>0</v>
          </cell>
          <cell r="H449">
            <v>0</v>
          </cell>
          <cell r="I449">
            <v>0</v>
          </cell>
          <cell r="J449">
            <v>0</v>
          </cell>
          <cell r="K449">
            <v>0</v>
          </cell>
          <cell r="L449">
            <v>0</v>
          </cell>
          <cell r="M449">
            <v>0</v>
          </cell>
          <cell r="N449">
            <v>0</v>
          </cell>
          <cell r="O449">
            <v>0</v>
          </cell>
        </row>
        <row r="450">
          <cell r="B450" t="str">
            <v>Dealer commission</v>
          </cell>
          <cell r="D450">
            <v>30000</v>
          </cell>
          <cell r="E450">
            <v>30000</v>
          </cell>
          <cell r="F450">
            <v>30000</v>
          </cell>
          <cell r="G450">
            <v>30000</v>
          </cell>
          <cell r="H450">
            <v>30000</v>
          </cell>
          <cell r="I450">
            <v>30000</v>
          </cell>
          <cell r="J450">
            <v>30000</v>
          </cell>
          <cell r="K450">
            <v>30000</v>
          </cell>
          <cell r="L450">
            <v>30000</v>
          </cell>
          <cell r="M450">
            <v>30000</v>
          </cell>
          <cell r="N450">
            <v>30000</v>
          </cell>
          <cell r="O450">
            <v>30000</v>
          </cell>
        </row>
        <row r="451">
          <cell r="D451">
            <v>1452728.2166331548</v>
          </cell>
          <cell r="E451">
            <v>1452728.2166331548</v>
          </cell>
          <cell r="F451">
            <v>1452728.2166331548</v>
          </cell>
          <cell r="G451">
            <v>1452728.2166331548</v>
          </cell>
          <cell r="H451">
            <v>1452728.2166331548</v>
          </cell>
          <cell r="I451">
            <v>1452728.2166331548</v>
          </cell>
          <cell r="J451">
            <v>1452728.2166331548</v>
          </cell>
          <cell r="K451">
            <v>1452728.2166331548</v>
          </cell>
          <cell r="L451">
            <v>1452728.2166331548</v>
          </cell>
          <cell r="M451">
            <v>1452728.2166331548</v>
          </cell>
          <cell r="N451">
            <v>1452728.2166331548</v>
          </cell>
          <cell r="O451">
            <v>1452728.2166331548</v>
          </cell>
        </row>
        <row r="452">
          <cell r="B452" t="str">
            <v>Sales tax</v>
          </cell>
          <cell r="D452">
            <v>217909.2324949732</v>
          </cell>
          <cell r="E452">
            <v>217909.2324949732</v>
          </cell>
          <cell r="F452">
            <v>217909.2324949732</v>
          </cell>
          <cell r="G452">
            <v>217909.2324949732</v>
          </cell>
          <cell r="H452">
            <v>217909.2324949732</v>
          </cell>
          <cell r="I452">
            <v>217909.2324949732</v>
          </cell>
          <cell r="J452">
            <v>217909.2324949732</v>
          </cell>
          <cell r="K452">
            <v>217909.2324949732</v>
          </cell>
          <cell r="L452">
            <v>217909.2324949732</v>
          </cell>
          <cell r="M452">
            <v>217909.2324949732</v>
          </cell>
          <cell r="N452">
            <v>217909.2324949732</v>
          </cell>
          <cell r="O452">
            <v>217909.2324949732</v>
          </cell>
        </row>
        <row r="453">
          <cell r="B453" t="str">
            <v>Selling price taken in budget</v>
          </cell>
          <cell r="D453">
            <v>1670637.4491281279</v>
          </cell>
          <cell r="E453">
            <v>1670637.4491281279</v>
          </cell>
          <cell r="F453">
            <v>1670637.4491281279</v>
          </cell>
          <cell r="G453">
            <v>1670637.4491281279</v>
          </cell>
          <cell r="H453">
            <v>1670637.4491281279</v>
          </cell>
          <cell r="I453">
            <v>1670637.4491281279</v>
          </cell>
          <cell r="J453">
            <v>1670637.4491281279</v>
          </cell>
          <cell r="K453">
            <v>1670637.4491281279</v>
          </cell>
          <cell r="L453">
            <v>1670637.4491281279</v>
          </cell>
          <cell r="M453">
            <v>1670637.4491281279</v>
          </cell>
          <cell r="N453">
            <v>1670637.4491281279</v>
          </cell>
          <cell r="O453">
            <v>1670637.4491281279</v>
          </cell>
        </row>
        <row r="454">
          <cell r="B454" t="str">
            <v>Selling price as per sales price list</v>
          </cell>
          <cell r="D454">
            <v>1810000</v>
          </cell>
          <cell r="E454">
            <v>1810000</v>
          </cell>
          <cell r="F454">
            <v>1810000</v>
          </cell>
          <cell r="G454">
            <v>1810000</v>
          </cell>
          <cell r="H454">
            <v>1810000</v>
          </cell>
          <cell r="I454">
            <v>1810000</v>
          </cell>
          <cell r="J454">
            <v>1810000</v>
          </cell>
          <cell r="K454">
            <v>1810000</v>
          </cell>
          <cell r="L454">
            <v>1810000</v>
          </cell>
          <cell r="M454">
            <v>1810000</v>
          </cell>
          <cell r="N454">
            <v>1810000</v>
          </cell>
          <cell r="O454">
            <v>1810000</v>
          </cell>
        </row>
        <row r="456">
          <cell r="B456" t="str">
            <v>Units sold</v>
          </cell>
          <cell r="D456">
            <v>10</v>
          </cell>
          <cell r="E456">
            <v>10</v>
          </cell>
          <cell r="F456">
            <v>10</v>
          </cell>
          <cell r="G456">
            <v>10</v>
          </cell>
          <cell r="H456">
            <v>10</v>
          </cell>
          <cell r="I456">
            <v>10</v>
          </cell>
          <cell r="J456">
            <v>10</v>
          </cell>
          <cell r="K456">
            <v>10</v>
          </cell>
          <cell r="L456">
            <v>10</v>
          </cell>
          <cell r="M456">
            <v>10</v>
          </cell>
          <cell r="N456">
            <v>10</v>
          </cell>
          <cell r="O456">
            <v>10</v>
          </cell>
        </row>
        <row r="457">
          <cell r="D457">
            <v>36618.686000000002</v>
          </cell>
          <cell r="E457">
            <v>36618.686000000002</v>
          </cell>
          <cell r="F457">
            <v>36618.686000000002</v>
          </cell>
          <cell r="G457">
            <v>36618.686000000002</v>
          </cell>
          <cell r="H457">
            <v>36618.686000000002</v>
          </cell>
          <cell r="I457">
            <v>36618.686000000002</v>
          </cell>
          <cell r="J457">
            <v>36618.686000000002</v>
          </cell>
          <cell r="K457">
            <v>36618.686000000002</v>
          </cell>
          <cell r="L457">
            <v>36618.686000000002</v>
          </cell>
          <cell r="M457">
            <v>36618.686000000002</v>
          </cell>
          <cell r="N457">
            <v>36618.686000000002</v>
          </cell>
          <cell r="O457">
            <v>36618.686000000002</v>
          </cell>
          <cell r="P457">
            <v>439424.2319999999</v>
          </cell>
        </row>
        <row r="458">
          <cell r="B458" t="str">
            <v xml:space="preserve">Working </v>
          </cell>
        </row>
        <row r="459">
          <cell r="B459" t="str">
            <v xml:space="preserve">Sales </v>
          </cell>
          <cell r="D459">
            <v>16706374.491281278</v>
          </cell>
          <cell r="E459">
            <v>16706374.491281278</v>
          </cell>
          <cell r="F459">
            <v>16706374.491281278</v>
          </cell>
          <cell r="G459">
            <v>16706374.491281278</v>
          </cell>
          <cell r="H459">
            <v>16706374.491281278</v>
          </cell>
          <cell r="I459">
            <v>16706374.491281278</v>
          </cell>
          <cell r="J459">
            <v>16706374.491281278</v>
          </cell>
          <cell r="K459">
            <v>16706374.491281278</v>
          </cell>
          <cell r="L459">
            <v>16706374.491281278</v>
          </cell>
          <cell r="M459">
            <v>16706374.491281278</v>
          </cell>
          <cell r="N459">
            <v>16706374.491281278</v>
          </cell>
          <cell r="O459">
            <v>16706374.491281278</v>
          </cell>
        </row>
        <row r="460">
          <cell r="B460" t="str">
            <v>Sales tax</v>
          </cell>
          <cell r="D460">
            <v>217909.2324949732</v>
          </cell>
          <cell r="E460">
            <v>217909.2324949732</v>
          </cell>
          <cell r="F460">
            <v>217909.2324949732</v>
          </cell>
          <cell r="G460">
            <v>217909.2324949732</v>
          </cell>
          <cell r="H460">
            <v>217909.2324949732</v>
          </cell>
          <cell r="I460">
            <v>217909.2324949732</v>
          </cell>
          <cell r="J460">
            <v>217909.2324949732</v>
          </cell>
          <cell r="K460">
            <v>217909.2324949732</v>
          </cell>
          <cell r="L460">
            <v>217909.2324949732</v>
          </cell>
          <cell r="M460">
            <v>217909.2324949732</v>
          </cell>
          <cell r="N460">
            <v>217909.2324949732</v>
          </cell>
          <cell r="O460">
            <v>217909.2324949732</v>
          </cell>
        </row>
        <row r="461">
          <cell r="B461" t="str">
            <v>Cost of Sales - Perunit</v>
          </cell>
          <cell r="D461">
            <v>1294471.8940725676</v>
          </cell>
          <cell r="E461">
            <v>1294471.8940725676</v>
          </cell>
          <cell r="F461">
            <v>1294471.8940725676</v>
          </cell>
          <cell r="G461">
            <v>1294471.8940725676</v>
          </cell>
          <cell r="H461">
            <v>1294471.8940725676</v>
          </cell>
          <cell r="I461">
            <v>1294471.8940725676</v>
          </cell>
          <cell r="J461">
            <v>1294471.8940725676</v>
          </cell>
          <cell r="K461">
            <v>1294471.8940725676</v>
          </cell>
          <cell r="L461">
            <v>1294471.8940725676</v>
          </cell>
          <cell r="M461">
            <v>1294471.8940725676</v>
          </cell>
          <cell r="N461">
            <v>1294471.8940725676</v>
          </cell>
          <cell r="O461">
            <v>1294471.8940725676</v>
          </cell>
        </row>
        <row r="462">
          <cell r="B462" t="str">
            <v>Cost of Sales - Total</v>
          </cell>
          <cell r="D462">
            <v>12944718.940725677</v>
          </cell>
          <cell r="E462">
            <v>12944718.940725677</v>
          </cell>
          <cell r="F462">
            <v>12944718.940725677</v>
          </cell>
          <cell r="G462">
            <v>12944718.940725677</v>
          </cell>
          <cell r="H462">
            <v>12944718.940725677</v>
          </cell>
          <cell r="I462">
            <v>12944718.940725677</v>
          </cell>
          <cell r="J462">
            <v>12944718.940725677</v>
          </cell>
          <cell r="K462">
            <v>12944718.940725677</v>
          </cell>
          <cell r="L462">
            <v>12944718.940725677</v>
          </cell>
          <cell r="M462">
            <v>12944718.940725677</v>
          </cell>
          <cell r="N462">
            <v>12944718.940725677</v>
          </cell>
          <cell r="O462">
            <v>12944718.940725677</v>
          </cell>
        </row>
        <row r="463">
          <cell r="B463" t="str">
            <v>Presumptive Tax - Per unit</v>
          </cell>
          <cell r="D463">
            <v>68256.322560587185</v>
          </cell>
          <cell r="E463">
            <v>68256.322560587185</v>
          </cell>
          <cell r="F463">
            <v>68256.322560587185</v>
          </cell>
          <cell r="G463">
            <v>68256.322560587185</v>
          </cell>
          <cell r="H463">
            <v>68256.322560587185</v>
          </cell>
          <cell r="I463">
            <v>68256.322560587185</v>
          </cell>
          <cell r="J463">
            <v>68256.322560587185</v>
          </cell>
          <cell r="K463">
            <v>68256.322560587185</v>
          </cell>
          <cell r="L463">
            <v>68256.322560587185</v>
          </cell>
          <cell r="M463">
            <v>68256.322560587185</v>
          </cell>
          <cell r="N463">
            <v>68256.322560587185</v>
          </cell>
          <cell r="O463">
            <v>68256.322560587185</v>
          </cell>
        </row>
        <row r="464">
          <cell r="B464" t="str">
            <v>Presumptive Tax - Total</v>
          </cell>
          <cell r="D464">
            <v>682563.22560587188</v>
          </cell>
          <cell r="E464">
            <v>682563.22560587188</v>
          </cell>
          <cell r="F464">
            <v>682563.22560587188</v>
          </cell>
          <cell r="G464">
            <v>682563.22560587188</v>
          </cell>
          <cell r="H464">
            <v>682563.22560587188</v>
          </cell>
          <cell r="I464">
            <v>682563.22560587188</v>
          </cell>
          <cell r="J464">
            <v>682563.22560587188</v>
          </cell>
          <cell r="K464">
            <v>682563.22560587188</v>
          </cell>
          <cell r="L464">
            <v>682563.22560587188</v>
          </cell>
          <cell r="M464">
            <v>682563.22560587188</v>
          </cell>
          <cell r="N464">
            <v>682563.22560587188</v>
          </cell>
          <cell r="O464">
            <v>682563.22560587188</v>
          </cell>
        </row>
        <row r="467">
          <cell r="B467" t="str">
            <v>Coaster</v>
          </cell>
          <cell r="D467">
            <v>548</v>
          </cell>
          <cell r="E467">
            <v>579</v>
          </cell>
          <cell r="F467">
            <v>610</v>
          </cell>
          <cell r="G467">
            <v>641</v>
          </cell>
          <cell r="H467">
            <v>672</v>
          </cell>
          <cell r="I467">
            <v>703</v>
          </cell>
          <cell r="J467">
            <v>734</v>
          </cell>
          <cell r="K467">
            <v>765</v>
          </cell>
          <cell r="L467">
            <v>796</v>
          </cell>
          <cell r="M467">
            <v>827</v>
          </cell>
          <cell r="N467">
            <v>858</v>
          </cell>
          <cell r="O467">
            <v>889</v>
          </cell>
        </row>
        <row r="469">
          <cell r="B469" t="str">
            <v>Document Retirement i.e. C &amp; F</v>
          </cell>
          <cell r="D469">
            <v>0.52</v>
          </cell>
          <cell r="E469">
            <v>0.52</v>
          </cell>
          <cell r="F469">
            <v>0.52</v>
          </cell>
          <cell r="G469">
            <v>0.52</v>
          </cell>
          <cell r="H469">
            <v>0.52</v>
          </cell>
          <cell r="I469">
            <v>0.52</v>
          </cell>
          <cell r="J469">
            <v>0.52</v>
          </cell>
          <cell r="K469">
            <v>0.52</v>
          </cell>
          <cell r="L469">
            <v>0.52</v>
          </cell>
          <cell r="M469">
            <v>0.52</v>
          </cell>
          <cell r="N469">
            <v>0.52</v>
          </cell>
          <cell r="O469">
            <v>0.52</v>
          </cell>
        </row>
        <row r="470">
          <cell r="B470" t="str">
            <v>Duty / Sales tax / Octroi / DMI / Tax etc.</v>
          </cell>
          <cell r="D470">
            <v>0.52</v>
          </cell>
          <cell r="E470">
            <v>0.52</v>
          </cell>
          <cell r="F470">
            <v>0.52</v>
          </cell>
          <cell r="G470">
            <v>0.52</v>
          </cell>
          <cell r="H470">
            <v>0.52</v>
          </cell>
          <cell r="I470">
            <v>0.52</v>
          </cell>
          <cell r="J470">
            <v>0.52</v>
          </cell>
          <cell r="K470">
            <v>0.52</v>
          </cell>
          <cell r="L470">
            <v>0.52</v>
          </cell>
          <cell r="M470">
            <v>0.52</v>
          </cell>
          <cell r="N470">
            <v>0.52</v>
          </cell>
          <cell r="O470">
            <v>0.52</v>
          </cell>
        </row>
        <row r="471">
          <cell r="B471" t="str">
            <v>QUANTITY</v>
          </cell>
          <cell r="D471">
            <v>1</v>
          </cell>
          <cell r="E471">
            <v>1</v>
          </cell>
          <cell r="F471">
            <v>1</v>
          </cell>
          <cell r="G471">
            <v>1</v>
          </cell>
          <cell r="H471">
            <v>1</v>
          </cell>
          <cell r="I471">
            <v>1</v>
          </cell>
          <cell r="J471">
            <v>1</v>
          </cell>
          <cell r="K471">
            <v>1</v>
          </cell>
          <cell r="L471">
            <v>1</v>
          </cell>
          <cell r="M471">
            <v>1</v>
          </cell>
          <cell r="N471">
            <v>1</v>
          </cell>
          <cell r="O471">
            <v>1</v>
          </cell>
        </row>
        <row r="472">
          <cell r="B472" t="str">
            <v>C &amp; F</v>
          </cell>
          <cell r="C472" t="str">
            <v>¥</v>
          </cell>
          <cell r="D472">
            <v>3421100</v>
          </cell>
          <cell r="E472">
            <v>3421100</v>
          </cell>
          <cell r="F472">
            <v>3421100</v>
          </cell>
          <cell r="G472">
            <v>3421100</v>
          </cell>
          <cell r="H472">
            <v>3421100</v>
          </cell>
          <cell r="I472">
            <v>3421100</v>
          </cell>
          <cell r="J472">
            <v>3421100</v>
          </cell>
          <cell r="K472">
            <v>3421100</v>
          </cell>
          <cell r="L472">
            <v>3421100</v>
          </cell>
          <cell r="M472">
            <v>3421100</v>
          </cell>
          <cell r="N472">
            <v>3421100</v>
          </cell>
          <cell r="O472">
            <v>3421100</v>
          </cell>
        </row>
        <row r="473">
          <cell r="B473" t="str">
            <v>F.O.B. VALUE - ITP</v>
          </cell>
          <cell r="C473" t="str">
            <v>¥</v>
          </cell>
          <cell r="D473">
            <v>3421100</v>
          </cell>
          <cell r="E473">
            <v>3421100</v>
          </cell>
          <cell r="F473">
            <v>3421100</v>
          </cell>
          <cell r="G473">
            <v>3421100</v>
          </cell>
          <cell r="H473">
            <v>3421100</v>
          </cell>
          <cell r="I473">
            <v>3421100</v>
          </cell>
          <cell r="J473">
            <v>3421100</v>
          </cell>
          <cell r="K473">
            <v>3421100</v>
          </cell>
          <cell r="L473">
            <v>3421100</v>
          </cell>
          <cell r="M473">
            <v>3421100</v>
          </cell>
          <cell r="N473">
            <v>3421100</v>
          </cell>
          <cell r="O473">
            <v>3421100</v>
          </cell>
        </row>
        <row r="474">
          <cell r="B474" t="str">
            <v>OPTIONS</v>
          </cell>
          <cell r="C474" t="str">
            <v>¥</v>
          </cell>
          <cell r="D474">
            <v>0</v>
          </cell>
          <cell r="E474">
            <v>0</v>
          </cell>
          <cell r="F474">
            <v>0</v>
          </cell>
          <cell r="G474">
            <v>0</v>
          </cell>
          <cell r="H474">
            <v>0</v>
          </cell>
          <cell r="I474">
            <v>0</v>
          </cell>
          <cell r="J474">
            <v>0</v>
          </cell>
          <cell r="K474">
            <v>0</v>
          </cell>
          <cell r="L474">
            <v>0</v>
          </cell>
          <cell r="M474">
            <v>0</v>
          </cell>
          <cell r="N474">
            <v>0</v>
          </cell>
          <cell r="O474">
            <v>0</v>
          </cell>
        </row>
        <row r="475">
          <cell r="B475" t="str">
            <v>COMMISSION  (FIXED)</v>
          </cell>
          <cell r="C475" t="str">
            <v>¥</v>
          </cell>
          <cell r="D475">
            <v>0</v>
          </cell>
          <cell r="E475">
            <v>0</v>
          </cell>
          <cell r="F475">
            <v>0</v>
          </cell>
          <cell r="G475">
            <v>0</v>
          </cell>
          <cell r="H475">
            <v>0</v>
          </cell>
          <cell r="I475">
            <v>0</v>
          </cell>
          <cell r="J475">
            <v>0</v>
          </cell>
          <cell r="K475">
            <v>0</v>
          </cell>
          <cell r="L475">
            <v>0</v>
          </cell>
          <cell r="M475">
            <v>0</v>
          </cell>
          <cell r="N475">
            <v>0</v>
          </cell>
          <cell r="O475">
            <v>0</v>
          </cell>
        </row>
        <row r="476">
          <cell r="B476" t="str">
            <v>ESTIMATED YEN</v>
          </cell>
          <cell r="C476" t="str">
            <v>¥</v>
          </cell>
        </row>
        <row r="477">
          <cell r="B477" t="str">
            <v>LOADING FOR ADVERTISING/WARRANTY</v>
          </cell>
          <cell r="C477" t="str">
            <v>¥</v>
          </cell>
          <cell r="D477">
            <v>0</v>
          </cell>
          <cell r="E477">
            <v>0</v>
          </cell>
          <cell r="F477">
            <v>0</v>
          </cell>
          <cell r="G477">
            <v>0</v>
          </cell>
          <cell r="H477">
            <v>0</v>
          </cell>
          <cell r="I477">
            <v>0</v>
          </cell>
          <cell r="J477">
            <v>0</v>
          </cell>
          <cell r="K477">
            <v>0</v>
          </cell>
          <cell r="L477">
            <v>0</v>
          </cell>
          <cell r="M477">
            <v>0</v>
          </cell>
          <cell r="N477">
            <v>0</v>
          </cell>
          <cell r="O477">
            <v>0</v>
          </cell>
        </row>
        <row r="478">
          <cell r="B478" t="str">
            <v>SUB - TOTAL</v>
          </cell>
          <cell r="C478" t="str">
            <v>¥</v>
          </cell>
          <cell r="D478">
            <v>3421100</v>
          </cell>
          <cell r="E478">
            <v>3421100</v>
          </cell>
          <cell r="F478">
            <v>3421100</v>
          </cell>
          <cell r="G478">
            <v>3421100</v>
          </cell>
          <cell r="H478">
            <v>3421100</v>
          </cell>
          <cell r="I478">
            <v>3421100</v>
          </cell>
          <cell r="J478">
            <v>3421100</v>
          </cell>
          <cell r="K478">
            <v>3421100</v>
          </cell>
          <cell r="L478">
            <v>3421100</v>
          </cell>
          <cell r="M478">
            <v>3421100</v>
          </cell>
          <cell r="N478">
            <v>3421100</v>
          </cell>
          <cell r="O478">
            <v>3421100</v>
          </cell>
        </row>
        <row r="479">
          <cell r="B479" t="str">
            <v>SUB - TOTAL</v>
          </cell>
          <cell r="C479" t="str">
            <v>Rs</v>
          </cell>
          <cell r="D479">
            <v>1778972</v>
          </cell>
          <cell r="E479">
            <v>1778972</v>
          </cell>
          <cell r="F479">
            <v>1778972</v>
          </cell>
          <cell r="G479">
            <v>1778972</v>
          </cell>
          <cell r="H479">
            <v>1778972</v>
          </cell>
          <cell r="I479">
            <v>1778972</v>
          </cell>
          <cell r="J479">
            <v>1778972</v>
          </cell>
          <cell r="K479">
            <v>1778972</v>
          </cell>
          <cell r="L479">
            <v>1778972</v>
          </cell>
          <cell r="M479">
            <v>1778972</v>
          </cell>
          <cell r="N479">
            <v>1778972</v>
          </cell>
          <cell r="O479">
            <v>1778972</v>
          </cell>
        </row>
        <row r="480">
          <cell r="B480" t="str">
            <v>INSURANCE @ 0.3% OF C&amp;F</v>
          </cell>
          <cell r="C480" t="str">
            <v>Rs</v>
          </cell>
          <cell r="D480">
            <v>5336.9160000000002</v>
          </cell>
          <cell r="E480">
            <v>5336.9160000000002</v>
          </cell>
          <cell r="F480">
            <v>5336.9160000000002</v>
          </cell>
          <cell r="G480">
            <v>5336.9160000000002</v>
          </cell>
          <cell r="H480">
            <v>5336.9160000000002</v>
          </cell>
          <cell r="I480">
            <v>5336.9160000000002</v>
          </cell>
          <cell r="J480">
            <v>5336.9160000000002</v>
          </cell>
          <cell r="K480">
            <v>5336.9160000000002</v>
          </cell>
          <cell r="L480">
            <v>5336.9160000000002</v>
          </cell>
          <cell r="M480">
            <v>5336.9160000000002</v>
          </cell>
          <cell r="N480">
            <v>5336.9160000000002</v>
          </cell>
          <cell r="O480">
            <v>5336.9160000000002</v>
          </cell>
        </row>
        <row r="481">
          <cell r="B481" t="str">
            <v>OCEAN FREIGHT</v>
          </cell>
          <cell r="C481" t="str">
            <v>Rs</v>
          </cell>
          <cell r="D481">
            <v>0</v>
          </cell>
          <cell r="E481">
            <v>0</v>
          </cell>
          <cell r="F481">
            <v>0</v>
          </cell>
          <cell r="G481">
            <v>0</v>
          </cell>
          <cell r="H481">
            <v>0</v>
          </cell>
          <cell r="I481">
            <v>0</v>
          </cell>
          <cell r="J481">
            <v>0</v>
          </cell>
          <cell r="K481">
            <v>0</v>
          </cell>
          <cell r="L481">
            <v>0</v>
          </cell>
          <cell r="M481">
            <v>0</v>
          </cell>
          <cell r="N481">
            <v>0</v>
          </cell>
          <cell r="O481">
            <v>0</v>
          </cell>
        </row>
        <row r="482">
          <cell r="B482" t="str">
            <v>TOTAL  C &amp; F</v>
          </cell>
          <cell r="C482" t="str">
            <v>Rs</v>
          </cell>
          <cell r="D482">
            <v>1784308.916</v>
          </cell>
          <cell r="E482">
            <v>1784308.916</v>
          </cell>
          <cell r="F482">
            <v>1784308.916</v>
          </cell>
          <cell r="G482">
            <v>1784308.916</v>
          </cell>
          <cell r="H482">
            <v>1784308.916</v>
          </cell>
          <cell r="I482">
            <v>1784308.916</v>
          </cell>
          <cell r="J482">
            <v>1784308.916</v>
          </cell>
          <cell r="K482">
            <v>1784308.916</v>
          </cell>
          <cell r="L482">
            <v>1784308.916</v>
          </cell>
          <cell r="M482">
            <v>1784308.916</v>
          </cell>
          <cell r="N482">
            <v>1784308.916</v>
          </cell>
          <cell r="O482">
            <v>1784308.916</v>
          </cell>
        </row>
        <row r="483">
          <cell r="B483" t="str">
            <v>LANDING  CHARGES 1%</v>
          </cell>
          <cell r="C483" t="str">
            <v>Rs</v>
          </cell>
          <cell r="D483">
            <v>17843.08916</v>
          </cell>
          <cell r="E483">
            <v>17843.08916</v>
          </cell>
          <cell r="F483">
            <v>17843.08916</v>
          </cell>
          <cell r="G483">
            <v>17843.08916</v>
          </cell>
          <cell r="H483">
            <v>17843.08916</v>
          </cell>
          <cell r="I483">
            <v>17843.08916</v>
          </cell>
          <cell r="J483">
            <v>17843.08916</v>
          </cell>
          <cell r="K483">
            <v>17843.08916</v>
          </cell>
          <cell r="L483">
            <v>17843.08916</v>
          </cell>
          <cell r="M483">
            <v>17843.08916</v>
          </cell>
          <cell r="N483">
            <v>17843.08916</v>
          </cell>
          <cell r="O483">
            <v>17843.08916</v>
          </cell>
        </row>
        <row r="484">
          <cell r="B484" t="str">
            <v>UNIT  VALUE</v>
          </cell>
          <cell r="C484" t="str">
            <v>Rs</v>
          </cell>
          <cell r="D484">
            <v>1802152.0051599999</v>
          </cell>
          <cell r="E484">
            <v>1802152.0051599999</v>
          </cell>
          <cell r="F484">
            <v>1802152.0051599999</v>
          </cell>
          <cell r="G484">
            <v>1802152.0051599999</v>
          </cell>
          <cell r="H484">
            <v>1802152.0051599999</v>
          </cell>
          <cell r="I484">
            <v>1802152.0051599999</v>
          </cell>
          <cell r="J484">
            <v>1802152.0051599999</v>
          </cell>
          <cell r="K484">
            <v>1802152.0051599999</v>
          </cell>
          <cell r="L484">
            <v>1802152.0051599999</v>
          </cell>
          <cell r="M484">
            <v>1802152.0051599999</v>
          </cell>
          <cell r="N484">
            <v>1802152.0051599999</v>
          </cell>
          <cell r="O484">
            <v>1802152.0051599999</v>
          </cell>
        </row>
        <row r="485">
          <cell r="B485" t="str">
            <v>DUTY ASSESSIBLE VALUE (DAV)</v>
          </cell>
          <cell r="C485">
            <v>1</v>
          </cell>
          <cell r="D485">
            <v>1802152.0051599999</v>
          </cell>
          <cell r="E485">
            <v>1802152.0051599999</v>
          </cell>
          <cell r="F485">
            <v>1802152.0051599999</v>
          </cell>
          <cell r="G485">
            <v>1802152.0051599999</v>
          </cell>
          <cell r="H485">
            <v>1802152.0051599999</v>
          </cell>
          <cell r="I485">
            <v>1802152.0051599999</v>
          </cell>
          <cell r="J485">
            <v>1802152.0051599999</v>
          </cell>
          <cell r="K485">
            <v>1802152.0051599999</v>
          </cell>
          <cell r="L485">
            <v>1802152.0051599999</v>
          </cell>
          <cell r="M485">
            <v>1802152.0051599999</v>
          </cell>
          <cell r="N485">
            <v>1802152.0051599999</v>
          </cell>
          <cell r="O485">
            <v>1802152.0051599999</v>
          </cell>
        </row>
        <row r="486">
          <cell r="B486" t="str">
            <v>C &amp; F</v>
          </cell>
          <cell r="C486">
            <v>2</v>
          </cell>
          <cell r="D486">
            <v>1778972</v>
          </cell>
          <cell r="E486">
            <v>1778972</v>
          </cell>
          <cell r="F486">
            <v>1778972</v>
          </cell>
          <cell r="G486">
            <v>1778972</v>
          </cell>
          <cell r="H486">
            <v>1778972</v>
          </cell>
          <cell r="I486">
            <v>1778972</v>
          </cell>
          <cell r="J486">
            <v>1778972</v>
          </cell>
          <cell r="K486">
            <v>1778972</v>
          </cell>
          <cell r="L486">
            <v>1778972</v>
          </cell>
          <cell r="M486">
            <v>1778972</v>
          </cell>
          <cell r="N486">
            <v>1778972</v>
          </cell>
          <cell r="O486">
            <v>1778972</v>
          </cell>
        </row>
        <row r="487">
          <cell r="B487" t="str">
            <v>BANK  CHARGES  @ 0.5 %       OF (2)</v>
          </cell>
          <cell r="C487">
            <v>3</v>
          </cell>
          <cell r="D487">
            <v>8894.86</v>
          </cell>
          <cell r="E487">
            <v>8894.86</v>
          </cell>
          <cell r="F487">
            <v>8894.86</v>
          </cell>
          <cell r="G487">
            <v>8894.86</v>
          </cell>
          <cell r="H487">
            <v>8894.86</v>
          </cell>
          <cell r="I487">
            <v>8894.86</v>
          </cell>
          <cell r="J487">
            <v>8894.86</v>
          </cell>
          <cell r="K487">
            <v>8894.86</v>
          </cell>
          <cell r="L487">
            <v>8894.86</v>
          </cell>
          <cell r="M487">
            <v>8894.86</v>
          </cell>
          <cell r="N487">
            <v>8894.86</v>
          </cell>
          <cell r="O487">
            <v>8894.86</v>
          </cell>
        </row>
        <row r="488">
          <cell r="B488" t="str">
            <v>LC OPENING CHG @ 0.35 %      OF (2)</v>
          </cell>
          <cell r="C488">
            <v>4</v>
          </cell>
          <cell r="D488">
            <v>6226.402</v>
          </cell>
          <cell r="E488">
            <v>6226.402</v>
          </cell>
          <cell r="F488">
            <v>6226.402</v>
          </cell>
          <cell r="G488">
            <v>6226.402</v>
          </cell>
          <cell r="H488">
            <v>6226.402</v>
          </cell>
          <cell r="I488">
            <v>6226.402</v>
          </cell>
          <cell r="J488">
            <v>6226.402</v>
          </cell>
          <cell r="K488">
            <v>6226.402</v>
          </cell>
          <cell r="L488">
            <v>6226.402</v>
          </cell>
          <cell r="M488">
            <v>6226.402</v>
          </cell>
          <cell r="N488">
            <v>6226.402</v>
          </cell>
          <cell r="O488">
            <v>6226.402</v>
          </cell>
        </row>
        <row r="489">
          <cell r="B489" t="str">
            <v>ITP Valuation Provisional 8% of (1)</v>
          </cell>
          <cell r="C489">
            <v>5</v>
          </cell>
          <cell r="D489">
            <v>144172.1604128</v>
          </cell>
          <cell r="E489">
            <v>144172.1604128</v>
          </cell>
          <cell r="F489">
            <v>144172.1604128</v>
          </cell>
          <cell r="G489">
            <v>144172.1604128</v>
          </cell>
          <cell r="H489">
            <v>144172.1604128</v>
          </cell>
          <cell r="I489">
            <v>144172.1604128</v>
          </cell>
          <cell r="J489">
            <v>144172.1604128</v>
          </cell>
          <cell r="K489">
            <v>144172.1604128</v>
          </cell>
          <cell r="L489">
            <v>144172.1604128</v>
          </cell>
          <cell r="M489">
            <v>144172.1604128</v>
          </cell>
          <cell r="N489">
            <v>144172.1604128</v>
          </cell>
          <cell r="O489">
            <v>144172.1604128</v>
          </cell>
        </row>
        <row r="490">
          <cell r="B490" t="str">
            <v>INSURANCE @ 0.3 %                OF (2)</v>
          </cell>
          <cell r="C490">
            <v>6</v>
          </cell>
          <cell r="D490">
            <v>5336.9160000000002</v>
          </cell>
          <cell r="E490">
            <v>5336.9160000000002</v>
          </cell>
          <cell r="F490">
            <v>5336.9160000000002</v>
          </cell>
          <cell r="G490">
            <v>5336.9160000000002</v>
          </cell>
          <cell r="H490">
            <v>5336.9160000000002</v>
          </cell>
          <cell r="I490">
            <v>5336.9160000000002</v>
          </cell>
          <cell r="J490">
            <v>5336.9160000000002</v>
          </cell>
          <cell r="K490">
            <v>5336.9160000000002</v>
          </cell>
          <cell r="L490">
            <v>5336.9160000000002</v>
          </cell>
          <cell r="M490">
            <v>5336.9160000000002</v>
          </cell>
          <cell r="N490">
            <v>5336.9160000000002</v>
          </cell>
          <cell r="O490">
            <v>5336.9160000000002</v>
          </cell>
        </row>
        <row r="491">
          <cell r="B491" t="str">
            <v>CUSTOM DUTY @ 60 %            OF (1)</v>
          </cell>
          <cell r="C491">
            <v>7</v>
          </cell>
          <cell r="D491">
            <v>1081291.203096</v>
          </cell>
          <cell r="E491">
            <v>1081291.203096</v>
          </cell>
          <cell r="F491">
            <v>1081291.203096</v>
          </cell>
          <cell r="G491">
            <v>1081291.203096</v>
          </cell>
          <cell r="H491">
            <v>1081291.203096</v>
          </cell>
          <cell r="I491">
            <v>1081291.203096</v>
          </cell>
          <cell r="J491">
            <v>1081291.203096</v>
          </cell>
          <cell r="K491">
            <v>1081291.203096</v>
          </cell>
          <cell r="L491">
            <v>1081291.203096</v>
          </cell>
          <cell r="M491">
            <v>1081291.203096</v>
          </cell>
          <cell r="N491">
            <v>1081291.203096</v>
          </cell>
          <cell r="O491">
            <v>1081291.203096</v>
          </cell>
        </row>
        <row r="492">
          <cell r="B492" t="str">
            <v>C.V.T. 7.5% of (1+7+9+10+11)</v>
          </cell>
          <cell r="C492">
            <v>8</v>
          </cell>
          <cell r="D492">
            <v>261135.57554768398</v>
          </cell>
          <cell r="E492">
            <v>261135.57554768398</v>
          </cell>
          <cell r="F492">
            <v>261135.57554768398</v>
          </cell>
          <cell r="G492">
            <v>261135.57554768398</v>
          </cell>
          <cell r="H492">
            <v>261135.57554768398</v>
          </cell>
          <cell r="I492">
            <v>261135.57554768398</v>
          </cell>
          <cell r="J492">
            <v>261135.57554768398</v>
          </cell>
          <cell r="K492">
            <v>261135.57554768398</v>
          </cell>
          <cell r="L492">
            <v>261135.57554768398</v>
          </cell>
          <cell r="M492">
            <v>261135.57554768398</v>
          </cell>
          <cell r="N492">
            <v>261135.57554768398</v>
          </cell>
          <cell r="O492">
            <v>261135.57554768398</v>
          </cell>
        </row>
        <row r="493">
          <cell r="B493" t="str">
            <v>SALES TAX   @ 15 %  OF (1+7)</v>
          </cell>
          <cell r="C493">
            <v>9</v>
          </cell>
          <cell r="D493">
            <v>432516.48123839992</v>
          </cell>
          <cell r="E493">
            <v>432516.48123839992</v>
          </cell>
          <cell r="F493">
            <v>432516.48123839992</v>
          </cell>
          <cell r="G493">
            <v>432516.48123839992</v>
          </cell>
          <cell r="H493">
            <v>432516.48123839992</v>
          </cell>
          <cell r="I493">
            <v>432516.48123839992</v>
          </cell>
          <cell r="J493">
            <v>432516.48123839992</v>
          </cell>
          <cell r="K493">
            <v>432516.48123839992</v>
          </cell>
          <cell r="L493">
            <v>432516.48123839992</v>
          </cell>
          <cell r="M493">
            <v>432516.48123839992</v>
          </cell>
          <cell r="N493">
            <v>432516.48123839992</v>
          </cell>
          <cell r="O493">
            <v>432516.48123839992</v>
          </cell>
        </row>
        <row r="494">
          <cell r="B494" t="str">
            <v>INCOME TAX  @ 5 % OF (1+7+9)</v>
          </cell>
          <cell r="C494">
            <v>10</v>
          </cell>
          <cell r="D494">
            <v>165797.98447472</v>
          </cell>
          <cell r="E494">
            <v>165797.98447472</v>
          </cell>
          <cell r="F494">
            <v>165797.98447472</v>
          </cell>
          <cell r="G494">
            <v>165797.98447472</v>
          </cell>
          <cell r="H494">
            <v>165797.98447472</v>
          </cell>
          <cell r="I494">
            <v>165797.98447472</v>
          </cell>
          <cell r="J494">
            <v>165797.98447472</v>
          </cell>
          <cell r="K494">
            <v>165797.98447472</v>
          </cell>
          <cell r="L494">
            <v>165797.98447472</v>
          </cell>
          <cell r="M494">
            <v>165797.98447472</v>
          </cell>
          <cell r="N494">
            <v>165797.98447472</v>
          </cell>
          <cell r="O494">
            <v>165797.98447472</v>
          </cell>
        </row>
        <row r="495">
          <cell r="B495" t="str">
            <v>CENTRAL EXCISE DUTY     @ Rs.50</v>
          </cell>
          <cell r="C495">
            <v>11</v>
          </cell>
          <cell r="D495">
            <v>50</v>
          </cell>
          <cell r="E495">
            <v>50</v>
          </cell>
          <cell r="F495">
            <v>50</v>
          </cell>
          <cell r="G495">
            <v>50</v>
          </cell>
          <cell r="H495">
            <v>50</v>
          </cell>
          <cell r="I495">
            <v>50</v>
          </cell>
          <cell r="J495">
            <v>50</v>
          </cell>
          <cell r="K495">
            <v>50</v>
          </cell>
          <cell r="L495">
            <v>50</v>
          </cell>
          <cell r="M495">
            <v>50</v>
          </cell>
          <cell r="N495">
            <v>50</v>
          </cell>
          <cell r="O495">
            <v>50</v>
          </cell>
        </row>
        <row r="496">
          <cell r="B496" t="str">
            <v>OCTROI @ 2 % OF  (1+5+7+8+9+11)</v>
          </cell>
          <cell r="C496">
            <v>12</v>
          </cell>
          <cell r="D496">
            <v>0</v>
          </cell>
          <cell r="E496">
            <v>0</v>
          </cell>
          <cell r="F496">
            <v>0</v>
          </cell>
          <cell r="G496">
            <v>0</v>
          </cell>
          <cell r="H496">
            <v>0</v>
          </cell>
          <cell r="I496">
            <v>0</v>
          </cell>
          <cell r="J496">
            <v>0</v>
          </cell>
          <cell r="K496">
            <v>0</v>
          </cell>
          <cell r="L496">
            <v>0</v>
          </cell>
          <cell r="M496">
            <v>0</v>
          </cell>
          <cell r="N496">
            <v>0</v>
          </cell>
          <cell r="O496">
            <v>0</v>
          </cell>
        </row>
        <row r="497">
          <cell r="B497" t="str">
            <v>KMC DMI @ 0.2 OF (1+5+7+8+9+10)</v>
          </cell>
          <cell r="C497">
            <v>13</v>
          </cell>
          <cell r="D497">
            <v>7774.1308198592087</v>
          </cell>
          <cell r="E497">
            <v>7774.1308198592087</v>
          </cell>
          <cell r="F497">
            <v>7774.1308198592087</v>
          </cell>
          <cell r="G497">
            <v>7774.1308198592087</v>
          </cell>
          <cell r="H497">
            <v>7774.1308198592087</v>
          </cell>
          <cell r="I497">
            <v>7774.1308198592087</v>
          </cell>
          <cell r="J497">
            <v>7774.1308198592087</v>
          </cell>
          <cell r="K497">
            <v>7774.1308198592087</v>
          </cell>
          <cell r="L497">
            <v>7774.1308198592087</v>
          </cell>
          <cell r="M497">
            <v>7774.1308198592087</v>
          </cell>
          <cell r="N497">
            <v>7774.1308198592087</v>
          </cell>
          <cell r="O497">
            <v>7774.1308198592087</v>
          </cell>
        </row>
        <row r="498">
          <cell r="B498" t="str">
            <v>WHARFAGE @ Rs.314 per cubic meter</v>
          </cell>
          <cell r="C498">
            <v>14</v>
          </cell>
          <cell r="D498">
            <v>4396</v>
          </cell>
          <cell r="E498">
            <v>4396</v>
          </cell>
          <cell r="F498">
            <v>4396</v>
          </cell>
          <cell r="G498">
            <v>4396</v>
          </cell>
          <cell r="H498">
            <v>4396</v>
          </cell>
          <cell r="I498">
            <v>4396</v>
          </cell>
          <cell r="J498">
            <v>4396</v>
          </cell>
          <cell r="K498">
            <v>4396</v>
          </cell>
          <cell r="L498">
            <v>4396</v>
          </cell>
          <cell r="M498">
            <v>4396</v>
          </cell>
          <cell r="N498">
            <v>4396</v>
          </cell>
          <cell r="O498">
            <v>4396</v>
          </cell>
        </row>
        <row r="499">
          <cell r="B499" t="str">
            <v>BONDING FEE @ 0 %               OF (1)</v>
          </cell>
          <cell r="C499">
            <v>15</v>
          </cell>
          <cell r="D499">
            <v>0</v>
          </cell>
          <cell r="E499">
            <v>0</v>
          </cell>
          <cell r="F499">
            <v>0</v>
          </cell>
          <cell r="G499">
            <v>0</v>
          </cell>
          <cell r="H499">
            <v>0</v>
          </cell>
          <cell r="I499">
            <v>0</v>
          </cell>
          <cell r="J499">
            <v>0</v>
          </cell>
          <cell r="K499">
            <v>0</v>
          </cell>
          <cell r="L499">
            <v>0</v>
          </cell>
          <cell r="M499">
            <v>0</v>
          </cell>
          <cell r="N499">
            <v>0</v>
          </cell>
          <cell r="O499">
            <v>0</v>
          </cell>
        </row>
        <row r="500">
          <cell r="B500" t="str">
            <v>STAMP DUTY CHARGE    @ Rs. 225</v>
          </cell>
          <cell r="C500">
            <v>16</v>
          </cell>
          <cell r="D500">
            <v>225</v>
          </cell>
          <cell r="E500">
            <v>225</v>
          </cell>
          <cell r="F500">
            <v>225</v>
          </cell>
          <cell r="G500">
            <v>225</v>
          </cell>
          <cell r="H500">
            <v>225</v>
          </cell>
          <cell r="I500">
            <v>225</v>
          </cell>
          <cell r="J500">
            <v>225</v>
          </cell>
          <cell r="K500">
            <v>225</v>
          </cell>
          <cell r="L500">
            <v>225</v>
          </cell>
          <cell r="M500">
            <v>225</v>
          </cell>
          <cell r="N500">
            <v>225</v>
          </cell>
          <cell r="O500">
            <v>225</v>
          </cell>
        </row>
        <row r="501">
          <cell r="B501" t="str">
            <v>CLEARING  CHARGES      @ Rs. 750</v>
          </cell>
          <cell r="C501">
            <v>17</v>
          </cell>
          <cell r="D501">
            <v>750</v>
          </cell>
          <cell r="E501">
            <v>750</v>
          </cell>
          <cell r="F501">
            <v>750</v>
          </cell>
          <cell r="G501">
            <v>750</v>
          </cell>
          <cell r="H501">
            <v>750</v>
          </cell>
          <cell r="I501">
            <v>750</v>
          </cell>
          <cell r="J501">
            <v>750</v>
          </cell>
          <cell r="K501">
            <v>750</v>
          </cell>
          <cell r="L501">
            <v>750</v>
          </cell>
          <cell r="M501">
            <v>750</v>
          </cell>
          <cell r="N501">
            <v>750</v>
          </cell>
          <cell r="O501">
            <v>750</v>
          </cell>
        </row>
        <row r="502">
          <cell r="B502" t="str">
            <v>OTHER CLEARING CHARGES @ Rs.200</v>
          </cell>
          <cell r="C502">
            <v>18</v>
          </cell>
          <cell r="D502">
            <v>200</v>
          </cell>
          <cell r="E502">
            <v>200</v>
          </cell>
          <cell r="F502">
            <v>200</v>
          </cell>
          <cell r="G502">
            <v>200</v>
          </cell>
          <cell r="H502">
            <v>200</v>
          </cell>
          <cell r="I502">
            <v>200</v>
          </cell>
          <cell r="J502">
            <v>200</v>
          </cell>
          <cell r="K502">
            <v>200</v>
          </cell>
          <cell r="L502">
            <v>200</v>
          </cell>
          <cell r="M502">
            <v>200</v>
          </cell>
          <cell r="N502">
            <v>200</v>
          </cell>
          <cell r="O502">
            <v>200</v>
          </cell>
        </row>
        <row r="503">
          <cell r="B503" t="str">
            <v>DELIEVERY ORDER CHARGES @ Rs.600</v>
          </cell>
          <cell r="C503">
            <v>19</v>
          </cell>
          <cell r="D503">
            <v>600</v>
          </cell>
          <cell r="E503">
            <v>600</v>
          </cell>
          <cell r="F503">
            <v>600</v>
          </cell>
          <cell r="G503">
            <v>600</v>
          </cell>
          <cell r="H503">
            <v>600</v>
          </cell>
          <cell r="I503">
            <v>600</v>
          </cell>
          <cell r="J503">
            <v>600</v>
          </cell>
          <cell r="K503">
            <v>600</v>
          </cell>
          <cell r="L503">
            <v>600</v>
          </cell>
          <cell r="M503">
            <v>600</v>
          </cell>
          <cell r="N503">
            <v>600</v>
          </cell>
          <cell r="O503">
            <v>600</v>
          </cell>
        </row>
        <row r="504">
          <cell r="B504" t="str">
            <v>DEMURRAGE</v>
          </cell>
          <cell r="C504">
            <v>20</v>
          </cell>
          <cell r="D504">
            <v>0</v>
          </cell>
          <cell r="E504">
            <v>0</v>
          </cell>
          <cell r="F504">
            <v>0</v>
          </cell>
          <cell r="G504">
            <v>0</v>
          </cell>
          <cell r="H504">
            <v>0</v>
          </cell>
          <cell r="I504">
            <v>0</v>
          </cell>
          <cell r="J504">
            <v>0</v>
          </cell>
          <cell r="K504">
            <v>0</v>
          </cell>
          <cell r="L504">
            <v>0</v>
          </cell>
          <cell r="M504">
            <v>0</v>
          </cell>
          <cell r="N504">
            <v>0</v>
          </cell>
          <cell r="O504">
            <v>0</v>
          </cell>
        </row>
        <row r="505">
          <cell r="B505" t="str">
            <v>SHIFTING CHARGES          @ Rs. 500</v>
          </cell>
          <cell r="C505">
            <v>21</v>
          </cell>
          <cell r="D505">
            <v>500</v>
          </cell>
          <cell r="E505">
            <v>500</v>
          </cell>
          <cell r="F505">
            <v>500</v>
          </cell>
          <cell r="G505">
            <v>500</v>
          </cell>
          <cell r="H505">
            <v>500</v>
          </cell>
          <cell r="I505">
            <v>500</v>
          </cell>
          <cell r="J505">
            <v>500</v>
          </cell>
          <cell r="K505">
            <v>500</v>
          </cell>
          <cell r="L505">
            <v>500</v>
          </cell>
          <cell r="M505">
            <v>500</v>
          </cell>
          <cell r="N505">
            <v>500</v>
          </cell>
          <cell r="O505">
            <v>500</v>
          </cell>
        </row>
        <row r="506">
          <cell r="B506" t="str">
            <v>Total Landed Cost excluding presumptive tax</v>
          </cell>
          <cell r="C506" t="str">
            <v>A</v>
          </cell>
          <cell r="D506">
            <v>3300524.2478763433</v>
          </cell>
          <cell r="E506">
            <v>3300524.2478763433</v>
          </cell>
          <cell r="F506">
            <v>3300524.2478763433</v>
          </cell>
          <cell r="G506">
            <v>3300524.2478763433</v>
          </cell>
          <cell r="H506">
            <v>3300524.2478763433</v>
          </cell>
          <cell r="I506">
            <v>3300524.2478763433</v>
          </cell>
          <cell r="J506">
            <v>3300524.2478763433</v>
          </cell>
          <cell r="K506">
            <v>3300524.2478763433</v>
          </cell>
          <cell r="L506">
            <v>3300524.2478763433</v>
          </cell>
          <cell r="M506">
            <v>3300524.2478763433</v>
          </cell>
          <cell r="N506">
            <v>3300524.2478763433</v>
          </cell>
          <cell r="O506">
            <v>3300524.2478763433</v>
          </cell>
        </row>
        <row r="507">
          <cell r="D507">
            <v>1.8552985926008634</v>
          </cell>
          <cell r="E507">
            <v>1.8552985926008634</v>
          </cell>
          <cell r="F507">
            <v>1.8552985926008634</v>
          </cell>
          <cell r="G507">
            <v>1.8552985926008634</v>
          </cell>
          <cell r="H507">
            <v>1.8552985926008634</v>
          </cell>
          <cell r="I507">
            <v>1.8552985926008634</v>
          </cell>
          <cell r="J507">
            <v>1.8552985926008634</v>
          </cell>
          <cell r="K507">
            <v>1.8552985926008634</v>
          </cell>
          <cell r="L507">
            <v>1.8552985926008634</v>
          </cell>
          <cell r="M507">
            <v>1.8552985926008634</v>
          </cell>
          <cell r="N507">
            <v>1.8552985926008634</v>
          </cell>
          <cell r="O507">
            <v>1.8552985926008634</v>
          </cell>
        </row>
        <row r="509">
          <cell r="B509" t="str">
            <v>Presumptive tax</v>
          </cell>
          <cell r="D509">
            <v>165797.98447472</v>
          </cell>
          <cell r="E509">
            <v>165797.98447472</v>
          </cell>
          <cell r="F509">
            <v>165797.98447472</v>
          </cell>
          <cell r="G509">
            <v>165797.98447472</v>
          </cell>
          <cell r="H509">
            <v>165797.98447472</v>
          </cell>
          <cell r="I509">
            <v>165797.98447472</v>
          </cell>
          <cell r="J509">
            <v>165797.98447472</v>
          </cell>
          <cell r="K509">
            <v>165797.98447472</v>
          </cell>
          <cell r="L509">
            <v>165797.98447472</v>
          </cell>
          <cell r="M509">
            <v>165797.98447472</v>
          </cell>
          <cell r="N509">
            <v>165797.98447472</v>
          </cell>
          <cell r="O509">
            <v>165797.98447472</v>
          </cell>
        </row>
        <row r="510">
          <cell r="B510" t="str">
            <v>Tax U/S 50 (4) @ 3.5%</v>
          </cell>
          <cell r="D510">
            <v>0</v>
          </cell>
          <cell r="E510">
            <v>0</v>
          </cell>
          <cell r="F510">
            <v>0</v>
          </cell>
          <cell r="G510">
            <v>0</v>
          </cell>
          <cell r="H510">
            <v>0</v>
          </cell>
          <cell r="I510">
            <v>0</v>
          </cell>
          <cell r="J510">
            <v>0</v>
          </cell>
          <cell r="K510">
            <v>0</v>
          </cell>
          <cell r="L510">
            <v>0</v>
          </cell>
          <cell r="M510">
            <v>0</v>
          </cell>
          <cell r="N510">
            <v>0</v>
          </cell>
          <cell r="O510">
            <v>0</v>
          </cell>
        </row>
        <row r="511">
          <cell r="D511">
            <v>165797.98447472</v>
          </cell>
          <cell r="E511">
            <v>165797.98447472</v>
          </cell>
          <cell r="F511">
            <v>165797.98447472</v>
          </cell>
          <cell r="G511">
            <v>165797.98447472</v>
          </cell>
          <cell r="H511">
            <v>165797.98447472</v>
          </cell>
          <cell r="I511">
            <v>165797.98447472</v>
          </cell>
          <cell r="J511">
            <v>165797.98447472</v>
          </cell>
          <cell r="K511">
            <v>165797.98447472</v>
          </cell>
          <cell r="L511">
            <v>165797.98447472</v>
          </cell>
          <cell r="M511">
            <v>165797.98447472</v>
          </cell>
          <cell r="N511">
            <v>165797.98447472</v>
          </cell>
          <cell r="O511">
            <v>165797.98447472</v>
          </cell>
        </row>
        <row r="514">
          <cell r="B514" t="str">
            <v>Existing selling price</v>
          </cell>
        </row>
        <row r="515">
          <cell r="B515" t="str">
            <v>Landed cost</v>
          </cell>
          <cell r="D515">
            <v>3466322.2323510633</v>
          </cell>
          <cell r="E515">
            <v>3466322.2323510633</v>
          </cell>
          <cell r="F515">
            <v>3466322.2323510633</v>
          </cell>
          <cell r="G515">
            <v>3466322.2323510633</v>
          </cell>
          <cell r="H515">
            <v>3466322.2323510633</v>
          </cell>
          <cell r="I515">
            <v>3466322.2323510633</v>
          </cell>
          <cell r="J515">
            <v>3466322.2323510633</v>
          </cell>
          <cell r="K515">
            <v>3466322.2323510633</v>
          </cell>
          <cell r="L515">
            <v>3466322.2323510633</v>
          </cell>
          <cell r="M515">
            <v>3466322.2323510633</v>
          </cell>
          <cell r="N515">
            <v>3466322.2323510633</v>
          </cell>
          <cell r="O515">
            <v>3466322.2323510633</v>
          </cell>
        </row>
        <row r="516">
          <cell r="B516" t="str">
            <v>Distributor Mark-up.</v>
          </cell>
          <cell r="D516">
            <v>60000</v>
          </cell>
          <cell r="E516">
            <v>60000</v>
          </cell>
          <cell r="F516">
            <v>60000</v>
          </cell>
          <cell r="G516">
            <v>60000</v>
          </cell>
          <cell r="H516">
            <v>60000</v>
          </cell>
          <cell r="I516">
            <v>60000</v>
          </cell>
          <cell r="J516">
            <v>60000</v>
          </cell>
          <cell r="K516">
            <v>60000</v>
          </cell>
          <cell r="L516">
            <v>60000</v>
          </cell>
          <cell r="M516">
            <v>60000</v>
          </cell>
          <cell r="N516">
            <v>60000</v>
          </cell>
          <cell r="O516">
            <v>60000</v>
          </cell>
        </row>
        <row r="517">
          <cell r="B517" t="str">
            <v>Income  Tax 3.5%</v>
          </cell>
          <cell r="D517">
            <v>0</v>
          </cell>
          <cell r="E517">
            <v>0</v>
          </cell>
          <cell r="F517">
            <v>0</v>
          </cell>
          <cell r="G517">
            <v>0</v>
          </cell>
          <cell r="H517">
            <v>0</v>
          </cell>
          <cell r="I517">
            <v>0</v>
          </cell>
          <cell r="J517">
            <v>0</v>
          </cell>
          <cell r="K517">
            <v>0</v>
          </cell>
          <cell r="L517">
            <v>0</v>
          </cell>
          <cell r="M517">
            <v>0</v>
          </cell>
          <cell r="N517">
            <v>0</v>
          </cell>
          <cell r="O517">
            <v>0</v>
          </cell>
        </row>
        <row r="518">
          <cell r="B518" t="str">
            <v>Dealer commission</v>
          </cell>
          <cell r="D518">
            <v>30000</v>
          </cell>
          <cell r="E518">
            <v>30000</v>
          </cell>
          <cell r="F518">
            <v>30000</v>
          </cell>
          <cell r="G518">
            <v>30000</v>
          </cell>
          <cell r="H518">
            <v>30000</v>
          </cell>
          <cell r="I518">
            <v>30000</v>
          </cell>
          <cell r="J518">
            <v>30000</v>
          </cell>
          <cell r="K518">
            <v>30000</v>
          </cell>
          <cell r="L518">
            <v>30000</v>
          </cell>
          <cell r="M518">
            <v>30000</v>
          </cell>
          <cell r="N518">
            <v>30000</v>
          </cell>
          <cell r="O518">
            <v>30000</v>
          </cell>
        </row>
        <row r="519">
          <cell r="D519">
            <v>3556322.2323510633</v>
          </cell>
          <cell r="E519">
            <v>3556322.2323510633</v>
          </cell>
          <cell r="F519">
            <v>3556322.2323510633</v>
          </cell>
          <cell r="G519">
            <v>3556322.2323510633</v>
          </cell>
          <cell r="H519">
            <v>3556322.2323510633</v>
          </cell>
          <cell r="I519">
            <v>3556322.2323510633</v>
          </cell>
          <cell r="J519">
            <v>3556322.2323510633</v>
          </cell>
          <cell r="K519">
            <v>3556322.2323510633</v>
          </cell>
          <cell r="L519">
            <v>3556322.2323510633</v>
          </cell>
          <cell r="M519">
            <v>3556322.2323510633</v>
          </cell>
          <cell r="N519">
            <v>3556322.2323510633</v>
          </cell>
          <cell r="O519">
            <v>3556322.2323510633</v>
          </cell>
        </row>
        <row r="520">
          <cell r="B520" t="str">
            <v>Sales tax</v>
          </cell>
          <cell r="D520">
            <v>533448.33485265949</v>
          </cell>
          <cell r="E520">
            <v>533448.33485265949</v>
          </cell>
          <cell r="F520">
            <v>533448.33485265949</v>
          </cell>
          <cell r="G520">
            <v>533448.33485265949</v>
          </cell>
          <cell r="H520">
            <v>533448.33485265949</v>
          </cell>
          <cell r="I520">
            <v>533448.33485265949</v>
          </cell>
          <cell r="J520">
            <v>533448.33485265949</v>
          </cell>
          <cell r="K520">
            <v>533448.33485265949</v>
          </cell>
          <cell r="L520">
            <v>533448.33485265949</v>
          </cell>
          <cell r="M520">
            <v>533448.33485265949</v>
          </cell>
          <cell r="N520">
            <v>533448.33485265949</v>
          </cell>
          <cell r="O520">
            <v>533448.33485265949</v>
          </cell>
        </row>
        <row r="521">
          <cell r="B521" t="str">
            <v>Selling price taken in budget</v>
          </cell>
          <cell r="D521">
            <v>4089770.5672037229</v>
          </cell>
          <cell r="E521">
            <v>4089770.5672037229</v>
          </cell>
          <cell r="F521">
            <v>4089770.5672037229</v>
          </cell>
          <cell r="G521">
            <v>4089770.5672037229</v>
          </cell>
          <cell r="H521">
            <v>4089770.5672037229</v>
          </cell>
          <cell r="I521">
            <v>4089770.5672037229</v>
          </cell>
          <cell r="J521">
            <v>4089770.5672037229</v>
          </cell>
          <cell r="K521">
            <v>4089770.5672037229</v>
          </cell>
          <cell r="L521">
            <v>4089770.5672037229</v>
          </cell>
          <cell r="M521">
            <v>4089770.5672037229</v>
          </cell>
          <cell r="N521">
            <v>4089770.5672037229</v>
          </cell>
          <cell r="O521">
            <v>4089770.5672037229</v>
          </cell>
        </row>
        <row r="522">
          <cell r="B522" t="str">
            <v>Selling price as per sales price list</v>
          </cell>
          <cell r="D522">
            <v>4420000</v>
          </cell>
          <cell r="E522">
            <v>4420000</v>
          </cell>
          <cell r="F522">
            <v>4420000</v>
          </cell>
          <cell r="G522">
            <v>4420000</v>
          </cell>
          <cell r="H522">
            <v>4420000</v>
          </cell>
          <cell r="I522">
            <v>4420000</v>
          </cell>
          <cell r="J522">
            <v>4420000</v>
          </cell>
          <cell r="K522">
            <v>4420000</v>
          </cell>
          <cell r="L522">
            <v>4420000</v>
          </cell>
          <cell r="M522">
            <v>4420000</v>
          </cell>
          <cell r="N522">
            <v>4420000</v>
          </cell>
          <cell r="O522">
            <v>4420000</v>
          </cell>
        </row>
        <row r="524">
          <cell r="B524" t="str">
            <v>Units sold</v>
          </cell>
          <cell r="D524">
            <v>0</v>
          </cell>
          <cell r="E524">
            <v>0</v>
          </cell>
          <cell r="F524">
            <v>0</v>
          </cell>
          <cell r="G524">
            <v>0</v>
          </cell>
          <cell r="H524">
            <v>0</v>
          </cell>
          <cell r="I524">
            <v>0</v>
          </cell>
          <cell r="J524">
            <v>1</v>
          </cell>
          <cell r="K524">
            <v>0</v>
          </cell>
          <cell r="L524">
            <v>0</v>
          </cell>
          <cell r="M524">
            <v>0</v>
          </cell>
          <cell r="N524">
            <v>0</v>
          </cell>
          <cell r="O524">
            <v>1</v>
          </cell>
        </row>
        <row r="525">
          <cell r="D525">
            <v>0</v>
          </cell>
          <cell r="E525">
            <v>0</v>
          </cell>
          <cell r="F525">
            <v>0</v>
          </cell>
          <cell r="G525">
            <v>0</v>
          </cell>
          <cell r="H525">
            <v>0</v>
          </cell>
          <cell r="I525">
            <v>0</v>
          </cell>
          <cell r="J525">
            <v>1778972</v>
          </cell>
          <cell r="K525">
            <v>0</v>
          </cell>
          <cell r="L525">
            <v>0</v>
          </cell>
          <cell r="M525">
            <v>0</v>
          </cell>
          <cell r="N525">
            <v>0</v>
          </cell>
          <cell r="O525">
            <v>1778972</v>
          </cell>
          <cell r="P525">
            <v>3557944</v>
          </cell>
        </row>
        <row r="526">
          <cell r="B526" t="str">
            <v xml:space="preserve">Working </v>
          </cell>
        </row>
        <row r="527">
          <cell r="B527" t="str">
            <v xml:space="preserve">Sales </v>
          </cell>
          <cell r="D527">
            <v>0</v>
          </cell>
          <cell r="E527">
            <v>0</v>
          </cell>
          <cell r="F527">
            <v>0</v>
          </cell>
          <cell r="G527">
            <v>0</v>
          </cell>
          <cell r="H527">
            <v>0</v>
          </cell>
          <cell r="I527">
            <v>0</v>
          </cell>
          <cell r="J527">
            <v>4089770.5672037229</v>
          </cell>
          <cell r="K527">
            <v>0</v>
          </cell>
          <cell r="L527">
            <v>0</v>
          </cell>
          <cell r="M527">
            <v>0</v>
          </cell>
          <cell r="N527">
            <v>0</v>
          </cell>
          <cell r="O527">
            <v>4089770.5672037229</v>
          </cell>
        </row>
        <row r="528">
          <cell r="B528" t="str">
            <v>Sales tax</v>
          </cell>
          <cell r="D528">
            <v>533448.33485265949</v>
          </cell>
          <cell r="E528">
            <v>533448.33485265949</v>
          </cell>
          <cell r="F528">
            <v>533448.33485265949</v>
          </cell>
          <cell r="G528">
            <v>533448.33485265949</v>
          </cell>
          <cell r="H528">
            <v>533448.33485265949</v>
          </cell>
          <cell r="I528">
            <v>533448.33485265949</v>
          </cell>
          <cell r="J528">
            <v>533448.33485265949</v>
          </cell>
          <cell r="K528">
            <v>533448.33485265949</v>
          </cell>
          <cell r="L528">
            <v>533448.33485265949</v>
          </cell>
          <cell r="M528">
            <v>533448.33485265949</v>
          </cell>
          <cell r="N528">
            <v>533448.33485265949</v>
          </cell>
          <cell r="O528">
            <v>533448.33485265949</v>
          </cell>
        </row>
        <row r="529">
          <cell r="B529" t="str">
            <v>Cost of Sales - Per unit</v>
          </cell>
          <cell r="D529">
            <v>3300524.2478763433</v>
          </cell>
          <cell r="E529">
            <v>3300524.2478763433</v>
          </cell>
          <cell r="F529">
            <v>3300524.2478763433</v>
          </cell>
          <cell r="G529">
            <v>3300524.2478763433</v>
          </cell>
          <cell r="H529">
            <v>3300524.2478763433</v>
          </cell>
          <cell r="I529">
            <v>3300524.2478763433</v>
          </cell>
          <cell r="J529">
            <v>3300524.2478763433</v>
          </cell>
          <cell r="K529">
            <v>3300524.2478763433</v>
          </cell>
          <cell r="L529">
            <v>3300524.2478763433</v>
          </cell>
          <cell r="M529">
            <v>3300524.2478763433</v>
          </cell>
          <cell r="N529">
            <v>3300524.2478763433</v>
          </cell>
          <cell r="O529">
            <v>3300524.2478763433</v>
          </cell>
        </row>
        <row r="530">
          <cell r="B530" t="str">
            <v>Cost of Sales - Total</v>
          </cell>
          <cell r="D530">
            <v>0</v>
          </cell>
          <cell r="E530">
            <v>0</v>
          </cell>
          <cell r="F530">
            <v>0</v>
          </cell>
          <cell r="G530">
            <v>0</v>
          </cell>
          <cell r="H530">
            <v>0</v>
          </cell>
          <cell r="I530">
            <v>0</v>
          </cell>
          <cell r="J530">
            <v>3300524.2478763433</v>
          </cell>
          <cell r="K530">
            <v>0</v>
          </cell>
          <cell r="L530">
            <v>0</v>
          </cell>
          <cell r="M530">
            <v>0</v>
          </cell>
          <cell r="N530">
            <v>0</v>
          </cell>
          <cell r="O530">
            <v>3300524.2478763433</v>
          </cell>
        </row>
        <row r="531">
          <cell r="B531" t="str">
            <v>Presumptive Tax - Per unit</v>
          </cell>
          <cell r="D531">
            <v>165797.98447472</v>
          </cell>
          <cell r="E531">
            <v>165797.98447472</v>
          </cell>
          <cell r="F531">
            <v>165797.98447472</v>
          </cell>
          <cell r="G531">
            <v>165797.98447472</v>
          </cell>
          <cell r="H531">
            <v>165797.98447472</v>
          </cell>
          <cell r="I531">
            <v>165797.98447472</v>
          </cell>
          <cell r="J531">
            <v>165797.98447472</v>
          </cell>
          <cell r="K531">
            <v>165797.98447472</v>
          </cell>
          <cell r="L531">
            <v>165797.98447472</v>
          </cell>
          <cell r="M531">
            <v>165797.98447472</v>
          </cell>
          <cell r="N531">
            <v>165797.98447472</v>
          </cell>
          <cell r="O531">
            <v>165797.98447472</v>
          </cell>
        </row>
        <row r="532">
          <cell r="B532" t="str">
            <v>Presumptive Tax - Total</v>
          </cell>
          <cell r="D532">
            <v>0</v>
          </cell>
          <cell r="E532">
            <v>0</v>
          </cell>
          <cell r="F532">
            <v>0</v>
          </cell>
          <cell r="G532">
            <v>0</v>
          </cell>
          <cell r="H532">
            <v>0</v>
          </cell>
          <cell r="I532">
            <v>0</v>
          </cell>
          <cell r="J532">
            <v>165797.98447472</v>
          </cell>
          <cell r="K532">
            <v>0</v>
          </cell>
          <cell r="L532">
            <v>0</v>
          </cell>
          <cell r="M532">
            <v>0</v>
          </cell>
          <cell r="N532">
            <v>0</v>
          </cell>
          <cell r="O532">
            <v>165797.98447472</v>
          </cell>
        </row>
      </sheetData>
      <sheetData sheetId="14">
        <row r="31">
          <cell r="C31" t="str">
            <v xml:space="preserve">           Govt. levies</v>
          </cell>
          <cell r="E31">
            <v>10018.28215462092</v>
          </cell>
          <cell r="F31">
            <v>10018.28215462092</v>
          </cell>
          <cell r="G31">
            <v>10018.28215462092</v>
          </cell>
          <cell r="H31">
            <v>11273.206497094026</v>
          </cell>
          <cell r="I31">
            <v>7750.3294667521423</v>
          </cell>
          <cell r="J31">
            <v>7750.3294667521423</v>
          </cell>
          <cell r="K31">
            <v>10568.631091025649</v>
          </cell>
          <cell r="L31">
            <v>8454.9048728205198</v>
          </cell>
          <cell r="M31">
            <v>7045.7540606837665</v>
          </cell>
          <cell r="N31">
            <v>6341.178654615389</v>
          </cell>
          <cell r="O31">
            <v>7045.7540606837665</v>
          </cell>
          <cell r="P31">
            <v>7045.7540606837665</v>
          </cell>
          <cell r="Q31">
            <v>103330.68869497394</v>
          </cell>
        </row>
        <row r="32">
          <cell r="E32">
            <v>36560.508410620925</v>
          </cell>
          <cell r="F32">
            <v>36560.508410620925</v>
          </cell>
          <cell r="G32">
            <v>36560.508410620925</v>
          </cell>
          <cell r="H32">
            <v>41136.917111494025</v>
          </cell>
          <cell r="I32">
            <v>28281.630514152144</v>
          </cell>
          <cell r="J32">
            <v>28281.630514152144</v>
          </cell>
          <cell r="K32">
            <v>38565.859792025651</v>
          </cell>
          <cell r="L32">
            <v>30852.687833620523</v>
          </cell>
          <cell r="M32">
            <v>25710.57319468377</v>
          </cell>
          <cell r="N32">
            <v>23139.515875215391</v>
          </cell>
          <cell r="O32">
            <v>25710.57319468377</v>
          </cell>
          <cell r="P32">
            <v>25710.57319468377</v>
          </cell>
          <cell r="Q32">
            <v>377071.48645657394</v>
          </cell>
        </row>
        <row r="33">
          <cell r="C33" t="str">
            <v>XE G - Document Ret.</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 xml:space="preserve">           Govt. levies</v>
          </cell>
          <cell r="E34">
            <v>0</v>
          </cell>
          <cell r="F34">
            <v>0</v>
          </cell>
          <cell r="G34">
            <v>0</v>
          </cell>
          <cell r="H34">
            <v>0</v>
          </cell>
          <cell r="I34">
            <v>0</v>
          </cell>
          <cell r="J34">
            <v>0</v>
          </cell>
          <cell r="K34">
            <v>0</v>
          </cell>
          <cell r="L34">
            <v>0</v>
          </cell>
          <cell r="M34">
            <v>0</v>
          </cell>
          <cell r="N34">
            <v>0</v>
          </cell>
          <cell r="O34">
            <v>0</v>
          </cell>
          <cell r="P34">
            <v>0</v>
          </cell>
          <cell r="Q34">
            <v>0</v>
          </cell>
        </row>
        <row r="35">
          <cell r="E35">
            <v>0</v>
          </cell>
          <cell r="F35">
            <v>0</v>
          </cell>
          <cell r="G35">
            <v>0</v>
          </cell>
          <cell r="H35">
            <v>0</v>
          </cell>
          <cell r="I35">
            <v>0</v>
          </cell>
          <cell r="J35">
            <v>0</v>
          </cell>
          <cell r="K35">
            <v>0</v>
          </cell>
          <cell r="L35">
            <v>0</v>
          </cell>
          <cell r="M35">
            <v>0</v>
          </cell>
          <cell r="N35">
            <v>0</v>
          </cell>
          <cell r="O35">
            <v>0</v>
          </cell>
          <cell r="P35">
            <v>0</v>
          </cell>
          <cell r="Q35">
            <v>0</v>
          </cell>
        </row>
        <row r="36">
          <cell r="C36" t="str">
            <v>GL - Document Ret.</v>
          </cell>
          <cell r="E36">
            <v>20570.015372400005</v>
          </cell>
          <cell r="F36">
            <v>20570.015372400005</v>
          </cell>
          <cell r="G36">
            <v>20570.015372400005</v>
          </cell>
          <cell r="H36">
            <v>22502.445498000005</v>
          </cell>
          <cell r="I36">
            <v>15751.711848600002</v>
          </cell>
          <cell r="J36">
            <v>15751.711848600002</v>
          </cell>
          <cell r="K36">
            <v>22502.445498000005</v>
          </cell>
          <cell r="L36">
            <v>18001.956398400001</v>
          </cell>
          <cell r="M36">
            <v>13501.467298800002</v>
          </cell>
          <cell r="N36">
            <v>15751.711848600002</v>
          </cell>
          <cell r="O36">
            <v>15751.711848600002</v>
          </cell>
          <cell r="P36">
            <v>15751.711848600002</v>
          </cell>
          <cell r="Q36">
            <v>216976.92005340007</v>
          </cell>
        </row>
        <row r="37">
          <cell r="C37" t="str">
            <v xml:space="preserve">           Govt. levies</v>
          </cell>
          <cell r="E37">
            <v>7754.8399688031404</v>
          </cell>
          <cell r="F37">
            <v>7754.8399688031404</v>
          </cell>
          <cell r="G37">
            <v>7754.8399688031404</v>
          </cell>
          <cell r="H37">
            <v>8484.1334002636049</v>
          </cell>
          <cell r="I37">
            <v>5938.8933801845242</v>
          </cell>
          <cell r="J37">
            <v>5938.8933801845242</v>
          </cell>
          <cell r="K37">
            <v>8484.1334002636049</v>
          </cell>
          <cell r="L37">
            <v>6787.3067202108841</v>
          </cell>
          <cell r="M37">
            <v>5090.4800401581624</v>
          </cell>
          <cell r="N37">
            <v>5938.8933801845242</v>
          </cell>
          <cell r="O37">
            <v>5938.8933801845242</v>
          </cell>
          <cell r="P37">
            <v>5938.8933801845242</v>
          </cell>
          <cell r="Q37">
            <v>81805.040368228307</v>
          </cell>
        </row>
        <row r="38">
          <cell r="E38">
            <v>28324.855341203147</v>
          </cell>
          <cell r="F38">
            <v>28324.855341203147</v>
          </cell>
          <cell r="G38">
            <v>28324.855341203147</v>
          </cell>
          <cell r="H38">
            <v>30986.578898263608</v>
          </cell>
          <cell r="I38">
            <v>21690.605228784527</v>
          </cell>
          <cell r="J38">
            <v>21690.605228784527</v>
          </cell>
          <cell r="K38">
            <v>30986.578898263608</v>
          </cell>
          <cell r="L38">
            <v>24789.263118610885</v>
          </cell>
          <cell r="M38">
            <v>18591.947338958165</v>
          </cell>
          <cell r="N38">
            <v>21690.605228784527</v>
          </cell>
          <cell r="O38">
            <v>21690.605228784527</v>
          </cell>
          <cell r="P38">
            <v>21690.605228784527</v>
          </cell>
          <cell r="Q38">
            <v>298781.96042162838</v>
          </cell>
        </row>
        <row r="39">
          <cell r="C39" t="str">
            <v>GLi - Document Ret.</v>
          </cell>
          <cell r="E39">
            <v>24863.557375800003</v>
          </cell>
          <cell r="F39">
            <v>27626.174862000003</v>
          </cell>
          <cell r="G39">
            <v>27626.174862000003</v>
          </cell>
          <cell r="H39">
            <v>29917.952664600005</v>
          </cell>
          <cell r="I39">
            <v>24478.324907400001</v>
          </cell>
          <cell r="J39">
            <v>21758.511028800003</v>
          </cell>
          <cell r="K39">
            <v>35357.580421800005</v>
          </cell>
          <cell r="L39">
            <v>27198.138786000003</v>
          </cell>
          <cell r="M39">
            <v>29917.952664600005</v>
          </cell>
          <cell r="N39">
            <v>35357.580421800005</v>
          </cell>
          <cell r="O39">
            <v>35357.580421800005</v>
          </cell>
          <cell r="P39">
            <v>35357.580421800005</v>
          </cell>
          <cell r="Q39">
            <v>354817.10883840011</v>
          </cell>
        </row>
        <row r="40">
          <cell r="C40" t="str">
            <v xml:space="preserve">           Govt. levies</v>
          </cell>
          <cell r="E40">
            <v>9364.1008831126182</v>
          </cell>
          <cell r="F40">
            <v>10404.556536791797</v>
          </cell>
          <cell r="G40">
            <v>10404.556536791797</v>
          </cell>
          <cell r="H40">
            <v>11268.536940171038</v>
          </cell>
          <cell r="I40">
            <v>9219.7120419581224</v>
          </cell>
          <cell r="J40">
            <v>8195.299592851663</v>
          </cell>
          <cell r="K40">
            <v>13317.361838383955</v>
          </cell>
          <cell r="L40">
            <v>10244.12449106458</v>
          </cell>
          <cell r="M40">
            <v>11268.536940171038</v>
          </cell>
          <cell r="N40">
            <v>13317.361838383955</v>
          </cell>
          <cell r="O40">
            <v>13317.361838383955</v>
          </cell>
          <cell r="P40">
            <v>13317.361838383955</v>
          </cell>
          <cell r="Q40">
            <v>133638.87131644844</v>
          </cell>
        </row>
        <row r="41">
          <cell r="E41">
            <v>34227.658258912619</v>
          </cell>
          <cell r="F41">
            <v>38030.731398791802</v>
          </cell>
          <cell r="G41">
            <v>38030.731398791802</v>
          </cell>
          <cell r="H41">
            <v>41186.489604771043</v>
          </cell>
          <cell r="I41">
            <v>33698.036949358124</v>
          </cell>
          <cell r="J41">
            <v>29953.810621651668</v>
          </cell>
          <cell r="K41">
            <v>48674.942260183961</v>
          </cell>
          <cell r="L41">
            <v>37442.263277064587</v>
          </cell>
          <cell r="M41">
            <v>41186.489604771043</v>
          </cell>
          <cell r="N41">
            <v>48674.942260183961</v>
          </cell>
          <cell r="O41">
            <v>48674.942260183961</v>
          </cell>
          <cell r="P41">
            <v>48674.942260183961</v>
          </cell>
          <cell r="Q41">
            <v>488455.9801548486</v>
          </cell>
        </row>
        <row r="42">
          <cell r="C42" t="str">
            <v>XE LTD</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 xml:space="preserve">           Govt. levies</v>
          </cell>
          <cell r="E43">
            <v>0</v>
          </cell>
          <cell r="F43">
            <v>0</v>
          </cell>
          <cell r="G43">
            <v>0</v>
          </cell>
          <cell r="H43">
            <v>0</v>
          </cell>
          <cell r="I43">
            <v>0</v>
          </cell>
          <cell r="J43">
            <v>0</v>
          </cell>
          <cell r="K43">
            <v>0</v>
          </cell>
          <cell r="L43">
            <v>0</v>
          </cell>
          <cell r="M43">
            <v>0</v>
          </cell>
          <cell r="N43">
            <v>0</v>
          </cell>
          <cell r="O43">
            <v>0</v>
          </cell>
          <cell r="P43">
            <v>0</v>
          </cell>
          <cell r="Q43">
            <v>0</v>
          </cell>
        </row>
        <row r="44">
          <cell r="E44">
            <v>0</v>
          </cell>
          <cell r="F44">
            <v>0</v>
          </cell>
          <cell r="G44">
            <v>0</v>
          </cell>
          <cell r="H44">
            <v>0</v>
          </cell>
          <cell r="I44">
            <v>0</v>
          </cell>
          <cell r="J44">
            <v>0</v>
          </cell>
          <cell r="K44">
            <v>0</v>
          </cell>
          <cell r="L44">
            <v>0</v>
          </cell>
          <cell r="M44">
            <v>0</v>
          </cell>
          <cell r="N44">
            <v>0</v>
          </cell>
          <cell r="O44">
            <v>0</v>
          </cell>
          <cell r="P44">
            <v>0</v>
          </cell>
          <cell r="Q44">
            <v>0</v>
          </cell>
        </row>
        <row r="45">
          <cell r="C45" t="str">
            <v>GLi -  A/T Document Ret.</v>
          </cell>
          <cell r="E45">
            <v>25673.555544000003</v>
          </cell>
          <cell r="F45">
            <v>28882.749987000003</v>
          </cell>
          <cell r="G45">
            <v>28882.749987000003</v>
          </cell>
          <cell r="H45">
            <v>28882.749987000003</v>
          </cell>
          <cell r="I45">
            <v>19255.166658000002</v>
          </cell>
          <cell r="J45">
            <v>22464.361101000002</v>
          </cell>
          <cell r="K45">
            <v>35301.138873000004</v>
          </cell>
          <cell r="L45">
            <v>28882.749987000003</v>
          </cell>
          <cell r="M45">
            <v>28882.749987000003</v>
          </cell>
          <cell r="N45">
            <v>35301.138873000004</v>
          </cell>
          <cell r="O45">
            <v>35301.138873000004</v>
          </cell>
          <cell r="P45">
            <v>35301.138873000004</v>
          </cell>
          <cell r="Q45">
            <v>353011.38873000001</v>
          </cell>
        </row>
        <row r="46">
          <cell r="C46" t="str">
            <v xml:space="preserve">           Govt. levies</v>
          </cell>
          <cell r="E46">
            <v>9662.6960014820925</v>
          </cell>
          <cell r="F46">
            <v>10870.533001667352</v>
          </cell>
          <cell r="G46">
            <v>10870.533001667352</v>
          </cell>
          <cell r="H46">
            <v>10870.533001667352</v>
          </cell>
          <cell r="I46">
            <v>7247.0220011115689</v>
          </cell>
          <cell r="J46">
            <v>8454.8590012968289</v>
          </cell>
          <cell r="K46">
            <v>13286.207002037876</v>
          </cell>
          <cell r="L46">
            <v>10870.533001667352</v>
          </cell>
          <cell r="M46">
            <v>10870.533001667352</v>
          </cell>
          <cell r="N46">
            <v>13286.207002037876</v>
          </cell>
          <cell r="O46">
            <v>13286.207002037876</v>
          </cell>
          <cell r="P46">
            <v>13286.207002037876</v>
          </cell>
          <cell r="Q46">
            <v>132862.07002037877</v>
          </cell>
        </row>
        <row r="47">
          <cell r="E47">
            <v>35336.251545482097</v>
          </cell>
          <cell r="F47">
            <v>39753.282988667357</v>
          </cell>
          <cell r="G47">
            <v>39753.282988667357</v>
          </cell>
          <cell r="H47">
            <v>39753.282988667357</v>
          </cell>
          <cell r="I47">
            <v>26502.188659111569</v>
          </cell>
          <cell r="J47">
            <v>30919.220102296829</v>
          </cell>
          <cell r="K47">
            <v>48587.345875037878</v>
          </cell>
          <cell r="L47">
            <v>39753.282988667357</v>
          </cell>
          <cell r="M47">
            <v>39753.282988667357</v>
          </cell>
          <cell r="N47">
            <v>48587.345875037878</v>
          </cell>
          <cell r="O47">
            <v>48587.345875037878</v>
          </cell>
          <cell r="P47">
            <v>48587.345875037878</v>
          </cell>
          <cell r="Q47">
            <v>485873.45875037886</v>
          </cell>
        </row>
        <row r="48">
          <cell r="C48" t="str">
            <v xml:space="preserve">20D SUNROOF </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 xml:space="preserve">           Govt. levies</v>
          </cell>
          <cell r="E49">
            <v>0</v>
          </cell>
          <cell r="F49">
            <v>0</v>
          </cell>
          <cell r="G49">
            <v>0</v>
          </cell>
          <cell r="H49">
            <v>0</v>
          </cell>
          <cell r="I49">
            <v>0</v>
          </cell>
          <cell r="J49">
            <v>0</v>
          </cell>
          <cell r="K49">
            <v>0</v>
          </cell>
          <cell r="L49">
            <v>0</v>
          </cell>
          <cell r="M49">
            <v>0</v>
          </cell>
          <cell r="N49">
            <v>0</v>
          </cell>
          <cell r="O49">
            <v>0</v>
          </cell>
          <cell r="P49">
            <v>0</v>
          </cell>
          <cell r="Q49">
            <v>0</v>
          </cell>
        </row>
        <row r="50">
          <cell r="E50">
            <v>0</v>
          </cell>
          <cell r="F50">
            <v>0</v>
          </cell>
          <cell r="G50">
            <v>0</v>
          </cell>
          <cell r="H50">
            <v>0</v>
          </cell>
          <cell r="I50">
            <v>0</v>
          </cell>
          <cell r="J50">
            <v>0</v>
          </cell>
          <cell r="K50">
            <v>0</v>
          </cell>
          <cell r="L50">
            <v>0</v>
          </cell>
          <cell r="M50">
            <v>0</v>
          </cell>
          <cell r="N50">
            <v>0</v>
          </cell>
          <cell r="O50">
            <v>0</v>
          </cell>
          <cell r="P50">
            <v>0</v>
          </cell>
          <cell r="Q50">
            <v>0</v>
          </cell>
        </row>
        <row r="51">
          <cell r="C51" t="str">
            <v>2.0 D - Document Ret.</v>
          </cell>
          <cell r="E51">
            <v>41344.851834000008</v>
          </cell>
          <cell r="F51">
            <v>46857.498745200006</v>
          </cell>
          <cell r="G51">
            <v>46857.498745200006</v>
          </cell>
          <cell r="H51">
            <v>48846.097450800007</v>
          </cell>
          <cell r="I51">
            <v>35277.737047800001</v>
          </cell>
          <cell r="J51">
            <v>35277.737047800001</v>
          </cell>
          <cell r="K51">
            <v>46132.425370200006</v>
          </cell>
          <cell r="L51">
            <v>32564.064967200004</v>
          </cell>
          <cell r="M51">
            <v>40705.081209000004</v>
          </cell>
          <cell r="N51">
            <v>43418.753289600005</v>
          </cell>
          <cell r="O51">
            <v>40705.081209000004</v>
          </cell>
          <cell r="P51">
            <v>43418.753289600005</v>
          </cell>
          <cell r="Q51">
            <v>501405.58020540013</v>
          </cell>
        </row>
        <row r="52">
          <cell r="C52" t="str">
            <v xml:space="preserve">           Govt. levies</v>
          </cell>
          <cell r="E52">
            <v>15571.448855440281</v>
          </cell>
          <cell r="F52">
            <v>17647.642036165649</v>
          </cell>
          <cell r="G52">
            <v>17647.642036165649</v>
          </cell>
          <cell r="H52">
            <v>18397.987992635699</v>
          </cell>
          <cell r="I52">
            <v>13287.435772459114</v>
          </cell>
          <cell r="J52">
            <v>13287.435772459114</v>
          </cell>
          <cell r="K52">
            <v>17375.87754860038</v>
          </cell>
          <cell r="L52">
            <v>12265.325328423798</v>
          </cell>
          <cell r="M52">
            <v>15331.656660529748</v>
          </cell>
          <cell r="N52">
            <v>16353.767104565064</v>
          </cell>
          <cell r="O52">
            <v>15331.656660529748</v>
          </cell>
          <cell r="P52">
            <v>16353.767104565064</v>
          </cell>
          <cell r="Q52">
            <v>188851.64287253929</v>
          </cell>
        </row>
        <row r="53">
          <cell r="E53">
            <v>56916.300689440293</v>
          </cell>
          <cell r="F53">
            <v>64505.140781365655</v>
          </cell>
          <cell r="G53">
            <v>64505.140781365655</v>
          </cell>
          <cell r="H53">
            <v>67244.085443435702</v>
          </cell>
          <cell r="I53">
            <v>48565.172820259118</v>
          </cell>
          <cell r="J53">
            <v>48565.172820259118</v>
          </cell>
          <cell r="K53">
            <v>63508.302918800386</v>
          </cell>
          <cell r="L53">
            <v>44829.390295623802</v>
          </cell>
          <cell r="M53">
            <v>56036.737869529752</v>
          </cell>
          <cell r="N53">
            <v>59772.520394165069</v>
          </cell>
          <cell r="O53">
            <v>56036.737869529752</v>
          </cell>
          <cell r="P53">
            <v>59772.520394165069</v>
          </cell>
          <cell r="Q53">
            <v>690257.22307793936</v>
          </cell>
        </row>
        <row r="54">
          <cell r="C54" t="str">
            <v>2.0 D G - Document Ret.</v>
          </cell>
          <cell r="E54">
            <v>66151.762934400002</v>
          </cell>
          <cell r="F54">
            <v>71664.409845600007</v>
          </cell>
          <cell r="G54">
            <v>71664.409845600007</v>
          </cell>
          <cell r="H54">
            <v>78696.490337399999</v>
          </cell>
          <cell r="I54">
            <v>54273.441612000002</v>
          </cell>
          <cell r="J54">
            <v>56987.113692600004</v>
          </cell>
          <cell r="K54">
            <v>73269.146176199996</v>
          </cell>
          <cell r="L54">
            <v>54273.441612000002</v>
          </cell>
          <cell r="M54">
            <v>65128.129934400007</v>
          </cell>
          <cell r="N54">
            <v>70555.474095600002</v>
          </cell>
          <cell r="O54">
            <v>67841.802015000008</v>
          </cell>
          <cell r="P54">
            <v>70555.474095600002</v>
          </cell>
          <cell r="Q54">
            <v>801061.0961964</v>
          </cell>
        </row>
        <row r="55">
          <cell r="C55" t="str">
            <v xml:space="preserve">           Govt. levies</v>
          </cell>
          <cell r="E55">
            <v>24914.318168704449</v>
          </cell>
          <cell r="F55">
            <v>26990.51134942982</v>
          </cell>
          <cell r="G55">
            <v>26990.51134942982</v>
          </cell>
          <cell r="H55">
            <v>29641.202877024178</v>
          </cell>
          <cell r="I55">
            <v>20442.20888070633</v>
          </cell>
          <cell r="J55">
            <v>21464.319324741646</v>
          </cell>
          <cell r="K55">
            <v>27596.981988953547</v>
          </cell>
          <cell r="L55">
            <v>20442.20888070633</v>
          </cell>
          <cell r="M55">
            <v>24530.650656847596</v>
          </cell>
          <cell r="N55">
            <v>26574.871544918227</v>
          </cell>
          <cell r="O55">
            <v>25552.761100882912</v>
          </cell>
          <cell r="P55">
            <v>26574.871544918227</v>
          </cell>
          <cell r="Q55">
            <v>301715.41766726307</v>
          </cell>
        </row>
        <row r="56">
          <cell r="E56">
            <v>91066.081103104458</v>
          </cell>
          <cell r="F56">
            <v>98654.921195029834</v>
          </cell>
          <cell r="G56">
            <v>98654.921195029834</v>
          </cell>
          <cell r="H56">
            <v>108337.69321442417</v>
          </cell>
          <cell r="I56">
            <v>74715.650492706336</v>
          </cell>
          <cell r="J56">
            <v>78451.433017341653</v>
          </cell>
          <cell r="K56">
            <v>100866.12816515354</v>
          </cell>
          <cell r="L56">
            <v>74715.650492706336</v>
          </cell>
          <cell r="M56">
            <v>89658.780591247603</v>
          </cell>
          <cell r="N56">
            <v>97130.345640518237</v>
          </cell>
          <cell r="O56">
            <v>93394.56311588292</v>
          </cell>
          <cell r="P56">
            <v>97130.345640518237</v>
          </cell>
          <cell r="Q56">
            <v>1102776.5138636632</v>
          </cell>
        </row>
        <row r="57">
          <cell r="C57" t="str">
            <v>2.0 D G Ltd - Document Ret.</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 xml:space="preserve">           Govt. levies</v>
          </cell>
          <cell r="E58">
            <v>0</v>
          </cell>
          <cell r="F58">
            <v>0</v>
          </cell>
          <cell r="G58">
            <v>0</v>
          </cell>
          <cell r="H58">
            <v>0</v>
          </cell>
          <cell r="I58">
            <v>0</v>
          </cell>
          <cell r="J58">
            <v>0</v>
          </cell>
          <cell r="K58">
            <v>0</v>
          </cell>
          <cell r="L58">
            <v>0</v>
          </cell>
          <cell r="M58">
            <v>0</v>
          </cell>
          <cell r="N58">
            <v>0</v>
          </cell>
          <cell r="O58">
            <v>0</v>
          </cell>
          <cell r="P58">
            <v>0</v>
          </cell>
          <cell r="Q58">
            <v>0</v>
          </cell>
        </row>
        <row r="59">
          <cell r="E59">
            <v>0</v>
          </cell>
          <cell r="F59">
            <v>0</v>
          </cell>
          <cell r="G59">
            <v>0</v>
          </cell>
          <cell r="H59">
            <v>0</v>
          </cell>
          <cell r="I59">
            <v>0</v>
          </cell>
          <cell r="J59">
            <v>0</v>
          </cell>
          <cell r="K59">
            <v>0</v>
          </cell>
          <cell r="L59">
            <v>0</v>
          </cell>
          <cell r="M59">
            <v>0</v>
          </cell>
          <cell r="N59">
            <v>0</v>
          </cell>
          <cell r="O59">
            <v>0</v>
          </cell>
          <cell r="P59">
            <v>0</v>
          </cell>
          <cell r="Q59">
            <v>0</v>
          </cell>
        </row>
        <row r="60">
          <cell r="C60" t="str">
            <v>2.0 D SE - Document Ret.</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 xml:space="preserve">           Govt. levies</v>
          </cell>
          <cell r="E61">
            <v>0</v>
          </cell>
          <cell r="F61">
            <v>0</v>
          </cell>
          <cell r="G61">
            <v>0</v>
          </cell>
          <cell r="H61">
            <v>0</v>
          </cell>
          <cell r="I61">
            <v>0</v>
          </cell>
          <cell r="J61">
            <v>0</v>
          </cell>
          <cell r="K61">
            <v>0</v>
          </cell>
          <cell r="L61">
            <v>0</v>
          </cell>
          <cell r="M61">
            <v>0</v>
          </cell>
          <cell r="N61">
            <v>0</v>
          </cell>
          <cell r="O61">
            <v>0</v>
          </cell>
          <cell r="P61">
            <v>0</v>
          </cell>
          <cell r="Q61">
            <v>0</v>
          </cell>
        </row>
        <row r="62">
          <cell r="E62">
            <v>0</v>
          </cell>
          <cell r="F62">
            <v>0</v>
          </cell>
          <cell r="G62">
            <v>0</v>
          </cell>
          <cell r="H62">
            <v>0</v>
          </cell>
          <cell r="I62">
            <v>0</v>
          </cell>
          <cell r="J62">
            <v>0</v>
          </cell>
          <cell r="K62">
            <v>0</v>
          </cell>
          <cell r="L62">
            <v>0</v>
          </cell>
          <cell r="M62">
            <v>0</v>
          </cell>
          <cell r="N62">
            <v>0</v>
          </cell>
          <cell r="O62">
            <v>0</v>
          </cell>
          <cell r="P62">
            <v>0</v>
          </cell>
          <cell r="Q62">
            <v>0</v>
          </cell>
        </row>
        <row r="63">
          <cell r="C63" t="str">
            <v>HILUX 4 X 2- Doc, Ret.</v>
          </cell>
          <cell r="E63">
            <v>19030.137478560006</v>
          </cell>
          <cell r="F63">
            <v>18656.997528000004</v>
          </cell>
          <cell r="G63">
            <v>16418.157824640002</v>
          </cell>
          <cell r="H63">
            <v>20522.697280800003</v>
          </cell>
          <cell r="I63">
            <v>36567.71515488001</v>
          </cell>
          <cell r="J63">
            <v>8582.2188628800031</v>
          </cell>
          <cell r="K63">
            <v>37313.995056000007</v>
          </cell>
          <cell r="L63">
            <v>19403.277429120004</v>
          </cell>
          <cell r="M63">
            <v>104479.18615680002</v>
          </cell>
          <cell r="N63">
            <v>44776.794067200011</v>
          </cell>
          <cell r="O63">
            <v>44776.794067200011</v>
          </cell>
          <cell r="P63">
            <v>47761.913671680013</v>
          </cell>
          <cell r="Q63">
            <v>418289.88457776012</v>
          </cell>
        </row>
        <row r="64">
          <cell r="C64" t="str">
            <v xml:space="preserve">           Govt. levies</v>
          </cell>
          <cell r="E64">
            <v>4253.8877733930121</v>
          </cell>
          <cell r="F64">
            <v>4170.4782092088362</v>
          </cell>
          <cell r="G64">
            <v>3670.0208241037758</v>
          </cell>
          <cell r="H64">
            <v>4587.5260301297194</v>
          </cell>
          <cell r="I64">
            <v>8174.1372900493179</v>
          </cell>
          <cell r="J64">
            <v>1918.4199762360647</v>
          </cell>
          <cell r="K64">
            <v>8340.9564184176725</v>
          </cell>
          <cell r="L64">
            <v>4337.297337577189</v>
          </cell>
          <cell r="M64">
            <v>23354.677971569483</v>
          </cell>
          <cell r="N64">
            <v>10009.147702101207</v>
          </cell>
          <cell r="O64">
            <v>10009.147702101207</v>
          </cell>
          <cell r="P64">
            <v>10676.42421557462</v>
          </cell>
          <cell r="Q64">
            <v>93502.121450462117</v>
          </cell>
        </row>
        <row r="65">
          <cell r="E65">
            <v>23284.025251953019</v>
          </cell>
          <cell r="F65">
            <v>22827.475737208839</v>
          </cell>
          <cell r="G65">
            <v>20088.178648743778</v>
          </cell>
          <cell r="H65">
            <v>25110.223310929723</v>
          </cell>
          <cell r="I65">
            <v>44741.852444929325</v>
          </cell>
          <cell r="J65">
            <v>10500.638839116067</v>
          </cell>
          <cell r="K65">
            <v>45654.951474417678</v>
          </cell>
          <cell r="L65">
            <v>23740.574766697195</v>
          </cell>
          <cell r="M65">
            <v>127833.8641283695</v>
          </cell>
          <cell r="N65">
            <v>54785.941769301222</v>
          </cell>
          <cell r="O65">
            <v>54785.941769301222</v>
          </cell>
          <cell r="P65">
            <v>58438.337887254631</v>
          </cell>
          <cell r="Q65">
            <v>511792.00602822215</v>
          </cell>
        </row>
        <row r="66">
          <cell r="C66" t="str">
            <v>HILUX 4 X 4- Doc, Ret.</v>
          </cell>
          <cell r="E66">
            <v>25657.391310720002</v>
          </cell>
          <cell r="F66">
            <v>70650.787667200013</v>
          </cell>
          <cell r="G66">
            <v>84409.098949760024</v>
          </cell>
          <cell r="H66">
            <v>98539.256483200021</v>
          </cell>
          <cell r="I66">
            <v>41646.780098560004</v>
          </cell>
          <cell r="J66">
            <v>77344.020183040004</v>
          </cell>
          <cell r="K66">
            <v>81806.175193600007</v>
          </cell>
          <cell r="L66">
            <v>69907.095165440012</v>
          </cell>
          <cell r="M66">
            <v>0</v>
          </cell>
          <cell r="N66">
            <v>0</v>
          </cell>
          <cell r="O66">
            <v>0</v>
          </cell>
          <cell r="P66">
            <v>0</v>
          </cell>
          <cell r="Q66">
            <v>549960.60505152016</v>
          </cell>
        </row>
        <row r="67">
          <cell r="C67" t="str">
            <v xml:space="preserve">           Govt. levies</v>
          </cell>
          <cell r="E67">
            <v>5755.2599287081939</v>
          </cell>
          <cell r="F67">
            <v>15847.817194993579</v>
          </cell>
          <cell r="G67">
            <v>18933.971069808114</v>
          </cell>
          <cell r="H67">
            <v>22103.534508806832</v>
          </cell>
          <cell r="I67">
            <v>9341.8711886277924</v>
          </cell>
          <cell r="J67">
            <v>17349.189350308756</v>
          </cell>
          <cell r="K67">
            <v>18350.104120518878</v>
          </cell>
          <cell r="L67">
            <v>15680.998066625225</v>
          </cell>
          <cell r="M67">
            <v>0</v>
          </cell>
          <cell r="N67">
            <v>0</v>
          </cell>
          <cell r="O67">
            <v>0</v>
          </cell>
          <cell r="P67">
            <v>0</v>
          </cell>
          <cell r="Q67">
            <v>123362.74542839738</v>
          </cell>
        </row>
        <row r="68">
          <cell r="E68">
            <v>31412.651239428196</v>
          </cell>
          <cell r="F68">
            <v>86498.604862193592</v>
          </cell>
          <cell r="G68">
            <v>103343.07001956814</v>
          </cell>
          <cell r="H68">
            <v>120642.79099200685</v>
          </cell>
          <cell r="I68">
            <v>50988.651287187793</v>
          </cell>
          <cell r="J68">
            <v>94693.209533348767</v>
          </cell>
          <cell r="K68">
            <v>100156.27931411889</v>
          </cell>
          <cell r="L68">
            <v>85588.093232065235</v>
          </cell>
          <cell r="M68">
            <v>0</v>
          </cell>
          <cell r="N68">
            <v>0</v>
          </cell>
          <cell r="O68">
            <v>0</v>
          </cell>
          <cell r="P68">
            <v>0</v>
          </cell>
          <cell r="Q68">
            <v>673323.35047991748</v>
          </cell>
        </row>
        <row r="69">
          <cell r="B69" t="str">
            <v xml:space="preserve">Maturity Due </v>
          </cell>
          <cell r="E69">
            <v>0</v>
          </cell>
          <cell r="F69">
            <v>0</v>
          </cell>
          <cell r="G69">
            <v>0</v>
          </cell>
          <cell r="H69">
            <v>0</v>
          </cell>
          <cell r="I69">
            <v>0</v>
          </cell>
          <cell r="J69">
            <v>0</v>
          </cell>
          <cell r="Q69">
            <v>0</v>
          </cell>
        </row>
        <row r="70">
          <cell r="E70">
            <v>0</v>
          </cell>
          <cell r="F70">
            <v>0</v>
          </cell>
          <cell r="G70">
            <v>0</v>
          </cell>
          <cell r="H70">
            <v>0</v>
          </cell>
          <cell r="I70">
            <v>0</v>
          </cell>
          <cell r="J70">
            <v>0</v>
          </cell>
          <cell r="K70">
            <v>0</v>
          </cell>
          <cell r="L70">
            <v>0</v>
          </cell>
          <cell r="M70">
            <v>0</v>
          </cell>
          <cell r="N70">
            <v>0</v>
          </cell>
          <cell r="O70">
            <v>0</v>
          </cell>
          <cell r="P70">
            <v>0</v>
          </cell>
          <cell r="Q70">
            <v>0</v>
          </cell>
        </row>
        <row r="71">
          <cell r="B71" t="str">
            <v xml:space="preserve">Total of </v>
          </cell>
          <cell r="C71" t="str">
            <v xml:space="preserve">Documents retirement </v>
          </cell>
          <cell r="E71">
            <v>249833.49810588002</v>
          </cell>
          <cell r="F71">
            <v>311450.86026340001</v>
          </cell>
          <cell r="G71">
            <v>322970.33184260002</v>
          </cell>
          <cell r="H71">
            <v>357771.40031620004</v>
          </cell>
          <cell r="I71">
            <v>247782.17837464003</v>
          </cell>
          <cell r="J71">
            <v>258696.97481212</v>
          </cell>
          <cell r="K71">
            <v>359680.1352898</v>
          </cell>
          <cell r="L71">
            <v>272628.50730596</v>
          </cell>
          <cell r="M71">
            <v>301279.38638460007</v>
          </cell>
          <cell r="N71">
            <v>261959.78981640001</v>
          </cell>
          <cell r="O71">
            <v>258398.92756860002</v>
          </cell>
          <cell r="P71">
            <v>266811.39133428008</v>
          </cell>
          <cell r="Q71">
            <v>3469263.3814144805</v>
          </cell>
        </row>
        <row r="72">
          <cell r="C72" t="str">
            <v xml:space="preserve">           Govt. levies</v>
          </cell>
          <cell r="E72">
            <v>87294.833734264714</v>
          </cell>
          <cell r="F72">
            <v>103704.66045168109</v>
          </cell>
          <cell r="G72">
            <v>106290.35694139056</v>
          </cell>
          <cell r="H72">
            <v>116626.66124779245</v>
          </cell>
          <cell r="I72">
            <v>81401.610021848901</v>
          </cell>
          <cell r="J72">
            <v>84358.745864830737</v>
          </cell>
          <cell r="K72">
            <v>117320.25340820156</v>
          </cell>
          <cell r="L72">
            <v>89082.698699095869</v>
          </cell>
          <cell r="M72">
            <v>97492.289331627151</v>
          </cell>
          <cell r="N72">
            <v>91821.427226806234</v>
          </cell>
          <cell r="O72">
            <v>90481.781744804</v>
          </cell>
          <cell r="P72">
            <v>93193.279146348024</v>
          </cell>
          <cell r="Q72">
            <v>1159068.5978186915</v>
          </cell>
        </row>
        <row r="73">
          <cell r="E73">
            <v>337128.3318401447</v>
          </cell>
          <cell r="F73">
            <v>415155.52071508113</v>
          </cell>
          <cell r="G73">
            <v>429260.68878399057</v>
          </cell>
          <cell r="H73">
            <v>474398.06156399252</v>
          </cell>
          <cell r="I73">
            <v>329183.78839648893</v>
          </cell>
          <cell r="J73">
            <v>343055.72067695076</v>
          </cell>
          <cell r="K73">
            <v>477000.38869800157</v>
          </cell>
          <cell r="L73">
            <v>361711.20600505586</v>
          </cell>
          <cell r="M73">
            <v>398771.67571622721</v>
          </cell>
          <cell r="N73">
            <v>353781.21704320621</v>
          </cell>
          <cell r="O73">
            <v>348880.70931340405</v>
          </cell>
          <cell r="P73">
            <v>360004.67048062809</v>
          </cell>
          <cell r="Q73">
            <v>4628331.9792331718</v>
          </cell>
        </row>
        <row r="74">
          <cell r="B74" t="str">
            <v>Vendors' Parts</v>
          </cell>
          <cell r="AB74">
            <v>0</v>
          </cell>
          <cell r="AC74">
            <v>0</v>
          </cell>
        </row>
        <row r="75">
          <cell r="C75" t="str">
            <v xml:space="preserve">XE </v>
          </cell>
          <cell r="E75">
            <v>28091.98</v>
          </cell>
          <cell r="F75">
            <v>28091.98</v>
          </cell>
          <cell r="G75">
            <v>28091.98</v>
          </cell>
          <cell r="H75">
            <v>32105.119999999999</v>
          </cell>
          <cell r="I75">
            <v>22072.27</v>
          </cell>
          <cell r="J75">
            <v>22072.27</v>
          </cell>
          <cell r="K75">
            <v>30048.9</v>
          </cell>
          <cell r="L75">
            <v>24039.119999999999</v>
          </cell>
          <cell r="M75">
            <v>20032.599999999999</v>
          </cell>
          <cell r="N75">
            <v>18029.34</v>
          </cell>
          <cell r="O75">
            <v>20032.599999999999</v>
          </cell>
          <cell r="P75">
            <v>20032.599999999999</v>
          </cell>
          <cell r="Q75">
            <v>292740.75999999995</v>
          </cell>
        </row>
        <row r="76">
          <cell r="C76" t="str">
            <v>XE G</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GL</v>
          </cell>
          <cell r="E77">
            <v>18747.09</v>
          </cell>
          <cell r="F77">
            <v>18747.09</v>
          </cell>
          <cell r="G77">
            <v>18747.09</v>
          </cell>
          <cell r="H77">
            <v>20830.099999999999</v>
          </cell>
          <cell r="I77">
            <v>14581.07</v>
          </cell>
          <cell r="J77">
            <v>14581.07</v>
          </cell>
          <cell r="K77">
            <v>20797</v>
          </cell>
          <cell r="L77">
            <v>16637.599999999999</v>
          </cell>
          <cell r="M77">
            <v>12478.2</v>
          </cell>
          <cell r="N77">
            <v>14557.9</v>
          </cell>
          <cell r="O77">
            <v>14557.9</v>
          </cell>
          <cell r="P77">
            <v>14557.9</v>
          </cell>
          <cell r="Q77">
            <v>199820.01</v>
          </cell>
        </row>
        <row r="78">
          <cell r="C78" t="str">
            <v>GLi</v>
          </cell>
          <cell r="E78">
            <v>20722.86</v>
          </cell>
          <cell r="F78">
            <v>23025.4</v>
          </cell>
          <cell r="G78">
            <v>23025.4</v>
          </cell>
          <cell r="H78">
            <v>25327.94</v>
          </cell>
          <cell r="I78">
            <v>20722.86</v>
          </cell>
          <cell r="J78">
            <v>18420.32</v>
          </cell>
          <cell r="K78">
            <v>29889.99</v>
          </cell>
          <cell r="L78">
            <v>22992.3</v>
          </cell>
          <cell r="M78">
            <v>25291.53</v>
          </cell>
          <cell r="N78">
            <v>29889.99</v>
          </cell>
          <cell r="O78">
            <v>29889.99</v>
          </cell>
          <cell r="P78">
            <v>29889.99</v>
          </cell>
          <cell r="Q78">
            <v>299088.56999999995</v>
          </cell>
        </row>
        <row r="79">
          <cell r="C79" t="str">
            <v>XE LTD</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GLi - A/T</v>
          </cell>
          <cell r="E80">
            <v>18424.88</v>
          </cell>
          <cell r="F80">
            <v>20727.990000000002</v>
          </cell>
          <cell r="G80">
            <v>20727.990000000002</v>
          </cell>
          <cell r="H80">
            <v>20727.990000000002</v>
          </cell>
          <cell r="I80">
            <v>13818.66</v>
          </cell>
          <cell r="J80">
            <v>16121.77</v>
          </cell>
          <cell r="K80">
            <v>25297.8</v>
          </cell>
          <cell r="L80">
            <v>20698.2</v>
          </cell>
          <cell r="M80">
            <v>20698.2</v>
          </cell>
          <cell r="N80">
            <v>25297.8</v>
          </cell>
          <cell r="O80">
            <v>25297.8</v>
          </cell>
          <cell r="P80">
            <v>25297.8</v>
          </cell>
          <cell r="Q80">
            <v>253136.88</v>
          </cell>
        </row>
        <row r="81">
          <cell r="C81" t="str">
            <v>2.0 D SUNROOF</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2.0 D</v>
          </cell>
          <cell r="E82">
            <v>30311.1</v>
          </cell>
          <cell r="F82">
            <v>34352.58</v>
          </cell>
          <cell r="G82">
            <v>34352.58</v>
          </cell>
          <cell r="H82">
            <v>36373.32</v>
          </cell>
          <cell r="I82">
            <v>26269.62</v>
          </cell>
          <cell r="J82">
            <v>26269.62</v>
          </cell>
          <cell r="K82">
            <v>34296.31</v>
          </cell>
          <cell r="L82">
            <v>24209.16</v>
          </cell>
          <cell r="M82">
            <v>30261.45</v>
          </cell>
          <cell r="N82">
            <v>32278.880000000001</v>
          </cell>
          <cell r="O82">
            <v>30261.45</v>
          </cell>
          <cell r="P82">
            <v>32278.880000000001</v>
          </cell>
          <cell r="Q82">
            <v>371514.95</v>
          </cell>
        </row>
        <row r="83">
          <cell r="C83" t="str">
            <v>2.0 D G</v>
          </cell>
          <cell r="E83">
            <v>54334.559999999998</v>
          </cell>
          <cell r="F83">
            <v>58862.44</v>
          </cell>
          <cell r="G83">
            <v>58862.44</v>
          </cell>
          <cell r="H83">
            <v>65654.259999999995</v>
          </cell>
          <cell r="I83">
            <v>45278.8</v>
          </cell>
          <cell r="J83">
            <v>47542.74</v>
          </cell>
          <cell r="K83">
            <v>61037.01</v>
          </cell>
          <cell r="L83">
            <v>45212.6</v>
          </cell>
          <cell r="M83">
            <v>54255.12</v>
          </cell>
          <cell r="N83">
            <v>58776.38</v>
          </cell>
          <cell r="O83">
            <v>56515.75</v>
          </cell>
          <cell r="P83">
            <v>58776.38</v>
          </cell>
          <cell r="Q83">
            <v>665108.47999999998</v>
          </cell>
        </row>
        <row r="84">
          <cell r="C84" t="str">
            <v>2.0 D Ltd</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2.0 D SE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HILUX 4 X 2 Std</v>
          </cell>
          <cell r="E86">
            <v>7106.6459999999997</v>
          </cell>
          <cell r="F86">
            <v>6967.3</v>
          </cell>
          <cell r="G86">
            <v>6131.2240000000002</v>
          </cell>
          <cell r="H86">
            <v>7664.03</v>
          </cell>
          <cell r="I86">
            <v>13655.907999999999</v>
          </cell>
          <cell r="J86">
            <v>3204.9580000000001</v>
          </cell>
          <cell r="K86">
            <v>13934.6</v>
          </cell>
          <cell r="L86">
            <v>7245.9920000000002</v>
          </cell>
          <cell r="M86">
            <v>39016.879999999997</v>
          </cell>
          <cell r="N86">
            <v>16721.52</v>
          </cell>
          <cell r="O86">
            <v>16721.52</v>
          </cell>
          <cell r="P86">
            <v>17836.288</v>
          </cell>
          <cell r="Q86">
            <v>156206.86600000001</v>
          </cell>
        </row>
        <row r="87">
          <cell r="C87" t="str">
            <v>HILUX 4 X 4</v>
          </cell>
          <cell r="E87">
            <v>9614.8739999999998</v>
          </cell>
          <cell r="F87">
            <v>26475.74</v>
          </cell>
          <cell r="G87">
            <v>31631.542000000001</v>
          </cell>
          <cell r="H87">
            <v>36926.69</v>
          </cell>
          <cell r="I87">
            <v>15606.752</v>
          </cell>
          <cell r="J87">
            <v>28983.968000000001</v>
          </cell>
          <cell r="K87">
            <v>30656.12</v>
          </cell>
          <cell r="L87">
            <v>26197.047999999999</v>
          </cell>
          <cell r="M87">
            <v>0</v>
          </cell>
          <cell r="N87">
            <v>0</v>
          </cell>
          <cell r="O87">
            <v>0</v>
          </cell>
          <cell r="P87">
            <v>0</v>
          </cell>
          <cell r="Q87">
            <v>206092.734</v>
          </cell>
        </row>
        <row r="88">
          <cell r="E88">
            <v>187353.99000000002</v>
          </cell>
          <cell r="F88">
            <v>217250.52</v>
          </cell>
          <cell r="G88">
            <v>221570.24599999998</v>
          </cell>
          <cell r="H88">
            <v>245609.44999999998</v>
          </cell>
          <cell r="I88">
            <v>172005.94</v>
          </cell>
          <cell r="J88">
            <v>177196.71599999999</v>
          </cell>
          <cell r="K88">
            <v>245957.73</v>
          </cell>
          <cell r="L88">
            <v>187232.02000000002</v>
          </cell>
          <cell r="M88">
            <v>202033.98</v>
          </cell>
          <cell r="N88">
            <v>195551.81</v>
          </cell>
          <cell r="O88">
            <v>193277.00999999998</v>
          </cell>
          <cell r="P88">
            <v>198669.83800000002</v>
          </cell>
          <cell r="Q88">
            <v>2443709.25</v>
          </cell>
        </row>
        <row r="89">
          <cell r="B89" t="str">
            <v>Nummi Parts</v>
          </cell>
          <cell r="R89">
            <v>2443709.25</v>
          </cell>
        </row>
        <row r="90">
          <cell r="C90" t="str">
            <v xml:space="preserve">XE </v>
          </cell>
          <cell r="E90">
            <v>19100.639152000003</v>
          </cell>
          <cell r="F90">
            <v>19100.639152000003</v>
          </cell>
          <cell r="G90">
            <v>19100.639152000003</v>
          </cell>
          <cell r="H90">
            <v>21829.301888000002</v>
          </cell>
          <cell r="I90">
            <v>15007.645048</v>
          </cell>
          <cell r="J90">
            <v>15007.645048</v>
          </cell>
          <cell r="K90">
            <v>20464.970519999999</v>
          </cell>
          <cell r="L90">
            <v>16371.976416000001</v>
          </cell>
          <cell r="M90">
            <v>13643.313680000001</v>
          </cell>
          <cell r="N90">
            <v>12278.982312</v>
          </cell>
          <cell r="O90">
            <v>13643.313680000001</v>
          </cell>
          <cell r="P90">
            <v>13643.313680000001</v>
          </cell>
          <cell r="Q90">
            <v>199192.379728</v>
          </cell>
          <cell r="R90">
            <v>1442911.491689</v>
          </cell>
        </row>
        <row r="91">
          <cell r="C91" t="str">
            <v>XE G</v>
          </cell>
          <cell r="E91">
            <v>0</v>
          </cell>
          <cell r="F91">
            <v>0</v>
          </cell>
          <cell r="G91">
            <v>0</v>
          </cell>
          <cell r="H91">
            <v>0</v>
          </cell>
          <cell r="I91">
            <v>0</v>
          </cell>
          <cell r="J91">
            <v>0</v>
          </cell>
          <cell r="K91">
            <v>0</v>
          </cell>
          <cell r="L91">
            <v>0</v>
          </cell>
          <cell r="M91">
            <v>0</v>
          </cell>
          <cell r="N91">
            <v>0</v>
          </cell>
          <cell r="O91">
            <v>0</v>
          </cell>
          <cell r="P91">
            <v>0</v>
          </cell>
          <cell r="Q91">
            <v>0</v>
          </cell>
          <cell r="R91">
            <v>159867.38</v>
          </cell>
        </row>
        <row r="92">
          <cell r="C92" t="str">
            <v>GL</v>
          </cell>
          <cell r="E92">
            <v>12087.294295500002</v>
          </cell>
          <cell r="F92">
            <v>12087.294295500002</v>
          </cell>
          <cell r="G92">
            <v>12087.294295500002</v>
          </cell>
          <cell r="H92">
            <v>13430.326995000001</v>
          </cell>
          <cell r="I92">
            <v>9401.2288965000007</v>
          </cell>
          <cell r="J92">
            <v>9401.2288965000007</v>
          </cell>
          <cell r="K92">
            <v>13430.326995000001</v>
          </cell>
          <cell r="L92">
            <v>10744.261596</v>
          </cell>
          <cell r="M92">
            <v>8058.1961970000002</v>
          </cell>
          <cell r="N92">
            <v>9401.2288965000007</v>
          </cell>
          <cell r="O92">
            <v>9401.2288965000007</v>
          </cell>
          <cell r="P92">
            <v>9401.2288965000007</v>
          </cell>
          <cell r="Q92">
            <v>128931.13915200002</v>
          </cell>
        </row>
        <row r="93">
          <cell r="C93" t="str">
            <v>GLi</v>
          </cell>
          <cell r="E93">
            <v>15092.636958000003</v>
          </cell>
          <cell r="F93">
            <v>16769.596620000004</v>
          </cell>
          <cell r="G93">
            <v>16769.596620000004</v>
          </cell>
          <cell r="H93">
            <v>18446.556282000001</v>
          </cell>
          <cell r="I93">
            <v>15092.636958000003</v>
          </cell>
          <cell r="J93">
            <v>13415.677296000002</v>
          </cell>
          <cell r="K93">
            <v>21800.475606000004</v>
          </cell>
          <cell r="L93">
            <v>16769.596620000004</v>
          </cell>
          <cell r="M93">
            <v>18446.556282000001</v>
          </cell>
          <cell r="N93">
            <v>21800.475606000004</v>
          </cell>
          <cell r="O93">
            <v>21800.475606000004</v>
          </cell>
          <cell r="P93">
            <v>21800.475606000004</v>
          </cell>
          <cell r="Q93">
            <v>218004.75606000001</v>
          </cell>
        </row>
        <row r="94">
          <cell r="C94" t="str">
            <v>XE LTD</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GLi - A/T</v>
          </cell>
          <cell r="E95">
            <v>13523.953272000001</v>
          </cell>
          <cell r="F95">
            <v>15214.447431000001</v>
          </cell>
          <cell r="G95">
            <v>15214.447431000001</v>
          </cell>
          <cell r="H95">
            <v>15214.447431000001</v>
          </cell>
          <cell r="I95">
            <v>10142.964953999999</v>
          </cell>
          <cell r="J95">
            <v>11833.459113000001</v>
          </cell>
          <cell r="K95">
            <v>18595.435748999997</v>
          </cell>
          <cell r="L95">
            <v>15214.447431000001</v>
          </cell>
          <cell r="M95">
            <v>15214.447431000001</v>
          </cell>
          <cell r="N95">
            <v>18595.435748999997</v>
          </cell>
          <cell r="O95">
            <v>18595.435748999997</v>
          </cell>
          <cell r="P95">
            <v>18595.435748999997</v>
          </cell>
          <cell r="Q95">
            <v>185954.35748999999</v>
          </cell>
        </row>
        <row r="96">
          <cell r="C96" t="str">
            <v>2.0 D SUNROOF</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2.0 D</v>
          </cell>
          <cell r="E97">
            <v>21271.464329999999</v>
          </cell>
          <cell r="F97">
            <v>24107.659574000001</v>
          </cell>
          <cell r="G97">
            <v>24107.659574000001</v>
          </cell>
          <cell r="H97">
            <v>25525.757195999999</v>
          </cell>
          <cell r="I97">
            <v>18435.269086</v>
          </cell>
          <cell r="J97">
            <v>18435.269086</v>
          </cell>
          <cell r="K97">
            <v>24107.659574000001</v>
          </cell>
          <cell r="L97">
            <v>17017.171464000003</v>
          </cell>
          <cell r="M97">
            <v>21271.464329999999</v>
          </cell>
          <cell r="N97">
            <v>22689.561952</v>
          </cell>
          <cell r="O97">
            <v>21271.464329999999</v>
          </cell>
          <cell r="P97">
            <v>22689.561952</v>
          </cell>
          <cell r="Q97">
            <v>260929.96244799995</v>
          </cell>
        </row>
        <row r="98">
          <cell r="C98" t="str">
            <v>2.0 D G</v>
          </cell>
          <cell r="E98">
            <v>36726.440556000001</v>
          </cell>
          <cell r="F98">
            <v>39786.977269000003</v>
          </cell>
          <cell r="G98">
            <v>39786.977269000003</v>
          </cell>
          <cell r="H98">
            <v>44377.782338500001</v>
          </cell>
          <cell r="I98">
            <v>30605.367129999999</v>
          </cell>
          <cell r="J98">
            <v>32135.635486499999</v>
          </cell>
          <cell r="K98">
            <v>41317.2456255</v>
          </cell>
          <cell r="L98">
            <v>30605.367129999999</v>
          </cell>
          <cell r="M98">
            <v>36726.440556000001</v>
          </cell>
          <cell r="N98">
            <v>39786.977269000003</v>
          </cell>
          <cell r="O98">
            <v>38256.708912499998</v>
          </cell>
          <cell r="P98">
            <v>39786.977269000003</v>
          </cell>
          <cell r="Q98">
            <v>449898.89681100001</v>
          </cell>
        </row>
        <row r="99">
          <cell r="C99" t="str">
            <v>2.0 D Ltd</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2.0 D SE</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HILUX 4 X 2 Std</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HILUX 4 X 4</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E103">
            <v>117802.42856350001</v>
          </cell>
          <cell r="F103">
            <v>127066.61434150001</v>
          </cell>
          <cell r="G103">
            <v>127066.61434150001</v>
          </cell>
          <cell r="H103">
            <v>138824.1721305</v>
          </cell>
          <cell r="I103">
            <v>98685.112072500007</v>
          </cell>
          <cell r="J103">
            <v>100228.91492600001</v>
          </cell>
          <cell r="K103">
            <v>139716.11406950001</v>
          </cell>
          <cell r="L103">
            <v>106722.820657</v>
          </cell>
          <cell r="M103">
            <v>113360.41847600001</v>
          </cell>
          <cell r="N103">
            <v>124552.6617845</v>
          </cell>
          <cell r="O103">
            <v>122968.62717399999</v>
          </cell>
          <cell r="P103">
            <v>125916.99315250001</v>
          </cell>
          <cell r="Q103">
            <v>1442911.4916889998</v>
          </cell>
        </row>
        <row r="104">
          <cell r="B104" t="str">
            <v>Consumable</v>
          </cell>
        </row>
        <row r="105">
          <cell r="C105" t="str">
            <v xml:space="preserve">XE </v>
          </cell>
          <cell r="E105">
            <v>2455.04</v>
          </cell>
          <cell r="F105">
            <v>2455.04</v>
          </cell>
          <cell r="G105">
            <v>2455.04</v>
          </cell>
          <cell r="H105">
            <v>2805.76</v>
          </cell>
          <cell r="I105">
            <v>1928.96</v>
          </cell>
          <cell r="J105">
            <v>1928.96</v>
          </cell>
          <cell r="K105">
            <v>2630.4</v>
          </cell>
          <cell r="L105">
            <v>2104.3200000000002</v>
          </cell>
          <cell r="M105">
            <v>1753.6</v>
          </cell>
          <cell r="N105">
            <v>1578.24</v>
          </cell>
          <cell r="O105">
            <v>1753.6</v>
          </cell>
          <cell r="P105">
            <v>1753.6</v>
          </cell>
          <cell r="Q105">
            <v>25602.559999999998</v>
          </cell>
        </row>
        <row r="106">
          <cell r="C106" t="str">
            <v>XE G</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t="str">
            <v>GL</v>
          </cell>
          <cell r="E107">
            <v>1898.46</v>
          </cell>
          <cell r="F107">
            <v>1898.46</v>
          </cell>
          <cell r="G107">
            <v>1898.46</v>
          </cell>
          <cell r="H107">
            <v>2109.4</v>
          </cell>
          <cell r="I107">
            <v>1476.58</v>
          </cell>
          <cell r="J107">
            <v>1476.58</v>
          </cell>
          <cell r="K107">
            <v>2109.4</v>
          </cell>
          <cell r="L107">
            <v>1687.52</v>
          </cell>
          <cell r="M107">
            <v>1265.6400000000001</v>
          </cell>
          <cell r="N107">
            <v>1476.58</v>
          </cell>
          <cell r="O107">
            <v>1476.58</v>
          </cell>
          <cell r="P107">
            <v>1476.58</v>
          </cell>
          <cell r="Q107">
            <v>20250.240000000005</v>
          </cell>
        </row>
        <row r="108">
          <cell r="C108" t="str">
            <v>GLi</v>
          </cell>
          <cell r="E108">
            <v>1852.29</v>
          </cell>
          <cell r="F108">
            <v>2058.1</v>
          </cell>
          <cell r="G108">
            <v>2058.1</v>
          </cell>
          <cell r="H108">
            <v>2263.91</v>
          </cell>
          <cell r="I108">
            <v>1852.29</v>
          </cell>
          <cell r="J108">
            <v>1646.48</v>
          </cell>
          <cell r="K108">
            <v>2675.53</v>
          </cell>
          <cell r="L108">
            <v>2058.1</v>
          </cell>
          <cell r="M108">
            <v>2263.91</v>
          </cell>
          <cell r="N108">
            <v>2675.53</v>
          </cell>
          <cell r="O108">
            <v>2675.53</v>
          </cell>
          <cell r="P108">
            <v>2675.53</v>
          </cell>
          <cell r="Q108">
            <v>26755.299999999996</v>
          </cell>
        </row>
        <row r="109">
          <cell r="C109" t="str">
            <v>XE LTD</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C110" t="str">
            <v>GLi - A/T</v>
          </cell>
          <cell r="E110">
            <v>1659.92</v>
          </cell>
          <cell r="F110">
            <v>1867.41</v>
          </cell>
          <cell r="G110">
            <v>1867.41</v>
          </cell>
          <cell r="H110">
            <v>1867.41</v>
          </cell>
          <cell r="I110">
            <v>1244.94</v>
          </cell>
          <cell r="J110">
            <v>1452.43</v>
          </cell>
          <cell r="K110">
            <v>2282.39</v>
          </cell>
          <cell r="L110">
            <v>1867.41</v>
          </cell>
          <cell r="M110">
            <v>1867.41</v>
          </cell>
          <cell r="N110">
            <v>2282.39</v>
          </cell>
          <cell r="O110">
            <v>2282.39</v>
          </cell>
          <cell r="P110">
            <v>2282.39</v>
          </cell>
          <cell r="Q110">
            <v>22823.899999999998</v>
          </cell>
        </row>
        <row r="111">
          <cell r="C111" t="str">
            <v>2.0 D SUNROOF</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C112" t="str">
            <v>2.0 D</v>
          </cell>
          <cell r="E112">
            <v>2623.65</v>
          </cell>
          <cell r="F112">
            <v>2973.47</v>
          </cell>
          <cell r="G112">
            <v>2973.47</v>
          </cell>
          <cell r="H112">
            <v>3148.38</v>
          </cell>
          <cell r="I112">
            <v>2273.83</v>
          </cell>
          <cell r="J112">
            <v>2273.83</v>
          </cell>
          <cell r="K112">
            <v>2973.47</v>
          </cell>
          <cell r="L112">
            <v>2098.92</v>
          </cell>
          <cell r="M112">
            <v>2623.65</v>
          </cell>
          <cell r="N112">
            <v>2798.56</v>
          </cell>
          <cell r="O112">
            <v>2623.65</v>
          </cell>
          <cell r="P112">
            <v>2798.56</v>
          </cell>
          <cell r="Q112">
            <v>32183.44000000001</v>
          </cell>
        </row>
        <row r="113">
          <cell r="C113" t="str">
            <v>2.0 D G</v>
          </cell>
          <cell r="E113">
            <v>4982.3999999999996</v>
          </cell>
          <cell r="F113">
            <v>5397.6</v>
          </cell>
          <cell r="G113">
            <v>5397.6</v>
          </cell>
          <cell r="H113">
            <v>6020.4</v>
          </cell>
          <cell r="I113">
            <v>4152</v>
          </cell>
          <cell r="J113">
            <v>4359.6000000000004</v>
          </cell>
          <cell r="K113">
            <v>5605.2</v>
          </cell>
          <cell r="L113">
            <v>4152</v>
          </cell>
          <cell r="M113">
            <v>4982.3999999999996</v>
          </cell>
          <cell r="N113">
            <v>5397.6</v>
          </cell>
          <cell r="O113">
            <v>5190</v>
          </cell>
          <cell r="P113">
            <v>5397.6</v>
          </cell>
          <cell r="Q113">
            <v>61034.399999999994</v>
          </cell>
        </row>
        <row r="114">
          <cell r="C114" t="str">
            <v>2.0 D Ltd</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C115" t="str">
            <v>2.0 D SE</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C116" t="str">
            <v>HILUX 4 X 2 Std</v>
          </cell>
          <cell r="E116">
            <v>762.19500000000005</v>
          </cell>
          <cell r="F116">
            <v>747.25</v>
          </cell>
          <cell r="G116">
            <v>657.58</v>
          </cell>
          <cell r="H116">
            <v>821.97500000000002</v>
          </cell>
          <cell r="I116">
            <v>1464.61</v>
          </cell>
          <cell r="J116">
            <v>343.73500000000001</v>
          </cell>
          <cell r="K116">
            <v>1494.5</v>
          </cell>
          <cell r="L116">
            <v>777.14</v>
          </cell>
          <cell r="M116">
            <v>4184.6000000000004</v>
          </cell>
          <cell r="N116">
            <v>1793.4</v>
          </cell>
          <cell r="O116">
            <v>1793.4</v>
          </cell>
          <cell r="P116">
            <v>1912.96</v>
          </cell>
          <cell r="Q116">
            <v>16753.344999999998</v>
          </cell>
        </row>
        <row r="117">
          <cell r="C117" t="str">
            <v>HILUX 4 X 4</v>
          </cell>
          <cell r="E117">
            <v>1031.2049999999999</v>
          </cell>
          <cell r="F117">
            <v>2839.55</v>
          </cell>
          <cell r="G117">
            <v>3392.5149999999999</v>
          </cell>
          <cell r="H117">
            <v>3960.4250000000002</v>
          </cell>
          <cell r="I117">
            <v>1673.84</v>
          </cell>
          <cell r="J117">
            <v>3108.56</v>
          </cell>
          <cell r="K117">
            <v>3287.9</v>
          </cell>
          <cell r="L117">
            <v>2809.66</v>
          </cell>
          <cell r="M117">
            <v>0</v>
          </cell>
          <cell r="N117">
            <v>0</v>
          </cell>
          <cell r="O117">
            <v>0</v>
          </cell>
          <cell r="P117">
            <v>0</v>
          </cell>
          <cell r="Q117">
            <v>22103.654999999999</v>
          </cell>
        </row>
        <row r="118">
          <cell r="E118">
            <v>17265.16</v>
          </cell>
          <cell r="F118">
            <v>20236.88</v>
          </cell>
          <cell r="G118">
            <v>20700.175000000003</v>
          </cell>
          <cell r="H118">
            <v>22997.66</v>
          </cell>
          <cell r="I118">
            <v>16067.050000000001</v>
          </cell>
          <cell r="J118">
            <v>16590.175000000003</v>
          </cell>
          <cell r="K118">
            <v>23058.79</v>
          </cell>
          <cell r="L118">
            <v>17555.07</v>
          </cell>
          <cell r="M118">
            <v>18941.21</v>
          </cell>
          <cell r="N118">
            <v>18002.3</v>
          </cell>
          <cell r="O118">
            <v>17795.150000000001</v>
          </cell>
          <cell r="P118">
            <v>18297.22</v>
          </cell>
          <cell r="Q118">
            <v>227506.84</v>
          </cell>
        </row>
        <row r="120">
          <cell r="B120" t="str">
            <v>Production  - Expenses</v>
          </cell>
          <cell r="E120">
            <v>7880.1416034521535</v>
          </cell>
          <cell r="F120">
            <v>7880.1416034521517</v>
          </cell>
          <cell r="G120">
            <v>7880.1416034521517</v>
          </cell>
          <cell r="H120">
            <v>7880.1416034521517</v>
          </cell>
          <cell r="I120">
            <v>7880.1416034521499</v>
          </cell>
          <cell r="J120">
            <v>7880.1416034521517</v>
          </cell>
          <cell r="K120">
            <v>7880.1416034521517</v>
          </cell>
          <cell r="L120">
            <v>7880.1416034521517</v>
          </cell>
          <cell r="M120">
            <v>7880.1416034521517</v>
          </cell>
          <cell r="N120">
            <v>7880.1416034521517</v>
          </cell>
          <cell r="O120">
            <v>7880.1416034521535</v>
          </cell>
          <cell r="P120">
            <v>7880.1416034521517</v>
          </cell>
          <cell r="Q120">
            <v>94561.699241425827</v>
          </cell>
          <cell r="R120">
            <v>94561699.241425812</v>
          </cell>
        </row>
        <row r="121">
          <cell r="B121" t="str">
            <v>Utility</v>
          </cell>
          <cell r="E121">
            <v>5887.56</v>
          </cell>
          <cell r="F121">
            <v>6763.44</v>
          </cell>
          <cell r="G121">
            <v>6914.2860000000001</v>
          </cell>
          <cell r="H121">
            <v>7542</v>
          </cell>
          <cell r="I121">
            <v>5692.92</v>
          </cell>
          <cell r="J121">
            <v>5843.7659999999996</v>
          </cell>
          <cell r="K121">
            <v>7785.25</v>
          </cell>
          <cell r="L121">
            <v>6325.45</v>
          </cell>
          <cell r="M121">
            <v>6714.73</v>
          </cell>
          <cell r="N121">
            <v>6276.79</v>
          </cell>
          <cell r="O121">
            <v>6228.13</v>
          </cell>
          <cell r="P121">
            <v>6364.3779999999997</v>
          </cell>
          <cell r="Q121">
            <v>78338.699999999983</v>
          </cell>
        </row>
        <row r="122">
          <cell r="B122" t="str">
            <v>Selling Expenses</v>
          </cell>
          <cell r="E122">
            <v>4716.5375094517831</v>
          </cell>
          <cell r="F122">
            <v>4825.8100553567892</v>
          </cell>
          <cell r="G122">
            <v>4843.7144884970676</v>
          </cell>
          <cell r="H122">
            <v>4872.1482111430259</v>
          </cell>
          <cell r="I122">
            <v>4706.0575212955846</v>
          </cell>
          <cell r="J122">
            <v>4667.0358775320201</v>
          </cell>
          <cell r="K122">
            <v>4806.4170365934979</v>
          </cell>
          <cell r="L122">
            <v>4719.198614561752</v>
          </cell>
          <cell r="M122">
            <v>4781.9414535826245</v>
          </cell>
          <cell r="N122">
            <v>4768.7243505052465</v>
          </cell>
          <cell r="O122">
            <v>4742.3458814959449</v>
          </cell>
          <cell r="P122">
            <v>4687.7984706351408</v>
          </cell>
          <cell r="Q122">
            <v>57137.729470650476</v>
          </cell>
          <cell r="R122">
            <v>57137729.470650472</v>
          </cell>
        </row>
        <row r="123">
          <cell r="B123" t="str">
            <v>Advertisement</v>
          </cell>
          <cell r="E123">
            <v>728.29641355494789</v>
          </cell>
          <cell r="F123">
            <v>1056.9943530255041</v>
          </cell>
          <cell r="G123">
            <v>8259.4953286153795</v>
          </cell>
          <cell r="H123">
            <v>8669.0963705023532</v>
          </cell>
          <cell r="I123">
            <v>6696.6187668775119</v>
          </cell>
          <cell r="J123">
            <v>720.65270014865484</v>
          </cell>
          <cell r="K123">
            <v>924.86424760546845</v>
          </cell>
          <cell r="L123">
            <v>4450.7201157747422</v>
          </cell>
          <cell r="M123">
            <v>5555.0073231571951</v>
          </cell>
          <cell r="N123">
            <v>736.35475913109008</v>
          </cell>
          <cell r="O123">
            <v>8167.7559847718348</v>
          </cell>
          <cell r="P123">
            <v>1057.9473628533901</v>
          </cell>
          <cell r="Q123">
            <v>47023.803726018079</v>
          </cell>
          <cell r="R123">
            <v>47023803.726018071</v>
          </cell>
        </row>
        <row r="124">
          <cell r="B124" t="str">
            <v>Administrative Expenses</v>
          </cell>
          <cell r="E124">
            <v>9610.2614690381342</v>
          </cell>
          <cell r="F124">
            <v>9832.9116091950054</v>
          </cell>
          <cell r="G124">
            <v>9869.3930923991938</v>
          </cell>
          <cell r="H124">
            <v>9927.3287090709946</v>
          </cell>
          <cell r="I124">
            <v>9588.9077903762609</v>
          </cell>
          <cell r="J124">
            <v>9509.39857439568</v>
          </cell>
          <cell r="K124">
            <v>9793.3970329585809</v>
          </cell>
          <cell r="L124">
            <v>9615.6836491548293</v>
          </cell>
          <cell r="M124">
            <v>9743.526391228228</v>
          </cell>
          <cell r="N124">
            <v>9716.5956573620624</v>
          </cell>
          <cell r="O124">
            <v>9662.8477578013571</v>
          </cell>
          <cell r="P124">
            <v>9551.7037501938994</v>
          </cell>
          <cell r="Q124">
            <v>116421.95548317423</v>
          </cell>
          <cell r="R124">
            <v>116421955.4831742</v>
          </cell>
        </row>
        <row r="125">
          <cell r="B125" t="str">
            <v xml:space="preserve">Charity </v>
          </cell>
          <cell r="E125">
            <v>335.00287848739538</v>
          </cell>
          <cell r="F125">
            <v>347.28684652239082</v>
          </cell>
          <cell r="G125">
            <v>349.1376909729762</v>
          </cell>
          <cell r="H125">
            <v>354.15012557217733</v>
          </cell>
          <cell r="I125">
            <v>331.60260960121019</v>
          </cell>
          <cell r="J125">
            <v>330.22425827276487</v>
          </cell>
          <cell r="K125">
            <v>344.58448684253443</v>
          </cell>
          <cell r="L125">
            <v>329.1908470307481</v>
          </cell>
          <cell r="M125">
            <v>336.64406164473309</v>
          </cell>
          <cell r="N125">
            <v>333.97223581964943</v>
          </cell>
          <cell r="O125">
            <v>331.80588298747699</v>
          </cell>
          <cell r="P125">
            <v>329.51520011444171</v>
          </cell>
          <cell r="Q125">
            <v>4053.1171238684983</v>
          </cell>
          <cell r="R125">
            <v>4053117.123868498</v>
          </cell>
        </row>
        <row r="126">
          <cell r="Q126">
            <v>0</v>
          </cell>
        </row>
        <row r="127">
          <cell r="E127">
            <v>29157.799873984415</v>
          </cell>
          <cell r="F127">
            <v>30706.584467551842</v>
          </cell>
          <cell r="G127">
            <v>38116.168203936766</v>
          </cell>
          <cell r="H127">
            <v>39244.865019740697</v>
          </cell>
          <cell r="I127">
            <v>34896.248291602722</v>
          </cell>
          <cell r="J127">
            <v>28951.219013801267</v>
          </cell>
          <cell r="K127">
            <v>31534.654407452232</v>
          </cell>
          <cell r="L127">
            <v>33320.384829974224</v>
          </cell>
          <cell r="M127">
            <v>35011.990833064934</v>
          </cell>
          <cell r="N127">
            <v>29712.578606270199</v>
          </cell>
          <cell r="O127">
            <v>37013.027110508767</v>
          </cell>
          <cell r="P127">
            <v>29871.48438724902</v>
          </cell>
          <cell r="Q127">
            <v>397537.00504513714</v>
          </cell>
          <cell r="R127">
            <v>319198305.04513711</v>
          </cell>
        </row>
        <row r="128">
          <cell r="Q128">
            <v>0</v>
          </cell>
        </row>
        <row r="129">
          <cell r="B129" t="str">
            <v>Instalment of LMM</v>
          </cell>
          <cell r="E129">
            <v>0</v>
          </cell>
          <cell r="K129">
            <v>0</v>
          </cell>
          <cell r="Q129">
            <v>0</v>
          </cell>
          <cell r="R129">
            <v>13191</v>
          </cell>
        </row>
        <row r="130">
          <cell r="B130" t="str">
            <v>Investment for the year 2000~2001</v>
          </cell>
          <cell r="E130">
            <v>0</v>
          </cell>
          <cell r="F130">
            <v>0</v>
          </cell>
          <cell r="G130">
            <v>0</v>
          </cell>
          <cell r="H130">
            <v>2000</v>
          </cell>
          <cell r="I130">
            <v>2000</v>
          </cell>
          <cell r="J130">
            <v>2000</v>
          </cell>
          <cell r="K130">
            <v>2000</v>
          </cell>
          <cell r="L130">
            <v>2000</v>
          </cell>
          <cell r="M130">
            <v>2000</v>
          </cell>
          <cell r="N130">
            <v>2000</v>
          </cell>
          <cell r="O130">
            <v>2000</v>
          </cell>
          <cell r="P130">
            <v>2000</v>
          </cell>
          <cell r="Q130">
            <v>18000</v>
          </cell>
        </row>
        <row r="131">
          <cell r="B131" t="str">
            <v>Project investment - Corolla Model Change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17987</v>
          </cell>
        </row>
        <row r="132">
          <cell r="B132" t="str">
            <v>Payment of dividend</v>
          </cell>
          <cell r="K132">
            <v>157200</v>
          </cell>
          <cell r="Q132">
            <v>157200</v>
          </cell>
        </row>
        <row r="133">
          <cell r="B133" t="str">
            <v>Adjustment of advance from customer / Askari leasing</v>
          </cell>
          <cell r="E133">
            <v>0</v>
          </cell>
          <cell r="F133">
            <v>0</v>
          </cell>
          <cell r="G133">
            <v>0</v>
          </cell>
          <cell r="H133">
            <v>0</v>
          </cell>
          <cell r="J133">
            <v>0</v>
          </cell>
          <cell r="K133">
            <v>0</v>
          </cell>
          <cell r="N133">
            <v>0</v>
          </cell>
          <cell r="Q133">
            <v>0</v>
          </cell>
        </row>
        <row r="134">
          <cell r="B134" t="str">
            <v>Advance tax payment</v>
          </cell>
          <cell r="E134">
            <v>0</v>
          </cell>
          <cell r="G134">
            <v>31950</v>
          </cell>
          <cell r="H134">
            <v>0</v>
          </cell>
          <cell r="J134">
            <v>31950</v>
          </cell>
          <cell r="K134">
            <v>0</v>
          </cell>
          <cell r="M134">
            <v>31950</v>
          </cell>
          <cell r="N134">
            <v>0</v>
          </cell>
          <cell r="P134">
            <v>31950</v>
          </cell>
          <cell r="Q134">
            <v>127800</v>
          </cell>
          <cell r="R134" t="str">
            <v>Manual figure from p&amp;l</v>
          </cell>
        </row>
        <row r="135">
          <cell r="B135" t="str">
            <v>Bank charges</v>
          </cell>
          <cell r="E135">
            <v>500</v>
          </cell>
          <cell r="F135">
            <v>500</v>
          </cell>
          <cell r="G135">
            <v>500</v>
          </cell>
          <cell r="H135">
            <v>500</v>
          </cell>
          <cell r="I135">
            <v>500</v>
          </cell>
          <cell r="J135">
            <v>500</v>
          </cell>
          <cell r="K135">
            <v>500</v>
          </cell>
          <cell r="L135">
            <v>500</v>
          </cell>
          <cell r="M135">
            <v>500</v>
          </cell>
          <cell r="N135">
            <v>500</v>
          </cell>
          <cell r="O135">
            <v>500</v>
          </cell>
          <cell r="P135">
            <v>500</v>
          </cell>
          <cell r="Q135">
            <v>6000</v>
          </cell>
        </row>
        <row r="136">
          <cell r="B136" t="str">
            <v>Payment of short term markup</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E137">
            <v>500</v>
          </cell>
          <cell r="F137">
            <v>500</v>
          </cell>
          <cell r="G137">
            <v>32450</v>
          </cell>
          <cell r="H137">
            <v>2500</v>
          </cell>
          <cell r="I137">
            <v>2500</v>
          </cell>
          <cell r="J137">
            <v>34450</v>
          </cell>
          <cell r="K137">
            <v>159700</v>
          </cell>
          <cell r="L137">
            <v>2500</v>
          </cell>
          <cell r="M137">
            <v>34450</v>
          </cell>
          <cell r="N137">
            <v>2500</v>
          </cell>
          <cell r="O137">
            <v>2500</v>
          </cell>
          <cell r="P137">
            <v>34450</v>
          </cell>
          <cell r="Q137">
            <v>309000</v>
          </cell>
        </row>
        <row r="139">
          <cell r="B139" t="str">
            <v>Payment of Running Royalty</v>
          </cell>
          <cell r="E139">
            <v>0</v>
          </cell>
          <cell r="F139">
            <v>0</v>
          </cell>
          <cell r="G139">
            <v>0</v>
          </cell>
          <cell r="H139">
            <v>30000</v>
          </cell>
          <cell r="I139">
            <v>0</v>
          </cell>
          <cell r="J139">
            <v>0</v>
          </cell>
          <cell r="K139">
            <v>0</v>
          </cell>
          <cell r="L139">
            <v>0</v>
          </cell>
          <cell r="M139">
            <v>0</v>
          </cell>
          <cell r="N139">
            <v>0</v>
          </cell>
          <cell r="O139">
            <v>0</v>
          </cell>
          <cell r="P139">
            <v>0</v>
          </cell>
          <cell r="Q139">
            <v>30000</v>
          </cell>
        </row>
        <row r="140">
          <cell r="B140" t="str">
            <v>W.P.P.F.</v>
          </cell>
          <cell r="K140">
            <v>54000</v>
          </cell>
          <cell r="Q140">
            <v>54000</v>
          </cell>
        </row>
        <row r="141">
          <cell r="B141" t="str">
            <v>W.W.F.</v>
          </cell>
          <cell r="G141">
            <v>0</v>
          </cell>
          <cell r="J141">
            <v>20000</v>
          </cell>
          <cell r="Q141">
            <v>20000</v>
          </cell>
        </row>
        <row r="142">
          <cell r="B142" t="str">
            <v>Imprest account</v>
          </cell>
          <cell r="E142">
            <v>0</v>
          </cell>
          <cell r="F142">
            <v>0</v>
          </cell>
          <cell r="G142">
            <v>0</v>
          </cell>
          <cell r="H142">
            <v>0</v>
          </cell>
          <cell r="I142">
            <v>0</v>
          </cell>
          <cell r="J142">
            <v>0</v>
          </cell>
          <cell r="K142">
            <v>0</v>
          </cell>
          <cell r="M142">
            <v>0</v>
          </cell>
          <cell r="N142">
            <v>0</v>
          </cell>
          <cell r="O142">
            <v>0</v>
          </cell>
          <cell r="P142">
            <v>0</v>
          </cell>
          <cell r="Q142">
            <v>0</v>
          </cell>
          <cell r="R142">
            <v>58478.46910493102</v>
          </cell>
        </row>
        <row r="143">
          <cell r="E143">
            <v>0</v>
          </cell>
          <cell r="F143">
            <v>0</v>
          </cell>
          <cell r="G143">
            <v>0</v>
          </cell>
          <cell r="H143">
            <v>30000</v>
          </cell>
          <cell r="I143">
            <v>0</v>
          </cell>
          <cell r="J143">
            <v>20000</v>
          </cell>
          <cell r="K143">
            <v>54000</v>
          </cell>
          <cell r="L143">
            <v>0</v>
          </cell>
          <cell r="M143">
            <v>0</v>
          </cell>
          <cell r="N143">
            <v>0</v>
          </cell>
          <cell r="O143">
            <v>0</v>
          </cell>
          <cell r="P143">
            <v>0</v>
          </cell>
          <cell r="Q143">
            <v>104000</v>
          </cell>
        </row>
        <row r="144">
          <cell r="B144" t="str">
            <v>Total of Out flow</v>
          </cell>
          <cell r="E144">
            <v>689207.71027762908</v>
          </cell>
          <cell r="F144">
            <v>810916.11952413293</v>
          </cell>
          <cell r="G144">
            <v>869163.89232942741</v>
          </cell>
          <cell r="H144">
            <v>953574.20871423325</v>
          </cell>
          <cell r="I144">
            <v>653338.13876059162</v>
          </cell>
          <cell r="J144">
            <v>720472.74561675207</v>
          </cell>
          <cell r="K144">
            <v>1130967.6771749537</v>
          </cell>
          <cell r="L144">
            <v>709041.5014920301</v>
          </cell>
          <cell r="M144">
            <v>802569.27502529207</v>
          </cell>
          <cell r="N144">
            <v>724100.56743397634</v>
          </cell>
          <cell r="O144">
            <v>722434.52359791275</v>
          </cell>
          <cell r="P144">
            <v>767210.20602037711</v>
          </cell>
          <cell r="Q144">
            <v>9552996.5659673084</v>
          </cell>
        </row>
        <row r="146">
          <cell r="B146" t="str">
            <v>Net Cash In/&lt;out&gt; flow</v>
          </cell>
          <cell r="E146">
            <v>90228.376678892644</v>
          </cell>
          <cell r="F146">
            <v>101716.48917151918</v>
          </cell>
          <cell r="G146">
            <v>63293.064192311605</v>
          </cell>
          <cell r="H146">
            <v>80641.008677071193</v>
          </cell>
          <cell r="I146">
            <v>71517.948195930105</v>
          </cell>
          <cell r="J146">
            <v>26487.254383247928</v>
          </cell>
          <cell r="K146">
            <v>-93374.198914084118</v>
          </cell>
          <cell r="L146">
            <v>78950.237638404709</v>
          </cell>
          <cell r="M146">
            <v>62126.377148620901</v>
          </cell>
          <cell r="N146">
            <v>99573.345609501936</v>
          </cell>
          <cell r="O146">
            <v>89945.911184696015</v>
          </cell>
          <cell r="P146">
            <v>69044.57658831845</v>
          </cell>
          <cell r="Q146">
            <v>740150.39055442996</v>
          </cell>
        </row>
        <row r="149">
          <cell r="B149" t="str">
            <v>Indus Motor Company Limited</v>
          </cell>
        </row>
        <row r="150">
          <cell r="B150" t="str">
            <v xml:space="preserve">Projected Cash Flow - CKD Operation (DAIHATSU) </v>
          </cell>
        </row>
        <row r="151">
          <cell r="B151" t="str">
            <v>From 01-07-2000 to 30-06-2001</v>
          </cell>
        </row>
        <row r="153">
          <cell r="E153">
            <v>183</v>
          </cell>
          <cell r="F153">
            <v>214</v>
          </cell>
          <cell r="G153">
            <v>245</v>
          </cell>
          <cell r="H153">
            <v>276</v>
          </cell>
          <cell r="I153">
            <v>307</v>
          </cell>
          <cell r="J153">
            <v>338</v>
          </cell>
          <cell r="K153">
            <v>369</v>
          </cell>
          <cell r="L153">
            <v>400</v>
          </cell>
          <cell r="M153">
            <v>431</v>
          </cell>
          <cell r="N153">
            <v>462</v>
          </cell>
          <cell r="O153">
            <v>493</v>
          </cell>
          <cell r="P153">
            <v>524</v>
          </cell>
          <cell r="Q153" t="str">
            <v>TOTAL</v>
          </cell>
        </row>
        <row r="154">
          <cell r="B154" t="str">
            <v>In Flow</v>
          </cell>
          <cell r="Q154" t="str">
            <v>99 - 2000</v>
          </cell>
        </row>
        <row r="156">
          <cell r="B156" t="str">
            <v>Total Units sold</v>
          </cell>
          <cell r="E156">
            <v>300</v>
          </cell>
          <cell r="F156">
            <v>300</v>
          </cell>
          <cell r="G156">
            <v>300</v>
          </cell>
          <cell r="H156">
            <v>300</v>
          </cell>
          <cell r="I156">
            <v>300</v>
          </cell>
          <cell r="J156">
            <v>300</v>
          </cell>
          <cell r="K156">
            <v>350</v>
          </cell>
          <cell r="L156">
            <v>350</v>
          </cell>
          <cell r="M156">
            <v>350</v>
          </cell>
          <cell r="N156">
            <v>350</v>
          </cell>
          <cell r="O156">
            <v>350</v>
          </cell>
          <cell r="P156">
            <v>350</v>
          </cell>
          <cell r="Q156">
            <v>3900</v>
          </cell>
        </row>
        <row r="158">
          <cell r="C158" t="str">
            <v>CL</v>
          </cell>
          <cell r="E158">
            <v>26773.043478260872</v>
          </cell>
          <cell r="F158">
            <v>26773.043478260872</v>
          </cell>
          <cell r="G158">
            <v>26773.043478260872</v>
          </cell>
          <cell r="H158">
            <v>26773.043478260872</v>
          </cell>
          <cell r="I158">
            <v>26773.043478260872</v>
          </cell>
          <cell r="J158">
            <v>26773.043478260872</v>
          </cell>
          <cell r="K158">
            <v>26773.043478260872</v>
          </cell>
          <cell r="L158">
            <v>26773.043478260872</v>
          </cell>
          <cell r="M158">
            <v>26773.043478260872</v>
          </cell>
          <cell r="N158">
            <v>26773.043478260872</v>
          </cell>
          <cell r="O158">
            <v>26773.043478260872</v>
          </cell>
          <cell r="P158">
            <v>26773.043478260872</v>
          </cell>
          <cell r="Q158">
            <v>321276.52173913043</v>
          </cell>
        </row>
        <row r="159">
          <cell r="C159" t="str">
            <v>CL+AC</v>
          </cell>
          <cell r="E159">
            <v>0</v>
          </cell>
          <cell r="F159">
            <v>0</v>
          </cell>
          <cell r="G159">
            <v>0</v>
          </cell>
          <cell r="H159">
            <v>0</v>
          </cell>
          <cell r="I159">
            <v>0</v>
          </cell>
          <cell r="J159">
            <v>0</v>
          </cell>
          <cell r="K159">
            <v>4853.4782608695641</v>
          </cell>
          <cell r="L159">
            <v>4853.4782608695641</v>
          </cell>
          <cell r="M159">
            <v>4853.4782608695641</v>
          </cell>
          <cell r="N159">
            <v>4853.4782608695641</v>
          </cell>
          <cell r="O159">
            <v>4853.4782608695641</v>
          </cell>
          <cell r="P159">
            <v>4853.4782608695641</v>
          </cell>
          <cell r="Q159">
            <v>29120.869565217385</v>
          </cell>
        </row>
        <row r="160">
          <cell r="C160" t="str">
            <v>CX</v>
          </cell>
          <cell r="E160">
            <v>70760.869565217392</v>
          </cell>
          <cell r="F160">
            <v>70760.869565217392</v>
          </cell>
          <cell r="G160">
            <v>70760.869565217392</v>
          </cell>
          <cell r="H160">
            <v>70760.869565217392</v>
          </cell>
          <cell r="I160">
            <v>70760.869565217392</v>
          </cell>
          <cell r="J160">
            <v>70760.869565217392</v>
          </cell>
          <cell r="K160">
            <v>70760.869565217392</v>
          </cell>
          <cell r="L160">
            <v>70760.869565217392</v>
          </cell>
          <cell r="M160">
            <v>70760.869565217392</v>
          </cell>
          <cell r="N160">
            <v>70760.869565217392</v>
          </cell>
          <cell r="O160">
            <v>70760.869565217392</v>
          </cell>
          <cell r="P160">
            <v>70760.869565217392</v>
          </cell>
          <cell r="Q160">
            <v>849130.43478260876</v>
          </cell>
        </row>
        <row r="161">
          <cell r="C161" t="str">
            <v>CX SUNROOF</v>
          </cell>
          <cell r="E161">
            <v>0</v>
          </cell>
          <cell r="F161">
            <v>0</v>
          </cell>
          <cell r="G161">
            <v>0</v>
          </cell>
          <cell r="H161">
            <v>0</v>
          </cell>
          <cell r="I161">
            <v>0</v>
          </cell>
          <cell r="J161">
            <v>0</v>
          </cell>
          <cell r="K161">
            <v>12706.521739130436</v>
          </cell>
          <cell r="L161">
            <v>12706.521739130436</v>
          </cell>
          <cell r="M161">
            <v>12706.521739130436</v>
          </cell>
          <cell r="N161">
            <v>12706.521739130436</v>
          </cell>
          <cell r="O161">
            <v>12706.521739130436</v>
          </cell>
          <cell r="P161">
            <v>12706.521739130436</v>
          </cell>
          <cell r="Q161">
            <v>76239.130434782608</v>
          </cell>
        </row>
        <row r="162">
          <cell r="C162" t="str">
            <v>Scrap income</v>
          </cell>
          <cell r="E162">
            <v>100</v>
          </cell>
          <cell r="F162">
            <v>100</v>
          </cell>
          <cell r="G162">
            <v>100</v>
          </cell>
          <cell r="H162">
            <v>100</v>
          </cell>
          <cell r="I162">
            <v>100</v>
          </cell>
          <cell r="J162">
            <v>100</v>
          </cell>
          <cell r="K162">
            <v>100</v>
          </cell>
          <cell r="L162">
            <v>100</v>
          </cell>
          <cell r="M162">
            <v>100</v>
          </cell>
          <cell r="N162">
            <v>100</v>
          </cell>
          <cell r="O162">
            <v>100</v>
          </cell>
          <cell r="P162">
            <v>100</v>
          </cell>
          <cell r="Q162">
            <v>1200</v>
          </cell>
        </row>
        <row r="163">
          <cell r="C163" t="str">
            <v>Advance from customer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C164" t="str">
            <v xml:space="preserve">Subsidy on advertisement </v>
          </cell>
          <cell r="E164">
            <v>833.33333333333337</v>
          </cell>
          <cell r="F164">
            <v>833.33333333333337</v>
          </cell>
          <cell r="G164">
            <v>833.33333333333337</v>
          </cell>
          <cell r="H164">
            <v>833.33333333333337</v>
          </cell>
          <cell r="I164">
            <v>833.33333333333337</v>
          </cell>
          <cell r="J164">
            <v>833.33333333333337</v>
          </cell>
          <cell r="K164">
            <v>833.33333333333337</v>
          </cell>
          <cell r="L164">
            <v>833.33333333333337</v>
          </cell>
          <cell r="M164">
            <v>833.33333333333337</v>
          </cell>
          <cell r="N164">
            <v>833.33333333333337</v>
          </cell>
          <cell r="O164">
            <v>833.33333333333337</v>
          </cell>
          <cell r="P164">
            <v>833.33333333333337</v>
          </cell>
          <cell r="Q164">
            <v>10000</v>
          </cell>
        </row>
        <row r="165">
          <cell r="C165" t="str">
            <v>Total of In flow</v>
          </cell>
          <cell r="E165">
            <v>98467.246376811599</v>
          </cell>
          <cell r="F165">
            <v>98467.246376811599</v>
          </cell>
          <cell r="G165">
            <v>98467.246376811599</v>
          </cell>
          <cell r="H165">
            <v>98467.246376811599</v>
          </cell>
          <cell r="I165">
            <v>98467.246376811599</v>
          </cell>
          <cell r="J165">
            <v>98467.246376811599</v>
          </cell>
          <cell r="K165">
            <v>116027.24637681158</v>
          </cell>
          <cell r="L165">
            <v>116027.24637681158</v>
          </cell>
          <cell r="M165">
            <v>116027.24637681158</v>
          </cell>
          <cell r="N165">
            <v>116027.24637681158</v>
          </cell>
          <cell r="O165">
            <v>116027.24637681158</v>
          </cell>
          <cell r="P165">
            <v>116027.24637681158</v>
          </cell>
          <cell r="Q165">
            <v>1286966.9565217393</v>
          </cell>
        </row>
        <row r="166">
          <cell r="B166" t="str">
            <v>Out Flow</v>
          </cell>
        </row>
        <row r="167">
          <cell r="B167" t="str">
            <v>Arrival during the month</v>
          </cell>
        </row>
        <row r="168">
          <cell r="C168" t="str">
            <v>CL - Document Ret.-Usance</v>
          </cell>
          <cell r="E168">
            <v>12104.5862106</v>
          </cell>
          <cell r="F168">
            <v>12104.5862106</v>
          </cell>
          <cell r="G168">
            <v>12104.5862106</v>
          </cell>
          <cell r="H168">
            <v>12104.5862106</v>
          </cell>
          <cell r="I168">
            <v>12104.5862106</v>
          </cell>
          <cell r="J168">
            <v>12104.5862106</v>
          </cell>
          <cell r="K168">
            <v>12104.5862106</v>
          </cell>
          <cell r="L168">
            <v>12104.5862106</v>
          </cell>
          <cell r="M168">
            <v>12104.5862106</v>
          </cell>
          <cell r="N168">
            <v>12104.5862106</v>
          </cell>
          <cell r="O168">
            <v>12104.5862106</v>
          </cell>
          <cell r="P168">
            <v>12104.5862106</v>
          </cell>
          <cell r="Q168">
            <v>145255.03452720001</v>
          </cell>
        </row>
        <row r="169">
          <cell r="C169" t="str">
            <v xml:space="preserve">           Govt. levies</v>
          </cell>
          <cell r="E169">
            <v>4581.9155483240947</v>
          </cell>
          <cell r="F169">
            <v>4581.9155483240947</v>
          </cell>
          <cell r="G169">
            <v>4581.9155483240947</v>
          </cell>
          <cell r="H169">
            <v>4581.9155483240947</v>
          </cell>
          <cell r="I169">
            <v>4581.9155483240947</v>
          </cell>
          <cell r="J169">
            <v>4581.9155483240947</v>
          </cell>
          <cell r="K169">
            <v>4581.9155483240947</v>
          </cell>
          <cell r="L169">
            <v>4581.9155483240947</v>
          </cell>
          <cell r="M169">
            <v>4581.9155483240947</v>
          </cell>
          <cell r="N169">
            <v>4581.9155483240947</v>
          </cell>
          <cell r="O169">
            <v>4581.9155483240947</v>
          </cell>
          <cell r="P169">
            <v>4581.9155483240947</v>
          </cell>
          <cell r="Q169">
            <v>54982.986579889148</v>
          </cell>
        </row>
        <row r="170">
          <cell r="E170">
            <v>16686.501758924096</v>
          </cell>
          <cell r="F170">
            <v>16686.501758924096</v>
          </cell>
          <cell r="G170">
            <v>16686.501758924096</v>
          </cell>
          <cell r="H170">
            <v>16686.501758924096</v>
          </cell>
          <cell r="I170">
            <v>16686.501758924096</v>
          </cell>
          <cell r="J170">
            <v>16686.501758924096</v>
          </cell>
          <cell r="K170">
            <v>16686.501758924096</v>
          </cell>
          <cell r="L170">
            <v>16686.501758924096</v>
          </cell>
          <cell r="M170">
            <v>16686.501758924096</v>
          </cell>
          <cell r="N170">
            <v>16686.501758924096</v>
          </cell>
          <cell r="O170">
            <v>16686.501758924096</v>
          </cell>
          <cell r="P170">
            <v>16686.501758924096</v>
          </cell>
          <cell r="Q170">
            <v>200238.02110708921</v>
          </cell>
        </row>
        <row r="171">
          <cell r="C171" t="str">
            <v>CL+AC - Document Ret.-Usance</v>
          </cell>
          <cell r="E171">
            <v>0</v>
          </cell>
          <cell r="F171">
            <v>0</v>
          </cell>
          <cell r="G171">
            <v>0</v>
          </cell>
          <cell r="H171">
            <v>0</v>
          </cell>
          <cell r="I171">
            <v>0</v>
          </cell>
          <cell r="J171">
            <v>0</v>
          </cell>
          <cell r="K171">
            <v>2017.4310350999999</v>
          </cell>
          <cell r="L171">
            <v>2017.4310350999999</v>
          </cell>
          <cell r="M171">
            <v>2017.4310350999999</v>
          </cell>
          <cell r="N171">
            <v>2017.4310350999999</v>
          </cell>
          <cell r="O171">
            <v>2017.4310350999999</v>
          </cell>
          <cell r="P171">
            <v>2017.4310350999999</v>
          </cell>
          <cell r="Q171">
            <v>12104.5862106</v>
          </cell>
        </row>
        <row r="172">
          <cell r="C172" t="str">
            <v xml:space="preserve">           Govt. levies</v>
          </cell>
          <cell r="E172">
            <v>0</v>
          </cell>
          <cell r="F172">
            <v>0</v>
          </cell>
          <cell r="G172">
            <v>0</v>
          </cell>
          <cell r="H172">
            <v>0</v>
          </cell>
          <cell r="I172">
            <v>0</v>
          </cell>
          <cell r="J172">
            <v>0</v>
          </cell>
          <cell r="K172">
            <v>763.65259138734916</v>
          </cell>
          <cell r="L172">
            <v>763.65259138734916</v>
          </cell>
          <cell r="M172">
            <v>763.65259138734916</v>
          </cell>
          <cell r="N172">
            <v>763.65259138734916</v>
          </cell>
          <cell r="O172">
            <v>763.65259138734916</v>
          </cell>
          <cell r="P172">
            <v>763.65259138734916</v>
          </cell>
          <cell r="Q172">
            <v>4581.9155483240947</v>
          </cell>
        </row>
        <row r="173">
          <cell r="E173">
            <v>0</v>
          </cell>
          <cell r="F173">
            <v>0</v>
          </cell>
          <cell r="G173">
            <v>0</v>
          </cell>
          <cell r="H173">
            <v>0</v>
          </cell>
          <cell r="I173">
            <v>0</v>
          </cell>
          <cell r="J173">
            <v>0</v>
          </cell>
          <cell r="K173">
            <v>2781.0836264873492</v>
          </cell>
          <cell r="L173">
            <v>2781.0836264873492</v>
          </cell>
          <cell r="M173">
            <v>2781.0836264873492</v>
          </cell>
          <cell r="N173">
            <v>2781.0836264873492</v>
          </cell>
          <cell r="O173">
            <v>2781.0836264873492</v>
          </cell>
          <cell r="P173">
            <v>2781.0836264873492</v>
          </cell>
          <cell r="Q173">
            <v>16686.501758924096</v>
          </cell>
        </row>
        <row r="174">
          <cell r="C174" t="str">
            <v>CX - Document Ret.-Usance</v>
          </cell>
          <cell r="E174">
            <v>28244.034491399998</v>
          </cell>
          <cell r="F174">
            <v>28244.034491399998</v>
          </cell>
          <cell r="G174">
            <v>28244.034491399998</v>
          </cell>
          <cell r="H174">
            <v>28244.034491399998</v>
          </cell>
          <cell r="I174">
            <v>28244.034491399998</v>
          </cell>
          <cell r="J174">
            <v>28244.034491399998</v>
          </cell>
          <cell r="K174">
            <v>28244.034491399998</v>
          </cell>
          <cell r="L174">
            <v>28244.034491399998</v>
          </cell>
          <cell r="M174">
            <v>28244.034491399998</v>
          </cell>
          <cell r="N174">
            <v>28244.034491399998</v>
          </cell>
          <cell r="O174">
            <v>28244.034491399998</v>
          </cell>
          <cell r="P174">
            <v>28244.034491399998</v>
          </cell>
          <cell r="Q174">
            <v>338928.41389679996</v>
          </cell>
        </row>
        <row r="175">
          <cell r="C175" t="str">
            <v xml:space="preserve">           Govt. levies</v>
          </cell>
          <cell r="E175">
            <v>10691.136279422888</v>
          </cell>
          <cell r="F175">
            <v>10691.136279422888</v>
          </cell>
          <cell r="G175">
            <v>10691.136279422888</v>
          </cell>
          <cell r="H175">
            <v>10691.136279422888</v>
          </cell>
          <cell r="I175">
            <v>10691.136279422888</v>
          </cell>
          <cell r="J175">
            <v>10691.136279422888</v>
          </cell>
          <cell r="K175">
            <v>10691.136279422888</v>
          </cell>
          <cell r="L175">
            <v>10691.136279422888</v>
          </cell>
          <cell r="M175">
            <v>10691.136279422888</v>
          </cell>
          <cell r="N175">
            <v>10691.136279422888</v>
          </cell>
          <cell r="O175">
            <v>10691.136279422888</v>
          </cell>
          <cell r="P175">
            <v>10691.136279422888</v>
          </cell>
          <cell r="Q175">
            <v>128293.63535307469</v>
          </cell>
        </row>
        <row r="176">
          <cell r="E176">
            <v>38935.170770822886</v>
          </cell>
          <cell r="F176">
            <v>38935.170770822886</v>
          </cell>
          <cell r="G176">
            <v>38935.170770822886</v>
          </cell>
          <cell r="H176">
            <v>38935.170770822886</v>
          </cell>
          <cell r="I176">
            <v>38935.170770822886</v>
          </cell>
          <cell r="J176">
            <v>38935.170770822886</v>
          </cell>
          <cell r="K176">
            <v>38935.170770822886</v>
          </cell>
          <cell r="L176">
            <v>38935.170770822886</v>
          </cell>
          <cell r="M176">
            <v>38935.170770822886</v>
          </cell>
          <cell r="N176">
            <v>38935.170770822886</v>
          </cell>
          <cell r="O176">
            <v>38935.170770822886</v>
          </cell>
          <cell r="P176">
            <v>38935.170770822886</v>
          </cell>
          <cell r="Q176">
            <v>467222.04924987472</v>
          </cell>
        </row>
        <row r="177">
          <cell r="C177" t="str">
            <v>CX SUNROOF- Document Ret.-Usance</v>
          </cell>
          <cell r="E177">
            <v>0</v>
          </cell>
          <cell r="F177">
            <v>0</v>
          </cell>
          <cell r="G177">
            <v>0</v>
          </cell>
          <cell r="H177">
            <v>0</v>
          </cell>
          <cell r="I177">
            <v>0</v>
          </cell>
          <cell r="J177">
            <v>0</v>
          </cell>
          <cell r="K177">
            <v>4707.3390818999997</v>
          </cell>
          <cell r="L177">
            <v>4707.3390818999997</v>
          </cell>
          <cell r="M177">
            <v>4707.3390818999997</v>
          </cell>
          <cell r="N177">
            <v>4707.3390818999997</v>
          </cell>
          <cell r="O177">
            <v>4707.3390818999997</v>
          </cell>
          <cell r="P177">
            <v>4707.3390818999997</v>
          </cell>
          <cell r="Q177">
            <v>28244.034491399994</v>
          </cell>
        </row>
        <row r="178">
          <cell r="C178" t="str">
            <v xml:space="preserve">           Govt. levies</v>
          </cell>
          <cell r="E178">
            <v>0</v>
          </cell>
          <cell r="F178">
            <v>0</v>
          </cell>
          <cell r="G178">
            <v>0</v>
          </cell>
          <cell r="H178">
            <v>0</v>
          </cell>
          <cell r="I178">
            <v>0</v>
          </cell>
          <cell r="J178">
            <v>0</v>
          </cell>
          <cell r="K178">
            <v>1781.8560465704816</v>
          </cell>
          <cell r="L178">
            <v>1781.8560465704816</v>
          </cell>
          <cell r="M178">
            <v>1781.8560465704816</v>
          </cell>
          <cell r="N178">
            <v>1781.8560465704816</v>
          </cell>
          <cell r="O178">
            <v>1781.8560465704816</v>
          </cell>
          <cell r="P178">
            <v>1781.8560465704816</v>
          </cell>
          <cell r="Q178">
            <v>10691.13627942289</v>
          </cell>
        </row>
        <row r="179">
          <cell r="E179">
            <v>0</v>
          </cell>
          <cell r="F179">
            <v>0</v>
          </cell>
          <cell r="G179">
            <v>0</v>
          </cell>
          <cell r="H179">
            <v>0</v>
          </cell>
          <cell r="I179">
            <v>0</v>
          </cell>
          <cell r="J179">
            <v>0</v>
          </cell>
          <cell r="K179">
            <v>6489.195128470481</v>
          </cell>
          <cell r="L179">
            <v>6489.195128470481</v>
          </cell>
          <cell r="M179">
            <v>6489.195128470481</v>
          </cell>
          <cell r="N179">
            <v>6489.195128470481</v>
          </cell>
          <cell r="O179">
            <v>6489.195128470481</v>
          </cell>
          <cell r="P179">
            <v>6489.195128470481</v>
          </cell>
          <cell r="Q179">
            <v>38935.170770822886</v>
          </cell>
        </row>
        <row r="180">
          <cell r="B180" t="str">
            <v xml:space="preserve">Maturity Due </v>
          </cell>
          <cell r="F180">
            <v>0</v>
          </cell>
          <cell r="G180">
            <v>0</v>
          </cell>
          <cell r="H180">
            <v>0</v>
          </cell>
          <cell r="I180">
            <v>0</v>
          </cell>
          <cell r="J180">
            <v>0</v>
          </cell>
          <cell r="Q180">
            <v>0</v>
          </cell>
        </row>
        <row r="181">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B182" t="str">
            <v xml:space="preserve">Total of </v>
          </cell>
          <cell r="C182" t="str">
            <v xml:space="preserve">Documents retirement </v>
          </cell>
          <cell r="E182">
            <v>40348.620702</v>
          </cell>
          <cell r="F182">
            <v>40348.620702</v>
          </cell>
          <cell r="G182">
            <v>40348.620702</v>
          </cell>
          <cell r="H182">
            <v>40348.620702</v>
          </cell>
          <cell r="I182">
            <v>40348.620702</v>
          </cell>
          <cell r="J182">
            <v>40348.620702</v>
          </cell>
          <cell r="K182">
            <v>47073.390819</v>
          </cell>
          <cell r="L182">
            <v>47073.390819</v>
          </cell>
          <cell r="M182">
            <v>47073.390819</v>
          </cell>
          <cell r="N182">
            <v>47073.390819</v>
          </cell>
          <cell r="O182">
            <v>47073.390819</v>
          </cell>
          <cell r="P182">
            <v>47073.390819</v>
          </cell>
          <cell r="Q182">
            <v>524532.06912600005</v>
          </cell>
        </row>
        <row r="183">
          <cell r="C183" t="str">
            <v xml:space="preserve">           Govt. levies</v>
          </cell>
          <cell r="E183">
            <v>15273.051827746982</v>
          </cell>
          <cell r="F183">
            <v>15273.051827746982</v>
          </cell>
          <cell r="G183">
            <v>15273.051827746982</v>
          </cell>
          <cell r="H183">
            <v>15273.051827746982</v>
          </cell>
          <cell r="I183">
            <v>15273.051827746982</v>
          </cell>
          <cell r="J183">
            <v>15273.051827746982</v>
          </cell>
          <cell r="K183">
            <v>17818.560465704813</v>
          </cell>
          <cell r="L183">
            <v>17818.560465704813</v>
          </cell>
          <cell r="M183">
            <v>17818.560465704813</v>
          </cell>
          <cell r="N183">
            <v>17818.560465704813</v>
          </cell>
          <cell r="O183">
            <v>17818.560465704813</v>
          </cell>
          <cell r="P183">
            <v>17818.560465704813</v>
          </cell>
          <cell r="Q183">
            <v>198549.67376071081</v>
          </cell>
        </row>
        <row r="184">
          <cell r="E184">
            <v>55621.672529746982</v>
          </cell>
          <cell r="F184">
            <v>55621.672529746982</v>
          </cell>
          <cell r="G184">
            <v>55621.672529746982</v>
          </cell>
          <cell r="H184">
            <v>55621.672529746982</v>
          </cell>
          <cell r="I184">
            <v>55621.672529746982</v>
          </cell>
          <cell r="J184">
            <v>55621.672529746982</v>
          </cell>
          <cell r="K184">
            <v>64891.951284704817</v>
          </cell>
          <cell r="L184">
            <v>64891.951284704817</v>
          </cell>
          <cell r="M184">
            <v>64891.951284704817</v>
          </cell>
          <cell r="N184">
            <v>64891.951284704817</v>
          </cell>
          <cell r="O184">
            <v>64891.951284704817</v>
          </cell>
          <cell r="P184">
            <v>64891.951284704817</v>
          </cell>
          <cell r="Q184">
            <v>723081.74288671103</v>
          </cell>
        </row>
        <row r="185">
          <cell r="B185" t="str">
            <v>Vendors' Parts</v>
          </cell>
        </row>
        <row r="186">
          <cell r="C186" t="str">
            <v>CL</v>
          </cell>
          <cell r="E186">
            <v>6320.79</v>
          </cell>
          <cell r="F186">
            <v>6320.79</v>
          </cell>
          <cell r="G186">
            <v>6320.79</v>
          </cell>
          <cell r="H186">
            <v>6320.79</v>
          </cell>
          <cell r="I186">
            <v>6320.79</v>
          </cell>
          <cell r="J186">
            <v>6320.79</v>
          </cell>
          <cell r="K186">
            <v>6320.79</v>
          </cell>
          <cell r="L186">
            <v>6320.79</v>
          </cell>
          <cell r="M186">
            <v>6320.79</v>
          </cell>
          <cell r="N186">
            <v>6320.79</v>
          </cell>
          <cell r="O186">
            <v>6320.79</v>
          </cell>
          <cell r="P186">
            <v>6320.79</v>
          </cell>
          <cell r="Q186">
            <v>75849.48</v>
          </cell>
        </row>
        <row r="187">
          <cell r="C187" t="str">
            <v>CL+AC</v>
          </cell>
          <cell r="E187">
            <v>0</v>
          </cell>
          <cell r="F187">
            <v>0</v>
          </cell>
          <cell r="G187">
            <v>0</v>
          </cell>
          <cell r="H187">
            <v>0</v>
          </cell>
          <cell r="I187">
            <v>0</v>
          </cell>
          <cell r="J187">
            <v>0</v>
          </cell>
          <cell r="K187">
            <v>1383.4649999999999</v>
          </cell>
          <cell r="L187">
            <v>1383.4649999999999</v>
          </cell>
          <cell r="M187">
            <v>1383.4649999999999</v>
          </cell>
          <cell r="N187">
            <v>1383.4649999999999</v>
          </cell>
          <cell r="O187">
            <v>1383.4649999999999</v>
          </cell>
          <cell r="P187">
            <v>1383.4649999999999</v>
          </cell>
          <cell r="Q187">
            <v>8300.7899999999991</v>
          </cell>
        </row>
        <row r="188">
          <cell r="C188" t="str">
            <v>CX</v>
          </cell>
          <cell r="E188">
            <v>21430.080000000002</v>
          </cell>
          <cell r="F188">
            <v>21430.080000000002</v>
          </cell>
          <cell r="G188">
            <v>21430.080000000002</v>
          </cell>
          <cell r="H188">
            <v>21430.080000000002</v>
          </cell>
          <cell r="I188">
            <v>21430.080000000002</v>
          </cell>
          <cell r="J188">
            <v>21430.080000000002</v>
          </cell>
          <cell r="K188">
            <v>21430.080000000002</v>
          </cell>
          <cell r="L188">
            <v>21430.080000000002</v>
          </cell>
          <cell r="M188">
            <v>21430.080000000002</v>
          </cell>
          <cell r="N188">
            <v>21430.080000000002</v>
          </cell>
          <cell r="O188">
            <v>21430.080000000002</v>
          </cell>
          <cell r="P188">
            <v>21430.080000000002</v>
          </cell>
          <cell r="Q188">
            <v>257160.96000000008</v>
          </cell>
        </row>
        <row r="189">
          <cell r="C189" t="str">
            <v>CX SUNROOF</v>
          </cell>
          <cell r="E189">
            <v>0</v>
          </cell>
          <cell r="F189">
            <v>0</v>
          </cell>
          <cell r="G189">
            <v>0</v>
          </cell>
          <cell r="H189">
            <v>0</v>
          </cell>
          <cell r="I189">
            <v>0</v>
          </cell>
          <cell r="J189">
            <v>0</v>
          </cell>
          <cell r="K189">
            <v>4341.68</v>
          </cell>
          <cell r="L189">
            <v>4341.68</v>
          </cell>
          <cell r="M189">
            <v>4341.68</v>
          </cell>
          <cell r="N189">
            <v>4341.68</v>
          </cell>
          <cell r="O189">
            <v>4341.68</v>
          </cell>
          <cell r="P189">
            <v>4341.68</v>
          </cell>
          <cell r="Q189">
            <v>26050.080000000002</v>
          </cell>
        </row>
        <row r="190">
          <cell r="E190">
            <v>27750.870000000003</v>
          </cell>
          <cell r="F190">
            <v>27750.870000000003</v>
          </cell>
          <cell r="G190">
            <v>27750.870000000003</v>
          </cell>
          <cell r="H190">
            <v>27750.870000000003</v>
          </cell>
          <cell r="I190">
            <v>27750.870000000003</v>
          </cell>
          <cell r="J190">
            <v>27750.870000000003</v>
          </cell>
          <cell r="K190">
            <v>33476.014999999999</v>
          </cell>
          <cell r="L190">
            <v>33476.014999999999</v>
          </cell>
          <cell r="M190">
            <v>33476.014999999999</v>
          </cell>
          <cell r="N190">
            <v>33476.014999999999</v>
          </cell>
          <cell r="O190">
            <v>33476.014999999999</v>
          </cell>
          <cell r="P190">
            <v>33476.014999999999</v>
          </cell>
          <cell r="Q190">
            <v>367361.31000000011</v>
          </cell>
        </row>
        <row r="191">
          <cell r="B191" t="str">
            <v>DMC Parts</v>
          </cell>
          <cell r="R191">
            <v>341311230</v>
          </cell>
        </row>
        <row r="192">
          <cell r="C192" t="str">
            <v>CL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row>
        <row r="193">
          <cell r="C193" t="str">
            <v>CG</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21085290</v>
          </cell>
        </row>
        <row r="194">
          <cell r="C194" t="str">
            <v>CX</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B196" t="str">
            <v>Consumable</v>
          </cell>
        </row>
        <row r="197">
          <cell r="C197" t="str">
            <v>CL</v>
          </cell>
          <cell r="E197">
            <v>602.01</v>
          </cell>
          <cell r="F197">
            <v>602.01</v>
          </cell>
          <cell r="G197">
            <v>602.01</v>
          </cell>
          <cell r="H197">
            <v>602.01</v>
          </cell>
          <cell r="I197">
            <v>602.01</v>
          </cell>
          <cell r="J197">
            <v>602.01</v>
          </cell>
          <cell r="K197">
            <v>602.01</v>
          </cell>
          <cell r="L197">
            <v>602.01</v>
          </cell>
          <cell r="M197">
            <v>602.01</v>
          </cell>
          <cell r="N197">
            <v>602.01</v>
          </cell>
          <cell r="O197">
            <v>602.01</v>
          </cell>
          <cell r="P197">
            <v>602.01</v>
          </cell>
          <cell r="Q197">
            <v>7224.1200000000017</v>
          </cell>
        </row>
        <row r="198">
          <cell r="C198" t="str">
            <v>CL+AC</v>
          </cell>
          <cell r="E198">
            <v>0</v>
          </cell>
          <cell r="F198">
            <v>0</v>
          </cell>
          <cell r="G198">
            <v>0</v>
          </cell>
          <cell r="H198">
            <v>0</v>
          </cell>
          <cell r="I198">
            <v>0</v>
          </cell>
          <cell r="J198">
            <v>0</v>
          </cell>
          <cell r="K198">
            <v>100.33499999999999</v>
          </cell>
          <cell r="L198">
            <v>100.33499999999999</v>
          </cell>
          <cell r="M198">
            <v>100.33499999999999</v>
          </cell>
          <cell r="N198">
            <v>100.33499999999999</v>
          </cell>
          <cell r="O198">
            <v>100.33499999999999</v>
          </cell>
          <cell r="P198">
            <v>100.33499999999999</v>
          </cell>
          <cell r="Q198">
            <v>602.01</v>
          </cell>
        </row>
        <row r="199">
          <cell r="C199" t="str">
            <v>CX</v>
          </cell>
          <cell r="E199">
            <v>2145.5700000000002</v>
          </cell>
          <cell r="F199">
            <v>2145.5700000000002</v>
          </cell>
          <cell r="G199">
            <v>2145.5700000000002</v>
          </cell>
          <cell r="H199">
            <v>2145.5700000000002</v>
          </cell>
          <cell r="I199">
            <v>2145.5700000000002</v>
          </cell>
          <cell r="J199">
            <v>2145.5700000000002</v>
          </cell>
          <cell r="K199">
            <v>2145.5700000000002</v>
          </cell>
          <cell r="L199">
            <v>2145.5700000000002</v>
          </cell>
          <cell r="M199">
            <v>2145.5700000000002</v>
          </cell>
          <cell r="N199">
            <v>2145.5700000000002</v>
          </cell>
          <cell r="O199">
            <v>2145.5700000000002</v>
          </cell>
          <cell r="P199">
            <v>2145.5700000000002</v>
          </cell>
          <cell r="Q199">
            <v>25746.84</v>
          </cell>
        </row>
        <row r="200">
          <cell r="C200" t="str">
            <v>CX SUNROOF</v>
          </cell>
          <cell r="E200">
            <v>0</v>
          </cell>
          <cell r="F200">
            <v>0</v>
          </cell>
          <cell r="G200">
            <v>0</v>
          </cell>
          <cell r="H200">
            <v>0</v>
          </cell>
          <cell r="I200">
            <v>0</v>
          </cell>
          <cell r="J200">
            <v>0</v>
          </cell>
          <cell r="K200">
            <v>357.59500000000003</v>
          </cell>
          <cell r="L200">
            <v>357.59500000000003</v>
          </cell>
          <cell r="M200">
            <v>357.59500000000003</v>
          </cell>
          <cell r="N200">
            <v>357.59500000000003</v>
          </cell>
          <cell r="O200">
            <v>357.59500000000003</v>
          </cell>
          <cell r="P200">
            <v>357.59500000000003</v>
          </cell>
          <cell r="Q200">
            <v>2145.5700000000002</v>
          </cell>
        </row>
        <row r="201">
          <cell r="E201">
            <v>2747.58</v>
          </cell>
          <cell r="F201">
            <v>2747.58</v>
          </cell>
          <cell r="G201">
            <v>2747.58</v>
          </cell>
          <cell r="H201">
            <v>2747.58</v>
          </cell>
          <cell r="I201">
            <v>2747.58</v>
          </cell>
          <cell r="J201">
            <v>2747.58</v>
          </cell>
          <cell r="K201">
            <v>3205.51</v>
          </cell>
          <cell r="L201">
            <v>3205.51</v>
          </cell>
          <cell r="M201">
            <v>3205.51</v>
          </cell>
          <cell r="N201">
            <v>3205.51</v>
          </cell>
          <cell r="O201">
            <v>3205.51</v>
          </cell>
          <cell r="P201">
            <v>3205.51</v>
          </cell>
          <cell r="Q201">
            <v>35718.54</v>
          </cell>
          <cell r="R201">
            <v>33572970</v>
          </cell>
        </row>
        <row r="203">
          <cell r="B203" t="str">
            <v>Production  - Expenses</v>
          </cell>
          <cell r="E203">
            <v>2251.0518132145107</v>
          </cell>
          <cell r="F203">
            <v>2251.0518132145107</v>
          </cell>
          <cell r="G203">
            <v>2251.0518132145107</v>
          </cell>
          <cell r="H203">
            <v>2251.0518132145107</v>
          </cell>
          <cell r="I203">
            <v>2251.0518132145107</v>
          </cell>
          <cell r="J203">
            <v>2251.0518132145107</v>
          </cell>
          <cell r="K203">
            <v>2251.0518132145116</v>
          </cell>
          <cell r="L203">
            <v>2251.0518132145116</v>
          </cell>
          <cell r="M203">
            <v>2251.0518132145116</v>
          </cell>
          <cell r="N203">
            <v>2251.0518132145116</v>
          </cell>
          <cell r="O203">
            <v>2251.0518132145116</v>
          </cell>
          <cell r="P203">
            <v>2251.0518132145116</v>
          </cell>
          <cell r="Q203">
            <v>27012.621758574136</v>
          </cell>
          <cell r="R203">
            <v>27012621.758574128</v>
          </cell>
        </row>
        <row r="204">
          <cell r="B204" t="str">
            <v>Utility</v>
          </cell>
          <cell r="E204">
            <v>1162.5</v>
          </cell>
          <cell r="F204">
            <v>1162.5</v>
          </cell>
          <cell r="G204">
            <v>1162.5</v>
          </cell>
          <cell r="H204">
            <v>1162.5</v>
          </cell>
          <cell r="I204">
            <v>1162.5</v>
          </cell>
          <cell r="J204">
            <v>1162.5</v>
          </cell>
          <cell r="K204">
            <v>1356.25</v>
          </cell>
          <cell r="L204">
            <v>1356.25</v>
          </cell>
          <cell r="M204">
            <v>1356.25</v>
          </cell>
          <cell r="N204">
            <v>1356.25</v>
          </cell>
          <cell r="O204">
            <v>1356.25</v>
          </cell>
          <cell r="P204">
            <v>1356.25</v>
          </cell>
          <cell r="Q204">
            <v>15112.5</v>
          </cell>
        </row>
        <row r="205">
          <cell r="B205" t="str">
            <v>Selling Expenses</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row>
        <row r="206">
          <cell r="B206" t="str">
            <v>Advertisement</v>
          </cell>
          <cell r="E206">
            <v>3267.1785390357918</v>
          </cell>
          <cell r="F206">
            <v>5722.4534291495156</v>
          </cell>
          <cell r="G206">
            <v>176.07549012767743</v>
          </cell>
          <cell r="H206">
            <v>732.42512907276921</v>
          </cell>
          <cell r="I206">
            <v>3235.9495154735855</v>
          </cell>
          <cell r="J206">
            <v>3461.1754975513181</v>
          </cell>
          <cell r="K206">
            <v>6775.2448701212988</v>
          </cell>
          <cell r="L206">
            <v>48.533272708605296</v>
          </cell>
          <cell r="M206">
            <v>48.533272708605296</v>
          </cell>
          <cell r="N206">
            <v>5459.9931797180961</v>
          </cell>
          <cell r="O206">
            <v>3154.6627260593432</v>
          </cell>
          <cell r="P206">
            <v>533.86599979465802</v>
          </cell>
          <cell r="Q206">
            <v>32616.090921521274</v>
          </cell>
          <cell r="R206">
            <v>32616090.921521265</v>
          </cell>
        </row>
        <row r="207">
          <cell r="B207" t="str">
            <v>Administrative Expenses</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row>
        <row r="208">
          <cell r="B208" t="str">
            <v xml:space="preserve">Charity </v>
          </cell>
          <cell r="E208">
            <v>41.995663398490194</v>
          </cell>
          <cell r="F208">
            <v>37.171897456944308</v>
          </cell>
          <cell r="G208">
            <v>36.574309394318952</v>
          </cell>
          <cell r="H208">
            <v>33.444169847864281</v>
          </cell>
          <cell r="I208">
            <v>44.705546988892252</v>
          </cell>
          <cell r="J208">
            <v>43.19982843932474</v>
          </cell>
          <cell r="K208">
            <v>38.274297027375844</v>
          </cell>
          <cell r="L208">
            <v>48.167125127388616</v>
          </cell>
          <cell r="M208">
            <v>44.881127641468566</v>
          </cell>
          <cell r="N208">
            <v>46.746188658827478</v>
          </cell>
          <cell r="O208">
            <v>47.089714875935435</v>
          </cell>
          <cell r="P208">
            <v>45.427294157637689</v>
          </cell>
          <cell r="Q208">
            <v>507.67716301446831</v>
          </cell>
          <cell r="R208">
            <v>507677.16301446845</v>
          </cell>
        </row>
        <row r="209">
          <cell r="Q209">
            <v>0</v>
          </cell>
        </row>
        <row r="210">
          <cell r="E210">
            <v>6722.7260156487928</v>
          </cell>
          <cell r="F210">
            <v>9173.1771398209712</v>
          </cell>
          <cell r="G210">
            <v>3626.2016127365068</v>
          </cell>
          <cell r="H210">
            <v>4179.4211121351436</v>
          </cell>
          <cell r="I210">
            <v>6694.2068756769886</v>
          </cell>
          <cell r="J210">
            <v>6917.9271392051542</v>
          </cell>
          <cell r="K210">
            <v>10420.820980363187</v>
          </cell>
          <cell r="L210">
            <v>3704.0022110505056</v>
          </cell>
          <cell r="M210">
            <v>3700.7162135645854</v>
          </cell>
          <cell r="N210">
            <v>9114.0411815914358</v>
          </cell>
          <cell r="O210">
            <v>6809.0542541497898</v>
          </cell>
          <cell r="P210">
            <v>4186.5951071668069</v>
          </cell>
          <cell r="Q210">
            <v>75248.889843109864</v>
          </cell>
        </row>
        <row r="211">
          <cell r="B211" t="str">
            <v>Instalment of L.T. Loan</v>
          </cell>
          <cell r="E211">
            <v>0</v>
          </cell>
          <cell r="J211">
            <v>0</v>
          </cell>
          <cell r="P211">
            <v>0</v>
          </cell>
          <cell r="Q211">
            <v>0</v>
          </cell>
        </row>
        <row r="212">
          <cell r="B212" t="str">
            <v>Investment for the year</v>
          </cell>
          <cell r="E212">
            <v>0</v>
          </cell>
          <cell r="G212">
            <v>0</v>
          </cell>
          <cell r="H212">
            <v>0</v>
          </cell>
          <cell r="I212">
            <v>0</v>
          </cell>
          <cell r="J212">
            <v>0</v>
          </cell>
          <cell r="K212">
            <v>0</v>
          </cell>
          <cell r="L212">
            <v>0</v>
          </cell>
          <cell r="M212">
            <v>0</v>
          </cell>
          <cell r="N212">
            <v>0</v>
          </cell>
          <cell r="O212">
            <v>0</v>
          </cell>
          <cell r="P212">
            <v>0</v>
          </cell>
          <cell r="Q212">
            <v>0</v>
          </cell>
        </row>
        <row r="213">
          <cell r="B213" t="str">
            <v>Bank charges</v>
          </cell>
          <cell r="E213">
            <v>100</v>
          </cell>
          <cell r="F213">
            <v>100</v>
          </cell>
          <cell r="G213">
            <v>100</v>
          </cell>
          <cell r="H213">
            <v>100</v>
          </cell>
          <cell r="I213">
            <v>100</v>
          </cell>
          <cell r="J213">
            <v>100</v>
          </cell>
          <cell r="K213">
            <v>100</v>
          </cell>
          <cell r="L213">
            <v>100</v>
          </cell>
          <cell r="M213">
            <v>100</v>
          </cell>
          <cell r="N213">
            <v>100</v>
          </cell>
          <cell r="O213">
            <v>100</v>
          </cell>
          <cell r="P213">
            <v>100</v>
          </cell>
          <cell r="Q213">
            <v>1200</v>
          </cell>
        </row>
        <row r="214">
          <cell r="B214" t="str">
            <v>Payment of short term markup</v>
          </cell>
          <cell r="E214">
            <v>0</v>
          </cell>
          <cell r="F214">
            <v>0</v>
          </cell>
          <cell r="G214">
            <v>0</v>
          </cell>
          <cell r="H214">
            <v>0</v>
          </cell>
          <cell r="I214">
            <v>0</v>
          </cell>
          <cell r="J214">
            <v>0</v>
          </cell>
          <cell r="K214">
            <v>0</v>
          </cell>
          <cell r="L214">
            <v>0</v>
          </cell>
          <cell r="M214">
            <v>0</v>
          </cell>
          <cell r="N214">
            <v>0</v>
          </cell>
          <cell r="O214">
            <v>0</v>
          </cell>
          <cell r="P214">
            <v>0</v>
          </cell>
          <cell r="Q214">
            <v>0</v>
          </cell>
        </row>
        <row r="215">
          <cell r="E215">
            <v>100</v>
          </cell>
          <cell r="F215">
            <v>100</v>
          </cell>
          <cell r="G215">
            <v>100</v>
          </cell>
          <cell r="H215">
            <v>100</v>
          </cell>
          <cell r="I215">
            <v>100</v>
          </cell>
          <cell r="J215">
            <v>100</v>
          </cell>
          <cell r="K215">
            <v>100</v>
          </cell>
          <cell r="L215">
            <v>100</v>
          </cell>
          <cell r="M215">
            <v>100</v>
          </cell>
          <cell r="N215">
            <v>100</v>
          </cell>
          <cell r="O215">
            <v>100</v>
          </cell>
          <cell r="P215">
            <v>100</v>
          </cell>
          <cell r="Q215">
            <v>1200</v>
          </cell>
        </row>
        <row r="217">
          <cell r="B217" t="str">
            <v>Payment of Running Royalty</v>
          </cell>
          <cell r="E217">
            <v>0</v>
          </cell>
          <cell r="F217">
            <v>0</v>
          </cell>
          <cell r="G217">
            <v>0</v>
          </cell>
          <cell r="H217">
            <v>4000</v>
          </cell>
          <cell r="I217">
            <v>0</v>
          </cell>
          <cell r="J217">
            <v>0</v>
          </cell>
          <cell r="K217">
            <v>0</v>
          </cell>
          <cell r="L217">
            <v>0</v>
          </cell>
          <cell r="M217">
            <v>0</v>
          </cell>
          <cell r="N217">
            <v>0</v>
          </cell>
          <cell r="O217">
            <v>0</v>
          </cell>
          <cell r="P217">
            <v>0</v>
          </cell>
          <cell r="Q217">
            <v>4000</v>
          </cell>
        </row>
        <row r="218">
          <cell r="B218" t="str">
            <v>Initial royalty</v>
          </cell>
          <cell r="E218">
            <v>0</v>
          </cell>
          <cell r="F218">
            <v>0</v>
          </cell>
          <cell r="Q218">
            <v>0</v>
          </cell>
        </row>
        <row r="219">
          <cell r="B219" t="str">
            <v>W.P.P.F.</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B220" t="str">
            <v>W.W.F.</v>
          </cell>
          <cell r="E220">
            <v>0</v>
          </cell>
          <cell r="F220">
            <v>0</v>
          </cell>
          <cell r="G220">
            <v>0</v>
          </cell>
          <cell r="H220">
            <v>0</v>
          </cell>
          <cell r="I220">
            <v>0</v>
          </cell>
          <cell r="J220">
            <v>0</v>
          </cell>
          <cell r="K220">
            <v>0</v>
          </cell>
          <cell r="L220">
            <v>0</v>
          </cell>
          <cell r="M220">
            <v>0</v>
          </cell>
          <cell r="N220">
            <v>0</v>
          </cell>
          <cell r="O220">
            <v>0</v>
          </cell>
          <cell r="P220">
            <v>0</v>
          </cell>
          <cell r="Q220">
            <v>0</v>
          </cell>
        </row>
        <row r="221">
          <cell r="B221" t="str">
            <v>Imprest account</v>
          </cell>
          <cell r="E221">
            <v>0</v>
          </cell>
          <cell r="F221">
            <v>0</v>
          </cell>
          <cell r="G221">
            <v>0</v>
          </cell>
          <cell r="H221">
            <v>0</v>
          </cell>
          <cell r="I221">
            <v>0</v>
          </cell>
          <cell r="J221">
            <v>0</v>
          </cell>
          <cell r="K221">
            <v>0</v>
          </cell>
          <cell r="M221">
            <v>0</v>
          </cell>
          <cell r="N221">
            <v>0</v>
          </cell>
          <cell r="O221">
            <v>0</v>
          </cell>
          <cell r="P221">
            <v>0</v>
          </cell>
          <cell r="Q221">
            <v>0</v>
          </cell>
        </row>
        <row r="222">
          <cell r="E222">
            <v>0</v>
          </cell>
          <cell r="F222">
            <v>0</v>
          </cell>
          <cell r="G222">
            <v>0</v>
          </cell>
          <cell r="H222">
            <v>4000</v>
          </cell>
          <cell r="I222">
            <v>0</v>
          </cell>
          <cell r="J222">
            <v>0</v>
          </cell>
          <cell r="K222">
            <v>0</v>
          </cell>
          <cell r="L222">
            <v>0</v>
          </cell>
          <cell r="M222">
            <v>0</v>
          </cell>
          <cell r="N222">
            <v>0</v>
          </cell>
          <cell r="O222">
            <v>0</v>
          </cell>
          <cell r="P222">
            <v>0</v>
          </cell>
          <cell r="Q222">
            <v>4000</v>
          </cell>
        </row>
        <row r="223">
          <cell r="B223" t="str">
            <v>Total of Out flow</v>
          </cell>
          <cell r="E223">
            <v>92942.848545395769</v>
          </cell>
          <cell r="F223">
            <v>95393.299669567961</v>
          </cell>
          <cell r="G223">
            <v>89846.3241424835</v>
          </cell>
          <cell r="H223">
            <v>94399.543641882134</v>
          </cell>
          <cell r="I223">
            <v>92914.329405423981</v>
          </cell>
          <cell r="J223">
            <v>93138.049668952139</v>
          </cell>
          <cell r="K223">
            <v>112094.297265068</v>
          </cell>
          <cell r="L223">
            <v>105377.47849575532</v>
          </cell>
          <cell r="M223">
            <v>105374.1924982694</v>
          </cell>
          <cell r="N223">
            <v>110787.51746629625</v>
          </cell>
          <cell r="O223">
            <v>108482.53053885461</v>
          </cell>
          <cell r="P223">
            <v>105860.07139187162</v>
          </cell>
          <cell r="Q223">
            <v>1206610.482729821</v>
          </cell>
        </row>
        <row r="225">
          <cell r="B225" t="str">
            <v>Net Cash In/&lt;out&gt; flow</v>
          </cell>
          <cell r="E225">
            <v>5524.3978314158303</v>
          </cell>
          <cell r="F225">
            <v>3073.9467072436382</v>
          </cell>
          <cell r="G225">
            <v>8620.9222343280999</v>
          </cell>
          <cell r="H225">
            <v>4067.7027349294658</v>
          </cell>
          <cell r="I225">
            <v>5552.9169713876181</v>
          </cell>
          <cell r="J225">
            <v>5329.1967078594607</v>
          </cell>
          <cell r="K225">
            <v>3932.9491117435828</v>
          </cell>
          <cell r="L225">
            <v>10649.767881056265</v>
          </cell>
          <cell r="M225">
            <v>10653.053878542181</v>
          </cell>
          <cell r="N225">
            <v>5239.7289105153322</v>
          </cell>
          <cell r="O225">
            <v>7544.7158379569737</v>
          </cell>
          <cell r="P225">
            <v>10167.174984939964</v>
          </cell>
          <cell r="Q225">
            <v>80356.473791918252</v>
          </cell>
        </row>
        <row r="228">
          <cell r="B228" t="str">
            <v>Indus Motor Company Limited</v>
          </cell>
        </row>
        <row r="229">
          <cell r="B229" t="str">
            <v>Projected Cash Flow - (CBU Operation)</v>
          </cell>
        </row>
        <row r="230">
          <cell r="B230" t="str">
            <v>from 01-07-2000 to 30-06-2001</v>
          </cell>
        </row>
        <row r="231">
          <cell r="Q231" t="str">
            <v>Rs ' 000</v>
          </cell>
        </row>
        <row r="232">
          <cell r="B232" t="str">
            <v>Description</v>
          </cell>
          <cell r="E232">
            <v>183</v>
          </cell>
          <cell r="F232">
            <v>214</v>
          </cell>
          <cell r="G232">
            <v>245</v>
          </cell>
          <cell r="H232">
            <v>276</v>
          </cell>
          <cell r="I232">
            <v>307</v>
          </cell>
          <cell r="J232">
            <v>338</v>
          </cell>
          <cell r="K232">
            <v>369</v>
          </cell>
          <cell r="L232">
            <v>400</v>
          </cell>
          <cell r="M232">
            <v>431</v>
          </cell>
          <cell r="N232">
            <v>462</v>
          </cell>
          <cell r="O232">
            <v>493</v>
          </cell>
          <cell r="P232">
            <v>524</v>
          </cell>
          <cell r="Q232" t="str">
            <v>Total</v>
          </cell>
        </row>
        <row r="234">
          <cell r="B234" t="str">
            <v>In Flow</v>
          </cell>
        </row>
        <row r="235">
          <cell r="B235" t="str">
            <v>Collection based on COD &amp; Net Sales :</v>
          </cell>
        </row>
        <row r="236">
          <cell r="C236" t="str">
            <v>Total Units sold</v>
          </cell>
          <cell r="E236">
            <v>35</v>
          </cell>
          <cell r="F236">
            <v>31</v>
          </cell>
          <cell r="G236">
            <v>30</v>
          </cell>
          <cell r="H236">
            <v>30</v>
          </cell>
          <cell r="I236">
            <v>31</v>
          </cell>
          <cell r="J236">
            <v>36</v>
          </cell>
          <cell r="K236">
            <v>35</v>
          </cell>
          <cell r="L236">
            <v>32</v>
          </cell>
          <cell r="M236">
            <v>30</v>
          </cell>
          <cell r="N236">
            <v>29</v>
          </cell>
          <cell r="O236">
            <v>31</v>
          </cell>
          <cell r="P236">
            <v>37</v>
          </cell>
          <cell r="Q236">
            <v>387</v>
          </cell>
        </row>
        <row r="238">
          <cell r="C238" t="str">
            <v>Collection</v>
          </cell>
          <cell r="E238">
            <v>89954.34782608696</v>
          </cell>
          <cell r="F238">
            <v>82335.217391304337</v>
          </cell>
          <cell r="G238">
            <v>80373.913043478271</v>
          </cell>
          <cell r="H238">
            <v>82610.434782608689</v>
          </cell>
          <cell r="I238">
            <v>85441.304347826095</v>
          </cell>
          <cell r="J238">
            <v>95021.739130434784</v>
          </cell>
          <cell r="K238">
            <v>98184.782608695663</v>
          </cell>
          <cell r="L238">
            <v>90448.695652173905</v>
          </cell>
          <cell r="M238">
            <v>86639.130434782608</v>
          </cell>
          <cell r="N238">
            <v>85030</v>
          </cell>
          <cell r="O238">
            <v>88839.565217391311</v>
          </cell>
          <cell r="P238">
            <v>102233.47826086957</v>
          </cell>
          <cell r="Q238">
            <v>1067112.6086956523</v>
          </cell>
        </row>
        <row r="240">
          <cell r="E240">
            <v>89954.34782608696</v>
          </cell>
          <cell r="F240">
            <v>82335.217391304337</v>
          </cell>
          <cell r="G240">
            <v>80373.913043478271</v>
          </cell>
          <cell r="H240">
            <v>82610.434782608689</v>
          </cell>
          <cell r="I240">
            <v>85441.304347826095</v>
          </cell>
          <cell r="J240">
            <v>95021.739130434784</v>
          </cell>
          <cell r="K240">
            <v>98184.782608695663</v>
          </cell>
          <cell r="L240">
            <v>90448.695652173905</v>
          </cell>
          <cell r="M240">
            <v>86639.130434782608</v>
          </cell>
          <cell r="N240">
            <v>85030</v>
          </cell>
          <cell r="O240">
            <v>88839.565217391311</v>
          </cell>
          <cell r="P240">
            <v>102233.47826086957</v>
          </cell>
          <cell r="Q240">
            <v>1067112.6086956523</v>
          </cell>
          <cell r="R240">
            <v>1067112608.695652</v>
          </cell>
        </row>
        <row r="242">
          <cell r="B242" t="str">
            <v>Out Flow</v>
          </cell>
        </row>
        <row r="243">
          <cell r="B243" t="str">
            <v>Arrival during the month</v>
          </cell>
        </row>
        <row r="244">
          <cell r="B244" t="str">
            <v>Document Ret. at Sight and Levies :</v>
          </cell>
        </row>
        <row r="245">
          <cell r="C245" t="str">
            <v>4X2 D/C</v>
          </cell>
          <cell r="E245">
            <v>3986.94</v>
          </cell>
          <cell r="F245">
            <v>3986.94</v>
          </cell>
          <cell r="G245">
            <v>3986.94</v>
          </cell>
          <cell r="H245">
            <v>3986.94</v>
          </cell>
          <cell r="I245">
            <v>3986.94</v>
          </cell>
          <cell r="J245">
            <v>3986.94</v>
          </cell>
          <cell r="K245">
            <v>3986.94</v>
          </cell>
          <cell r="L245">
            <v>3986.94</v>
          </cell>
          <cell r="M245">
            <v>3986.94</v>
          </cell>
          <cell r="N245">
            <v>3986.94</v>
          </cell>
          <cell r="O245">
            <v>3986.94</v>
          </cell>
          <cell r="P245">
            <v>3986.94</v>
          </cell>
          <cell r="Q245">
            <v>47843.280000000006</v>
          </cell>
        </row>
        <row r="246">
          <cell r="C246" t="str">
            <v xml:space="preserve">4X4 D/C </v>
          </cell>
          <cell r="E246">
            <v>30227.398000000001</v>
          </cell>
          <cell r="F246">
            <v>24047.437999999998</v>
          </cell>
          <cell r="G246">
            <v>22461.822</v>
          </cell>
          <cell r="H246">
            <v>22461.822</v>
          </cell>
          <cell r="I246">
            <v>24047.437999999998</v>
          </cell>
          <cell r="J246">
            <v>31813.013999999999</v>
          </cell>
          <cell r="K246">
            <v>28723.034</v>
          </cell>
          <cell r="L246">
            <v>25551.802</v>
          </cell>
          <cell r="M246">
            <v>22461.822</v>
          </cell>
          <cell r="N246">
            <v>20957.457999999999</v>
          </cell>
          <cell r="O246">
            <v>24047.437999999998</v>
          </cell>
          <cell r="P246">
            <v>31813.013999999999</v>
          </cell>
          <cell r="Q246">
            <v>308613.50000000006</v>
          </cell>
        </row>
        <row r="247">
          <cell r="C247" t="str">
            <v>Hiace - Commuter</v>
          </cell>
          <cell r="E247">
            <v>10328.44</v>
          </cell>
          <cell r="F247">
            <v>10328.44</v>
          </cell>
          <cell r="G247">
            <v>10328.44</v>
          </cell>
          <cell r="H247">
            <v>10328.44</v>
          </cell>
          <cell r="I247">
            <v>10328.44</v>
          </cell>
          <cell r="J247">
            <v>10328.44</v>
          </cell>
          <cell r="K247">
            <v>10328.44</v>
          </cell>
          <cell r="L247">
            <v>10328.44</v>
          </cell>
          <cell r="M247">
            <v>10328.44</v>
          </cell>
          <cell r="N247">
            <v>10328.44</v>
          </cell>
          <cell r="O247">
            <v>10328.44</v>
          </cell>
          <cell r="P247">
            <v>10328.44</v>
          </cell>
          <cell r="Q247">
            <v>123941.28000000001</v>
          </cell>
        </row>
        <row r="248">
          <cell r="C248" t="str">
            <v>Hiace- Panel van</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C249" t="str">
            <v xml:space="preserve">Coaster </v>
          </cell>
          <cell r="E249">
            <v>0</v>
          </cell>
          <cell r="F249">
            <v>0</v>
          </cell>
          <cell r="G249">
            <v>0</v>
          </cell>
          <cell r="H249">
            <v>0</v>
          </cell>
          <cell r="I249">
            <v>0</v>
          </cell>
          <cell r="J249">
            <v>0</v>
          </cell>
          <cell r="K249">
            <v>2244.261</v>
          </cell>
          <cell r="L249">
            <v>0</v>
          </cell>
          <cell r="M249">
            <v>0</v>
          </cell>
          <cell r="N249">
            <v>0</v>
          </cell>
          <cell r="O249">
            <v>0</v>
          </cell>
          <cell r="P249">
            <v>2244.261</v>
          </cell>
          <cell r="Q249">
            <v>4488.5219999999999</v>
          </cell>
        </row>
        <row r="250">
          <cell r="P250">
            <v>0</v>
          </cell>
          <cell r="Q250">
            <v>0</v>
          </cell>
        </row>
        <row r="251">
          <cell r="E251">
            <v>44542.778000000006</v>
          </cell>
          <cell r="F251">
            <v>38362.817999999999</v>
          </cell>
          <cell r="G251">
            <v>36777.201999999997</v>
          </cell>
          <cell r="H251">
            <v>36777.201999999997</v>
          </cell>
          <cell r="I251">
            <v>38362.817999999999</v>
          </cell>
          <cell r="J251">
            <v>46128.394</v>
          </cell>
          <cell r="K251">
            <v>45282.674999999996</v>
          </cell>
          <cell r="L251">
            <v>39867.182000000001</v>
          </cell>
          <cell r="M251">
            <v>36777.201999999997</v>
          </cell>
          <cell r="N251">
            <v>35272.837999999996</v>
          </cell>
          <cell r="O251">
            <v>38362.817999999999</v>
          </cell>
          <cell r="P251">
            <v>48372.654999999999</v>
          </cell>
          <cell r="Q251">
            <v>484886.58200000011</v>
          </cell>
          <cell r="R251">
            <v>855021191.9015584</v>
          </cell>
        </row>
        <row r="253">
          <cell r="B253" t="str">
            <v xml:space="preserve">30% Margin on L/C </v>
          </cell>
          <cell r="E253">
            <v>0</v>
          </cell>
          <cell r="F253">
            <v>0</v>
          </cell>
          <cell r="G253">
            <v>0</v>
          </cell>
          <cell r="H253">
            <v>0</v>
          </cell>
          <cell r="I253">
            <v>0</v>
          </cell>
          <cell r="J253">
            <v>0</v>
          </cell>
          <cell r="K253">
            <v>0</v>
          </cell>
          <cell r="L253">
            <v>0</v>
          </cell>
          <cell r="M253">
            <v>0</v>
          </cell>
          <cell r="N253">
            <v>0</v>
          </cell>
          <cell r="O253">
            <v>0</v>
          </cell>
          <cell r="P253">
            <v>0</v>
          </cell>
          <cell r="Q253">
            <v>0</v>
          </cell>
        </row>
        <row r="255">
          <cell r="B255" t="str">
            <v>Toyota - Parts consignment</v>
          </cell>
          <cell r="E255">
            <v>25381.66529942576</v>
          </cell>
          <cell r="F255">
            <v>25381.66529942576</v>
          </cell>
          <cell r="G255">
            <v>25381.66529942576</v>
          </cell>
          <cell r="H255">
            <v>26814.807219031994</v>
          </cell>
          <cell r="I255">
            <v>27531.378178835112</v>
          </cell>
          <cell r="J255">
            <v>27531.378178835112</v>
          </cell>
          <cell r="K255">
            <v>29322.805578342904</v>
          </cell>
          <cell r="L255">
            <v>29322.805578342904</v>
          </cell>
          <cell r="M255">
            <v>29322.805578342904</v>
          </cell>
          <cell r="N255">
            <v>29322.805578342904</v>
          </cell>
          <cell r="O255">
            <v>29322.805578342904</v>
          </cell>
          <cell r="P255">
            <v>29322.805578342904</v>
          </cell>
          <cell r="Q255">
            <v>333959.39294503699</v>
          </cell>
          <cell r="R255">
            <v>333959392.94503695</v>
          </cell>
        </row>
        <row r="256">
          <cell r="B256" t="str">
            <v>Daihatsu - Parts consignment</v>
          </cell>
          <cell r="E256">
            <v>1744.2575881870384</v>
          </cell>
          <cell r="F256">
            <v>1744.2575881870384</v>
          </cell>
          <cell r="G256">
            <v>1744.2575881870384</v>
          </cell>
          <cell r="H256">
            <v>1744.2575881870384</v>
          </cell>
          <cell r="I256">
            <v>2093.1091058244465</v>
          </cell>
          <cell r="J256">
            <v>2093.1091058244465</v>
          </cell>
          <cell r="K256">
            <v>2790.8121410992617</v>
          </cell>
          <cell r="L256">
            <v>2790.8121410992617</v>
          </cell>
          <cell r="M256">
            <v>2790.8121410992617</v>
          </cell>
          <cell r="N256">
            <v>2790.8121410992617</v>
          </cell>
          <cell r="O256">
            <v>2790.8121410992617</v>
          </cell>
          <cell r="P256">
            <v>2790.8121410992617</v>
          </cell>
          <cell r="Q256">
            <v>27908.121410992611</v>
          </cell>
          <cell r="R256">
            <v>27908121.410992622</v>
          </cell>
        </row>
        <row r="257">
          <cell r="B257" t="str">
            <v>Cost of Oil</v>
          </cell>
          <cell r="E257">
            <v>2270.0891304347829</v>
          </cell>
          <cell r="F257">
            <v>2270.0891304347829</v>
          </cell>
          <cell r="G257">
            <v>2270.0891304347829</v>
          </cell>
          <cell r="H257">
            <v>2670.2404347826091</v>
          </cell>
          <cell r="I257">
            <v>2670.2404347826091</v>
          </cell>
          <cell r="J257">
            <v>2670.2404347826091</v>
          </cell>
          <cell r="K257">
            <v>3462.847826086957</v>
          </cell>
          <cell r="L257">
            <v>3462.847826086957</v>
          </cell>
          <cell r="M257">
            <v>3462.847826086957</v>
          </cell>
          <cell r="N257">
            <v>3655.2282608695655</v>
          </cell>
          <cell r="O257">
            <v>3655.2282608695655</v>
          </cell>
          <cell r="P257">
            <v>3655.2282608695655</v>
          </cell>
          <cell r="Q257">
            <v>36175.216956521741</v>
          </cell>
          <cell r="R257">
            <v>36175216.956521742</v>
          </cell>
        </row>
        <row r="258">
          <cell r="E258">
            <v>29396.012018047582</v>
          </cell>
          <cell r="F258">
            <v>29396.012018047582</v>
          </cell>
          <cell r="G258">
            <v>29396.012018047582</v>
          </cell>
          <cell r="H258">
            <v>31229.305242001643</v>
          </cell>
          <cell r="I258">
            <v>32294.727719442166</v>
          </cell>
          <cell r="J258">
            <v>32294.727719442166</v>
          </cell>
          <cell r="K258">
            <v>35576.465545529121</v>
          </cell>
          <cell r="L258">
            <v>35576.465545529121</v>
          </cell>
          <cell r="M258">
            <v>35576.465545529121</v>
          </cell>
          <cell r="N258">
            <v>35768.845980311729</v>
          </cell>
          <cell r="O258">
            <v>35768.845980311729</v>
          </cell>
          <cell r="P258">
            <v>35768.845980311729</v>
          </cell>
          <cell r="Q258">
            <v>398042.73131255136</v>
          </cell>
          <cell r="R258">
            <v>398042731.31255132</v>
          </cell>
        </row>
        <row r="260">
          <cell r="B260" t="str">
            <v>Selling Expense</v>
          </cell>
          <cell r="E260">
            <v>545.31282388154943</v>
          </cell>
          <cell r="F260">
            <v>436.04027797654413</v>
          </cell>
          <cell r="G260">
            <v>418.13584483626511</v>
          </cell>
          <cell r="H260">
            <v>389.70212219030691</v>
          </cell>
          <cell r="I260">
            <v>555.79281203774985</v>
          </cell>
          <cell r="J260">
            <v>594.81445580131356</v>
          </cell>
          <cell r="K260">
            <v>455.43329673983442</v>
          </cell>
          <cell r="L260">
            <v>542.65171877158002</v>
          </cell>
          <cell r="M260">
            <v>479.90887975070746</v>
          </cell>
          <cell r="N260">
            <v>493.1259828280858</v>
          </cell>
          <cell r="O260">
            <v>519.5044518373885</v>
          </cell>
          <cell r="P260">
            <v>574.05186269819126</v>
          </cell>
          <cell r="Q260">
            <v>6004.4745293495171</v>
          </cell>
          <cell r="R260">
            <v>6004.4745293495171</v>
          </cell>
        </row>
        <row r="261">
          <cell r="B261" t="str">
            <v>Advertisement Expenses</v>
          </cell>
          <cell r="E261">
            <v>84.203586445051982</v>
          </cell>
          <cell r="F261">
            <v>95.505646974495946</v>
          </cell>
          <cell r="G261">
            <v>713.00467138462045</v>
          </cell>
          <cell r="H261">
            <v>693.40362949764938</v>
          </cell>
          <cell r="I261">
            <v>790.8812331224899</v>
          </cell>
          <cell r="J261">
            <v>91.847299851345184</v>
          </cell>
          <cell r="K261">
            <v>87.63575239453138</v>
          </cell>
          <cell r="L261">
            <v>511.77988422525749</v>
          </cell>
          <cell r="M261">
            <v>557.4926768428038</v>
          </cell>
          <cell r="N261">
            <v>76.145240868909752</v>
          </cell>
          <cell r="O261">
            <v>894.74401522816652</v>
          </cell>
          <cell r="P261">
            <v>129.55263714660998</v>
          </cell>
          <cell r="Q261">
            <v>4726.1962739819319</v>
          </cell>
          <cell r="R261">
            <v>4726.1962739819328</v>
          </cell>
        </row>
        <row r="262">
          <cell r="B262" t="str">
            <v>Administrative Expense</v>
          </cell>
          <cell r="E262">
            <v>1111.11144762853</v>
          </cell>
          <cell r="F262">
            <v>888.46130747166023</v>
          </cell>
          <cell r="G262">
            <v>851.97982426747126</v>
          </cell>
          <cell r="H262">
            <v>794.0442075956704</v>
          </cell>
          <cell r="I262">
            <v>1132.4651262904038</v>
          </cell>
          <cell r="J262">
            <v>1211.9743422709839</v>
          </cell>
          <cell r="K262">
            <v>927.97588370808353</v>
          </cell>
          <cell r="L262">
            <v>1105.6892675118343</v>
          </cell>
          <cell r="M262">
            <v>977.84652543843583</v>
          </cell>
          <cell r="N262">
            <v>1004.7772593046017</v>
          </cell>
          <cell r="O262">
            <v>1058.5251588653075</v>
          </cell>
          <cell r="P262">
            <v>1169.6691664727646</v>
          </cell>
          <cell r="Q262">
            <v>12234.519516825747</v>
          </cell>
          <cell r="R262">
            <v>12234.519516825749</v>
          </cell>
        </row>
        <row r="263">
          <cell r="B263" t="str">
            <v>Charity &amp; Donation</v>
          </cell>
          <cell r="E263">
            <v>38.732092199059529</v>
          </cell>
          <cell r="F263">
            <v>31.379406018504159</v>
          </cell>
          <cell r="G263">
            <v>30.139469146222496</v>
          </cell>
          <cell r="H263">
            <v>28.326941120919383</v>
          </cell>
          <cell r="I263">
            <v>39.162790942379736</v>
          </cell>
          <cell r="J263">
            <v>42.087133596405359</v>
          </cell>
          <cell r="K263">
            <v>32.651192697861674</v>
          </cell>
          <cell r="L263">
            <v>37.853032587757859</v>
          </cell>
          <cell r="M263">
            <v>33.785121810224695</v>
          </cell>
          <cell r="N263">
            <v>34.535522483787283</v>
          </cell>
          <cell r="O263">
            <v>36.347967369991864</v>
          </cell>
          <cell r="P263">
            <v>40.351311089410743</v>
          </cell>
          <cell r="Q263">
            <v>425.35198106252477</v>
          </cell>
          <cell r="R263">
            <v>425.35198106252471</v>
          </cell>
        </row>
        <row r="265">
          <cell r="E265">
            <v>1779.3599501541908</v>
          </cell>
          <cell r="F265">
            <v>1451.3866384412045</v>
          </cell>
          <cell r="G265">
            <v>2013.2598096345791</v>
          </cell>
          <cell r="H265">
            <v>1905.4769004045461</v>
          </cell>
          <cell r="I265">
            <v>2518.3019623930231</v>
          </cell>
          <cell r="J265">
            <v>1940.7232315200481</v>
          </cell>
          <cell r="K265">
            <v>1503.696125540311</v>
          </cell>
          <cell r="L265">
            <v>2197.9739030964297</v>
          </cell>
          <cell r="M265">
            <v>2049.0332038421716</v>
          </cell>
          <cell r="N265">
            <v>1608.5840054853843</v>
          </cell>
          <cell r="O265">
            <v>2509.1215933008539</v>
          </cell>
          <cell r="P265">
            <v>1913.6249774069765</v>
          </cell>
          <cell r="Q265">
            <v>23390.542301219724</v>
          </cell>
        </row>
        <row r="267">
          <cell r="B267" t="str">
            <v>Financial Charges</v>
          </cell>
        </row>
        <row r="268">
          <cell r="C268" t="str">
            <v>Working Capital</v>
          </cell>
          <cell r="E268">
            <v>0</v>
          </cell>
          <cell r="F268">
            <v>0</v>
          </cell>
          <cell r="G268">
            <v>0</v>
          </cell>
          <cell r="H268">
            <v>0</v>
          </cell>
          <cell r="I268">
            <v>0</v>
          </cell>
          <cell r="J268">
            <v>0</v>
          </cell>
          <cell r="K268">
            <v>0</v>
          </cell>
          <cell r="L268">
            <v>0</v>
          </cell>
          <cell r="M268">
            <v>0</v>
          </cell>
          <cell r="N268">
            <v>0</v>
          </cell>
          <cell r="O268">
            <v>0</v>
          </cell>
          <cell r="P268">
            <v>0</v>
          </cell>
          <cell r="Q268">
            <v>0</v>
          </cell>
        </row>
        <row r="270">
          <cell r="B270" t="str">
            <v>Presumptive</v>
          </cell>
          <cell r="E270">
            <v>4312.6039179655454</v>
          </cell>
          <cell r="F270">
            <v>3473.3289179655453</v>
          </cell>
          <cell r="G270">
            <v>3825.4409179655454</v>
          </cell>
          <cell r="H270">
            <v>3995.1444331419198</v>
          </cell>
          <cell r="I270">
            <v>4053.8886907301071</v>
          </cell>
          <cell r="J270">
            <v>4541.0516907301071</v>
          </cell>
          <cell r="K270">
            <v>4608.3653347005738</v>
          </cell>
          <cell r="L270">
            <v>4255.7583347005739</v>
          </cell>
          <cell r="M270">
            <v>4061.9093347005742</v>
          </cell>
          <cell r="N270">
            <v>3967.5253347005741</v>
          </cell>
          <cell r="O270">
            <v>4161.3743347005739</v>
          </cell>
          <cell r="P270">
            <v>4802.214334700574</v>
          </cell>
          <cell r="Q270">
            <v>50058.605576702212</v>
          </cell>
          <cell r="R270">
            <v>50058.605576702219</v>
          </cell>
        </row>
        <row r="272">
          <cell r="C272" t="str">
            <v>Commission on HD</v>
          </cell>
          <cell r="E272">
            <v>-537.32799999999997</v>
          </cell>
          <cell r="F272">
            <v>-427.928</v>
          </cell>
          <cell r="G272">
            <v>-507.96</v>
          </cell>
          <cell r="H272">
            <v>-9525.4480000000003</v>
          </cell>
          <cell r="I272">
            <v>-9587.9680000000008</v>
          </cell>
          <cell r="J272">
            <v>-9511.3160000000007</v>
          </cell>
          <cell r="K272">
            <v>-2546.7600000000002</v>
          </cell>
          <cell r="L272">
            <v>-474.80799999999999</v>
          </cell>
          <cell r="M272">
            <v>-570.07599999999991</v>
          </cell>
          <cell r="N272">
            <v>-427.92799999999994</v>
          </cell>
          <cell r="O272">
            <v>-474.80799999999999</v>
          </cell>
          <cell r="P272">
            <v>-507.96</v>
          </cell>
          <cell r="Q272">
            <v>-35100.288</v>
          </cell>
          <cell r="R272">
            <v>35100.288</v>
          </cell>
        </row>
        <row r="273">
          <cell r="C273" t="str">
            <v>Interest Income</v>
          </cell>
          <cell r="E273">
            <v>0</v>
          </cell>
          <cell r="F273">
            <v>0</v>
          </cell>
          <cell r="G273">
            <v>0</v>
          </cell>
          <cell r="H273">
            <v>0</v>
          </cell>
          <cell r="I273">
            <v>0</v>
          </cell>
          <cell r="J273">
            <v>0</v>
          </cell>
          <cell r="K273">
            <v>0</v>
          </cell>
          <cell r="L273">
            <v>0</v>
          </cell>
          <cell r="M273">
            <v>0</v>
          </cell>
          <cell r="N273">
            <v>0</v>
          </cell>
          <cell r="O273">
            <v>0</v>
          </cell>
          <cell r="P273">
            <v>0</v>
          </cell>
          <cell r="Q273">
            <v>0</v>
          </cell>
        </row>
        <row r="274">
          <cell r="E274">
            <v>-537.32799999999997</v>
          </cell>
          <cell r="F274">
            <v>-427.928</v>
          </cell>
          <cell r="G274">
            <v>-507.96</v>
          </cell>
          <cell r="H274">
            <v>-9525.4480000000003</v>
          </cell>
          <cell r="I274">
            <v>-9587.9680000000008</v>
          </cell>
          <cell r="J274">
            <v>-9511.3160000000007</v>
          </cell>
          <cell r="K274">
            <v>-2546.7600000000002</v>
          </cell>
          <cell r="L274">
            <v>-474.80799999999999</v>
          </cell>
          <cell r="M274">
            <v>-570.07599999999991</v>
          </cell>
          <cell r="N274">
            <v>-427.92799999999994</v>
          </cell>
          <cell r="O274">
            <v>-474.80799999999999</v>
          </cell>
          <cell r="P274">
            <v>-507.96</v>
          </cell>
          <cell r="Q274">
            <v>-35100.288</v>
          </cell>
        </row>
        <row r="276">
          <cell r="C276" t="str">
            <v>Total of Out flow</v>
          </cell>
          <cell r="E276">
            <v>79493.42588616733</v>
          </cell>
          <cell r="F276">
            <v>72255.617574454329</v>
          </cell>
          <cell r="G276">
            <v>71503.954745647701</v>
          </cell>
          <cell r="H276">
            <v>64381.680575548104</v>
          </cell>
          <cell r="I276">
            <v>67641.76837256529</v>
          </cell>
          <cell r="J276">
            <v>75393.580641692315</v>
          </cell>
          <cell r="K276">
            <v>84424.442005770004</v>
          </cell>
          <cell r="L276">
            <v>81422.57178332613</v>
          </cell>
          <cell r="M276">
            <v>77894.534084071856</v>
          </cell>
          <cell r="N276">
            <v>76189.865320497687</v>
          </cell>
          <cell r="O276">
            <v>80327.351908313169</v>
          </cell>
          <cell r="P276">
            <v>90349.380292419286</v>
          </cell>
          <cell r="Q276">
            <v>857194.83482295903</v>
          </cell>
        </row>
        <row r="277">
          <cell r="B277" t="str">
            <v>Net Cash In/&lt;out&gt; flow</v>
          </cell>
          <cell r="E277">
            <v>10460.92193991963</v>
          </cell>
          <cell r="F277">
            <v>10079.599816850008</v>
          </cell>
          <cell r="G277">
            <v>8869.9582978305698</v>
          </cell>
          <cell r="H277">
            <v>18228.754207060585</v>
          </cell>
          <cell r="I277">
            <v>17799.535975260806</v>
          </cell>
          <cell r="J277">
            <v>19628.158488742469</v>
          </cell>
          <cell r="K277">
            <v>13760.340602925658</v>
          </cell>
          <cell r="L277">
            <v>9026.1238688477752</v>
          </cell>
          <cell r="M277">
            <v>8744.5963507107517</v>
          </cell>
          <cell r="N277">
            <v>8840.1346795023128</v>
          </cell>
          <cell r="O277">
            <v>8512.2133090781426</v>
          </cell>
          <cell r="P277">
            <v>11884.097968450282</v>
          </cell>
          <cell r="Q277">
            <v>209917.7738726933</v>
          </cell>
        </row>
        <row r="282">
          <cell r="B282" t="str">
            <v>INDUS MOTOR COMPANY LIMITED</v>
          </cell>
        </row>
        <row r="283">
          <cell r="B283" t="str">
            <v>Projected Cash Flow (CKD - Toyota &amp; Daihatsu)</v>
          </cell>
        </row>
        <row r="284">
          <cell r="B284" t="str">
            <v>From 01-07-2002 to 30-06-2003</v>
          </cell>
        </row>
        <row r="286">
          <cell r="E286">
            <v>549</v>
          </cell>
          <cell r="F286">
            <v>580</v>
          </cell>
          <cell r="G286">
            <v>611</v>
          </cell>
          <cell r="H286">
            <v>642</v>
          </cell>
          <cell r="I286">
            <v>673</v>
          </cell>
          <cell r="J286">
            <v>704</v>
          </cell>
          <cell r="K286">
            <v>735</v>
          </cell>
          <cell r="L286">
            <v>766</v>
          </cell>
          <cell r="M286">
            <v>797</v>
          </cell>
          <cell r="N286">
            <v>828</v>
          </cell>
          <cell r="O286">
            <v>859</v>
          </cell>
          <cell r="P286">
            <v>890</v>
          </cell>
          <cell r="Q286" t="str">
            <v>TOTAL</v>
          </cell>
        </row>
        <row r="288">
          <cell r="B288" t="str">
            <v>Total Units Sold</v>
          </cell>
          <cell r="E288">
            <v>1210</v>
          </cell>
          <cell r="F288">
            <v>1390</v>
          </cell>
          <cell r="G288">
            <v>1421</v>
          </cell>
          <cell r="H288">
            <v>1550</v>
          </cell>
          <cell r="I288">
            <v>1170</v>
          </cell>
          <cell r="J288">
            <v>1201</v>
          </cell>
          <cell r="K288">
            <v>1600</v>
          </cell>
          <cell r="L288">
            <v>1300</v>
          </cell>
          <cell r="M288">
            <v>1380</v>
          </cell>
          <cell r="N288">
            <v>1290</v>
          </cell>
          <cell r="O288">
            <v>1280</v>
          </cell>
          <cell r="P288">
            <v>1308</v>
          </cell>
          <cell r="Q288">
            <v>16100</v>
          </cell>
        </row>
        <row r="290">
          <cell r="B290" t="str">
            <v>Inflow</v>
          </cell>
        </row>
        <row r="291">
          <cell r="B291" t="str">
            <v>Sales</v>
          </cell>
          <cell r="E291">
            <v>877403.33333333337</v>
          </cell>
          <cell r="F291">
            <v>1010599.8550724637</v>
          </cell>
          <cell r="G291">
            <v>1030424.2028985507</v>
          </cell>
          <cell r="H291">
            <v>1132182.463768116</v>
          </cell>
          <cell r="I291">
            <v>822823.33333333337</v>
          </cell>
          <cell r="J291">
            <v>844927.24637681164</v>
          </cell>
          <cell r="K291">
            <v>1153120.7246376812</v>
          </cell>
          <cell r="L291">
            <v>903518.98550724634</v>
          </cell>
          <cell r="M291">
            <v>980222.89855072461</v>
          </cell>
          <cell r="N291">
            <v>939201.1594202898</v>
          </cell>
          <cell r="O291">
            <v>927907.6811594204</v>
          </cell>
          <cell r="P291">
            <v>951782.02898550709</v>
          </cell>
          <cell r="Q291">
            <v>11574113.913043477</v>
          </cell>
        </row>
        <row r="292">
          <cell r="B292" t="str">
            <v>Scrap income / Advance from customer</v>
          </cell>
          <cell r="E292">
            <v>500</v>
          </cell>
          <cell r="F292">
            <v>500</v>
          </cell>
          <cell r="G292">
            <v>500</v>
          </cell>
          <cell r="H292">
            <v>500</v>
          </cell>
          <cell r="I292">
            <v>500</v>
          </cell>
          <cell r="J292">
            <v>500</v>
          </cell>
          <cell r="K292">
            <v>500</v>
          </cell>
          <cell r="L292">
            <v>500</v>
          </cell>
          <cell r="M292">
            <v>500</v>
          </cell>
          <cell r="N292">
            <v>200500</v>
          </cell>
          <cell r="O292">
            <v>500</v>
          </cell>
          <cell r="P292">
            <v>500</v>
          </cell>
          <cell r="Q292">
            <v>206000</v>
          </cell>
        </row>
        <row r="293">
          <cell r="B293" t="str">
            <v>Term Loan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B294" t="str">
            <v>Subsidy on advertisement</v>
          </cell>
          <cell r="E294">
            <v>1833.3333333333335</v>
          </cell>
          <cell r="F294">
            <v>1833.3333333333335</v>
          </cell>
          <cell r="G294">
            <v>1833.3333333333335</v>
          </cell>
          <cell r="H294">
            <v>1833.3333333333335</v>
          </cell>
          <cell r="I294">
            <v>1833.3333333333335</v>
          </cell>
          <cell r="J294">
            <v>1833.3333333333335</v>
          </cell>
          <cell r="K294">
            <v>1833.3333333333335</v>
          </cell>
          <cell r="L294">
            <v>1833.3333333333335</v>
          </cell>
          <cell r="M294">
            <v>1833.3333333333335</v>
          </cell>
          <cell r="N294">
            <v>1833.3333333333335</v>
          </cell>
          <cell r="O294">
            <v>1833.3333333333335</v>
          </cell>
          <cell r="P294">
            <v>12833.333333333334</v>
          </cell>
          <cell r="Q294">
            <v>33000</v>
          </cell>
        </row>
        <row r="295">
          <cell r="E295">
            <v>879736.66666666674</v>
          </cell>
          <cell r="F295">
            <v>1012933.1884057971</v>
          </cell>
          <cell r="G295">
            <v>1032757.536231884</v>
          </cell>
          <cell r="H295">
            <v>1134515.7971014492</v>
          </cell>
          <cell r="I295">
            <v>825156.66666666674</v>
          </cell>
          <cell r="J295">
            <v>847260.57971014502</v>
          </cell>
          <cell r="K295">
            <v>1155454.0579710144</v>
          </cell>
          <cell r="L295">
            <v>905852.31884057971</v>
          </cell>
          <cell r="M295">
            <v>982556.23188405798</v>
          </cell>
          <cell r="N295">
            <v>1141534.4927536231</v>
          </cell>
          <cell r="O295">
            <v>930241.01449275378</v>
          </cell>
          <cell r="P295">
            <v>965115.36231884046</v>
          </cell>
          <cell r="Q295">
            <v>11813113.913043477</v>
          </cell>
        </row>
        <row r="296">
          <cell r="B296" t="str">
            <v>Outflow</v>
          </cell>
        </row>
        <row r="297">
          <cell r="B297" t="str">
            <v>CKD</v>
          </cell>
        </row>
        <row r="298">
          <cell r="B298" t="str">
            <v>Total of Document Retirement</v>
          </cell>
          <cell r="E298">
            <v>290182.11880788003</v>
          </cell>
          <cell r="F298">
            <v>351799.4809654</v>
          </cell>
          <cell r="G298">
            <v>363318.9525446</v>
          </cell>
          <cell r="H298">
            <v>398120.02101820003</v>
          </cell>
          <cell r="I298">
            <v>288130.79907664005</v>
          </cell>
          <cell r="J298">
            <v>299045.59551412001</v>
          </cell>
          <cell r="K298">
            <v>406753.52610880003</v>
          </cell>
          <cell r="L298">
            <v>319701.89812496002</v>
          </cell>
          <cell r="M298">
            <v>348352.7772036001</v>
          </cell>
          <cell r="N298">
            <v>309033.1806354</v>
          </cell>
          <cell r="O298">
            <v>305472.31838760001</v>
          </cell>
          <cell r="P298">
            <v>313884.7821532801</v>
          </cell>
          <cell r="Q298">
            <v>3993795.4505404802</v>
          </cell>
        </row>
        <row r="299">
          <cell r="B299" t="str">
            <v xml:space="preserve">              Govt. Levies</v>
          </cell>
          <cell r="E299">
            <v>102567.8855620117</v>
          </cell>
          <cell r="F299">
            <v>118977.71227942807</v>
          </cell>
          <cell r="G299">
            <v>121563.40876913755</v>
          </cell>
          <cell r="H299">
            <v>131899.71307553945</v>
          </cell>
          <cell r="I299">
            <v>96674.661849595883</v>
          </cell>
          <cell r="J299">
            <v>99631.797692577718</v>
          </cell>
          <cell r="K299">
            <v>135138.81387390639</v>
          </cell>
          <cell r="L299">
            <v>106901.25916480068</v>
          </cell>
          <cell r="M299">
            <v>115310.84979733196</v>
          </cell>
          <cell r="N299">
            <v>109639.98769251104</v>
          </cell>
          <cell r="O299">
            <v>108300.34221050881</v>
          </cell>
          <cell r="P299">
            <v>111011.83961205283</v>
          </cell>
          <cell r="Q299">
            <v>1357618.271579402</v>
          </cell>
        </row>
        <row r="300">
          <cell r="E300">
            <v>392750.00436989171</v>
          </cell>
          <cell r="F300">
            <v>470777.19324482809</v>
          </cell>
          <cell r="G300">
            <v>484882.36131373758</v>
          </cell>
          <cell r="H300">
            <v>530019.73409373942</v>
          </cell>
          <cell r="I300">
            <v>384805.46092623594</v>
          </cell>
          <cell r="J300">
            <v>398677.39320669771</v>
          </cell>
          <cell r="K300">
            <v>541892.33998270635</v>
          </cell>
          <cell r="L300">
            <v>426603.15728976071</v>
          </cell>
          <cell r="M300">
            <v>463663.62700093206</v>
          </cell>
          <cell r="N300">
            <v>418673.16832791106</v>
          </cell>
          <cell r="O300">
            <v>413772.66059810884</v>
          </cell>
          <cell r="P300">
            <v>424896.62176533294</v>
          </cell>
          <cell r="Q300">
            <v>5351413.7221198827</v>
          </cell>
        </row>
        <row r="302">
          <cell r="B302" t="str">
            <v>Vendor Parts</v>
          </cell>
          <cell r="E302">
            <v>215104.86000000002</v>
          </cell>
          <cell r="F302">
            <v>245001.38999999998</v>
          </cell>
          <cell r="G302">
            <v>249321.11599999998</v>
          </cell>
          <cell r="H302">
            <v>273360.32</v>
          </cell>
          <cell r="I302">
            <v>199756.81</v>
          </cell>
          <cell r="J302">
            <v>204947.58599999998</v>
          </cell>
          <cell r="K302">
            <v>279433.745</v>
          </cell>
          <cell r="L302">
            <v>220708.03500000003</v>
          </cell>
          <cell r="M302">
            <v>235509.995</v>
          </cell>
          <cell r="N302">
            <v>229027.82500000001</v>
          </cell>
          <cell r="O302">
            <v>226753.02499999997</v>
          </cell>
          <cell r="P302">
            <v>232145.853</v>
          </cell>
          <cell r="Q302">
            <v>2811070.5600000005</v>
          </cell>
        </row>
        <row r="303">
          <cell r="B303" t="str">
            <v>Nummi parts</v>
          </cell>
          <cell r="E303">
            <v>117802.42856350001</v>
          </cell>
          <cell r="F303">
            <v>127066.61434150001</v>
          </cell>
          <cell r="G303">
            <v>127066.61434150001</v>
          </cell>
          <cell r="H303">
            <v>138824.1721305</v>
          </cell>
          <cell r="I303">
            <v>98685.112072500007</v>
          </cell>
          <cell r="J303">
            <v>100228.91492600001</v>
          </cell>
          <cell r="K303">
            <v>139716.11406950001</v>
          </cell>
          <cell r="L303">
            <v>106722.820657</v>
          </cell>
          <cell r="M303">
            <v>113360.41847600001</v>
          </cell>
          <cell r="N303">
            <v>124552.6617845</v>
          </cell>
          <cell r="O303">
            <v>122968.62717399999</v>
          </cell>
          <cell r="P303">
            <v>125916.99315250001</v>
          </cell>
          <cell r="Q303">
            <v>1442911.4916889998</v>
          </cell>
        </row>
        <row r="304">
          <cell r="B304" t="str">
            <v>DMC Parts</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B305" t="str">
            <v>Consumeables</v>
          </cell>
          <cell r="E305">
            <v>20012.739999999998</v>
          </cell>
          <cell r="F305">
            <v>22984.46</v>
          </cell>
          <cell r="G305">
            <v>23447.755000000005</v>
          </cell>
          <cell r="H305">
            <v>25745.239999999998</v>
          </cell>
          <cell r="I305">
            <v>18814.63</v>
          </cell>
          <cell r="J305">
            <v>19337.755000000005</v>
          </cell>
          <cell r="K305">
            <v>26264.300000000003</v>
          </cell>
          <cell r="L305">
            <v>20760.580000000002</v>
          </cell>
          <cell r="M305">
            <v>22146.720000000001</v>
          </cell>
          <cell r="N305">
            <v>21207.809999999998</v>
          </cell>
          <cell r="O305">
            <v>21000.660000000003</v>
          </cell>
          <cell r="P305">
            <v>21502.730000000003</v>
          </cell>
          <cell r="Q305">
            <v>263225.38</v>
          </cell>
        </row>
        <row r="306">
          <cell r="B306" t="str">
            <v>Total Material Cost</v>
          </cell>
          <cell r="E306">
            <v>745670.03293339175</v>
          </cell>
          <cell r="F306">
            <v>865829.65758632799</v>
          </cell>
          <cell r="G306">
            <v>884717.8466552376</v>
          </cell>
          <cell r="H306">
            <v>967949.46622423944</v>
          </cell>
          <cell r="I306">
            <v>702062.012998736</v>
          </cell>
          <cell r="J306">
            <v>723191.64913269773</v>
          </cell>
          <cell r="K306">
            <v>987306.4990522064</v>
          </cell>
          <cell r="L306">
            <v>774794.59294676071</v>
          </cell>
          <cell r="M306">
            <v>834680.76047693193</v>
          </cell>
          <cell r="N306">
            <v>793461.46511241095</v>
          </cell>
          <cell r="O306">
            <v>784494.97277210886</v>
          </cell>
          <cell r="P306">
            <v>804462.19791783288</v>
          </cell>
          <cell r="Q306">
            <v>9868621.1538088843</v>
          </cell>
        </row>
        <row r="307">
          <cell r="B307" t="str">
            <v>Production Expenses</v>
          </cell>
          <cell r="E307">
            <v>10131.193416666665</v>
          </cell>
          <cell r="F307">
            <v>10131.193416666662</v>
          </cell>
          <cell r="G307">
            <v>10131.193416666662</v>
          </cell>
          <cell r="H307">
            <v>10131.193416666662</v>
          </cell>
          <cell r="I307">
            <v>10131.193416666662</v>
          </cell>
          <cell r="J307">
            <v>10131.193416666662</v>
          </cell>
          <cell r="K307">
            <v>10131.193416666663</v>
          </cell>
          <cell r="L307">
            <v>10131.193416666663</v>
          </cell>
          <cell r="M307">
            <v>10131.193416666663</v>
          </cell>
          <cell r="N307">
            <v>10131.193416666663</v>
          </cell>
          <cell r="O307">
            <v>10131.193416666665</v>
          </cell>
          <cell r="P307">
            <v>10131.193416666663</v>
          </cell>
          <cell r="Q307">
            <v>121574.32099999994</v>
          </cell>
        </row>
        <row r="308">
          <cell r="B308" t="str">
            <v>Utility</v>
          </cell>
          <cell r="E308">
            <v>7050.06</v>
          </cell>
          <cell r="F308">
            <v>7925.94</v>
          </cell>
          <cell r="G308">
            <v>8076.7860000000001</v>
          </cell>
          <cell r="H308">
            <v>8704.5</v>
          </cell>
          <cell r="I308">
            <v>6855.42</v>
          </cell>
          <cell r="J308">
            <v>7006.2659999999996</v>
          </cell>
          <cell r="K308">
            <v>9141.5</v>
          </cell>
          <cell r="L308">
            <v>7681.7</v>
          </cell>
          <cell r="M308">
            <v>8070.98</v>
          </cell>
          <cell r="N308">
            <v>7633.04</v>
          </cell>
          <cell r="O308">
            <v>7584.38</v>
          </cell>
          <cell r="P308">
            <v>7720.6279999999997</v>
          </cell>
          <cell r="Q308">
            <v>93451.199999999983</v>
          </cell>
        </row>
        <row r="309">
          <cell r="B309" t="str">
            <v>Conversion Cost</v>
          </cell>
          <cell r="E309">
            <v>762851.28635005851</v>
          </cell>
          <cell r="F309">
            <v>883886.79100299464</v>
          </cell>
          <cell r="G309">
            <v>902925.82607190427</v>
          </cell>
          <cell r="H309">
            <v>986785.15964090615</v>
          </cell>
          <cell r="I309">
            <v>719048.62641540274</v>
          </cell>
          <cell r="J309">
            <v>740329.10854936438</v>
          </cell>
          <cell r="K309">
            <v>1006579.1924688731</v>
          </cell>
          <cell r="L309">
            <v>792607.48636342736</v>
          </cell>
          <cell r="M309">
            <v>852882.93389359862</v>
          </cell>
          <cell r="N309">
            <v>811225.69852907769</v>
          </cell>
          <cell r="O309">
            <v>802210.54618877557</v>
          </cell>
          <cell r="P309">
            <v>822314.01933449961</v>
          </cell>
          <cell r="Q309">
            <v>10083646.674808884</v>
          </cell>
        </row>
        <row r="311">
          <cell r="B311" t="str">
            <v>Selling, Admin. &amp; Other Expenses</v>
          </cell>
        </row>
        <row r="312">
          <cell r="B312" t="str">
            <v>Selling</v>
          </cell>
          <cell r="E312">
            <v>4716.5375094517831</v>
          </cell>
          <cell r="F312">
            <v>4825.8100553567892</v>
          </cell>
          <cell r="G312">
            <v>4843.7144884970676</v>
          </cell>
          <cell r="H312">
            <v>4872.1482111430259</v>
          </cell>
          <cell r="I312">
            <v>4706.0575212955846</v>
          </cell>
          <cell r="J312">
            <v>4667.0358775320201</v>
          </cell>
          <cell r="K312">
            <v>4806.4170365934979</v>
          </cell>
          <cell r="L312">
            <v>4719.198614561752</v>
          </cell>
          <cell r="M312">
            <v>4781.9414535826245</v>
          </cell>
          <cell r="N312">
            <v>4768.7243505052465</v>
          </cell>
          <cell r="O312">
            <v>4742.3458814959449</v>
          </cell>
          <cell r="P312">
            <v>4687.7984706351408</v>
          </cell>
          <cell r="Q312">
            <v>57137.729470650476</v>
          </cell>
        </row>
        <row r="313">
          <cell r="B313" t="str">
            <v>Advertisement</v>
          </cell>
          <cell r="E313">
            <v>3995.4749525907396</v>
          </cell>
          <cell r="F313">
            <v>6779.4477821750197</v>
          </cell>
          <cell r="G313">
            <v>8435.5708187430573</v>
          </cell>
          <cell r="H313">
            <v>9401.521499575123</v>
          </cell>
          <cell r="I313">
            <v>9932.5682823510979</v>
          </cell>
          <cell r="J313">
            <v>4181.8281976999733</v>
          </cell>
          <cell r="K313">
            <v>7700.1091177267672</v>
          </cell>
          <cell r="L313">
            <v>4499.2533884833474</v>
          </cell>
          <cell r="M313">
            <v>5603.5405958658002</v>
          </cell>
          <cell r="N313">
            <v>6196.347938849186</v>
          </cell>
          <cell r="O313">
            <v>11322.418710831178</v>
          </cell>
          <cell r="P313">
            <v>1591.813362648048</v>
          </cell>
          <cell r="Q313">
            <v>79639.894647539317</v>
          </cell>
        </row>
        <row r="314">
          <cell r="B314" t="str">
            <v>Administrative</v>
          </cell>
          <cell r="E314">
            <v>9610.2614690381342</v>
          </cell>
          <cell r="F314">
            <v>9832.9116091950054</v>
          </cell>
          <cell r="G314">
            <v>9869.3930923991938</v>
          </cell>
          <cell r="H314">
            <v>9927.3287090709946</v>
          </cell>
          <cell r="I314">
            <v>9588.9077903762609</v>
          </cell>
          <cell r="J314">
            <v>9509.39857439568</v>
          </cell>
          <cell r="K314">
            <v>9793.3970329585809</v>
          </cell>
          <cell r="L314">
            <v>9615.6836491548293</v>
          </cell>
          <cell r="M314">
            <v>9743.526391228228</v>
          </cell>
          <cell r="N314">
            <v>9716.5956573620624</v>
          </cell>
          <cell r="O314">
            <v>9662.8477578013571</v>
          </cell>
          <cell r="P314">
            <v>9551.7037501938994</v>
          </cell>
          <cell r="Q314">
            <v>116421.95548317423</v>
          </cell>
        </row>
        <row r="315">
          <cell r="B315" t="str">
            <v>Charity and donation</v>
          </cell>
          <cell r="E315">
            <v>376.99854188588557</v>
          </cell>
          <cell r="F315">
            <v>384.45874397933511</v>
          </cell>
          <cell r="G315">
            <v>385.71200036729516</v>
          </cell>
          <cell r="H315">
            <v>387.59429542004159</v>
          </cell>
          <cell r="I315">
            <v>376.30815659010244</v>
          </cell>
          <cell r="J315">
            <v>373.4240867120896</v>
          </cell>
          <cell r="K315">
            <v>382.85878386991027</v>
          </cell>
          <cell r="L315">
            <v>377.3579721581367</v>
          </cell>
          <cell r="M315">
            <v>381.52518928620168</v>
          </cell>
          <cell r="N315">
            <v>380.71842447847689</v>
          </cell>
          <cell r="O315">
            <v>378.89559786341243</v>
          </cell>
          <cell r="P315">
            <v>374.94249427207939</v>
          </cell>
          <cell r="Q315">
            <v>4560.7942868829668</v>
          </cell>
        </row>
        <row r="316">
          <cell r="B316" t="str">
            <v>Running Royalty</v>
          </cell>
          <cell r="E316">
            <v>0</v>
          </cell>
          <cell r="F316">
            <v>0</v>
          </cell>
          <cell r="G316">
            <v>0</v>
          </cell>
          <cell r="H316">
            <v>34000</v>
          </cell>
          <cell r="I316">
            <v>0</v>
          </cell>
          <cell r="J316">
            <v>0</v>
          </cell>
          <cell r="K316">
            <v>0</v>
          </cell>
          <cell r="L316">
            <v>0</v>
          </cell>
          <cell r="M316">
            <v>0</v>
          </cell>
          <cell r="N316">
            <v>0</v>
          </cell>
          <cell r="O316">
            <v>0</v>
          </cell>
          <cell r="P316">
            <v>0</v>
          </cell>
          <cell r="Q316">
            <v>34000</v>
          </cell>
        </row>
        <row r="317">
          <cell r="B317" t="str">
            <v>Initial royalty</v>
          </cell>
          <cell r="E317">
            <v>0</v>
          </cell>
          <cell r="F317">
            <v>0</v>
          </cell>
          <cell r="G317">
            <v>0</v>
          </cell>
          <cell r="H317">
            <v>0</v>
          </cell>
          <cell r="I317">
            <v>0</v>
          </cell>
          <cell r="J317">
            <v>0</v>
          </cell>
          <cell r="K317">
            <v>0</v>
          </cell>
          <cell r="L317">
            <v>0</v>
          </cell>
          <cell r="M317">
            <v>0</v>
          </cell>
          <cell r="N317">
            <v>0</v>
          </cell>
          <cell r="O317">
            <v>0</v>
          </cell>
          <cell r="P317">
            <v>0</v>
          </cell>
          <cell r="Q317">
            <v>0</v>
          </cell>
        </row>
        <row r="318">
          <cell r="B318" t="str">
            <v>W.P.P.F.</v>
          </cell>
          <cell r="E318">
            <v>0</v>
          </cell>
          <cell r="F318">
            <v>0</v>
          </cell>
          <cell r="G318">
            <v>0</v>
          </cell>
          <cell r="H318">
            <v>0</v>
          </cell>
          <cell r="I318">
            <v>0</v>
          </cell>
          <cell r="J318">
            <v>0</v>
          </cell>
          <cell r="K318">
            <v>54000</v>
          </cell>
          <cell r="L318">
            <v>0</v>
          </cell>
          <cell r="M318">
            <v>0</v>
          </cell>
          <cell r="N318">
            <v>0</v>
          </cell>
          <cell r="O318">
            <v>0</v>
          </cell>
          <cell r="P318">
            <v>0</v>
          </cell>
          <cell r="Q318">
            <v>54000</v>
          </cell>
        </row>
        <row r="319">
          <cell r="B319" t="str">
            <v>W.W.F.</v>
          </cell>
          <cell r="E319">
            <v>0</v>
          </cell>
          <cell r="F319">
            <v>0</v>
          </cell>
          <cell r="G319">
            <v>0</v>
          </cell>
          <cell r="H319">
            <v>0</v>
          </cell>
          <cell r="I319">
            <v>0</v>
          </cell>
          <cell r="J319">
            <v>20000</v>
          </cell>
          <cell r="K319">
            <v>0</v>
          </cell>
          <cell r="L319">
            <v>0</v>
          </cell>
          <cell r="M319">
            <v>0</v>
          </cell>
          <cell r="N319">
            <v>0</v>
          </cell>
          <cell r="O319">
            <v>0</v>
          </cell>
          <cell r="P319">
            <v>0</v>
          </cell>
          <cell r="Q319">
            <v>20000</v>
          </cell>
        </row>
        <row r="320">
          <cell r="E320">
            <v>18699.272472966542</v>
          </cell>
          <cell r="F320">
            <v>21822.628190706149</v>
          </cell>
          <cell r="G320">
            <v>23534.390400006614</v>
          </cell>
          <cell r="H320">
            <v>58588.59271520919</v>
          </cell>
          <cell r="I320">
            <v>24603.841750613043</v>
          </cell>
          <cell r="J320">
            <v>38731.686736339761</v>
          </cell>
          <cell r="K320">
            <v>76682.781971148754</v>
          </cell>
          <cell r="L320">
            <v>19211.493624358063</v>
          </cell>
          <cell r="M320">
            <v>20510.533629962858</v>
          </cell>
          <cell r="N320">
            <v>21062.386371194971</v>
          </cell>
          <cell r="O320">
            <v>26106.507947991893</v>
          </cell>
          <cell r="P320">
            <v>16206.258077749168</v>
          </cell>
          <cell r="Q320">
            <v>365760.37388824701</v>
          </cell>
        </row>
        <row r="321">
          <cell r="B321" t="str">
            <v>Repayment of Loan</v>
          </cell>
        </row>
        <row r="322">
          <cell r="B322" t="str">
            <v>L.M.M.</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B323" t="str">
            <v>Term loan</v>
          </cell>
          <cell r="E323">
            <v>0</v>
          </cell>
          <cell r="F323">
            <v>0</v>
          </cell>
          <cell r="G323">
            <v>0</v>
          </cell>
          <cell r="H323">
            <v>0</v>
          </cell>
          <cell r="I323">
            <v>0</v>
          </cell>
          <cell r="J323">
            <v>0</v>
          </cell>
          <cell r="K323">
            <v>0</v>
          </cell>
          <cell r="L323">
            <v>0</v>
          </cell>
          <cell r="M323">
            <v>0</v>
          </cell>
          <cell r="N323">
            <v>0</v>
          </cell>
          <cell r="O323">
            <v>0</v>
          </cell>
          <cell r="P323">
            <v>0</v>
          </cell>
          <cell r="Q323">
            <v>0</v>
          </cell>
        </row>
        <row r="324">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B325" t="str">
            <v>Project Investment</v>
          </cell>
        </row>
        <row r="326">
          <cell r="B326" t="str">
            <v>Capital Expenditure for the Year 2000-2001</v>
          </cell>
          <cell r="E326">
            <v>0</v>
          </cell>
          <cell r="F326">
            <v>0</v>
          </cell>
          <cell r="G326">
            <v>0</v>
          </cell>
          <cell r="H326">
            <v>2000</v>
          </cell>
          <cell r="I326">
            <v>2000</v>
          </cell>
          <cell r="J326">
            <v>2000</v>
          </cell>
          <cell r="K326">
            <v>2000</v>
          </cell>
          <cell r="L326">
            <v>2000</v>
          </cell>
          <cell r="M326">
            <v>2000</v>
          </cell>
          <cell r="N326">
            <v>2000</v>
          </cell>
          <cell r="O326">
            <v>2000</v>
          </cell>
          <cell r="P326">
            <v>2000</v>
          </cell>
          <cell r="Q326">
            <v>18000</v>
          </cell>
        </row>
        <row r="327">
          <cell r="B327" t="str">
            <v>Corolla Model change (557)</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E328">
            <v>0</v>
          </cell>
          <cell r="F328">
            <v>0</v>
          </cell>
          <cell r="G328">
            <v>0</v>
          </cell>
          <cell r="H328">
            <v>2000</v>
          </cell>
          <cell r="I328">
            <v>2000</v>
          </cell>
          <cell r="J328">
            <v>2000</v>
          </cell>
          <cell r="K328">
            <v>2000</v>
          </cell>
          <cell r="L328">
            <v>2000</v>
          </cell>
          <cell r="M328">
            <v>2000</v>
          </cell>
          <cell r="N328">
            <v>2000</v>
          </cell>
          <cell r="O328">
            <v>2000</v>
          </cell>
          <cell r="P328">
            <v>2000</v>
          </cell>
          <cell r="Q328">
            <v>18000</v>
          </cell>
        </row>
        <row r="330">
          <cell r="B330" t="str">
            <v>Other Payments/Adjustments</v>
          </cell>
        </row>
        <row r="331">
          <cell r="B331" t="str">
            <v xml:space="preserve">Income Tax </v>
          </cell>
          <cell r="E331">
            <v>0</v>
          </cell>
          <cell r="F331">
            <v>0</v>
          </cell>
          <cell r="G331">
            <v>31950</v>
          </cell>
          <cell r="H331">
            <v>0</v>
          </cell>
          <cell r="I331">
            <v>0</v>
          </cell>
          <cell r="J331">
            <v>31950</v>
          </cell>
          <cell r="K331">
            <v>0</v>
          </cell>
          <cell r="L331">
            <v>0</v>
          </cell>
          <cell r="M331">
            <v>31950</v>
          </cell>
          <cell r="N331">
            <v>0</v>
          </cell>
          <cell r="O331">
            <v>0</v>
          </cell>
          <cell r="P331">
            <v>31950</v>
          </cell>
          <cell r="Q331">
            <v>127800</v>
          </cell>
        </row>
        <row r="332">
          <cell r="B332" t="str">
            <v>Dividend  00~01</v>
          </cell>
          <cell r="E332">
            <v>0</v>
          </cell>
          <cell r="F332">
            <v>0</v>
          </cell>
          <cell r="G332">
            <v>0</v>
          </cell>
          <cell r="H332">
            <v>0</v>
          </cell>
          <cell r="I332">
            <v>0</v>
          </cell>
          <cell r="J332">
            <v>0</v>
          </cell>
          <cell r="K332">
            <v>157200</v>
          </cell>
          <cell r="L332">
            <v>0</v>
          </cell>
          <cell r="M332">
            <v>0</v>
          </cell>
          <cell r="N332">
            <v>0</v>
          </cell>
          <cell r="O332">
            <v>0</v>
          </cell>
          <cell r="P332">
            <v>0</v>
          </cell>
          <cell r="Q332">
            <v>157200</v>
          </cell>
        </row>
        <row r="333">
          <cell r="B333" t="str">
            <v>Bank charges</v>
          </cell>
          <cell r="E333">
            <v>600</v>
          </cell>
          <cell r="F333">
            <v>600</v>
          </cell>
          <cell r="G333">
            <v>600</v>
          </cell>
          <cell r="H333">
            <v>600</v>
          </cell>
          <cell r="I333">
            <v>600</v>
          </cell>
          <cell r="J333">
            <v>600</v>
          </cell>
          <cell r="K333">
            <v>600</v>
          </cell>
          <cell r="L333">
            <v>600</v>
          </cell>
          <cell r="M333">
            <v>600</v>
          </cell>
          <cell r="N333">
            <v>600</v>
          </cell>
          <cell r="O333">
            <v>600</v>
          </cell>
          <cell r="P333">
            <v>600</v>
          </cell>
          <cell r="Q333">
            <v>7200</v>
          </cell>
        </row>
        <row r="334">
          <cell r="B334" t="str">
            <v>Adjustment of advance from customers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B335" t="str">
            <v>Payment of short term markup</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B336" t="str">
            <v>Imprest account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E337">
            <v>600</v>
          </cell>
          <cell r="F337">
            <v>600</v>
          </cell>
          <cell r="G337">
            <v>32550</v>
          </cell>
          <cell r="H337">
            <v>600</v>
          </cell>
          <cell r="I337">
            <v>600</v>
          </cell>
          <cell r="J337">
            <v>32550</v>
          </cell>
          <cell r="K337">
            <v>157800</v>
          </cell>
          <cell r="L337">
            <v>600</v>
          </cell>
          <cell r="M337">
            <v>32550</v>
          </cell>
          <cell r="N337">
            <v>600</v>
          </cell>
          <cell r="O337">
            <v>600</v>
          </cell>
          <cell r="P337">
            <v>32550</v>
          </cell>
          <cell r="Q337">
            <v>292200</v>
          </cell>
        </row>
        <row r="339">
          <cell r="B339" t="str">
            <v>Total Outflow</v>
          </cell>
          <cell r="E339">
            <v>782150.55882302509</v>
          </cell>
          <cell r="F339">
            <v>906309.41919370077</v>
          </cell>
          <cell r="G339">
            <v>959010.21647191094</v>
          </cell>
          <cell r="H339">
            <v>1049973.7523561153</v>
          </cell>
          <cell r="I339">
            <v>748252.46816601581</v>
          </cell>
          <cell r="J339">
            <v>815610.79528570408</v>
          </cell>
          <cell r="K339">
            <v>1245061.9744400219</v>
          </cell>
          <cell r="L339">
            <v>816418.97998778545</v>
          </cell>
          <cell r="M339">
            <v>909943.46752356144</v>
          </cell>
          <cell r="N339">
            <v>836888.08490027266</v>
          </cell>
          <cell r="O339">
            <v>832917.05413676752</v>
          </cell>
          <cell r="P339">
            <v>875070.27741224878</v>
          </cell>
          <cell r="Q339">
            <v>10777607.048697131</v>
          </cell>
        </row>
        <row r="340">
          <cell r="B340" t="str">
            <v>Net Cash In  / &lt;out&gt; flow</v>
          </cell>
          <cell r="E340">
            <v>97586.107843641657</v>
          </cell>
          <cell r="F340">
            <v>106623.76921209635</v>
          </cell>
          <cell r="G340">
            <v>73747.319759973092</v>
          </cell>
          <cell r="H340">
            <v>84542.044745333958</v>
          </cell>
          <cell r="I340">
            <v>76904.198500650935</v>
          </cell>
          <cell r="J340">
            <v>31649.784424440935</v>
          </cell>
          <cell r="K340">
            <v>-89607.916469007498</v>
          </cell>
          <cell r="L340">
            <v>89433.338852794259</v>
          </cell>
          <cell r="M340">
            <v>72612.764360496541</v>
          </cell>
          <cell r="N340">
            <v>304646.40785335039</v>
          </cell>
          <cell r="O340">
            <v>97323.960355986259</v>
          </cell>
          <cell r="P340">
            <v>90045.084906591685</v>
          </cell>
        </row>
        <row r="341">
          <cell r="B341" t="str">
            <v>Balance as of 19-06-2001   &lt; provisional&gt;</v>
          </cell>
          <cell r="E341">
            <v>3000000</v>
          </cell>
          <cell r="F341">
            <v>3108047.0297835614</v>
          </cell>
          <cell r="G341">
            <v>3224750.3988125077</v>
          </cell>
          <cell r="H341">
            <v>3307367.6768703111</v>
          </cell>
          <cell r="I341">
            <v>3410138.4758227058</v>
          </cell>
          <cell r="J341">
            <v>3504842.2102986174</v>
          </cell>
          <cell r="K341">
            <v>3556120.1532118008</v>
          </cell>
          <cell r="L341">
            <v>3480272.5773457191</v>
          </cell>
          <cell r="M341">
            <v>3578732.0400673612</v>
          </cell>
          <cell r="N341">
            <v>3660089.4007785683</v>
          </cell>
          <cell r="O341">
            <v>3973575.9433114212</v>
          </cell>
          <cell r="P341">
            <v>4079412.1169764856</v>
          </cell>
        </row>
        <row r="342">
          <cell r="B342" t="str">
            <v>Net Cash In/&lt;out&gt; flow CBU</v>
          </cell>
          <cell r="E342">
            <v>10460.92193991963</v>
          </cell>
          <cell r="F342">
            <v>10079.599816850008</v>
          </cell>
          <cell r="G342">
            <v>8869.9582978305698</v>
          </cell>
          <cell r="H342">
            <v>18228.754207060585</v>
          </cell>
          <cell r="I342">
            <v>17799.535975260806</v>
          </cell>
          <cell r="J342">
            <v>19628.158488742469</v>
          </cell>
          <cell r="K342">
            <v>13760.340602925658</v>
          </cell>
          <cell r="L342">
            <v>9026.1238688477752</v>
          </cell>
          <cell r="M342">
            <v>8744.5963507107517</v>
          </cell>
          <cell r="N342">
            <v>8840.1346795023128</v>
          </cell>
          <cell r="O342">
            <v>8512.2133090781426</v>
          </cell>
          <cell r="P342">
            <v>11884.097968450282</v>
          </cell>
        </row>
        <row r="343">
          <cell r="B343" t="str">
            <v>Closing Balance</v>
          </cell>
          <cell r="E343">
            <v>3108047.0297835614</v>
          </cell>
          <cell r="F343">
            <v>3224750.3988125077</v>
          </cell>
          <cell r="G343">
            <v>3307367.6768703111</v>
          </cell>
          <cell r="H343">
            <v>3410138.4758227058</v>
          </cell>
          <cell r="I343">
            <v>3504842.2102986174</v>
          </cell>
          <cell r="J343">
            <v>3556120.1532118008</v>
          </cell>
          <cell r="K343">
            <v>3480272.5773457191</v>
          </cell>
          <cell r="L343">
            <v>3578732.0400673612</v>
          </cell>
          <cell r="M343">
            <v>3660089.4007785683</v>
          </cell>
          <cell r="N343">
            <v>3973575.9433114212</v>
          </cell>
          <cell r="O343">
            <v>4079412.1169764856</v>
          </cell>
          <cell r="P343">
            <v>4181341.2998515274</v>
          </cell>
        </row>
        <row r="345">
          <cell r="B345" t="str">
            <v>Average Closing Balance</v>
          </cell>
          <cell r="E345">
            <v>3000000</v>
          </cell>
          <cell r="F345">
            <v>3000000</v>
          </cell>
          <cell r="G345">
            <v>3000000</v>
          </cell>
          <cell r="H345">
            <v>1000000</v>
          </cell>
          <cell r="I345">
            <v>1000000</v>
          </cell>
          <cell r="J345">
            <v>1000000</v>
          </cell>
          <cell r="K345">
            <v>1000000</v>
          </cell>
          <cell r="L345">
            <v>1000000</v>
          </cell>
          <cell r="M345">
            <v>1000000</v>
          </cell>
          <cell r="N345">
            <v>1000000</v>
          </cell>
          <cell r="O345">
            <v>1000000</v>
          </cell>
          <cell r="P345">
            <v>1000000</v>
          </cell>
        </row>
        <row r="347">
          <cell r="B347" t="str">
            <v>Interest income @ 6%</v>
          </cell>
          <cell r="E347">
            <v>15000</v>
          </cell>
          <cell r="F347">
            <v>15000</v>
          </cell>
          <cell r="G347">
            <v>15000</v>
          </cell>
          <cell r="H347">
            <v>5000</v>
          </cell>
          <cell r="I347">
            <v>5000</v>
          </cell>
          <cell r="J347">
            <v>5000</v>
          </cell>
          <cell r="K347">
            <v>5000</v>
          </cell>
          <cell r="L347">
            <v>5000</v>
          </cell>
          <cell r="M347">
            <v>5000</v>
          </cell>
          <cell r="N347">
            <v>5000</v>
          </cell>
          <cell r="O347">
            <v>5000</v>
          </cell>
          <cell r="P347">
            <v>5000</v>
          </cell>
          <cell r="Q347">
            <v>90000</v>
          </cell>
        </row>
        <row r="348">
          <cell r="B348" t="str">
            <v>Financial Charges @ 10%</v>
          </cell>
          <cell r="E348">
            <v>0</v>
          </cell>
          <cell r="F348">
            <v>0</v>
          </cell>
          <cell r="G348">
            <v>0</v>
          </cell>
          <cell r="H348">
            <v>0</v>
          </cell>
          <cell r="I348">
            <v>0</v>
          </cell>
          <cell r="J348">
            <v>0</v>
          </cell>
          <cell r="K348">
            <v>0</v>
          </cell>
          <cell r="L348">
            <v>0</v>
          </cell>
          <cell r="M348">
            <v>0</v>
          </cell>
          <cell r="N348">
            <v>0</v>
          </cell>
          <cell r="O348">
            <v>0</v>
          </cell>
          <cell r="P348">
            <v>0</v>
          </cell>
          <cell r="Q348">
            <v>0</v>
          </cell>
        </row>
        <row r="349">
          <cell r="G349">
            <v>0</v>
          </cell>
          <cell r="J349">
            <v>0</v>
          </cell>
          <cell r="M349">
            <v>0</v>
          </cell>
          <cell r="Q349">
            <v>90000</v>
          </cell>
        </row>
        <row r="357">
          <cell r="B357" t="str">
            <v>Indus Motor Company Limited</v>
          </cell>
        </row>
        <row r="358">
          <cell r="B358" t="str">
            <v>Projected Cash Flow  (CKD &amp; CBU Operation)</v>
          </cell>
        </row>
        <row r="359">
          <cell r="B359" t="str">
            <v>From 01-07-2000 to 30-06-2001</v>
          </cell>
        </row>
        <row r="361">
          <cell r="E361">
            <v>183</v>
          </cell>
          <cell r="F361">
            <v>214</v>
          </cell>
          <cell r="G361">
            <v>245</v>
          </cell>
          <cell r="H361">
            <v>276</v>
          </cell>
          <cell r="I361">
            <v>307</v>
          </cell>
          <cell r="J361">
            <v>338</v>
          </cell>
          <cell r="K361">
            <v>369</v>
          </cell>
          <cell r="L361">
            <v>400</v>
          </cell>
          <cell r="M361">
            <v>431</v>
          </cell>
          <cell r="N361">
            <v>462</v>
          </cell>
          <cell r="O361">
            <v>493</v>
          </cell>
          <cell r="P361">
            <v>524</v>
          </cell>
          <cell r="Q361" t="str">
            <v>TOTAL</v>
          </cell>
        </row>
        <row r="362">
          <cell r="Q362" t="str">
            <v>97 - 98</v>
          </cell>
        </row>
        <row r="363">
          <cell r="B363" t="str">
            <v>Total Units sold</v>
          </cell>
        </row>
        <row r="364">
          <cell r="B364" t="str">
            <v xml:space="preserve">CKD </v>
          </cell>
          <cell r="E364">
            <v>1210</v>
          </cell>
          <cell r="F364">
            <v>1390</v>
          </cell>
          <cell r="G364">
            <v>1421</v>
          </cell>
          <cell r="H364">
            <v>1550</v>
          </cell>
          <cell r="I364">
            <v>1170</v>
          </cell>
          <cell r="J364">
            <v>1201</v>
          </cell>
          <cell r="K364">
            <v>1600</v>
          </cell>
          <cell r="L364">
            <v>1300</v>
          </cell>
          <cell r="M364">
            <v>1380</v>
          </cell>
          <cell r="N364">
            <v>1290</v>
          </cell>
          <cell r="O364">
            <v>1280</v>
          </cell>
          <cell r="P364">
            <v>1308</v>
          </cell>
          <cell r="Q364">
            <v>16100</v>
          </cell>
        </row>
        <row r="365">
          <cell r="B365" t="str">
            <v>CBU</v>
          </cell>
          <cell r="E365">
            <v>35</v>
          </cell>
          <cell r="F365">
            <v>31</v>
          </cell>
          <cell r="G365">
            <v>30</v>
          </cell>
          <cell r="H365">
            <v>30</v>
          </cell>
          <cell r="I365">
            <v>31</v>
          </cell>
          <cell r="J365">
            <v>36</v>
          </cell>
          <cell r="K365">
            <v>35</v>
          </cell>
          <cell r="L365">
            <v>32</v>
          </cell>
          <cell r="M365">
            <v>30</v>
          </cell>
          <cell r="N365">
            <v>29</v>
          </cell>
          <cell r="O365">
            <v>31</v>
          </cell>
          <cell r="P365">
            <v>37</v>
          </cell>
          <cell r="Q365">
            <v>387</v>
          </cell>
        </row>
        <row r="366">
          <cell r="E366">
            <v>1245</v>
          </cell>
          <cell r="F366">
            <v>1421</v>
          </cell>
          <cell r="G366">
            <v>1451</v>
          </cell>
          <cell r="H366">
            <v>1580</v>
          </cell>
          <cell r="I366">
            <v>1201</v>
          </cell>
          <cell r="J366">
            <v>1237</v>
          </cell>
          <cell r="K366">
            <v>1635</v>
          </cell>
          <cell r="L366">
            <v>1332</v>
          </cell>
          <cell r="M366">
            <v>1410</v>
          </cell>
          <cell r="N366">
            <v>1319</v>
          </cell>
          <cell r="O366">
            <v>1311</v>
          </cell>
          <cell r="P366">
            <v>1345</v>
          </cell>
          <cell r="Q366">
            <v>16487</v>
          </cell>
        </row>
        <row r="368">
          <cell r="B368" t="str">
            <v>In Flow</v>
          </cell>
        </row>
        <row r="369">
          <cell r="B369" t="str">
            <v>Collections  - CKD</v>
          </cell>
          <cell r="E369">
            <v>879736.66666666674</v>
          </cell>
          <cell r="F369">
            <v>1012933.1884057971</v>
          </cell>
          <cell r="G369">
            <v>1032757.536231884</v>
          </cell>
          <cell r="H369">
            <v>1134515.7971014492</v>
          </cell>
          <cell r="I369">
            <v>825156.66666666674</v>
          </cell>
          <cell r="J369">
            <v>847260.57971014502</v>
          </cell>
          <cell r="K369">
            <v>1155454.0579710144</v>
          </cell>
          <cell r="L369">
            <v>905852.31884057971</v>
          </cell>
          <cell r="M369">
            <v>982556.23188405798</v>
          </cell>
          <cell r="N369">
            <v>1141534.4927536231</v>
          </cell>
          <cell r="O369">
            <v>930241.01449275378</v>
          </cell>
          <cell r="P369">
            <v>965115.36231884046</v>
          </cell>
          <cell r="Q369">
            <v>11813113.913043479</v>
          </cell>
        </row>
        <row r="370">
          <cell r="B370" t="str">
            <v xml:space="preserve">                          CBU</v>
          </cell>
          <cell r="E370">
            <v>89954.34782608696</v>
          </cell>
          <cell r="F370">
            <v>82335.217391304337</v>
          </cell>
          <cell r="G370">
            <v>80373.913043478271</v>
          </cell>
          <cell r="H370">
            <v>82610.434782608689</v>
          </cell>
          <cell r="I370">
            <v>85441.304347826095</v>
          </cell>
          <cell r="J370">
            <v>95021.739130434784</v>
          </cell>
          <cell r="K370">
            <v>98184.782608695663</v>
          </cell>
          <cell r="L370">
            <v>90448.695652173905</v>
          </cell>
          <cell r="M370">
            <v>86639.130434782608</v>
          </cell>
          <cell r="N370">
            <v>85030</v>
          </cell>
          <cell r="O370">
            <v>88839.565217391311</v>
          </cell>
          <cell r="P370">
            <v>102233.47826086957</v>
          </cell>
          <cell r="Q370">
            <v>1067112.6086956523</v>
          </cell>
        </row>
        <row r="371">
          <cell r="E371">
            <v>969691.01449275366</v>
          </cell>
          <cell r="F371">
            <v>1095268.4057971016</v>
          </cell>
          <cell r="G371">
            <v>1113131.4492753623</v>
          </cell>
          <cell r="H371">
            <v>1217126.2318840579</v>
          </cell>
          <cell r="I371">
            <v>910597.9710144928</v>
          </cell>
          <cell r="J371">
            <v>942282.31884057983</v>
          </cell>
          <cell r="K371">
            <v>1253638.84057971</v>
          </cell>
          <cell r="L371">
            <v>996301.01449275366</v>
          </cell>
          <cell r="M371">
            <v>1069195.3623188406</v>
          </cell>
          <cell r="N371">
            <v>1226564.4927536231</v>
          </cell>
          <cell r="O371">
            <v>1019080.5797101451</v>
          </cell>
          <cell r="P371">
            <v>1067348.84057971</v>
          </cell>
          <cell r="Q371">
            <v>12880226.521739131</v>
          </cell>
        </row>
        <row r="373">
          <cell r="B373" t="str">
            <v>Interest income</v>
          </cell>
          <cell r="E373">
            <v>15000</v>
          </cell>
          <cell r="F373">
            <v>15000</v>
          </cell>
          <cell r="G373">
            <v>15000</v>
          </cell>
          <cell r="H373">
            <v>5000</v>
          </cell>
          <cell r="I373">
            <v>5000</v>
          </cell>
          <cell r="J373">
            <v>5000</v>
          </cell>
          <cell r="K373">
            <v>5000</v>
          </cell>
          <cell r="L373">
            <v>5000</v>
          </cell>
          <cell r="M373">
            <v>5000</v>
          </cell>
          <cell r="N373">
            <v>5000</v>
          </cell>
          <cell r="O373">
            <v>5000</v>
          </cell>
          <cell r="P373">
            <v>5000</v>
          </cell>
          <cell r="Q373">
            <v>90000</v>
          </cell>
        </row>
        <row r="374">
          <cell r="B374" t="str">
            <v>30% Margin on L/C Contra Adj</v>
          </cell>
        </row>
        <row r="375">
          <cell r="C375" t="str">
            <v>CKD</v>
          </cell>
          <cell r="E375">
            <v>1833.3333333333335</v>
          </cell>
          <cell r="F375">
            <v>1833.3333333333335</v>
          </cell>
          <cell r="G375">
            <v>1833.3333333333335</v>
          </cell>
          <cell r="H375">
            <v>1833.3333333333335</v>
          </cell>
          <cell r="I375">
            <v>1833.3333333333335</v>
          </cell>
          <cell r="J375">
            <v>1833.3333333333335</v>
          </cell>
          <cell r="K375">
            <v>1833.3333333333335</v>
          </cell>
          <cell r="L375">
            <v>1833.3333333333335</v>
          </cell>
          <cell r="M375">
            <v>1833.3333333333335</v>
          </cell>
          <cell r="N375">
            <v>1833.3333333333335</v>
          </cell>
          <cell r="O375">
            <v>1833.3333333333335</v>
          </cell>
          <cell r="P375">
            <v>12833.333333333334</v>
          </cell>
          <cell r="Q375">
            <v>33000</v>
          </cell>
        </row>
        <row r="376">
          <cell r="C376" t="str">
            <v>CBU</v>
          </cell>
          <cell r="E376">
            <v>0</v>
          </cell>
          <cell r="F376">
            <v>0</v>
          </cell>
          <cell r="G376">
            <v>0</v>
          </cell>
          <cell r="H376">
            <v>0</v>
          </cell>
          <cell r="I376">
            <v>0</v>
          </cell>
          <cell r="J376">
            <v>0</v>
          </cell>
          <cell r="K376">
            <v>0</v>
          </cell>
          <cell r="L376">
            <v>0</v>
          </cell>
          <cell r="M376">
            <v>0</v>
          </cell>
          <cell r="N376">
            <v>0</v>
          </cell>
          <cell r="O376">
            <v>0</v>
          </cell>
          <cell r="P376">
            <v>0</v>
          </cell>
          <cell r="Q376">
            <v>0</v>
          </cell>
        </row>
        <row r="377">
          <cell r="E377">
            <v>1833.3333333333335</v>
          </cell>
          <cell r="F377">
            <v>1833.3333333333335</v>
          </cell>
          <cell r="G377">
            <v>1833.3333333333335</v>
          </cell>
          <cell r="H377">
            <v>1833.3333333333335</v>
          </cell>
          <cell r="I377">
            <v>1833.3333333333335</v>
          </cell>
          <cell r="J377">
            <v>1833.3333333333335</v>
          </cell>
          <cell r="K377">
            <v>1833.3333333333335</v>
          </cell>
          <cell r="L377">
            <v>1833.3333333333335</v>
          </cell>
          <cell r="M377">
            <v>1833.3333333333335</v>
          </cell>
          <cell r="N377">
            <v>1833.3333333333335</v>
          </cell>
          <cell r="O377">
            <v>1833.3333333333335</v>
          </cell>
          <cell r="P377">
            <v>12833.333333333334</v>
          </cell>
          <cell r="Q377">
            <v>33000</v>
          </cell>
        </row>
        <row r="379">
          <cell r="B379" t="str">
            <v>Total Inflow</v>
          </cell>
          <cell r="E379">
            <v>986524.34782608703</v>
          </cell>
          <cell r="F379">
            <v>1112101.7391304348</v>
          </cell>
          <cell r="G379">
            <v>1129964.7826086956</v>
          </cell>
          <cell r="H379">
            <v>1223959.5652173911</v>
          </cell>
          <cell r="I379">
            <v>917431.30434782617</v>
          </cell>
          <cell r="J379">
            <v>949115.6521739132</v>
          </cell>
          <cell r="K379">
            <v>1260472.1739130432</v>
          </cell>
          <cell r="L379">
            <v>1003134.347826087</v>
          </cell>
          <cell r="M379">
            <v>1076028.6956521738</v>
          </cell>
          <cell r="N379">
            <v>1233397.8260869563</v>
          </cell>
          <cell r="O379">
            <v>1025913.9130434785</v>
          </cell>
          <cell r="P379">
            <v>1085182.1739130432</v>
          </cell>
          <cell r="Q379">
            <v>13003226.521739131</v>
          </cell>
        </row>
        <row r="381">
          <cell r="B381" t="str">
            <v>Out Flow</v>
          </cell>
        </row>
        <row r="382">
          <cell r="B382" t="str">
            <v xml:space="preserve"> Arrival during the month</v>
          </cell>
        </row>
        <row r="383">
          <cell r="C383" t="str">
            <v>CKD</v>
          </cell>
        </row>
        <row r="384">
          <cell r="C384" t="str">
            <v>Documents</v>
          </cell>
          <cell r="E384">
            <v>290182.11880788003</v>
          </cell>
          <cell r="F384">
            <v>351799.4809654</v>
          </cell>
          <cell r="G384">
            <v>363318.9525446</v>
          </cell>
          <cell r="H384">
            <v>398120.02101820003</v>
          </cell>
          <cell r="I384">
            <v>288130.79907664005</v>
          </cell>
          <cell r="J384">
            <v>299045.59551412001</v>
          </cell>
          <cell r="K384">
            <v>406753.52610880003</v>
          </cell>
          <cell r="L384">
            <v>319701.89812496002</v>
          </cell>
          <cell r="M384">
            <v>348352.7772036001</v>
          </cell>
          <cell r="N384">
            <v>309033.1806354</v>
          </cell>
          <cell r="O384">
            <v>305472.31838760001</v>
          </cell>
          <cell r="P384">
            <v>313884.7821532801</v>
          </cell>
          <cell r="Q384">
            <v>3993795.4505404802</v>
          </cell>
        </row>
        <row r="385">
          <cell r="C385" t="str">
            <v>Government Levies</v>
          </cell>
          <cell r="E385">
            <v>102567.8855620117</v>
          </cell>
          <cell r="F385">
            <v>118977.71227942807</v>
          </cell>
          <cell r="G385">
            <v>121563.40876913755</v>
          </cell>
          <cell r="H385">
            <v>131899.71307553945</v>
          </cell>
          <cell r="I385">
            <v>96674.661849595883</v>
          </cell>
          <cell r="J385">
            <v>99631.797692577718</v>
          </cell>
          <cell r="K385">
            <v>135138.81387390639</v>
          </cell>
          <cell r="L385">
            <v>106901.25916480068</v>
          </cell>
          <cell r="M385">
            <v>115310.84979733196</v>
          </cell>
          <cell r="N385">
            <v>109639.98769251104</v>
          </cell>
          <cell r="O385">
            <v>108300.34221050881</v>
          </cell>
          <cell r="P385">
            <v>111011.83961205283</v>
          </cell>
          <cell r="Q385">
            <v>1357618.271579402</v>
          </cell>
        </row>
        <row r="386">
          <cell r="E386">
            <v>392750.00436989171</v>
          </cell>
          <cell r="F386">
            <v>470777.19324482809</v>
          </cell>
          <cell r="G386">
            <v>484882.36131373758</v>
          </cell>
          <cell r="H386">
            <v>530019.73409373942</v>
          </cell>
          <cell r="I386">
            <v>384805.46092623594</v>
          </cell>
          <cell r="J386">
            <v>398677.39320669771</v>
          </cell>
          <cell r="K386">
            <v>541892.33998270635</v>
          </cell>
          <cell r="L386">
            <v>426603.15728976071</v>
          </cell>
          <cell r="M386">
            <v>463663.62700093206</v>
          </cell>
          <cell r="N386">
            <v>418673.16832791106</v>
          </cell>
          <cell r="O386">
            <v>413772.66059810884</v>
          </cell>
          <cell r="P386">
            <v>424896.62176533294</v>
          </cell>
          <cell r="Q386">
            <v>5351413.7221198827</v>
          </cell>
        </row>
        <row r="387">
          <cell r="C387" t="str">
            <v>CBU</v>
          </cell>
        </row>
        <row r="388">
          <cell r="C388" t="str">
            <v>Documents &amp; Govt Levies</v>
          </cell>
          <cell r="E388">
            <v>44542.778000000006</v>
          </cell>
          <cell r="F388">
            <v>38362.817999999999</v>
          </cell>
          <cell r="G388">
            <v>36777.201999999997</v>
          </cell>
          <cell r="H388">
            <v>36777.201999999997</v>
          </cell>
          <cell r="I388">
            <v>38362.817999999999</v>
          </cell>
          <cell r="J388">
            <v>46128.394</v>
          </cell>
          <cell r="K388">
            <v>45282.674999999996</v>
          </cell>
          <cell r="L388">
            <v>39867.182000000001</v>
          </cell>
          <cell r="M388">
            <v>36777.201999999997</v>
          </cell>
          <cell r="N388">
            <v>35272.837999999996</v>
          </cell>
          <cell r="O388">
            <v>38362.817999999999</v>
          </cell>
          <cell r="P388">
            <v>48372.654999999999</v>
          </cell>
          <cell r="Q388">
            <v>484886.58200000005</v>
          </cell>
        </row>
        <row r="389">
          <cell r="E389">
            <v>437292.78236989171</v>
          </cell>
          <cell r="F389">
            <v>509140.01124482811</v>
          </cell>
          <cell r="G389">
            <v>521659.56331373757</v>
          </cell>
          <cell r="H389">
            <v>566796.93609373947</v>
          </cell>
          <cell r="I389">
            <v>423168.27892623597</v>
          </cell>
          <cell r="J389">
            <v>444805.78720669774</v>
          </cell>
          <cell r="K389">
            <v>587175.0149827064</v>
          </cell>
          <cell r="L389">
            <v>466470.33928976068</v>
          </cell>
          <cell r="M389">
            <v>500440.82900093205</v>
          </cell>
          <cell r="N389">
            <v>453946.00632791105</v>
          </cell>
          <cell r="O389">
            <v>452135.47859810886</v>
          </cell>
          <cell r="P389">
            <v>473269.27676533291</v>
          </cell>
          <cell r="Q389">
            <v>5836300.3041198831</v>
          </cell>
        </row>
        <row r="391">
          <cell r="B391" t="str">
            <v>Parts consignment</v>
          </cell>
          <cell r="E391">
            <v>25381.66529942576</v>
          </cell>
          <cell r="F391">
            <v>25381.66529942576</v>
          </cell>
          <cell r="G391">
            <v>25381.66529942576</v>
          </cell>
          <cell r="H391">
            <v>26814.807219031994</v>
          </cell>
          <cell r="I391">
            <v>27531.378178835112</v>
          </cell>
          <cell r="J391">
            <v>27531.378178835112</v>
          </cell>
          <cell r="K391">
            <v>29322.805578342904</v>
          </cell>
          <cell r="L391">
            <v>29322.805578342904</v>
          </cell>
          <cell r="M391">
            <v>29322.805578342904</v>
          </cell>
          <cell r="N391">
            <v>29322.805578342904</v>
          </cell>
          <cell r="O391">
            <v>29322.805578342904</v>
          </cell>
          <cell r="P391">
            <v>29322.805578342904</v>
          </cell>
          <cell r="Q391">
            <v>333959.39294503699</v>
          </cell>
        </row>
        <row r="393">
          <cell r="B393" t="str">
            <v xml:space="preserve">30% Margin on L/C </v>
          </cell>
        </row>
        <row r="394">
          <cell r="C394" t="str">
            <v xml:space="preserve">CKD </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C395" t="str">
            <v>CBU</v>
          </cell>
          <cell r="E395">
            <v>0</v>
          </cell>
          <cell r="F395">
            <v>0</v>
          </cell>
          <cell r="G395">
            <v>0</v>
          </cell>
          <cell r="H395">
            <v>0</v>
          </cell>
          <cell r="I395">
            <v>0</v>
          </cell>
          <cell r="J395">
            <v>0</v>
          </cell>
          <cell r="K395">
            <v>0</v>
          </cell>
          <cell r="L395">
            <v>0</v>
          </cell>
          <cell r="M395">
            <v>0</v>
          </cell>
          <cell r="N395">
            <v>0</v>
          </cell>
          <cell r="O395">
            <v>0</v>
          </cell>
          <cell r="P395">
            <v>0</v>
          </cell>
          <cell r="Q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row>
        <row r="398">
          <cell r="E398">
            <v>462674.44766931748</v>
          </cell>
          <cell r="F398">
            <v>534521.67654425383</v>
          </cell>
          <cell r="G398">
            <v>547041.22861316334</v>
          </cell>
          <cell r="H398">
            <v>593611.74331277143</v>
          </cell>
          <cell r="I398">
            <v>450699.65710507106</v>
          </cell>
          <cell r="J398">
            <v>472337.16538553283</v>
          </cell>
          <cell r="K398">
            <v>616497.82056104927</v>
          </cell>
          <cell r="L398">
            <v>495793.14486810361</v>
          </cell>
          <cell r="M398">
            <v>529763.63457927492</v>
          </cell>
          <cell r="N398">
            <v>483268.81190625398</v>
          </cell>
          <cell r="O398">
            <v>481458.28417645179</v>
          </cell>
          <cell r="P398">
            <v>502592.08234367584</v>
          </cell>
          <cell r="Q398">
            <v>6170259.6970649203</v>
          </cell>
        </row>
        <row r="400">
          <cell r="B400" t="str">
            <v>Vendor parts</v>
          </cell>
          <cell r="E400">
            <v>187353.99000000002</v>
          </cell>
          <cell r="F400">
            <v>217250.52</v>
          </cell>
          <cell r="G400">
            <v>221570.24599999998</v>
          </cell>
          <cell r="H400">
            <v>245609.44999999998</v>
          </cell>
          <cell r="I400">
            <v>172005.94</v>
          </cell>
          <cell r="J400">
            <v>177196.71599999999</v>
          </cell>
          <cell r="K400">
            <v>245957.73</v>
          </cell>
          <cell r="L400">
            <v>187232.02000000002</v>
          </cell>
          <cell r="M400">
            <v>202033.98</v>
          </cell>
          <cell r="N400">
            <v>195551.81</v>
          </cell>
          <cell r="O400">
            <v>193277.00999999998</v>
          </cell>
          <cell r="P400">
            <v>198669.83800000002</v>
          </cell>
          <cell r="Q400">
            <v>2443709.25</v>
          </cell>
        </row>
        <row r="401">
          <cell r="B401" t="str">
            <v>Consumable</v>
          </cell>
          <cell r="E401">
            <v>17265.16</v>
          </cell>
          <cell r="F401">
            <v>20236.88</v>
          </cell>
          <cell r="G401">
            <v>20700.175000000003</v>
          </cell>
          <cell r="H401">
            <v>22997.66</v>
          </cell>
          <cell r="I401">
            <v>16067.050000000001</v>
          </cell>
          <cell r="J401">
            <v>16590.175000000003</v>
          </cell>
          <cell r="K401">
            <v>23058.79</v>
          </cell>
          <cell r="L401">
            <v>17555.07</v>
          </cell>
          <cell r="M401">
            <v>18941.21</v>
          </cell>
          <cell r="N401">
            <v>18002.3</v>
          </cell>
          <cell r="O401">
            <v>17795.150000000001</v>
          </cell>
          <cell r="P401">
            <v>18297.22</v>
          </cell>
          <cell r="Q401">
            <v>227506.84</v>
          </cell>
        </row>
        <row r="402">
          <cell r="B402" t="str">
            <v>Expenses</v>
          </cell>
        </row>
        <row r="403">
          <cell r="B403" t="str">
            <v>Production Expenses</v>
          </cell>
          <cell r="E403">
            <v>7880.1416034521535</v>
          </cell>
          <cell r="F403">
            <v>7880.1416034521517</v>
          </cell>
          <cell r="G403">
            <v>7880.1416034521517</v>
          </cell>
          <cell r="H403">
            <v>7880.1416034521517</v>
          </cell>
          <cell r="I403">
            <v>7880.1416034521499</v>
          </cell>
          <cell r="J403">
            <v>7880.1416034521517</v>
          </cell>
          <cell r="K403">
            <v>7880.1416034521517</v>
          </cell>
          <cell r="L403">
            <v>7880.1416034521517</v>
          </cell>
          <cell r="M403">
            <v>7880.1416034521517</v>
          </cell>
          <cell r="N403">
            <v>7880.1416034521517</v>
          </cell>
          <cell r="O403">
            <v>7880.1416034521535</v>
          </cell>
          <cell r="P403">
            <v>7880.1416034521517</v>
          </cell>
          <cell r="Q403">
            <v>94561.699241425827</v>
          </cell>
        </row>
        <row r="404">
          <cell r="B404" t="str">
            <v>Selling Expenses</v>
          </cell>
          <cell r="E404">
            <v>5261.8503333333329</v>
          </cell>
          <cell r="F404">
            <v>5261.8503333333338</v>
          </cell>
          <cell r="G404">
            <v>5261.8503333333329</v>
          </cell>
          <cell r="H404">
            <v>5261.8503333333329</v>
          </cell>
          <cell r="I404">
            <v>5261.8503333333347</v>
          </cell>
          <cell r="J404">
            <v>5261.8503333333338</v>
          </cell>
          <cell r="K404">
            <v>5261.8503333333319</v>
          </cell>
          <cell r="L404">
            <v>5261.8503333333319</v>
          </cell>
          <cell r="M404">
            <v>5261.8503333333319</v>
          </cell>
          <cell r="N404">
            <v>5261.8503333333319</v>
          </cell>
          <cell r="O404">
            <v>5261.8503333333338</v>
          </cell>
          <cell r="P404">
            <v>5261.8503333333319</v>
          </cell>
          <cell r="Q404">
            <v>63142.204000000012</v>
          </cell>
        </row>
        <row r="405">
          <cell r="B405" t="str">
            <v>Adminstrative Expenses</v>
          </cell>
          <cell r="E405">
            <v>10721.372916666664</v>
          </cell>
          <cell r="F405">
            <v>10721.372916666665</v>
          </cell>
          <cell r="G405">
            <v>10721.372916666665</v>
          </cell>
          <cell r="H405">
            <v>10721.372916666665</v>
          </cell>
          <cell r="I405">
            <v>10721.372916666665</v>
          </cell>
          <cell r="J405">
            <v>10721.372916666664</v>
          </cell>
          <cell r="K405">
            <v>10721.372916666664</v>
          </cell>
          <cell r="L405">
            <v>10721.372916666664</v>
          </cell>
          <cell r="M405">
            <v>10721.372916666664</v>
          </cell>
          <cell r="N405">
            <v>10721.372916666664</v>
          </cell>
          <cell r="O405">
            <v>10721.372916666665</v>
          </cell>
          <cell r="P405">
            <v>10721.372916666664</v>
          </cell>
          <cell r="Q405">
            <v>128656.47499999995</v>
          </cell>
        </row>
        <row r="406">
          <cell r="B406" t="str">
            <v>Other Charges Charity &amp; Donation</v>
          </cell>
          <cell r="E406">
            <v>335.00287848739538</v>
          </cell>
          <cell r="F406">
            <v>347.28684652239082</v>
          </cell>
          <cell r="G406">
            <v>349.1376909729762</v>
          </cell>
          <cell r="H406">
            <v>354.15012557217733</v>
          </cell>
          <cell r="I406">
            <v>331.60260960121019</v>
          </cell>
          <cell r="J406">
            <v>330.22425827276487</v>
          </cell>
          <cell r="K406">
            <v>344.58448684253443</v>
          </cell>
          <cell r="L406">
            <v>329.1908470307481</v>
          </cell>
          <cell r="M406">
            <v>336.64406164473309</v>
          </cell>
          <cell r="N406">
            <v>333.97223581964943</v>
          </cell>
          <cell r="O406">
            <v>331.80588298747699</v>
          </cell>
          <cell r="P406">
            <v>329.51520011444171</v>
          </cell>
          <cell r="Q406">
            <v>4053.1171238684983</v>
          </cell>
        </row>
        <row r="408">
          <cell r="B408" t="str">
            <v>Repayment of loan</v>
          </cell>
        </row>
        <row r="409">
          <cell r="B409" t="str">
            <v>Instalemt of LMM</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B410" t="str">
            <v>Instalment of Suppliers Credit</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row>
        <row r="411">
          <cell r="B411" t="str">
            <v>Investment in Projects</v>
          </cell>
        </row>
        <row r="412">
          <cell r="B412" t="str">
            <v>Investment for the year</v>
          </cell>
        </row>
        <row r="413">
          <cell r="B413" t="str">
            <v>Daihatsu</v>
          </cell>
          <cell r="E413">
            <v>0</v>
          </cell>
        </row>
      </sheetData>
      <sheetData sheetId="15">
        <row r="31">
          <cell r="B31" t="str">
            <v>GL</v>
          </cell>
          <cell r="C31">
            <v>90</v>
          </cell>
          <cell r="D31">
            <v>90</v>
          </cell>
          <cell r="E31">
            <v>90</v>
          </cell>
          <cell r="F31">
            <v>100</v>
          </cell>
          <cell r="G31">
            <v>70</v>
          </cell>
          <cell r="H31">
            <v>70</v>
          </cell>
          <cell r="I31">
            <v>100</v>
          </cell>
          <cell r="J31">
            <v>80</v>
          </cell>
          <cell r="K31">
            <v>60</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t="str">
            <v>XE LTD</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GLI - A/T</v>
          </cell>
          <cell r="C34">
            <v>80</v>
          </cell>
          <cell r="D34">
            <v>90</v>
          </cell>
          <cell r="E34">
            <v>90</v>
          </cell>
          <cell r="F34">
            <v>90</v>
          </cell>
          <cell r="G34">
            <v>60</v>
          </cell>
          <cell r="H34">
            <v>70</v>
          </cell>
          <cell r="I34">
            <v>110</v>
          </cell>
          <cell r="J34">
            <v>90</v>
          </cell>
          <cell r="K34">
            <v>90</v>
          </cell>
          <cell r="L34">
            <v>110</v>
          </cell>
          <cell r="M34">
            <v>110</v>
          </cell>
          <cell r="N34">
            <v>110</v>
          </cell>
          <cell r="O34">
            <v>1100</v>
          </cell>
        </row>
        <row r="35">
          <cell r="B35" t="str">
            <v>20D SUNROOF</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2.0 D</v>
          </cell>
          <cell r="C36">
            <v>150</v>
          </cell>
          <cell r="D36">
            <v>170</v>
          </cell>
          <cell r="E36">
            <v>170</v>
          </cell>
          <cell r="F36">
            <v>180</v>
          </cell>
          <cell r="G36">
            <v>130</v>
          </cell>
          <cell r="H36">
            <v>130</v>
          </cell>
          <cell r="I36">
            <v>170</v>
          </cell>
          <cell r="J36">
            <v>120</v>
          </cell>
          <cell r="K36">
            <v>150</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t="str">
            <v>2.0 D Ltd</v>
          </cell>
          <cell r="C38">
            <v>0</v>
          </cell>
          <cell r="D38">
            <v>0</v>
          </cell>
          <cell r="E38">
            <v>0</v>
          </cell>
          <cell r="F38">
            <v>0</v>
          </cell>
          <cell r="G38">
            <v>0</v>
          </cell>
          <cell r="H38">
            <v>0</v>
          </cell>
          <cell r="I38">
            <v>0</v>
          </cell>
          <cell r="J38">
            <v>0</v>
          </cell>
          <cell r="K38">
            <v>0</v>
          </cell>
          <cell r="L38">
            <v>0</v>
          </cell>
          <cell r="M38">
            <v>0</v>
          </cell>
          <cell r="N38">
            <v>0</v>
          </cell>
          <cell r="O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row>
        <row r="40">
          <cell r="B40" t="str">
            <v>Hilux  4 X 2 Std</v>
          </cell>
          <cell r="C40">
            <v>51</v>
          </cell>
          <cell r="D40">
            <v>50</v>
          </cell>
          <cell r="E40">
            <v>44</v>
          </cell>
          <cell r="F40">
            <v>55</v>
          </cell>
          <cell r="G40">
            <v>98</v>
          </cell>
          <cell r="H40">
            <v>23</v>
          </cell>
          <cell r="I40">
            <v>100</v>
          </cell>
          <cell r="J40">
            <v>52</v>
          </cell>
          <cell r="K40">
            <v>280</v>
          </cell>
          <cell r="L40">
            <v>120</v>
          </cell>
          <cell r="M40">
            <v>120</v>
          </cell>
          <cell r="N40">
            <v>128</v>
          </cell>
          <cell r="O40">
            <v>1121</v>
          </cell>
        </row>
        <row r="41">
          <cell r="B41" t="str">
            <v>Hilux  4 X 2 Dless</v>
          </cell>
          <cell r="C41">
            <v>69</v>
          </cell>
          <cell r="D41">
            <v>190</v>
          </cell>
          <cell r="E41">
            <v>227</v>
          </cell>
          <cell r="F41">
            <v>265</v>
          </cell>
          <cell r="G41">
            <v>112</v>
          </cell>
          <cell r="H41">
            <v>208</v>
          </cell>
          <cell r="I41">
            <v>220</v>
          </cell>
          <cell r="J41">
            <v>188</v>
          </cell>
          <cell r="K41">
            <v>0</v>
          </cell>
          <cell r="L41">
            <v>0</v>
          </cell>
          <cell r="M41">
            <v>0</v>
          </cell>
          <cell r="N41">
            <v>0</v>
          </cell>
          <cell r="O41">
            <v>1479</v>
          </cell>
        </row>
        <row r="42">
          <cell r="B42" t="str">
            <v>Cuore - CL</v>
          </cell>
          <cell r="C42">
            <v>90</v>
          </cell>
          <cell r="D42">
            <v>90</v>
          </cell>
          <cell r="E42">
            <v>90</v>
          </cell>
          <cell r="F42">
            <v>90</v>
          </cell>
          <cell r="G42">
            <v>90</v>
          </cell>
          <cell r="H42">
            <v>90</v>
          </cell>
          <cell r="I42">
            <v>90</v>
          </cell>
          <cell r="J42">
            <v>90</v>
          </cell>
          <cell r="K42">
            <v>90</v>
          </cell>
          <cell r="L42">
            <v>90</v>
          </cell>
          <cell r="M42">
            <v>90</v>
          </cell>
          <cell r="N42">
            <v>90</v>
          </cell>
          <cell r="O42">
            <v>1080</v>
          </cell>
        </row>
        <row r="43">
          <cell r="B43" t="str">
            <v>Cuore - Cl+AC</v>
          </cell>
          <cell r="C43">
            <v>0</v>
          </cell>
          <cell r="D43">
            <v>0</v>
          </cell>
          <cell r="E43">
            <v>0</v>
          </cell>
          <cell r="F43">
            <v>0</v>
          </cell>
          <cell r="G43">
            <v>0</v>
          </cell>
          <cell r="H43">
            <v>0</v>
          </cell>
          <cell r="I43">
            <v>15</v>
          </cell>
          <cell r="J43">
            <v>15</v>
          </cell>
          <cell r="K43">
            <v>15</v>
          </cell>
          <cell r="L43">
            <v>15</v>
          </cell>
          <cell r="M43">
            <v>15</v>
          </cell>
          <cell r="N43">
            <v>15</v>
          </cell>
          <cell r="O43">
            <v>90</v>
          </cell>
        </row>
        <row r="44">
          <cell r="B44" t="str">
            <v>Cuore - CX</v>
          </cell>
          <cell r="C44">
            <v>210</v>
          </cell>
          <cell r="D44">
            <v>210</v>
          </cell>
          <cell r="E44">
            <v>210</v>
          </cell>
          <cell r="F44">
            <v>210</v>
          </cell>
          <cell r="G44">
            <v>210</v>
          </cell>
          <cell r="H44">
            <v>210</v>
          </cell>
          <cell r="I44">
            <v>210</v>
          </cell>
          <cell r="J44">
            <v>210</v>
          </cell>
          <cell r="K44">
            <v>210</v>
          </cell>
          <cell r="L44">
            <v>210</v>
          </cell>
          <cell r="M44">
            <v>210</v>
          </cell>
          <cell r="N44">
            <v>210</v>
          </cell>
          <cell r="O44">
            <v>2520</v>
          </cell>
        </row>
        <row r="45">
          <cell r="B45" t="str">
            <v>Cuore - CX Sunroof</v>
          </cell>
          <cell r="C45">
            <v>0</v>
          </cell>
          <cell r="D45">
            <v>0</v>
          </cell>
          <cell r="E45">
            <v>0</v>
          </cell>
          <cell r="F45">
            <v>0</v>
          </cell>
          <cell r="G45">
            <v>0</v>
          </cell>
          <cell r="H45">
            <v>0</v>
          </cell>
          <cell r="I45">
            <v>35</v>
          </cell>
          <cell r="J45">
            <v>35</v>
          </cell>
          <cell r="K45">
            <v>35</v>
          </cell>
          <cell r="L45">
            <v>35</v>
          </cell>
          <cell r="M45">
            <v>35</v>
          </cell>
          <cell r="N45">
            <v>35</v>
          </cell>
          <cell r="O45">
            <v>210</v>
          </cell>
        </row>
        <row r="46">
          <cell r="C46">
            <v>1210</v>
          </cell>
          <cell r="D46">
            <v>1390</v>
          </cell>
          <cell r="E46">
            <v>1421</v>
          </cell>
          <cell r="F46">
            <v>1550</v>
          </cell>
          <cell r="G46">
            <v>1170</v>
          </cell>
          <cell r="H46">
            <v>1201</v>
          </cell>
          <cell r="I46">
            <v>1600</v>
          </cell>
          <cell r="J46">
            <v>1300</v>
          </cell>
          <cell r="K46">
            <v>1380</v>
          </cell>
          <cell r="L46">
            <v>1290</v>
          </cell>
          <cell r="M46">
            <v>1280</v>
          </cell>
          <cell r="N46">
            <v>1308</v>
          </cell>
          <cell r="O46">
            <v>16100</v>
          </cell>
        </row>
        <row r="49">
          <cell r="B49" t="str">
            <v>Working of Net Sales summary</v>
          </cell>
        </row>
        <row r="51">
          <cell r="B51" t="str">
            <v>Per Unit - Net Sales in Rupee</v>
          </cell>
        </row>
        <row r="53">
          <cell r="B53" t="str">
            <v>Product</v>
          </cell>
          <cell r="C53">
            <v>37073</v>
          </cell>
          <cell r="D53">
            <v>37104</v>
          </cell>
          <cell r="E53">
            <v>37135</v>
          </cell>
          <cell r="F53">
            <v>37166</v>
          </cell>
          <cell r="G53">
            <v>37197</v>
          </cell>
          <cell r="H53">
            <v>37228</v>
          </cell>
          <cell r="I53">
            <v>37259</v>
          </cell>
          <cell r="J53">
            <v>37290</v>
          </cell>
          <cell r="K53">
            <v>37321</v>
          </cell>
          <cell r="L53">
            <v>37352</v>
          </cell>
          <cell r="M53">
            <v>37383</v>
          </cell>
          <cell r="N53">
            <v>37414</v>
          </cell>
        </row>
        <row r="55">
          <cell r="B55" t="str">
            <v>XE</v>
          </cell>
          <cell r="C55">
            <v>718260.86956521741</v>
          </cell>
          <cell r="D55">
            <v>718260.86956521741</v>
          </cell>
          <cell r="E55">
            <v>718260.86956521741</v>
          </cell>
          <cell r="F55">
            <v>718260.86956521741</v>
          </cell>
          <cell r="G55">
            <v>718260.86956521741</v>
          </cell>
          <cell r="H55">
            <v>718260.86956521741</v>
          </cell>
          <cell r="I55">
            <v>718260.86956521741</v>
          </cell>
          <cell r="J55">
            <v>718260.86956521741</v>
          </cell>
          <cell r="K55">
            <v>718260.86956521741</v>
          </cell>
          <cell r="L55">
            <v>718260.86956521741</v>
          </cell>
          <cell r="M55">
            <v>718260.86956521741</v>
          </cell>
          <cell r="N55">
            <v>718260.86956521741</v>
          </cell>
          <cell r="O55">
            <v>8619130.4347826112</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GL</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GLI</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v>981521.73913043481</v>
          </cell>
          <cell r="E60">
            <v>981521.73913043481</v>
          </cell>
          <cell r="F60">
            <v>981521.73913043481</v>
          </cell>
          <cell r="G60">
            <v>981521.73913043481</v>
          </cell>
          <cell r="H60">
            <v>981521.73913043481</v>
          </cell>
          <cell r="I60">
            <v>981521.73913043481</v>
          </cell>
          <cell r="J60">
            <v>981521.73913043481</v>
          </cell>
          <cell r="K60">
            <v>981521.73913043481</v>
          </cell>
          <cell r="L60">
            <v>981521.73913043481</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v>848695.65217391308</v>
          </cell>
          <cell r="M62">
            <v>848695.65217391308</v>
          </cell>
          <cell r="N62">
            <v>848695.65217391308</v>
          </cell>
          <cell r="O62">
            <v>10184347.826086957</v>
          </cell>
        </row>
        <row r="63">
          <cell r="B63" t="str">
            <v>2.0 D G</v>
          </cell>
          <cell r="C63">
            <v>998913.04347826086</v>
          </cell>
          <cell r="D63">
            <v>998913.04347826086</v>
          </cell>
          <cell r="E63">
            <v>998913.04347826086</v>
          </cell>
          <cell r="F63">
            <v>998913.04347826086</v>
          </cell>
          <cell r="G63">
            <v>998913.04347826086</v>
          </cell>
          <cell r="H63">
            <v>998913.04347826086</v>
          </cell>
          <cell r="I63">
            <v>998913.04347826086</v>
          </cell>
          <cell r="J63">
            <v>998913.04347826086</v>
          </cell>
          <cell r="K63">
            <v>998913.04347826086</v>
          </cell>
          <cell r="L63">
            <v>998913.04347826086</v>
          </cell>
          <cell r="M63">
            <v>998913.04347826086</v>
          </cell>
          <cell r="N63">
            <v>998913.04347826086</v>
          </cell>
          <cell r="O63">
            <v>11986956.521739133</v>
          </cell>
        </row>
        <row r="64">
          <cell r="B64" t="str">
            <v>2.0 D Ltd</v>
          </cell>
          <cell r="C64">
            <v>0</v>
          </cell>
          <cell r="D64">
            <v>0</v>
          </cell>
          <cell r="E64">
            <v>0</v>
          </cell>
          <cell r="F64">
            <v>0</v>
          </cell>
          <cell r="G64">
            <v>0</v>
          </cell>
          <cell r="H64">
            <v>0</v>
          </cell>
          <cell r="I64">
            <v>0</v>
          </cell>
          <cell r="J64">
            <v>0</v>
          </cell>
          <cell r="K64">
            <v>0</v>
          </cell>
          <cell r="L64">
            <v>0</v>
          </cell>
          <cell r="M64">
            <v>0</v>
          </cell>
          <cell r="N64">
            <v>0</v>
          </cell>
          <cell r="O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v>674782.60869565222</v>
          </cell>
          <cell r="M66">
            <v>674782.60869565222</v>
          </cell>
          <cell r="N66">
            <v>674782.60869565222</v>
          </cell>
          <cell r="O66">
            <v>8097391.3043478271</v>
          </cell>
        </row>
        <row r="67">
          <cell r="B67" t="str">
            <v>Hilux  4 X 2 Dless</v>
          </cell>
          <cell r="C67">
            <v>645217.39130434778</v>
          </cell>
          <cell r="D67">
            <v>645217.39130434778</v>
          </cell>
          <cell r="E67">
            <v>645217.39130434778</v>
          </cell>
          <cell r="F67">
            <v>645217.39130434778</v>
          </cell>
          <cell r="G67">
            <v>645217.39130434778</v>
          </cell>
          <cell r="H67">
            <v>645217.39130434778</v>
          </cell>
          <cell r="I67">
            <v>645217.39130434778</v>
          </cell>
          <cell r="J67">
            <v>645217.39130434778</v>
          </cell>
          <cell r="K67">
            <v>645217.39130434778</v>
          </cell>
          <cell r="L67">
            <v>645217.39130434778</v>
          </cell>
          <cell r="M67">
            <v>645217.39130434778</v>
          </cell>
          <cell r="N67">
            <v>645217.39130434778</v>
          </cell>
          <cell r="O67">
            <v>7742608.6956521729</v>
          </cell>
        </row>
        <row r="68">
          <cell r="B68" t="str">
            <v>Cuore - CL</v>
          </cell>
          <cell r="C68">
            <v>297478.26086956525</v>
          </cell>
          <cell r="D68">
            <v>297478.26086956525</v>
          </cell>
          <cell r="E68">
            <v>297478.26086956525</v>
          </cell>
          <cell r="F68">
            <v>297478.26086956525</v>
          </cell>
          <cell r="G68">
            <v>297478.26086956525</v>
          </cell>
          <cell r="H68">
            <v>297478.26086956525</v>
          </cell>
          <cell r="I68">
            <v>297478.26086956525</v>
          </cell>
          <cell r="J68">
            <v>297478.26086956525</v>
          </cell>
          <cell r="K68">
            <v>297478.26086956525</v>
          </cell>
          <cell r="L68">
            <v>297478.26086956525</v>
          </cell>
          <cell r="M68">
            <v>297478.26086956525</v>
          </cell>
          <cell r="N68">
            <v>297478.26086956525</v>
          </cell>
          <cell r="O68">
            <v>3569739.1304347836</v>
          </cell>
        </row>
        <row r="69">
          <cell r="B69" t="str">
            <v>Cuore - Cl+AC</v>
          </cell>
          <cell r="C69">
            <v>323565.21739130432</v>
          </cell>
          <cell r="D69">
            <v>323565.21739130432</v>
          </cell>
          <cell r="E69">
            <v>323565.21739130432</v>
          </cell>
          <cell r="F69">
            <v>323565.21739130432</v>
          </cell>
          <cell r="G69">
            <v>323565.21739130432</v>
          </cell>
          <cell r="H69">
            <v>323565.21739130432</v>
          </cell>
          <cell r="I69">
            <v>323565.21739130432</v>
          </cell>
          <cell r="J69">
            <v>323565.21739130432</v>
          </cell>
          <cell r="K69">
            <v>323565.21739130432</v>
          </cell>
          <cell r="L69">
            <v>323565.21739130432</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v>336956.52173913043</v>
          </cell>
          <cell r="M70">
            <v>336956.52173913043</v>
          </cell>
          <cell r="N70">
            <v>336956.52173913043</v>
          </cell>
          <cell r="O70">
            <v>4043478.260869565</v>
          </cell>
        </row>
        <row r="71">
          <cell r="B71" t="str">
            <v>Cuore - CX Sunroof</v>
          </cell>
          <cell r="C71">
            <v>363043.47826086957</v>
          </cell>
          <cell r="D71">
            <v>363043.47826086957</v>
          </cell>
          <cell r="E71">
            <v>363043.47826086957</v>
          </cell>
          <cell r="F71">
            <v>363043.47826086957</v>
          </cell>
          <cell r="G71">
            <v>363043.47826086957</v>
          </cell>
          <cell r="H71">
            <v>363043.47826086957</v>
          </cell>
          <cell r="I71">
            <v>363043.47826086957</v>
          </cell>
          <cell r="J71">
            <v>363043.47826086957</v>
          </cell>
          <cell r="K71">
            <v>363043.47826086957</v>
          </cell>
          <cell r="L71">
            <v>363043.47826086957</v>
          </cell>
          <cell r="M71">
            <v>363043.47826086957</v>
          </cell>
          <cell r="N71">
            <v>363043.47826086957</v>
          </cell>
          <cell r="O71">
            <v>4356521.7391304346</v>
          </cell>
        </row>
        <row r="72">
          <cell r="C72">
            <v>7888217.3913043486</v>
          </cell>
          <cell r="D72">
            <v>7888217.3913043486</v>
          </cell>
          <cell r="E72">
            <v>7888217.3913043486</v>
          </cell>
          <cell r="F72">
            <v>7888217.3913043486</v>
          </cell>
          <cell r="G72">
            <v>7888217.3913043486</v>
          </cell>
          <cell r="H72">
            <v>7888217.3913043486</v>
          </cell>
          <cell r="I72">
            <v>7888217.3913043486</v>
          </cell>
          <cell r="J72">
            <v>7888217.3913043486</v>
          </cell>
          <cell r="K72">
            <v>7888217.3913043486</v>
          </cell>
          <cell r="L72">
            <v>7888217.3913043486</v>
          </cell>
          <cell r="M72">
            <v>7888217.3913043486</v>
          </cell>
          <cell r="N72">
            <v>7888217.3913043486</v>
          </cell>
          <cell r="O72">
            <v>94658608.695652172</v>
          </cell>
        </row>
        <row r="75">
          <cell r="B75" t="str">
            <v>Total Net Sales in Rupees</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v>0</v>
          </cell>
          <cell r="K83">
            <v>0</v>
          </cell>
          <cell r="L83">
            <v>0</v>
          </cell>
          <cell r="M83">
            <v>0</v>
          </cell>
          <cell r="N83">
            <v>0</v>
          </cell>
          <cell r="O83">
            <v>0</v>
          </cell>
        </row>
        <row r="84">
          <cell r="B84" t="str">
            <v>GLI - A/T</v>
          </cell>
          <cell r="C84">
            <v>78521739.130434781</v>
          </cell>
          <cell r="D84">
            <v>88336956.52173914</v>
          </cell>
          <cell r="E84">
            <v>88336956.52173914</v>
          </cell>
          <cell r="F84">
            <v>88336956.52173914</v>
          </cell>
          <cell r="G84">
            <v>58891304.347826086</v>
          </cell>
          <cell r="H84">
            <v>68706521.739130437</v>
          </cell>
          <cell r="I84">
            <v>107967391.30434783</v>
          </cell>
          <cell r="J84">
            <v>88336956.52173914</v>
          </cell>
          <cell r="K84">
            <v>88336956.52173914</v>
          </cell>
          <cell r="L84">
            <v>107967391.30434783</v>
          </cell>
          <cell r="M84">
            <v>107967391.30434783</v>
          </cell>
          <cell r="N84">
            <v>107967391.30434783</v>
          </cell>
          <cell r="O84">
            <v>1079673913.0434783</v>
          </cell>
        </row>
        <row r="85">
          <cell r="B85" t="str">
            <v>20D SUNROOF</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t="str">
            <v>2.0 D G</v>
          </cell>
          <cell r="C87">
            <v>239739130.43478259</v>
          </cell>
          <cell r="D87">
            <v>259717391.30434781</v>
          </cell>
          <cell r="E87">
            <v>259717391.30434781</v>
          </cell>
          <cell r="F87">
            <v>289684782.60869563</v>
          </cell>
          <cell r="G87">
            <v>199782608.69565219</v>
          </cell>
          <cell r="H87">
            <v>209771739.13043478</v>
          </cell>
          <cell r="I87">
            <v>269706521.73913044</v>
          </cell>
          <cell r="J87">
            <v>199782608.69565219</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t="str">
            <v>Hilux  4 X 2 Dless</v>
          </cell>
          <cell r="C91">
            <v>44520000</v>
          </cell>
          <cell r="D91">
            <v>122591304.34782608</v>
          </cell>
          <cell r="E91">
            <v>146464347.82608694</v>
          </cell>
          <cell r="F91">
            <v>170982608.69565216</v>
          </cell>
          <cell r="G91">
            <v>72264347.826086953</v>
          </cell>
          <cell r="H91">
            <v>134205217.39130434</v>
          </cell>
          <cell r="I91">
            <v>141947826.0869565</v>
          </cell>
          <cell r="J91">
            <v>121300869.56521738</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t="str">
            <v>Cuore - Cl+AC</v>
          </cell>
          <cell r="C93">
            <v>0</v>
          </cell>
          <cell r="D93">
            <v>0</v>
          </cell>
          <cell r="E93">
            <v>0</v>
          </cell>
          <cell r="F93">
            <v>0</v>
          </cell>
          <cell r="G93">
            <v>0</v>
          </cell>
          <cell r="H93">
            <v>0</v>
          </cell>
          <cell r="I93">
            <v>4853478.2608695645</v>
          </cell>
          <cell r="J93">
            <v>4853478.2608695645</v>
          </cell>
          <cell r="K93">
            <v>4853478.2608695645</v>
          </cell>
          <cell r="L93">
            <v>4853478.2608695645</v>
          </cell>
          <cell r="M93">
            <v>4853478.2608695645</v>
          </cell>
          <cell r="N93">
            <v>4853478.2608695645</v>
          </cell>
          <cell r="O93">
            <v>29120869.565217383</v>
          </cell>
        </row>
        <row r="94">
          <cell r="B94" t="str">
            <v>Cuore - CX</v>
          </cell>
          <cell r="C94">
            <v>70760869.565217391</v>
          </cell>
          <cell r="D94">
            <v>70760869.565217391</v>
          </cell>
          <cell r="E94">
            <v>70760869.565217391</v>
          </cell>
          <cell r="F94">
            <v>70760869.565217391</v>
          </cell>
          <cell r="G94">
            <v>70760869.565217391</v>
          </cell>
          <cell r="H94">
            <v>70760869.565217391</v>
          </cell>
          <cell r="I94">
            <v>70760869.565217391</v>
          </cell>
          <cell r="J94">
            <v>70760869.565217391</v>
          </cell>
          <cell r="K94">
            <v>70760869.565217391</v>
          </cell>
          <cell r="L94">
            <v>70760869.565217391</v>
          </cell>
          <cell r="M94">
            <v>70760869.565217391</v>
          </cell>
          <cell r="N94">
            <v>70760869.565217391</v>
          </cell>
          <cell r="O94">
            <v>849130434.78260863</v>
          </cell>
        </row>
        <row r="95">
          <cell r="B95" t="str">
            <v>Cuore - CX Sunroof</v>
          </cell>
          <cell r="C95">
            <v>0</v>
          </cell>
          <cell r="D95">
            <v>0</v>
          </cell>
          <cell r="E95">
            <v>0</v>
          </cell>
          <cell r="F95">
            <v>0</v>
          </cell>
          <cell r="G95">
            <v>0</v>
          </cell>
          <cell r="H95">
            <v>0</v>
          </cell>
          <cell r="I95">
            <v>12706521.739130436</v>
          </cell>
          <cell r="J95">
            <v>12706521.739130436</v>
          </cell>
          <cell r="K95">
            <v>12706521.739130436</v>
          </cell>
          <cell r="L95">
            <v>12706521.739130436</v>
          </cell>
          <cell r="M95">
            <v>12706521.739130436</v>
          </cell>
          <cell r="N95">
            <v>12706521.739130436</v>
          </cell>
          <cell r="O95">
            <v>76239130.434782609</v>
          </cell>
        </row>
        <row r="96">
          <cell r="C96">
            <v>875570000</v>
          </cell>
          <cell r="D96">
            <v>1008766521.7391305</v>
          </cell>
          <cell r="E96">
            <v>1028590869.5652175</v>
          </cell>
          <cell r="F96">
            <v>1130349130.4347825</v>
          </cell>
          <cell r="G96">
            <v>820990000</v>
          </cell>
          <cell r="H96">
            <v>843093913.04347825</v>
          </cell>
          <cell r="I96">
            <v>1151287391.304348</v>
          </cell>
          <cell r="J96">
            <v>901685652.173913</v>
          </cell>
          <cell r="K96">
            <v>978389565.21739137</v>
          </cell>
          <cell r="L96">
            <v>937367826.0869565</v>
          </cell>
          <cell r="M96">
            <v>926074347.826087</v>
          </cell>
          <cell r="N96">
            <v>949948695.652174</v>
          </cell>
          <cell r="O96">
            <v>11552113913.043478</v>
          </cell>
        </row>
        <row r="97">
          <cell r="C97">
            <v>778036086.95652175</v>
          </cell>
        </row>
        <row r="98">
          <cell r="C98">
            <v>778036086.95652175</v>
          </cell>
        </row>
        <row r="99">
          <cell r="C99">
            <v>437785000</v>
          </cell>
          <cell r="D99">
            <v>942168260.86956525</v>
          </cell>
          <cell r="E99">
            <v>1018678695.652174</v>
          </cell>
          <cell r="F99">
            <v>1079470000</v>
          </cell>
          <cell r="G99">
            <v>975669565.21739125</v>
          </cell>
          <cell r="H99">
            <v>832041956.52173913</v>
          </cell>
          <cell r="I99">
            <v>997190652.17391312</v>
          </cell>
          <cell r="J99">
            <v>1026486521.7391305</v>
          </cell>
          <cell r="K99">
            <v>940037608.69565225</v>
          </cell>
          <cell r="L99">
            <v>957878695.652174</v>
          </cell>
          <cell r="M99">
            <v>931721086.95652175</v>
          </cell>
          <cell r="N99">
            <v>938011521.7391305</v>
          </cell>
          <cell r="O99">
            <v>-11552113913.043478</v>
          </cell>
        </row>
        <row r="100">
          <cell r="C100">
            <v>-97533913.043478251</v>
          </cell>
        </row>
        <row r="102">
          <cell r="B102" t="str">
            <v>Per Unit  - Documents cost in Rupees</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6">
          <cell r="B106" t="str">
            <v>XE</v>
          </cell>
          <cell r="C106">
            <v>189587.33040000001</v>
          </cell>
          <cell r="D106">
            <v>189587.33040000001</v>
          </cell>
          <cell r="E106">
            <v>189587.33040000001</v>
          </cell>
          <cell r="F106">
            <v>186648.19134000002</v>
          </cell>
          <cell r="G106">
            <v>186648.19134000002</v>
          </cell>
          <cell r="H106">
            <v>186648.19134000002</v>
          </cell>
          <cell r="I106">
            <v>186648.19134000002</v>
          </cell>
          <cell r="J106">
            <v>186648.19134000002</v>
          </cell>
          <cell r="K106">
            <v>186648.19134000002</v>
          </cell>
          <cell r="L106">
            <v>186648.19134000002</v>
          </cell>
          <cell r="M106">
            <v>186648.19134000002</v>
          </cell>
          <cell r="N106">
            <v>186648.19134000002</v>
          </cell>
        </row>
        <row r="107">
          <cell r="B107" t="str">
            <v>XE G</v>
          </cell>
          <cell r="C107">
            <v>189587.33040000001</v>
          </cell>
          <cell r="D107">
            <v>189587.33040000001</v>
          </cell>
          <cell r="E107">
            <v>189587.33040000001</v>
          </cell>
          <cell r="F107">
            <v>186648.19134000002</v>
          </cell>
          <cell r="G107">
            <v>186648.19134000002</v>
          </cell>
          <cell r="H107">
            <v>186648.19134000002</v>
          </cell>
          <cell r="I107">
            <v>186648.19134000002</v>
          </cell>
          <cell r="J107">
            <v>186648.19134000002</v>
          </cell>
          <cell r="K107">
            <v>186648.19134000002</v>
          </cell>
          <cell r="L107">
            <v>186648.19134000002</v>
          </cell>
          <cell r="M107">
            <v>186648.19134000002</v>
          </cell>
          <cell r="N107">
            <v>186648.19134000002</v>
          </cell>
        </row>
        <row r="108">
          <cell r="B108" t="str">
            <v>GL</v>
          </cell>
          <cell r="C108">
            <v>228555.72636000006</v>
          </cell>
          <cell r="D108">
            <v>228555.72636000006</v>
          </cell>
          <cell r="E108">
            <v>228555.72636000006</v>
          </cell>
          <cell r="F108">
            <v>225024.45498000004</v>
          </cell>
          <cell r="G108">
            <v>225024.45498000004</v>
          </cell>
          <cell r="H108">
            <v>225024.45498000004</v>
          </cell>
          <cell r="I108">
            <v>225024.45498000004</v>
          </cell>
          <cell r="J108">
            <v>225024.45498000004</v>
          </cell>
          <cell r="K108">
            <v>225024.45498000004</v>
          </cell>
          <cell r="L108">
            <v>225024.45498000004</v>
          </cell>
          <cell r="M108">
            <v>225024.45498000004</v>
          </cell>
          <cell r="N108">
            <v>225024.45498000004</v>
          </cell>
        </row>
        <row r="109">
          <cell r="B109" t="str">
            <v>GLI</v>
          </cell>
          <cell r="C109">
            <v>276261.74862000003</v>
          </cell>
          <cell r="D109">
            <v>276261.74862000003</v>
          </cell>
          <cell r="E109">
            <v>276261.74862000003</v>
          </cell>
          <cell r="F109">
            <v>271981.38786000002</v>
          </cell>
          <cell r="G109">
            <v>271981.38786000002</v>
          </cell>
          <cell r="H109">
            <v>271981.38786000002</v>
          </cell>
          <cell r="I109">
            <v>271981.38786000002</v>
          </cell>
          <cell r="J109">
            <v>271981.38786000002</v>
          </cell>
          <cell r="K109">
            <v>271981.38786000002</v>
          </cell>
          <cell r="L109">
            <v>271981.38786000002</v>
          </cell>
          <cell r="M109">
            <v>271981.38786000002</v>
          </cell>
          <cell r="N109">
            <v>271981.38786000002</v>
          </cell>
        </row>
        <row r="110">
          <cell r="B110" t="str">
            <v>XE LTD</v>
          </cell>
          <cell r="C110">
            <v>276261.74862000003</v>
          </cell>
          <cell r="D110">
            <v>276261.74862000003</v>
          </cell>
          <cell r="E110">
            <v>276261.74862000003</v>
          </cell>
          <cell r="F110">
            <v>271981.38786000002</v>
          </cell>
          <cell r="G110">
            <v>271981.38786000002</v>
          </cell>
          <cell r="H110">
            <v>271981.38786000002</v>
          </cell>
          <cell r="I110">
            <v>271981.38786000002</v>
          </cell>
          <cell r="J110">
            <v>271981.38786000002</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t="str">
            <v>20D SUNROOF</v>
          </cell>
          <cell r="C112">
            <v>320919.44430000003</v>
          </cell>
          <cell r="D112">
            <v>320919.44430000003</v>
          </cell>
          <cell r="E112">
            <v>320919.44430000003</v>
          </cell>
          <cell r="F112">
            <v>320919.44430000003</v>
          </cell>
          <cell r="G112">
            <v>320919.44430000003</v>
          </cell>
          <cell r="H112">
            <v>320919.44430000003</v>
          </cell>
          <cell r="I112">
            <v>320919.44430000003</v>
          </cell>
          <cell r="J112">
            <v>320919.44430000003</v>
          </cell>
          <cell r="K112">
            <v>320919.44430000003</v>
          </cell>
          <cell r="L112">
            <v>320919.44430000003</v>
          </cell>
          <cell r="M112">
            <v>320919.44430000003</v>
          </cell>
          <cell r="N112">
            <v>320919.44430000003</v>
          </cell>
        </row>
        <row r="113">
          <cell r="B113" t="str">
            <v>2.0 D</v>
          </cell>
          <cell r="C113">
            <v>275632.34556000005</v>
          </cell>
          <cell r="D113">
            <v>275632.34556000005</v>
          </cell>
          <cell r="E113">
            <v>275632.34556000005</v>
          </cell>
          <cell r="F113">
            <v>271367.20806000003</v>
          </cell>
          <cell r="G113">
            <v>271367.20806000003</v>
          </cell>
          <cell r="H113">
            <v>271367.20806000003</v>
          </cell>
          <cell r="I113">
            <v>271367.20806000003</v>
          </cell>
          <cell r="J113">
            <v>271367.20806000003</v>
          </cell>
          <cell r="K113">
            <v>271367.20806000003</v>
          </cell>
          <cell r="L113">
            <v>271367.20806000003</v>
          </cell>
          <cell r="M113">
            <v>271367.20806000003</v>
          </cell>
          <cell r="N113">
            <v>271367.20806000003</v>
          </cell>
        </row>
        <row r="114">
          <cell r="B114" t="str">
            <v>2.0 D G</v>
          </cell>
          <cell r="C114">
            <v>275632.34556000005</v>
          </cell>
          <cell r="D114">
            <v>275632.34556000005</v>
          </cell>
          <cell r="E114">
            <v>275632.34556000005</v>
          </cell>
          <cell r="F114">
            <v>271367.20806000003</v>
          </cell>
          <cell r="G114">
            <v>271367.20806000003</v>
          </cell>
          <cell r="H114">
            <v>271367.20806000003</v>
          </cell>
          <cell r="I114">
            <v>271367.20806000003</v>
          </cell>
          <cell r="J114">
            <v>271367.20806000003</v>
          </cell>
          <cell r="K114">
            <v>271367.20806000003</v>
          </cell>
          <cell r="L114">
            <v>271367.20806000003</v>
          </cell>
          <cell r="M114">
            <v>271367.20806000003</v>
          </cell>
          <cell r="N114">
            <v>271367.20806000003</v>
          </cell>
        </row>
        <row r="115">
          <cell r="B115" t="str">
            <v>2.0 D Ltd</v>
          </cell>
          <cell r="C115">
            <v>275632.34556000005</v>
          </cell>
          <cell r="D115">
            <v>275632.34556000005</v>
          </cell>
          <cell r="E115">
            <v>275632.34556000005</v>
          </cell>
          <cell r="F115">
            <v>271367.20806000003</v>
          </cell>
          <cell r="G115">
            <v>271367.20806000003</v>
          </cell>
          <cell r="H115">
            <v>271367.20806000003</v>
          </cell>
          <cell r="I115">
            <v>271367.20806000003</v>
          </cell>
          <cell r="J115">
            <v>271367.20806000003</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t="str">
            <v>Hilux  4 X 2 Std</v>
          </cell>
          <cell r="C117">
            <v>373139.95056000008</v>
          </cell>
          <cell r="D117">
            <v>373139.95056000008</v>
          </cell>
          <cell r="E117">
            <v>373139.95056000008</v>
          </cell>
          <cell r="F117">
            <v>373139.95056000008</v>
          </cell>
          <cell r="G117">
            <v>373139.95056000008</v>
          </cell>
          <cell r="H117">
            <v>373139.95056000008</v>
          </cell>
          <cell r="I117">
            <v>373139.95056000008</v>
          </cell>
          <cell r="J117">
            <v>373139.95056000008</v>
          </cell>
          <cell r="K117">
            <v>373139.95056000008</v>
          </cell>
          <cell r="L117">
            <v>373139.95056000008</v>
          </cell>
          <cell r="M117">
            <v>373139.95056000008</v>
          </cell>
          <cell r="N117">
            <v>373139.95056000008</v>
          </cell>
        </row>
        <row r="118">
          <cell r="B118" t="str">
            <v>Hilux  4 X 2 Dless</v>
          </cell>
          <cell r="C118">
            <v>371846.25088000007</v>
          </cell>
          <cell r="D118">
            <v>371846.25088000007</v>
          </cell>
          <cell r="E118">
            <v>371846.25088000007</v>
          </cell>
          <cell r="F118">
            <v>371846.25088000007</v>
          </cell>
          <cell r="G118">
            <v>371846.25088000007</v>
          </cell>
          <cell r="H118">
            <v>371846.25088000007</v>
          </cell>
          <cell r="I118">
            <v>371846.25088000007</v>
          </cell>
          <cell r="J118">
            <v>371846.25088000007</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134495.40234</v>
          </cell>
          <cell r="I119">
            <v>134495.40234</v>
          </cell>
          <cell r="J119">
            <v>134495.40234</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134495.40234</v>
          </cell>
          <cell r="H120">
            <v>134495.40234</v>
          </cell>
          <cell r="I120">
            <v>134495.40234</v>
          </cell>
          <cell r="J120">
            <v>134495.40234</v>
          </cell>
          <cell r="K120">
            <v>134495.40234</v>
          </cell>
          <cell r="L120">
            <v>134495.40234</v>
          </cell>
          <cell r="M120">
            <v>134495.40234</v>
          </cell>
          <cell r="N120">
            <v>134495.40234</v>
          </cell>
        </row>
        <row r="121">
          <cell r="B121" t="str">
            <v>Cuore - CX</v>
          </cell>
          <cell r="C121">
            <v>134495.40234</v>
          </cell>
          <cell r="D121">
            <v>134495.40234</v>
          </cell>
          <cell r="E121">
            <v>134495.40234</v>
          </cell>
          <cell r="F121">
            <v>134495.40234</v>
          </cell>
          <cell r="G121">
            <v>134495.40234</v>
          </cell>
          <cell r="H121">
            <v>134495.40234</v>
          </cell>
          <cell r="I121">
            <v>134495.40234</v>
          </cell>
          <cell r="J121">
            <v>134495.40234</v>
          </cell>
          <cell r="K121">
            <v>134495.40234</v>
          </cell>
          <cell r="L121">
            <v>134495.40234</v>
          </cell>
          <cell r="M121">
            <v>134495.40234</v>
          </cell>
          <cell r="N121">
            <v>134495.40234</v>
          </cell>
        </row>
        <row r="122">
          <cell r="B122" t="str">
            <v>Cuore - CX Sunroof</v>
          </cell>
          <cell r="C122">
            <v>134495.40234</v>
          </cell>
          <cell r="D122">
            <v>134495.40234</v>
          </cell>
          <cell r="E122">
            <v>134495.40234</v>
          </cell>
          <cell r="F122">
            <v>134495.40234</v>
          </cell>
          <cell r="G122">
            <v>134495.40234</v>
          </cell>
          <cell r="H122">
            <v>134495.40234</v>
          </cell>
          <cell r="I122">
            <v>134495.40234</v>
          </cell>
          <cell r="J122">
            <v>134495.40234</v>
          </cell>
          <cell r="K122">
            <v>134495.40234</v>
          </cell>
          <cell r="L122">
            <v>134495.40234</v>
          </cell>
          <cell r="M122">
            <v>134495.40234</v>
          </cell>
          <cell r="N122">
            <v>134495.40234</v>
          </cell>
        </row>
        <row r="124">
          <cell r="B124" t="str">
            <v>Per Unit  - Govt Levies in Rupees</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t="str">
            <v>XE</v>
          </cell>
          <cell r="C128">
            <v>71559.158247292275</v>
          </cell>
          <cell r="D128">
            <v>71559.158247292275</v>
          </cell>
          <cell r="E128">
            <v>71559.158247292275</v>
          </cell>
          <cell r="F128">
            <v>70457.540606837661</v>
          </cell>
          <cell r="G128">
            <v>70457.540606837661</v>
          </cell>
          <cell r="H128">
            <v>70457.540606837661</v>
          </cell>
          <cell r="I128">
            <v>70457.540606837661</v>
          </cell>
          <cell r="J128">
            <v>70457.540606837661</v>
          </cell>
          <cell r="K128">
            <v>70457.540606837661</v>
          </cell>
          <cell r="L128">
            <v>70457.540606837661</v>
          </cell>
          <cell r="M128">
            <v>70457.540606837661</v>
          </cell>
          <cell r="N128">
            <v>70457.540606837661</v>
          </cell>
          <cell r="O128">
            <v>0</v>
          </cell>
        </row>
        <row r="129">
          <cell r="B129" t="str">
            <v>XE G</v>
          </cell>
          <cell r="C129">
            <v>71559.158247292275</v>
          </cell>
          <cell r="D129">
            <v>71559.158247292275</v>
          </cell>
          <cell r="E129">
            <v>71559.158247292275</v>
          </cell>
          <cell r="F129">
            <v>70457.540606837661</v>
          </cell>
          <cell r="G129">
            <v>70457.540606837661</v>
          </cell>
          <cell r="H129">
            <v>70457.540606837661</v>
          </cell>
          <cell r="I129">
            <v>70457.540606837661</v>
          </cell>
          <cell r="J129">
            <v>70457.540606837661</v>
          </cell>
          <cell r="K129">
            <v>70457.540606837661</v>
          </cell>
          <cell r="L129">
            <v>70457.540606837661</v>
          </cell>
          <cell r="M129">
            <v>70457.540606837661</v>
          </cell>
          <cell r="N129">
            <v>70457.540606837661</v>
          </cell>
          <cell r="O129">
            <v>0</v>
          </cell>
        </row>
        <row r="130">
          <cell r="B130" t="str">
            <v>GL</v>
          </cell>
          <cell r="C130">
            <v>86164.888542257118</v>
          </cell>
          <cell r="D130">
            <v>86164.888542257118</v>
          </cell>
          <cell r="E130">
            <v>86164.888542257118</v>
          </cell>
          <cell r="F130">
            <v>84841.334002636053</v>
          </cell>
          <cell r="G130">
            <v>84841.334002636053</v>
          </cell>
          <cell r="H130">
            <v>84841.334002636053</v>
          </cell>
          <cell r="I130">
            <v>84841.334002636053</v>
          </cell>
          <cell r="J130">
            <v>84841.334002636053</v>
          </cell>
          <cell r="K130">
            <v>84841.334002636053</v>
          </cell>
          <cell r="L130">
            <v>84841.334002636053</v>
          </cell>
          <cell r="M130">
            <v>84841.334002636053</v>
          </cell>
          <cell r="N130">
            <v>84841.334002636053</v>
          </cell>
          <cell r="O130" t="e">
            <v>#REF!</v>
          </cell>
        </row>
        <row r="131">
          <cell r="B131" t="str">
            <v>GLI</v>
          </cell>
          <cell r="C131">
            <v>104045.56536791798</v>
          </cell>
          <cell r="D131">
            <v>104045.56536791798</v>
          </cell>
          <cell r="E131">
            <v>104045.56536791798</v>
          </cell>
          <cell r="F131">
            <v>102441.24491064579</v>
          </cell>
          <cell r="G131">
            <v>102441.24491064579</v>
          </cell>
          <cell r="H131">
            <v>102441.24491064579</v>
          </cell>
          <cell r="I131">
            <v>102441.24491064579</v>
          </cell>
          <cell r="J131">
            <v>102441.24491064579</v>
          </cell>
          <cell r="K131">
            <v>102441.24491064579</v>
          </cell>
          <cell r="L131">
            <v>102441.24491064579</v>
          </cell>
          <cell r="M131">
            <v>102441.24491064579</v>
          </cell>
          <cell r="N131">
            <v>102441.24491064579</v>
          </cell>
          <cell r="O131">
            <v>0</v>
          </cell>
        </row>
        <row r="132">
          <cell r="B132" t="str">
            <v>XE LTD</v>
          </cell>
          <cell r="C132">
            <v>104045.56536791798</v>
          </cell>
          <cell r="D132">
            <v>104045.56536791798</v>
          </cell>
          <cell r="E132">
            <v>104045.56536791798</v>
          </cell>
          <cell r="F132">
            <v>102441.24491064579</v>
          </cell>
          <cell r="G132">
            <v>102441.24491064579</v>
          </cell>
          <cell r="H132">
            <v>102441.24491064579</v>
          </cell>
          <cell r="I132">
            <v>102441.24491064579</v>
          </cell>
          <cell r="J132">
            <v>102441.24491064579</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t="str">
            <v>20D SUNROOF</v>
          </cell>
          <cell r="C134">
            <v>120783.70001852614</v>
          </cell>
          <cell r="D134">
            <v>120783.70001852614</v>
          </cell>
          <cell r="E134">
            <v>120783.70001852614</v>
          </cell>
          <cell r="F134">
            <v>120783.70001852614</v>
          </cell>
          <cell r="G134">
            <v>120783.70001852614</v>
          </cell>
          <cell r="H134">
            <v>120783.70001852614</v>
          </cell>
          <cell r="I134">
            <v>120783.70001852614</v>
          </cell>
          <cell r="J134">
            <v>120783.70001852614</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2.0 D G</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2.0 D Ltd</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v>83409.564184176721</v>
          </cell>
          <cell r="E139">
            <v>83409.564184176721</v>
          </cell>
          <cell r="F139">
            <v>83409.564184176721</v>
          </cell>
          <cell r="G139">
            <v>83409.564184176721</v>
          </cell>
          <cell r="H139">
            <v>83409.564184176721</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Cuore - Cl+AC</v>
          </cell>
          <cell r="C142">
            <v>50910.172759156616</v>
          </cell>
          <cell r="D142">
            <v>50910.172759156616</v>
          </cell>
          <cell r="E142">
            <v>50910.172759156616</v>
          </cell>
          <cell r="F142">
            <v>50910.172759156616</v>
          </cell>
          <cell r="G142">
            <v>50910.172759156616</v>
          </cell>
          <cell r="H142">
            <v>50910.172759156616</v>
          </cell>
          <cell r="I142">
            <v>50910.172759156616</v>
          </cell>
          <cell r="J142">
            <v>50910.172759156616</v>
          </cell>
          <cell r="K142">
            <v>50910.172759156616</v>
          </cell>
          <cell r="L142">
            <v>50910.172759156616</v>
          </cell>
          <cell r="M142">
            <v>50910.172759156616</v>
          </cell>
          <cell r="N142">
            <v>50910.172759156616</v>
          </cell>
          <cell r="O142">
            <v>0</v>
          </cell>
        </row>
        <row r="143">
          <cell r="B143" t="str">
            <v>Cuore - CX</v>
          </cell>
          <cell r="C143">
            <v>50910.172759156616</v>
          </cell>
          <cell r="D143">
            <v>50910.172759156616</v>
          </cell>
          <cell r="E143">
            <v>50910.172759156616</v>
          </cell>
          <cell r="F143">
            <v>50910.172759156616</v>
          </cell>
          <cell r="G143">
            <v>50910.172759156616</v>
          </cell>
          <cell r="H143">
            <v>50910.172759156616</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50910.172759156616</v>
          </cell>
          <cell r="E144">
            <v>50910.172759156616</v>
          </cell>
          <cell r="F144">
            <v>50910.172759156616</v>
          </cell>
          <cell r="G144">
            <v>50910.172759156616</v>
          </cell>
          <cell r="H144">
            <v>50910.172759156616</v>
          </cell>
          <cell r="I144">
            <v>50910.172759156616</v>
          </cell>
          <cell r="J144">
            <v>50910.172759156616</v>
          </cell>
          <cell r="K144">
            <v>50910.172759156616</v>
          </cell>
          <cell r="L144">
            <v>50910.172759156616</v>
          </cell>
          <cell r="M144">
            <v>50910.172759156616</v>
          </cell>
          <cell r="N144">
            <v>50910.172759156616</v>
          </cell>
        </row>
        <row r="147">
          <cell r="B147" t="str">
            <v>PER UNIT - CKD &amp; DUTY COST</v>
          </cell>
        </row>
        <row r="148">
          <cell r="B148" t="str">
            <v>Product</v>
          </cell>
          <cell r="C148">
            <v>35977</v>
          </cell>
          <cell r="D148">
            <v>36008</v>
          </cell>
          <cell r="E148">
            <v>36039</v>
          </cell>
          <cell r="F148">
            <v>36070</v>
          </cell>
          <cell r="G148">
            <v>36101</v>
          </cell>
          <cell r="H148">
            <v>36132</v>
          </cell>
          <cell r="I148">
            <v>36163</v>
          </cell>
          <cell r="J148">
            <v>36194</v>
          </cell>
          <cell r="K148">
            <v>36225</v>
          </cell>
          <cell r="L148">
            <v>36256</v>
          </cell>
          <cell r="M148">
            <v>36287</v>
          </cell>
          <cell r="N148">
            <v>36318</v>
          </cell>
        </row>
        <row r="150">
          <cell r="B150" t="str">
            <v>XE</v>
          </cell>
          <cell r="C150">
            <v>261146.48864729228</v>
          </cell>
          <cell r="D150">
            <v>261146.48864729228</v>
          </cell>
          <cell r="E150">
            <v>261146.48864729228</v>
          </cell>
          <cell r="F150">
            <v>257105.73194683768</v>
          </cell>
          <cell r="G150">
            <v>257105.73194683768</v>
          </cell>
          <cell r="H150">
            <v>257105.73194683768</v>
          </cell>
          <cell r="I150">
            <v>257105.73194683768</v>
          </cell>
          <cell r="J150">
            <v>257105.73194683768</v>
          </cell>
          <cell r="K150">
            <v>257105.73194683768</v>
          </cell>
          <cell r="L150">
            <v>257105.73194683768</v>
          </cell>
          <cell r="M150">
            <v>257105.73194683768</v>
          </cell>
          <cell r="N150">
            <v>257105.73194683768</v>
          </cell>
        </row>
        <row r="151">
          <cell r="B151" t="str">
            <v>XE G</v>
          </cell>
          <cell r="C151">
            <v>261146.48864729228</v>
          </cell>
          <cell r="D151">
            <v>261146.48864729228</v>
          </cell>
          <cell r="E151">
            <v>261146.48864729228</v>
          </cell>
          <cell r="F151">
            <v>257105.73194683768</v>
          </cell>
          <cell r="G151">
            <v>257105.73194683768</v>
          </cell>
          <cell r="H151">
            <v>257105.73194683768</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GLI</v>
          </cell>
          <cell r="C153">
            <v>380307.31398791802</v>
          </cell>
          <cell r="D153">
            <v>380307.31398791802</v>
          </cell>
          <cell r="E153">
            <v>380307.31398791802</v>
          </cell>
          <cell r="F153">
            <v>374422.63277064578</v>
          </cell>
          <cell r="G153">
            <v>374422.63277064578</v>
          </cell>
          <cell r="H153">
            <v>374422.63277064578</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v>185405.57509915662</v>
          </cell>
          <cell r="K163">
            <v>185405.57509915662</v>
          </cell>
          <cell r="L163">
            <v>185405.57509915662</v>
          </cell>
          <cell r="M163">
            <v>185405.57509915662</v>
          </cell>
          <cell r="N163">
            <v>185405.57509915662</v>
          </cell>
        </row>
        <row r="164">
          <cell r="B164" t="str">
            <v>Cuore - Cl+AC</v>
          </cell>
          <cell r="C164">
            <v>185405.57509915662</v>
          </cell>
          <cell r="D164">
            <v>185405.57509915662</v>
          </cell>
          <cell r="E164">
            <v>185405.57509915662</v>
          </cell>
          <cell r="F164">
            <v>185405.57509915662</v>
          </cell>
          <cell r="G164">
            <v>185405.57509915662</v>
          </cell>
          <cell r="H164">
            <v>185405.57509915662</v>
          </cell>
          <cell r="I164">
            <v>185405.57509915662</v>
          </cell>
          <cell r="J164">
            <v>185405.57509915662</v>
          </cell>
          <cell r="K164">
            <v>185405.57509915662</v>
          </cell>
          <cell r="L164">
            <v>185405.57509915662</v>
          </cell>
          <cell r="M164">
            <v>185405.57509915662</v>
          </cell>
          <cell r="N164">
            <v>185405.57509915662</v>
          </cell>
        </row>
        <row r="165">
          <cell r="B165" t="str">
            <v>Cuore - CX</v>
          </cell>
          <cell r="C165">
            <v>185405.57509915662</v>
          </cell>
          <cell r="D165">
            <v>185405.57509915662</v>
          </cell>
          <cell r="E165">
            <v>185405.57509915662</v>
          </cell>
          <cell r="F165">
            <v>185405.57509915662</v>
          </cell>
          <cell r="G165">
            <v>185405.57509915662</v>
          </cell>
          <cell r="H165">
            <v>185405.57509915662</v>
          </cell>
          <cell r="I165">
            <v>185405.57509915662</v>
          </cell>
          <cell r="J165">
            <v>185405.57509915662</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8">
          <cell r="B168" t="str">
            <v>TOTAL - CKD &amp; DUTY COST</v>
          </cell>
        </row>
        <row r="169">
          <cell r="B169" t="str">
            <v>Product</v>
          </cell>
          <cell r="C169">
            <v>35977</v>
          </cell>
          <cell r="D169">
            <v>36008</v>
          </cell>
          <cell r="E169">
            <v>36039</v>
          </cell>
          <cell r="F169">
            <v>36070</v>
          </cell>
          <cell r="G169">
            <v>36101</v>
          </cell>
          <cell r="H169">
            <v>36132</v>
          </cell>
          <cell r="I169">
            <v>36163</v>
          </cell>
          <cell r="J169">
            <v>36194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t="str">
            <v>XE G</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t="str">
            <v>GLI</v>
          </cell>
          <cell r="C173">
            <v>34227658.258912623</v>
          </cell>
          <cell r="D173">
            <v>38030731.398791805</v>
          </cell>
          <cell r="E173">
            <v>38030731.398791805</v>
          </cell>
          <cell r="F173">
            <v>41186489.604771033</v>
          </cell>
          <cell r="G173">
            <v>33698036.949358121</v>
          </cell>
          <cell r="H173">
            <v>29953810.621651664</v>
          </cell>
          <cell r="I173">
            <v>48674942.260183953</v>
          </cell>
          <cell r="J173">
            <v>37442263.277064577</v>
          </cell>
          <cell r="K173">
            <v>41186489.604771033</v>
          </cell>
          <cell r="L173">
            <v>48674942.260183953</v>
          </cell>
          <cell r="M173">
            <v>48674942.260183953</v>
          </cell>
          <cell r="N173">
            <v>48674942.260183953</v>
          </cell>
          <cell r="O173">
            <v>488455980.1548484</v>
          </cell>
        </row>
        <row r="174">
          <cell r="B174" t="str">
            <v>XE LTD</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GLI - A/T</v>
          </cell>
          <cell r="C175">
            <v>35336251.545482092</v>
          </cell>
          <cell r="D175">
            <v>39753282.988667354</v>
          </cell>
          <cell r="E175">
            <v>39753282.988667354</v>
          </cell>
          <cell r="F175">
            <v>39753282.988667354</v>
          </cell>
          <cell r="G175">
            <v>26502188.659111567</v>
          </cell>
          <cell r="H175">
            <v>30919220.102296829</v>
          </cell>
          <cell r="I175">
            <v>48587345.875037879</v>
          </cell>
          <cell r="J175">
            <v>39753282.988667354</v>
          </cell>
          <cell r="K175">
            <v>39753282.988667354</v>
          </cell>
          <cell r="L175">
            <v>48587345.875037879</v>
          </cell>
          <cell r="M175">
            <v>48587345.875037879</v>
          </cell>
          <cell r="N175">
            <v>48587345.875037879</v>
          </cell>
          <cell r="O175">
            <v>485873458.75037885</v>
          </cell>
        </row>
        <row r="176">
          <cell r="B176" t="str">
            <v>20D SUNROOF</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B177" t="str">
            <v>2.0 D</v>
          </cell>
          <cell r="C177">
            <v>56916300.689440288</v>
          </cell>
          <cell r="D177">
            <v>64505140.781365663</v>
          </cell>
          <cell r="E177">
            <v>64505140.781365663</v>
          </cell>
          <cell r="F177">
            <v>67244085.443435699</v>
          </cell>
          <cell r="G177">
            <v>48565172.820259117</v>
          </cell>
          <cell r="H177">
            <v>48565172.820259117</v>
          </cell>
          <cell r="I177">
            <v>63508302.918800384</v>
          </cell>
          <cell r="J177">
            <v>44829390.295623802</v>
          </cell>
          <cell r="K177">
            <v>56036737.869529754</v>
          </cell>
          <cell r="L177">
            <v>59772520.394165069</v>
          </cell>
          <cell r="M177">
            <v>56036737.869529754</v>
          </cell>
          <cell r="N177">
            <v>59772520.394165069</v>
          </cell>
          <cell r="O177">
            <v>690257223.07793915</v>
          </cell>
        </row>
        <row r="178">
          <cell r="B178" t="str">
            <v>2.0 D G</v>
          </cell>
          <cell r="C178">
            <v>91066081.103104457</v>
          </cell>
          <cell r="D178">
            <v>98654921.195029825</v>
          </cell>
          <cell r="E178">
            <v>98654921.195029825</v>
          </cell>
          <cell r="F178">
            <v>108337693.21442419</v>
          </cell>
          <cell r="G178">
            <v>74715650.492706329</v>
          </cell>
          <cell r="H178">
            <v>78451433.017341658</v>
          </cell>
          <cell r="I178">
            <v>100866128.16515355</v>
          </cell>
          <cell r="J178">
            <v>74715650.492706329</v>
          </cell>
          <cell r="K178">
            <v>89658780.591247603</v>
          </cell>
          <cell r="L178">
            <v>97130345.640518233</v>
          </cell>
          <cell r="M178">
            <v>93394563.115882918</v>
          </cell>
          <cell r="N178">
            <v>97130345.640518233</v>
          </cell>
          <cell r="O178">
            <v>1102776513.863663</v>
          </cell>
        </row>
        <row r="179">
          <cell r="B179" t="str">
            <v>2.0 D Ltd</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t="str">
            <v>Hilux  4 X 2 Dless</v>
          </cell>
          <cell r="C182">
            <v>31412651.2394282</v>
          </cell>
          <cell r="D182">
            <v>86498604.862193599</v>
          </cell>
          <cell r="E182">
            <v>103343070.01956813</v>
          </cell>
          <cell r="F182">
            <v>120642790.99200685</v>
          </cell>
          <cell r="G182">
            <v>50988651.2871878</v>
          </cell>
          <cell r="H182">
            <v>94693209.533348769</v>
          </cell>
          <cell r="I182">
            <v>100156279.31411889</v>
          </cell>
          <cell r="J182">
            <v>85588093.232065246</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t="str">
            <v>Cuore - CX</v>
          </cell>
          <cell r="C185">
            <v>38935170.77082289</v>
          </cell>
          <cell r="D185">
            <v>38935170.77082289</v>
          </cell>
          <cell r="E185">
            <v>38935170.77082289</v>
          </cell>
          <cell r="F185">
            <v>38935170.77082289</v>
          </cell>
          <cell r="G185">
            <v>38935170.77082289</v>
          </cell>
          <cell r="H185">
            <v>38935170.77082289</v>
          </cell>
          <cell r="I185">
            <v>38935170.77082289</v>
          </cell>
          <cell r="J185">
            <v>38935170.77082289</v>
          </cell>
          <cell r="K185">
            <v>38935170.77082289</v>
          </cell>
          <cell r="L185">
            <v>38935170.77082289</v>
          </cell>
          <cell r="M185">
            <v>38935170.77082289</v>
          </cell>
          <cell r="N185">
            <v>38935170.77082289</v>
          </cell>
          <cell r="O185">
            <v>467222049.24987465</v>
          </cell>
        </row>
        <row r="186">
          <cell r="B186" t="str">
            <v>Cuore - CX Sunroof</v>
          </cell>
          <cell r="C186">
            <v>0</v>
          </cell>
          <cell r="D186">
            <v>0</v>
          </cell>
          <cell r="E186">
            <v>0</v>
          </cell>
          <cell r="F186">
            <v>0</v>
          </cell>
          <cell r="G186">
            <v>0</v>
          </cell>
          <cell r="H186">
            <v>0</v>
          </cell>
          <cell r="I186">
            <v>6489195.1284704814</v>
          </cell>
          <cell r="J186">
            <v>6489195.1284704814</v>
          </cell>
          <cell r="K186">
            <v>6489195.1284704814</v>
          </cell>
          <cell r="L186">
            <v>6489195.1284704814</v>
          </cell>
          <cell r="M186">
            <v>6489195.1284704814</v>
          </cell>
          <cell r="N186">
            <v>6489195.1284704814</v>
          </cell>
          <cell r="O186">
            <v>38935170.77082289</v>
          </cell>
        </row>
        <row r="188">
          <cell r="C188">
            <v>392750004.3698917</v>
          </cell>
          <cell r="D188">
            <v>470777193.2448281</v>
          </cell>
          <cell r="E188">
            <v>484882361.31373763</v>
          </cell>
          <cell r="F188">
            <v>530019734.09373945</v>
          </cell>
          <cell r="G188">
            <v>384805460.92623591</v>
          </cell>
          <cell r="H188">
            <v>398677393.2066977</v>
          </cell>
          <cell r="I188">
            <v>541892339.98270643</v>
          </cell>
          <cell r="J188">
            <v>426603157.28976071</v>
          </cell>
          <cell r="K188">
            <v>463663627.00093198</v>
          </cell>
          <cell r="L188">
            <v>418673168.32791108</v>
          </cell>
          <cell r="M188">
            <v>413772660.59810883</v>
          </cell>
          <cell r="N188">
            <v>424896621.76533288</v>
          </cell>
          <cell r="O188">
            <v>5351413722.1198826</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1">
          <cell r="B31">
            <v>5</v>
          </cell>
        </row>
      </sheetData>
      <sheetData sheetId="47">
        <row r="31">
          <cell r="B31">
            <v>0</v>
          </cell>
        </row>
      </sheetData>
      <sheetData sheetId="48">
        <row r="31">
          <cell r="B31">
            <v>0</v>
          </cell>
        </row>
      </sheetData>
      <sheetData sheetId="49">
        <row r="31">
          <cell r="B31">
            <v>0</v>
          </cell>
        </row>
      </sheetData>
      <sheetData sheetId="50">
        <row r="31">
          <cell r="B31">
            <v>0</v>
          </cell>
        </row>
      </sheetData>
      <sheetData sheetId="51">
        <row r="31">
          <cell r="B31">
            <v>0</v>
          </cell>
        </row>
      </sheetData>
      <sheetData sheetId="52">
        <row r="31">
          <cell r="B31">
            <v>0</v>
          </cell>
        </row>
      </sheetData>
      <sheetData sheetId="53">
        <row r="31">
          <cell r="B31">
            <v>0</v>
          </cell>
        </row>
      </sheetData>
      <sheetData sheetId="54">
        <row r="31">
          <cell r="B31">
            <v>0</v>
          </cell>
        </row>
      </sheetData>
      <sheetData sheetId="55">
        <row r="31">
          <cell r="B31" t="str">
            <v>GL</v>
          </cell>
        </row>
      </sheetData>
      <sheetData sheetId="56">
        <row r="31">
          <cell r="B31" t="str">
            <v>GL</v>
          </cell>
        </row>
      </sheetData>
      <sheetData sheetId="57">
        <row r="31">
          <cell r="B31">
            <v>0</v>
          </cell>
        </row>
      </sheetData>
      <sheetData sheetId="58">
        <row r="31">
          <cell r="B31" t="str">
            <v>GL</v>
          </cell>
        </row>
      </sheetData>
      <sheetData sheetId="59">
        <row r="31">
          <cell r="B31" t="str">
            <v>L/c Opening &amp; Bank Charges</v>
          </cell>
        </row>
      </sheetData>
      <sheetData sheetId="60">
        <row r="31">
          <cell r="B31" t="str">
            <v>L/c Opening &amp; Bank Charges</v>
          </cell>
        </row>
      </sheetData>
      <sheetData sheetId="61">
        <row r="31">
          <cell r="B31" t="str">
            <v>GL</v>
          </cell>
        </row>
      </sheetData>
      <sheetData sheetId="62">
        <row r="31">
          <cell r="B31" t="str">
            <v>GL</v>
          </cell>
        </row>
      </sheetData>
      <sheetData sheetId="63">
        <row r="31">
          <cell r="B31" t="str">
            <v>L/c Opening &amp; Bank Charges</v>
          </cell>
        </row>
      </sheetData>
      <sheetData sheetId="64">
        <row r="31">
          <cell r="B31">
            <v>5</v>
          </cell>
        </row>
      </sheetData>
      <sheetData sheetId="65">
        <row r="31">
          <cell r="B31">
            <v>5</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1">
          <cell r="B31">
            <v>5</v>
          </cell>
        </row>
      </sheetData>
      <sheetData sheetId="90" refreshError="1"/>
      <sheetData sheetId="9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AL905"/>
      <sheetName val="BSDOMOVS"/>
      <sheetName val="Abu Dhabi"/>
      <sheetName val="BS-OVS"/>
      <sheetName val="Sheet4"/>
      <sheetName val="SCRR+CRR"/>
      <sheetName val="N-OUR"/>
      <sheetName val="PKRV"/>
      <sheetName val="Updated  Rates"/>
      <sheetName val="Ranges"/>
      <sheetName val="Data-904"/>
      <sheetName val="Bahrain Final"/>
      <sheetName val="Salary2007"/>
      <sheetName val="LS-UAE"/>
      <sheetName val="I_B"/>
      <sheetName val="I_BR"/>
      <sheetName val="RC-0997"/>
      <sheetName val="Deposits"/>
      <sheetName val="LOCAL STUDENTS"/>
      <sheetName val="29-30"/>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NV-OTHER ASSETS "/>
      <sheetName val="BS-DOM"/>
      <sheetName val="BS-OVS"/>
      <sheetName val="BSCOMBINED "/>
      <sheetName val="#REF"/>
      <sheetName val="T-BILL"/>
      <sheetName val="I-BR"/>
      <sheetName val="List"/>
      <sheetName val="Sheet1"/>
      <sheetName val="AL905"/>
      <sheetName val="Abu Dhabi"/>
      <sheetName val="1-bwb(cb)"/>
      <sheetName val="INPUT"/>
      <sheetName val="29-30"/>
      <sheetName val="Lookups"/>
      <sheetName val="DD110"/>
      <sheetName val="FEb"/>
      <sheetName val="PARTWISE BREAKUP"/>
      <sheetName val="Sheet4"/>
      <sheetName val="Sheet2"/>
      <sheetName val="Lists"/>
      <sheetName val="Implied Rate"/>
      <sheetName val="A-C CODE &amp; NAME"/>
      <sheetName val="actual (2)"/>
      <sheetName val="I-B"/>
    </sheetNames>
    <sheetDataSet>
      <sheetData sheetId="0">
        <row r="140">
          <cell r="I140">
            <v>-9419269.4538429994</v>
          </cell>
        </row>
      </sheetData>
      <sheetData sheetId="1"/>
      <sheetData sheetId="2">
        <row r="140">
          <cell r="I140">
            <v>-9419269.4538429994</v>
          </cell>
        </row>
        <row r="177">
          <cell r="I177">
            <v>39476829171.10128</v>
          </cell>
        </row>
        <row r="182">
          <cell r="I182">
            <v>74718888.259252995</v>
          </cell>
        </row>
        <row r="193">
          <cell r="I193">
            <v>79956479.800536931</v>
          </cell>
        </row>
        <row r="196">
          <cell r="I196">
            <v>2633790152.157959</v>
          </cell>
        </row>
        <row r="197">
          <cell r="I197">
            <v>6599648252.119422</v>
          </cell>
        </row>
        <row r="198">
          <cell r="I198">
            <v>463566743.09803283</v>
          </cell>
        </row>
        <row r="199">
          <cell r="I199">
            <v>6367721.818</v>
          </cell>
        </row>
        <row r="200">
          <cell r="I200">
            <v>95192233.803413495</v>
          </cell>
        </row>
        <row r="201">
          <cell r="I201">
            <v>51267040.075999998</v>
          </cell>
        </row>
        <row r="207">
          <cell r="I207">
            <v>317107479.20281661</v>
          </cell>
        </row>
        <row r="209">
          <cell r="I209">
            <v>110807297.04154299</v>
          </cell>
        </row>
        <row r="214">
          <cell r="I214">
            <v>21149381.779200003</v>
          </cell>
        </row>
        <row r="215">
          <cell r="I215">
            <v>73022605.164682999</v>
          </cell>
        </row>
        <row r="216">
          <cell r="I216">
            <v>69670823.155003294</v>
          </cell>
        </row>
        <row r="225">
          <cell r="I225">
            <v>194377888288.28598</v>
          </cell>
        </row>
        <row r="227">
          <cell r="I227">
            <v>50072068724.377579</v>
          </cell>
        </row>
        <row r="233">
          <cell r="I233">
            <v>8162134108.7328329</v>
          </cell>
        </row>
        <row r="236">
          <cell r="I236">
            <v>6596108605.3126411</v>
          </cell>
        </row>
        <row r="239">
          <cell r="I239">
            <v>21721232244.269104</v>
          </cell>
        </row>
        <row r="240">
          <cell r="I240">
            <v>65740342829.488098</v>
          </cell>
        </row>
        <row r="241">
          <cell r="I241">
            <v>87461575073.757202</v>
          </cell>
        </row>
        <row r="242">
          <cell r="I242">
            <v>-21721232244.269104</v>
          </cell>
        </row>
        <row r="256">
          <cell r="I256">
            <v>573620076.34338379</v>
          </cell>
        </row>
        <row r="279">
          <cell r="I279">
            <v>609810626.86105835</v>
          </cell>
        </row>
        <row r="281">
          <cell r="I281">
            <v>629352970.96508241</v>
          </cell>
        </row>
        <row r="284">
          <cell r="I284">
            <v>135928861.80949962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heet"/>
      <sheetName val="p&amp;loss"/>
      <sheetName val="cash flow"/>
      <sheetName val="Not 3-30 (2)"/>
      <sheetName val="Not 6.1-30"/>
      <sheetName val="Not 10-11"/>
      <sheetName val="Not-21.1 - 23"/>
      <sheetName val="Not 24-26"/>
      <sheetName val="Not 27"/>
      <sheetName val="I.R.R"/>
      <sheetName val="garb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tatement of Comp Income "/>
      <sheetName val="Cash Flow"/>
      <sheetName val="Statement of equity"/>
      <sheetName val="Notes 1-3"/>
      <sheetName val="4-4.1.2"/>
      <sheetName val="4.2 to 13"/>
      <sheetName val="13.1 to 15.2"/>
      <sheetName val="16 to 20.2"/>
      <sheetName val="21"/>
      <sheetName val="IFRS 7(1)"/>
      <sheetName val="IFRS-7(2)"/>
      <sheetName val="Cash flow working"/>
      <sheetName val="5 to 14 - Pend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9.7-9.8"/>
      <sheetName val="Liabiliteis"/>
      <sheetName val="AnnexureA"/>
      <sheetName val="Assets"/>
      <sheetName val="SBP-Staggering"/>
      <sheetName val="Balancesheet"/>
      <sheetName val="P&amp;L"/>
      <sheetName val="Notes7-8"/>
      <sheetName val="Notes 9-10"/>
      <sheetName val="Notes7-8 (2)"/>
      <sheetName val="Notes 9-10 (2)"/>
      <sheetName val="Investment"/>
      <sheetName val="Sheet2"/>
      <sheetName val="Notes 1-6"/>
      <sheetName val="BS"/>
      <sheetName val="Other Assets Notes"/>
      <sheetName val="Notes10.1"/>
      <sheetName val="Sheet5"/>
      <sheetName val="notes 5-6000"/>
      <sheetName val="Stat-Equity"/>
      <sheetName val="A"/>
      <sheetName val="Note6-8.2"/>
      <sheetName val="Note_9_7-9_8"/>
      <sheetName val="Notes_9-10"/>
      <sheetName val="Notes7-8_(2)"/>
      <sheetName val="Notes_9-10_(2)"/>
      <sheetName val="Notes_1-6"/>
      <sheetName val="Other_Assets_Notes"/>
      <sheetName val="Notes10_1"/>
      <sheetName val="notes_5-6000"/>
      <sheetName val="Note6-8_2"/>
      <sheetName val="Regular"/>
      <sheetName val="Note_9_7-9_81"/>
      <sheetName val="Notes_9-101"/>
      <sheetName val="Notes7-8_(2)1"/>
      <sheetName val="Notes_9-10_(2)1"/>
      <sheetName val="Notes_1-61"/>
      <sheetName val="Other_Assets_Notes1"/>
      <sheetName val="Notes10_11"/>
      <sheetName val="notes_5-60001"/>
      <sheetName val="Note6-8_21"/>
      <sheetName val="Note_9_7-9_83"/>
      <sheetName val="Notes_9-103"/>
      <sheetName val="Notes7-8_(2)3"/>
      <sheetName val="Notes_9-10_(2)3"/>
      <sheetName val="Notes_1-63"/>
      <sheetName val="Other_Assets_Notes3"/>
      <sheetName val="Notes10_13"/>
      <sheetName val="notes_5-60003"/>
      <sheetName val="Note6-8_23"/>
      <sheetName val="Note_9_7-9_82"/>
      <sheetName val="Notes_9-102"/>
      <sheetName val="Notes7-8_(2)2"/>
      <sheetName val="Notes_9-10_(2)2"/>
      <sheetName val="Notes_1-62"/>
      <sheetName val="Other_Assets_Notes2"/>
      <sheetName val="Notes10_12"/>
      <sheetName val="notes_5-60002"/>
      <sheetName val="Note6-8_22"/>
      <sheetName val="note 4,5"/>
      <sheetName val="Lookups"/>
      <sheetName val="Donations(8)"/>
      <sheetName val="LEDGER"/>
      <sheetName val="TRIAL"/>
      <sheetName val="Index-A"/>
      <sheetName val="Note_9_7-9_84"/>
      <sheetName val="Notes_9-104"/>
      <sheetName val="Notes7-8_(2)4"/>
      <sheetName val="Notes_9-10_(2)4"/>
      <sheetName val="Notes_1-64"/>
      <sheetName val="Other_Assets_Notes4"/>
      <sheetName val="Notes10_14"/>
      <sheetName val="notes_5-60004"/>
      <sheetName val="Note6-8_24"/>
      <sheetName val="Assumptions"/>
      <sheetName val="Links"/>
      <sheetName val="INV"/>
      <sheetName val="Scoping"/>
      <sheetName val="Corporate"/>
      <sheetName val="Middle Market"/>
      <sheetName val="SME"/>
      <sheetName val="Parameters"/>
      <sheetName val="note_4,5"/>
      <sheetName val="Parameter"/>
      <sheetName val="total p&amp;l"/>
      <sheetName val="toyota pl ckd"/>
      <sheetName val="Note_9_7-9_85"/>
      <sheetName val="Notes_9-105"/>
      <sheetName val="Notes7-8_(2)5"/>
      <sheetName val="Notes_9-10_(2)5"/>
      <sheetName val="Notes_1-65"/>
      <sheetName val="Other_Assets_Notes5"/>
      <sheetName val="Notes10_15"/>
      <sheetName val="notes_5-60005"/>
      <sheetName val="Note6-8_25"/>
      <sheetName val="Middle_Market"/>
      <sheetName val="total_p&amp;l"/>
      <sheetName val="toyota_pl_ckd"/>
      <sheetName val="notes1-5"/>
      <sheetName val="MTPF July 2015"/>
      <sheetName val="RC-0997"/>
      <sheetName val="Note_9_7-9_87"/>
      <sheetName val="Notes_9-107"/>
      <sheetName val="Notes7-8_(2)7"/>
      <sheetName val="Notes_9-10_(2)7"/>
      <sheetName val="Notes_1-67"/>
      <sheetName val="Other_Assets_Notes7"/>
      <sheetName val="Notes10_17"/>
      <sheetName val="notes_5-60007"/>
      <sheetName val="Note6-8_27"/>
      <sheetName val="note_4,52"/>
      <sheetName val="Middle_Market2"/>
      <sheetName val="total_p&amp;l2"/>
      <sheetName val="toyota_pl_ckd2"/>
      <sheetName val="Note_9_7-9_86"/>
      <sheetName val="Notes_9-106"/>
      <sheetName val="Notes7-8_(2)6"/>
      <sheetName val="Notes_9-10_(2)6"/>
      <sheetName val="Notes_1-66"/>
      <sheetName val="Other_Assets_Notes6"/>
      <sheetName val="Notes10_16"/>
      <sheetName val="notes_5-60006"/>
      <sheetName val="Note6-8_26"/>
      <sheetName val="note_4,51"/>
      <sheetName val="Middle_Market1"/>
      <sheetName val="total_p&amp;l1"/>
      <sheetName val="toyota_pl_ckd1"/>
      <sheetName val="Sheet1 "/>
      <sheetName val="GL Breakup"/>
      <sheetName val="GIE Breakup"/>
      <sheetName val="Data"/>
      <sheetName val="AC GL Avg Balances"/>
      <sheetName val="Lead"/>
      <sheetName val="3_2"/>
      <sheetName val="ACC LIST"/>
      <sheetName val="Cons. Lead BS"/>
      <sheetName val="Non-Statistical Sampling"/>
      <sheetName val="JSCML TB"/>
      <sheetName val="Dep P &amp; L "/>
      <sheetName val="Cw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4">
          <cell r="Q604">
            <v>261393</v>
          </cell>
        </row>
        <row r="605">
          <cell r="Q605">
            <v>655246</v>
          </cell>
        </row>
        <row r="606">
          <cell r="Q606">
            <v>432000</v>
          </cell>
        </row>
        <row r="607">
          <cell r="Q607">
            <v>2412885</v>
          </cell>
        </row>
        <row r="608">
          <cell r="Q608">
            <v>4603679</v>
          </cell>
        </row>
        <row r="609">
          <cell r="Q609">
            <v>190777</v>
          </cell>
        </row>
        <row r="610">
          <cell r="Q610">
            <v>1447095</v>
          </cell>
        </row>
        <row r="611">
          <cell r="Q611">
            <v>10003075</v>
          </cell>
        </row>
        <row r="615">
          <cell r="Q615">
            <v>5451937</v>
          </cell>
        </row>
        <row r="616">
          <cell r="Q616">
            <v>4011652</v>
          </cell>
        </row>
        <row r="617">
          <cell r="Q617">
            <v>51183</v>
          </cell>
        </row>
        <row r="618">
          <cell r="Q618">
            <v>232240</v>
          </cell>
        </row>
        <row r="619">
          <cell r="Q619">
            <v>14118</v>
          </cell>
        </row>
        <row r="621">
          <cell r="Q621">
            <v>9761130</v>
          </cell>
        </row>
        <row r="623">
          <cell r="Q623">
            <v>241945</v>
          </cell>
        </row>
        <row r="627">
          <cell r="Q627">
            <v>1166667</v>
          </cell>
        </row>
        <row r="628">
          <cell r="Q628">
            <v>74262</v>
          </cell>
        </row>
        <row r="629">
          <cell r="Q629">
            <v>-998702</v>
          </cell>
        </row>
        <row r="630">
          <cell r="Q630">
            <v>-282</v>
          </cell>
        </row>
        <row r="631">
          <cell r="Q631">
            <v>241945</v>
          </cell>
        </row>
        <row r="634">
          <cell r="Q634">
            <v>1665541</v>
          </cell>
        </row>
        <row r="636">
          <cell r="Q636">
            <v>813488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ow r="604">
          <cell r="Q604">
            <v>261393</v>
          </cell>
        </row>
      </sheetData>
      <sheetData sheetId="66">
        <row r="604">
          <cell r="Q604">
            <v>261393</v>
          </cell>
        </row>
      </sheetData>
      <sheetData sheetId="67">
        <row r="604">
          <cell r="Q604">
            <v>261393</v>
          </cell>
        </row>
      </sheetData>
      <sheetData sheetId="68">
        <row r="604">
          <cell r="Q604">
            <v>261393</v>
          </cell>
        </row>
      </sheetData>
      <sheetData sheetId="69">
        <row r="604">
          <cell r="Q604">
            <v>261393</v>
          </cell>
        </row>
      </sheetData>
      <sheetData sheetId="70">
        <row r="604">
          <cell r="Q604">
            <v>261393</v>
          </cell>
        </row>
      </sheetData>
      <sheetData sheetId="71">
        <row r="604">
          <cell r="Q604">
            <v>261393</v>
          </cell>
        </row>
      </sheetData>
      <sheetData sheetId="72">
        <row r="604">
          <cell r="Q604">
            <v>261393</v>
          </cell>
        </row>
      </sheetData>
      <sheetData sheetId="73">
        <row r="604">
          <cell r="Q604">
            <v>261393</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ow r="604">
          <cell r="Q604">
            <v>261393</v>
          </cell>
        </row>
      </sheetData>
      <sheetData sheetId="87" refreshError="1"/>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ow r="604">
          <cell r="Q604">
            <v>261393</v>
          </cell>
        </row>
      </sheetData>
      <sheetData sheetId="101">
        <row r="604">
          <cell r="Q604">
            <v>261393</v>
          </cell>
        </row>
      </sheetData>
      <sheetData sheetId="102">
        <row r="604">
          <cell r="Q604">
            <v>261393</v>
          </cell>
        </row>
      </sheetData>
      <sheetData sheetId="103">
        <row r="604">
          <cell r="Q604">
            <v>261393</v>
          </cell>
        </row>
      </sheetData>
      <sheetData sheetId="104">
        <row r="604">
          <cell r="Q604">
            <v>261393</v>
          </cell>
        </row>
      </sheetData>
      <sheetData sheetId="105">
        <row r="604">
          <cell r="Q604">
            <v>261393</v>
          </cell>
        </row>
      </sheetData>
      <sheetData sheetId="106">
        <row r="604">
          <cell r="Q604">
            <v>261393</v>
          </cell>
        </row>
      </sheetData>
      <sheetData sheetId="107">
        <row r="604">
          <cell r="Q604">
            <v>261393</v>
          </cell>
        </row>
      </sheetData>
      <sheetData sheetId="108">
        <row r="604">
          <cell r="Q604">
            <v>261393</v>
          </cell>
        </row>
      </sheetData>
      <sheetData sheetId="109">
        <row r="604">
          <cell r="Q604">
            <v>261393</v>
          </cell>
        </row>
      </sheetData>
      <sheetData sheetId="110">
        <row r="604">
          <cell r="Q604">
            <v>261393</v>
          </cell>
        </row>
      </sheetData>
      <sheetData sheetId="111">
        <row r="604">
          <cell r="Q604">
            <v>261393</v>
          </cell>
        </row>
      </sheetData>
      <sheetData sheetId="112">
        <row r="604">
          <cell r="Q604">
            <v>261393</v>
          </cell>
        </row>
      </sheetData>
      <sheetData sheetId="113">
        <row r="604">
          <cell r="Q604">
            <v>261393</v>
          </cell>
        </row>
      </sheetData>
      <sheetData sheetId="114">
        <row r="604">
          <cell r="Q604">
            <v>261393</v>
          </cell>
        </row>
      </sheetData>
      <sheetData sheetId="115">
        <row r="604">
          <cell r="Q604">
            <v>261393</v>
          </cell>
        </row>
      </sheetData>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BS_final"/>
      <sheetName val="BS_DEC02"/>
      <sheetName val="PL_DEC02"/>
      <sheetName val="notes_DEC02"/>
      <sheetName val="pl_NOTES"/>
      <sheetName val="BS_final1"/>
      <sheetName val="BS_DEC021"/>
      <sheetName val="PL_DEC021"/>
      <sheetName val="notes_DEC021"/>
      <sheetName val="pl_NOTES1"/>
      <sheetName val="statacc"/>
      <sheetName val="Sheet4"/>
      <sheetName val="Tables"/>
      <sheetName val="Rating"/>
      <sheetName val="Investments"/>
      <sheetName val="MAY 1240001"/>
      <sheetName val="NORMAL"/>
      <sheetName val="bs&amp;Pl"/>
      <sheetName val="BS_final2"/>
      <sheetName val="BS_DEC022"/>
      <sheetName val="PL_DEC022"/>
      <sheetName val="notes_DEC022"/>
      <sheetName val="pl_NOTES2"/>
      <sheetName val="MAY_1240001"/>
      <sheetName val="A"/>
      <sheetName val="Data"/>
      <sheetName val="admin cross"/>
      <sheetName val="Manu Crss"/>
      <sheetName val="Deposit"/>
      <sheetName val="BS_final3"/>
      <sheetName val="BS_DEC023"/>
      <sheetName val="PL_DEC023"/>
      <sheetName val="notes_DEC023"/>
      <sheetName val="pl_NOTES3"/>
      <sheetName val="MAY_12400011"/>
      <sheetName val="Note 13.1 &amp; 13.2"/>
      <sheetName val="Consolidated"/>
      <sheetName val="JSCL TB"/>
      <sheetName val="BS2"/>
      <sheetName val="BS1"/>
      <sheetName val="Note-14"/>
      <sheetName val="ProfitProv"/>
      <sheetName val="Abu Dhabi"/>
      <sheetName val="BS"/>
      <sheetName val="gelir"/>
      <sheetName val="cpur"/>
      <sheetName val="Macro1"/>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Bill"/>
      <sheetName val="READING"/>
      <sheetName val="Corporate"/>
      <sheetName val="Middle Market"/>
      <sheetName val="SME"/>
      <sheetName val="Sheet6"/>
      <sheetName val="New A-Rept"/>
      <sheetName val="Scoping"/>
      <sheetName val="Sheet3"/>
      <sheetName val="Furniture"/>
      <sheetName val="Sheet2"/>
      <sheetName val="BVPS"/>
      <sheetName val="Cap_Empl"/>
      <sheetName val="EBITDA"/>
      <sheetName val="EV"/>
      <sheetName val="Gross_Yield"/>
      <sheetName val="Start &amp;_EPS"/>
      <sheetName val="Net_Debt"/>
      <sheetName val="PE"/>
      <sheetName val="Recomm"/>
      <sheetName val="Requirements"/>
      <sheetName val="Storage"/>
      <sheetName val="Financial"/>
      <sheetName val="working"/>
      <sheetName val="Term Deposits"/>
      <sheetName val="admin_cross"/>
      <sheetName val="Manu_Crss"/>
      <sheetName val="Data Sheet - Financials"/>
      <sheetName val="Data Sheet - Others"/>
      <sheetName val="Adj"/>
      <sheetName val="Revenue-Fire-Marine-Motor"/>
      <sheetName val="Dropdown"/>
      <sheetName val="P&amp;L Comment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Sheet4"/>
      <sheetName val="Tables"/>
      <sheetName val="Rating"/>
      <sheetName val="Investments"/>
      <sheetName val="MAY 1240001"/>
      <sheetName val="BS_final"/>
      <sheetName val="BS_DEC02"/>
      <sheetName val="PL_DEC02"/>
      <sheetName val="notes_DEC02"/>
      <sheetName val="pl_NOTES"/>
      <sheetName val="BS_final1"/>
      <sheetName val="BS_DEC021"/>
      <sheetName val="PL_DEC021"/>
      <sheetName val="notes_DEC021"/>
      <sheetName val="pl_NOTES1"/>
      <sheetName val="Note 13.1 &amp; 13.2"/>
      <sheetName val="BS_final2"/>
      <sheetName val="BS_DEC022"/>
      <sheetName val="PL_DEC022"/>
      <sheetName val="notes_DEC022"/>
      <sheetName val="pl_NOTES2"/>
      <sheetName val="MAY_1240001"/>
      <sheetName val="BS_final3"/>
      <sheetName val="BS_DEC023"/>
      <sheetName val="PL_DEC023"/>
      <sheetName val="notes_DEC023"/>
      <sheetName val="pl_NOTES3"/>
      <sheetName val="MAY_12400011"/>
      <sheetName val="JSCL TB"/>
      <sheetName val="DATA"/>
      <sheetName val="Disclosure"/>
      <sheetName val="statacc"/>
      <sheetName val="Consolidated"/>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Bill"/>
      <sheetName val="READING"/>
      <sheetName val="Note-14"/>
      <sheetName val="ProfitProv"/>
      <sheetName val="Corporate"/>
      <sheetName val="Middle Market"/>
      <sheetName val="SME"/>
      <sheetName val="Scoping"/>
      <sheetName val="Sheet3"/>
      <sheetName val="Furniture"/>
      <sheetName val="Sheet2"/>
      <sheetName val="Sheet6"/>
      <sheetName val="New A-Rept"/>
      <sheetName val="BVPS"/>
      <sheetName val="Cap_Empl"/>
      <sheetName val="EBITDA"/>
      <sheetName val="EV"/>
      <sheetName val="Gross_Yield"/>
      <sheetName val="Start &amp;_EPS"/>
      <sheetName val="Net_Debt"/>
      <sheetName val="PE"/>
      <sheetName val="Recomm"/>
      <sheetName val="Requirements"/>
      <sheetName val="Storage"/>
      <sheetName val="Financial"/>
      <sheetName val="A"/>
      <sheetName val="NORMAL"/>
      <sheetName val="bs&amp;Pl"/>
      <sheetName val="admin cross"/>
      <sheetName val="Manu Crss"/>
      <sheetName val="working"/>
      <sheetName val="Deposit"/>
      <sheetName val="BS_final4"/>
      <sheetName val="BS_DEC024"/>
      <sheetName val="PL_DEC024"/>
      <sheetName val="notes_DEC024"/>
      <sheetName val="pl_NOTES4"/>
      <sheetName val="MAY_12400012"/>
      <sheetName val="Note_13_1_&amp;_13_2"/>
      <sheetName val="JSCL_TB"/>
      <sheetName val="Code"/>
      <sheetName val="DS_details"/>
      <sheetName val="BS"/>
      <sheetName val="dep on disposals"/>
      <sheetName val="Links"/>
      <sheetName val="plan. analytical"/>
      <sheetName val="lp"/>
      <sheetName val="Actual"/>
      <sheetName val="Budget"/>
      <sheetName val="List"/>
      <sheetName val="PrevYear"/>
      <sheetName val="Middle_Market"/>
      <sheetName val="Data Sheet - Financials"/>
      <sheetName val="Data Sheet - Others"/>
      <sheetName val="Adj"/>
      <sheetName val="Elim"/>
      <sheetName val="BS2"/>
      <sheetName val="BS1"/>
      <sheetName val="Abu Dhabi"/>
      <sheetName val="Def. Tax"/>
      <sheetName val="AA Lead Sch"/>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 val="acct"/>
      <sheetName val="Balance_Sheet2"/>
      <sheetName val="BSCOMBINED_2"/>
      <sheetName val="Note_1-7-A2"/>
      <sheetName val="Balance_Sheet-A2"/>
      <sheetName val="Cash_flow-A2"/>
      <sheetName val="Changes_in_equity-A2"/>
      <sheetName val="Note_1-72"/>
      <sheetName val="Note_8-112"/>
      <sheetName val="Note_8-11-A2"/>
      <sheetName val="Note_12-152"/>
      <sheetName val="Note_12-15-A2"/>
      <sheetName val="Note16-20_(2)2"/>
      <sheetName val="Note_21_-_232"/>
      <sheetName val="Note_10-10_12"/>
      <sheetName val="Note_10_2-10_72"/>
      <sheetName val="Note_11_-_12_12"/>
      <sheetName val="Note_16_2-182"/>
      <sheetName val="Note_22-232"/>
      <sheetName val="Note_28_1-302"/>
      <sheetName val="Note_37-382"/>
      <sheetName val="Note_24-A2"/>
      <sheetName val="Note_242"/>
      <sheetName val="Note_252"/>
      <sheetName val="Note_25-A2"/>
      <sheetName val="Note_26_2"/>
      <sheetName val="Note_26-A2"/>
      <sheetName val="Note_272"/>
      <sheetName val="Note_282"/>
      <sheetName val="Note_28-A2"/>
      <sheetName val="Note_29-302"/>
      <sheetName val="Note_42_2-442"/>
      <sheetName val="December_06"/>
      <sheetName val="November_06"/>
      <sheetName val="Implied_Rate"/>
      <sheetName val="O_Profit(aferalloc)"/>
      <sheetName val="A-C_CODE_&amp;_NAME"/>
      <sheetName val="RATES"/>
      <sheetName val="BK"/>
      <sheetName val="BR"/>
      <sheetName val="Note-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adm "/>
      <sheetName val="Note 4-5"/>
      <sheetName val="F&amp;F"/>
      <sheetName val="98aug-M2"/>
      <sheetName val="Revenue-Fire-Marine-Motor"/>
      <sheetName val="Toyota PL ckd"/>
      <sheetName val="TOTAL P&amp;L"/>
      <sheetName val="Input"/>
      <sheetName val="Invetory level"/>
      <sheetName val="Acquirer"/>
      <sheetName val="Combined"/>
      <sheetName val="Target"/>
      <sheetName val="NORMAL"/>
      <sheetName val="Parts list"/>
      <sheetName val="Main 01-02"/>
      <sheetName val="GP_Analysis"/>
      <sheetName val="TAX COM"/>
      <sheetName val="Grouping of adv products"/>
      <sheetName val="Region"/>
      <sheetName val="Notes 1"/>
      <sheetName val="Adv_to_vendor"/>
      <sheetName val="Stock_in_Trade"/>
      <sheetName val="LOCAL STUDENTS"/>
      <sheetName val="Stock_Quantity"/>
      <sheetName val="Income_Tax"/>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 val="E10.2 &amp; E10.3"/>
      <sheetName val="Cons. Lead BS"/>
      <sheetName val="MAIN-QUOTdwgs (2)"/>
      <sheetName val="100082"/>
      <sheetName val="Trial"/>
      <sheetName val="co"/>
      <sheetName val="W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INDUS MOTOR COMPANY LIMITED</v>
          </cell>
        </row>
        <row r="3">
          <cell r="A3" t="str">
            <v xml:space="preserve">STATEMENT OF FUNDS POSITION  </v>
          </cell>
        </row>
        <row r="4">
          <cell r="A4" t="str">
            <v>AS ON JULY 31, 2001</v>
          </cell>
        </row>
        <row r="5">
          <cell r="S5" t="str">
            <v>Rupees</v>
          </cell>
        </row>
        <row r="6">
          <cell r="A6" t="str">
            <v xml:space="preserve">Banks </v>
          </cell>
          <cell r="C6" t="str">
            <v>Limit</v>
          </cell>
          <cell r="E6" t="str">
            <v>Over Draft</v>
          </cell>
          <cell r="G6" t="str">
            <v>Un Utilized</v>
          </cell>
          <cell r="I6" t="str">
            <v>Bank Book  Jul '01</v>
          </cell>
          <cell r="M6" t="str">
            <v>Bank Book  Jun '01</v>
          </cell>
          <cell r="Q6" t="str">
            <v>Mark up</v>
          </cell>
          <cell r="S6" t="str">
            <v>Remarks</v>
          </cell>
        </row>
        <row r="7">
          <cell r="E7" t="str">
            <v>Utilized</v>
          </cell>
          <cell r="G7" t="str">
            <v>Limit</v>
          </cell>
          <cell r="I7" t="str">
            <v>Cash at Bank</v>
          </cell>
          <cell r="K7" t="str">
            <v>Over Draft</v>
          </cell>
          <cell r="M7" t="str">
            <v>Cash at Bank</v>
          </cell>
          <cell r="O7" t="str">
            <v>Over Draft</v>
          </cell>
          <cell r="Q7" t="str">
            <v>Rate</v>
          </cell>
        </row>
        <row r="9">
          <cell r="A9" t="str">
            <v>Bank Over Draft Accounts</v>
          </cell>
        </row>
        <row r="11">
          <cell r="A11" t="str">
            <v>Askari Commercial Bank</v>
          </cell>
          <cell r="B11" t="str">
            <v>*</v>
          </cell>
          <cell r="C11">
            <v>-20000000</v>
          </cell>
          <cell r="G11">
            <v>-20000000</v>
          </cell>
          <cell r="I11">
            <v>0</v>
          </cell>
          <cell r="K11">
            <v>-1843263.9599999785</v>
          </cell>
          <cell r="M11">
            <v>72609.040000021458</v>
          </cell>
          <cell r="O11">
            <v>0</v>
          </cell>
          <cell r="Q11">
            <v>0.14000000000000001</v>
          </cell>
        </row>
        <row r="12">
          <cell r="A12" t="str">
            <v>Emirates Bank International</v>
          </cell>
          <cell r="B12" t="str">
            <v>*</v>
          </cell>
          <cell r="C12">
            <v>-25000000</v>
          </cell>
          <cell r="E12">
            <v>-127857</v>
          </cell>
          <cell r="G12">
            <v>-24872143</v>
          </cell>
          <cell r="I12">
            <v>0</v>
          </cell>
          <cell r="K12">
            <v>-230855.54999999702</v>
          </cell>
          <cell r="M12">
            <v>0</v>
          </cell>
          <cell r="O12">
            <v>-21791771.549999997</v>
          </cell>
          <cell r="Q12">
            <v>0.12</v>
          </cell>
        </row>
        <row r="13">
          <cell r="A13" t="str">
            <v>ABN-Amro Bank</v>
          </cell>
          <cell r="B13" t="str">
            <v>*</v>
          </cell>
          <cell r="C13">
            <v>-150000000</v>
          </cell>
          <cell r="G13">
            <v>-150000000</v>
          </cell>
          <cell r="I13">
            <v>0</v>
          </cell>
          <cell r="K13">
            <v>-49828178</v>
          </cell>
          <cell r="M13">
            <v>210489</v>
          </cell>
          <cell r="O13">
            <v>0</v>
          </cell>
          <cell r="Q13">
            <v>0.12</v>
          </cell>
        </row>
        <row r="14">
          <cell r="A14" t="str">
            <v>Bank of Tokyo</v>
          </cell>
          <cell r="B14" t="str">
            <v>*</v>
          </cell>
          <cell r="C14">
            <v>-30000000</v>
          </cell>
          <cell r="E14">
            <v>-6285</v>
          </cell>
          <cell r="G14">
            <v>-29993715</v>
          </cell>
          <cell r="I14">
            <v>0</v>
          </cell>
          <cell r="K14">
            <v>-11707.64999999851</v>
          </cell>
          <cell r="M14">
            <v>0</v>
          </cell>
          <cell r="O14">
            <v>-347651.64999999851</v>
          </cell>
          <cell r="Q14">
            <v>0.1</v>
          </cell>
        </row>
        <row r="15">
          <cell r="A15" t="str">
            <v>Metropolitan Bank Limited</v>
          </cell>
          <cell r="B15" t="str">
            <v>*</v>
          </cell>
          <cell r="C15">
            <v>-25000000</v>
          </cell>
          <cell r="G15">
            <v>-25000000</v>
          </cell>
          <cell r="I15">
            <v>23481000</v>
          </cell>
          <cell r="K15">
            <v>0</v>
          </cell>
          <cell r="M15">
            <v>0</v>
          </cell>
          <cell r="O15">
            <v>-20581358</v>
          </cell>
          <cell r="Q15">
            <v>0.12</v>
          </cell>
        </row>
        <row r="16">
          <cell r="A16" t="str">
            <v>Habib Bank AG Zurich-Main Account</v>
          </cell>
          <cell r="B16" t="str">
            <v>*</v>
          </cell>
          <cell r="C16">
            <v>-40000000</v>
          </cell>
          <cell r="E16">
            <v>-16414118</v>
          </cell>
          <cell r="G16">
            <v>-23585882</v>
          </cell>
          <cell r="I16">
            <v>0</v>
          </cell>
          <cell r="K16">
            <v>-79210187.050000191</v>
          </cell>
          <cell r="M16">
            <v>0</v>
          </cell>
          <cell r="O16">
            <v>-159866824.05000019</v>
          </cell>
          <cell r="Q16">
            <v>0.12</v>
          </cell>
        </row>
        <row r="17">
          <cell r="A17" t="str">
            <v>Credit Agricole Indosuez</v>
          </cell>
          <cell r="B17" t="str">
            <v>*</v>
          </cell>
          <cell r="C17">
            <v>-85000000</v>
          </cell>
          <cell r="E17">
            <v>-70502253</v>
          </cell>
          <cell r="G17">
            <v>-14497747</v>
          </cell>
          <cell r="I17">
            <v>0</v>
          </cell>
          <cell r="K17">
            <v>-57298236.529999971</v>
          </cell>
          <cell r="M17">
            <v>0</v>
          </cell>
          <cell r="O17">
            <v>-75813940.529999971</v>
          </cell>
          <cell r="Q17">
            <v>0.105</v>
          </cell>
        </row>
        <row r="18">
          <cell r="A18" t="str">
            <v>Hongkong &amp; Shanghai Banking Corporation</v>
          </cell>
          <cell r="B18" t="str">
            <v>*</v>
          </cell>
          <cell r="C18">
            <v>-50000000</v>
          </cell>
          <cell r="E18">
            <v>-18166533</v>
          </cell>
          <cell r="G18">
            <v>-31833467</v>
          </cell>
          <cell r="I18">
            <v>0</v>
          </cell>
          <cell r="K18">
            <v>-18166534.480000004</v>
          </cell>
          <cell r="M18">
            <v>0</v>
          </cell>
          <cell r="O18">
            <v>-42004420.480000004</v>
          </cell>
          <cell r="Q18">
            <v>0.12</v>
          </cell>
        </row>
        <row r="19">
          <cell r="A19" t="str">
            <v>Faysal Bank Limited</v>
          </cell>
          <cell r="B19" t="str">
            <v>*</v>
          </cell>
          <cell r="C19">
            <v>-100000000</v>
          </cell>
          <cell r="G19">
            <v>-100000000</v>
          </cell>
          <cell r="I19">
            <v>205914.46000000834</v>
          </cell>
          <cell r="K19">
            <v>0</v>
          </cell>
          <cell r="M19">
            <v>205914.46000000834</v>
          </cell>
          <cell r="O19">
            <v>0</v>
          </cell>
          <cell r="Q19">
            <v>0.11749999999999999</v>
          </cell>
        </row>
        <row r="20">
          <cell r="A20" t="str">
            <v>Societe Generale</v>
          </cell>
          <cell r="B20" t="str">
            <v>*</v>
          </cell>
          <cell r="C20">
            <v>-60000000</v>
          </cell>
          <cell r="G20">
            <v>-60000000</v>
          </cell>
          <cell r="I20">
            <v>458.07900000363588</v>
          </cell>
          <cell r="K20">
            <v>0</v>
          </cell>
          <cell r="M20">
            <v>958.07900000363588</v>
          </cell>
          <cell r="O20">
            <v>0</v>
          </cell>
          <cell r="Q20">
            <v>0.12</v>
          </cell>
        </row>
        <row r="21">
          <cell r="A21" t="str">
            <v xml:space="preserve">Standard Chartered Grindlays Bank   </v>
          </cell>
          <cell r="B21" t="str">
            <v>*</v>
          </cell>
          <cell r="C21">
            <v>-100000000</v>
          </cell>
          <cell r="G21">
            <v>-100000000</v>
          </cell>
          <cell r="I21">
            <v>73197.539999991655</v>
          </cell>
          <cell r="K21">
            <v>0</v>
          </cell>
          <cell r="M21">
            <v>4932.5399999916553</v>
          </cell>
          <cell r="O21">
            <v>0</v>
          </cell>
          <cell r="Q21">
            <v>0.105</v>
          </cell>
        </row>
        <row r="22">
          <cell r="A22" t="str">
            <v xml:space="preserve">Union Bank - (Ex -Bank of America)  </v>
          </cell>
          <cell r="B22" t="str">
            <v>*</v>
          </cell>
          <cell r="C22">
            <v>-50000000</v>
          </cell>
          <cell r="G22">
            <v>-50000000</v>
          </cell>
          <cell r="I22">
            <v>79292.310000000522</v>
          </cell>
          <cell r="K22">
            <v>0</v>
          </cell>
          <cell r="M22">
            <v>79292.310000000522</v>
          </cell>
          <cell r="O22">
            <v>0</v>
          </cell>
          <cell r="Q22">
            <v>0.12</v>
          </cell>
        </row>
        <row r="23">
          <cell r="A23" t="str">
            <v xml:space="preserve">American Express Bank  </v>
          </cell>
          <cell r="B23" t="str">
            <v>*</v>
          </cell>
          <cell r="C23">
            <v>-50000000</v>
          </cell>
          <cell r="G23">
            <v>-50000000</v>
          </cell>
          <cell r="I23">
            <v>35260.159999996424</v>
          </cell>
          <cell r="K23">
            <v>0</v>
          </cell>
          <cell r="M23">
            <v>0</v>
          </cell>
          <cell r="O23">
            <v>-49927732.840000004</v>
          </cell>
          <cell r="Q23">
            <v>0.12</v>
          </cell>
        </row>
        <row r="24">
          <cell r="A24" t="str">
            <v>ANZ Grindlays Bank</v>
          </cell>
          <cell r="B24" t="str">
            <v>*</v>
          </cell>
          <cell r="C24">
            <v>-280000000</v>
          </cell>
          <cell r="G24">
            <v>-280000000</v>
          </cell>
          <cell r="I24">
            <v>0</v>
          </cell>
          <cell r="K24">
            <v>-67442565.609999955</v>
          </cell>
          <cell r="M24">
            <v>524456.3900000453</v>
          </cell>
          <cell r="O24">
            <v>0</v>
          </cell>
          <cell r="Q24">
            <v>0.12</v>
          </cell>
        </row>
        <row r="25">
          <cell r="A25" t="str">
            <v>Habib Bank Limited Korangi Branch</v>
          </cell>
          <cell r="B25" t="str">
            <v>*</v>
          </cell>
          <cell r="C25">
            <v>-200000000</v>
          </cell>
          <cell r="E25">
            <v>-111670</v>
          </cell>
          <cell r="G25">
            <v>-199888330</v>
          </cell>
          <cell r="I25">
            <v>0</v>
          </cell>
          <cell r="K25">
            <v>-4635069.9399999976</v>
          </cell>
          <cell r="M25">
            <v>0</v>
          </cell>
          <cell r="O25">
            <v>-285898.93999999762</v>
          </cell>
          <cell r="Q25">
            <v>0.12</v>
          </cell>
        </row>
        <row r="27">
          <cell r="C27">
            <v>-1265000000</v>
          </cell>
          <cell r="D27">
            <v>0</v>
          </cell>
          <cell r="E27">
            <v>-105328716</v>
          </cell>
          <cell r="G27">
            <v>-1159671284</v>
          </cell>
          <cell r="I27">
            <v>23875122.549000002</v>
          </cell>
          <cell r="K27">
            <v>-278666598.7700001</v>
          </cell>
          <cell r="M27">
            <v>1098651.8190000709</v>
          </cell>
          <cell r="O27">
            <v>-370619598.04000014</v>
          </cell>
        </row>
        <row r="29">
          <cell r="A29" t="str">
            <v>Current &amp; Saving Accounts</v>
          </cell>
        </row>
        <row r="31">
          <cell r="A31" t="str">
            <v xml:space="preserve">Deutsche Bank </v>
          </cell>
          <cell r="I31">
            <v>4750.2600000000093</v>
          </cell>
          <cell r="K31">
            <v>0</v>
          </cell>
          <cell r="M31">
            <v>4750.2600000000093</v>
          </cell>
          <cell r="O31">
            <v>0</v>
          </cell>
          <cell r="S31" t="str">
            <v>Dormant account</v>
          </cell>
        </row>
        <row r="32">
          <cell r="A32" t="str">
            <v>Habib Bank AG Zurich-Old Account</v>
          </cell>
          <cell r="I32">
            <v>125.69999999925494</v>
          </cell>
          <cell r="K32">
            <v>0</v>
          </cell>
          <cell r="M32">
            <v>125.70000000000073</v>
          </cell>
          <cell r="O32">
            <v>0</v>
          </cell>
        </row>
        <row r="33">
          <cell r="A33" t="str">
            <v>Habib Bank AG Zurich-Lahore</v>
          </cell>
          <cell r="B33" t="str">
            <v>*</v>
          </cell>
          <cell r="I33">
            <v>0</v>
          </cell>
          <cell r="K33">
            <v>-7983569.224999994</v>
          </cell>
          <cell r="M33">
            <v>0</v>
          </cell>
          <cell r="O33">
            <v>-2762169.224999994</v>
          </cell>
        </row>
        <row r="34">
          <cell r="A34" t="str">
            <v>Muslim Commercial Bank</v>
          </cell>
          <cell r="B34" t="str">
            <v>*</v>
          </cell>
          <cell r="I34">
            <v>13811.480000000447</v>
          </cell>
          <cell r="K34">
            <v>0</v>
          </cell>
          <cell r="M34">
            <v>27986.480000000447</v>
          </cell>
          <cell r="O34">
            <v>0</v>
          </cell>
        </row>
        <row r="35">
          <cell r="A35" t="str">
            <v>National Bank of Pakistan</v>
          </cell>
          <cell r="B35" t="str">
            <v>*</v>
          </cell>
          <cell r="I35">
            <v>0</v>
          </cell>
          <cell r="K35">
            <v>0</v>
          </cell>
          <cell r="M35">
            <v>0</v>
          </cell>
          <cell r="O35">
            <v>0</v>
          </cell>
        </row>
        <row r="36">
          <cell r="A36" t="str">
            <v>Emirates Bank-Islamabad</v>
          </cell>
          <cell r="B36" t="str">
            <v>*</v>
          </cell>
          <cell r="I36">
            <v>142288.11000000313</v>
          </cell>
          <cell r="K36">
            <v>0</v>
          </cell>
          <cell r="M36">
            <v>0</v>
          </cell>
          <cell r="O36">
            <v>-82091.889999996871</v>
          </cell>
        </row>
        <row r="37">
          <cell r="A37" t="str">
            <v>Standard Chartered Grindlays- (Formerly ANZ Grindlays)-Peshawar</v>
          </cell>
          <cell r="B37" t="str">
            <v>*</v>
          </cell>
          <cell r="I37">
            <v>69645949.75999999</v>
          </cell>
          <cell r="K37">
            <v>0</v>
          </cell>
          <cell r="M37">
            <v>771999.75999999046</v>
          </cell>
          <cell r="O37">
            <v>0</v>
          </cell>
        </row>
        <row r="38">
          <cell r="A38" t="str">
            <v>National Bank - Awami Markaz</v>
          </cell>
          <cell r="B38" t="str">
            <v>*</v>
          </cell>
          <cell r="I38">
            <v>384048.34999999963</v>
          </cell>
          <cell r="K38">
            <v>0</v>
          </cell>
          <cell r="M38">
            <v>3323206.35</v>
          </cell>
          <cell r="O38">
            <v>0</v>
          </cell>
        </row>
        <row r="39">
          <cell r="A39" t="str">
            <v>MCB-Dividend Account</v>
          </cell>
          <cell r="B39" t="str">
            <v>*</v>
          </cell>
          <cell r="I39">
            <v>204087.38</v>
          </cell>
          <cell r="K39">
            <v>0</v>
          </cell>
          <cell r="M39">
            <v>196639.38</v>
          </cell>
          <cell r="O39">
            <v>0</v>
          </cell>
        </row>
        <row r="40">
          <cell r="A40" t="str">
            <v>Habib Bank AG Zurich-Rawalpindi</v>
          </cell>
          <cell r="B40" t="str">
            <v>*</v>
          </cell>
          <cell r="I40">
            <v>0</v>
          </cell>
          <cell r="K40">
            <v>-25011068</v>
          </cell>
          <cell r="M40">
            <v>2112887</v>
          </cell>
          <cell r="O40">
            <v>0</v>
          </cell>
        </row>
        <row r="41">
          <cell r="A41" t="str">
            <v>MCB-Dividend Account-1996</v>
          </cell>
          <cell r="B41" t="str">
            <v>*</v>
          </cell>
          <cell r="I41">
            <v>427226</v>
          </cell>
          <cell r="K41">
            <v>0</v>
          </cell>
          <cell r="M41">
            <v>432296</v>
          </cell>
          <cell r="O41">
            <v>0</v>
          </cell>
        </row>
        <row r="42">
          <cell r="A42" t="str">
            <v>MCB P&amp;L A/C - 1996</v>
          </cell>
          <cell r="B42" t="str">
            <v>*</v>
          </cell>
          <cell r="I42">
            <v>0</v>
          </cell>
          <cell r="K42">
            <v>-332.65000000021973</v>
          </cell>
          <cell r="M42">
            <v>0</v>
          </cell>
          <cell r="O42">
            <v>-332.65000000021973</v>
          </cell>
        </row>
        <row r="43">
          <cell r="A43" t="str">
            <v xml:space="preserve">CitiBank  </v>
          </cell>
          <cell r="B43" t="str">
            <v>*</v>
          </cell>
          <cell r="I43">
            <v>0</v>
          </cell>
          <cell r="K43">
            <v>-2931177</v>
          </cell>
          <cell r="M43">
            <v>74823</v>
          </cell>
          <cell r="O43">
            <v>0</v>
          </cell>
        </row>
        <row r="44">
          <cell r="A44" t="str">
            <v>MCB-Main Br. Dividend - 3</v>
          </cell>
          <cell r="B44" t="str">
            <v>*</v>
          </cell>
          <cell r="I44">
            <v>16715</v>
          </cell>
          <cell r="K44">
            <v>0</v>
          </cell>
          <cell r="M44">
            <v>27015</v>
          </cell>
          <cell r="O44">
            <v>0</v>
          </cell>
        </row>
        <row r="45">
          <cell r="A45" t="str">
            <v>HBZ-Collection Account</v>
          </cell>
          <cell r="B45" t="str">
            <v>*</v>
          </cell>
          <cell r="I45">
            <v>130420074.73000002</v>
          </cell>
          <cell r="K45">
            <v>0</v>
          </cell>
          <cell r="M45">
            <v>82996152.730000019</v>
          </cell>
          <cell r="O45">
            <v>0</v>
          </cell>
        </row>
        <row r="46">
          <cell r="A46" t="str">
            <v>HBZ-Lahore#2</v>
          </cell>
          <cell r="B46" t="str">
            <v>*</v>
          </cell>
          <cell r="I46">
            <v>47339</v>
          </cell>
          <cell r="K46">
            <v>0</v>
          </cell>
          <cell r="M46">
            <v>47339</v>
          </cell>
          <cell r="O46">
            <v>0</v>
          </cell>
        </row>
        <row r="47">
          <cell r="A47" t="str">
            <v xml:space="preserve">Habib Bank Limited Dividend Account  </v>
          </cell>
          <cell r="B47" t="str">
            <v>*</v>
          </cell>
          <cell r="I47">
            <v>66235.02</v>
          </cell>
          <cell r="K47">
            <v>0</v>
          </cell>
          <cell r="M47">
            <v>78805.02</v>
          </cell>
          <cell r="O47">
            <v>0</v>
          </cell>
        </row>
        <row r="48">
          <cell r="A48" t="str">
            <v>HBZ-Foreign Curr. A/c (US$2 million deposit)</v>
          </cell>
          <cell r="B48" t="str">
            <v>*</v>
          </cell>
          <cell r="I48">
            <v>0</v>
          </cell>
          <cell r="K48">
            <v>0.25</v>
          </cell>
          <cell r="M48">
            <v>0</v>
          </cell>
          <cell r="O48">
            <v>0.25</v>
          </cell>
          <cell r="Q48">
            <v>0.04</v>
          </cell>
        </row>
        <row r="49">
          <cell r="A49" t="str">
            <v xml:space="preserve">National bank (Corporate Branch)-PIDC </v>
          </cell>
          <cell r="B49" t="str">
            <v>*</v>
          </cell>
          <cell r="I49">
            <v>29</v>
          </cell>
          <cell r="K49">
            <v>0</v>
          </cell>
          <cell r="M49">
            <v>29</v>
          </cell>
          <cell r="O49">
            <v>0</v>
          </cell>
        </row>
        <row r="50">
          <cell r="A50" t="str">
            <v xml:space="preserve">Habib Bank Ltd Korangi Branch.  </v>
          </cell>
          <cell r="B50" t="str">
            <v>*</v>
          </cell>
          <cell r="I50">
            <v>0</v>
          </cell>
          <cell r="K50">
            <v>0</v>
          </cell>
          <cell r="M50">
            <v>0</v>
          </cell>
          <cell r="O50">
            <v>0</v>
          </cell>
        </row>
        <row r="51">
          <cell r="A51" t="str">
            <v xml:space="preserve">HBL Korangi Branch Div II  </v>
          </cell>
          <cell r="B51" t="str">
            <v>*</v>
          </cell>
          <cell r="I51">
            <v>327229.43</v>
          </cell>
          <cell r="K51">
            <v>0</v>
          </cell>
          <cell r="M51">
            <v>358624.43</v>
          </cell>
          <cell r="O51">
            <v>0</v>
          </cell>
        </row>
        <row r="52">
          <cell r="A52" t="str">
            <v xml:space="preserve">HBL Call Deposit  </v>
          </cell>
          <cell r="B52" t="str">
            <v>*</v>
          </cell>
          <cell r="I52">
            <v>0</v>
          </cell>
          <cell r="K52">
            <v>0</v>
          </cell>
          <cell r="M52">
            <v>0</v>
          </cell>
          <cell r="O52">
            <v>0</v>
          </cell>
        </row>
        <row r="53">
          <cell r="A53" t="str">
            <v xml:space="preserve">HBZ Daihatsu Booking  </v>
          </cell>
          <cell r="B53" t="str">
            <v>*</v>
          </cell>
          <cell r="I53">
            <v>0</v>
          </cell>
          <cell r="K53">
            <v>-375835</v>
          </cell>
          <cell r="M53">
            <v>0</v>
          </cell>
          <cell r="O53">
            <v>-375835</v>
          </cell>
        </row>
        <row r="54">
          <cell r="A54" t="str">
            <v>Metropolitan-Multiplier Account</v>
          </cell>
          <cell r="B54" t="str">
            <v>*</v>
          </cell>
          <cell r="I54">
            <v>169976</v>
          </cell>
          <cell r="K54">
            <v>0</v>
          </cell>
          <cell r="M54">
            <v>70153</v>
          </cell>
          <cell r="O54">
            <v>0</v>
          </cell>
        </row>
        <row r="55">
          <cell r="A55" t="str">
            <v>Bank Alfalah</v>
          </cell>
          <cell r="I55">
            <v>0</v>
          </cell>
          <cell r="K55">
            <v>-8284000</v>
          </cell>
          <cell r="M55">
            <v>0</v>
          </cell>
          <cell r="O55">
            <v>-5872000</v>
          </cell>
        </row>
        <row r="56">
          <cell r="A56" t="str">
            <v>Total Cash at Bank as per bank book</v>
          </cell>
          <cell r="I56">
            <v>201869885.22</v>
          </cell>
          <cell r="K56">
            <v>-44585981.624999993</v>
          </cell>
          <cell r="M56">
            <v>90522832.110000014</v>
          </cell>
          <cell r="O56">
            <v>-9092428.5149999913</v>
          </cell>
        </row>
        <row r="58">
          <cell r="A58" t="str">
            <v>Total of Cash at Bank / (Bank Over Draft)</v>
          </cell>
          <cell r="I58">
            <v>225745007.76899999</v>
          </cell>
          <cell r="K58">
            <v>-323252580.3950001</v>
          </cell>
          <cell r="M58">
            <v>91621483.92900008</v>
          </cell>
          <cell r="O58">
            <v>-379712026.55500013</v>
          </cell>
        </row>
        <row r="59">
          <cell r="A59" t="str">
            <v>Petty Cash /Cash Imperest</v>
          </cell>
        </row>
        <row r="60">
          <cell r="A60" t="str">
            <v>Head office main cash float</v>
          </cell>
          <cell r="I60">
            <v>5279668</v>
          </cell>
          <cell r="M60">
            <v>1880842</v>
          </cell>
        </row>
        <row r="61">
          <cell r="A61" t="str">
            <v>Ware house</v>
          </cell>
          <cell r="I61">
            <v>1000</v>
          </cell>
          <cell r="M61">
            <v>1000</v>
          </cell>
        </row>
        <row r="62">
          <cell r="A62" t="str">
            <v>Ware house - PDI/FFS</v>
          </cell>
          <cell r="I62">
            <v>3000</v>
          </cell>
          <cell r="M62">
            <v>3000</v>
          </cell>
        </row>
        <row r="63">
          <cell r="A63" t="str">
            <v>Parts</v>
          </cell>
          <cell r="I63">
            <v>10000</v>
          </cell>
          <cell r="M63">
            <v>10000</v>
          </cell>
        </row>
        <row r="64">
          <cell r="A64" t="str">
            <v>Islamabad Office</v>
          </cell>
          <cell r="I64">
            <v>0</v>
          </cell>
          <cell r="M64">
            <v>0</v>
          </cell>
        </row>
        <row r="65">
          <cell r="A65" t="str">
            <v>Plant administration</v>
          </cell>
          <cell r="I65">
            <v>5000</v>
          </cell>
          <cell r="M65">
            <v>5000</v>
          </cell>
        </row>
        <row r="66">
          <cell r="A66" t="str">
            <v>City Office</v>
          </cell>
          <cell r="I66">
            <v>5500</v>
          </cell>
          <cell r="M66">
            <v>5500</v>
          </cell>
        </row>
        <row r="67">
          <cell r="A67" t="str">
            <v>Islamabad Office- Service Deptt</v>
          </cell>
          <cell r="I67">
            <v>49270</v>
          </cell>
          <cell r="M67">
            <v>4270</v>
          </cell>
        </row>
        <row r="68">
          <cell r="A68" t="str">
            <v>Defence Sales Budget</v>
          </cell>
          <cell r="I68">
            <v>20343</v>
          </cell>
          <cell r="M68">
            <v>-11708</v>
          </cell>
        </row>
        <row r="69">
          <cell r="A69" t="str">
            <v>Lahore Office</v>
          </cell>
          <cell r="I69">
            <v>6226</v>
          </cell>
          <cell r="M69">
            <v>6226</v>
          </cell>
        </row>
        <row r="70">
          <cell r="A70" t="str">
            <v>Total Cash in Hand</v>
          </cell>
          <cell r="I70">
            <v>5380007</v>
          </cell>
          <cell r="M70">
            <v>1904130</v>
          </cell>
        </row>
        <row r="71">
          <cell r="A71" t="str">
            <v>Term Deposit</v>
          </cell>
        </row>
        <row r="72">
          <cell r="A72" t="str">
            <v>Credit Agricole Indosuez</v>
          </cell>
          <cell r="I72">
            <v>0</v>
          </cell>
          <cell r="M72">
            <v>0</v>
          </cell>
        </row>
        <row r="73">
          <cell r="A73" t="str">
            <v>Societe Generale</v>
          </cell>
          <cell r="I73">
            <v>0</v>
          </cell>
          <cell r="M73">
            <v>0</v>
          </cell>
        </row>
        <row r="74">
          <cell r="I74">
            <v>0</v>
          </cell>
          <cell r="M74">
            <v>0</v>
          </cell>
        </row>
        <row r="76">
          <cell r="A76" t="str">
            <v>TOTAL CASH / (OVER DRAFT)</v>
          </cell>
          <cell r="I76">
            <v>231125014.76899999</v>
          </cell>
          <cell r="K76">
            <v>-323252580.3950001</v>
          </cell>
          <cell r="M76">
            <v>93525613.92900008</v>
          </cell>
          <cell r="O76">
            <v>-379712026.55500013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last qrt2001"/>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Note-14"/>
      <sheetName val="A"/>
      <sheetName val="Adj"/>
      <sheetName val="Elim"/>
      <sheetName val="last_qrt2001"/>
      <sheetName val="last_qrt2001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Rs 1998-99"/>
      <sheetName val="CARs' 99 Summary Info. (B&amp;A)"/>
      <sheetName val="CSR_Market_0799"/>
      <sheetName val="Chart Sheet"/>
      <sheetName val="Approved CARs 99"/>
      <sheetName val="Market_UnApproved"/>
      <sheetName val="Corporate $ Rates"/>
      <sheetName val="Open CARs 1998-99BKP"/>
      <sheetName val="CSR_Market"/>
      <sheetName val="UnApproved CARs 98-99"/>
      <sheetName val="Actualization_Details"/>
      <sheetName val="LP"/>
      <sheetName val="Sales Analysis"/>
      <sheetName val="Monthly Brandwise Comparison"/>
      <sheetName val="Six Months Brandwise Comparison"/>
      <sheetName val="Sales Analysis Depot Wise"/>
      <sheetName val="Analytical Jul to Dec 2007"/>
      <sheetName val="PBC - Tobacco Sale Local"/>
      <sheetName val="Scoping"/>
      <sheetName val="Open_CARs_1998-99"/>
      <sheetName val="CARs'_99_Summary_Info__(B&amp;A)"/>
      <sheetName val="Chart_Sheet"/>
      <sheetName val="Approved_CARs_99"/>
      <sheetName val="Corporate_$_Rates"/>
      <sheetName val="Open_CARs_1998-99BKP"/>
      <sheetName val="UnApproved_CARs_98-99"/>
      <sheetName val="Provision"/>
      <sheetName val="TS"/>
      <sheetName val="Scen"/>
      <sheetName val="A"/>
      <sheetName val="Open_CARs_1998-991"/>
      <sheetName val="CARs'_99_Summary_Info__(B&amp;A)1"/>
      <sheetName val="Chart_Sheet1"/>
      <sheetName val="Approved_CARs_991"/>
      <sheetName val="Corporate_$_Rates1"/>
      <sheetName val="Open_CARs_1998-99BKP1"/>
      <sheetName val="UnApproved_CARs_98-991"/>
      <sheetName val="BSDOMOVS"/>
      <sheetName val="BS(Assets)"/>
    </sheetNames>
    <sheetDataSet>
      <sheetData sheetId="0" refreshError="1"/>
      <sheetData sheetId="1" refreshError="1">
        <row r="1">
          <cell r="B1" t="str">
            <v>Bristol Myers Squibb Pakistan</v>
          </cell>
        </row>
        <row r="2">
          <cell r="B2" t="str">
            <v>Capital Appropriation Requests</v>
          </cell>
        </row>
        <row r="3">
          <cell r="B3" t="str">
            <v xml:space="preserve">Summary Information as at </v>
          </cell>
          <cell r="E3">
            <v>36411.471040046294</v>
          </cell>
        </row>
        <row r="6">
          <cell r="E6" t="str">
            <v>Total CARs processed (A+U)</v>
          </cell>
        </row>
        <row r="8">
          <cell r="E8" t="str">
            <v>AGGREGATE</v>
          </cell>
          <cell r="I8" t="str">
            <v>Tech-Ops</v>
          </cell>
          <cell r="L8" t="str">
            <v>Market / Pharma</v>
          </cell>
        </row>
        <row r="9">
          <cell r="C9" t="str">
            <v>Particulars</v>
          </cell>
          <cell r="E9" t="str">
            <v>No.</v>
          </cell>
          <cell r="F9" t="str">
            <v>Amount</v>
          </cell>
          <cell r="I9" t="str">
            <v>Amount</v>
          </cell>
          <cell r="L9" t="str">
            <v>Amount</v>
          </cell>
        </row>
        <row r="10">
          <cell r="F10" t="str">
            <v>Rs.</v>
          </cell>
          <cell r="G10" t="str">
            <v>$</v>
          </cell>
          <cell r="I10" t="str">
            <v>Rs.</v>
          </cell>
          <cell r="J10" t="str">
            <v>$</v>
          </cell>
          <cell r="L10" t="str">
            <v>Rs.</v>
          </cell>
          <cell r="M10" t="str">
            <v>$</v>
          </cell>
        </row>
        <row r="11">
          <cell r="E11" t="str">
            <v>$ Parity</v>
          </cell>
        </row>
        <row r="13">
          <cell r="C13" t="str">
            <v>1999 Budget</v>
          </cell>
          <cell r="D13" t="str">
            <v>@</v>
          </cell>
          <cell r="E13">
            <v>55</v>
          </cell>
          <cell r="F13">
            <v>79002</v>
          </cell>
          <cell r="G13">
            <v>1436</v>
          </cell>
          <cell r="I13">
            <v>68915</v>
          </cell>
          <cell r="J13">
            <v>1253</v>
          </cell>
          <cell r="L13">
            <v>10087</v>
          </cell>
          <cell r="M13">
            <v>183</v>
          </cell>
        </row>
        <row r="15">
          <cell r="C15" t="str">
            <v>Capitalized</v>
          </cell>
          <cell r="E15">
            <v>28</v>
          </cell>
          <cell r="F15">
            <v>3873.5443917273251</v>
          </cell>
          <cell r="G15">
            <v>83.846264540699394</v>
          </cell>
          <cell r="I15">
            <v>0</v>
          </cell>
          <cell r="J15">
            <v>0</v>
          </cell>
          <cell r="L15">
            <v>3961.0443917273255</v>
          </cell>
          <cell r="M15">
            <v>85.659835165699391</v>
          </cell>
        </row>
        <row r="16">
          <cell r="C16" t="str">
            <v>Expensed</v>
          </cell>
          <cell r="E16">
            <v>3</v>
          </cell>
          <cell r="F16">
            <v>87.5</v>
          </cell>
          <cell r="G16">
            <v>1.8135706249999999</v>
          </cell>
          <cell r="I16">
            <v>0</v>
          </cell>
          <cell r="J16">
            <v>0</v>
          </cell>
          <cell r="L16">
            <v>0</v>
          </cell>
          <cell r="M16">
            <v>0</v>
          </cell>
        </row>
        <row r="17">
          <cell r="C17" t="str">
            <v>Aggregate</v>
          </cell>
          <cell r="E17">
            <v>31</v>
          </cell>
          <cell r="F17">
            <v>3961.0443917273251</v>
          </cell>
          <cell r="G17">
            <v>85.659835165699391</v>
          </cell>
          <cell r="I17">
            <v>0</v>
          </cell>
          <cell r="J17">
            <v>0</v>
          </cell>
          <cell r="L17">
            <v>3961.0443917273255</v>
          </cell>
          <cell r="M17">
            <v>85.659835165699391</v>
          </cell>
        </row>
        <row r="19">
          <cell r="C19" t="str">
            <v>Variance (Vs. Budget)</v>
          </cell>
          <cell r="D19" t="str">
            <v>Amt.</v>
          </cell>
          <cell r="F19">
            <v>75128.455608272678</v>
          </cell>
          <cell r="G19">
            <v>1352.1537354593006</v>
          </cell>
          <cell r="I19">
            <v>68915</v>
          </cell>
          <cell r="J19">
            <v>1253</v>
          </cell>
          <cell r="L19">
            <v>6125.955608272674</v>
          </cell>
          <cell r="M19">
            <v>97.340164834300609</v>
          </cell>
        </row>
        <row r="20">
          <cell r="C20" t="str">
            <v xml:space="preserve"> Under / (Over)</v>
          </cell>
          <cell r="D20" t="str">
            <v>%</v>
          </cell>
          <cell r="F20">
            <v>95.096903380006424</v>
          </cell>
          <cell r="G20">
            <v>94.161123639227057</v>
          </cell>
          <cell r="I20">
            <v>100</v>
          </cell>
          <cell r="J20">
            <v>100</v>
          </cell>
          <cell r="L20">
            <v>60.731194688933023</v>
          </cell>
          <cell r="M20">
            <v>53.191346903989398</v>
          </cell>
        </row>
        <row r="22">
          <cell r="C22" t="str">
            <v>Asset Category</v>
          </cell>
        </row>
        <row r="24">
          <cell r="C24" t="str">
            <v>P&amp;M</v>
          </cell>
          <cell r="F24">
            <v>0</v>
          </cell>
          <cell r="G24">
            <v>0</v>
          </cell>
          <cell r="I24">
            <v>0</v>
          </cell>
          <cell r="J24">
            <v>0</v>
          </cell>
          <cell r="L24">
            <v>0</v>
          </cell>
          <cell r="M24">
            <v>0</v>
          </cell>
        </row>
        <row r="25">
          <cell r="C25" t="str">
            <v>F&amp;F</v>
          </cell>
          <cell r="F25">
            <v>233.17500000000004</v>
          </cell>
          <cell r="G25">
            <v>5.0408246856250001</v>
          </cell>
          <cell r="I25">
            <v>0</v>
          </cell>
          <cell r="J25">
            <v>0</v>
          </cell>
          <cell r="L25">
            <v>233.17500000000004</v>
          </cell>
          <cell r="M25">
            <v>5.0408246856250001</v>
          </cell>
        </row>
        <row r="26">
          <cell r="C26" t="str">
            <v>OM&amp;E</v>
          </cell>
          <cell r="F26">
            <v>390.86000000000007</v>
          </cell>
          <cell r="G26">
            <v>8.3858750049999973</v>
          </cell>
          <cell r="I26">
            <v>0</v>
          </cell>
          <cell r="J26">
            <v>0</v>
          </cell>
          <cell r="L26">
            <v>390.86000000000007</v>
          </cell>
          <cell r="M26">
            <v>8.3858750049999973</v>
          </cell>
        </row>
        <row r="27">
          <cell r="C27" t="str">
            <v>CE</v>
          </cell>
          <cell r="F27">
            <v>2969.1593917273249</v>
          </cell>
          <cell r="G27">
            <v>64.384641893824394</v>
          </cell>
          <cell r="I27">
            <v>0</v>
          </cell>
          <cell r="J27">
            <v>0</v>
          </cell>
          <cell r="L27">
            <v>2969.1593917273249</v>
          </cell>
          <cell r="M27">
            <v>64.384641893824394</v>
          </cell>
        </row>
        <row r="28">
          <cell r="C28" t="str">
            <v>LIBBE</v>
          </cell>
          <cell r="F28">
            <v>367.85</v>
          </cell>
          <cell r="G28">
            <v>7.8484935812499996</v>
          </cell>
          <cell r="I28">
            <v>0</v>
          </cell>
          <cell r="J28">
            <v>0</v>
          </cell>
          <cell r="L28">
            <v>367.85</v>
          </cell>
          <cell r="M28">
            <v>7.8484935812499996</v>
          </cell>
        </row>
        <row r="29">
          <cell r="F29">
            <v>3961.0443917273246</v>
          </cell>
          <cell r="G29">
            <v>85.659835165699391</v>
          </cell>
          <cell r="I29">
            <v>0</v>
          </cell>
          <cell r="J29">
            <v>0</v>
          </cell>
          <cell r="L29">
            <v>3961.0443917273246</v>
          </cell>
          <cell r="M29">
            <v>85.659835165699391</v>
          </cell>
        </row>
        <row r="31">
          <cell r="C31" t="str">
            <v>Financing Plan</v>
          </cell>
        </row>
        <row r="33">
          <cell r="C33" t="str">
            <v>Un-Budgeted</v>
          </cell>
          <cell r="F33">
            <v>2274.2064696056027</v>
          </cell>
          <cell r="G33">
            <v>49.600778368750007</v>
          </cell>
        </row>
        <row r="34">
          <cell r="C34" t="str">
            <v>Budgeted</v>
          </cell>
          <cell r="F34">
            <v>1164.0379221217222</v>
          </cell>
          <cell r="G34">
            <v>24.904530646949397</v>
          </cell>
        </row>
        <row r="35">
          <cell r="C35" t="str">
            <v>Strat. Plan</v>
          </cell>
          <cell r="F35">
            <v>0</v>
          </cell>
          <cell r="G35">
            <v>0</v>
          </cell>
        </row>
        <row r="36">
          <cell r="F36">
            <v>3438.2443917273249</v>
          </cell>
          <cell r="G36">
            <v>74.505309015699396</v>
          </cell>
        </row>
        <row r="38">
          <cell r="C38" t="str">
            <v>Spending Estimate</v>
          </cell>
        </row>
        <row r="40">
          <cell r="C40" t="str">
            <v>1st Qtr.</v>
          </cell>
          <cell r="F40">
            <v>1267.441691745551</v>
          </cell>
          <cell r="G40">
            <v>27.948162251875001</v>
          </cell>
        </row>
        <row r="41">
          <cell r="C41" t="str">
            <v>2nd Qtr.</v>
          </cell>
          <cell r="F41">
            <v>98.5</v>
          </cell>
          <cell r="G41">
            <v>2.148999187499999</v>
          </cell>
        </row>
        <row r="42">
          <cell r="C42" t="str">
            <v>3rd Qtr.</v>
          </cell>
          <cell r="F42">
            <v>579.89244836133287</v>
          </cell>
          <cell r="G42">
            <v>12.372657764793441</v>
          </cell>
        </row>
        <row r="43">
          <cell r="C43" t="str">
            <v>4th Qtr.</v>
          </cell>
          <cell r="F43">
            <v>1492.4102516204412</v>
          </cell>
          <cell r="G43">
            <v>32.035489811530951</v>
          </cell>
        </row>
        <row r="44">
          <cell r="C44" t="str">
            <v>Next Year</v>
          </cell>
          <cell r="F44">
            <v>0</v>
          </cell>
          <cell r="G44">
            <v>0</v>
          </cell>
        </row>
        <row r="45">
          <cell r="C45" t="str">
            <v>Following Year</v>
          </cell>
          <cell r="F45">
            <v>0</v>
          </cell>
          <cell r="G45">
            <v>0</v>
          </cell>
        </row>
        <row r="46">
          <cell r="F46">
            <v>3438.2443917273249</v>
          </cell>
          <cell r="G46">
            <v>74.505309015699396</v>
          </cell>
        </row>
        <row r="48">
          <cell r="C48" t="str">
            <v>Profit Class</v>
          </cell>
        </row>
        <row r="50">
          <cell r="C50" t="str">
            <v>Profit Generating</v>
          </cell>
          <cell r="F50">
            <v>0</v>
          </cell>
          <cell r="G50">
            <v>0</v>
          </cell>
        </row>
        <row r="51">
          <cell r="C51" t="str">
            <v>Non-profit generating</v>
          </cell>
          <cell r="F51">
            <v>3438.2443917273249</v>
          </cell>
          <cell r="G51">
            <v>74.505309015699396</v>
          </cell>
        </row>
        <row r="52">
          <cell r="F52">
            <v>3438.2443917273249</v>
          </cell>
          <cell r="G52">
            <v>74.505309015699396</v>
          </cell>
        </row>
        <row r="54">
          <cell r="B54" t="str">
            <v>Bristol Myers Squibb Pakistan</v>
          </cell>
        </row>
        <row r="55">
          <cell r="B55" t="str">
            <v>Capital Appropriation Requests</v>
          </cell>
        </row>
        <row r="56">
          <cell r="B56" t="str">
            <v xml:space="preserve">Summary Information as at </v>
          </cell>
          <cell r="E56">
            <v>36411.471040046294</v>
          </cell>
        </row>
        <row r="59">
          <cell r="E59" t="str">
            <v>Approved CARs</v>
          </cell>
        </row>
        <row r="61">
          <cell r="E61" t="str">
            <v>AGGREGATE</v>
          </cell>
          <cell r="M61" t="str">
            <v>Tech-Ops</v>
          </cell>
          <cell r="T61" t="str">
            <v>Market</v>
          </cell>
        </row>
        <row r="62">
          <cell r="C62" t="str">
            <v>Particulars</v>
          </cell>
          <cell r="E62" t="str">
            <v>No.</v>
          </cell>
          <cell r="F62" t="str">
            <v>CAR Amount</v>
          </cell>
          <cell r="H62" t="str">
            <v>Actual Expense</v>
          </cell>
          <cell r="M62" t="str">
            <v>CAR Amount</v>
          </cell>
          <cell r="O62" t="str">
            <v>Actual Expense</v>
          </cell>
          <cell r="T62" t="str">
            <v>CAR Amount</v>
          </cell>
          <cell r="V62" t="str">
            <v>Actual Expense</v>
          </cell>
        </row>
        <row r="63">
          <cell r="F63" t="str">
            <v>Rs.</v>
          </cell>
          <cell r="G63" t="str">
            <v>$</v>
          </cell>
          <cell r="H63" t="str">
            <v>Rs.</v>
          </cell>
          <cell r="I63" t="str">
            <v>$</v>
          </cell>
          <cell r="J63" t="str">
            <v>Rs.</v>
          </cell>
          <cell r="K63" t="str">
            <v>$</v>
          </cell>
          <cell r="M63" t="str">
            <v>Rs.</v>
          </cell>
          <cell r="N63" t="str">
            <v>$</v>
          </cell>
          <cell r="O63" t="str">
            <v>Rs.</v>
          </cell>
          <cell r="P63" t="str">
            <v>$</v>
          </cell>
          <cell r="Q63" t="str">
            <v>Rs.</v>
          </cell>
          <cell r="R63" t="str">
            <v>$</v>
          </cell>
          <cell r="T63" t="str">
            <v>Rs.</v>
          </cell>
          <cell r="U63" t="str">
            <v>$</v>
          </cell>
          <cell r="V63" t="str">
            <v>Rs.</v>
          </cell>
          <cell r="W63" t="str">
            <v>$</v>
          </cell>
          <cell r="X63" t="str">
            <v>Rs.</v>
          </cell>
          <cell r="Y63" t="str">
            <v>$</v>
          </cell>
        </row>
        <row r="64">
          <cell r="E64" t="str">
            <v>$ Parity</v>
          </cell>
          <cell r="H64" t="str">
            <v>Cummulative todate</v>
          </cell>
          <cell r="J64" t="str">
            <v>Current Year</v>
          </cell>
          <cell r="O64" t="str">
            <v>Cummulative todate</v>
          </cell>
          <cell r="Q64" t="str">
            <v>Current Year</v>
          </cell>
          <cell r="V64" t="str">
            <v>Cummulative todate</v>
          </cell>
          <cell r="X64" t="str">
            <v>Current Year</v>
          </cell>
        </row>
        <row r="66">
          <cell r="C66" t="str">
            <v>1999 Budget</v>
          </cell>
          <cell r="D66" t="str">
            <v>@</v>
          </cell>
          <cell r="E66">
            <v>55</v>
          </cell>
          <cell r="F66">
            <v>79002</v>
          </cell>
          <cell r="G66">
            <v>1436</v>
          </cell>
          <cell r="J66">
            <v>66.25200000000001</v>
          </cell>
          <cell r="K66">
            <v>1.4315732159999999</v>
          </cell>
          <cell r="M66">
            <v>68915</v>
          </cell>
          <cell r="N66">
            <v>1253</v>
          </cell>
          <cell r="Q66">
            <v>0</v>
          </cell>
          <cell r="R66">
            <v>0</v>
          </cell>
          <cell r="T66">
            <v>10087</v>
          </cell>
          <cell r="U66">
            <v>183</v>
          </cell>
          <cell r="X66">
            <v>66.25200000000001</v>
          </cell>
          <cell r="Y66">
            <v>1.4315732159999999</v>
          </cell>
        </row>
        <row r="68">
          <cell r="C68" t="str">
            <v>Capitalized</v>
          </cell>
          <cell r="E68">
            <v>12</v>
          </cell>
          <cell r="F68">
            <v>1716.1276358403306</v>
          </cell>
          <cell r="G68">
            <v>37.815350959999996</v>
          </cell>
          <cell r="H68">
            <v>909.25199999999995</v>
          </cell>
          <cell r="I68">
            <v>19.721319416000004</v>
          </cell>
          <cell r="J68">
            <v>66.25200000000001</v>
          </cell>
          <cell r="K68">
            <v>1.4315732159999999</v>
          </cell>
          <cell r="M68">
            <v>0</v>
          </cell>
          <cell r="N68">
            <v>0</v>
          </cell>
          <cell r="O68">
            <v>0</v>
          </cell>
          <cell r="P68">
            <v>0</v>
          </cell>
          <cell r="Q68">
            <v>0</v>
          </cell>
          <cell r="R68">
            <v>0</v>
          </cell>
          <cell r="T68">
            <v>1718.6276358403311</v>
          </cell>
          <cell r="U68">
            <v>37.815350959999996</v>
          </cell>
          <cell r="V68">
            <v>909.25199999999995</v>
          </cell>
          <cell r="W68">
            <v>19.721319416000004</v>
          </cell>
          <cell r="X68">
            <v>66.25200000000001</v>
          </cell>
          <cell r="Y68">
            <v>1.4315732159999999</v>
          </cell>
        </row>
        <row r="69">
          <cell r="C69" t="str">
            <v>Expensed</v>
          </cell>
          <cell r="E69">
            <v>2</v>
          </cell>
          <cell r="F69">
            <v>2.5</v>
          </cell>
          <cell r="G69">
            <v>0</v>
          </cell>
          <cell r="J69">
            <v>0</v>
          </cell>
          <cell r="K69">
            <v>0</v>
          </cell>
          <cell r="N69">
            <v>0</v>
          </cell>
          <cell r="U69">
            <v>0</v>
          </cell>
        </row>
        <row r="70">
          <cell r="C70" t="str">
            <v>Aggregate</v>
          </cell>
          <cell r="E70">
            <v>14</v>
          </cell>
          <cell r="F70">
            <v>1718.6276358403306</v>
          </cell>
          <cell r="G70">
            <v>37.815350959999996</v>
          </cell>
          <cell r="H70">
            <v>909.25199999999995</v>
          </cell>
          <cell r="I70">
            <v>19.721319416000004</v>
          </cell>
          <cell r="J70">
            <v>66.25200000000001</v>
          </cell>
          <cell r="K70">
            <v>1.4315732159999999</v>
          </cell>
          <cell r="M70">
            <v>0</v>
          </cell>
          <cell r="N70">
            <v>0</v>
          </cell>
          <cell r="O70">
            <v>0</v>
          </cell>
          <cell r="P70">
            <v>0</v>
          </cell>
          <cell r="Q70">
            <v>0</v>
          </cell>
          <cell r="R70">
            <v>0</v>
          </cell>
          <cell r="T70">
            <v>1718.6276358403311</v>
          </cell>
          <cell r="U70">
            <v>37.815350959999996</v>
          </cell>
          <cell r="V70">
            <v>909.25199999999995</v>
          </cell>
          <cell r="W70">
            <v>19.721319416000004</v>
          </cell>
          <cell r="X70">
            <v>66.25200000000001</v>
          </cell>
          <cell r="Y70">
            <v>1.4315732159999999</v>
          </cell>
        </row>
        <row r="72">
          <cell r="C72" t="str">
            <v>Variance (Vs. Budget)</v>
          </cell>
          <cell r="D72" t="str">
            <v xml:space="preserve">Amt. </v>
          </cell>
          <cell r="F72">
            <v>77285.872364159673</v>
          </cell>
          <cell r="G72">
            <v>1398.1846490400001</v>
          </cell>
          <cell r="J72">
            <v>78935.748000000007</v>
          </cell>
          <cell r="K72">
            <v>1434.5684267839999</v>
          </cell>
          <cell r="M72">
            <v>68915</v>
          </cell>
          <cell r="N72">
            <v>1253</v>
          </cell>
          <cell r="Q72">
            <v>68915</v>
          </cell>
          <cell r="R72">
            <v>1253</v>
          </cell>
          <cell r="T72">
            <v>8368.3723641596698</v>
          </cell>
          <cell r="U72">
            <v>145.18464904000001</v>
          </cell>
          <cell r="X72">
            <v>10020.748</v>
          </cell>
          <cell r="Y72">
            <v>181.568426784</v>
          </cell>
        </row>
        <row r="73">
          <cell r="C73" t="str">
            <v xml:space="preserve"> Under / (Over)</v>
          </cell>
          <cell r="D73" t="str">
            <v>%</v>
          </cell>
          <cell r="F73">
            <v>97.827741530796274</v>
          </cell>
          <cell r="G73">
            <v>97.366619013927576</v>
          </cell>
          <cell r="J73">
            <v>99.916138831928308</v>
          </cell>
          <cell r="K73">
            <v>99.900308271866294</v>
          </cell>
          <cell r="M73">
            <v>100</v>
          </cell>
          <cell r="N73">
            <v>100</v>
          </cell>
          <cell r="Q73">
            <v>100</v>
          </cell>
          <cell r="R73">
            <v>100</v>
          </cell>
          <cell r="T73">
            <v>82.961954636261225</v>
          </cell>
          <cell r="U73">
            <v>79.33587379234973</v>
          </cell>
          <cell r="X73">
            <v>99.343194210369774</v>
          </cell>
          <cell r="Y73">
            <v>99.217719554098366</v>
          </cell>
        </row>
        <row r="75">
          <cell r="C75" t="str">
            <v>Asset Category</v>
          </cell>
        </row>
        <row r="77">
          <cell r="C77" t="str">
            <v>P&amp;M</v>
          </cell>
          <cell r="F77">
            <v>0</v>
          </cell>
          <cell r="G77">
            <v>0</v>
          </cell>
          <cell r="H77">
            <v>0</v>
          </cell>
          <cell r="I77">
            <v>0</v>
          </cell>
          <cell r="J77">
            <v>0</v>
          </cell>
          <cell r="K77">
            <v>0</v>
          </cell>
          <cell r="M77">
            <v>0</v>
          </cell>
          <cell r="N77">
            <v>0</v>
          </cell>
          <cell r="O77">
            <v>0</v>
          </cell>
          <cell r="P77">
            <v>0</v>
          </cell>
          <cell r="Q77">
            <v>0</v>
          </cell>
          <cell r="R77">
            <v>0</v>
          </cell>
          <cell r="T77">
            <v>0</v>
          </cell>
          <cell r="U77">
            <v>0</v>
          </cell>
          <cell r="V77">
            <v>0</v>
          </cell>
          <cell r="W77">
            <v>0</v>
          </cell>
          <cell r="X77">
            <v>0</v>
          </cell>
          <cell r="Y77">
            <v>0</v>
          </cell>
        </row>
        <row r="78">
          <cell r="C78" t="str">
            <v>F&amp;F</v>
          </cell>
          <cell r="F78">
            <v>82.730000000000018</v>
          </cell>
          <cell r="G78">
            <v>1.8309113599999998</v>
          </cell>
          <cell r="H78">
            <v>138.50200000000001</v>
          </cell>
          <cell r="I78">
            <v>3.066953416</v>
          </cell>
          <cell r="J78">
            <v>55.502000000000002</v>
          </cell>
          <cell r="K78">
            <v>1.1992872159999999</v>
          </cell>
          <cell r="M78">
            <v>0</v>
          </cell>
          <cell r="N78">
            <v>0</v>
          </cell>
          <cell r="O78">
            <v>0</v>
          </cell>
          <cell r="P78">
            <v>0</v>
          </cell>
          <cell r="Q78">
            <v>0</v>
          </cell>
          <cell r="R78">
            <v>0</v>
          </cell>
          <cell r="T78">
            <v>82.730000000000018</v>
          </cell>
          <cell r="U78">
            <v>1.8309113599999998</v>
          </cell>
          <cell r="V78">
            <v>138.50200000000001</v>
          </cell>
          <cell r="W78">
            <v>3.066953416</v>
          </cell>
          <cell r="X78">
            <v>55.502000000000002</v>
          </cell>
          <cell r="Y78">
            <v>1.1992872159999999</v>
          </cell>
        </row>
        <row r="79">
          <cell r="C79" t="str">
            <v>OM&amp;E</v>
          </cell>
          <cell r="F79">
            <v>41.700000000000045</v>
          </cell>
          <cell r="G79">
            <v>0.93615359999999725</v>
          </cell>
          <cell r="H79">
            <v>760</v>
          </cell>
          <cell r="I79">
            <v>16.422080000000001</v>
          </cell>
          <cell r="J79">
            <v>0</v>
          </cell>
          <cell r="K79">
            <v>0</v>
          </cell>
          <cell r="M79">
            <v>0</v>
          </cell>
          <cell r="N79">
            <v>0</v>
          </cell>
          <cell r="O79">
            <v>0</v>
          </cell>
          <cell r="P79">
            <v>0</v>
          </cell>
          <cell r="Q79">
            <v>0</v>
          </cell>
          <cell r="R79">
            <v>0</v>
          </cell>
          <cell r="T79">
            <v>41.700000000000045</v>
          </cell>
          <cell r="U79">
            <v>0.93615359999999725</v>
          </cell>
          <cell r="V79">
            <v>760</v>
          </cell>
          <cell r="W79">
            <v>16.422080000000001</v>
          </cell>
          <cell r="X79">
            <v>0</v>
          </cell>
          <cell r="Y79">
            <v>0</v>
          </cell>
        </row>
        <row r="80">
          <cell r="C80" t="str">
            <v>CE</v>
          </cell>
          <cell r="F80">
            <v>1594.1976358403308</v>
          </cell>
          <cell r="G80">
            <v>35.048286000000004</v>
          </cell>
          <cell r="H80">
            <v>10.75</v>
          </cell>
          <cell r="I80">
            <v>0.23228599999999996</v>
          </cell>
          <cell r="J80">
            <v>10.75</v>
          </cell>
          <cell r="K80">
            <v>0.23228599999999996</v>
          </cell>
          <cell r="M80">
            <v>0</v>
          </cell>
          <cell r="N80">
            <v>0</v>
          </cell>
          <cell r="O80">
            <v>0</v>
          </cell>
          <cell r="P80">
            <v>0</v>
          </cell>
          <cell r="Q80">
            <v>0</v>
          </cell>
          <cell r="R80">
            <v>0</v>
          </cell>
          <cell r="T80">
            <v>1594.1976358403308</v>
          </cell>
          <cell r="U80">
            <v>35.048286000000004</v>
          </cell>
          <cell r="V80">
            <v>10.75</v>
          </cell>
          <cell r="W80">
            <v>0.23228599999999996</v>
          </cell>
          <cell r="X80">
            <v>10.75</v>
          </cell>
          <cell r="Y80">
            <v>0.23228599999999996</v>
          </cell>
        </row>
        <row r="81">
          <cell r="C81" t="str">
            <v>LIBBE</v>
          </cell>
          <cell r="F81">
            <v>0</v>
          </cell>
          <cell r="G81">
            <v>0</v>
          </cell>
          <cell r="H81">
            <v>0</v>
          </cell>
          <cell r="I81">
            <v>0</v>
          </cell>
          <cell r="J81">
            <v>0</v>
          </cell>
          <cell r="K81">
            <v>0</v>
          </cell>
          <cell r="M81">
            <v>0</v>
          </cell>
          <cell r="N81">
            <v>0</v>
          </cell>
          <cell r="O81">
            <v>0</v>
          </cell>
          <cell r="P81">
            <v>0</v>
          </cell>
          <cell r="Q81">
            <v>0</v>
          </cell>
          <cell r="R81">
            <v>0</v>
          </cell>
          <cell r="T81">
            <v>0</v>
          </cell>
          <cell r="U81">
            <v>0</v>
          </cell>
          <cell r="V81">
            <v>0</v>
          </cell>
          <cell r="W81">
            <v>0</v>
          </cell>
          <cell r="X81">
            <v>0</v>
          </cell>
          <cell r="Y81">
            <v>0</v>
          </cell>
        </row>
        <row r="82">
          <cell r="F82">
            <v>1718.6276358403309</v>
          </cell>
          <cell r="G82">
            <v>37.815350960000004</v>
          </cell>
          <cell r="H82">
            <v>909.25199999999995</v>
          </cell>
          <cell r="I82">
            <v>19.721319416</v>
          </cell>
          <cell r="J82">
            <v>66.25200000000001</v>
          </cell>
          <cell r="K82">
            <v>1.4315732159999999</v>
          </cell>
          <cell r="M82">
            <v>0</v>
          </cell>
          <cell r="N82">
            <v>0</v>
          </cell>
          <cell r="O82">
            <v>0</v>
          </cell>
          <cell r="P82">
            <v>0</v>
          </cell>
          <cell r="Q82">
            <v>0</v>
          </cell>
          <cell r="R82">
            <v>0</v>
          </cell>
          <cell r="T82">
            <v>1718.6276358403309</v>
          </cell>
          <cell r="U82">
            <v>37.815350960000004</v>
          </cell>
          <cell r="V82">
            <v>909.25199999999995</v>
          </cell>
          <cell r="W82">
            <v>19.721319416</v>
          </cell>
          <cell r="X82">
            <v>66.25200000000001</v>
          </cell>
          <cell r="Y82">
            <v>1.4315732159999999</v>
          </cell>
        </row>
        <row r="84">
          <cell r="C84" t="str">
            <v>Financing Plan</v>
          </cell>
        </row>
        <row r="86">
          <cell r="C86" t="str">
            <v>Un-Budgeted</v>
          </cell>
          <cell r="F86">
            <v>1466.7764696056029</v>
          </cell>
          <cell r="G86">
            <v>32.37335096000001</v>
          </cell>
        </row>
        <row r="87">
          <cell r="C87" t="str">
            <v>Budgeted</v>
          </cell>
          <cell r="F87">
            <v>251.85116623472788</v>
          </cell>
          <cell r="G87">
            <v>5.4420000000000002</v>
          </cell>
        </row>
        <row r="88">
          <cell r="C88" t="str">
            <v>Strat. Plan</v>
          </cell>
          <cell r="F88">
            <v>0</v>
          </cell>
          <cell r="G88">
            <v>0</v>
          </cell>
        </row>
        <row r="89">
          <cell r="F89">
            <v>1718.6276358403306</v>
          </cell>
          <cell r="G89">
            <v>37.815350960000011</v>
          </cell>
        </row>
        <row r="91">
          <cell r="C91" t="str">
            <v>Spending Estimate</v>
          </cell>
        </row>
        <row r="93">
          <cell r="C93" t="str">
            <v>1st Qtr.</v>
          </cell>
          <cell r="F93">
            <v>984.46669174555086</v>
          </cell>
          <cell r="G93">
            <v>21.91057228</v>
          </cell>
        </row>
        <row r="94">
          <cell r="C94" t="str">
            <v>2nd Qtr.</v>
          </cell>
          <cell r="F94">
            <v>23.400000000000006</v>
          </cell>
          <cell r="G94">
            <v>0.54665619999999926</v>
          </cell>
        </row>
        <row r="95">
          <cell r="C95" t="str">
            <v>3rd Qtr.</v>
          </cell>
          <cell r="F95">
            <v>0</v>
          </cell>
          <cell r="G95">
            <v>0</v>
          </cell>
        </row>
        <row r="96">
          <cell r="C96" t="str">
            <v>4th Qtr.</v>
          </cell>
          <cell r="F96">
            <v>710.76094409477969</v>
          </cell>
          <cell r="G96">
            <v>15.358122480000002</v>
          </cell>
        </row>
        <row r="97">
          <cell r="C97" t="str">
            <v>Next Year</v>
          </cell>
          <cell r="F97">
            <v>0</v>
          </cell>
          <cell r="G97">
            <v>0</v>
          </cell>
        </row>
        <row r="98">
          <cell r="C98" t="str">
            <v>Following Year</v>
          </cell>
          <cell r="F98">
            <v>0</v>
          </cell>
          <cell r="G98">
            <v>0</v>
          </cell>
        </row>
        <row r="99">
          <cell r="F99">
            <v>1718.6276358403306</v>
          </cell>
          <cell r="G99">
            <v>37.815350960000004</v>
          </cell>
        </row>
        <row r="101">
          <cell r="C101" t="str">
            <v>Profit Class</v>
          </cell>
        </row>
        <row r="103">
          <cell r="C103" t="str">
            <v>Profit Generating</v>
          </cell>
          <cell r="F103">
            <v>0</v>
          </cell>
          <cell r="G103">
            <v>0</v>
          </cell>
        </row>
        <row r="104">
          <cell r="C104" t="str">
            <v>Non-profit generating</v>
          </cell>
          <cell r="F104">
            <v>1718.6276358403306</v>
          </cell>
          <cell r="G104">
            <v>37.815350960000004</v>
          </cell>
        </row>
        <row r="105">
          <cell r="F105">
            <v>1718.6276358403306</v>
          </cell>
          <cell r="G105">
            <v>37.815350960000004</v>
          </cell>
        </row>
        <row r="107">
          <cell r="B107" t="str">
            <v>Bristol Myers Squibb Pakistan</v>
          </cell>
        </row>
        <row r="108">
          <cell r="B108" t="str">
            <v>Capital Appropriation Requests</v>
          </cell>
        </row>
        <row r="109">
          <cell r="B109" t="str">
            <v xml:space="preserve">Summary Information as at </v>
          </cell>
          <cell r="E109">
            <v>36411.471040046294</v>
          </cell>
        </row>
        <row r="112">
          <cell r="E112" t="str">
            <v>Un-Approved CARs</v>
          </cell>
        </row>
        <row r="114">
          <cell r="E114" t="str">
            <v>AGGREGATE</v>
          </cell>
          <cell r="I114" t="str">
            <v>Tech-Ops</v>
          </cell>
          <cell r="L114" t="str">
            <v>Market / Pharma</v>
          </cell>
        </row>
        <row r="115">
          <cell r="C115" t="str">
            <v>Particulars</v>
          </cell>
          <cell r="E115" t="str">
            <v>No.</v>
          </cell>
          <cell r="F115" t="str">
            <v>Amount</v>
          </cell>
          <cell r="I115" t="str">
            <v>Amount</v>
          </cell>
          <cell r="L115" t="str">
            <v>Amount</v>
          </cell>
        </row>
        <row r="116">
          <cell r="F116" t="str">
            <v>Rs.</v>
          </cell>
          <cell r="G116" t="str">
            <v>$</v>
          </cell>
          <cell r="I116" t="str">
            <v>Rs.</v>
          </cell>
          <cell r="J116" t="str">
            <v>$</v>
          </cell>
          <cell r="L116" t="str">
            <v>Rs.</v>
          </cell>
          <cell r="M116" t="str">
            <v>$</v>
          </cell>
        </row>
        <row r="117">
          <cell r="E117" t="str">
            <v>$ Parity</v>
          </cell>
        </row>
        <row r="119">
          <cell r="C119" t="str">
            <v>1999 Budget</v>
          </cell>
          <cell r="E119">
            <v>55</v>
          </cell>
          <cell r="F119">
            <v>79002</v>
          </cell>
          <cell r="G119">
            <v>1436</v>
          </cell>
          <cell r="I119">
            <v>68915</v>
          </cell>
          <cell r="J119">
            <v>1253</v>
          </cell>
          <cell r="L119">
            <v>10087</v>
          </cell>
          <cell r="M119">
            <v>183</v>
          </cell>
        </row>
        <row r="121">
          <cell r="C121" t="str">
            <v>Capitalized</v>
          </cell>
          <cell r="E121">
            <v>16</v>
          </cell>
          <cell r="F121">
            <v>2157.4167558869945</v>
          </cell>
          <cell r="G121">
            <v>46.030913580699391</v>
          </cell>
          <cell r="I121">
            <v>0</v>
          </cell>
          <cell r="J121">
            <v>0</v>
          </cell>
          <cell r="L121">
            <v>2242.4167558869945</v>
          </cell>
          <cell r="M121">
            <v>47.844484205699395</v>
          </cell>
        </row>
        <row r="122">
          <cell r="C122" t="str">
            <v>Expensed</v>
          </cell>
          <cell r="E122">
            <v>1</v>
          </cell>
          <cell r="F122">
            <v>85</v>
          </cell>
          <cell r="G122">
            <v>1.8135706249999999</v>
          </cell>
          <cell r="J122">
            <v>0</v>
          </cell>
        </row>
        <row r="123">
          <cell r="C123" t="str">
            <v>Aggregate</v>
          </cell>
          <cell r="E123">
            <v>17</v>
          </cell>
          <cell r="F123">
            <v>2242.4167558869945</v>
          </cell>
          <cell r="G123">
            <v>47.844484205699388</v>
          </cell>
          <cell r="I123">
            <v>0</v>
          </cell>
          <cell r="J123">
            <v>0</v>
          </cell>
          <cell r="L123">
            <v>2242.4167558869945</v>
          </cell>
          <cell r="M123">
            <v>47.844484205699395</v>
          </cell>
        </row>
        <row r="125">
          <cell r="C125" t="str">
            <v>Variance (Vs. Budget)</v>
          </cell>
          <cell r="F125">
            <v>76844.583244113004</v>
          </cell>
          <cell r="G125">
            <v>1389.9690864193005</v>
          </cell>
          <cell r="I125">
            <v>68915</v>
          </cell>
          <cell r="J125">
            <v>1253</v>
          </cell>
          <cell r="L125">
            <v>7844.583244113006</v>
          </cell>
          <cell r="M125">
            <v>135.15551579430061</v>
          </cell>
        </row>
        <row r="126">
          <cell r="C126" t="str">
            <v xml:space="preserve"> Under / (Over)</v>
          </cell>
          <cell r="F126">
            <v>97.26916184921015</v>
          </cell>
          <cell r="G126">
            <v>96.794504625299481</v>
          </cell>
          <cell r="I126">
            <v>100</v>
          </cell>
          <cell r="J126">
            <v>100</v>
          </cell>
          <cell r="L126">
            <v>77.769240052671819</v>
          </cell>
          <cell r="M126">
            <v>73.855473111639682</v>
          </cell>
        </row>
        <row r="128">
          <cell r="C128" t="str">
            <v>Asset Category</v>
          </cell>
        </row>
        <row r="130">
          <cell r="C130" t="str">
            <v>P&amp;M</v>
          </cell>
          <cell r="F130">
            <v>0</v>
          </cell>
          <cell r="G130">
            <v>0</v>
          </cell>
          <cell r="I130">
            <v>0</v>
          </cell>
          <cell r="J130">
            <v>0</v>
          </cell>
          <cell r="L130">
            <v>0</v>
          </cell>
          <cell r="M130">
            <v>0</v>
          </cell>
        </row>
        <row r="131">
          <cell r="C131" t="str">
            <v>F&amp;F</v>
          </cell>
          <cell r="F131">
            <v>150.44500000000002</v>
          </cell>
          <cell r="G131">
            <v>3.2099133256250001</v>
          </cell>
          <cell r="I131">
            <v>0</v>
          </cell>
          <cell r="J131">
            <v>0</v>
          </cell>
          <cell r="L131">
            <v>150.44500000000002</v>
          </cell>
          <cell r="M131">
            <v>3.2099133256250001</v>
          </cell>
        </row>
        <row r="132">
          <cell r="C132" t="str">
            <v>OM&amp;E</v>
          </cell>
          <cell r="F132">
            <v>349.16</v>
          </cell>
          <cell r="G132">
            <v>7.449721405</v>
          </cell>
          <cell r="I132">
            <v>0</v>
          </cell>
          <cell r="J132">
            <v>0</v>
          </cell>
          <cell r="L132">
            <v>349.16</v>
          </cell>
          <cell r="M132">
            <v>7.449721405</v>
          </cell>
        </row>
        <row r="133">
          <cell r="C133" t="str">
            <v>CE</v>
          </cell>
          <cell r="F133">
            <v>1374.9617558869943</v>
          </cell>
          <cell r="G133">
            <v>29.336355893824393</v>
          </cell>
          <cell r="I133">
            <v>0</v>
          </cell>
          <cell r="J133">
            <v>0</v>
          </cell>
          <cell r="L133">
            <v>1374.9617558869943</v>
          </cell>
          <cell r="M133">
            <v>29.336355893824393</v>
          </cell>
        </row>
        <row r="134">
          <cell r="C134" t="str">
            <v>LIBBE</v>
          </cell>
          <cell r="F134">
            <v>367.85</v>
          </cell>
          <cell r="G134">
            <v>7.8484935812499996</v>
          </cell>
          <cell r="I134">
            <v>0</v>
          </cell>
          <cell r="J134">
            <v>0</v>
          </cell>
          <cell r="L134">
            <v>367.85</v>
          </cell>
          <cell r="M134">
            <v>7.8484935812499996</v>
          </cell>
        </row>
        <row r="135">
          <cell r="F135">
            <v>2242.4167558869945</v>
          </cell>
          <cell r="G135">
            <v>47.844484205699388</v>
          </cell>
          <cell r="I135">
            <v>0</v>
          </cell>
          <cell r="J135">
            <v>0</v>
          </cell>
          <cell r="L135">
            <v>2242.4167558869945</v>
          </cell>
          <cell r="M135">
            <v>47.844484205699388</v>
          </cell>
        </row>
        <row r="137">
          <cell r="C137" t="str">
            <v>Financing Plan</v>
          </cell>
        </row>
        <row r="139">
          <cell r="C139" t="str">
            <v>Un-Budgeted</v>
          </cell>
          <cell r="F139">
            <v>807.43</v>
          </cell>
          <cell r="G139">
            <v>17.227427408749996</v>
          </cell>
        </row>
        <row r="140">
          <cell r="C140" t="str">
            <v>Budgeted</v>
          </cell>
          <cell r="F140">
            <v>912.18675588699443</v>
          </cell>
          <cell r="G140">
            <v>19.462530646949396</v>
          </cell>
        </row>
        <row r="141">
          <cell r="C141" t="str">
            <v>Strat. Plan</v>
          </cell>
          <cell r="F141">
            <v>0</v>
          </cell>
          <cell r="G141">
            <v>0</v>
          </cell>
        </row>
        <row r="142">
          <cell r="F142">
            <v>1719.6167558869943</v>
          </cell>
          <cell r="G142">
            <v>36.689958055699393</v>
          </cell>
        </row>
        <row r="144">
          <cell r="C144" t="str">
            <v>Spending Estimate</v>
          </cell>
        </row>
        <row r="146">
          <cell r="C146" t="str">
            <v>1st Qtr.</v>
          </cell>
          <cell r="F146">
            <v>282.97500000000002</v>
          </cell>
          <cell r="G146">
            <v>6.0375899718749997</v>
          </cell>
        </row>
        <row r="147">
          <cell r="C147" t="str">
            <v>2nd Qtr.</v>
          </cell>
          <cell r="F147">
            <v>75.099999999999994</v>
          </cell>
          <cell r="G147">
            <v>1.6023429874999997</v>
          </cell>
        </row>
        <row r="148">
          <cell r="C148" t="str">
            <v>3rd Qtr.</v>
          </cell>
          <cell r="F148">
            <v>579.89244836133287</v>
          </cell>
          <cell r="G148">
            <v>12.372657764793441</v>
          </cell>
        </row>
        <row r="149">
          <cell r="C149" t="str">
            <v>4th Qtr.</v>
          </cell>
          <cell r="F149">
            <v>781.64930752566147</v>
          </cell>
          <cell r="G149">
            <v>16.677367331530952</v>
          </cell>
        </row>
        <row r="150">
          <cell r="C150" t="str">
            <v>Next Year</v>
          </cell>
          <cell r="F150">
            <v>0</v>
          </cell>
          <cell r="G150">
            <v>0</v>
          </cell>
        </row>
        <row r="151">
          <cell r="C151" t="str">
            <v>Following Year</v>
          </cell>
          <cell r="F151">
            <v>0</v>
          </cell>
          <cell r="G151">
            <v>0</v>
          </cell>
        </row>
        <row r="152">
          <cell r="F152">
            <v>1719.6167558869943</v>
          </cell>
          <cell r="G152">
            <v>36.689958055699393</v>
          </cell>
        </row>
        <row r="154">
          <cell r="C154" t="str">
            <v>Profit Class</v>
          </cell>
        </row>
        <row r="156">
          <cell r="C156" t="str">
            <v>Profit Generating</v>
          </cell>
          <cell r="F156">
            <v>0</v>
          </cell>
          <cell r="G156">
            <v>0</v>
          </cell>
        </row>
        <row r="157">
          <cell r="C157" t="str">
            <v>Non-profit generating</v>
          </cell>
          <cell r="F157">
            <v>1719.6167558869943</v>
          </cell>
          <cell r="G157">
            <v>36.689958055699393</v>
          </cell>
        </row>
        <row r="158">
          <cell r="F158">
            <v>1719.6167558869943</v>
          </cell>
          <cell r="G158">
            <v>36.689958055699393</v>
          </cell>
        </row>
      </sheetData>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Bristol Myers Squibb Pakistan</v>
          </cell>
        </row>
      </sheetData>
      <sheetData sheetId="20">
        <row r="1">
          <cell r="B1" t="str">
            <v>Bristol Myers Squibb Pakistan</v>
          </cell>
        </row>
      </sheetData>
      <sheetData sheetId="21">
        <row r="1">
          <cell r="B1" t="str">
            <v>Bristol Myers Squibb Pakistan</v>
          </cell>
        </row>
      </sheetData>
      <sheetData sheetId="22">
        <row r="1">
          <cell r="B1" t="str">
            <v>Bristol Myers Squibb Pakistan</v>
          </cell>
        </row>
      </sheetData>
      <sheetData sheetId="23">
        <row r="1">
          <cell r="B1" t="str">
            <v>Bristol Myers Squibb Pakistan</v>
          </cell>
        </row>
      </sheetData>
      <sheetData sheetId="24">
        <row r="1">
          <cell r="B1" t="str">
            <v>Bristol Myers Squibb Pakistan</v>
          </cell>
        </row>
      </sheetData>
      <sheetData sheetId="25">
        <row r="1">
          <cell r="B1" t="str">
            <v>Bristol Myers Squibb Pakistan</v>
          </cell>
        </row>
      </sheetData>
      <sheetData sheetId="26" refreshError="1"/>
      <sheetData sheetId="27" refreshError="1"/>
      <sheetData sheetId="28" refreshError="1"/>
      <sheetData sheetId="29" refreshError="1"/>
      <sheetData sheetId="30">
        <row r="1">
          <cell r="B1" t="str">
            <v>Bristol Myers Squibb Pakistan</v>
          </cell>
        </row>
      </sheetData>
      <sheetData sheetId="31">
        <row r="1">
          <cell r="B1" t="str">
            <v>Bristol Myers Squibb Pakistan</v>
          </cell>
        </row>
      </sheetData>
      <sheetData sheetId="32">
        <row r="1">
          <cell r="B1" t="str">
            <v>Bristol Myers Squibb Pakistan</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IS"/>
      <sheetName val="SEGMENTWISE"/>
      <sheetName val="Sales Plan"/>
      <sheetName val="Variantwise "/>
      <sheetName val="PNL Detail"/>
      <sheetName val="AdminSelling"/>
      <sheetName val="BSHEET MIS"/>
      <sheetName val="Index"/>
      <sheetName val="Sheet1"/>
      <sheetName val="ProfitProv"/>
      <sheetName val="BS-JPN"/>
      <sheetName val="WPPF"/>
      <sheetName val="P&amp;L-Jpn"/>
      <sheetName val="P&amp;L-BOD"/>
      <sheetName val="P&amp;L-STATUTORY "/>
      <sheetName val="P&amp;L-Quarter"/>
      <sheetName val="BSHEET-QTR"/>
      <sheetName val="BSHEET-STATUTORY"/>
      <sheetName val="BSHEET-BOD"/>
      <sheetName val="Cashflow"/>
      <sheetName val="CASHFLOWWorking"/>
      <sheetName val="SCE"/>
      <sheetName val="Tax"/>
      <sheetName val="STOCK"/>
      <sheetName val="Trade Debts"/>
      <sheetName val="Loanadv."/>
      <sheetName val="Other Rec"/>
      <sheetName val="ADV-FM-CSTMRS"/>
      <sheetName val="CREDITORS"/>
      <sheetName val="OTHERLIAB"/>
      <sheetName val="Bank-June 02"/>
      <sheetName val="RESERVES"/>
      <sheetName val="Sales_Plan"/>
      <sheetName val="Variantwise_"/>
      <sheetName val="PNL_Detail"/>
      <sheetName val="BSHEET_MIS"/>
      <sheetName val="P&amp;L-STATUTORY_"/>
      <sheetName val="Trade_Debts"/>
      <sheetName val="Loanadv_"/>
      <sheetName val="Other_Rec"/>
      <sheetName val="Bank-June_02"/>
      <sheetName val="Break-up"/>
      <sheetName val="34-38.2"/>
      <sheetName val="Sales_Plan1"/>
      <sheetName val="Variantwise_1"/>
      <sheetName val="PNL_Detail1"/>
      <sheetName val="BSHEET_MIS1"/>
      <sheetName val="P&amp;L-STATUTORY_1"/>
      <sheetName val="Trade_Debts1"/>
      <sheetName val="Loanadv_1"/>
      <sheetName val="Other_Rec1"/>
      <sheetName val="Bank-June_021"/>
      <sheetName val="MIS-Sep-02-B"/>
      <sheetName val="income~W.O.BMR"/>
      <sheetName val="CARs' 99 Summary Info. (B&amp;A)"/>
      <sheetName val="acct"/>
      <sheetName val="ParamData"/>
      <sheetName val="34-38_2"/>
      <sheetName val="2000 Variables"/>
      <sheetName val="Labuan"/>
      <sheetName val="U120 - SCGB Greece"/>
      <sheetName val="U076 - Macau"/>
      <sheetName val="U077 - China"/>
      <sheetName val="U092 - MESA"/>
      <sheetName val="U151 - Brunei"/>
      <sheetName val="U303 - Malaysia"/>
      <sheetName val="U173 - SCGB Sri Lanka"/>
      <sheetName val="U167 - SCGB India"/>
      <sheetName val="U172 - SCGB UAE"/>
      <sheetName val="U176 - SCGB Pakistan"/>
      <sheetName val="U174 - SCGB Jordan"/>
      <sheetName val="U369 - ANZ"/>
      <sheetName val="U175 - SCGB Bangladesh"/>
      <sheetName val="ASSE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distribution"/>
      <sheetName val="UHF"/>
      <sheetName val="cash flow"/>
      <sheetName val="CFW"/>
      <sheetName val="Note 1-7.1"/>
      <sheetName val=" note 7.1.1"/>
      <sheetName val=" note 7.2-7.2.1"/>
      <sheetName val="note 7.2.2 -10"/>
      <sheetName val="Related parties 10"/>
      <sheetName val="note 11-12"/>
      <sheetName val="Brea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329 Guidance"/>
      <sheetName val="Analytics Summary"/>
      <sheetName val="Overview"/>
      <sheetName val="Drop Down"/>
      <sheetName val="Template Calculation Sheet"/>
      <sheetName val="Guide Card"/>
      <sheetName val="Using this Template"/>
      <sheetName val="Disaggregated Revenue"/>
    </sheetNames>
    <sheetDataSet>
      <sheetData sheetId="0" refreshError="1"/>
      <sheetData sheetId="1" refreshError="1"/>
      <sheetData sheetId="2"/>
      <sheetData sheetId="3">
        <row r="2">
          <cell r="A2" t="str">
            <v>Type of analytic…</v>
          </cell>
          <cell r="B2" t="str">
            <v>Level of assurance…</v>
          </cell>
        </row>
        <row r="3">
          <cell r="A3" t="str">
            <v>Trend analysis</v>
          </cell>
          <cell r="B3" t="str">
            <v>High assurance</v>
          </cell>
        </row>
        <row r="4">
          <cell r="A4" t="str">
            <v>Ratio analysis</v>
          </cell>
          <cell r="B4" t="str">
            <v>Moderate assurance</v>
          </cell>
        </row>
        <row r="5">
          <cell r="A5" t="str">
            <v>Reasonableness test</v>
          </cell>
          <cell r="B5" t="str">
            <v>Low assurance</v>
          </cell>
        </row>
        <row r="6">
          <cell r="A6" t="str">
            <v>Regression analytics</v>
          </cell>
        </row>
        <row r="7">
          <cell r="A7" t="str">
            <v>Scanning analytics</v>
          </cell>
        </row>
      </sheetData>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A"/>
      <sheetName val="Balance_Sheet"/>
      <sheetName val="Repay IFC A"/>
      <sheetName val="FG"/>
      <sheetName val="NORMAL"/>
      <sheetName val="Balance_Sheet1"/>
      <sheetName val="ProfitProv"/>
      <sheetName val="DEAL REGISTER"/>
      <sheetName val="Overview"/>
      <sheetName val="GMS.1"/>
      <sheetName val="Calculation sheet"/>
      <sheetName val="BS-OVS"/>
      <sheetName val="Repay_IFC_A"/>
      <sheetName val="1-bwb(cb)"/>
      <sheetName val="acct"/>
      <sheetName val="Intervals"/>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JPN"/>
      <sheetName val="P&amp;L-Jpn"/>
      <sheetName val="b-sheet"/>
      <sheetName val="Balance Sheet"/>
    </sheetNames>
    <sheetDataSet>
      <sheetData sheetId="0">
        <row r="4">
          <cell r="A4" t="str">
            <v>INDUS MOTOR COMPANY LIMITED</v>
          </cell>
        </row>
        <row r="5">
          <cell r="A5" t="str">
            <v>Balance Sheet</v>
          </cell>
        </row>
        <row r="6">
          <cell r="A6" t="str">
            <v>AS AT MARCH 31, 2004</v>
          </cell>
        </row>
        <row r="9">
          <cell r="F9" t="str">
            <v>Previous</v>
          </cell>
          <cell r="H9" t="str">
            <v xml:space="preserve">This </v>
          </cell>
          <cell r="J9" t="str">
            <v>%</v>
          </cell>
          <cell r="Q9" t="str">
            <v>Previous</v>
          </cell>
          <cell r="S9" t="str">
            <v xml:space="preserve">This </v>
          </cell>
          <cell r="U9" t="str">
            <v>%</v>
          </cell>
        </row>
        <row r="10">
          <cell r="F10" t="str">
            <v>Month</v>
          </cell>
          <cell r="H10" t="str">
            <v>Month</v>
          </cell>
          <cell r="Q10" t="str">
            <v>Month</v>
          </cell>
          <cell r="S10" t="str">
            <v>Month</v>
          </cell>
        </row>
        <row r="12">
          <cell r="A12" t="str">
            <v>ASSETS</v>
          </cell>
          <cell r="L12" t="str">
            <v>LIABILITIES</v>
          </cell>
        </row>
        <row r="13">
          <cell r="B13" t="str">
            <v>CURRENT ASSETS</v>
          </cell>
          <cell r="F13">
            <v>12323708</v>
          </cell>
          <cell r="H13">
            <v>12947556</v>
          </cell>
          <cell r="J13">
            <v>1.050621777146943</v>
          </cell>
          <cell r="M13" t="str">
            <v>CURRENT LIABILITIES</v>
          </cell>
          <cell r="Q13">
            <v>9899263</v>
          </cell>
          <cell r="S13">
            <v>10282883</v>
          </cell>
          <cell r="U13">
            <v>1.0387523798488838</v>
          </cell>
        </row>
        <row r="15">
          <cell r="C15" t="str">
            <v>Cash in hand &amp; bank</v>
          </cell>
          <cell r="F15">
            <v>9083875</v>
          </cell>
          <cell r="H15">
            <v>9154883</v>
          </cell>
          <cell r="N15" t="str">
            <v>Bank over draft/Short term loan</v>
          </cell>
          <cell r="Q15">
            <v>0</v>
          </cell>
          <cell r="S15">
            <v>0</v>
          </cell>
        </row>
        <row r="16">
          <cell r="C16" t="str">
            <v>Inventory</v>
          </cell>
          <cell r="F16">
            <v>2508987</v>
          </cell>
          <cell r="H16">
            <v>2999823</v>
          </cell>
          <cell r="N16" t="str">
            <v>Advance received</v>
          </cell>
          <cell r="Q16">
            <v>7554320</v>
          </cell>
          <cell r="S16">
            <v>7517468</v>
          </cell>
        </row>
        <row r="17">
          <cell r="C17" t="str">
            <v>Accounts Receivable</v>
          </cell>
          <cell r="F17">
            <v>236280</v>
          </cell>
          <cell r="H17">
            <v>332911</v>
          </cell>
          <cell r="N17" t="str">
            <v>Accounts payable (Others)</v>
          </cell>
          <cell r="Q17">
            <v>2344943</v>
          </cell>
          <cell r="S17">
            <v>2765415</v>
          </cell>
        </row>
        <row r="18">
          <cell r="C18" t="str">
            <v>Investment in AT&amp;T</v>
          </cell>
          <cell r="F18">
            <v>0</v>
          </cell>
          <cell r="H18">
            <v>0</v>
          </cell>
        </row>
        <row r="19">
          <cell r="C19" t="str">
            <v>Miscellaneous Receivable</v>
          </cell>
          <cell r="F19">
            <v>494566</v>
          </cell>
          <cell r="H19">
            <v>459939</v>
          </cell>
        </row>
        <row r="20">
          <cell r="N20" t="str">
            <v>Deffered Taxation</v>
          </cell>
          <cell r="Q20">
            <v>56537</v>
          </cell>
          <cell r="S20">
            <v>40487</v>
          </cell>
          <cell r="U20">
            <v>0.71611511045863774</v>
          </cell>
        </row>
        <row r="21">
          <cell r="B21" t="str">
            <v>FIXED ASSETS</v>
          </cell>
          <cell r="F21">
            <v>886073</v>
          </cell>
          <cell r="H21">
            <v>864383</v>
          </cell>
          <cell r="J21">
            <v>0.97552120423486555</v>
          </cell>
          <cell r="N21" t="str">
            <v>Liab. against Assets  subject to Finance lease</v>
          </cell>
          <cell r="Q21">
            <v>0</v>
          </cell>
          <cell r="S21">
            <v>32992</v>
          </cell>
        </row>
        <row r="23">
          <cell r="C23" t="str">
            <v>Plant Machinery, Building &amp; Others</v>
          </cell>
          <cell r="F23">
            <v>817279</v>
          </cell>
          <cell r="H23">
            <v>819444</v>
          </cell>
          <cell r="M23" t="str">
            <v>CAPITAL</v>
          </cell>
          <cell r="Q23">
            <v>3253980.8553591687</v>
          </cell>
          <cell r="S23">
            <v>3455576.8553591687</v>
          </cell>
          <cell r="U23">
            <v>1.0619536527598126</v>
          </cell>
        </row>
        <row r="24">
          <cell r="C24" t="str">
            <v>Capital work in process</v>
          </cell>
          <cell r="F24">
            <v>68794</v>
          </cell>
          <cell r="H24">
            <v>44939</v>
          </cell>
        </row>
        <row r="25">
          <cell r="N25" t="str">
            <v>Capital stock</v>
          </cell>
          <cell r="Q25">
            <v>786000</v>
          </cell>
          <cell r="S25">
            <v>786000</v>
          </cell>
        </row>
        <row r="26">
          <cell r="N26" t="str">
            <v>Share premium account</v>
          </cell>
          <cell r="Q26">
            <v>196500</v>
          </cell>
          <cell r="S26">
            <v>196500</v>
          </cell>
        </row>
        <row r="27">
          <cell r="N27" t="str">
            <v>General reserve</v>
          </cell>
          <cell r="Q27">
            <v>1564061</v>
          </cell>
          <cell r="S27">
            <v>1564061</v>
          </cell>
        </row>
        <row r="28">
          <cell r="N28" t="str">
            <v>Net profit last year</v>
          </cell>
        </row>
        <row r="29">
          <cell r="N29" t="str">
            <v>Net Profit  for this period</v>
          </cell>
          <cell r="Q29">
            <v>707419.85535916849</v>
          </cell>
          <cell r="S29">
            <v>825825.85535916849</v>
          </cell>
        </row>
        <row r="30">
          <cell r="N30" t="str">
            <v>Unrealisedgain / (loss)on hedging instruments</v>
          </cell>
          <cell r="Q30">
            <v>0</v>
          </cell>
          <cell r="S30">
            <v>83190</v>
          </cell>
        </row>
        <row r="32">
          <cell r="E32">
            <v>0.14464083127677441</v>
          </cell>
          <cell r="F32">
            <v>13209781</v>
          </cell>
          <cell r="H32">
            <v>13811939</v>
          </cell>
          <cell r="J32">
            <v>1.0455842530621817</v>
          </cell>
          <cell r="Q32">
            <v>13209780.855359169</v>
          </cell>
          <cell r="S32">
            <v>13811938.855359169</v>
          </cell>
          <cell r="U32">
            <v>1.0455842535613076</v>
          </cell>
        </row>
        <row r="34">
          <cell r="C34" t="str">
            <v>Inventory</v>
          </cell>
          <cell r="F34">
            <v>2508987</v>
          </cell>
          <cell r="H34">
            <v>2999823</v>
          </cell>
          <cell r="L34" t="str">
            <v>Bank O/D</v>
          </cell>
          <cell r="Q34" t="str">
            <v>Limit</v>
          </cell>
          <cell r="S34" t="str">
            <v>Utilization</v>
          </cell>
          <cell r="U34" t="str">
            <v>Balance</v>
          </cell>
        </row>
        <row r="35">
          <cell r="L35" t="str">
            <v>Bank of Tokyo</v>
          </cell>
          <cell r="Q35">
            <v>30000</v>
          </cell>
          <cell r="U35">
            <v>30000</v>
          </cell>
        </row>
      </sheetData>
      <sheetData sheetId="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 val="Overview"/>
      <sheetName val="Drop Down"/>
      <sheetName val="LOCAL STUDENTS"/>
      <sheetName val="BS-OVS"/>
      <sheetName val="CDB-Deposits"/>
      <sheetName val="Code"/>
      <sheetName val="rate_"/>
      <sheetName val="DOHA_QATAR_"/>
      <sheetName val="TOTAL_CURR_WISE_"/>
      <sheetName val="OVERSEAS_BRANCHES_"/>
      <sheetName val="rate_2"/>
      <sheetName val="DOHA_QATAR_2"/>
      <sheetName val="TOTAL_CURR_WISE_2"/>
      <sheetName val="OVERSEAS_BRANCHES_2"/>
      <sheetName val="rate_1"/>
      <sheetName val="DOHA_QATAR_1"/>
      <sheetName val="TOTAL_CURR_WISE_1"/>
      <sheetName val="OVERSEAS_BRANCHES_1"/>
    </sheetNames>
    <sheetDataSet>
      <sheetData sheetId="0" refreshError="1">
        <row r="4">
          <cell r="B4" t="str">
            <v>AED</v>
          </cell>
          <cell r="C4">
            <v>16.5839</v>
          </cell>
        </row>
        <row r="5">
          <cell r="B5" t="str">
            <v>AUD</v>
          </cell>
          <cell r="C5">
            <v>48.048900000000003</v>
          </cell>
        </row>
        <row r="6">
          <cell r="B6" t="str">
            <v>BDT</v>
          </cell>
          <cell r="C6">
            <v>0.88180000000000003</v>
          </cell>
        </row>
        <row r="7">
          <cell r="B7" t="str">
            <v>BHD</v>
          </cell>
          <cell r="C7">
            <v>161.56280000000001</v>
          </cell>
        </row>
        <row r="8">
          <cell r="B8" t="str">
            <v>CAD</v>
          </cell>
          <cell r="C8">
            <v>52.254100000000001</v>
          </cell>
        </row>
        <row r="9">
          <cell r="B9" t="str">
            <v>CHF</v>
          </cell>
          <cell r="C9">
            <v>49.985599999999998</v>
          </cell>
        </row>
        <row r="10">
          <cell r="B10" t="str">
            <v>CNY</v>
          </cell>
          <cell r="C10">
            <v>7.8014999999999999</v>
          </cell>
        </row>
        <row r="11">
          <cell r="B11" t="str">
            <v>DKK</v>
          </cell>
          <cell r="C11">
            <v>10.7821</v>
          </cell>
        </row>
        <row r="12">
          <cell r="B12" t="str">
            <v>DZD</v>
          </cell>
          <cell r="C12">
            <v>0.85670000000000002</v>
          </cell>
        </row>
        <row r="13">
          <cell r="B13" t="str">
            <v>EUR</v>
          </cell>
          <cell r="C13">
            <v>80.413399999999996</v>
          </cell>
        </row>
        <row r="14">
          <cell r="B14" t="str">
            <v>GBP</v>
          </cell>
          <cell r="C14">
            <v>119.3501</v>
          </cell>
        </row>
        <row r="15">
          <cell r="B15" t="str">
            <v>HKD</v>
          </cell>
          <cell r="C15">
            <v>7.8311000000000002</v>
          </cell>
        </row>
        <row r="16">
          <cell r="B16" t="str">
            <v>INR</v>
          </cell>
          <cell r="C16">
            <v>1.3807</v>
          </cell>
        </row>
        <row r="17">
          <cell r="B17" t="str">
            <v>JPY</v>
          </cell>
          <cell r="C17">
            <v>0.51180000000000003</v>
          </cell>
        </row>
        <row r="18">
          <cell r="B18" t="str">
            <v>KWD</v>
          </cell>
          <cell r="C18">
            <v>210.65190000000001</v>
          </cell>
        </row>
        <row r="19">
          <cell r="B19" t="str">
            <v>LKR</v>
          </cell>
          <cell r="C19">
            <v>0.56689999999999996</v>
          </cell>
        </row>
        <row r="20">
          <cell r="B20" t="str">
            <v>MYR</v>
          </cell>
          <cell r="C20">
            <v>17.254999999999999</v>
          </cell>
        </row>
        <row r="21">
          <cell r="B21" t="str">
            <v>NOK</v>
          </cell>
          <cell r="C21">
            <v>9.7683</v>
          </cell>
        </row>
        <row r="22">
          <cell r="B22" t="str">
            <v>NZD</v>
          </cell>
          <cell r="C22">
            <v>42.905000000000001</v>
          </cell>
        </row>
        <row r="23">
          <cell r="B23" t="str">
            <v>OMR</v>
          </cell>
          <cell r="C23">
            <v>158.22</v>
          </cell>
        </row>
        <row r="24">
          <cell r="B24" t="str">
            <v>PKR</v>
          </cell>
          <cell r="C24">
            <v>1</v>
          </cell>
        </row>
        <row r="25">
          <cell r="B25" t="str">
            <v>QAR</v>
          </cell>
          <cell r="C25">
            <v>16.730799999999999</v>
          </cell>
        </row>
        <row r="26">
          <cell r="B26" t="str">
            <v>SAR</v>
          </cell>
          <cell r="C26">
            <v>16.241199999999999</v>
          </cell>
        </row>
        <row r="27">
          <cell r="B27" t="str">
            <v>SEK</v>
          </cell>
          <cell r="C27">
            <v>8.8939000000000004</v>
          </cell>
        </row>
        <row r="28">
          <cell r="B28" t="str">
            <v>SGD</v>
          </cell>
          <cell r="C28">
            <v>39.723500000000001</v>
          </cell>
        </row>
        <row r="29">
          <cell r="B29" t="str">
            <v>USD</v>
          </cell>
          <cell r="C29">
            <v>60.91</v>
          </cell>
        </row>
        <row r="30">
          <cell r="B30" t="str">
            <v>ZWD</v>
          </cell>
          <cell r="C30">
            <v>0.24360000000000001</v>
          </cell>
        </row>
        <row r="31">
          <cell r="B31" t="str">
            <v>THB</v>
          </cell>
          <cell r="C31">
            <v>1.7181999999999999</v>
          </cell>
        </row>
      </sheetData>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
          <cell r="B4" t="str">
            <v>AED</v>
          </cell>
        </row>
      </sheetData>
      <sheetData sheetId="18">
        <row r="4">
          <cell r="B4" t="str">
            <v>AED</v>
          </cell>
        </row>
      </sheetData>
      <sheetData sheetId="19">
        <row r="14">
          <cell r="A14" t="str">
            <v>AED</v>
          </cell>
        </row>
      </sheetData>
      <sheetData sheetId="20"/>
      <sheetData sheetId="21"/>
      <sheetData sheetId="22"/>
      <sheetData sheetId="23"/>
      <sheetData sheetId="24"/>
      <sheetData sheetId="25"/>
      <sheetData sheetId="26"/>
      <sheetData sheetId="27"/>
      <sheetData sheetId="2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NORMAL"/>
      <sheetName val="P&amp;L-P&amp;LApp_"/>
      <sheetName val="Cash_Flow"/>
      <sheetName val="Notes_1to7"/>
      <sheetName val="Note_8-10"/>
      <sheetName val="Note_11&amp;11_1"/>
      <sheetName val="Notes_12-15"/>
      <sheetName val="Note_16"/>
      <sheetName val="Note_17-19"/>
      <sheetName val="Classified_Summary_of_Assets"/>
      <sheetName val="Accts"/>
      <sheetName val="ATTACH1B"/>
      <sheetName val="ATTACH1C"/>
      <sheetName val="others"/>
      <sheetName val="td"/>
      <sheetName val="cd "/>
      <sheetName val="adp_or"/>
      <sheetName val="c_b"/>
      <sheetName val="rc"/>
      <sheetName val="f_f"/>
      <sheetName val="tax"/>
      <sheetName val="note"/>
      <sheetName val="IGI-Insurance(InvestmentNot)"/>
      <sheetName val="18"/>
      <sheetName val="Investments"/>
      <sheetName val="acct"/>
      <sheetName val="Lead"/>
      <sheetName val="Links"/>
      <sheetName val="Assumptions"/>
      <sheetName val="P&amp;L-P&amp;LApp_1"/>
      <sheetName val="Cash_Flow1"/>
      <sheetName val="Notes_1to71"/>
      <sheetName val="Note_8-101"/>
      <sheetName val="Note_11&amp;11_11"/>
      <sheetName val="Notes_12-151"/>
      <sheetName val="Note_161"/>
      <sheetName val="Note_17-191"/>
      <sheetName val="Classified_Summary_of_Assets1"/>
      <sheetName val="A"/>
      <sheetName val="budget"/>
      <sheetName val="QTY"/>
      <sheetName val="Sheet4"/>
      <sheetName val="PIB-IPS"/>
      <sheetName val="ANA1"/>
      <sheetName val="CALL-L"/>
      <sheetName val="REV-SH "/>
      <sheetName val="Op lease adj"/>
      <sheetName val="B.S AND P &amp; L"/>
      <sheetName val="Overview"/>
      <sheetName val="Drop Down"/>
      <sheetName val="Sum_Order_Wise_FY-08~09"/>
      <sheetName val="BS"/>
      <sheetName val="FF"/>
      <sheetName val="5 TO 36"/>
      <sheetName val="Balance Sheet"/>
      <sheetName val="AT&amp;T"/>
      <sheetName val="AT&amp;T Canada"/>
      <sheetName val="Bell Nexxia"/>
      <sheetName val="Global Crossing revised"/>
      <sheetName val="Sprint"/>
      <sheetName val="Credit Risk _CR2_"/>
      <sheetName val="Order wise"/>
      <sheetName val="Cut Wise"/>
      <sheetName val="SON"/>
      <sheetName val="P&amp;L-P&amp;LApp_2"/>
      <sheetName val="Cash_Flow2"/>
      <sheetName val="Notes_1to72"/>
      <sheetName val="Note_8-102"/>
      <sheetName val="Note_11&amp;11_12"/>
      <sheetName val="Notes_12-152"/>
      <sheetName val="Note_162"/>
      <sheetName val="Note_17-192"/>
      <sheetName val="Classified_Summary_of_Assets2"/>
      <sheetName val="FEb"/>
      <sheetName val="Nov-17 Co's (5)"/>
      <sheetName val="PL Wkg"/>
      <sheetName val="08"/>
      <sheetName val="Notes-07"/>
      <sheetName val="Notes-04"/>
      <sheetName val="Notes-05"/>
      <sheetName val="Notes-06"/>
      <sheetName val="Notes-08"/>
      <sheetName val="Notes-03"/>
      <sheetName val="sec.6_STD"/>
      <sheetName val="sec.6_LOCAL"/>
      <sheetName val="Credit_Risk__CR2_"/>
      <sheetName val="Aircraft  Fuel"/>
      <sheetName val="Design"/>
      <sheetName val="TOE 2"/>
      <sheetName val="BS-JPN"/>
      <sheetName val="cons"/>
      <sheetName val="Aylık"/>
      <sheetName val="data"/>
      <sheetName val="RETAIL LEASE"/>
      <sheetName val="AL905"/>
      <sheetName val="REV-SH_"/>
      <sheetName val="P&amp;L-P&amp;LApp_3"/>
      <sheetName val="Cash_Flow3"/>
      <sheetName val="Notes_1to73"/>
      <sheetName val="Note_8-103"/>
      <sheetName val="Note_11&amp;11_13"/>
      <sheetName val="Notes_12-153"/>
      <sheetName val="Note_163"/>
      <sheetName val="Note_17-193"/>
      <sheetName val="Classified_Summary_of_Assets3"/>
      <sheetName val="Op_lease_adj"/>
      <sheetName val="B_S_AND_P_&amp;_L"/>
      <sheetName val="cd_"/>
      <sheetName val="Drop_Down"/>
      <sheetName val="AT&amp;T_Canada"/>
      <sheetName val="Bell_Nexxia"/>
      <sheetName val="Global_Crossing_revised"/>
      <sheetName val="P&amp;L"/>
      <sheetName val="BAHRAIN"/>
      <sheetName val="DOHA QATAR "/>
      <sheetName val="PAKISTAN"/>
      <sheetName val="UAE"/>
      <sheetName val="Hyperion"/>
      <sheetName val="Mechanical"/>
      <sheetName val="Air Compress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in Trade"/>
      <sheetName val="Other Income"/>
      <sheetName val="Income Tax"/>
      <sheetName val="Sheet1"/>
      <sheetName val="Profit Loss"/>
      <sheetName val="Balance Sheet"/>
      <sheetName val="Assets Liab"/>
      <sheetName val="Prov Liab"/>
      <sheetName val="DTLBSNW"/>
      <sheetName val="BSNW"/>
      <sheetName val="Dealers Sumry"/>
      <sheetName val="Dealer Agencies"/>
      <sheetName val="PNL Taksh"/>
      <sheetName val="HOH Balance She"/>
      <sheetName val="HOH     P  L"/>
      <sheetName val="FixedAssets"/>
      <sheetName val="Budget 2000-01"/>
      <sheetName val="Final Accounts"/>
      <sheetName val="Half yearly "/>
      <sheetName val="Ratio Analysis"/>
      <sheetName val="Statiscal Data"/>
      <sheetName val="Cash Flow  HOH"/>
      <sheetName val="CKD Tax Comput"/>
      <sheetName val="Deferred Tax"/>
      <sheetName val="Adv to vendor"/>
      <sheetName val="ProfitProv"/>
      <sheetName val="DTLP&amp;LNW"/>
      <sheetName val="P&amp;LNW"/>
      <sheetName val="ProdlineNW"/>
      <sheetName val="Summary Gp Anal"/>
      <sheetName val="Stock Quantity"/>
      <sheetName val="GP Analysis"/>
      <sheetName val="CFNW"/>
      <sheetName val="FundsNW"/>
      <sheetName val="Stock_in_Trade"/>
      <sheetName val="Other_Income"/>
      <sheetName val="Income_Tax"/>
      <sheetName val="Profit_Loss"/>
      <sheetName val="Balance_Sheet"/>
      <sheetName val="Assets_Liab"/>
      <sheetName val="Prov_Liab"/>
      <sheetName val="Dealers_Sumry"/>
      <sheetName val="Dealer_Agencies"/>
      <sheetName val="PNL_Taksh"/>
      <sheetName val="HOH_Balance_She"/>
      <sheetName val="HOH_____P__L"/>
      <sheetName val="Budget_2000-01"/>
      <sheetName val="Final_Accounts"/>
      <sheetName val="Half_yearly_"/>
      <sheetName val="Ratio_Analysis"/>
      <sheetName val="Statiscal_Data"/>
      <sheetName val="Cash_Flow__HOH"/>
      <sheetName val="CKD_Tax_Comput"/>
      <sheetName val="Deferred_Tax"/>
      <sheetName val="Adv_to_vendor"/>
      <sheetName val="Summary_Gp_Anal"/>
      <sheetName val="Stock_Quantity"/>
      <sheetName val="GP_Analysis"/>
      <sheetName val="MISOCT(03)"/>
      <sheetName val="td"/>
      <sheetName val="Stock_in_Trade1"/>
      <sheetName val="Other_Income1"/>
      <sheetName val="Income_Tax1"/>
      <sheetName val="Profit_Loss1"/>
      <sheetName val="Balance_Sheet1"/>
      <sheetName val="Assets_Liab1"/>
      <sheetName val="Prov_Liab1"/>
      <sheetName val="Dealers_Sumry1"/>
      <sheetName val="Dealer_Agencies1"/>
      <sheetName val="PNL_Taksh1"/>
      <sheetName val="HOH_Balance_She1"/>
      <sheetName val="HOH_____P__L1"/>
      <sheetName val="Budget_2000-011"/>
      <sheetName val="Final_Accounts1"/>
      <sheetName val="Half_yearly_1"/>
      <sheetName val="Ratio_Analysis1"/>
      <sheetName val="Statiscal_Data1"/>
      <sheetName val="Cash_Flow__HOH1"/>
      <sheetName val="CKD_Tax_Comput1"/>
      <sheetName val="Deferred_Tax1"/>
      <sheetName val="Adv_to_vendor1"/>
      <sheetName val="Summary_Gp_Anal1"/>
      <sheetName val="Stock_Quantity1"/>
      <sheetName val="GP_Analysis1"/>
      <sheetName val="B-S(p)"/>
      <sheetName val="READING"/>
      <sheetName val="Bill"/>
      <sheetName val="Accounts"/>
      <sheetName val="Revenue-Fire-Marine-Motor"/>
      <sheetName val="10-C Bonus"/>
      <sheetName val="Fotco handling"/>
      <sheetName val="Liability of unbilled expenses"/>
      <sheetName val="warehourse surcharge GR-IR"/>
      <sheetName val="Code"/>
      <sheetName val="Sale"/>
      <sheetName val="branch code"/>
      <sheetName val="NED09-10 SW"/>
      <sheetName val="BAS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INDUS MOTOR COMPANY LIMITED</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Lists"/>
      <sheetName val="TRAN"/>
      <sheetName val="Notes4-8_21"/>
      <sheetName val="last_qrt20011"/>
      <sheetName val="last_qrt20001"/>
      <sheetName val="Data_Validation_List"/>
      <sheetName val="Min_Tax"/>
      <sheetName val="Current_Tax"/>
      <sheetName val="Historical_Losses_(2)"/>
      <sheetName val="Sheet3"/>
      <sheetName val="1st QuarterAccounts"/>
      <sheetName val=""/>
      <sheetName val="Disposals"/>
      <sheetName val="Link with Kibor"/>
      <sheetName val="Link with Advances"/>
      <sheetName val="EMOF Portfolio"/>
      <sheetName val="P &amp; L"/>
      <sheetName val="Notes4-8_22"/>
      <sheetName val="last_qrt20012"/>
      <sheetName val="last_qrt20002"/>
      <sheetName val="Data_Validation_List1"/>
      <sheetName val="Min_Tax1"/>
      <sheetName val="Current_Tax1"/>
      <sheetName val="Historical_Losses_(2)1"/>
      <sheetName val="Credit_Review"/>
      <sheetName val="CLV assumptions"/>
      <sheetName val="Custom_LLR"/>
      <sheetName val="LLR"/>
      <sheetName val="CWS1"/>
      <sheetName val="CWSSUM1"/>
      <sheetName val="TKT"/>
      <sheetName val="TKTSUM"/>
      <sheetName val="Sheet2"/>
      <sheetName val="CF wrking"/>
      <sheetName val="Grouping"/>
      <sheetName val="1st_QuarterAccounts"/>
      <sheetName val="Child"/>
      <sheetName val="DATA"/>
      <sheetName val="(E-1)-Lead Sheet"/>
      <sheetName val="Cash Flow  HOH"/>
      <sheetName val=" Travel Club"/>
      <sheetName val="(A-1)-Lead Sheet"/>
      <sheetName val="acct"/>
      <sheetName val="1st%20QuarterAccounts"/>
      <sheetName val="Bank Data"/>
      <sheetName val="AL905"/>
      <sheetName val="Code"/>
      <sheetName val="Holidays"/>
      <sheetName val="Old Code"/>
      <sheetName val="TBPRICE"/>
      <sheetName val="Instr"/>
      <sheetName val="I- INV C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Sheet - PEF"/>
      <sheetName val="LIST"/>
    </sheetNames>
    <sheetDataSet>
      <sheetData sheetId="0" refreshError="1"/>
      <sheetData sheetId="1">
        <row r="1">
          <cell r="D1" t="str">
            <v>BROKER</v>
          </cell>
        </row>
        <row r="2">
          <cell r="D2" t="str">
            <v>ACE SECURITIES</v>
          </cell>
        </row>
        <row r="3">
          <cell r="D3" t="str">
            <v>AKBER ALI QASIM</v>
          </cell>
        </row>
        <row r="4">
          <cell r="D4" t="str">
            <v>AKD SECURITIES</v>
          </cell>
        </row>
        <row r="5">
          <cell r="D5" t="str">
            <v>AL-FALAH SECURITIES</v>
          </cell>
        </row>
        <row r="6">
          <cell r="D6" t="str">
            <v>ALI HUSSAIN RAJABALI</v>
          </cell>
        </row>
        <row r="7">
          <cell r="D7" t="str">
            <v>AMIN ISSA TAI</v>
          </cell>
        </row>
        <row r="8">
          <cell r="D8" t="str">
            <v>INVISOR SECURITIES</v>
          </cell>
        </row>
        <row r="9">
          <cell r="D9" t="str">
            <v>ARIF HABIB LTD</v>
          </cell>
        </row>
        <row r="10">
          <cell r="D10" t="str">
            <v xml:space="preserve">ATLAS CAPITAL MARKET </v>
          </cell>
        </row>
        <row r="11">
          <cell r="D11" t="str">
            <v>AZIZ FIDA HUSSAIN</v>
          </cell>
        </row>
        <row r="12">
          <cell r="D12" t="str">
            <v>ALHABIB SECURITIES</v>
          </cell>
        </row>
        <row r="13">
          <cell r="D13" t="str">
            <v>BMA CAPITAL</v>
          </cell>
        </row>
        <row r="14">
          <cell r="D14" t="str">
            <v>CAPITAL ONE</v>
          </cell>
        </row>
        <row r="15">
          <cell r="D15" t="str">
            <v>CLIK TRADE</v>
          </cell>
        </row>
        <row r="16">
          <cell r="D16" t="str">
            <v>CONCORDIA SECURITIES</v>
          </cell>
        </row>
        <row r="17">
          <cell r="D17" t="str">
            <v>DJM SECURITIES</v>
          </cell>
        </row>
        <row r="18">
          <cell r="D18" t="str">
            <v>ESCORT INV. BANK LTD</v>
          </cell>
        </row>
        <row r="19">
          <cell r="D19" t="str">
            <v>EASTERN CAPITAL LTD.</v>
          </cell>
        </row>
        <row r="20">
          <cell r="D20" t="str">
            <v>ELIXIR SECURITIES</v>
          </cell>
        </row>
        <row r="21">
          <cell r="D21" t="str">
            <v>FDM CAPITAL</v>
          </cell>
        </row>
        <row r="22">
          <cell r="D22" t="str">
            <v>FIRST CAPITAL EQUITIES</v>
          </cell>
        </row>
        <row r="23">
          <cell r="D23" t="str">
            <v>FIRST EQUITY MODARABA</v>
          </cell>
        </row>
        <row r="24">
          <cell r="D24" t="str">
            <v xml:space="preserve">FIRST NATIONAL EQUITY </v>
          </cell>
        </row>
        <row r="25">
          <cell r="D25" t="str">
            <v>FORTUNE SECURITIES</v>
          </cell>
        </row>
        <row r="26">
          <cell r="D26" t="str">
            <v>FOUNDATION SECURITIES</v>
          </cell>
        </row>
        <row r="27">
          <cell r="D27" t="str">
            <v>GLOBAL SECURITIES</v>
          </cell>
        </row>
        <row r="28">
          <cell r="D28" t="str">
            <v>ISMAIL IQBAL SECURITIES</v>
          </cell>
        </row>
        <row r="29">
          <cell r="D29" t="str">
            <v>IRFAN MAZHAR SECURITIES</v>
          </cell>
        </row>
        <row r="30">
          <cell r="D30" t="str">
            <v>IDREES H.ADAM SECURITIES</v>
          </cell>
        </row>
        <row r="31">
          <cell r="D31" t="str">
            <v>INTERMARKET SECURITIES</v>
          </cell>
        </row>
        <row r="32">
          <cell r="D32" t="str">
            <v>INVEST CAPITAL</v>
          </cell>
        </row>
        <row r="33">
          <cell r="D33" t="str">
            <v>JAHANGIR SIDDIQUI CAPITAL MARKET</v>
          </cell>
        </row>
        <row r="34">
          <cell r="D34" t="str">
            <v>JAN MOHAMMAD NINI SECURITIES</v>
          </cell>
        </row>
        <row r="35">
          <cell r="D35" t="str">
            <v>JAVED OMER VOHRA SECURITIES</v>
          </cell>
        </row>
        <row r="36">
          <cell r="D36" t="str">
            <v>KASB SECURITIES</v>
          </cell>
        </row>
        <row r="37">
          <cell r="D37" t="str">
            <v>BHAYANI SECUITIES</v>
          </cell>
        </row>
        <row r="38">
          <cell r="D38" t="str">
            <v>LIVE SECURITIES</v>
          </cell>
        </row>
        <row r="39">
          <cell r="D39" t="str">
            <v>MAS CAPITAL</v>
          </cell>
        </row>
        <row r="40">
          <cell r="D40" t="str">
            <v>MOOSANI SECURITIES</v>
          </cell>
        </row>
        <row r="41">
          <cell r="D41" t="str">
            <v>MOTIWALA SECURITIES</v>
          </cell>
        </row>
        <row r="42">
          <cell r="D42" t="str">
            <v>MULTILINE SECURITIES</v>
          </cell>
        </row>
        <row r="43">
          <cell r="D43" t="str">
            <v>NOMAN ABID &amp; CO LTD</v>
          </cell>
        </row>
        <row r="44">
          <cell r="D44" t="str">
            <v>ORIX INVESTMENT BANK</v>
          </cell>
        </row>
        <row r="45">
          <cell r="D45" t="str">
            <v>STANDARD CAPITAL SECURITIES</v>
          </cell>
        </row>
        <row r="46">
          <cell r="D46" t="str">
            <v>SHERMAN SECURITIES</v>
          </cell>
        </row>
        <row r="47">
          <cell r="D47" t="str">
            <v>TAURUS SECURITIES</v>
          </cell>
        </row>
        <row r="48">
          <cell r="D48" t="str">
            <v>WE SECURITIES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Note-14"/>
      <sheetName val="Revenue-Fire-Marine-Motor"/>
    </sheetNames>
    <sheetDataSet>
      <sheetData sheetId="0" refreshError="1"/>
      <sheetData sheetId="1" refreshError="1"/>
      <sheetData sheetId="2" refreshError="1">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efreshError="1">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 val="woRKING"/>
      <sheetName val="LOCAL STUDENTS"/>
      <sheetName val="29-30"/>
    </sheetNames>
    <sheetDataSet>
      <sheetData sheetId="0"/>
      <sheetData sheetId="1"/>
      <sheetData sheetId="2"/>
      <sheetData sheetId="3"/>
      <sheetData sheetId="4" refreshError="1">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 val="December 06"/>
      <sheetName val="November 06"/>
      <sheetName val="I-B"/>
      <sheetName val="I-BR"/>
      <sheetName val="34-38.2"/>
    </sheetNames>
    <sheetDataSet>
      <sheetData sheetId="0"/>
      <sheetData sheetId="1"/>
      <sheetData sheetId="2" refreshError="1">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efreshError="1">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efreshError="1">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in Trade"/>
      <sheetName val="Other Income"/>
      <sheetName val="Income Tax"/>
      <sheetName val="Balance Sheet"/>
      <sheetName val="Assets Liab"/>
      <sheetName val="Prov Liab"/>
      <sheetName val="Dealers Sumry"/>
      <sheetName val="Dealer Agencies"/>
      <sheetName val="GP Analysis"/>
      <sheetName val="PNL Taksh"/>
      <sheetName val="HOH Balance She"/>
      <sheetName val="HOH     P  L"/>
      <sheetName val="FixedAssets"/>
      <sheetName val="FixedAssets (2)"/>
      <sheetName val="FXArough"/>
      <sheetName val="HD Income"/>
      <sheetName val="Stock Quantity"/>
      <sheetName val="Asada Working"/>
      <sheetName val="Profit Loss"/>
      <sheetName val="Summary Gp Anal"/>
      <sheetName val="Budget 97 98"/>
      <sheetName val="Final Accounts"/>
      <sheetName val="Advance Tax"/>
      <sheetName val="Half yearly "/>
      <sheetName val="Half yearly  (2)"/>
      <sheetName val="Yamada"/>
      <sheetName val="Prductwise prof"/>
      <sheetName val="Ratio Analysis"/>
      <sheetName val="Statiscal Data"/>
      <sheetName val="Cash Flow  MIS"/>
      <sheetName val="CKD Tax Comput"/>
      <sheetName val="MIS Report 2"/>
      <sheetName val="Deferred Tax"/>
      <sheetName val="letter  title"/>
      <sheetName val="Adv to vendor"/>
      <sheetName val="ProfitProv"/>
      <sheetName val="ProdlineNW"/>
      <sheetName val="CFNW"/>
      <sheetName val="FundsNW"/>
      <sheetName val="STkTrdNW"/>
      <sheetName val="variance"/>
      <sheetName val="BSNW"/>
      <sheetName val="DTLBSNW"/>
      <sheetName val="P&amp;LNW"/>
      <sheetName val="DTLP&amp;LNW"/>
      <sheetName val="Cash Flow  HOH"/>
      <sheetName val="Cash Flow Half Yrly Accts"/>
      <sheetName val="Stock_in_Trade"/>
      <sheetName val="Other_Income"/>
      <sheetName val="Income_Tax"/>
      <sheetName val="Balance_Sheet"/>
      <sheetName val="Assets_Liab"/>
      <sheetName val="Prov_Liab"/>
      <sheetName val="Dealers_Sumry"/>
      <sheetName val="Dealer_Agencies"/>
      <sheetName val="GP_Analysis"/>
      <sheetName val="PNL_Taksh"/>
      <sheetName val="HOH_Balance_She"/>
      <sheetName val="HOH_____P__L"/>
      <sheetName val="FixedAssets_(2)"/>
      <sheetName val="HD_Income"/>
      <sheetName val="Stock_Quantity"/>
      <sheetName val="Asada_Working"/>
      <sheetName val="Profit_Loss"/>
      <sheetName val="Summary_Gp_Anal"/>
      <sheetName val="Budget_97_98"/>
      <sheetName val="Final_Accounts"/>
      <sheetName val="Advance_Tax"/>
      <sheetName val="Half_yearly_"/>
      <sheetName val="Half_yearly__(2)"/>
      <sheetName val="Prductwise_prof"/>
      <sheetName val="Ratio_Analysis"/>
      <sheetName val="Statiscal_Data"/>
      <sheetName val="Cash_Flow__MIS"/>
      <sheetName val="CKD_Tax_Comput"/>
      <sheetName val="MIS_Report_2"/>
      <sheetName val="Deferred_Tax"/>
      <sheetName val="letter__title"/>
      <sheetName val="Adv_to_vendor"/>
      <sheetName val="Cash_Flow__HOH"/>
      <sheetName val="Cash_Flow_Half_Yrly_Accts"/>
      <sheetName val="BASIC DATA"/>
      <sheetName val="NORMAL"/>
      <sheetName val="Stock_in_Trade1"/>
      <sheetName val="Other_Income1"/>
      <sheetName val="Income_Tax1"/>
      <sheetName val="Balance_Sheet1"/>
      <sheetName val="Assets_Liab1"/>
      <sheetName val="Prov_Liab1"/>
      <sheetName val="Dealers_Sumry1"/>
      <sheetName val="Dealer_Agencies1"/>
      <sheetName val="GP_Analysis1"/>
      <sheetName val="PNL_Taksh1"/>
      <sheetName val="HOH_Balance_She1"/>
      <sheetName val="HOH_____P__L1"/>
      <sheetName val="FixedAssets_(2)1"/>
      <sheetName val="HD_Income1"/>
      <sheetName val="Stock_Quantity1"/>
      <sheetName val="Asada_Working1"/>
      <sheetName val="Profit_Loss1"/>
      <sheetName val="Summary_Gp_Anal1"/>
      <sheetName val="Budget_97_981"/>
      <sheetName val="Final_Accounts1"/>
      <sheetName val="Advance_Tax1"/>
      <sheetName val="Half_yearly_1"/>
      <sheetName val="Half_yearly__(2)1"/>
      <sheetName val="Prductwise_prof1"/>
      <sheetName val="Ratio_Analysis1"/>
      <sheetName val="Statiscal_Data1"/>
      <sheetName val="Cash_Flow__MIS1"/>
      <sheetName val="CKD_Tax_Comput1"/>
      <sheetName val="MIS_Report_21"/>
      <sheetName val="Deferred_Tax1"/>
      <sheetName val="letter__title1"/>
      <sheetName val="Adv_to_vendor1"/>
      <sheetName val="Cash_Flow__HOH1"/>
      <sheetName val="Cash_Flow_Half_Yrly_Accts1"/>
      <sheetName val="Notes"/>
      <sheetName val="COS"/>
      <sheetName val="EXPL-PROD_IEOC"/>
      <sheetName val="EXPL-EXP_IEOC"/>
      <sheetName val="ImpPurJournal"/>
      <sheetName val="Notes 3 to27"/>
      <sheetName val="BS"/>
      <sheetName val="Recipe"/>
      <sheetName val="Active Washes"/>
      <sheetName val="CPMLETE TB - original"/>
      <sheetName val="BS FOR PRINT"/>
      <sheetName val="Requirements"/>
      <sheetName val="Main 01-02"/>
      <sheetName val="pnsc"/>
      <sheetName val="pur&amp;sal"/>
      <sheetName val="recn"/>
      <sheetName val="PRICE-COMP"/>
      <sheetName val="TOTAL P&amp;L"/>
      <sheetName val="Input"/>
      <sheetName val="Invetory level"/>
      <sheetName val="Fin Stats"/>
      <sheetName val="Sheet3"/>
      <sheetName val="Sheet2"/>
      <sheetName val="BASIC_DATA"/>
      <sheetName val="acct"/>
      <sheetName val="PayRoll"/>
    </sheetNames>
    <sheetDataSet>
      <sheetData sheetId="0">
        <row r="2">
          <cell r="B2" t="str">
            <v>Indus Motor Company Limited</v>
          </cell>
        </row>
      </sheetData>
      <sheetData sheetId="1">
        <row r="2">
          <cell r="B2" t="str">
            <v>Indus Motor Company Limited</v>
          </cell>
        </row>
      </sheetData>
      <sheetData sheetId="2">
        <row r="2">
          <cell r="B2" t="str">
            <v>Indus Motor Company Limited</v>
          </cell>
        </row>
      </sheetData>
      <sheetData sheetId="3">
        <row r="2">
          <cell r="B2" t="str">
            <v>Indus Motor Company Limited</v>
          </cell>
        </row>
      </sheetData>
      <sheetData sheetId="4">
        <row r="2">
          <cell r="B2" t="str">
            <v>Indus Motor Company Limited</v>
          </cell>
        </row>
      </sheetData>
      <sheetData sheetId="5">
        <row r="2">
          <cell r="B2" t="str">
            <v>Indus Motor Company Limited</v>
          </cell>
        </row>
      </sheetData>
      <sheetData sheetId="6">
        <row r="2">
          <cell r="B2" t="str">
            <v>Indus Motor Company Limited</v>
          </cell>
        </row>
      </sheetData>
      <sheetData sheetId="7">
        <row r="2">
          <cell r="B2" t="str">
            <v>Indus Motor Company Limited</v>
          </cell>
        </row>
      </sheetData>
      <sheetData sheetId="8">
        <row r="2">
          <cell r="B2" t="str">
            <v>Indus Motor Company Limited</v>
          </cell>
        </row>
      </sheetData>
      <sheetData sheetId="9">
        <row r="2">
          <cell r="B2" t="str">
            <v>Indus Motor Company Limited</v>
          </cell>
        </row>
      </sheetData>
      <sheetData sheetId="10">
        <row r="2">
          <cell r="B2" t="str">
            <v>Indus Motor Company Limited</v>
          </cell>
        </row>
      </sheetData>
      <sheetData sheetId="11">
        <row r="2">
          <cell r="B2" t="str">
            <v>Indus Motor Company Limited</v>
          </cell>
        </row>
      </sheetData>
      <sheetData sheetId="12">
        <row r="2">
          <cell r="B2" t="str">
            <v>Indus Motor Company Limited</v>
          </cell>
        </row>
      </sheetData>
      <sheetData sheetId="13">
        <row r="2">
          <cell r="B2" t="str">
            <v>Indus Motor Company Limited</v>
          </cell>
        </row>
      </sheetData>
      <sheetData sheetId="14">
        <row r="2">
          <cell r="B2" t="str">
            <v>Indus Motor Company Limited</v>
          </cell>
        </row>
      </sheetData>
      <sheetData sheetId="15">
        <row r="2">
          <cell r="B2" t="str">
            <v>Indus Motor Company Limited</v>
          </cell>
        </row>
      </sheetData>
      <sheetData sheetId="16"/>
      <sheetData sheetId="17"/>
      <sheetData sheetId="18"/>
      <sheetData sheetId="19"/>
      <sheetData sheetId="20"/>
      <sheetData sheetId="21"/>
      <sheetData sheetId="22"/>
      <sheetData sheetId="23"/>
      <sheetData sheetId="24"/>
      <sheetData sheetId="25"/>
      <sheetData sheetId="26"/>
      <sheetData sheetId="27">
        <row r="2">
          <cell r="B2" t="str">
            <v>Indus Motor Company Limited</v>
          </cell>
        </row>
      </sheetData>
      <sheetData sheetId="28">
        <row r="2">
          <cell r="B2" t="str">
            <v>Indus Motor Company Limited</v>
          </cell>
        </row>
      </sheetData>
      <sheetData sheetId="29">
        <row r="2">
          <cell r="B2" t="str">
            <v>Indus Motor Company Limited</v>
          </cell>
        </row>
      </sheetData>
      <sheetData sheetId="30">
        <row r="2">
          <cell r="B2" t="str">
            <v>Indus Motor Company Limited</v>
          </cell>
        </row>
      </sheetData>
      <sheetData sheetId="31">
        <row r="2">
          <cell r="B2" t="str">
            <v>Indus Motor Company Limited</v>
          </cell>
        </row>
      </sheetData>
      <sheetData sheetId="32">
        <row r="2">
          <cell r="B2" t="str">
            <v>Indus Motor Company Limited</v>
          </cell>
        </row>
      </sheetData>
      <sheetData sheetId="33">
        <row r="2">
          <cell r="B2" t="str">
            <v>Indus Motor Company Limited</v>
          </cell>
        </row>
      </sheetData>
      <sheetData sheetId="34">
        <row r="2">
          <cell r="B2" t="str">
            <v>Indus Motor Company Limited</v>
          </cell>
        </row>
      </sheetData>
      <sheetData sheetId="35">
        <row r="2">
          <cell r="B2" t="str">
            <v>Indus Motor Company Limited</v>
          </cell>
        </row>
      </sheetData>
      <sheetData sheetId="36">
        <row r="2">
          <cell r="B2" t="str">
            <v>Indus Motor Company Limited</v>
          </cell>
        </row>
      </sheetData>
      <sheetData sheetId="37">
        <row r="2">
          <cell r="B2" t="str">
            <v>Indus Motor Company Limited</v>
          </cell>
        </row>
      </sheetData>
      <sheetData sheetId="38">
        <row r="2">
          <cell r="B2" t="str">
            <v>Indus Motor Company Limited</v>
          </cell>
        </row>
      </sheetData>
      <sheetData sheetId="39">
        <row r="2">
          <cell r="B2" t="str">
            <v>Indus Motor Company Limited</v>
          </cell>
        </row>
      </sheetData>
      <sheetData sheetId="40">
        <row r="2">
          <cell r="B2" t="str">
            <v>Indus Motor Company Limited</v>
          </cell>
        </row>
      </sheetData>
      <sheetData sheetId="41">
        <row r="2">
          <cell r="B2" t="str">
            <v>Indus Motor Company Limited</v>
          </cell>
        </row>
      </sheetData>
      <sheetData sheetId="42">
        <row r="2">
          <cell r="B2" t="str">
            <v>Indus Motor Company Limited</v>
          </cell>
        </row>
      </sheetData>
      <sheetData sheetId="43">
        <row r="2">
          <cell r="B2" t="str">
            <v>Indus Motor Company Limited</v>
          </cell>
        </row>
      </sheetData>
      <sheetData sheetId="44">
        <row r="2">
          <cell r="B2" t="str">
            <v>Indus Motor Company Limited</v>
          </cell>
        </row>
      </sheetData>
      <sheetData sheetId="45" refreshError="1">
        <row r="2">
          <cell r="B2" t="str">
            <v>Indus Motor Company Limited</v>
          </cell>
        </row>
        <row r="3">
          <cell r="B3" t="str">
            <v>Statement Of Changes in Financial Position ( Cash Flow Statement)</v>
          </cell>
        </row>
        <row r="4">
          <cell r="B4" t="str">
            <v>For the Period Ending December 31 1999.</v>
          </cell>
        </row>
        <row r="5">
          <cell r="K5" t="str">
            <v>1999</v>
          </cell>
        </row>
        <row r="6">
          <cell r="I6" t="str">
            <v>Note</v>
          </cell>
          <cell r="K6" t="str">
            <v>Dec</v>
          </cell>
          <cell r="M6" t="str">
            <v>1999</v>
          </cell>
        </row>
        <row r="7">
          <cell r="K7" t="str">
            <v>(Rupees in ' 000)</v>
          </cell>
          <cell r="L7">
            <v>0</v>
          </cell>
          <cell r="M7" t="str">
            <v>June</v>
          </cell>
        </row>
        <row r="9">
          <cell r="B9" t="str">
            <v>CASH FLOW FROM OPERATING ACTIVITIES</v>
          </cell>
        </row>
        <row r="11">
          <cell r="C11" t="str">
            <v>Cash (utilised) /generated from operations</v>
          </cell>
          <cell r="I11">
            <v>1</v>
          </cell>
          <cell r="K11">
            <v>-138676.50016</v>
          </cell>
          <cell r="M11">
            <v>-380440</v>
          </cell>
        </row>
        <row r="13">
          <cell r="C13" t="str">
            <v>1)   Cash generated from Operations:</v>
          </cell>
        </row>
        <row r="14">
          <cell r="C14" t="str">
            <v>Profit before taxation</v>
          </cell>
          <cell r="K14">
            <v>102935</v>
          </cell>
          <cell r="M14">
            <v>501309</v>
          </cell>
        </row>
        <row r="15">
          <cell r="C15" t="str">
            <v>Adjustment for non cash charges and other items</v>
          </cell>
        </row>
        <row r="16">
          <cell r="D16" t="str">
            <v>Depreciation</v>
          </cell>
          <cell r="K16">
            <v>53227.74</v>
          </cell>
          <cell r="M16">
            <v>110788</v>
          </cell>
        </row>
        <row r="17">
          <cell r="D17" t="str">
            <v>Profit on sale of fixed assets</v>
          </cell>
          <cell r="K17">
            <v>-1019</v>
          </cell>
          <cell r="M17">
            <v>-2599</v>
          </cell>
        </row>
        <row r="18">
          <cell r="D18" t="str">
            <v>Financial charges</v>
          </cell>
          <cell r="K18">
            <v>14291.08366</v>
          </cell>
          <cell r="M18">
            <v>43259</v>
          </cell>
        </row>
        <row r="19">
          <cell r="D19" t="str">
            <v>Amortisation of deferred cost</v>
          </cell>
          <cell r="K19">
            <v>0</v>
          </cell>
          <cell r="M19">
            <v>0</v>
          </cell>
        </row>
        <row r="20">
          <cell r="D20" t="str">
            <v>Provision for warranty obligations</v>
          </cell>
          <cell r="K20">
            <v>1500</v>
          </cell>
          <cell r="M20">
            <v>2601</v>
          </cell>
        </row>
        <row r="21">
          <cell r="D21" t="str">
            <v>Working capital changes  - see note 1.1</v>
          </cell>
          <cell r="K21">
            <v>-138676.50016</v>
          </cell>
          <cell r="M21">
            <v>-1035797</v>
          </cell>
        </row>
        <row r="23">
          <cell r="K23">
            <v>32258.323499999999</v>
          </cell>
          <cell r="M23">
            <v>-380439</v>
          </cell>
        </row>
        <row r="26">
          <cell r="C26" t="str">
            <v>1.1   Working capital changes</v>
          </cell>
        </row>
        <row r="28">
          <cell r="D28" t="str">
            <v>Decrease/(Increase) in current assets</v>
          </cell>
        </row>
        <row r="29">
          <cell r="D29" t="str">
            <v xml:space="preserve">    Stores and spares</v>
          </cell>
          <cell r="K29">
            <v>15961</v>
          </cell>
          <cell r="M29">
            <v>-48455</v>
          </cell>
        </row>
        <row r="30">
          <cell r="D30" t="str">
            <v xml:space="preserve">    Finished Goods</v>
          </cell>
          <cell r="K30">
            <v>-157154.89312000002</v>
          </cell>
          <cell r="M30">
            <v>-116997</v>
          </cell>
        </row>
        <row r="31">
          <cell r="D31" t="str">
            <v xml:space="preserve">    Raw Material</v>
          </cell>
          <cell r="K31">
            <v>3363.6529999999912</v>
          </cell>
          <cell r="M31">
            <v>26764</v>
          </cell>
        </row>
        <row r="32">
          <cell r="D32" t="str">
            <v xml:space="preserve">    Stock in Transit</v>
          </cell>
          <cell r="K32">
            <v>-122683.99766000005</v>
          </cell>
          <cell r="M32">
            <v>-17070</v>
          </cell>
        </row>
        <row r="33">
          <cell r="D33" t="str">
            <v xml:space="preserve">    Work in Process</v>
          </cell>
          <cell r="K33">
            <v>-255637.74600000004</v>
          </cell>
          <cell r="M33">
            <v>-91828</v>
          </cell>
        </row>
        <row r="34">
          <cell r="D34" t="str">
            <v xml:space="preserve">    Trade debts</v>
          </cell>
          <cell r="K34">
            <v>146392</v>
          </cell>
          <cell r="M34">
            <v>-238946</v>
          </cell>
        </row>
        <row r="35">
          <cell r="D35" t="str">
            <v xml:space="preserve">    Advances to Suppliers/Contractors/Employees</v>
          </cell>
          <cell r="K35">
            <v>69295</v>
          </cell>
          <cell r="M35">
            <v>-70568</v>
          </cell>
        </row>
        <row r="36">
          <cell r="D36" t="str">
            <v xml:space="preserve">    Prepayments</v>
          </cell>
          <cell r="K36">
            <v>-4468</v>
          </cell>
          <cell r="M36">
            <v>2723</v>
          </cell>
        </row>
        <row r="37">
          <cell r="D37" t="str">
            <v xml:space="preserve">    Other receivables</v>
          </cell>
          <cell r="K37">
            <v>-29157</v>
          </cell>
          <cell r="M37">
            <v>32451</v>
          </cell>
        </row>
        <row r="38">
          <cell r="D38" t="str">
            <v xml:space="preserve">    </v>
          </cell>
        </row>
        <row r="39">
          <cell r="D39" t="str">
            <v>(Decrease) / Increase in current liabilities</v>
          </cell>
        </row>
        <row r="41">
          <cell r="D41" t="str">
            <v xml:space="preserve">    Creditors, Accrued and Other Liabilities</v>
          </cell>
          <cell r="K41">
            <v>9676</v>
          </cell>
          <cell r="M41">
            <v>-513871</v>
          </cell>
        </row>
        <row r="43">
          <cell r="K43">
            <v>-324413.98378000013</v>
          </cell>
          <cell r="M43">
            <v>-1035797</v>
          </cell>
        </row>
        <row r="46">
          <cell r="C46" t="str">
            <v>Financial charges paid</v>
          </cell>
          <cell r="K46">
            <v>-23868.08366</v>
          </cell>
          <cell r="M46">
            <v>-30781</v>
          </cell>
        </row>
        <row r="47">
          <cell r="C47" t="str">
            <v>Income tax (paid) / received</v>
          </cell>
          <cell r="K47">
            <v>-44295.754949999973</v>
          </cell>
          <cell r="M47">
            <v>-233864</v>
          </cell>
        </row>
        <row r="48">
          <cell r="C48" t="str">
            <v>Long term deposits and deferred costs</v>
          </cell>
          <cell r="K48">
            <v>2500</v>
          </cell>
          <cell r="M48">
            <v>837</v>
          </cell>
        </row>
        <row r="49">
          <cell r="B49" t="str">
            <v>Net Cash (Outflow) / Inflow From Operating Activities</v>
          </cell>
          <cell r="K49">
            <v>-204340.33876999997</v>
          </cell>
          <cell r="M49">
            <v>-644248</v>
          </cell>
        </row>
        <row r="52">
          <cell r="B52" t="str">
            <v>CASH FLOW FROM INVESTING ACTIVITIES</v>
          </cell>
        </row>
        <row r="54">
          <cell r="C54" t="str">
            <v>Fixed capital expenditure</v>
          </cell>
          <cell r="K54">
            <v>-174840.92879999999</v>
          </cell>
          <cell r="M54">
            <v>-213594</v>
          </cell>
        </row>
        <row r="55">
          <cell r="C55" t="str">
            <v>Investment in AT &amp; T</v>
          </cell>
          <cell r="K55">
            <v>0</v>
          </cell>
          <cell r="M55">
            <v>-1875</v>
          </cell>
        </row>
        <row r="56">
          <cell r="C56" t="str">
            <v>Sale  proceeds of fixed assets</v>
          </cell>
          <cell r="K56">
            <v>8262</v>
          </cell>
          <cell r="M56">
            <v>13520</v>
          </cell>
        </row>
        <row r="57">
          <cell r="B57" t="str">
            <v>Net Cash (Outflow) From Investing Activities</v>
          </cell>
          <cell r="K57">
            <v>-166578.92879999999</v>
          </cell>
          <cell r="M57">
            <v>-201949</v>
          </cell>
        </row>
        <row r="59">
          <cell r="B59" t="str">
            <v>CASH FLOW FROM FINANCING ACTIVIES</v>
          </cell>
        </row>
        <row r="60">
          <cell r="C60" t="str">
            <v>Locally Manufactured Machinery loan</v>
          </cell>
          <cell r="K60">
            <v>-6994</v>
          </cell>
          <cell r="M60">
            <v>-6725</v>
          </cell>
        </row>
        <row r="61">
          <cell r="C61" t="str">
            <v>Repayment of Suppliers Credit loan</v>
          </cell>
          <cell r="K61">
            <v>0</v>
          </cell>
          <cell r="M61">
            <v>-54808</v>
          </cell>
        </row>
        <row r="62">
          <cell r="C62" t="str">
            <v>Long term loan borrowed</v>
          </cell>
          <cell r="K62">
            <v>0</v>
          </cell>
          <cell r="M62">
            <v>283799</v>
          </cell>
        </row>
        <row r="63">
          <cell r="C63" t="str">
            <v>Dividend paid-Income tax</v>
          </cell>
          <cell r="K63">
            <v>-18745.522700000001</v>
          </cell>
          <cell r="M63">
            <v>-113736</v>
          </cell>
        </row>
        <row r="64">
          <cell r="B64" t="str">
            <v>Net Cash (Outflow) From Financing Activities</v>
          </cell>
          <cell r="K64">
            <v>-25739.522700000001</v>
          </cell>
          <cell r="M64">
            <v>108530</v>
          </cell>
        </row>
        <row r="66">
          <cell r="B66" t="str">
            <v>NET (DECREASE) / INCREASE IN CASH AND CASH EQUIVALENTS</v>
          </cell>
          <cell r="K66">
            <v>-396658.79027</v>
          </cell>
          <cell r="M66">
            <v>-737667</v>
          </cell>
        </row>
        <row r="68">
          <cell r="B68" t="str">
            <v>CASH AND CASH EQUIVALENTS AT BEGINNNING OF THE YEAR</v>
          </cell>
          <cell r="I68">
            <v>2</v>
          </cell>
          <cell r="K68">
            <v>81951</v>
          </cell>
          <cell r="M68">
            <v>833465</v>
          </cell>
        </row>
        <row r="70">
          <cell r="B70" t="str">
            <v>CASH AND CASH EQUIVALENTS AT END OF  THE PERIOD</v>
          </cell>
          <cell r="I70">
            <v>2</v>
          </cell>
          <cell r="K70">
            <v>-314707.79027</v>
          </cell>
          <cell r="M70">
            <v>95798</v>
          </cell>
        </row>
        <row r="72">
          <cell r="A72" t="str">
            <v>||</v>
          </cell>
          <cell r="K72">
            <v>-314708</v>
          </cell>
        </row>
        <row r="73">
          <cell r="B73" t="str">
            <v>Enclosure  4a</v>
          </cell>
          <cell r="M73" t="str">
            <v>Page 4</v>
          </cell>
        </row>
        <row r="75">
          <cell r="K75" t="str">
            <v>1999</v>
          </cell>
          <cell r="M75">
            <v>1999</v>
          </cell>
        </row>
        <row r="76">
          <cell r="K76" t="str">
            <v>Dec</v>
          </cell>
          <cell r="L76">
            <v>0</v>
          </cell>
          <cell r="M76" t="str">
            <v>June</v>
          </cell>
        </row>
        <row r="77">
          <cell r="K77" t="str">
            <v>(Rupees in thousands)</v>
          </cell>
        </row>
        <row r="78">
          <cell r="B78" t="str">
            <v>1    CASH (UTILISED) / GENERATED FROM OPERATIONS</v>
          </cell>
        </row>
        <row r="80">
          <cell r="C80" t="str">
            <v>Profit before taxation</v>
          </cell>
          <cell r="K80">
            <v>102932.67617999999</v>
          </cell>
          <cell r="M80">
            <v>501309</v>
          </cell>
        </row>
        <row r="81">
          <cell r="C81" t="str">
            <v>Adjustment for non cash charges and other items</v>
          </cell>
        </row>
        <row r="82">
          <cell r="D82" t="str">
            <v>Depreciation</v>
          </cell>
          <cell r="K82">
            <v>53227.74</v>
          </cell>
          <cell r="M82">
            <v>110788</v>
          </cell>
        </row>
        <row r="83">
          <cell r="D83" t="str">
            <v>Profit on sale of fixed assets</v>
          </cell>
          <cell r="K83">
            <v>-1019</v>
          </cell>
          <cell r="M83">
            <v>-2599</v>
          </cell>
        </row>
        <row r="84">
          <cell r="D84" t="str">
            <v>Financial charges</v>
          </cell>
          <cell r="K84">
            <v>14291.08366</v>
          </cell>
          <cell r="M84">
            <v>43259</v>
          </cell>
        </row>
        <row r="85">
          <cell r="D85" t="str">
            <v>Amortisation of deferred cost</v>
          </cell>
          <cell r="K85">
            <v>0</v>
          </cell>
          <cell r="M85">
            <v>0</v>
          </cell>
        </row>
        <row r="86">
          <cell r="D86" t="str">
            <v>Provision for warranty obligations</v>
          </cell>
          <cell r="K86">
            <v>0</v>
          </cell>
          <cell r="M86">
            <v>2601</v>
          </cell>
        </row>
        <row r="87">
          <cell r="D87" t="str">
            <v>Working capital changes  - see note 1.1</v>
          </cell>
          <cell r="K87">
            <v>-308109</v>
          </cell>
          <cell r="M87">
            <v>-1035797</v>
          </cell>
        </row>
        <row r="89">
          <cell r="K89">
            <v>-138676.50016</v>
          </cell>
          <cell r="M89">
            <v>-380439</v>
          </cell>
        </row>
        <row r="92">
          <cell r="C92" t="str">
            <v>1.1   Working capital changes</v>
          </cell>
        </row>
        <row r="94">
          <cell r="D94" t="str">
            <v>Decrease/(Increase) in current assets</v>
          </cell>
        </row>
        <row r="95">
          <cell r="D95" t="str">
            <v xml:space="preserve">    Stores and spares</v>
          </cell>
          <cell r="K95">
            <v>-4958</v>
          </cell>
          <cell r="M95">
            <v>-48455</v>
          </cell>
        </row>
        <row r="96">
          <cell r="D96" t="str">
            <v xml:space="preserve">    Stock -in-trade</v>
          </cell>
          <cell r="K96">
            <v>-511194</v>
          </cell>
          <cell r="M96">
            <v>-199131</v>
          </cell>
        </row>
        <row r="97">
          <cell r="D97" t="str">
            <v xml:space="preserve">    Trade debts</v>
          </cell>
          <cell r="K97">
            <v>162487</v>
          </cell>
          <cell r="M97">
            <v>-238946</v>
          </cell>
        </row>
        <row r="98">
          <cell r="D98" t="str">
            <v xml:space="preserve">    Advances and prepayments</v>
          </cell>
          <cell r="K98">
            <v>-40692</v>
          </cell>
          <cell r="M98">
            <v>-67845</v>
          </cell>
        </row>
        <row r="99">
          <cell r="D99" t="str">
            <v xml:space="preserve">    Other receivables</v>
          </cell>
          <cell r="K99">
            <v>-34917</v>
          </cell>
          <cell r="M99">
            <v>32451</v>
          </cell>
        </row>
        <row r="100">
          <cell r="D100" t="str">
            <v xml:space="preserve">    </v>
          </cell>
        </row>
        <row r="101">
          <cell r="D101" t="str">
            <v>(Decrease) / Increase in current liabilities</v>
          </cell>
        </row>
        <row r="102">
          <cell r="D102" t="str">
            <v xml:space="preserve">     Creditors and accrued liabilities</v>
          </cell>
          <cell r="K102">
            <v>121165</v>
          </cell>
          <cell r="M102">
            <v>-513871</v>
          </cell>
        </row>
        <row r="105">
          <cell r="K105">
            <v>-308109</v>
          </cell>
          <cell r="M105">
            <v>-1035797</v>
          </cell>
        </row>
        <row r="107">
          <cell r="B107" t="str">
            <v>2.     CASH AND CASH EQUIVALENTS</v>
          </cell>
        </row>
        <row r="109">
          <cell r="C109" t="str">
            <v>Cash and cash equivalents comprise of the following items as</v>
          </cell>
        </row>
        <row r="110">
          <cell r="C110" t="str">
            <v>included in the balance sheet</v>
          </cell>
        </row>
        <row r="112">
          <cell r="C112" t="str">
            <v xml:space="preserve"> </v>
          </cell>
          <cell r="D112" t="str">
            <v>Cash and bank balances</v>
          </cell>
          <cell r="K112">
            <v>255527</v>
          </cell>
          <cell r="M112">
            <v>502141</v>
          </cell>
        </row>
        <row r="113">
          <cell r="D113" t="str">
            <v>Short term finances</v>
          </cell>
          <cell r="K113">
            <v>-570235</v>
          </cell>
          <cell r="M113">
            <v>-406343</v>
          </cell>
        </row>
        <row r="115">
          <cell r="K115">
            <v>-314708</v>
          </cell>
          <cell r="M115">
            <v>95798</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2">
          <cell r="B2" t="str">
            <v>Indus Motor Company Limited</v>
          </cell>
        </row>
      </sheetData>
      <sheetData sheetId="84">
        <row r="2">
          <cell r="B2" t="str">
            <v>Indus Motor Company Limited</v>
          </cell>
        </row>
      </sheetData>
      <sheetData sheetId="85"/>
      <sheetData sheetId="86"/>
      <sheetData sheetId="87">
        <row r="2">
          <cell r="B2" t="str">
            <v>Indus Motor Company Limited</v>
          </cell>
        </row>
      </sheetData>
      <sheetData sheetId="88">
        <row r="2">
          <cell r="B2" t="str">
            <v>Indus Motor Company Limited</v>
          </cell>
        </row>
      </sheetData>
      <sheetData sheetId="89">
        <row r="2">
          <cell r="B2" t="str">
            <v>Indus Motor Company Limited</v>
          </cell>
        </row>
      </sheetData>
      <sheetData sheetId="90">
        <row r="2">
          <cell r="B2" t="str">
            <v>Indus Motor Company Limited</v>
          </cell>
        </row>
      </sheetData>
      <sheetData sheetId="91">
        <row r="2">
          <cell r="B2" t="str">
            <v>Indus Motor Company Limited</v>
          </cell>
        </row>
      </sheetData>
      <sheetData sheetId="92"/>
      <sheetData sheetId="93"/>
      <sheetData sheetId="94">
        <row r="2">
          <cell r="B2" t="str">
            <v>Indus Motor Company Limited</v>
          </cell>
        </row>
      </sheetData>
      <sheetData sheetId="95">
        <row r="2">
          <cell r="B2" t="str">
            <v>Indus Motor Company Limited</v>
          </cell>
        </row>
      </sheetData>
      <sheetData sheetId="96">
        <row r="2">
          <cell r="B2" t="str">
            <v>Indus Motor Company Limited</v>
          </cell>
        </row>
      </sheetData>
      <sheetData sheetId="97">
        <row r="2">
          <cell r="B2" t="str">
            <v>Indus Motor Company Limited</v>
          </cell>
        </row>
      </sheetData>
      <sheetData sheetId="98">
        <row r="2">
          <cell r="B2" t="str">
            <v>Indus Motor Company Limited</v>
          </cell>
        </row>
      </sheetData>
      <sheetData sheetId="99">
        <row r="2">
          <cell r="B2" t="str">
            <v>Indus Motor Company Limited</v>
          </cell>
        </row>
      </sheetData>
      <sheetData sheetId="100">
        <row r="2">
          <cell r="B2" t="str">
            <v>Indus Motor Company Limited</v>
          </cell>
        </row>
      </sheetData>
      <sheetData sheetId="101">
        <row r="2">
          <cell r="B2" t="str">
            <v>Indus Motor Company Limited</v>
          </cell>
        </row>
      </sheetData>
      <sheetData sheetId="102">
        <row r="2">
          <cell r="B2" t="str">
            <v>Indus Motor Company Limited</v>
          </cell>
        </row>
      </sheetData>
      <sheetData sheetId="103">
        <row r="2">
          <cell r="B2" t="str">
            <v>Indus Motor Company Limited</v>
          </cell>
        </row>
      </sheetData>
      <sheetData sheetId="104">
        <row r="2">
          <cell r="B2" t="str">
            <v>Indus Motor Company Limited</v>
          </cell>
        </row>
      </sheetData>
      <sheetData sheetId="105">
        <row r="2">
          <cell r="B2" t="str">
            <v>Indus Motor Company Limited</v>
          </cell>
        </row>
      </sheetData>
      <sheetData sheetId="106">
        <row r="2">
          <cell r="B2" t="str">
            <v>Indus Motor Company Limited</v>
          </cell>
        </row>
      </sheetData>
      <sheetData sheetId="107">
        <row r="2">
          <cell r="B2" t="str">
            <v>Indus Motor Company Limited</v>
          </cell>
        </row>
      </sheetData>
      <sheetData sheetId="108">
        <row r="2">
          <cell r="B2" t="str">
            <v>Indus Motor Company Limited</v>
          </cell>
        </row>
      </sheetData>
      <sheetData sheetId="109">
        <row r="2">
          <cell r="B2" t="str">
            <v>Indus Motor Company Limited</v>
          </cell>
        </row>
      </sheetData>
      <sheetData sheetId="110">
        <row r="2">
          <cell r="B2" t="str">
            <v>Indus Motor Company Limited</v>
          </cell>
        </row>
      </sheetData>
      <sheetData sheetId="111">
        <row r="2">
          <cell r="B2" t="str">
            <v>Indus Motor Company Limited</v>
          </cell>
        </row>
      </sheetData>
      <sheetData sheetId="112">
        <row r="2">
          <cell r="B2" t="str">
            <v>Indus Motor Company Limited</v>
          </cell>
        </row>
      </sheetData>
      <sheetData sheetId="113">
        <row r="2">
          <cell r="B2" t="str">
            <v>Indus Motor Company Limited</v>
          </cell>
        </row>
      </sheetData>
      <sheetData sheetId="114">
        <row r="2">
          <cell r="B2" t="str">
            <v>Indus Motor Company Limited</v>
          </cell>
        </row>
      </sheetData>
      <sheetData sheetId="115">
        <row r="2">
          <cell r="B2" t="str">
            <v>Indus Motor Company Limited</v>
          </cell>
        </row>
      </sheetData>
      <sheetData sheetId="116">
        <row r="2">
          <cell r="B2" t="str">
            <v>Indus Motor Company Limited</v>
          </cell>
        </row>
      </sheetData>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March 110"/>
      <sheetName val="Feb"/>
      <sheetName val="MarchSL904"/>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Hyear-siraj"/>
      <sheetName val="Income Tax"/>
      <sheetName val="DTLBSNW"/>
      <sheetName val="BSNW"/>
      <sheetName val="Balance Sheet"/>
      <sheetName val="Assets Liab"/>
      <sheetName val="Other Income"/>
      <sheetName val="Cash Flow"/>
      <sheetName val="Adv to vendor"/>
      <sheetName val="Prov Liab"/>
      <sheetName val="Dealers Sumry"/>
      <sheetName val="Dealer Agencies"/>
      <sheetName val="PNL Taksh"/>
      <sheetName val="HOH Balance She"/>
      <sheetName val="HOH     P  L"/>
      <sheetName val="FixedAssets"/>
      <sheetName val="Budget 2001-02"/>
      <sheetName val="Ratio Analysis"/>
      <sheetName val="Statiscal Data"/>
      <sheetName val="CKD Tax Comput"/>
      <sheetName val="Final Accounts"/>
      <sheetName val="Deferred Tax"/>
      <sheetName val="Half yearly "/>
      <sheetName val="ProfitProv"/>
      <sheetName val="ProdlineNW"/>
      <sheetName val="DTLP&amp;LNW"/>
      <sheetName val="P&amp;LNW"/>
      <sheetName val="Profit Loss"/>
      <sheetName val="GP Analysis"/>
      <sheetName val="Summary Gp Anal"/>
      <sheetName val="FundsNW"/>
      <sheetName val="Stock_Quantity"/>
      <sheetName val="Stock_in_Trade"/>
      <sheetName val="Income_Tax"/>
      <sheetName val="Balance_Sheet"/>
      <sheetName val="Assets_Liab"/>
      <sheetName val="Other_Income"/>
      <sheetName val="Cash_Flow"/>
      <sheetName val="Adv_to_vendor"/>
      <sheetName val="Prov_Liab"/>
      <sheetName val="Dealers_Sumry"/>
      <sheetName val="Dealer_Agencies"/>
      <sheetName val="PNL_Taksh"/>
      <sheetName val="HOH_Balance_She"/>
      <sheetName val="HOH_____P__L"/>
      <sheetName val="Budget_2001-02"/>
      <sheetName val="Ratio_Analysis"/>
      <sheetName val="Statiscal_Data"/>
      <sheetName val="CKD_Tax_Comput"/>
      <sheetName val="Final_Accounts"/>
      <sheetName val="Deferred_Tax"/>
      <sheetName val="Half_yearly_"/>
      <sheetName val="Profit_Loss"/>
      <sheetName val="GP_Analysis"/>
      <sheetName val="Summary_Gp_Anal"/>
      <sheetName val="Acct"/>
      <sheetName val="P&amp;L Commentary"/>
      <sheetName val="others"/>
      <sheetName val="td"/>
      <sheetName val="cd "/>
      <sheetName val="adp_or"/>
      <sheetName val="c_b"/>
      <sheetName val="rc"/>
      <sheetName val="f_f"/>
      <sheetName val="CPJOB WISE"/>
      <sheetName val="25-Mar-09"/>
      <sheetName val="Cash Flow - CY Workings"/>
      <sheetName val="Financial Summary"/>
      <sheetName val="Revenue-Fire-Marine-Motor"/>
      <sheetName val="Conso Serv"/>
      <sheetName val="Parameters"/>
      <sheetName val="Conso OEM"/>
      <sheetName val="December 06"/>
      <sheetName val="November 06"/>
      <sheetName val="Stock_Quantity1"/>
      <sheetName val="Stock_in_Trade1"/>
      <sheetName val="Income_Tax1"/>
      <sheetName val="Balance_Sheet1"/>
      <sheetName val="Assets_Liab1"/>
      <sheetName val="Other_Income1"/>
      <sheetName val="Cash_Flow1"/>
      <sheetName val="Adv_to_vendor1"/>
      <sheetName val="Prov_Liab1"/>
      <sheetName val="Dealers_Sumry1"/>
      <sheetName val="Dealer_Agencies1"/>
      <sheetName val="PNL_Taksh1"/>
      <sheetName val="HOH_Balance_She1"/>
      <sheetName val="HOH_____P__L1"/>
      <sheetName val="Budget_2001-021"/>
      <sheetName val="Ratio_Analysis1"/>
      <sheetName val="Statiscal_Data1"/>
      <sheetName val="CKD_Tax_Comput1"/>
      <sheetName val="Final_Accounts1"/>
      <sheetName val="Deferred_Tax1"/>
      <sheetName val="Half_yearly_1"/>
      <sheetName val="Profit_Loss1"/>
      <sheetName val="GP_Analysis1"/>
      <sheetName val="Summary_Gp_Anal1"/>
      <sheetName val="P&amp;L_Commentary"/>
      <sheetName val="cd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UH"/>
      <sheetName val="AKU"/>
      <sheetName val="SON"/>
    </sheetNames>
    <sheetDataSet>
      <sheetData sheetId="0">
        <row r="1">
          <cell r="B1" t="str">
            <v>The Aga Khan Hospital and Medical College Foundation</v>
          </cell>
        </row>
        <row r="2">
          <cell r="B2" t="str">
            <v>Finance Division - General Accounting</v>
          </cell>
        </row>
        <row r="3">
          <cell r="B3" t="str">
            <v>Reconciliation / Schedule as of December 31, 2003{Month 13}</v>
          </cell>
        </row>
        <row r="5">
          <cell r="B5" t="str">
            <v>400042*D0000 :Travel Advance</v>
          </cell>
          <cell r="K5" t="str">
            <v xml:space="preserve">Amount in Pak. Rs. </v>
          </cell>
        </row>
        <row r="6">
          <cell r="B6" t="str">
            <v>Particulars</v>
          </cell>
          <cell r="C6" t="str">
            <v>Voucher Ref. #</v>
          </cell>
          <cell r="D6" t="str">
            <v>Voucher Txn. #</v>
          </cell>
          <cell r="E6" t="str">
            <v>Date</v>
          </cell>
          <cell r="F6" t="str">
            <v>Opening Balance</v>
          </cell>
          <cell r="G6" t="str">
            <v>Debit</v>
          </cell>
          <cell r="H6" t="str">
            <v>Credit</v>
          </cell>
          <cell r="I6" t="str">
            <v>Closing Balance</v>
          </cell>
          <cell r="J6" t="str">
            <v>Description</v>
          </cell>
          <cell r="K6" t="str">
            <v>Remarks (if any)</v>
          </cell>
        </row>
        <row r="9">
          <cell r="B9" t="str">
            <v>SIKANDAR LADHANI</v>
          </cell>
          <cell r="C9" t="str">
            <v>LCP427974</v>
          </cell>
          <cell r="D9">
            <v>227206</v>
          </cell>
          <cell r="E9">
            <v>37974</v>
          </cell>
          <cell r="G9">
            <v>6000</v>
          </cell>
          <cell r="I9">
            <v>6000</v>
          </cell>
          <cell r="J9" t="str">
            <v>For Outside Visit</v>
          </cell>
        </row>
        <row r="10">
          <cell r="C10" t="str">
            <v>ADJ404834</v>
          </cell>
          <cell r="D10">
            <v>25523</v>
          </cell>
          <cell r="E10">
            <v>37987</v>
          </cell>
          <cell r="H10">
            <v>4770</v>
          </cell>
          <cell r="I10">
            <v>-4770</v>
          </cell>
          <cell r="J10" t="str">
            <v>Adj a/g trvel adv for Outside Visit</v>
          </cell>
        </row>
        <row r="11">
          <cell r="F11">
            <v>0</v>
          </cell>
          <cell r="G11">
            <v>6000</v>
          </cell>
          <cell r="H11">
            <v>4770</v>
          </cell>
          <cell r="I11">
            <v>1230</v>
          </cell>
        </row>
        <row r="13">
          <cell r="B13" t="str">
            <v>RAEES AHMED</v>
          </cell>
          <cell r="C13" t="str">
            <v>LCP429039</v>
          </cell>
          <cell r="D13">
            <v>228045</v>
          </cell>
          <cell r="E13">
            <v>37986</v>
          </cell>
          <cell r="G13">
            <v>4000</v>
          </cell>
          <cell r="I13">
            <v>4000</v>
          </cell>
          <cell r="J13" t="str">
            <v>Adv for Visit to Quetta</v>
          </cell>
        </row>
        <row r="14">
          <cell r="F14">
            <v>0</v>
          </cell>
          <cell r="G14">
            <v>4000</v>
          </cell>
          <cell r="H14">
            <v>0</v>
          </cell>
          <cell r="I14">
            <v>4000</v>
          </cell>
        </row>
        <row r="17">
          <cell r="E17" t="str">
            <v>TOTAL</v>
          </cell>
          <cell r="F17">
            <v>0</v>
          </cell>
          <cell r="G17">
            <v>10000</v>
          </cell>
          <cell r="H17">
            <v>4770</v>
          </cell>
          <cell r="I17">
            <v>5230</v>
          </cell>
        </row>
      </sheetData>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
      <sheetName val="PRT"/>
      <sheetName val="CFC"/>
      <sheetName val="BSC"/>
      <sheetName val="PLC"/>
      <sheetName val="BS-JPN"/>
      <sheetName val="Revenue-Fire-Marine-Motor"/>
      <sheetName val="Assumptions"/>
      <sheetName val="1-bwb(cb)"/>
      <sheetName val="JFOLD"/>
      <sheetName val="Parameters"/>
      <sheetName val="Codes"/>
      <sheetName val="ISD Working"/>
      <sheetName val="Currency"/>
      <sheetName val="GMS.9"/>
      <sheetName val="GMS.1"/>
      <sheetName val="CWIP-BUILDING"/>
      <sheetName val="2009 Party wise"/>
      <sheetName val="U-1.2.1 Sales data Month wise"/>
      <sheetName val="Data"/>
      <sheetName val="BSDOMOVS"/>
      <sheetName val="Travelling"/>
      <sheetName val="P&amp;L Commentary"/>
      <sheetName val="Notes1-5(old)"/>
      <sheetName val="TRIL9900"/>
      <sheetName val="INV"/>
      <sheetName val="AKUH"/>
      <sheetName val="GMS_9"/>
      <sheetName val="GMS_1"/>
      <sheetName val="ISD_Working"/>
      <sheetName val="Sub HMC"/>
      <sheetName val="Rentals-SAM KHI"/>
      <sheetName val="Source"/>
      <sheetName val="RETAIL LEASE"/>
      <sheetName val="Income Statement"/>
      <sheetName val="Balance Sheet"/>
      <sheetName val="ISD_Working1"/>
      <sheetName val="GMS_91"/>
      <sheetName val="GMS_11"/>
      <sheetName val="2009_Party_wise"/>
      <sheetName val="U-1_2_1_Sales_data_Month_wise"/>
      <sheetName val="P&amp;L_Commentary"/>
      <sheetName val="Sheet1"/>
      <sheetName val="CP STATytd"/>
      <sheetName val="Plan"/>
      <sheetName val="Sub_HMC"/>
      <sheetName val="A"/>
      <sheetName val="Cost"/>
      <sheetName val="Summary"/>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Notes1_5_old_"/>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 val="Balance_Sheet2"/>
      <sheetName val="Statement_of_Ch2"/>
      <sheetName val="Note6-8_22"/>
      <sheetName val="Note9-9_62"/>
      <sheetName val="Note_9_7-9_92"/>
      <sheetName val="Notes10-10_62"/>
      <sheetName val="11-11_42"/>
      <sheetName val="Note_12_2"/>
      <sheetName val="Note12_3-17_12"/>
      <sheetName val="Note19-21_12"/>
      <sheetName val="Note21_2-222"/>
      <sheetName val="Notes23-25_12"/>
      <sheetName val="Notes25_2-312"/>
      <sheetName val="Notes36-36_22"/>
      <sheetName val="Note_452"/>
      <sheetName val="Annexure_(3)2"/>
      <sheetName val="Assets_20022"/>
      <sheetName val="Note_9_7-9_8_(2)2"/>
      <sheetName val="Liabiliteis_20022"/>
      <sheetName val="P&amp;L_20022"/>
      <sheetName val="Sheet1_(3)2"/>
      <sheetName val="Computa_Tax2"/>
      <sheetName val="Notes42_2-442"/>
      <sheetName val="Com_TaxJul-Dec012"/>
      <sheetName val="Computa_Tax_(2)2"/>
      <sheetName val="D_Tax20022"/>
      <sheetName val="Note_12(3)2"/>
      <sheetName val="Change_Note2"/>
      <sheetName val="Change_Note_22"/>
      <sheetName val="Sheet1_(4)2"/>
      <sheetName val="summary_(3)2"/>
      <sheetName val="pinex_(2)2"/>
      <sheetName val="Annexure_(2)2"/>
      <sheetName val="Assets_(2)2"/>
      <sheetName val="summary_(2)2"/>
      <sheetName val="Deferred_(2)2"/>
      <sheetName val="Sheet2_(2)2"/>
      <sheetName val="Sheet3_(2)2"/>
      <sheetName val="Sheet1_(2)2"/>
      <sheetName val="Total_Adjustments2"/>
      <sheetName val="Note_12_(2)2"/>
      <sheetName val="Defeered_Work2"/>
      <sheetName val="BUs in Com Imp WO SS CS"/>
      <sheetName val="EMOF Portfo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Non-Statistical Sampling"/>
      <sheetName val="Instructions"/>
      <sheetName val="First Sample Results"/>
      <sheetName val="DropDown"/>
      <sheetName val="Currency"/>
      <sheetName val="last qrt2001"/>
      <sheetName val="Non-Statistical_Sampling"/>
      <sheetName val="First_Sample_Results"/>
      <sheetName val="TRAN"/>
      <sheetName val="AUM Analysis"/>
      <sheetName val="XLI"/>
    </sheetNames>
    <sheetDataSet>
      <sheetData sheetId="0"/>
      <sheetData sheetId="1"/>
      <sheetData sheetId="2"/>
      <sheetData sheetId="3"/>
      <sheetData sheetId="4">
        <row r="1">
          <cell r="B1" t="str">
            <v>?</v>
          </cell>
          <cell r="D1" t="str">
            <v>?</v>
          </cell>
          <cell r="H1" t="str">
            <v>Ratio Estimation</v>
          </cell>
        </row>
        <row r="2">
          <cell r="B2" t="str">
            <v>Low</v>
          </cell>
          <cell r="D2" t="str">
            <v>Random</v>
          </cell>
          <cell r="H2" t="str">
            <v>Difference Estimation</v>
          </cell>
        </row>
        <row r="3">
          <cell r="B3" t="str">
            <v>Moderate</v>
          </cell>
          <cell r="D3" t="str">
            <v>Haphazard</v>
          </cell>
        </row>
        <row r="4">
          <cell r="B4" t="str">
            <v>High</v>
          </cell>
          <cell r="D4" t="str">
            <v>Systematic</v>
          </cell>
        </row>
      </sheetData>
      <sheetData sheetId="5">
        <row r="3">
          <cell r="C3" t="str">
            <v>Rupee</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6" refreshError="1"/>
      <sheetData sheetId="7"/>
      <sheetData sheetId="8"/>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March 110"/>
      <sheetName val="Feb"/>
      <sheetName val="MarchSL904"/>
      <sheetName val="INPUT"/>
      <sheetName val="BSDOMOV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Revenue-Fire-Marine-Motor"/>
      <sheetName val="Sheet1"/>
      <sheetName val="TRAN"/>
      <sheetName val="Current Tax"/>
      <sheetName val="Sub HMC"/>
      <sheetName val="Consolidated"/>
      <sheetName val="Data Submission"/>
      <sheetName val="Lookup Tables"/>
      <sheetName val="TRIL9900"/>
      <sheetName val="T-ADD98"/>
      <sheetName val="Drop Down"/>
      <sheetName val="Cover sheet"/>
      <sheetName val="books"/>
      <sheetName val="Drop_Down"/>
      <sheetName val="Cover_sheet"/>
      <sheetName val="Current_Tax"/>
      <sheetName val="SON"/>
      <sheetName val="AKUH"/>
      <sheetName val="td"/>
      <sheetName val="cd "/>
      <sheetName val="adp_or"/>
      <sheetName val="c_b"/>
      <sheetName val="rc"/>
      <sheetName val="f_f"/>
      <sheetName val="tax"/>
      <sheetName val="others"/>
      <sheetName val="SH___Match_Manually"/>
      <sheetName val="SH___Prior_Month_Data"/>
      <sheetName val="SAP___Unmatched_Data"/>
      <sheetName val="SAP___Current_Month_Data"/>
      <sheetName val="B-S(p)"/>
      <sheetName val="Acct"/>
      <sheetName val="16"/>
      <sheetName val="CHALLAN"/>
      <sheetName val="Projections"/>
      <sheetName val="Sub_HMC"/>
      <sheetName val="Data_Submission"/>
      <sheetName val="Lookup_Tables"/>
      <sheetName val="Sub_HMC1"/>
      <sheetName val="Data_Submission1"/>
      <sheetName val="Lookup_Tables1"/>
      <sheetName val="Current_Tax1"/>
      <sheetName val="Sub_HMC2"/>
      <sheetName val="Data_Submission2"/>
      <sheetName val="Lookup_Tables2"/>
      <sheetName val="Current_Tax2"/>
      <sheetName val="Sub_HMC3"/>
      <sheetName val="Data_Submission3"/>
      <sheetName val="Lookup_Tables3"/>
      <sheetName val="Current_Tax3"/>
      <sheetName val="Sub_HMC4"/>
      <sheetName val="Data_Submission4"/>
      <sheetName val="Lookup_Tables4"/>
      <sheetName val="Current_Tax4"/>
      <sheetName val="Sub_HMC5"/>
      <sheetName val="Data_Submission5"/>
      <sheetName val="Lookup_Tables5"/>
      <sheetName val="Current_Tax5"/>
      <sheetName val="Sub_HMC6"/>
      <sheetName val="Data_Submission6"/>
      <sheetName val="Lookup_Tables6"/>
      <sheetName val="Current_Tax6"/>
      <sheetName val="Sub_HMC8"/>
      <sheetName val="Data_Submission8"/>
      <sheetName val="Lookup_Tables8"/>
      <sheetName val="Current_Tax8"/>
      <sheetName val="Sub_HMC7"/>
      <sheetName val="Data_Submission7"/>
      <sheetName val="Lookup_Tables7"/>
      <sheetName val="Current_Tax7"/>
      <sheetName val="Sub_HMC9"/>
      <sheetName val="Data_Submission9"/>
      <sheetName val="Lookup_Tables9"/>
      <sheetName val="Current_Tax9"/>
      <sheetName val="Sub_HMC10"/>
      <sheetName val="Data_Submission10"/>
      <sheetName val="Lookup_Tables10"/>
      <sheetName val="Current_Tax10"/>
      <sheetName val="Sub_HMC11"/>
      <sheetName val="Data_Submission11"/>
      <sheetName val="Lookup_Tables11"/>
      <sheetName val="Current_Tax11"/>
      <sheetName val="JOURNAL"/>
      <sheetName val="Sub_HMC13"/>
      <sheetName val="Data_Submission13"/>
      <sheetName val="Lookup_Tables13"/>
      <sheetName val="Current_Tax13"/>
      <sheetName val="Drop_Down2"/>
      <sheetName val="Cover_sheet2"/>
      <sheetName val="Sub_HMC12"/>
      <sheetName val="Data_Submission12"/>
      <sheetName val="Lookup_Tables12"/>
      <sheetName val="Current_Tax12"/>
      <sheetName val="Drop_Down1"/>
      <sheetName val="Cover_sheet1"/>
      <sheetName val="Currency"/>
      <sheetName val="DropDown"/>
      <sheetName val="Non-Statistical Sampling"/>
      <sheetName val="PVG15K(Non-Red)"/>
      <sheetName val="Main"/>
      <sheetName val="B.S AND P &amp; L"/>
      <sheetName val="Raw Combined Trial"/>
      <sheetName val="TDS"/>
      <sheetName val="Input"/>
      <sheetName val="HideSheet"/>
      <sheetName val="Sub_HMC14"/>
      <sheetName val="Data_Submission14"/>
      <sheetName val="Lookup_Tables14"/>
      <sheetName val="Current_Tax14"/>
      <sheetName val="Drop_Down3"/>
      <sheetName val="Cover_sheet3"/>
      <sheetName val="bs&amp;Pl"/>
      <sheetName val="NORMAL"/>
      <sheetName val="Note3-24"/>
      <sheetName val="Parameters"/>
      <sheetName val="Cutt"/>
      <sheetName val="Dec"/>
      <sheetName val="Balance Sheet"/>
      <sheetName val="Income Statement"/>
      <sheetName val="Data Entry"/>
      <sheetName val="Data Chart"/>
      <sheetName val="Asset Chart"/>
      <sheetName val="Income Chart"/>
      <sheetName val="Cash Flow Statement"/>
      <sheetName val="11"/>
      <sheetName val="Total"/>
      <sheetName val="DATCH  NEW  ORDERS"/>
      <sheetName val="BS-OVS"/>
      <sheetName val="Top"/>
      <sheetName val="FS Notes"/>
      <sheetName val="Loan to Employees"/>
      <sheetName val="Movement - LTE"/>
      <sheetName val="ATE"/>
      <sheetName val="Rec from Curr Emp"/>
      <sheetName val="Loan Circularisation"/>
      <sheetName val="Advance to Employees"/>
      <sheetName val="Advance to Employees TOD"/>
      <sheetName val="Advance to employees full break"/>
      <sheetName val="Add_ATE"/>
      <sheetName val="Adv to Supplier"/>
      <sheetName val="Prepayment Summary"/>
      <sheetName val="Prepaid Insurance"/>
      <sheetName val="Prepaid Rent"/>
      <sheetName val="Prepayment others"/>
      <sheetName val="Breakup other receivable"/>
      <sheetName val="Other Receivable - Profit"/>
      <sheetName val="ATS_clearance"/>
      <sheetName val="Adv to supplier - Addition TOD"/>
      <sheetName val="Categoried of Deposit (2)"/>
      <sheetName val="BSDOMOVS"/>
      <sheetName val="E"/>
      <sheetName val="PL"/>
      <sheetName val="DEPRECIATION"/>
      <sheetName val="NOTES B-SHEET"/>
      <sheetName val="NOTES P.L."/>
      <sheetName val="LIST OF PROVISION"/>
      <sheetName val="Links"/>
      <sheetName val="CRC"/>
      <sheetName val="bs"/>
      <sheetName val="rs"/>
      <sheetName val="cd_"/>
      <sheetName val="B_S_AND_P_&amp;_L"/>
      <sheetName val="Non-Statistical_Sampling"/>
      <sheetName val="Raw_Combined_Trial"/>
      <sheetName val="Variables AFG36B"/>
      <sheetName val="Adv to vendor"/>
      <sheetName val="GP Analysis"/>
      <sheetName val="FundsNW"/>
      <sheetName val="Stock in Trade"/>
    </sheetNames>
    <sheetDataSet>
      <sheetData sheetId="0" refreshError="1">
        <row r="5">
          <cell r="BH5" t="str">
            <v>Segment-wise summary of additions for the month</v>
          </cell>
        </row>
        <row r="6">
          <cell r="I6" t="str">
            <v>TECH-OPS</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Z6" t="str">
            <v>MARKET</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BH6" t="str">
            <v>TOTAL</v>
          </cell>
        </row>
        <row r="7">
          <cell r="B7" t="str">
            <v>S. #</v>
          </cell>
          <cell r="C7" t="str">
            <v>CAR #</v>
          </cell>
          <cell r="D7" t="str">
            <v>PARTICULARS</v>
          </cell>
          <cell r="E7" t="str">
            <v>RUPEES</v>
          </cell>
          <cell r="F7" t="str">
            <v>CATEGORY</v>
          </cell>
          <cell r="G7" t="str">
            <v>SEGMENT</v>
          </cell>
          <cell r="I7" t="str">
            <v>LI</v>
          </cell>
          <cell r="J7">
            <v>0</v>
          </cell>
          <cell r="K7" t="str">
            <v>Bld.</v>
          </cell>
          <cell r="L7">
            <v>0</v>
          </cell>
          <cell r="M7" t="str">
            <v>BE</v>
          </cell>
          <cell r="N7">
            <v>0</v>
          </cell>
          <cell r="O7" t="str">
            <v>P&amp;M</v>
          </cell>
          <cell r="P7">
            <v>0</v>
          </cell>
          <cell r="Q7" t="str">
            <v>F&amp;F</v>
          </cell>
          <cell r="R7">
            <v>0</v>
          </cell>
          <cell r="S7" t="str">
            <v>OM&amp;E</v>
          </cell>
          <cell r="T7">
            <v>0</v>
          </cell>
          <cell r="U7" t="str">
            <v>CE</v>
          </cell>
          <cell r="V7">
            <v>0</v>
          </cell>
          <cell r="W7" t="str">
            <v>CWIP</v>
          </cell>
          <cell r="X7">
            <v>0</v>
          </cell>
          <cell r="Z7" t="str">
            <v>LI</v>
          </cell>
          <cell r="AA7">
            <v>0</v>
          </cell>
          <cell r="AB7" t="str">
            <v>Bld.</v>
          </cell>
          <cell r="AC7">
            <v>0</v>
          </cell>
          <cell r="AD7" t="str">
            <v>BE</v>
          </cell>
          <cell r="AE7">
            <v>0</v>
          </cell>
          <cell r="AF7" t="str">
            <v>P&amp;M</v>
          </cell>
          <cell r="AG7">
            <v>0</v>
          </cell>
          <cell r="AH7" t="str">
            <v>F&amp;F</v>
          </cell>
          <cell r="AI7">
            <v>0</v>
          </cell>
          <cell r="AJ7" t="str">
            <v>OM&amp;E</v>
          </cell>
          <cell r="AK7">
            <v>0</v>
          </cell>
          <cell r="AL7" t="str">
            <v>CE</v>
          </cell>
          <cell r="AM7">
            <v>0</v>
          </cell>
          <cell r="AN7" t="str">
            <v>CWIP</v>
          </cell>
          <cell r="AO7">
            <v>0</v>
          </cell>
          <cell r="BH7" t="str">
            <v>Tech-ops</v>
          </cell>
          <cell r="BI7">
            <v>0</v>
          </cell>
          <cell r="BJ7" t="str">
            <v>Market</v>
          </cell>
          <cell r="BK7">
            <v>0</v>
          </cell>
          <cell r="BL7" t="str">
            <v>Grand Total</v>
          </cell>
        </row>
        <row r="8">
          <cell r="I8" t="str">
            <v>Rupees</v>
          </cell>
          <cell r="J8" t="str">
            <v>Dollars</v>
          </cell>
          <cell r="K8" t="str">
            <v>Rupees</v>
          </cell>
          <cell r="L8" t="str">
            <v>Dollars</v>
          </cell>
          <cell r="M8" t="str">
            <v>Rupees</v>
          </cell>
          <cell r="N8" t="str">
            <v>Dollars</v>
          </cell>
          <cell r="O8" t="str">
            <v>Rupees</v>
          </cell>
          <cell r="P8" t="str">
            <v>Dollars</v>
          </cell>
          <cell r="Q8" t="str">
            <v>Rupees</v>
          </cell>
          <cell r="R8" t="str">
            <v>Dollars</v>
          </cell>
          <cell r="S8" t="str">
            <v>Rupees</v>
          </cell>
          <cell r="T8" t="str">
            <v>Dollars</v>
          </cell>
          <cell r="U8" t="str">
            <v>Rupees</v>
          </cell>
          <cell r="V8" t="str">
            <v>Dollars</v>
          </cell>
          <cell r="W8" t="str">
            <v>Rupees</v>
          </cell>
          <cell r="X8" t="str">
            <v>Dollars</v>
          </cell>
          <cell r="Z8" t="str">
            <v>Rupees</v>
          </cell>
          <cell r="AA8" t="str">
            <v>Dollars</v>
          </cell>
          <cell r="AB8" t="str">
            <v>Rupees</v>
          </cell>
          <cell r="AC8" t="str">
            <v>Dollars</v>
          </cell>
          <cell r="AD8" t="str">
            <v>Rupees</v>
          </cell>
          <cell r="AE8" t="str">
            <v>Dollars</v>
          </cell>
          <cell r="AF8" t="str">
            <v>Rupees</v>
          </cell>
          <cell r="AG8" t="str">
            <v>Dollars</v>
          </cell>
          <cell r="AH8" t="str">
            <v>Rupees</v>
          </cell>
          <cell r="AI8" t="str">
            <v>Dollars</v>
          </cell>
          <cell r="AJ8" t="str">
            <v>Rupees</v>
          </cell>
          <cell r="AK8" t="str">
            <v>Dollars</v>
          </cell>
          <cell r="AL8" t="str">
            <v>Rupees</v>
          </cell>
          <cell r="AM8" t="str">
            <v>Dollars</v>
          </cell>
          <cell r="AN8" t="str">
            <v>Rupees</v>
          </cell>
          <cell r="AO8" t="str">
            <v>Dollars</v>
          </cell>
          <cell r="BH8" t="str">
            <v>Rupees</v>
          </cell>
          <cell r="BI8" t="str">
            <v>Dollars</v>
          </cell>
          <cell r="BJ8" t="str">
            <v>Rupees</v>
          </cell>
          <cell r="BK8" t="str">
            <v>Dollars</v>
          </cell>
          <cell r="BL8" t="str">
            <v>Rupees</v>
          </cell>
          <cell r="BM8" t="str">
            <v>Dollars</v>
          </cell>
        </row>
        <row r="10">
          <cell r="B10">
            <v>1</v>
          </cell>
          <cell r="C10" t="str">
            <v>51/97</v>
          </cell>
          <cell r="D10" t="str">
            <v>Biological Safety Cabinet</v>
          </cell>
          <cell r="E10">
            <v>1030700</v>
          </cell>
          <cell r="F10" t="str">
            <v>P&amp;M</v>
          </cell>
          <cell r="G10" t="str">
            <v>T</v>
          </cell>
          <cell r="I10">
            <v>0</v>
          </cell>
          <cell r="J10">
            <v>0</v>
          </cell>
          <cell r="K10">
            <v>0</v>
          </cell>
          <cell r="L10">
            <v>0</v>
          </cell>
          <cell r="M10">
            <v>0</v>
          </cell>
          <cell r="N10">
            <v>0</v>
          </cell>
          <cell r="O10">
            <v>1030700</v>
          </cell>
          <cell r="P10">
            <v>22454.8302</v>
          </cell>
          <cell r="Q10">
            <v>0</v>
          </cell>
          <cell r="R10">
            <v>0</v>
          </cell>
          <cell r="S10">
            <v>0</v>
          </cell>
          <cell r="T10">
            <v>0</v>
          </cell>
          <cell r="U10">
            <v>0</v>
          </cell>
          <cell r="V10">
            <v>0</v>
          </cell>
          <cell r="W10">
            <v>0</v>
          </cell>
          <cell r="X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BH10">
            <v>1030700</v>
          </cell>
          <cell r="BI10">
            <v>22454.8302</v>
          </cell>
          <cell r="BJ10">
            <v>0</v>
          </cell>
          <cell r="BK10">
            <v>0</v>
          </cell>
          <cell r="BL10">
            <v>1030700</v>
          </cell>
          <cell r="BM10">
            <v>22454.8302</v>
          </cell>
        </row>
        <row r="11">
          <cell r="B11">
            <v>2</v>
          </cell>
          <cell r="C11" t="str">
            <v>53/98</v>
          </cell>
          <cell r="D11" t="str">
            <v>Carton Feeding Conveyer for Inkjet Printer</v>
          </cell>
          <cell r="E11">
            <v>100000</v>
          </cell>
          <cell r="F11" t="str">
            <v>P&amp;M</v>
          </cell>
          <cell r="G11" t="str">
            <v>T</v>
          </cell>
          <cell r="I11">
            <v>0</v>
          </cell>
          <cell r="J11">
            <v>0</v>
          </cell>
          <cell r="K11">
            <v>0</v>
          </cell>
          <cell r="L11">
            <v>0</v>
          </cell>
          <cell r="M11">
            <v>0</v>
          </cell>
          <cell r="N11">
            <v>0</v>
          </cell>
          <cell r="O11">
            <v>100000</v>
          </cell>
          <cell r="P11">
            <v>2178.6</v>
          </cell>
          <cell r="Q11">
            <v>0</v>
          </cell>
          <cell r="R11">
            <v>0</v>
          </cell>
          <cell r="S11">
            <v>0</v>
          </cell>
          <cell r="T11">
            <v>0</v>
          </cell>
          <cell r="U11">
            <v>0</v>
          </cell>
          <cell r="V11">
            <v>0</v>
          </cell>
          <cell r="W11">
            <v>0</v>
          </cell>
          <cell r="X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BH11">
            <v>100000</v>
          </cell>
          <cell r="BI11">
            <v>2178.6</v>
          </cell>
          <cell r="BJ11">
            <v>0</v>
          </cell>
          <cell r="BK11">
            <v>0</v>
          </cell>
          <cell r="BL11">
            <v>100000</v>
          </cell>
          <cell r="BM11">
            <v>2178.6</v>
          </cell>
        </row>
        <row r="12">
          <cell r="B12">
            <v>3</v>
          </cell>
          <cell r="C12" t="str">
            <v>39/98</v>
          </cell>
          <cell r="D12" t="str">
            <v>Emergency Light Power Pack</v>
          </cell>
          <cell r="E12">
            <v>96030</v>
          </cell>
          <cell r="F12" t="str">
            <v>P&amp;M</v>
          </cell>
          <cell r="G12" t="str">
            <v>T</v>
          </cell>
          <cell r="I12">
            <v>0</v>
          </cell>
          <cell r="J12">
            <v>0</v>
          </cell>
          <cell r="K12">
            <v>0</v>
          </cell>
          <cell r="L12">
            <v>0</v>
          </cell>
          <cell r="M12">
            <v>0</v>
          </cell>
          <cell r="N12">
            <v>0</v>
          </cell>
          <cell r="O12">
            <v>96030</v>
          </cell>
          <cell r="P12">
            <v>2092.1095799999998</v>
          </cell>
          <cell r="Q12">
            <v>0</v>
          </cell>
          <cell r="R12">
            <v>0</v>
          </cell>
          <cell r="S12">
            <v>0</v>
          </cell>
          <cell r="T12">
            <v>0</v>
          </cell>
          <cell r="U12">
            <v>0</v>
          </cell>
          <cell r="V12">
            <v>0</v>
          </cell>
          <cell r="W12">
            <v>0</v>
          </cell>
          <cell r="X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BH12">
            <v>96030</v>
          </cell>
          <cell r="BI12">
            <v>2092.1095799999998</v>
          </cell>
          <cell r="BJ12">
            <v>0</v>
          </cell>
          <cell r="BK12">
            <v>0</v>
          </cell>
          <cell r="BL12">
            <v>96030</v>
          </cell>
          <cell r="BM12">
            <v>2092.1095799999998</v>
          </cell>
        </row>
        <row r="13">
          <cell r="B13">
            <v>4</v>
          </cell>
          <cell r="C13" t="str">
            <v>60/98</v>
          </cell>
          <cell r="D13" t="str">
            <v>Office Chair Premier</v>
          </cell>
          <cell r="E13">
            <v>6210</v>
          </cell>
          <cell r="F13" t="str">
            <v>F&amp;F</v>
          </cell>
          <cell r="G13" t="str">
            <v>T</v>
          </cell>
          <cell r="I13">
            <v>0</v>
          </cell>
          <cell r="J13">
            <v>0</v>
          </cell>
          <cell r="K13">
            <v>0</v>
          </cell>
          <cell r="L13">
            <v>0</v>
          </cell>
          <cell r="M13">
            <v>0</v>
          </cell>
          <cell r="N13">
            <v>0</v>
          </cell>
          <cell r="O13">
            <v>0</v>
          </cell>
          <cell r="P13">
            <v>0</v>
          </cell>
          <cell r="Q13">
            <v>6210</v>
          </cell>
          <cell r="R13">
            <v>135.29105999999999</v>
          </cell>
          <cell r="S13">
            <v>0</v>
          </cell>
          <cell r="T13">
            <v>0</v>
          </cell>
          <cell r="U13">
            <v>0</v>
          </cell>
          <cell r="V13">
            <v>0</v>
          </cell>
          <cell r="W13">
            <v>0</v>
          </cell>
          <cell r="X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BH13">
            <v>6210</v>
          </cell>
          <cell r="BI13">
            <v>135.29105999999999</v>
          </cell>
          <cell r="BJ13">
            <v>0</v>
          </cell>
          <cell r="BK13">
            <v>0</v>
          </cell>
          <cell r="BL13">
            <v>6210</v>
          </cell>
          <cell r="BM13">
            <v>135.29105999999999</v>
          </cell>
        </row>
        <row r="14">
          <cell r="B14">
            <v>5</v>
          </cell>
          <cell r="C14" t="str">
            <v>33/98</v>
          </cell>
          <cell r="D14" t="str">
            <v>Hewlett Packard Design Jet 750C Plus</v>
          </cell>
          <cell r="E14">
            <v>477475</v>
          </cell>
          <cell r="F14" t="str">
            <v>CE</v>
          </cell>
          <cell r="G14" t="str">
            <v>T</v>
          </cell>
          <cell r="I14">
            <v>0</v>
          </cell>
          <cell r="J14">
            <v>0</v>
          </cell>
          <cell r="K14">
            <v>0</v>
          </cell>
          <cell r="L14">
            <v>0</v>
          </cell>
          <cell r="M14">
            <v>0</v>
          </cell>
          <cell r="N14">
            <v>0</v>
          </cell>
          <cell r="O14">
            <v>0</v>
          </cell>
          <cell r="P14">
            <v>0</v>
          </cell>
          <cell r="Q14">
            <v>0</v>
          </cell>
          <cell r="R14">
            <v>0</v>
          </cell>
          <cell r="S14">
            <v>0</v>
          </cell>
          <cell r="T14">
            <v>0</v>
          </cell>
          <cell r="U14">
            <v>477475</v>
          </cell>
          <cell r="V14">
            <v>10402.270350000001</v>
          </cell>
          <cell r="W14">
            <v>0</v>
          </cell>
          <cell r="X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BH14">
            <v>477475</v>
          </cell>
          <cell r="BI14">
            <v>10402.270350000001</v>
          </cell>
          <cell r="BJ14">
            <v>0</v>
          </cell>
          <cell r="BK14">
            <v>0</v>
          </cell>
          <cell r="BL14">
            <v>477475</v>
          </cell>
          <cell r="BM14">
            <v>10402.270350000001</v>
          </cell>
        </row>
        <row r="15">
          <cell r="B15">
            <v>6</v>
          </cell>
          <cell r="C15" t="str">
            <v>31/98</v>
          </cell>
          <cell r="D15" t="str">
            <v>Dell Latitude CP233 MMX Intel Pentium II</v>
          </cell>
          <cell r="E15">
            <v>231438</v>
          </cell>
          <cell r="F15" t="str">
            <v>CE</v>
          </cell>
          <cell r="G15" t="str">
            <v>M</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Z15">
            <v>0</v>
          </cell>
          <cell r="AA15">
            <v>0</v>
          </cell>
          <cell r="AB15">
            <v>0</v>
          </cell>
          <cell r="AC15">
            <v>0</v>
          </cell>
          <cell r="AD15">
            <v>0</v>
          </cell>
          <cell r="AE15">
            <v>0</v>
          </cell>
          <cell r="AF15">
            <v>0</v>
          </cell>
          <cell r="AG15">
            <v>0</v>
          </cell>
          <cell r="AH15">
            <v>0</v>
          </cell>
          <cell r="AI15">
            <v>0</v>
          </cell>
          <cell r="AJ15">
            <v>0</v>
          </cell>
          <cell r="AK15">
            <v>0</v>
          </cell>
          <cell r="AL15">
            <v>231438</v>
          </cell>
          <cell r="AM15">
            <v>5042.108268</v>
          </cell>
          <cell r="AN15">
            <v>0</v>
          </cell>
          <cell r="AO15">
            <v>0</v>
          </cell>
          <cell r="BH15">
            <v>0</v>
          </cell>
          <cell r="BI15">
            <v>0</v>
          </cell>
          <cell r="BJ15">
            <v>231438</v>
          </cell>
          <cell r="BK15">
            <v>5042.108268</v>
          </cell>
          <cell r="BL15">
            <v>231438</v>
          </cell>
          <cell r="BM15">
            <v>5042.108268</v>
          </cell>
        </row>
        <row r="16">
          <cell r="B16">
            <v>7</v>
          </cell>
          <cell r="C16" t="str">
            <v>24/98</v>
          </cell>
          <cell r="D16" t="str">
            <v>Dell Latitude CP233 MMX Intel Pentium II</v>
          </cell>
          <cell r="E16">
            <v>215000</v>
          </cell>
          <cell r="F16" t="str">
            <v>CE</v>
          </cell>
          <cell r="G16" t="str">
            <v>M</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Z16">
            <v>0</v>
          </cell>
          <cell r="AA16">
            <v>0</v>
          </cell>
          <cell r="AB16">
            <v>0</v>
          </cell>
          <cell r="AC16">
            <v>0</v>
          </cell>
          <cell r="AD16">
            <v>0</v>
          </cell>
          <cell r="AE16">
            <v>0</v>
          </cell>
          <cell r="AF16">
            <v>0</v>
          </cell>
          <cell r="AG16">
            <v>0</v>
          </cell>
          <cell r="AH16">
            <v>0</v>
          </cell>
          <cell r="AI16">
            <v>0</v>
          </cell>
          <cell r="AJ16">
            <v>0</v>
          </cell>
          <cell r="AK16">
            <v>0</v>
          </cell>
          <cell r="AL16">
            <v>215000</v>
          </cell>
          <cell r="AM16">
            <v>4683.99</v>
          </cell>
          <cell r="AN16">
            <v>0</v>
          </cell>
          <cell r="AO16">
            <v>0</v>
          </cell>
          <cell r="BH16">
            <v>0</v>
          </cell>
          <cell r="BI16">
            <v>0</v>
          </cell>
          <cell r="BJ16">
            <v>215000</v>
          </cell>
          <cell r="BK16">
            <v>4683.99</v>
          </cell>
          <cell r="BL16">
            <v>215000</v>
          </cell>
          <cell r="BM16">
            <v>4683.99</v>
          </cell>
        </row>
        <row r="17">
          <cell r="B17">
            <v>8</v>
          </cell>
          <cell r="C17" t="str">
            <v>41&amp;42/98</v>
          </cell>
          <cell r="D17" t="str">
            <v>Dell Optilex GXal Pentium II 233MHz</v>
          </cell>
          <cell r="E17">
            <v>180000</v>
          </cell>
          <cell r="F17" t="str">
            <v>CE</v>
          </cell>
          <cell r="G17" t="str">
            <v>M</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Z17">
            <v>0</v>
          </cell>
          <cell r="AA17">
            <v>0</v>
          </cell>
          <cell r="AB17">
            <v>0</v>
          </cell>
          <cell r="AC17">
            <v>0</v>
          </cell>
          <cell r="AD17">
            <v>0</v>
          </cell>
          <cell r="AE17">
            <v>0</v>
          </cell>
          <cell r="AF17">
            <v>0</v>
          </cell>
          <cell r="AG17">
            <v>0</v>
          </cell>
          <cell r="AH17">
            <v>0</v>
          </cell>
          <cell r="AI17">
            <v>0</v>
          </cell>
          <cell r="AJ17">
            <v>0</v>
          </cell>
          <cell r="AK17">
            <v>0</v>
          </cell>
          <cell r="AL17">
            <v>180000</v>
          </cell>
          <cell r="AM17">
            <v>3921.48</v>
          </cell>
          <cell r="AN17">
            <v>0</v>
          </cell>
          <cell r="AO17">
            <v>0</v>
          </cell>
          <cell r="BH17">
            <v>0</v>
          </cell>
          <cell r="BI17">
            <v>0</v>
          </cell>
          <cell r="BJ17">
            <v>180000</v>
          </cell>
          <cell r="BK17">
            <v>3921.48</v>
          </cell>
          <cell r="BL17">
            <v>180000</v>
          </cell>
          <cell r="BM17">
            <v>3921.48</v>
          </cell>
        </row>
        <row r="18">
          <cell r="B18">
            <v>9</v>
          </cell>
          <cell r="C18" t="str">
            <v>33/98</v>
          </cell>
          <cell r="D18" t="str">
            <v>AutoCad R14 with Hardware Lock</v>
          </cell>
          <cell r="E18">
            <v>105800</v>
          </cell>
          <cell r="F18" t="str">
            <v>CE</v>
          </cell>
          <cell r="G18" t="str">
            <v>T</v>
          </cell>
          <cell r="I18">
            <v>0</v>
          </cell>
          <cell r="J18">
            <v>0</v>
          </cell>
          <cell r="K18">
            <v>0</v>
          </cell>
          <cell r="L18">
            <v>0</v>
          </cell>
          <cell r="M18">
            <v>0</v>
          </cell>
          <cell r="N18">
            <v>0</v>
          </cell>
          <cell r="O18">
            <v>0</v>
          </cell>
          <cell r="P18">
            <v>0</v>
          </cell>
          <cell r="Q18">
            <v>0</v>
          </cell>
          <cell r="R18">
            <v>0</v>
          </cell>
          <cell r="S18">
            <v>0</v>
          </cell>
          <cell r="T18">
            <v>0</v>
          </cell>
          <cell r="U18">
            <v>105800</v>
          </cell>
          <cell r="V18">
            <v>2304.9587999999999</v>
          </cell>
          <cell r="W18">
            <v>0</v>
          </cell>
          <cell r="X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BH18">
            <v>105800</v>
          </cell>
          <cell r="BI18">
            <v>2304.9587999999999</v>
          </cell>
          <cell r="BJ18">
            <v>0</v>
          </cell>
          <cell r="BK18">
            <v>0</v>
          </cell>
          <cell r="BL18">
            <v>105800</v>
          </cell>
          <cell r="BM18">
            <v>2304.9587999999999</v>
          </cell>
        </row>
        <row r="19">
          <cell r="B19">
            <v>10</v>
          </cell>
          <cell r="C19" t="str">
            <v>27/98</v>
          </cell>
          <cell r="D19" t="str">
            <v>Test Well Drilling</v>
          </cell>
          <cell r="E19">
            <v>207500</v>
          </cell>
          <cell r="F19" t="str">
            <v>CWIP</v>
          </cell>
          <cell r="G19" t="str">
            <v>T</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207500</v>
          </cell>
          <cell r="X19">
            <v>4520.5950000000003</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BH19">
            <v>207500</v>
          </cell>
          <cell r="BI19">
            <v>4520.5950000000003</v>
          </cell>
          <cell r="BJ19">
            <v>0</v>
          </cell>
          <cell r="BK19">
            <v>0</v>
          </cell>
          <cell r="BL19">
            <v>207500</v>
          </cell>
          <cell r="BM19">
            <v>4520.5950000000003</v>
          </cell>
        </row>
        <row r="20">
          <cell r="B20">
            <v>11</v>
          </cell>
          <cell r="C20" t="str">
            <v>78/97</v>
          </cell>
          <cell r="D20" t="str">
            <v>Tirpulin Cloth 'A' Quality</v>
          </cell>
          <cell r="E20">
            <v>12900</v>
          </cell>
          <cell r="F20" t="str">
            <v>P&amp;M</v>
          </cell>
          <cell r="G20" t="str">
            <v>T</v>
          </cell>
          <cell r="I20">
            <v>0</v>
          </cell>
          <cell r="J20">
            <v>0</v>
          </cell>
          <cell r="K20">
            <v>0</v>
          </cell>
          <cell r="L20">
            <v>0</v>
          </cell>
          <cell r="M20">
            <v>0</v>
          </cell>
          <cell r="N20">
            <v>0</v>
          </cell>
          <cell r="O20">
            <v>12900</v>
          </cell>
          <cell r="P20">
            <v>281.0394</v>
          </cell>
          <cell r="Q20">
            <v>0</v>
          </cell>
          <cell r="R20">
            <v>0</v>
          </cell>
          <cell r="S20">
            <v>0</v>
          </cell>
          <cell r="T20">
            <v>0</v>
          </cell>
          <cell r="U20">
            <v>0</v>
          </cell>
          <cell r="V20">
            <v>0</v>
          </cell>
          <cell r="W20">
            <v>0</v>
          </cell>
          <cell r="X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BH20">
            <v>12900</v>
          </cell>
          <cell r="BI20">
            <v>281.0394</v>
          </cell>
          <cell r="BJ20">
            <v>0</v>
          </cell>
          <cell r="BK20">
            <v>0</v>
          </cell>
          <cell r="BL20">
            <v>12900</v>
          </cell>
          <cell r="BM20">
            <v>281.0394</v>
          </cell>
        </row>
        <row r="21">
          <cell r="B21">
            <v>12</v>
          </cell>
          <cell r="C21" t="str">
            <v>27/98</v>
          </cell>
          <cell r="D21" t="str">
            <v>Test Bore Cleaning &amp; Collection of water sample</v>
          </cell>
          <cell r="E21">
            <v>20000</v>
          </cell>
          <cell r="F21" t="str">
            <v>CWIP</v>
          </cell>
          <cell r="G21" t="str">
            <v>T</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20000</v>
          </cell>
          <cell r="X21">
            <v>435.71999999999997</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BH21">
            <v>20000</v>
          </cell>
          <cell r="BI21">
            <v>435.71999999999997</v>
          </cell>
          <cell r="BJ21">
            <v>0</v>
          </cell>
          <cell r="BK21">
            <v>0</v>
          </cell>
          <cell r="BL21">
            <v>20000</v>
          </cell>
          <cell r="BM21">
            <v>435.71999999999997</v>
          </cell>
        </row>
        <row r="22">
          <cell r="B22">
            <v>13</v>
          </cell>
          <cell r="C22" t="str">
            <v>53/98</v>
          </cell>
          <cell r="D22" t="str">
            <v>Installation of wall mounted Split unit at MD's Off.</v>
          </cell>
          <cell r="E22">
            <v>5000</v>
          </cell>
          <cell r="F22" t="str">
            <v>F&amp;F</v>
          </cell>
          <cell r="G22" t="str">
            <v>M</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cell r="AA22">
            <v>0</v>
          </cell>
          <cell r="AB22">
            <v>0</v>
          </cell>
          <cell r="AC22">
            <v>0</v>
          </cell>
          <cell r="AD22">
            <v>0</v>
          </cell>
          <cell r="AE22">
            <v>0</v>
          </cell>
          <cell r="AF22">
            <v>0</v>
          </cell>
          <cell r="AG22">
            <v>0</v>
          </cell>
          <cell r="AH22">
            <v>5000</v>
          </cell>
          <cell r="AI22">
            <v>108.92999999999999</v>
          </cell>
          <cell r="AJ22">
            <v>0</v>
          </cell>
          <cell r="AK22">
            <v>0</v>
          </cell>
          <cell r="AL22">
            <v>0</v>
          </cell>
          <cell r="AM22">
            <v>0</v>
          </cell>
          <cell r="AN22">
            <v>0</v>
          </cell>
          <cell r="AO22">
            <v>0</v>
          </cell>
          <cell r="BH22">
            <v>0</v>
          </cell>
          <cell r="BI22">
            <v>0</v>
          </cell>
          <cell r="BJ22">
            <v>5000</v>
          </cell>
          <cell r="BK22">
            <v>108.92999999999999</v>
          </cell>
          <cell r="BL22">
            <v>5000</v>
          </cell>
          <cell r="BM22">
            <v>108.92999999999999</v>
          </cell>
        </row>
        <row r="23">
          <cell r="B23">
            <v>14</v>
          </cell>
          <cell r="C23" t="str">
            <v>45/98</v>
          </cell>
          <cell r="D23" t="str">
            <v>Vaccum Cleaner Model V-330 T 1300 watts</v>
          </cell>
          <cell r="E23">
            <v>4600</v>
          </cell>
          <cell r="F23" t="str">
            <v>OM&amp;E</v>
          </cell>
          <cell r="G23" t="str">
            <v>M</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cell r="AA23">
            <v>0</v>
          </cell>
          <cell r="AB23">
            <v>0</v>
          </cell>
          <cell r="AC23">
            <v>0</v>
          </cell>
          <cell r="AD23">
            <v>0</v>
          </cell>
          <cell r="AE23">
            <v>0</v>
          </cell>
          <cell r="AF23">
            <v>0</v>
          </cell>
          <cell r="AG23">
            <v>0</v>
          </cell>
          <cell r="AH23">
            <v>0</v>
          </cell>
          <cell r="AI23">
            <v>0</v>
          </cell>
          <cell r="AJ23">
            <v>4600</v>
          </cell>
          <cell r="AK23">
            <v>100.21559999999999</v>
          </cell>
          <cell r="AL23">
            <v>0</v>
          </cell>
          <cell r="AM23">
            <v>0</v>
          </cell>
          <cell r="AN23">
            <v>0</v>
          </cell>
          <cell r="AO23">
            <v>0</v>
          </cell>
          <cell r="BH23">
            <v>0</v>
          </cell>
          <cell r="BI23">
            <v>0</v>
          </cell>
          <cell r="BJ23">
            <v>4600</v>
          </cell>
          <cell r="BK23">
            <v>100.21559999999999</v>
          </cell>
          <cell r="BL23">
            <v>4600</v>
          </cell>
          <cell r="BM23">
            <v>100.21559999999999</v>
          </cell>
        </row>
        <row r="24">
          <cell r="B24">
            <v>15</v>
          </cell>
          <cell r="C24" t="str">
            <v>46/98</v>
          </cell>
          <cell r="D24" t="str">
            <v>Vaccum Cleaner LG 2800T</v>
          </cell>
          <cell r="E24">
            <v>5500</v>
          </cell>
          <cell r="F24" t="str">
            <v>OM&amp;E</v>
          </cell>
          <cell r="G24" t="str">
            <v>M</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cell r="AA24">
            <v>0</v>
          </cell>
          <cell r="AB24">
            <v>0</v>
          </cell>
          <cell r="AC24">
            <v>0</v>
          </cell>
          <cell r="AD24">
            <v>0</v>
          </cell>
          <cell r="AE24">
            <v>0</v>
          </cell>
          <cell r="AF24">
            <v>0</v>
          </cell>
          <cell r="AG24">
            <v>0</v>
          </cell>
          <cell r="AH24">
            <v>0</v>
          </cell>
          <cell r="AI24">
            <v>0</v>
          </cell>
          <cell r="AJ24">
            <v>5500</v>
          </cell>
          <cell r="AK24">
            <v>119.82299999999999</v>
          </cell>
          <cell r="AL24">
            <v>0</v>
          </cell>
          <cell r="AM24">
            <v>0</v>
          </cell>
          <cell r="AN24">
            <v>0</v>
          </cell>
          <cell r="AO24">
            <v>0</v>
          </cell>
          <cell r="BH24">
            <v>0</v>
          </cell>
          <cell r="BI24">
            <v>0</v>
          </cell>
          <cell r="BJ24">
            <v>5500</v>
          </cell>
          <cell r="BK24">
            <v>119.82299999999999</v>
          </cell>
          <cell r="BL24">
            <v>5500</v>
          </cell>
          <cell r="BM24">
            <v>119.82299999999999</v>
          </cell>
        </row>
        <row r="25">
          <cell r="E25">
            <v>2698153</v>
          </cell>
          <cell r="F25">
            <v>0</v>
          </cell>
          <cell r="G25">
            <v>0</v>
          </cell>
          <cell r="I25">
            <v>0</v>
          </cell>
          <cell r="J25">
            <v>0</v>
          </cell>
          <cell r="K25">
            <v>0</v>
          </cell>
          <cell r="L25">
            <v>0</v>
          </cell>
          <cell r="M25">
            <v>0</v>
          </cell>
          <cell r="N25">
            <v>0</v>
          </cell>
          <cell r="O25">
            <v>1239630</v>
          </cell>
          <cell r="P25">
            <v>27006.579180000001</v>
          </cell>
          <cell r="Q25">
            <v>6210</v>
          </cell>
          <cell r="R25">
            <v>135.29105999999999</v>
          </cell>
          <cell r="S25">
            <v>0</v>
          </cell>
          <cell r="T25">
            <v>0</v>
          </cell>
          <cell r="U25">
            <v>583275</v>
          </cell>
          <cell r="V25">
            <v>12707.229150000001</v>
          </cell>
          <cell r="W25">
            <v>227500</v>
          </cell>
          <cell r="X25">
            <v>4956.3150000000005</v>
          </cell>
          <cell r="Z25">
            <v>0</v>
          </cell>
          <cell r="AA25">
            <v>0</v>
          </cell>
          <cell r="AB25">
            <v>0</v>
          </cell>
          <cell r="AC25">
            <v>0</v>
          </cell>
          <cell r="AD25">
            <v>0</v>
          </cell>
          <cell r="AE25">
            <v>0</v>
          </cell>
          <cell r="AF25">
            <v>0</v>
          </cell>
          <cell r="AG25">
            <v>0</v>
          </cell>
          <cell r="AH25">
            <v>5000</v>
          </cell>
          <cell r="AI25">
            <v>108.92999999999999</v>
          </cell>
          <cell r="AJ25">
            <v>10100</v>
          </cell>
          <cell r="AK25">
            <v>220.03859999999997</v>
          </cell>
          <cell r="AL25">
            <v>626438</v>
          </cell>
          <cell r="AM25">
            <v>13647.578267999999</v>
          </cell>
          <cell r="AN25">
            <v>0</v>
          </cell>
          <cell r="AO25">
            <v>0</v>
          </cell>
          <cell r="BH25">
            <v>2056615</v>
          </cell>
          <cell r="BI25">
            <v>44805.414390000005</v>
          </cell>
          <cell r="BJ25">
            <v>641538</v>
          </cell>
          <cell r="BK25">
            <v>13976.546867999999</v>
          </cell>
          <cell r="BL25">
            <v>2698153</v>
          </cell>
          <cell r="BM25">
            <v>58781.961258000003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refreshError="1"/>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refreshError="1"/>
      <sheetData sheetId="166" refreshError="1"/>
      <sheetData sheetId="167" refreshError="1"/>
      <sheetData sheetId="168" refreshError="1"/>
      <sheetData sheetId="16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Augbkp98"/>
      <sheetName val="Note3-24"/>
      <sheetName val="Note-14"/>
      <sheetName val="EMOF Portfolio"/>
      <sheetName val="Toyota PL ckd"/>
      <sheetName val="TOTAL P&amp;L"/>
      <sheetName val="Input"/>
      <sheetName val="Invetory 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
      <sheetName val="CliftonMain-1003-P&amp;L"/>
      <sheetName val="CliftonMain-1003-EXP"/>
      <sheetName val="SALARY"/>
      <sheetName val="Parameters"/>
      <sheetName val="broker sheet-2"/>
      <sheetName val="pinex_(2)"/>
      <sheetName val="Rate_Input"/>
      <sheetName val="Profit_Worksheet"/>
      <sheetName val="acct"/>
      <sheetName val="2000_ Projects Summary"/>
      <sheetName val="Sheet5"/>
      <sheetName val="Augbkp98"/>
      <sheetName val="pinex_(2)1"/>
      <sheetName val="Rate_Input1"/>
      <sheetName val="Profit_Worksheet1"/>
      <sheetName val="SOURCE"/>
      <sheetName val="PDF1"/>
      <sheetName val="Currency"/>
      <sheetName val="DropDown"/>
      <sheetName val="Segment new 1"/>
      <sheetName val="Drop down"/>
      <sheetName val="16-Avg Sales Price"/>
      <sheetName val="stdd costBPCS"/>
      <sheetName val="Statement of Claims"/>
      <sheetName val="Notes _2_"/>
      <sheetName val="PL_Million_"/>
      <sheetName val="Fin_Histo_PL"/>
      <sheetName val="Deposit"/>
      <sheetName val="BSDOMOVS"/>
      <sheetName val="B-S(p)"/>
      <sheetName val="BS-OVS"/>
      <sheetName val="Code"/>
      <sheetName val="Abu Dhabi"/>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 val="BS"/>
      <sheetName val="Aylık"/>
      <sheetName val="EDP_Euros"/>
      <sheetName val="Iberdrola_Euros"/>
      <sheetName val="Non-Statistical Sampling"/>
      <sheetName val="REV VAR INC"/>
      <sheetName val="Revenue-Fire-Marine-Motor"/>
      <sheetName val="Graphs 1"/>
      <sheetName val="Macro1"/>
      <sheetName val="Summary"/>
      <sheetName val="Grouping"/>
      <sheetName val="Notes__2_"/>
      <sheetName val="Non-Statistical_Sampling"/>
      <sheetName val="REV_VAR_INC"/>
      <sheetName val="Statement_of_Claims"/>
      <sheetName val="Report .1"/>
      <sheetName val="Final Accounts 2001As per Audit"/>
      <sheetName val="Segment_new_1"/>
      <sheetName val="Drop_down"/>
      <sheetName val="16-Avg_Sales_Price"/>
      <sheetName val="stdd_costBPCS"/>
      <sheetName val="MMR"/>
      <sheetName val="Total_Adjustments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pinex_(2)3"/>
      <sheetName val="Rate_Input3"/>
      <sheetName val="Profit_Worksheet3"/>
      <sheetName val="2000__Projects_Summary1"/>
      <sheetName val="broker_sheet-21"/>
      <sheetName val="cpur"/>
      <sheetName val="IGData"/>
      <sheetName val="Net"/>
      <sheetName val="Profiles"/>
      <sheetName val="ៀFinal Accou"/>
      <sheetName val="ḜFinal Accou"/>
      <sheetName val="⒐Final Accou"/>
      <sheetName val="nt__5"/>
      <sheetName val="nt__6"/>
      <sheetName val="nt__7"/>
      <sheetName val="nt__8"/>
      <sheetName val="nt__9"/>
      <sheetName val="DATABASE"/>
      <sheetName val="Abu_Dhabi"/>
      <sheetName val="Cash Flow"/>
      <sheetName val="Rentals-SAM KHI"/>
      <sheetName val="Rate Verification"/>
      <sheetName val="Product Wise Breakup"/>
      <sheetName val="Monthly breakup"/>
      <sheetName val="Categoried of Deposit (2)"/>
      <sheetName val="PPC-ORD DTL"/>
      <sheetName val="A-C CODE &amp; NAME"/>
      <sheetName val="会社別"/>
      <sheetName val="B-6"/>
      <sheetName val="Adv to vendor"/>
      <sheetName val="GP Analysis"/>
      <sheetName val="FundsNW"/>
      <sheetName val="Stock in Trade"/>
      <sheetName val="Global Data"/>
      <sheetName val="CHALLAN"/>
      <sheetName val="Validation"/>
      <sheetName val="Worksheet"/>
      <sheetName val="macro d'éval"/>
      <sheetName val="PL "/>
      <sheetName val="Notes"/>
      <sheetName val="REPORT"/>
      <sheetName val="Trend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004"/>
      <sheetName val="Reconciliation"/>
      <sheetName val="Actualization_Details"/>
      <sheetName val="Currency"/>
      <sheetName val="DropDown"/>
      <sheetName val="Customize Your Invoice"/>
      <sheetName val="SVR-Interface"/>
      <sheetName val="ImpPurJournal"/>
      <sheetName val="Pharma - Govt"/>
      <sheetName val="Sheet1"/>
      <sheetName val="Detail for BOD approval"/>
      <sheetName val="Classification"/>
      <sheetName val="Notes1-5"/>
      <sheetName val="Cutt"/>
      <sheetName val="Notes"/>
      <sheetName val="AT&amp;T"/>
      <sheetName val="AT&amp;T Canada"/>
      <sheetName val="Bell Nexxia"/>
      <sheetName val="Local+dil (Ex-stock)"/>
      <sheetName val="Augbkp98"/>
      <sheetName val="TRAN"/>
      <sheetName val="INPUT"/>
      <sheetName val="Bal Project Wise"/>
      <sheetName val="Notes1_5"/>
      <sheetName val="CARs' 99 Summary Info. (B&amp;A)"/>
      <sheetName val="ProfitProv"/>
      <sheetName val="Population Characteristics"/>
      <sheetName val="NOTE1-19"/>
      <sheetName val="B-S(p)"/>
      <sheetName val="B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1_5"/>
      <sheetName val="II- INV CO"/>
      <sheetName val="Overview"/>
      <sheetName val="Drop Down"/>
    </sheetNames>
    <sheetDataSet>
      <sheetData sheetId="0">
        <row r="46">
          <cell r="B46">
            <v>9523000</v>
          </cell>
        </row>
      </sheetData>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Links"/>
      <sheetName val="Value In Use - Trea"/>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3.2"/>
      <sheetName val="Specific - Provision Financing"/>
      <sheetName val="Total"/>
      <sheetName val="SON"/>
      <sheetName val="Revenue-Fire-Marine-Motor"/>
      <sheetName val="Additions"/>
      <sheetName val="branch code"/>
      <sheetName val="BS-OVS"/>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3_2"/>
      <sheetName val="Vendors"/>
      <sheetName val="Macro1"/>
      <sheetName val="E"/>
      <sheetName val="A-C CODE &amp; NAME"/>
      <sheetName val="MarchSL904"/>
      <sheetName val="BSDOMOVS"/>
      <sheetName val="Valuation"/>
      <sheetName val="LT loan"/>
      <sheetName val="working"/>
      <sheetName val="Addition"/>
      <sheetName val="A1"/>
      <sheetName val="Value_In_Use_-_Trea"/>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te _ _200"/>
      <sheetName val="E_Learn Simulation"/>
      <sheetName val="Documentation"/>
      <sheetName val="CC"/>
      <sheetName val="First Sample Results"/>
      <sheetName val="Target Testing_AFS_ _2_"/>
      <sheetName val="HFT valuation (final)"/>
      <sheetName val="marked to market (hft)"/>
      <sheetName val="CDC Reconciliation _2_"/>
      <sheetName val="marked to market(afs)"/>
      <sheetName val="afs valuation (Final)"/>
      <sheetName val="unrealised gain or (loss)"/>
      <sheetName val="right shares"/>
      <sheetName val="bonus working"/>
      <sheetName val="market value"/>
      <sheetName val="cum dividend "/>
      <sheetName val="market value (own sheet)"/>
      <sheetName val="Moving Average _HFT_ "/>
      <sheetName val="dividend"/>
      <sheetName val="Margin"/>
      <sheetName val="Target Testing_CG_"/>
      <sheetName val="Target Testing_Der_"/>
      <sheetName val="Unprotected Worksheet"/>
      <sheetName val="Extended Sample Tables"/>
      <sheetName val="Required Documentation"/>
      <sheetName val="CDC Reconciliation"/>
      <sheetName val="Compatibility Report"/>
      <sheetName val="Capital-US$"/>
      <sheetName val="Sheet1"/>
      <sheetName val="BAHRAIN"/>
      <sheetName val="Note-14"/>
      <sheetName val="DOHA QATAR "/>
      <sheetName val="PAKISTAN"/>
      <sheetName val="UAE"/>
      <sheetName val="Brokers"/>
      <sheetName val="OS_Purchase"/>
      <sheetName val="Purchase"/>
      <sheetName val="Sale"/>
      <sheetName val="Symbols"/>
      <sheetName val="Interpolate____200"/>
      <sheetName val="E_Learn_Simulation"/>
      <sheetName val="First_Sample_Results"/>
      <sheetName val="Target_Testing_AFS___2_"/>
      <sheetName val="HFT_valuation_(final)"/>
      <sheetName val="marked_to_market_(hft)"/>
      <sheetName val="CDC_Reconciliation__2_"/>
      <sheetName val="marked_to_market(afs)"/>
      <sheetName val="afs_valuation_(Final)"/>
      <sheetName val="unrealised_gain_or_(loss)"/>
      <sheetName val="right_shares"/>
      <sheetName val="bonus_working"/>
      <sheetName val="market_value"/>
      <sheetName val="cum_dividend_"/>
      <sheetName val="market_value_(own_sheet)"/>
      <sheetName val="Moving_Average__HFT__"/>
      <sheetName val="Target_Testing_CG_"/>
      <sheetName val="Target_Testing_Der_"/>
      <sheetName val="Unprotected_Worksheet"/>
      <sheetName val="Extended_Sample_Tables"/>
      <sheetName val="Required_Documentation"/>
      <sheetName val="CDC_Reconciliation"/>
      <sheetName val="Compatibility_Report"/>
      <sheetName val="rate "/>
      <sheetName val="TB"/>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 val="Titel"/>
      <sheetName val="GOVT_BONDS"/>
      <sheetName val="FINANCE_CODE"/>
      <sheetName val="SUMMARY_OF_LOANS_CODE_65"/>
      <sheetName val="SBPCRLINE_(2)"/>
      <sheetName val="05-061_TO_05-229"/>
      <sheetName val="10-525_TO_10-640"/>
      <sheetName val="CREDIT_LINES"/>
      <sheetName val="OTHER_CHARGES_(2)"/>
      <sheetName val="OTHER_CHARGES"/>
      <sheetName val="INTEREST_MARKUP_RECEIVABLE"/>
      <sheetName val="55-072_(LEGAL_CHARGES-ICP)"/>
      <sheetName val="OTHER_DEP_(35-030)"/>
      <sheetName val="35-284_&amp;_285_(Payable)_(6)"/>
      <sheetName val="LINE_SBP"/>
      <sheetName val="35-284_&amp;_285_(Payable)_(3)"/>
      <sheetName val="35-284_&amp;_285_(Payable)_(5)"/>
      <sheetName val="35-284_&amp;_285_(Payable)_(4)"/>
      <sheetName val="35-284_&amp;_285_(Payable)_(2)"/>
      <sheetName val="GOVT_BONDS_(2)"/>
      <sheetName val="Provision_mdae_2003__(2)"/>
      <sheetName val="INT_SUS_WR_BK"/>
      <sheetName val="write_back"/>
      <sheetName val="suspended_interest_(F)"/>
      <sheetName val="suspended_interest"/>
      <sheetName val="Provision_mdae_2003_"/>
      <sheetName val="INTERST_SUSPENSE"/>
      <sheetName val="JUNE_2001"/>
      <sheetName val="MARCH_2001"/>
      <sheetName val="35-284_&amp;_285_(Payable)_(7)"/>
      <sheetName val="ProvSep2003_"/>
      <sheetName val="ProvSep3_"/>
      <sheetName val="Notes1_5"/>
      <sheetName val="Notes1-5"/>
      <sheetName val="Documentation"/>
      <sheetName val="Additions"/>
      <sheetName val="Revenue-Fire-Marine-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WEEKLY 1"/>
      <sheetName val="RATES"/>
      <sheetName val="B-SHEET"/>
      <sheetName val="AVERAGES"/>
      <sheetName val="OUTSTANDING_FX-SWAP1"/>
      <sheetName val="A-C_CODE_&amp;_NAME1"/>
      <sheetName val="actual_(2)1"/>
      <sheetName val="B2_STMT1"/>
      <sheetName val="Abu_Dhabi1"/>
      <sheetName val="Implied_Rate1"/>
      <sheetName val="B2_STMT_-_F1"/>
      <sheetName val="Product_&amp;_TL_list"/>
      <sheetName val="TL_List"/>
      <sheetName val="II-_INV_CO"/>
      <sheetName val="tran"/>
      <sheetName val="tb"/>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Segment"/>
      <sheetName val="last qrt2001"/>
      <sheetName val="last_qrt2001"/>
      <sheetName val="Final"/>
      <sheetName val="MODEL"/>
      <sheetName val="handout_data"/>
      <sheetName val="Data"/>
      <sheetName val="Control"/>
      <sheetName val="Frontpage"/>
      <sheetName val="Stock"/>
      <sheetName val="Revenue-Fire-Marine-Motor"/>
      <sheetName val="OUTSTANDING_FX-SWAP2"/>
      <sheetName val="A-C_CODE_&amp;_NAME2"/>
      <sheetName val="actual_(2)2"/>
      <sheetName val="B2_STMT2"/>
      <sheetName val="Abu_Dhabi2"/>
      <sheetName val="Implied_Rate2"/>
      <sheetName val="B2_STMT_-_F2"/>
      <sheetName val="Product_&amp;_TL_list1"/>
      <sheetName val="TL_List1"/>
      <sheetName val="II-_INV_CO1"/>
      <sheetName val="Sheet2"/>
      <sheetName val="Sheet1"/>
      <sheetName val="OUTSTANDING_FX-SWAP3"/>
      <sheetName val="A-C_CODE_&amp;_NAME3"/>
      <sheetName val="actual_(2)3"/>
      <sheetName val="B2_STMT3"/>
      <sheetName val="Abu_Dhabi3"/>
      <sheetName val="Implied_Rate3"/>
      <sheetName val="B2_STMT_-_F3"/>
      <sheetName val="Product_&amp;_TL_list2"/>
      <sheetName val="TL_List2"/>
      <sheetName val="II-_INV_CO2"/>
      <sheetName val="last_qrt20012"/>
      <sheetName val="last_qrt20011"/>
      <sheetName val="Adjustments"/>
      <sheetName val="Workdone"/>
      <sheetName val="Disclosure"/>
      <sheetName val="FS Note"/>
      <sheetName val="Summary"/>
      <sheetName val="SAIL Loan-2"/>
      <sheetName val="SAIL Inte Rec-2.1"/>
      <sheetName val="Loan to SMPL"/>
      <sheetName val="Hi-tech"/>
      <sheetName val="HAWL"/>
      <sheetName val="SAIL Loan"/>
      <sheetName val="MAIL Loan -3"/>
      <sheetName val="MAIL Int Rec-3.1"/>
      <sheetName val="SAIL"/>
      <sheetName val="MAIL Loan "/>
      <sheetName val="Sail loan Vouching"/>
      <sheetName val="Mail"/>
      <sheetName val="Mail loan vouching"/>
      <sheetName val="SMPL"/>
      <sheetName val="SMPL Loan"/>
      <sheetName val="SMPL Int Rec-4.1"/>
      <sheetName val="SMPL Loan-4"/>
      <sheetName val="Loan from Director"/>
      <sheetName val="Due from"/>
      <sheetName val="Sail vouching"/>
      <sheetName val="Mail vouching"/>
      <sheetName val="RP transactions procedures"/>
    </sheetNames>
    <sheetDataSet>
      <sheetData sheetId="0" refreshError="1">
        <row r="8">
          <cell r="O8" t="str">
            <v>||\027\033\068</v>
          </cell>
        </row>
        <row r="16">
          <cell r="L16">
            <v>2300000</v>
          </cell>
          <cell r="Q16" t="e">
            <v>#REF!</v>
          </cell>
          <cell r="Y16">
            <v>0</v>
          </cell>
        </row>
        <row r="17">
          <cell r="L17">
            <v>33660.413</v>
          </cell>
          <cell r="Q17" t="e">
            <v>#REF!</v>
          </cell>
          <cell r="Y17">
            <v>106941.372</v>
          </cell>
        </row>
        <row r="18">
          <cell r="L18">
            <v>0</v>
          </cell>
          <cell r="Q18" t="e">
            <v>#REF!</v>
          </cell>
          <cell r="Y18">
            <v>0</v>
          </cell>
        </row>
        <row r="19">
          <cell r="L19">
            <v>0</v>
          </cell>
          <cell r="Q19" t="e">
            <v>#REF!</v>
          </cell>
          <cell r="Y19">
            <v>1895000</v>
          </cell>
        </row>
        <row r="20">
          <cell r="L20">
            <v>0</v>
          </cell>
          <cell r="Q20" t="e">
            <v>#REF!</v>
          </cell>
          <cell r="Y20">
            <v>0</v>
          </cell>
        </row>
        <row r="21">
          <cell r="L21">
            <v>2817064.3510000003</v>
          </cell>
          <cell r="Q21" t="e">
            <v>#REF!</v>
          </cell>
          <cell r="Y21">
            <v>15963.751</v>
          </cell>
        </row>
        <row r="22">
          <cell r="L22">
            <v>0</v>
          </cell>
          <cell r="Q22" t="e">
            <v>#REF!</v>
          </cell>
          <cell r="Y22">
            <v>0</v>
          </cell>
        </row>
        <row r="23">
          <cell r="L23">
            <v>0</v>
          </cell>
          <cell r="Q23" t="e">
            <v>#REF!</v>
          </cell>
          <cell r="Y23">
            <v>11375.326999999999</v>
          </cell>
        </row>
        <row r="24">
          <cell r="L24">
            <v>0</v>
          </cell>
          <cell r="Q24" t="e">
            <v>#REF!</v>
          </cell>
          <cell r="Y24">
            <v>0</v>
          </cell>
        </row>
        <row r="25">
          <cell r="L25">
            <v>0</v>
          </cell>
          <cell r="Q25" t="e">
            <v>#REF!</v>
          </cell>
          <cell r="Y25">
            <v>0</v>
          </cell>
        </row>
        <row r="26">
          <cell r="L26">
            <v>0</v>
          </cell>
          <cell r="Q26" t="e">
            <v>#REF!</v>
          </cell>
          <cell r="Y26">
            <v>-153169.35200000001</v>
          </cell>
        </row>
        <row r="27">
          <cell r="L27">
            <v>0</v>
          </cell>
          <cell r="Q27" t="e">
            <v>#REF!</v>
          </cell>
          <cell r="Y27">
            <v>13001885.411</v>
          </cell>
        </row>
        <row r="28">
          <cell r="L28">
            <v>0</v>
          </cell>
          <cell r="Q28" t="e">
            <v>#REF!</v>
          </cell>
          <cell r="Y28">
            <v>0</v>
          </cell>
        </row>
        <row r="29">
          <cell r="L29">
            <v>0</v>
          </cell>
          <cell r="Q29" t="e">
            <v>#REF!</v>
          </cell>
          <cell r="Y29">
            <v>2940600</v>
          </cell>
        </row>
        <row r="30">
          <cell r="L30">
            <v>1720250.2149999999</v>
          </cell>
          <cell r="Q30" t="e">
            <v>#REF!</v>
          </cell>
          <cell r="Y30">
            <v>0</v>
          </cell>
        </row>
        <row r="31">
          <cell r="L31">
            <v>52433.093999999997</v>
          </cell>
          <cell r="Q31" t="e">
            <v>#REF!</v>
          </cell>
          <cell r="Y31">
            <v>0</v>
          </cell>
        </row>
        <row r="32">
          <cell r="L32">
            <v>219566.79</v>
          </cell>
          <cell r="Q32" t="e">
            <v>#REF!</v>
          </cell>
          <cell r="Y32">
            <v>592768.07499999995</v>
          </cell>
        </row>
        <row r="33">
          <cell r="L33">
            <v>0</v>
          </cell>
          <cell r="Q33" t="e">
            <v>#REF!</v>
          </cell>
          <cell r="Y33">
            <v>0</v>
          </cell>
        </row>
        <row r="34">
          <cell r="L34">
            <v>40699</v>
          </cell>
          <cell r="Q34" t="e">
            <v>#REF!</v>
          </cell>
          <cell r="Y34">
            <v>0</v>
          </cell>
        </row>
        <row r="35">
          <cell r="L35">
            <v>0</v>
          </cell>
          <cell r="Q35" t="e">
            <v>#REF!</v>
          </cell>
          <cell r="Y35">
            <v>0</v>
          </cell>
        </row>
        <row r="36">
          <cell r="L36">
            <v>36162.53</v>
          </cell>
          <cell r="Q36" t="e">
            <v>#REF!</v>
          </cell>
          <cell r="Y36">
            <v>39693.930999999997</v>
          </cell>
        </row>
        <row r="37">
          <cell r="L37">
            <v>126981.822</v>
          </cell>
          <cell r="Q37" t="e">
            <v>#REF!</v>
          </cell>
          <cell r="Y37">
            <v>4519235.5609999998</v>
          </cell>
        </row>
        <row r="38">
          <cell r="L38">
            <v>0</v>
          </cell>
          <cell r="Q38" t="e">
            <v>#REF!</v>
          </cell>
          <cell r="Y38">
            <v>0</v>
          </cell>
        </row>
        <row r="39">
          <cell r="L39">
            <v>23755.813999999998</v>
          </cell>
          <cell r="Q39" t="e">
            <v>#REF!</v>
          </cell>
          <cell r="Y39">
            <v>252000</v>
          </cell>
        </row>
        <row r="40">
          <cell r="L40">
            <v>0</v>
          </cell>
          <cell r="Q40" t="e">
            <v>#REF!</v>
          </cell>
          <cell r="Y40">
            <v>25000</v>
          </cell>
        </row>
        <row r="41">
          <cell r="L41">
            <v>4080600</v>
          </cell>
          <cell r="Q41" t="e">
            <v>#REF!</v>
          </cell>
          <cell r="Y41">
            <v>1510873.9300000002</v>
          </cell>
        </row>
        <row r="42">
          <cell r="L42">
            <v>0</v>
          </cell>
          <cell r="Q42" t="e">
            <v>#REF!</v>
          </cell>
          <cell r="Y42">
            <v>0</v>
          </cell>
        </row>
        <row r="43">
          <cell r="L43">
            <v>12141.620999999999</v>
          </cell>
          <cell r="Q43" t="e">
            <v>#REF!</v>
          </cell>
          <cell r="Y43">
            <v>4641809.2860000003</v>
          </cell>
        </row>
        <row r="44">
          <cell r="L44">
            <v>0</v>
          </cell>
          <cell r="Q44" t="e">
            <v>#REF!</v>
          </cell>
          <cell r="Y44">
            <v>0</v>
          </cell>
        </row>
        <row r="45">
          <cell r="L45">
            <v>0</v>
          </cell>
          <cell r="Q45" t="e">
            <v>#REF!</v>
          </cell>
          <cell r="Y45">
            <v>0</v>
          </cell>
        </row>
        <row r="46">
          <cell r="L46">
            <v>0</v>
          </cell>
          <cell r="Q46" t="e">
            <v>#REF!</v>
          </cell>
          <cell r="Y46">
            <v>0</v>
          </cell>
        </row>
        <row r="48">
          <cell r="L48">
            <v>1246347.0989999999</v>
          </cell>
          <cell r="Q48" t="e">
            <v>#REF!</v>
          </cell>
          <cell r="Y48">
            <v>3282.598</v>
          </cell>
        </row>
        <row r="49">
          <cell r="L49">
            <v>0</v>
          </cell>
          <cell r="Q49" t="e">
            <v>#REF!</v>
          </cell>
          <cell r="Y49">
            <v>175290.41999999998</v>
          </cell>
        </row>
        <row r="50">
          <cell r="L50">
            <v>0</v>
          </cell>
          <cell r="Q50" t="e">
            <v>#REF!</v>
          </cell>
          <cell r="Y50">
            <v>3488648.6310000001</v>
          </cell>
        </row>
        <row r="51">
          <cell r="L51">
            <v>7169953.6749999998</v>
          </cell>
          <cell r="Q51" t="e">
            <v>#REF!</v>
          </cell>
          <cell r="Y51">
            <v>0</v>
          </cell>
        </row>
        <row r="52">
          <cell r="L52">
            <v>0</v>
          </cell>
          <cell r="Q52" t="e">
            <v>#REF!</v>
          </cell>
          <cell r="Y52">
            <v>31898.387999999999</v>
          </cell>
        </row>
        <row r="53">
          <cell r="L53">
            <v>13759768.784</v>
          </cell>
          <cell r="Q53" t="e">
            <v>#REF!</v>
          </cell>
          <cell r="Y53">
            <v>0</v>
          </cell>
        </row>
        <row r="54">
          <cell r="L54">
            <v>0</v>
          </cell>
          <cell r="Q54" t="e">
            <v>#REF!</v>
          </cell>
          <cell r="Y54">
            <v>732765.84</v>
          </cell>
        </row>
        <row r="55">
          <cell r="L55">
            <v>0</v>
          </cell>
          <cell r="Q55" t="e">
            <v>#REF!</v>
          </cell>
          <cell r="Y55">
            <v>211700</v>
          </cell>
        </row>
        <row r="56">
          <cell r="L56">
            <v>11611.779999999999</v>
          </cell>
          <cell r="Q56" t="e">
            <v>#REF!</v>
          </cell>
          <cell r="Y56">
            <v>47027.165999999997</v>
          </cell>
        </row>
        <row r="57">
          <cell r="L57">
            <v>0</v>
          </cell>
          <cell r="Q57" t="e">
            <v>#REF!</v>
          </cell>
          <cell r="Y57">
            <v>0</v>
          </cell>
        </row>
        <row r="58">
          <cell r="L58">
            <v>0</v>
          </cell>
          <cell r="Q58" t="e">
            <v>#REF!</v>
          </cell>
          <cell r="Y58">
            <v>0</v>
          </cell>
        </row>
        <row r="59">
          <cell r="L59">
            <v>0</v>
          </cell>
          <cell r="Q59" t="e">
            <v>#REF!</v>
          </cell>
          <cell r="Y59">
            <v>0</v>
          </cell>
        </row>
        <row r="60">
          <cell r="L60">
            <v>0</v>
          </cell>
          <cell r="Q60" t="e">
            <v>#REF!</v>
          </cell>
          <cell r="Y60">
            <v>0</v>
          </cell>
        </row>
        <row r="61">
          <cell r="L61">
            <v>0</v>
          </cell>
          <cell r="Q61" t="e">
            <v>#REF!</v>
          </cell>
          <cell r="Y61">
            <v>95017.777000000002</v>
          </cell>
        </row>
        <row r="62">
          <cell r="L62">
            <v>0</v>
          </cell>
          <cell r="Q62" t="e">
            <v>#REF!</v>
          </cell>
          <cell r="Y62">
            <v>3121.0209999999997</v>
          </cell>
        </row>
        <row r="63">
          <cell r="L63">
            <v>177617.62599999999</v>
          </cell>
          <cell r="Q63" t="e">
            <v>#REF!</v>
          </cell>
          <cell r="Y63">
            <v>0</v>
          </cell>
        </row>
        <row r="64">
          <cell r="L64">
            <v>0</v>
          </cell>
          <cell r="Q64" t="e">
            <v>#REF!</v>
          </cell>
          <cell r="Y64">
            <v>311.3</v>
          </cell>
        </row>
        <row r="65">
          <cell r="L65">
            <v>0</v>
          </cell>
          <cell r="Q65" t="e">
            <v>#REF!</v>
          </cell>
          <cell r="Y65">
            <v>0</v>
          </cell>
        </row>
        <row r="66">
          <cell r="L66">
            <v>0</v>
          </cell>
          <cell r="Q66" t="e">
            <v>#REF!</v>
          </cell>
          <cell r="Y66">
            <v>0</v>
          </cell>
        </row>
        <row r="67">
          <cell r="L67">
            <v>0</v>
          </cell>
          <cell r="Q67" t="e">
            <v>#REF!</v>
          </cell>
          <cell r="Y67">
            <v>0</v>
          </cell>
        </row>
        <row r="68">
          <cell r="L68">
            <v>0</v>
          </cell>
          <cell r="Q68" t="e">
            <v>#REF!</v>
          </cell>
          <cell r="Y68">
            <v>0</v>
          </cell>
        </row>
        <row r="69">
          <cell r="L69">
            <v>0</v>
          </cell>
          <cell r="Q69" t="e">
            <v>#REF!</v>
          </cell>
          <cell r="Y69">
            <v>0</v>
          </cell>
        </row>
        <row r="70">
          <cell r="L70">
            <v>524515.14500000002</v>
          </cell>
          <cell r="Q70" t="e">
            <v>#REF!</v>
          </cell>
          <cell r="Y70">
            <v>0</v>
          </cell>
        </row>
        <row r="71">
          <cell r="L71">
            <v>0</v>
          </cell>
          <cell r="Q71" t="e">
            <v>#REF!</v>
          </cell>
          <cell r="Y71">
            <v>0</v>
          </cell>
        </row>
        <row r="72">
          <cell r="L72">
            <v>0</v>
          </cell>
          <cell r="Q72" t="e">
            <v>#REF!</v>
          </cell>
          <cell r="Y72">
            <v>0</v>
          </cell>
        </row>
        <row r="73">
          <cell r="L73">
            <v>0</v>
          </cell>
          <cell r="Q73" t="e">
            <v>#REF!</v>
          </cell>
          <cell r="Y73">
            <v>100</v>
          </cell>
        </row>
        <row r="74">
          <cell r="L74">
            <v>0</v>
          </cell>
          <cell r="Q74" t="e">
            <v>#REF!</v>
          </cell>
          <cell r="Y74">
            <v>0</v>
          </cell>
        </row>
        <row r="75">
          <cell r="L75">
            <v>0</v>
          </cell>
          <cell r="Q75" t="e">
            <v>#REF!</v>
          </cell>
          <cell r="Y75">
            <v>0</v>
          </cell>
        </row>
        <row r="77">
          <cell r="L77">
            <v>0</v>
          </cell>
          <cell r="Q77" t="e">
            <v>#REF!</v>
          </cell>
          <cell r="Y77">
            <v>0</v>
          </cell>
        </row>
        <row r="78">
          <cell r="L78">
            <v>0</v>
          </cell>
          <cell r="Q78" t="e">
            <v>#REF!</v>
          </cell>
          <cell r="Y78">
            <v>0</v>
          </cell>
        </row>
        <row r="79">
          <cell r="L79">
            <v>0</v>
          </cell>
          <cell r="Q79" t="e">
            <v>#REF!</v>
          </cell>
          <cell r="Y79">
            <v>0</v>
          </cell>
        </row>
        <row r="80">
          <cell r="L80">
            <v>0</v>
          </cell>
          <cell r="Q80" t="e">
            <v>#REF!</v>
          </cell>
          <cell r="Y80">
            <v>132817.76799999998</v>
          </cell>
        </row>
        <row r="81">
          <cell r="L81">
            <v>0</v>
          </cell>
          <cell r="Q81" t="e">
            <v>#REF!</v>
          </cell>
          <cell r="Y81">
            <v>0</v>
          </cell>
        </row>
        <row r="82">
          <cell r="L82">
            <v>0</v>
          </cell>
          <cell r="Q82" t="e">
            <v>#REF!</v>
          </cell>
          <cell r="Y82">
            <v>0</v>
          </cell>
        </row>
        <row r="83">
          <cell r="L83">
            <v>0</v>
          </cell>
          <cell r="Q83" t="e">
            <v>#REF!</v>
          </cell>
          <cell r="Y83">
            <v>0</v>
          </cell>
        </row>
        <row r="84">
          <cell r="L84">
            <v>0</v>
          </cell>
          <cell r="Q84" t="e">
            <v>#REF!</v>
          </cell>
          <cell r="Y84">
            <v>0</v>
          </cell>
        </row>
        <row r="85">
          <cell r="L85">
            <v>11593</v>
          </cell>
          <cell r="Q85" t="e">
            <v>#REF!</v>
          </cell>
          <cell r="Y85">
            <v>11593</v>
          </cell>
        </row>
        <row r="86">
          <cell r="L86">
            <v>2396683</v>
          </cell>
          <cell r="Q86" t="e">
            <v>#REF!</v>
          </cell>
          <cell r="Y86">
            <v>2396683</v>
          </cell>
        </row>
        <row r="87">
          <cell r="L87">
            <v>244566</v>
          </cell>
          <cell r="Q87" t="e">
            <v>#REF!</v>
          </cell>
          <cell r="Y87">
            <v>244566</v>
          </cell>
        </row>
        <row r="88">
          <cell r="L88">
            <v>731613.6</v>
          </cell>
          <cell r="Q88" t="e">
            <v>#REF!</v>
          </cell>
          <cell r="Y88">
            <v>731613.6</v>
          </cell>
        </row>
        <row r="89">
          <cell r="L89">
            <v>0</v>
          </cell>
          <cell r="Q89" t="e">
            <v>#REF!</v>
          </cell>
          <cell r="Y89">
            <v>0</v>
          </cell>
        </row>
        <row r="90">
          <cell r="L90">
            <v>17900</v>
          </cell>
          <cell r="Q90" t="e">
            <v>#REF!</v>
          </cell>
          <cell r="Y90">
            <v>17900</v>
          </cell>
        </row>
        <row r="91">
          <cell r="L91">
            <v>0</v>
          </cell>
          <cell r="Q91" t="e">
            <v>#REF!</v>
          </cell>
          <cell r="Y91">
            <v>0</v>
          </cell>
        </row>
        <row r="92">
          <cell r="L92">
            <v>4721528.4210000001</v>
          </cell>
          <cell r="Q92" t="e">
            <v>#REF!</v>
          </cell>
          <cell r="Y92">
            <v>4719039.5659999996</v>
          </cell>
        </row>
        <row r="93">
          <cell r="L93">
            <v>0</v>
          </cell>
          <cell r="Q93" t="e">
            <v>#REF!</v>
          </cell>
          <cell r="Y93">
            <v>0</v>
          </cell>
        </row>
        <row r="94">
          <cell r="L94">
            <v>3732499.0830000001</v>
          </cell>
          <cell r="Q94" t="e">
            <v>#REF!</v>
          </cell>
          <cell r="Y94">
            <v>3766159.4960000003</v>
          </cell>
        </row>
        <row r="95">
          <cell r="L95">
            <v>0</v>
          </cell>
          <cell r="Q95" t="e">
            <v>#REF!</v>
          </cell>
          <cell r="Y95">
            <v>0</v>
          </cell>
        </row>
        <row r="97">
          <cell r="L97" t="str">
            <v>-</v>
          </cell>
          <cell r="Q97" t="str">
            <v>-</v>
          </cell>
          <cell r="Y97" t="str">
            <v>-</v>
          </cell>
        </row>
        <row r="98">
          <cell r="L98">
            <v>46209512.862999998</v>
          </cell>
          <cell r="Q98" t="e">
            <v>#REF!</v>
          </cell>
          <cell r="Y98">
            <v>46209512.863000005</v>
          </cell>
        </row>
        <row r="99">
          <cell r="L99" t="str">
            <v>-</v>
          </cell>
          <cell r="Q99" t="str">
            <v>-</v>
          </cell>
          <cell r="Y99" t="str">
            <v>-</v>
          </cell>
        </row>
        <row r="100">
          <cell r="L100">
            <v>46209512.862999998</v>
          </cell>
          <cell r="Q100" t="e">
            <v>#REF!</v>
          </cell>
          <cell r="Y100">
            <v>46209512.862999998</v>
          </cell>
        </row>
        <row r="101">
          <cell r="L101" t="str">
            <v>-</v>
          </cell>
          <cell r="Q101" t="str">
            <v>-</v>
          </cell>
          <cell r="Y101" t="str">
            <v>-</v>
          </cell>
        </row>
        <row r="102">
          <cell r="L102">
            <v>0</v>
          </cell>
          <cell r="Q102" t="e">
            <v>#REF!</v>
          </cell>
          <cell r="Y102">
            <v>0</v>
          </cell>
        </row>
        <row r="103">
          <cell r="L103" t="str">
            <v>-</v>
          </cell>
          <cell r="Q103" t="str">
            <v>-</v>
          </cell>
          <cell r="Y103" t="str">
            <v>-</v>
          </cell>
        </row>
        <row r="104">
          <cell r="L104">
            <v>28488660.443999998</v>
          </cell>
          <cell r="Q104" t="e">
            <v>#REF!</v>
          </cell>
          <cell r="Y104">
            <v>15679225.751</v>
          </cell>
        </row>
        <row r="105">
          <cell r="L105" t="str">
            <v>-</v>
          </cell>
          <cell r="Q105" t="str">
            <v>-</v>
          </cell>
          <cell r="Y105" t="str">
            <v>-</v>
          </cell>
        </row>
        <row r="112">
          <cell r="O112" t="str">
            <v>||\027\033\068</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14">
          <cell r="A214" t="str">
            <v>||\027\033\068</v>
          </cell>
        </row>
        <row r="216">
          <cell r="O216" t="str">
            <v>||\027\033\068</v>
          </cell>
        </row>
        <row r="224">
          <cell r="L224">
            <v>750000000</v>
          </cell>
          <cell r="S224">
            <v>0</v>
          </cell>
          <cell r="Y224">
            <v>4374151.68</v>
          </cell>
        </row>
        <row r="225">
          <cell r="L225">
            <v>14604455.57</v>
          </cell>
          <cell r="S225">
            <v>238769.23000000004</v>
          </cell>
          <cell r="Y225">
            <v>5513382.3399999999</v>
          </cell>
        </row>
        <row r="226">
          <cell r="L226">
            <v>0</v>
          </cell>
          <cell r="S226">
            <v>0</v>
          </cell>
          <cell r="Y226">
            <v>0</v>
          </cell>
        </row>
        <row r="227">
          <cell r="L227">
            <v>29989300</v>
          </cell>
          <cell r="S227">
            <v>0</v>
          </cell>
          <cell r="Y227">
            <v>275250074.12</v>
          </cell>
        </row>
        <row r="228">
          <cell r="L228">
            <v>5999828.9000000004</v>
          </cell>
          <cell r="S228">
            <v>0</v>
          </cell>
          <cell r="Y228">
            <v>0</v>
          </cell>
        </row>
        <row r="229">
          <cell r="L229">
            <v>78499347.74000001</v>
          </cell>
          <cell r="S229">
            <v>151235.01999999999</v>
          </cell>
          <cell r="Y229">
            <v>3645022.96</v>
          </cell>
        </row>
        <row r="230">
          <cell r="L230">
            <v>76537584</v>
          </cell>
          <cell r="S230">
            <v>603115</v>
          </cell>
          <cell r="Y230">
            <v>1361618.22</v>
          </cell>
        </row>
        <row r="231">
          <cell r="L231">
            <v>0</v>
          </cell>
          <cell r="S231">
            <v>276139.32999999996</v>
          </cell>
          <cell r="Y231">
            <v>-113225000.62</v>
          </cell>
        </row>
        <row r="232">
          <cell r="L232">
            <v>0</v>
          </cell>
          <cell r="S232">
            <v>0</v>
          </cell>
          <cell r="Y232">
            <v>0</v>
          </cell>
        </row>
        <row r="233">
          <cell r="L233">
            <v>0</v>
          </cell>
          <cell r="S233">
            <v>0</v>
          </cell>
          <cell r="Y233">
            <v>0</v>
          </cell>
        </row>
        <row r="234">
          <cell r="L234">
            <v>0</v>
          </cell>
          <cell r="S234">
            <v>48797.74</v>
          </cell>
          <cell r="Y234">
            <v>225408968.98999998</v>
          </cell>
        </row>
        <row r="235">
          <cell r="L235">
            <v>0</v>
          </cell>
          <cell r="S235">
            <v>0</v>
          </cell>
          <cell r="Y235">
            <v>920551908.37</v>
          </cell>
        </row>
        <row r="236">
          <cell r="L236">
            <v>0</v>
          </cell>
          <cell r="S236">
            <v>0</v>
          </cell>
          <cell r="Y236">
            <v>0</v>
          </cell>
        </row>
        <row r="237">
          <cell r="L237">
            <v>0</v>
          </cell>
          <cell r="S237">
            <v>34066668.909999996</v>
          </cell>
          <cell r="Y237">
            <v>0</v>
          </cell>
        </row>
        <row r="238">
          <cell r="L238">
            <v>152302001.98000002</v>
          </cell>
          <cell r="S238">
            <v>0</v>
          </cell>
          <cell r="Y238">
            <v>0</v>
          </cell>
        </row>
        <row r="239">
          <cell r="L239">
            <v>7035630.8899999997</v>
          </cell>
          <cell r="S239">
            <v>0</v>
          </cell>
          <cell r="Y239">
            <v>0</v>
          </cell>
        </row>
        <row r="240">
          <cell r="L240">
            <v>153771425.58000001</v>
          </cell>
          <cell r="S240">
            <v>3564184.18</v>
          </cell>
          <cell r="Y240">
            <v>1060405805.58</v>
          </cell>
        </row>
        <row r="241">
          <cell r="L241">
            <v>0</v>
          </cell>
          <cell r="S241">
            <v>0</v>
          </cell>
          <cell r="Y241">
            <v>0</v>
          </cell>
        </row>
        <row r="242">
          <cell r="L242">
            <v>13405415.34</v>
          </cell>
          <cell r="S242">
            <v>0</v>
          </cell>
          <cell r="Y242">
            <v>0</v>
          </cell>
        </row>
        <row r="243">
          <cell r="L243">
            <v>28733787.93</v>
          </cell>
          <cell r="S243">
            <v>0</v>
          </cell>
          <cell r="Y243">
            <v>0</v>
          </cell>
        </row>
        <row r="244">
          <cell r="L244">
            <v>2923956.48</v>
          </cell>
          <cell r="S244">
            <v>734145.86</v>
          </cell>
          <cell r="Y244">
            <v>1022124.63</v>
          </cell>
        </row>
        <row r="245">
          <cell r="L245">
            <v>8564534.7400000002</v>
          </cell>
          <cell r="S245">
            <v>12152720.940000001</v>
          </cell>
          <cell r="Y245">
            <v>14292870.289999999</v>
          </cell>
        </row>
        <row r="246">
          <cell r="L246">
            <v>0</v>
          </cell>
          <cell r="S246">
            <v>0</v>
          </cell>
          <cell r="Y246">
            <v>0</v>
          </cell>
        </row>
        <row r="247">
          <cell r="L247">
            <v>0</v>
          </cell>
          <cell r="S247">
            <v>0</v>
          </cell>
          <cell r="Y247">
            <v>0</v>
          </cell>
        </row>
        <row r="248">
          <cell r="L248">
            <v>0</v>
          </cell>
          <cell r="S248">
            <v>0</v>
          </cell>
          <cell r="Y248">
            <v>0</v>
          </cell>
        </row>
        <row r="249">
          <cell r="L249">
            <v>0</v>
          </cell>
          <cell r="S249">
            <v>0</v>
          </cell>
          <cell r="Y249">
            <v>2373570.48</v>
          </cell>
        </row>
        <row r="250">
          <cell r="L250">
            <v>0</v>
          </cell>
          <cell r="S250">
            <v>0</v>
          </cell>
          <cell r="Y250">
            <v>0</v>
          </cell>
        </row>
        <row r="251">
          <cell r="L251">
            <v>0</v>
          </cell>
          <cell r="S251">
            <v>0</v>
          </cell>
          <cell r="Y251">
            <v>0</v>
          </cell>
        </row>
        <row r="252">
          <cell r="L252">
            <v>0</v>
          </cell>
          <cell r="S252">
            <v>0</v>
          </cell>
          <cell r="Y252">
            <v>0</v>
          </cell>
        </row>
        <row r="253">
          <cell r="L253">
            <v>0</v>
          </cell>
          <cell r="S253">
            <v>0</v>
          </cell>
          <cell r="Y253">
            <v>0</v>
          </cell>
        </row>
        <row r="254">
          <cell r="L254">
            <v>0</v>
          </cell>
        </row>
        <row r="255">
          <cell r="L255">
            <v>0</v>
          </cell>
          <cell r="S255">
            <v>0</v>
          </cell>
          <cell r="Y255">
            <v>0</v>
          </cell>
        </row>
        <row r="256">
          <cell r="L256">
            <v>262079774.88000003</v>
          </cell>
          <cell r="S256">
            <v>565164.27</v>
          </cell>
          <cell r="Y256">
            <v>51089902.710000001</v>
          </cell>
        </row>
        <row r="257">
          <cell r="L257">
            <v>79878373.549999997</v>
          </cell>
          <cell r="S257">
            <v>92772.11</v>
          </cell>
          <cell r="Y257">
            <v>4039736.7600000002</v>
          </cell>
        </row>
        <row r="258">
          <cell r="L258">
            <v>0</v>
          </cell>
          <cell r="S258">
            <v>17631069.439999998</v>
          </cell>
          <cell r="Y258">
            <v>85487441.75999999</v>
          </cell>
        </row>
        <row r="259">
          <cell r="L259">
            <v>403801973.25</v>
          </cell>
          <cell r="S259">
            <v>0</v>
          </cell>
          <cell r="Y259">
            <v>0</v>
          </cell>
        </row>
        <row r="260">
          <cell r="L260">
            <v>0</v>
          </cell>
          <cell r="S260">
            <v>0</v>
          </cell>
          <cell r="Y260">
            <v>0</v>
          </cell>
        </row>
        <row r="261">
          <cell r="L261">
            <v>468410157.93000001</v>
          </cell>
          <cell r="S261">
            <v>0</v>
          </cell>
          <cell r="Y261">
            <v>0</v>
          </cell>
        </row>
        <row r="262">
          <cell r="L262">
            <v>0</v>
          </cell>
          <cell r="S262">
            <v>980981.79</v>
          </cell>
          <cell r="Y262">
            <v>0</v>
          </cell>
        </row>
        <row r="263">
          <cell r="L263">
            <v>0</v>
          </cell>
          <cell r="S263">
            <v>103160.37</v>
          </cell>
          <cell r="Y263">
            <v>149076.46</v>
          </cell>
        </row>
        <row r="264">
          <cell r="L264">
            <v>4647803.25</v>
          </cell>
          <cell r="S264">
            <v>0</v>
          </cell>
          <cell r="Y264">
            <v>0</v>
          </cell>
        </row>
        <row r="265">
          <cell r="L265">
            <v>1692190.54</v>
          </cell>
          <cell r="S265">
            <v>0</v>
          </cell>
          <cell r="Y265">
            <v>0</v>
          </cell>
        </row>
        <row r="266">
          <cell r="L266">
            <v>711810</v>
          </cell>
          <cell r="S266">
            <v>0</v>
          </cell>
          <cell r="Y266">
            <v>0</v>
          </cell>
        </row>
        <row r="267">
          <cell r="L267">
            <v>62829.71</v>
          </cell>
          <cell r="S267">
            <v>0</v>
          </cell>
          <cell r="Y267">
            <v>0</v>
          </cell>
        </row>
        <row r="268">
          <cell r="L268">
            <v>0</v>
          </cell>
          <cell r="S268">
            <v>293177.40999999997</v>
          </cell>
          <cell r="Y268">
            <v>0</v>
          </cell>
        </row>
        <row r="269">
          <cell r="L269">
            <v>141740</v>
          </cell>
          <cell r="S269">
            <v>147742.65000000002</v>
          </cell>
          <cell r="Y269">
            <v>7773113.0700000003</v>
          </cell>
        </row>
        <row r="270">
          <cell r="L270">
            <v>17670806.59</v>
          </cell>
          <cell r="S270">
            <v>9367.27</v>
          </cell>
          <cell r="Y270">
            <v>484761.88</v>
          </cell>
        </row>
        <row r="271">
          <cell r="L271">
            <v>27223197.699999999</v>
          </cell>
          <cell r="S271">
            <v>1889.69</v>
          </cell>
          <cell r="Y271">
            <v>0</v>
          </cell>
        </row>
        <row r="272">
          <cell r="L272">
            <v>0</v>
          </cell>
          <cell r="S272">
            <v>900</v>
          </cell>
          <cell r="Y272">
            <v>9850</v>
          </cell>
        </row>
        <row r="273">
          <cell r="L273">
            <v>0</v>
          </cell>
          <cell r="S273">
            <v>102405.73</v>
          </cell>
          <cell r="Y273">
            <v>0</v>
          </cell>
        </row>
        <row r="274">
          <cell r="L274">
            <v>0</v>
          </cell>
          <cell r="S274">
            <v>0</v>
          </cell>
          <cell r="Y274">
            <v>0</v>
          </cell>
        </row>
        <row r="275">
          <cell r="L275">
            <v>0</v>
          </cell>
          <cell r="S275">
            <v>0</v>
          </cell>
          <cell r="Y275">
            <v>0</v>
          </cell>
        </row>
        <row r="276">
          <cell r="L276">
            <v>0</v>
          </cell>
          <cell r="S276">
            <v>0</v>
          </cell>
          <cell r="Y276">
            <v>0</v>
          </cell>
        </row>
        <row r="277">
          <cell r="L277">
            <v>0</v>
          </cell>
          <cell r="S277">
            <v>0</v>
          </cell>
          <cell r="Y277">
            <v>0</v>
          </cell>
        </row>
        <row r="278">
          <cell r="L278">
            <v>27988442.219999999</v>
          </cell>
          <cell r="S278">
            <v>37706.78</v>
          </cell>
          <cell r="Y278">
            <v>0</v>
          </cell>
        </row>
        <row r="279">
          <cell r="L279">
            <v>2005965</v>
          </cell>
          <cell r="S279">
            <v>0</v>
          </cell>
          <cell r="Y279">
            <v>0</v>
          </cell>
        </row>
        <row r="280">
          <cell r="L280">
            <v>0</v>
          </cell>
          <cell r="S280">
            <v>0</v>
          </cell>
          <cell r="Y280">
            <v>0</v>
          </cell>
        </row>
        <row r="281">
          <cell r="L281">
            <v>11500000</v>
          </cell>
          <cell r="S281">
            <v>4336</v>
          </cell>
          <cell r="Y281">
            <v>59337.89</v>
          </cell>
        </row>
        <row r="282">
          <cell r="L282">
            <v>0</v>
          </cell>
          <cell r="S282">
            <v>0</v>
          </cell>
          <cell r="Y282">
            <v>0</v>
          </cell>
        </row>
        <row r="283">
          <cell r="L283">
            <v>0</v>
          </cell>
          <cell r="S283">
            <v>0</v>
          </cell>
          <cell r="Y283">
            <v>167240</v>
          </cell>
        </row>
        <row r="285">
          <cell r="L285">
            <v>0</v>
          </cell>
          <cell r="S285">
            <v>-90</v>
          </cell>
          <cell r="Y285">
            <v>7980</v>
          </cell>
        </row>
        <row r="286">
          <cell r="L286">
            <v>0</v>
          </cell>
          <cell r="S286">
            <v>4707.92</v>
          </cell>
          <cell r="Y286">
            <v>1060733.5</v>
          </cell>
        </row>
        <row r="287">
          <cell r="L287">
            <v>0</v>
          </cell>
          <cell r="S287">
            <v>0</v>
          </cell>
          <cell r="Y287">
            <v>1033945.04</v>
          </cell>
        </row>
        <row r="288">
          <cell r="L288">
            <v>0</v>
          </cell>
          <cell r="S288">
            <v>681241.71</v>
          </cell>
          <cell r="Y288">
            <v>39695438.049999997</v>
          </cell>
        </row>
        <row r="289">
          <cell r="L289">
            <v>0</v>
          </cell>
          <cell r="S289">
            <v>0</v>
          </cell>
          <cell r="Y289">
            <v>0</v>
          </cell>
        </row>
        <row r="290">
          <cell r="L290">
            <v>0</v>
          </cell>
          <cell r="S290">
            <v>0</v>
          </cell>
          <cell r="Y290">
            <v>0</v>
          </cell>
        </row>
        <row r="291">
          <cell r="L291">
            <v>0</v>
          </cell>
          <cell r="S291">
            <v>0</v>
          </cell>
          <cell r="Y291">
            <v>0</v>
          </cell>
        </row>
        <row r="292">
          <cell r="L292">
            <v>0</v>
          </cell>
          <cell r="S292">
            <v>0</v>
          </cell>
          <cell r="Y292">
            <v>0</v>
          </cell>
        </row>
        <row r="293">
          <cell r="L293">
            <v>0</v>
          </cell>
          <cell r="S293">
            <v>0</v>
          </cell>
          <cell r="Y293">
            <v>0</v>
          </cell>
        </row>
        <row r="294">
          <cell r="L294">
            <v>34556566.200000003</v>
          </cell>
          <cell r="S294">
            <v>1567851.3699999999</v>
          </cell>
          <cell r="Y294">
            <v>34556566.200000003</v>
          </cell>
        </row>
        <row r="295">
          <cell r="L295">
            <v>23431506</v>
          </cell>
          <cell r="S295">
            <v>50966.06</v>
          </cell>
          <cell r="Y295">
            <v>23431506</v>
          </cell>
        </row>
        <row r="296">
          <cell r="L296">
            <v>43474827</v>
          </cell>
          <cell r="S296">
            <v>0</v>
          </cell>
          <cell r="Y296">
            <v>43474827</v>
          </cell>
        </row>
        <row r="297">
          <cell r="L297">
            <v>0</v>
          </cell>
          <cell r="S297">
            <v>0</v>
          </cell>
          <cell r="Y297">
            <v>0</v>
          </cell>
        </row>
        <row r="298">
          <cell r="L298">
            <v>0</v>
          </cell>
          <cell r="S298">
            <v>0</v>
          </cell>
          <cell r="Y298">
            <v>0</v>
          </cell>
        </row>
        <row r="299">
          <cell r="L299">
            <v>0</v>
          </cell>
          <cell r="S299">
            <v>0</v>
          </cell>
          <cell r="Y299">
            <v>0</v>
          </cell>
        </row>
        <row r="300">
          <cell r="L300">
            <v>5736068.7800000003</v>
          </cell>
          <cell r="S300">
            <v>5525546.4000000004</v>
          </cell>
          <cell r="Y300">
            <v>1354351.37</v>
          </cell>
        </row>
        <row r="301">
          <cell r="L301">
            <v>0</v>
          </cell>
          <cell r="S301">
            <v>0</v>
          </cell>
          <cell r="Y301">
            <v>0</v>
          </cell>
        </row>
        <row r="302">
          <cell r="L302">
            <v>205117839.66</v>
          </cell>
          <cell r="S302">
            <v>2020487.96</v>
          </cell>
          <cell r="Y302">
            <v>247648836.68000004</v>
          </cell>
        </row>
        <row r="303">
          <cell r="L303">
            <v>0</v>
          </cell>
          <cell r="S303">
            <v>0</v>
          </cell>
          <cell r="Y303">
            <v>0</v>
          </cell>
        </row>
        <row r="305">
          <cell r="L305" t="str">
            <v>-</v>
          </cell>
          <cell r="S305" t="str">
            <v>-</v>
          </cell>
          <cell r="Y305" t="str">
            <v>-</v>
          </cell>
        </row>
        <row r="306">
          <cell r="L306">
            <v>2942499141.4099998</v>
          </cell>
          <cell r="S306">
            <v>81657161.140000015</v>
          </cell>
          <cell r="Y306">
            <v>2942499141.4100003</v>
          </cell>
        </row>
        <row r="307">
          <cell r="L307" t="str">
            <v>-</v>
          </cell>
          <cell r="S307" t="str">
            <v>-</v>
          </cell>
          <cell r="Y307" t="str">
            <v>-</v>
          </cell>
        </row>
        <row r="308">
          <cell r="L308">
            <v>2942499141.4100003</v>
          </cell>
          <cell r="S308">
            <v>81657161.140000001</v>
          </cell>
          <cell r="Y308">
            <v>2942499141.4100003</v>
          </cell>
        </row>
        <row r="309">
          <cell r="L309" t="str">
            <v>-</v>
          </cell>
          <cell r="S309" t="str">
            <v>-</v>
          </cell>
          <cell r="Y309" t="str">
            <v>-</v>
          </cell>
        </row>
        <row r="310">
          <cell r="L310">
            <v>0</v>
          </cell>
          <cell r="S310">
            <v>0</v>
          </cell>
          <cell r="Y310">
            <v>0</v>
          </cell>
        </row>
        <row r="311">
          <cell r="L311" t="str">
            <v>-</v>
          </cell>
          <cell r="S311" t="str">
            <v>-</v>
          </cell>
          <cell r="Y311" t="str">
            <v>-</v>
          </cell>
        </row>
        <row r="312">
          <cell r="L312">
            <v>1580907032.55</v>
          </cell>
          <cell r="S312">
            <v>32260014.779999997</v>
          </cell>
          <cell r="Y312">
            <v>158454723.09</v>
          </cell>
        </row>
        <row r="313">
          <cell r="L313" t="str">
            <v>-</v>
          </cell>
          <cell r="S313" t="str">
            <v>-</v>
          </cell>
          <cell r="Y313" t="str">
            <v>-</v>
          </cell>
        </row>
        <row r="318">
          <cell r="A318" t="str">
            <v>||\027\033\068</v>
          </cell>
        </row>
        <row r="320">
          <cell r="O320" t="str">
            <v>||\027\033\068</v>
          </cell>
        </row>
        <row r="326">
          <cell r="F326">
            <v>0</v>
          </cell>
        </row>
        <row r="327">
          <cell r="F327">
            <v>0</v>
          </cell>
        </row>
        <row r="328">
          <cell r="F328">
            <v>0</v>
          </cell>
          <cell r="U328">
            <v>86162.44</v>
          </cell>
        </row>
        <row r="329">
          <cell r="F329">
            <v>0</v>
          </cell>
          <cell r="S329">
            <v>16039</v>
          </cell>
          <cell r="U329">
            <v>1264365.1600000001</v>
          </cell>
        </row>
        <row r="330">
          <cell r="F330">
            <v>0</v>
          </cell>
          <cell r="S330">
            <v>20606965.59</v>
          </cell>
        </row>
        <row r="331">
          <cell r="F331">
            <v>17899376.960000001</v>
          </cell>
        </row>
        <row r="332">
          <cell r="F332">
            <v>0</v>
          </cell>
        </row>
        <row r="333">
          <cell r="F333">
            <v>2028780.7</v>
          </cell>
          <cell r="Q333">
            <v>530671.75</v>
          </cell>
          <cell r="U333">
            <v>6108409.0300000003</v>
          </cell>
        </row>
        <row r="334">
          <cell r="F334">
            <v>1401306.62</v>
          </cell>
          <cell r="Q334">
            <v>1305627.23</v>
          </cell>
          <cell r="U334">
            <v>212610.86</v>
          </cell>
        </row>
        <row r="335">
          <cell r="F335">
            <v>0</v>
          </cell>
          <cell r="S335">
            <v>12448.39</v>
          </cell>
          <cell r="U335">
            <v>259984.08</v>
          </cell>
        </row>
        <row r="336">
          <cell r="F336">
            <v>0</v>
          </cell>
        </row>
        <row r="337">
          <cell r="F337">
            <v>0</v>
          </cell>
        </row>
        <row r="338">
          <cell r="F338">
            <v>0</v>
          </cell>
          <cell r="S338">
            <v>240664.9</v>
          </cell>
          <cell r="U338">
            <v>796103.85999999987</v>
          </cell>
        </row>
        <row r="339">
          <cell r="F339">
            <v>0</v>
          </cell>
          <cell r="Q339">
            <v>31000000</v>
          </cell>
          <cell r="U339">
            <v>82952873</v>
          </cell>
        </row>
        <row r="340">
          <cell r="F340">
            <v>1970946.72</v>
          </cell>
        </row>
        <row r="341">
          <cell r="F341">
            <v>0</v>
          </cell>
          <cell r="Q341">
            <v>2500000</v>
          </cell>
          <cell r="U341">
            <v>78542994</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cell r="U348">
            <v>343410.21</v>
          </cell>
        </row>
        <row r="349">
          <cell r="F349">
            <v>35017.230000000003</v>
          </cell>
          <cell r="Q349">
            <v>1397920.19</v>
          </cell>
          <cell r="S349">
            <v>9674129.5500000007</v>
          </cell>
          <cell r="U349">
            <v>15834994.460000001</v>
          </cell>
        </row>
        <row r="350">
          <cell r="F350">
            <v>0</v>
          </cell>
          <cell r="S350">
            <v>171205.06</v>
          </cell>
          <cell r="U350">
            <v>21684080.039999999</v>
          </cell>
        </row>
        <row r="351">
          <cell r="F351">
            <v>11198546.82</v>
          </cell>
        </row>
        <row r="352">
          <cell r="F352">
            <v>0</v>
          </cell>
          <cell r="Q352">
            <v>75000</v>
          </cell>
        </row>
        <row r="353">
          <cell r="F353">
            <v>552770.66</v>
          </cell>
          <cell r="S353">
            <v>1378370.61</v>
          </cell>
          <cell r="U353">
            <v>16863453.329999998</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cell r="U360">
            <v>2003040.44</v>
          </cell>
        </row>
        <row r="361">
          <cell r="F361">
            <v>7132467.4700000007</v>
          </cell>
          <cell r="Q361">
            <v>24973.42</v>
          </cell>
          <cell r="U361">
            <v>9615763.3800000008</v>
          </cell>
        </row>
        <row r="362">
          <cell r="F362">
            <v>0</v>
          </cell>
          <cell r="Q362">
            <v>3219015.49</v>
          </cell>
          <cell r="S362">
            <v>9404781.0399999991</v>
          </cell>
          <cell r="U362">
            <v>11011197.130000001</v>
          </cell>
        </row>
        <row r="363">
          <cell r="F363">
            <v>5336836.7699999996</v>
          </cell>
        </row>
        <row r="364">
          <cell r="F364">
            <v>0</v>
          </cell>
          <cell r="Q364">
            <v>2185691.7599999998</v>
          </cell>
          <cell r="S364">
            <v>141500</v>
          </cell>
          <cell r="U364">
            <v>1415654</v>
          </cell>
        </row>
        <row r="365">
          <cell r="F365">
            <v>0</v>
          </cell>
        </row>
        <row r="366">
          <cell r="F366">
            <v>0</v>
          </cell>
          <cell r="U366">
            <v>5042124</v>
          </cell>
        </row>
        <row r="367">
          <cell r="F367">
            <v>90736.88</v>
          </cell>
          <cell r="S367">
            <v>253187.86</v>
          </cell>
          <cell r="U367">
            <v>8000</v>
          </cell>
        </row>
        <row r="368">
          <cell r="F368">
            <v>0</v>
          </cell>
          <cell r="U368">
            <v>7543439.2999999998</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cell r="U373">
            <v>509739</v>
          </cell>
        </row>
        <row r="374">
          <cell r="F374">
            <v>0</v>
          </cell>
          <cell r="Q374">
            <v>5830.59</v>
          </cell>
          <cell r="S374">
            <v>935.32</v>
          </cell>
          <cell r="U374">
            <v>178071.21</v>
          </cell>
        </row>
        <row r="375">
          <cell r="F375">
            <v>0</v>
          </cell>
          <cell r="S375">
            <v>301.39999999999998</v>
          </cell>
        </row>
        <row r="376">
          <cell r="F376">
            <v>0</v>
          </cell>
          <cell r="Q376">
            <v>32646.49</v>
          </cell>
          <cell r="S376">
            <v>40</v>
          </cell>
          <cell r="U376">
            <v>12000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cell r="U384">
            <v>4298</v>
          </cell>
        </row>
        <row r="385">
          <cell r="F385">
            <v>0</v>
          </cell>
        </row>
        <row r="386">
          <cell r="Q386">
            <v>110854.95</v>
          </cell>
          <cell r="U386">
            <v>326499</v>
          </cell>
        </row>
        <row r="387">
          <cell r="F387">
            <v>0</v>
          </cell>
          <cell r="U387">
            <v>17500</v>
          </cell>
        </row>
        <row r="388">
          <cell r="F388">
            <v>0</v>
          </cell>
        </row>
        <row r="389">
          <cell r="F389">
            <v>0</v>
          </cell>
          <cell r="S389">
            <v>22.92</v>
          </cell>
        </row>
        <row r="390">
          <cell r="F390">
            <v>0</v>
          </cell>
        </row>
        <row r="391">
          <cell r="F391">
            <v>0</v>
          </cell>
        </row>
        <row r="392">
          <cell r="F392">
            <v>0</v>
          </cell>
          <cell r="Q392">
            <v>19826.55</v>
          </cell>
          <cell r="S392">
            <v>7489549</v>
          </cell>
          <cell r="U392">
            <v>493689</v>
          </cell>
        </row>
        <row r="393">
          <cell r="F393">
            <v>0</v>
          </cell>
        </row>
        <row r="394">
          <cell r="F394">
            <v>0</v>
          </cell>
        </row>
        <row r="395">
          <cell r="F395">
            <v>0</v>
          </cell>
        </row>
        <row r="396">
          <cell r="F396">
            <v>1567851.3699999999</v>
          </cell>
        </row>
        <row r="397">
          <cell r="F397">
            <v>50966.06</v>
          </cell>
          <cell r="Q397">
            <v>0</v>
          </cell>
          <cell r="S397">
            <v>0</v>
          </cell>
          <cell r="U397">
            <v>0</v>
          </cell>
        </row>
        <row r="398">
          <cell r="F398">
            <v>0</v>
          </cell>
          <cell r="Q398">
            <v>18620913</v>
          </cell>
          <cell r="S398">
            <v>764286</v>
          </cell>
          <cell r="U398">
            <v>9687850</v>
          </cell>
        </row>
        <row r="399">
          <cell r="F399">
            <v>0</v>
          </cell>
          <cell r="Q399">
            <v>0</v>
          </cell>
          <cell r="S399">
            <v>10062</v>
          </cell>
          <cell r="U399">
            <v>17466800</v>
          </cell>
        </row>
        <row r="400">
          <cell r="F400">
            <v>0</v>
          </cell>
          <cell r="Q400">
            <v>658954</v>
          </cell>
          <cell r="S400">
            <v>144537</v>
          </cell>
          <cell r="U400">
            <v>15131600</v>
          </cell>
        </row>
        <row r="401">
          <cell r="F401">
            <v>0</v>
          </cell>
          <cell r="Q401">
            <v>0</v>
          </cell>
          <cell r="S401">
            <v>0</v>
          </cell>
          <cell r="U401">
            <v>0</v>
          </cell>
        </row>
        <row r="402">
          <cell r="F402">
            <v>5552534.0899999999</v>
          </cell>
          <cell r="Q402">
            <v>19672</v>
          </cell>
          <cell r="S402">
            <v>0</v>
          </cell>
          <cell r="U402">
            <v>298500</v>
          </cell>
        </row>
        <row r="403">
          <cell r="F403">
            <v>0</v>
          </cell>
        </row>
        <row r="404">
          <cell r="F404">
            <v>4336371.62</v>
          </cell>
        </row>
        <row r="405">
          <cell r="F405">
            <v>0</v>
          </cell>
        </row>
        <row r="406">
          <cell r="Q406">
            <v>2445565.4300000002</v>
          </cell>
          <cell r="S406">
            <v>10306104.33</v>
          </cell>
          <cell r="U406">
            <v>17318973.57</v>
          </cell>
        </row>
        <row r="407">
          <cell r="F407" t="str">
            <v>-</v>
          </cell>
        </row>
        <row r="408">
          <cell r="F408">
            <v>81657161.140000015</v>
          </cell>
        </row>
        <row r="409">
          <cell r="F409" t="str">
            <v>-</v>
          </cell>
          <cell r="Q409" t="str">
            <v>-</v>
          </cell>
          <cell r="S409" t="str">
            <v>-</v>
          </cell>
          <cell r="U409" t="str">
            <v>-</v>
          </cell>
        </row>
        <row r="410">
          <cell r="F410">
            <v>81657161.140000001</v>
          </cell>
          <cell r="Q410">
            <v>67205281.720000014</v>
          </cell>
          <cell r="S410">
            <v>159386762.23000002</v>
          </cell>
          <cell r="U410">
            <v>323034178.50000006</v>
          </cell>
        </row>
        <row r="411">
          <cell r="F411" t="str">
            <v>-</v>
          </cell>
          <cell r="Q411" t="str">
            <v>-</v>
          </cell>
          <cell r="S411" t="str">
            <v>-</v>
          </cell>
          <cell r="U411" t="str">
            <v>-</v>
          </cell>
        </row>
        <row r="412">
          <cell r="F412">
            <v>0</v>
          </cell>
          <cell r="Q412">
            <v>67205281.719999999</v>
          </cell>
          <cell r="S412">
            <v>159386762.22999999</v>
          </cell>
          <cell r="U412">
            <v>323034178.5</v>
          </cell>
        </row>
        <row r="413">
          <cell r="F413" t="str">
            <v>-</v>
          </cell>
          <cell r="Q413" t="str">
            <v>-</v>
          </cell>
          <cell r="S413" t="str">
            <v>-</v>
          </cell>
          <cell r="U413" t="str">
            <v>-</v>
          </cell>
        </row>
        <row r="414">
          <cell r="F414">
            <v>40741635.400000006</v>
          </cell>
          <cell r="Q414">
            <v>0</v>
          </cell>
          <cell r="S414">
            <v>0</v>
          </cell>
          <cell r="U414">
            <v>0</v>
          </cell>
        </row>
        <row r="415">
          <cell r="F415" t="str">
            <v>-</v>
          </cell>
          <cell r="Q415" t="str">
            <v>-</v>
          </cell>
          <cell r="S415" t="str">
            <v>-</v>
          </cell>
          <cell r="U415" t="str">
            <v>-</v>
          </cell>
        </row>
        <row r="416">
          <cell r="Q416">
            <v>9056804.9900000002</v>
          </cell>
          <cell r="S416">
            <v>45656112.729999997</v>
          </cell>
          <cell r="U416">
            <v>91365156.289999992</v>
          </cell>
        </row>
        <row r="417">
          <cell r="Q417" t="str">
            <v>-</v>
          </cell>
          <cell r="S417" t="str">
            <v>-</v>
          </cell>
          <cell r="U417" t="str">
            <v>-</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t="str">
            <v xml:space="preserve"> </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MTM TB"/>
      <sheetName val="Movement"/>
      <sheetName val="woRK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Macro1"/>
      <sheetName val="A-C CODE &amp; NAME"/>
      <sheetName val="E"/>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MarchSL904"/>
      <sheetName val="BSDOMOVS"/>
      <sheetName val="Notes1_5_old_"/>
      <sheetName val="PL"/>
      <sheetName val="Touimi Tarek"/>
      <sheetName val="Value In Use - Trea"/>
      <sheetName val="3.2"/>
      <sheetName val="Cwip"/>
      <sheetName val="Elim"/>
      <sheetName val="Specific - Provision Financing"/>
      <sheetName val="Additions"/>
      <sheetName val="Other fixed ind cost"/>
      <sheetName val="STO-HOH"/>
      <sheetName val="variable cost"/>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A-C_CODE_&amp;_NAME"/>
      <sheetName val="Currency"/>
      <sheetName val="DropDown"/>
      <sheetName val="notes"/>
      <sheetName val="CPMLETE TB - original"/>
      <sheetName val="Recovered_Sheet1"/>
      <sheetName val="Input"/>
      <sheetName val="Non-Statistical Sampling"/>
      <sheetName val="AR 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 val="WSP"/>
      <sheetName val="A"/>
      <sheetName val="B"/>
      <sheetName val="Schedules"/>
      <sheetName val="Public &amp; Brokers Exposure"/>
      <sheetName val="Investment"/>
      <sheetName val="LIQUIDITY SCHEDULE"/>
      <sheetName val="F-I's"/>
      <sheetName val="I kaliya "/>
      <sheetName val="Advances Working"/>
      <sheetName val="Surplus"/>
      <sheetName val="Control Sheet"/>
      <sheetName val="Public_&amp;_Brokers_Exposure"/>
      <sheetName val="LIQUIDITY_SCHEDULE"/>
      <sheetName val="I_kaliya_"/>
      <sheetName val="Advances_Working"/>
      <sheetName val="Control_Sheet"/>
      <sheetName val="Public_&amp;_Brokers_Exposure1"/>
      <sheetName val="LIQUIDITY_SCHEDULE1"/>
      <sheetName val="I_kaliya_1"/>
      <sheetName val="Advances_Working1"/>
      <sheetName val="Control_Sheet1"/>
      <sheetName val="A-C CODE &amp; NAME"/>
      <sheetName val="March 110"/>
      <sheetName val="Feb"/>
      <sheetName val="MarchSL904"/>
      <sheetName val="Ambulatorium"/>
      <sheetName val="Notes1-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HEET"/>
      <sheetName val="Cashflow"/>
      <sheetName val="SCE"/>
      <sheetName val="Cost of sales"/>
      <sheetName val="RevCost of sales"/>
      <sheetName val="gpanalysis"/>
      <sheetName val="AdminSelling"/>
      <sheetName val="Fin Chgs"/>
      <sheetName val="CWIP"/>
      <sheetName val="STOCK"/>
      <sheetName val="LTDEPOSIT"/>
      <sheetName val="Trade Debts"/>
      <sheetName val="Loanadv."/>
      <sheetName val="Other Rec"/>
      <sheetName val="Bank"/>
      <sheetName val="OD"/>
      <sheetName val="CREDITORS"/>
      <sheetName val="RESERVES"/>
      <sheetName val="ltloan"/>
      <sheetName val="ProfitProv"/>
      <sheetName val="Cost_of_sales"/>
      <sheetName val="RevCost_of_sales"/>
      <sheetName val="Fin_Chgs"/>
      <sheetName val="Trade_Debts"/>
      <sheetName val="Loanadv_"/>
      <sheetName val="Other_Rec"/>
      <sheetName val="NOTES"/>
      <sheetName val="II- INV CO"/>
      <sheetName val="Revenue-Fire-Marine-Motor"/>
      <sheetName val="td"/>
      <sheetName val="Cost_of_sales1"/>
      <sheetName val="RevCost_of_sales1"/>
      <sheetName val="Fin_Chgs1"/>
      <sheetName val="Trade_Debts1"/>
      <sheetName val="Loanadv_1"/>
      <sheetName val="Other_Rec1"/>
      <sheetName val="Premier"/>
      <sheetName val="Half year -schedule-SAP"/>
      <sheetName val="28-Feb-09"/>
      <sheetName val="Labels"/>
      <sheetName val="Labour Summary"/>
      <sheetName val="Sheet1"/>
      <sheetName val="BATCHS"/>
      <sheetName val="Deposit"/>
      <sheetName val="lg_oilservice"/>
      <sheetName val="Amortization Table"/>
      <sheetName val="Fixed Assets"/>
      <sheetName val="Drop down"/>
      <sheetName val="pkage01"/>
      <sheetName val="Input"/>
      <sheetName val="Invetory level"/>
      <sheetName val="II-_INV_CO"/>
      <sheetName val="Template"/>
      <sheetName val="Parameters"/>
      <sheetName val="IRR_Val"/>
      <sheetName val="Lookups"/>
      <sheetName val="CHAL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 sheetId="56" refreshError="1"/>
      <sheetData sheetId="5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ing this Template"/>
      <sheetName val="Overview"/>
      <sheetName val="Drop Down"/>
      <sheetName val="Template Calculation Sheet"/>
      <sheetName val="Guide Card"/>
      <sheetName val="Analytics Summary"/>
      <sheetName val="Disaggregated revenue"/>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ead"/>
      <sheetName val="Distribution statement"/>
      <sheetName val="Statement Movement"/>
      <sheetName val="Cash Flow"/>
      <sheetName val="Notes 1 - 5.1.1"/>
      <sheetName val="Notes 4.1.1"/>
      <sheetName val="Notes "/>
      <sheetName val="Notes 7.1.3.1-7.2.1"/>
      <sheetName val="Notes 1"/>
      <sheetName val="Notes 6"/>
      <sheetName val="Note 9 - 11"/>
      <sheetName val="Realization Entry"/>
      <sheetName val="Ready"/>
      <sheetName val="statacc"/>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rowdata"/>
      <sheetName val="Profit Worksheet"/>
      <sheetName val="statacc"/>
      <sheetName val="Genome"/>
      <sheetName val="BankSmart"/>
      <sheetName val="TDR"/>
      <sheetName val="TermLoan"/>
      <sheetName val="Deposit"/>
      <sheetName val="Abu_Dhabi"/>
      <sheetName val="TOTAL_OVS_BRS_ST_AUG_02"/>
      <sheetName val="Profit_Worksheet"/>
      <sheetName val="Abu_Dhabi1"/>
      <sheetName val="TOTAL_OVS_BRS_ST_AUG_021"/>
      <sheetName val="Profit_Worksheet1"/>
      <sheetName val="FIB"/>
      <sheetName val="Abu_Dhabi2"/>
      <sheetName val="TOTAL_OVS_BRS_ST_AUG_022"/>
      <sheetName val="Profit_Work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sheetData sheetId="22"/>
      <sheetData sheetId="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Distribution"/>
      <sheetName val="UHA"/>
      <sheetName val="CF"/>
      <sheetName val="Note 1-6"/>
      <sheetName val="Note 6.1-6.4"/>
      <sheetName val="Note 6.5-8"/>
      <sheetName val="Notes 9-13"/>
      <sheetName val="Note 14-15"/>
      <sheetName val="Lead"/>
      <sheetName val="For UHF"/>
      <sheetName val="Cash Flow working"/>
      <sheetName val="Links"/>
      <sheetName val="RP Working"/>
      <sheetName val="Tickmarks"/>
    </sheetNames>
    <sheetDataSet>
      <sheetData sheetId="0"/>
      <sheetData sheetId="1">
        <row r="58">
          <cell r="E58">
            <v>1059</v>
          </cell>
        </row>
      </sheetData>
      <sheetData sheetId="2">
        <row r="17">
          <cell r="F17">
            <v>41687</v>
          </cell>
        </row>
      </sheetData>
      <sheetData sheetId="3"/>
      <sheetData sheetId="4"/>
      <sheetData sheetId="5">
        <row r="120">
          <cell r="F120">
            <v>523788</v>
          </cell>
        </row>
      </sheetData>
      <sheetData sheetId="6"/>
      <sheetData sheetId="7"/>
      <sheetData sheetId="8"/>
      <sheetData sheetId="9"/>
      <sheetData sheetId="10">
        <row r="2">
          <cell r="F2" t="str">
            <v>Preliminary</v>
          </cell>
          <cell r="H2" t="str">
            <v>AJE</v>
          </cell>
          <cell r="I2" t="str">
            <v>Adjusted</v>
          </cell>
          <cell r="J2" t="str">
            <v>RJE</v>
          </cell>
          <cell r="K2" t="str">
            <v>Dec 15</v>
          </cell>
          <cell r="M2" t="str">
            <v>Jun 15/ Dec 14</v>
          </cell>
        </row>
        <row r="4">
          <cell r="F4">
            <v>353</v>
          </cell>
          <cell r="H4">
            <v>0</v>
          </cell>
          <cell r="I4">
            <v>353</v>
          </cell>
          <cell r="J4">
            <v>0</v>
          </cell>
          <cell r="K4">
            <v>353</v>
          </cell>
          <cell r="M4">
            <v>338</v>
          </cell>
        </row>
        <row r="5">
          <cell r="F5">
            <v>204190</v>
          </cell>
          <cell r="H5">
            <v>0</v>
          </cell>
          <cell r="I5">
            <v>204190</v>
          </cell>
          <cell r="J5">
            <v>0</v>
          </cell>
          <cell r="K5">
            <v>204190</v>
          </cell>
          <cell r="M5">
            <v>991</v>
          </cell>
        </row>
        <row r="6">
          <cell r="F6">
            <v>12</v>
          </cell>
          <cell r="H6">
            <v>0</v>
          </cell>
          <cell r="I6">
            <v>12</v>
          </cell>
          <cell r="J6">
            <v>0</v>
          </cell>
          <cell r="K6">
            <v>12</v>
          </cell>
          <cell r="M6">
            <v>11</v>
          </cell>
        </row>
        <row r="7">
          <cell r="F7">
            <v>54076</v>
          </cell>
          <cell r="H7">
            <v>0</v>
          </cell>
          <cell r="I7">
            <v>54076</v>
          </cell>
          <cell r="J7">
            <v>0</v>
          </cell>
          <cell r="K7">
            <v>54076</v>
          </cell>
          <cell r="M7">
            <v>7</v>
          </cell>
        </row>
        <row r="8">
          <cell r="F8">
            <v>4933</v>
          </cell>
          <cell r="H8">
            <v>0</v>
          </cell>
          <cell r="I8">
            <v>4933</v>
          </cell>
          <cell r="J8">
            <v>0</v>
          </cell>
          <cell r="K8">
            <v>4933</v>
          </cell>
          <cell r="M8">
            <v>14564</v>
          </cell>
        </row>
        <row r="9">
          <cell r="F9">
            <v>1101</v>
          </cell>
          <cell r="H9">
            <v>0</v>
          </cell>
          <cell r="I9">
            <v>1101</v>
          </cell>
          <cell r="J9">
            <v>0</v>
          </cell>
          <cell r="K9">
            <v>1101</v>
          </cell>
          <cell r="M9">
            <v>609</v>
          </cell>
        </row>
        <row r="10">
          <cell r="F10">
            <v>144935</v>
          </cell>
          <cell r="H10">
            <v>0</v>
          </cell>
          <cell r="I10">
            <v>144935</v>
          </cell>
          <cell r="J10">
            <v>0</v>
          </cell>
          <cell r="K10">
            <v>144935</v>
          </cell>
          <cell r="M10">
            <v>86876</v>
          </cell>
        </row>
        <row r="11">
          <cell r="F11">
            <v>8</v>
          </cell>
          <cell r="H11">
            <v>0</v>
          </cell>
          <cell r="I11">
            <v>8</v>
          </cell>
          <cell r="J11">
            <v>0</v>
          </cell>
          <cell r="K11">
            <v>8</v>
          </cell>
          <cell r="M11">
            <v>7</v>
          </cell>
        </row>
        <row r="12">
          <cell r="F12">
            <v>136609</v>
          </cell>
          <cell r="H12">
            <v>0</v>
          </cell>
          <cell r="I12">
            <v>136609</v>
          </cell>
          <cell r="J12">
            <v>0</v>
          </cell>
          <cell r="K12">
            <v>136609</v>
          </cell>
          <cell r="M12">
            <v>17650</v>
          </cell>
        </row>
        <row r="13">
          <cell r="F13">
            <v>4</v>
          </cell>
          <cell r="H13">
            <v>0</v>
          </cell>
          <cell r="I13">
            <v>4</v>
          </cell>
          <cell r="J13">
            <v>0</v>
          </cell>
          <cell r="K13">
            <v>4</v>
          </cell>
          <cell r="M13">
            <v>0</v>
          </cell>
        </row>
        <row r="14">
          <cell r="F14">
            <v>719</v>
          </cell>
          <cell r="H14">
            <v>0</v>
          </cell>
          <cell r="I14">
            <v>719</v>
          </cell>
          <cell r="J14">
            <v>0</v>
          </cell>
          <cell r="K14">
            <v>719</v>
          </cell>
          <cell r="M14">
            <v>719</v>
          </cell>
        </row>
        <row r="15">
          <cell r="F15">
            <v>835</v>
          </cell>
          <cell r="H15">
            <v>0</v>
          </cell>
          <cell r="I15">
            <v>835</v>
          </cell>
          <cell r="J15">
            <v>0</v>
          </cell>
          <cell r="K15">
            <v>835</v>
          </cell>
          <cell r="M15">
            <v>972</v>
          </cell>
        </row>
        <row r="16">
          <cell r="F16">
            <v>4090</v>
          </cell>
          <cell r="H16">
            <v>0</v>
          </cell>
          <cell r="I16">
            <v>4090</v>
          </cell>
          <cell r="J16">
            <v>0</v>
          </cell>
          <cell r="K16">
            <v>4090</v>
          </cell>
          <cell r="M16">
            <v>3918</v>
          </cell>
        </row>
        <row r="17">
          <cell r="F17">
            <v>150000</v>
          </cell>
          <cell r="H17">
            <v>0</v>
          </cell>
          <cell r="I17">
            <v>150000</v>
          </cell>
          <cell r="J17">
            <v>0</v>
          </cell>
          <cell r="K17">
            <v>150000</v>
          </cell>
          <cell r="M17">
            <v>100000</v>
          </cell>
        </row>
        <row r="18">
          <cell r="F18">
            <v>0</v>
          </cell>
          <cell r="H18">
            <v>0</v>
          </cell>
          <cell r="I18">
            <v>0</v>
          </cell>
          <cell r="J18">
            <v>0</v>
          </cell>
          <cell r="K18">
            <v>0</v>
          </cell>
          <cell r="M18">
            <v>0</v>
          </cell>
        </row>
        <row r="19">
          <cell r="F19">
            <v>0</v>
          </cell>
          <cell r="H19">
            <v>0</v>
          </cell>
          <cell r="I19">
            <v>0</v>
          </cell>
          <cell r="J19">
            <v>0</v>
          </cell>
          <cell r="K19">
            <v>0</v>
          </cell>
          <cell r="M19">
            <v>0</v>
          </cell>
        </row>
        <row r="20">
          <cell r="F20">
            <v>0</v>
          </cell>
          <cell r="H20">
            <v>0</v>
          </cell>
          <cell r="I20">
            <v>0</v>
          </cell>
          <cell r="J20">
            <v>0</v>
          </cell>
          <cell r="K20">
            <v>0</v>
          </cell>
          <cell r="M20">
            <v>0</v>
          </cell>
        </row>
        <row r="21">
          <cell r="F21">
            <v>0</v>
          </cell>
          <cell r="H21">
            <v>0</v>
          </cell>
          <cell r="I21">
            <v>0</v>
          </cell>
          <cell r="J21">
            <v>0</v>
          </cell>
          <cell r="K21">
            <v>0</v>
          </cell>
          <cell r="M21">
            <v>0</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0</v>
          </cell>
          <cell r="H24">
            <v>0</v>
          </cell>
          <cell r="I24">
            <v>0</v>
          </cell>
          <cell r="J24">
            <v>0</v>
          </cell>
          <cell r="K24">
            <v>0</v>
          </cell>
          <cell r="M24">
            <v>0</v>
          </cell>
        </row>
        <row r="25">
          <cell r="F25">
            <v>0</v>
          </cell>
          <cell r="H25">
            <v>0</v>
          </cell>
          <cell r="I25">
            <v>0</v>
          </cell>
          <cell r="J25">
            <v>0</v>
          </cell>
          <cell r="K25">
            <v>0</v>
          </cell>
          <cell r="M25">
            <v>0</v>
          </cell>
        </row>
        <row r="26">
          <cell r="F26">
            <v>0</v>
          </cell>
          <cell r="H26">
            <v>0</v>
          </cell>
          <cell r="I26">
            <v>0</v>
          </cell>
          <cell r="J26">
            <v>0</v>
          </cell>
          <cell r="K26">
            <v>0</v>
          </cell>
          <cell r="M26">
            <v>0</v>
          </cell>
        </row>
        <row r="27">
          <cell r="F27">
            <v>0</v>
          </cell>
          <cell r="H27">
            <v>0</v>
          </cell>
          <cell r="I27">
            <v>0</v>
          </cell>
          <cell r="J27">
            <v>0</v>
          </cell>
          <cell r="K27">
            <v>0</v>
          </cell>
          <cell r="M27">
            <v>0</v>
          </cell>
        </row>
        <row r="28">
          <cell r="F28">
            <v>701865</v>
          </cell>
          <cell r="H28">
            <v>0</v>
          </cell>
          <cell r="I28">
            <v>701865</v>
          </cell>
          <cell r="J28">
            <v>0</v>
          </cell>
          <cell r="K28">
            <v>701865</v>
          </cell>
          <cell r="M28">
            <v>226662</v>
          </cell>
        </row>
        <row r="30">
          <cell r="F30">
            <v>0</v>
          </cell>
          <cell r="H30">
            <v>0</v>
          </cell>
          <cell r="I30">
            <v>0</v>
          </cell>
          <cell r="J30">
            <v>0</v>
          </cell>
          <cell r="K30">
            <v>0</v>
          </cell>
          <cell r="M30">
            <v>0</v>
          </cell>
        </row>
        <row r="31">
          <cell r="F31">
            <v>0</v>
          </cell>
          <cell r="H31">
            <v>0</v>
          </cell>
          <cell r="I31">
            <v>0</v>
          </cell>
          <cell r="J31">
            <v>0</v>
          </cell>
          <cell r="K31">
            <v>0</v>
          </cell>
          <cell r="M31">
            <v>0</v>
          </cell>
        </row>
        <row r="32">
          <cell r="F32">
            <v>0</v>
          </cell>
          <cell r="H32">
            <v>0</v>
          </cell>
          <cell r="I32">
            <v>0</v>
          </cell>
          <cell r="J32">
            <v>0</v>
          </cell>
          <cell r="K32">
            <v>0</v>
          </cell>
          <cell r="M32">
            <v>0</v>
          </cell>
        </row>
        <row r="33">
          <cell r="F33">
            <v>0</v>
          </cell>
          <cell r="H33">
            <v>0</v>
          </cell>
          <cell r="I33">
            <v>0</v>
          </cell>
          <cell r="J33">
            <v>0</v>
          </cell>
          <cell r="K33">
            <v>0</v>
          </cell>
          <cell r="M33">
            <v>0</v>
          </cell>
        </row>
        <row r="34">
          <cell r="F34">
            <v>0</v>
          </cell>
          <cell r="H34">
            <v>0</v>
          </cell>
          <cell r="I34">
            <v>0</v>
          </cell>
          <cell r="J34">
            <v>0</v>
          </cell>
          <cell r="K34">
            <v>0</v>
          </cell>
          <cell r="M34">
            <v>0</v>
          </cell>
        </row>
        <row r="35">
          <cell r="F35">
            <v>0</v>
          </cell>
          <cell r="H35">
            <v>0</v>
          </cell>
          <cell r="I35">
            <v>0</v>
          </cell>
          <cell r="J35">
            <v>0</v>
          </cell>
          <cell r="K35">
            <v>0</v>
          </cell>
          <cell r="M35">
            <v>0</v>
          </cell>
        </row>
        <row r="36">
          <cell r="F36">
            <v>0</v>
          </cell>
          <cell r="H36">
            <v>0</v>
          </cell>
          <cell r="I36">
            <v>0</v>
          </cell>
          <cell r="J36">
            <v>0</v>
          </cell>
          <cell r="K36">
            <v>0</v>
          </cell>
          <cell r="M36">
            <v>0</v>
          </cell>
        </row>
        <row r="38">
          <cell r="F38">
            <v>252526</v>
          </cell>
          <cell r="H38">
            <v>0</v>
          </cell>
          <cell r="I38">
            <v>252526</v>
          </cell>
          <cell r="J38">
            <v>0</v>
          </cell>
          <cell r="K38">
            <v>252526</v>
          </cell>
          <cell r="M38">
            <v>257780</v>
          </cell>
        </row>
        <row r="39">
          <cell r="F39">
            <v>5941</v>
          </cell>
          <cell r="H39">
            <v>0</v>
          </cell>
          <cell r="I39">
            <v>5941</v>
          </cell>
          <cell r="J39">
            <v>0</v>
          </cell>
          <cell r="K39">
            <v>5941</v>
          </cell>
          <cell r="M39">
            <v>7089</v>
          </cell>
        </row>
        <row r="40">
          <cell r="F40">
            <v>-8657</v>
          </cell>
          <cell r="H40">
            <v>0</v>
          </cell>
          <cell r="I40">
            <v>-8657</v>
          </cell>
          <cell r="J40">
            <v>0</v>
          </cell>
          <cell r="K40">
            <v>-8657</v>
          </cell>
          <cell r="M40">
            <v>-10386</v>
          </cell>
        </row>
        <row r="41">
          <cell r="F41">
            <v>0</v>
          </cell>
          <cell r="H41">
            <v>0</v>
          </cell>
          <cell r="I41">
            <v>0</v>
          </cell>
          <cell r="J41">
            <v>0</v>
          </cell>
          <cell r="K41">
            <v>0</v>
          </cell>
          <cell r="M41">
            <v>0</v>
          </cell>
        </row>
        <row r="42">
          <cell r="F42">
            <v>-9879</v>
          </cell>
          <cell r="H42">
            <v>0</v>
          </cell>
          <cell r="I42">
            <v>-9879</v>
          </cell>
          <cell r="J42">
            <v>0</v>
          </cell>
          <cell r="K42">
            <v>-9879</v>
          </cell>
          <cell r="M42">
            <v>-13172</v>
          </cell>
        </row>
        <row r="43">
          <cell r="F43">
            <v>0</v>
          </cell>
          <cell r="H43">
            <v>0</v>
          </cell>
          <cell r="I43">
            <v>0</v>
          </cell>
          <cell r="J43">
            <v>0</v>
          </cell>
          <cell r="K43">
            <v>0</v>
          </cell>
          <cell r="M43">
            <v>0</v>
          </cell>
        </row>
        <row r="44">
          <cell r="F44">
            <v>84795</v>
          </cell>
          <cell r="H44">
            <v>0</v>
          </cell>
          <cell r="I44">
            <v>84795</v>
          </cell>
          <cell r="J44">
            <v>0</v>
          </cell>
          <cell r="K44">
            <v>84795</v>
          </cell>
          <cell r="M44">
            <v>79803</v>
          </cell>
        </row>
        <row r="45">
          <cell r="F45">
            <v>0</v>
          </cell>
          <cell r="H45">
            <v>0</v>
          </cell>
          <cell r="I45">
            <v>0</v>
          </cell>
          <cell r="J45">
            <v>0</v>
          </cell>
          <cell r="K45">
            <v>0</v>
          </cell>
          <cell r="M45">
            <v>0</v>
          </cell>
        </row>
        <row r="46">
          <cell r="F46">
            <v>-34964</v>
          </cell>
          <cell r="H46">
            <v>0</v>
          </cell>
          <cell r="I46">
            <v>-34964</v>
          </cell>
          <cell r="J46">
            <v>0</v>
          </cell>
          <cell r="K46">
            <v>-34964</v>
          </cell>
          <cell r="M46">
            <v>-29972</v>
          </cell>
        </row>
        <row r="47">
          <cell r="F47">
            <v>-31088</v>
          </cell>
          <cell r="H47">
            <v>0</v>
          </cell>
          <cell r="I47">
            <v>-31088</v>
          </cell>
          <cell r="J47">
            <v>0</v>
          </cell>
          <cell r="K47">
            <v>-31088</v>
          </cell>
          <cell r="M47">
            <v>-31088</v>
          </cell>
        </row>
        <row r="48">
          <cell r="F48">
            <v>-18743</v>
          </cell>
          <cell r="H48">
            <v>0</v>
          </cell>
          <cell r="I48">
            <v>-18743</v>
          </cell>
          <cell r="J48">
            <v>0</v>
          </cell>
          <cell r="K48">
            <v>-18743</v>
          </cell>
          <cell r="M48">
            <v>-18743</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0</v>
          </cell>
          <cell r="H56">
            <v>0</v>
          </cell>
          <cell r="I56">
            <v>0</v>
          </cell>
          <cell r="J56">
            <v>0</v>
          </cell>
          <cell r="K56">
            <v>0</v>
          </cell>
          <cell r="M56">
            <v>0</v>
          </cell>
        </row>
        <row r="57">
          <cell r="F57">
            <v>0</v>
          </cell>
          <cell r="H57">
            <v>0</v>
          </cell>
          <cell r="I57">
            <v>0</v>
          </cell>
          <cell r="J57">
            <v>0</v>
          </cell>
          <cell r="K57">
            <v>0</v>
          </cell>
          <cell r="M57">
            <v>0</v>
          </cell>
        </row>
        <row r="58">
          <cell r="F58">
            <v>0</v>
          </cell>
          <cell r="H58">
            <v>0</v>
          </cell>
          <cell r="I58">
            <v>0</v>
          </cell>
          <cell r="J58">
            <v>0</v>
          </cell>
          <cell r="K58">
            <v>0</v>
          </cell>
          <cell r="M58">
            <v>0</v>
          </cell>
        </row>
        <row r="59">
          <cell r="F59">
            <v>239931</v>
          </cell>
          <cell r="H59">
            <v>0</v>
          </cell>
          <cell r="I59">
            <v>239931</v>
          </cell>
          <cell r="J59">
            <v>0</v>
          </cell>
          <cell r="K59">
            <v>239931</v>
          </cell>
          <cell r="M59">
            <v>241311</v>
          </cell>
        </row>
        <row r="61">
          <cell r="F61">
            <v>0</v>
          </cell>
          <cell r="H61">
            <v>0</v>
          </cell>
          <cell r="I61">
            <v>0</v>
          </cell>
          <cell r="J61">
            <v>0</v>
          </cell>
          <cell r="K61">
            <v>0</v>
          </cell>
          <cell r="M61">
            <v>0</v>
          </cell>
        </row>
        <row r="63">
          <cell r="F63">
            <v>95039</v>
          </cell>
          <cell r="H63">
            <v>0</v>
          </cell>
          <cell r="I63">
            <v>95039</v>
          </cell>
          <cell r="J63">
            <v>0</v>
          </cell>
          <cell r="K63">
            <v>95039</v>
          </cell>
          <cell r="M63">
            <v>487539</v>
          </cell>
        </row>
        <row r="64">
          <cell r="F64">
            <v>-47</v>
          </cell>
          <cell r="H64">
            <v>0</v>
          </cell>
          <cell r="I64">
            <v>-47</v>
          </cell>
          <cell r="J64">
            <v>0</v>
          </cell>
          <cell r="K64">
            <v>-47</v>
          </cell>
          <cell r="M64">
            <v>-157</v>
          </cell>
        </row>
        <row r="65">
          <cell r="F65">
            <v>-1911</v>
          </cell>
          <cell r="H65">
            <v>0</v>
          </cell>
          <cell r="I65">
            <v>-1911</v>
          </cell>
          <cell r="J65">
            <v>0</v>
          </cell>
          <cell r="K65">
            <v>-1911</v>
          </cell>
          <cell r="M65">
            <v>-3300</v>
          </cell>
        </row>
        <row r="66">
          <cell r="F66">
            <v>0</v>
          </cell>
          <cell r="H66">
            <v>0</v>
          </cell>
          <cell r="I66">
            <v>0</v>
          </cell>
          <cell r="J66">
            <v>0</v>
          </cell>
          <cell r="K66">
            <v>0</v>
          </cell>
          <cell r="M66">
            <v>38349</v>
          </cell>
        </row>
        <row r="67">
          <cell r="F67">
            <v>3301</v>
          </cell>
          <cell r="H67">
            <v>0</v>
          </cell>
          <cell r="I67">
            <v>3301</v>
          </cell>
          <cell r="J67">
            <v>-3301</v>
          </cell>
          <cell r="K67">
            <v>0</v>
          </cell>
          <cell r="M67">
            <v>2452</v>
          </cell>
        </row>
        <row r="68">
          <cell r="F68">
            <v>-3301</v>
          </cell>
          <cell r="H68">
            <v>0</v>
          </cell>
          <cell r="I68">
            <v>-3301</v>
          </cell>
          <cell r="J68">
            <v>3301</v>
          </cell>
          <cell r="K68">
            <v>0</v>
          </cell>
          <cell r="M68">
            <v>1074</v>
          </cell>
        </row>
        <row r="69">
          <cell r="F69">
            <v>173400</v>
          </cell>
          <cell r="H69">
            <v>0</v>
          </cell>
          <cell r="I69">
            <v>173400</v>
          </cell>
          <cell r="J69">
            <v>0</v>
          </cell>
          <cell r="K69">
            <v>173400</v>
          </cell>
          <cell r="M69">
            <v>149051</v>
          </cell>
        </row>
        <row r="70">
          <cell r="F70">
            <v>-359</v>
          </cell>
          <cell r="H70">
            <v>0</v>
          </cell>
          <cell r="I70">
            <v>-359</v>
          </cell>
          <cell r="J70">
            <v>0</v>
          </cell>
          <cell r="K70">
            <v>-359</v>
          </cell>
          <cell r="M70">
            <v>-1507</v>
          </cell>
        </row>
        <row r="71">
          <cell r="F71">
            <v>17735</v>
          </cell>
          <cell r="H71">
            <v>0</v>
          </cell>
          <cell r="I71">
            <v>17735</v>
          </cell>
          <cell r="J71">
            <v>0</v>
          </cell>
          <cell r="K71">
            <v>17735</v>
          </cell>
          <cell r="M71">
            <v>10130</v>
          </cell>
        </row>
        <row r="72">
          <cell r="F72">
            <v>0</v>
          </cell>
          <cell r="H72">
            <v>0</v>
          </cell>
          <cell r="I72">
            <v>0</v>
          </cell>
          <cell r="J72">
            <v>0</v>
          </cell>
          <cell r="K72">
            <v>0</v>
          </cell>
          <cell r="M72">
            <v>0</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0</v>
          </cell>
          <cell r="H75">
            <v>0</v>
          </cell>
          <cell r="I75">
            <v>0</v>
          </cell>
          <cell r="J75">
            <v>0</v>
          </cell>
          <cell r="K75">
            <v>0</v>
          </cell>
          <cell r="M75">
            <v>0</v>
          </cell>
        </row>
        <row r="76">
          <cell r="F76">
            <v>0</v>
          </cell>
          <cell r="H76">
            <v>0</v>
          </cell>
          <cell r="I76">
            <v>0</v>
          </cell>
          <cell r="J76">
            <v>0</v>
          </cell>
          <cell r="K76">
            <v>0</v>
          </cell>
          <cell r="M76">
            <v>0</v>
          </cell>
        </row>
        <row r="77">
          <cell r="F77">
            <v>0</v>
          </cell>
          <cell r="H77">
            <v>0</v>
          </cell>
          <cell r="I77">
            <v>0</v>
          </cell>
          <cell r="J77">
            <v>0</v>
          </cell>
          <cell r="K77">
            <v>0</v>
          </cell>
          <cell r="M77">
            <v>0</v>
          </cell>
        </row>
        <row r="78">
          <cell r="F78">
            <v>0</v>
          </cell>
          <cell r="H78">
            <v>0</v>
          </cell>
          <cell r="I78">
            <v>0</v>
          </cell>
          <cell r="J78">
            <v>0</v>
          </cell>
          <cell r="K78">
            <v>0</v>
          </cell>
          <cell r="M78">
            <v>0</v>
          </cell>
        </row>
        <row r="79">
          <cell r="F79">
            <v>0</v>
          </cell>
          <cell r="H79">
            <v>0</v>
          </cell>
          <cell r="I79">
            <v>0</v>
          </cell>
          <cell r="J79">
            <v>0</v>
          </cell>
          <cell r="K79">
            <v>0</v>
          </cell>
          <cell r="M79">
            <v>0</v>
          </cell>
        </row>
        <row r="80">
          <cell r="F80">
            <v>283857</v>
          </cell>
          <cell r="H80">
            <v>0</v>
          </cell>
          <cell r="I80">
            <v>283857</v>
          </cell>
          <cell r="J80">
            <v>0</v>
          </cell>
          <cell r="K80">
            <v>283857</v>
          </cell>
          <cell r="M80">
            <v>683631</v>
          </cell>
        </row>
        <row r="82">
          <cell r="F82">
            <v>0</v>
          </cell>
          <cell r="H82">
            <v>0</v>
          </cell>
          <cell r="I82">
            <v>0</v>
          </cell>
          <cell r="J82">
            <v>0</v>
          </cell>
          <cell r="K82">
            <v>0</v>
          </cell>
          <cell r="M82">
            <v>0</v>
          </cell>
        </row>
        <row r="84">
          <cell r="F84">
            <v>0</v>
          </cell>
          <cell r="H84">
            <v>0</v>
          </cell>
          <cell r="I84">
            <v>0</v>
          </cell>
          <cell r="J84">
            <v>0</v>
          </cell>
          <cell r="K84">
            <v>0</v>
          </cell>
          <cell r="M84">
            <v>0</v>
          </cell>
        </row>
        <row r="86">
          <cell r="F86">
            <v>1622</v>
          </cell>
          <cell r="H86">
            <v>0</v>
          </cell>
          <cell r="I86">
            <v>1622</v>
          </cell>
          <cell r="J86">
            <v>0</v>
          </cell>
          <cell r="K86">
            <v>1622</v>
          </cell>
          <cell r="M86">
            <v>1288</v>
          </cell>
        </row>
        <row r="87">
          <cell r="F87">
            <v>45</v>
          </cell>
          <cell r="H87">
            <v>0</v>
          </cell>
          <cell r="I87">
            <v>45</v>
          </cell>
          <cell r="J87">
            <v>0</v>
          </cell>
          <cell r="K87">
            <v>45</v>
          </cell>
          <cell r="M87">
            <v>46</v>
          </cell>
        </row>
        <row r="88">
          <cell r="F88">
            <v>923</v>
          </cell>
          <cell r="H88">
            <v>0</v>
          </cell>
          <cell r="I88">
            <v>923</v>
          </cell>
          <cell r="J88">
            <v>0</v>
          </cell>
          <cell r="K88">
            <v>923</v>
          </cell>
          <cell r="M88">
            <v>0</v>
          </cell>
        </row>
        <row r="89">
          <cell r="F89">
            <v>21</v>
          </cell>
          <cell r="H89">
            <v>0</v>
          </cell>
          <cell r="I89">
            <v>21</v>
          </cell>
          <cell r="J89">
            <v>0</v>
          </cell>
          <cell r="K89">
            <v>21</v>
          </cell>
          <cell r="M89">
            <v>0</v>
          </cell>
        </row>
        <row r="90">
          <cell r="F90">
            <v>10</v>
          </cell>
          <cell r="H90">
            <v>0</v>
          </cell>
          <cell r="I90">
            <v>10</v>
          </cell>
          <cell r="J90">
            <v>0</v>
          </cell>
          <cell r="K90">
            <v>10</v>
          </cell>
          <cell r="M90">
            <v>22</v>
          </cell>
        </row>
        <row r="91">
          <cell r="F91">
            <v>8</v>
          </cell>
          <cell r="H91">
            <v>0</v>
          </cell>
          <cell r="I91">
            <v>8</v>
          </cell>
          <cell r="J91">
            <v>0</v>
          </cell>
          <cell r="K91">
            <v>8</v>
          </cell>
          <cell r="M91">
            <v>1</v>
          </cell>
        </row>
        <row r="92">
          <cell r="F92">
            <v>120</v>
          </cell>
          <cell r="H92">
            <v>0</v>
          </cell>
          <cell r="I92">
            <v>120</v>
          </cell>
          <cell r="J92">
            <v>0</v>
          </cell>
          <cell r="K92">
            <v>120</v>
          </cell>
          <cell r="M92">
            <v>154</v>
          </cell>
        </row>
        <row r="93">
          <cell r="F93">
            <v>792</v>
          </cell>
          <cell r="H93">
            <v>0</v>
          </cell>
          <cell r="I93">
            <v>792</v>
          </cell>
          <cell r="J93">
            <v>0</v>
          </cell>
          <cell r="K93">
            <v>792</v>
          </cell>
          <cell r="M93">
            <v>379</v>
          </cell>
        </row>
        <row r="94">
          <cell r="F94">
            <v>4840</v>
          </cell>
          <cell r="H94">
            <v>0</v>
          </cell>
          <cell r="I94">
            <v>4840</v>
          </cell>
          <cell r="J94">
            <v>0</v>
          </cell>
          <cell r="K94">
            <v>4840</v>
          </cell>
          <cell r="M94">
            <v>5538</v>
          </cell>
        </row>
        <row r="95">
          <cell r="F95">
            <v>43</v>
          </cell>
          <cell r="H95">
            <v>0</v>
          </cell>
          <cell r="I95">
            <v>43</v>
          </cell>
          <cell r="J95">
            <v>0</v>
          </cell>
          <cell r="K95">
            <v>43</v>
          </cell>
          <cell r="M95">
            <v>16</v>
          </cell>
        </row>
        <row r="96">
          <cell r="F96">
            <v>10</v>
          </cell>
          <cell r="H96">
            <v>0</v>
          </cell>
          <cell r="I96">
            <v>10</v>
          </cell>
          <cell r="J96">
            <v>0</v>
          </cell>
          <cell r="K96">
            <v>10</v>
          </cell>
          <cell r="M96">
            <v>0</v>
          </cell>
        </row>
        <row r="97">
          <cell r="F97">
            <v>9047</v>
          </cell>
          <cell r="H97">
            <v>0</v>
          </cell>
          <cell r="I97">
            <v>9047</v>
          </cell>
          <cell r="J97">
            <v>0</v>
          </cell>
          <cell r="K97">
            <v>9047</v>
          </cell>
          <cell r="M97">
            <v>8488</v>
          </cell>
        </row>
        <row r="98">
          <cell r="F98">
            <v>0</v>
          </cell>
          <cell r="H98">
            <v>0</v>
          </cell>
          <cell r="I98">
            <v>0</v>
          </cell>
          <cell r="J98">
            <v>0</v>
          </cell>
          <cell r="K98">
            <v>0</v>
          </cell>
          <cell r="M98">
            <v>0</v>
          </cell>
        </row>
        <row r="99">
          <cell r="F99">
            <v>0</v>
          </cell>
          <cell r="H99">
            <v>0</v>
          </cell>
          <cell r="I99">
            <v>0</v>
          </cell>
          <cell r="J99">
            <v>0</v>
          </cell>
          <cell r="K99">
            <v>0</v>
          </cell>
          <cell r="M99">
            <v>0</v>
          </cell>
        </row>
        <row r="100">
          <cell r="F100">
            <v>0</v>
          </cell>
          <cell r="H100">
            <v>0</v>
          </cell>
          <cell r="I100">
            <v>0</v>
          </cell>
          <cell r="J100">
            <v>0</v>
          </cell>
          <cell r="K100">
            <v>0</v>
          </cell>
          <cell r="M100">
            <v>0</v>
          </cell>
        </row>
        <row r="101">
          <cell r="F101">
            <v>0</v>
          </cell>
          <cell r="H101">
            <v>0</v>
          </cell>
          <cell r="I101">
            <v>0</v>
          </cell>
          <cell r="J101">
            <v>0</v>
          </cell>
          <cell r="K101">
            <v>0</v>
          </cell>
          <cell r="M101">
            <v>0</v>
          </cell>
        </row>
        <row r="102">
          <cell r="F102">
            <v>0</v>
          </cell>
          <cell r="H102">
            <v>0</v>
          </cell>
          <cell r="I102">
            <v>0</v>
          </cell>
          <cell r="J102">
            <v>0</v>
          </cell>
          <cell r="K102">
            <v>0</v>
          </cell>
          <cell r="M102">
            <v>0</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5">
          <cell r="F105">
            <v>0</v>
          </cell>
          <cell r="H105">
            <v>0</v>
          </cell>
          <cell r="I105">
            <v>0</v>
          </cell>
          <cell r="J105">
            <v>0</v>
          </cell>
          <cell r="K105">
            <v>0</v>
          </cell>
          <cell r="M105">
            <v>0</v>
          </cell>
        </row>
        <row r="106">
          <cell r="F106">
            <v>0</v>
          </cell>
          <cell r="H106">
            <v>0</v>
          </cell>
          <cell r="I106">
            <v>0</v>
          </cell>
          <cell r="J106">
            <v>0</v>
          </cell>
          <cell r="K106">
            <v>0</v>
          </cell>
          <cell r="M106">
            <v>0</v>
          </cell>
        </row>
        <row r="107">
          <cell r="F107">
            <v>0</v>
          </cell>
          <cell r="H107">
            <v>0</v>
          </cell>
          <cell r="I107">
            <v>0</v>
          </cell>
          <cell r="J107">
            <v>0</v>
          </cell>
          <cell r="K107">
            <v>0</v>
          </cell>
          <cell r="M107">
            <v>0</v>
          </cell>
        </row>
        <row r="108">
          <cell r="F108">
            <v>0</v>
          </cell>
          <cell r="H108">
            <v>0</v>
          </cell>
          <cell r="I108">
            <v>0</v>
          </cell>
          <cell r="J108">
            <v>0</v>
          </cell>
          <cell r="K108">
            <v>0</v>
          </cell>
          <cell r="M108">
            <v>0</v>
          </cell>
        </row>
        <row r="109">
          <cell r="F109">
            <v>0</v>
          </cell>
          <cell r="H109">
            <v>0</v>
          </cell>
          <cell r="I109">
            <v>0</v>
          </cell>
          <cell r="J109">
            <v>0</v>
          </cell>
          <cell r="K109">
            <v>0</v>
          </cell>
          <cell r="M109">
            <v>0</v>
          </cell>
        </row>
        <row r="110">
          <cell r="F110">
            <v>0</v>
          </cell>
          <cell r="H110">
            <v>0</v>
          </cell>
          <cell r="I110">
            <v>0</v>
          </cell>
          <cell r="J110">
            <v>0</v>
          </cell>
          <cell r="K110">
            <v>0</v>
          </cell>
          <cell r="M110">
            <v>0</v>
          </cell>
        </row>
        <row r="111">
          <cell r="F111">
            <v>0</v>
          </cell>
          <cell r="H111">
            <v>0</v>
          </cell>
          <cell r="I111">
            <v>0</v>
          </cell>
          <cell r="J111">
            <v>0</v>
          </cell>
          <cell r="K111">
            <v>0</v>
          </cell>
          <cell r="M111">
            <v>0</v>
          </cell>
        </row>
        <row r="112">
          <cell r="F112">
            <v>0</v>
          </cell>
          <cell r="H112">
            <v>0</v>
          </cell>
          <cell r="I112">
            <v>0</v>
          </cell>
          <cell r="J112">
            <v>0</v>
          </cell>
          <cell r="K112">
            <v>0</v>
          </cell>
          <cell r="M112">
            <v>0</v>
          </cell>
        </row>
        <row r="113">
          <cell r="F113">
            <v>0</v>
          </cell>
          <cell r="H113">
            <v>0</v>
          </cell>
          <cell r="I113">
            <v>0</v>
          </cell>
          <cell r="J113">
            <v>0</v>
          </cell>
          <cell r="K113">
            <v>0</v>
          </cell>
          <cell r="M113">
            <v>0</v>
          </cell>
        </row>
        <row r="114">
          <cell r="F114">
            <v>0</v>
          </cell>
          <cell r="H114">
            <v>0</v>
          </cell>
          <cell r="I114">
            <v>0</v>
          </cell>
          <cell r="J114">
            <v>0</v>
          </cell>
          <cell r="K114">
            <v>0</v>
          </cell>
          <cell r="M114">
            <v>0</v>
          </cell>
        </row>
        <row r="115">
          <cell r="F115">
            <v>0</v>
          </cell>
          <cell r="H115">
            <v>0</v>
          </cell>
          <cell r="I115">
            <v>0</v>
          </cell>
          <cell r="J115">
            <v>0</v>
          </cell>
          <cell r="K115">
            <v>0</v>
          </cell>
          <cell r="M115">
            <v>0</v>
          </cell>
        </row>
        <row r="116">
          <cell r="F116">
            <v>0</v>
          </cell>
          <cell r="H116">
            <v>0</v>
          </cell>
          <cell r="I116">
            <v>0</v>
          </cell>
          <cell r="J116">
            <v>0</v>
          </cell>
          <cell r="K116">
            <v>0</v>
          </cell>
          <cell r="M116">
            <v>0</v>
          </cell>
        </row>
        <row r="117">
          <cell r="F117">
            <v>0</v>
          </cell>
          <cell r="H117">
            <v>0</v>
          </cell>
          <cell r="I117">
            <v>0</v>
          </cell>
          <cell r="J117">
            <v>0</v>
          </cell>
          <cell r="K117">
            <v>0</v>
          </cell>
          <cell r="M117">
            <v>0</v>
          </cell>
        </row>
        <row r="118">
          <cell r="F118">
            <v>0</v>
          </cell>
          <cell r="H118">
            <v>0</v>
          </cell>
          <cell r="I118">
            <v>0</v>
          </cell>
          <cell r="J118">
            <v>0</v>
          </cell>
          <cell r="K118">
            <v>0</v>
          </cell>
          <cell r="M118">
            <v>0</v>
          </cell>
        </row>
        <row r="119">
          <cell r="F119">
            <v>0</v>
          </cell>
          <cell r="H119">
            <v>0</v>
          </cell>
          <cell r="I119">
            <v>0</v>
          </cell>
          <cell r="J119">
            <v>0</v>
          </cell>
          <cell r="K119">
            <v>0</v>
          </cell>
          <cell r="M119">
            <v>0</v>
          </cell>
        </row>
        <row r="120">
          <cell r="F120">
            <v>0</v>
          </cell>
          <cell r="H120">
            <v>0</v>
          </cell>
          <cell r="I120">
            <v>0</v>
          </cell>
          <cell r="J120">
            <v>0</v>
          </cell>
          <cell r="K120">
            <v>0</v>
          </cell>
          <cell r="M120">
            <v>0</v>
          </cell>
        </row>
        <row r="121">
          <cell r="F121">
            <v>0</v>
          </cell>
          <cell r="H121">
            <v>0</v>
          </cell>
          <cell r="I121">
            <v>0</v>
          </cell>
          <cell r="J121">
            <v>0</v>
          </cell>
          <cell r="K121">
            <v>0</v>
          </cell>
          <cell r="M121">
            <v>0</v>
          </cell>
        </row>
        <row r="122">
          <cell r="F122">
            <v>0</v>
          </cell>
          <cell r="H122">
            <v>0</v>
          </cell>
          <cell r="I122">
            <v>0</v>
          </cell>
          <cell r="J122">
            <v>0</v>
          </cell>
          <cell r="K122">
            <v>0</v>
          </cell>
          <cell r="M122">
            <v>0</v>
          </cell>
        </row>
        <row r="123">
          <cell r="F123">
            <v>17481</v>
          </cell>
          <cell r="H123">
            <v>0</v>
          </cell>
          <cell r="I123">
            <v>17481</v>
          </cell>
          <cell r="J123">
            <v>0</v>
          </cell>
          <cell r="K123">
            <v>17481</v>
          </cell>
          <cell r="M123">
            <v>15932</v>
          </cell>
        </row>
        <row r="125">
          <cell r="F125">
            <v>0</v>
          </cell>
          <cell r="H125">
            <v>0</v>
          </cell>
          <cell r="I125">
            <v>0</v>
          </cell>
          <cell r="J125">
            <v>0</v>
          </cell>
          <cell r="K125">
            <v>0</v>
          </cell>
          <cell r="M125">
            <v>0</v>
          </cell>
        </row>
        <row r="126">
          <cell r="F126">
            <v>0</v>
          </cell>
          <cell r="H126">
            <v>0</v>
          </cell>
          <cell r="I126">
            <v>0</v>
          </cell>
          <cell r="J126">
            <v>0</v>
          </cell>
          <cell r="K126">
            <v>0</v>
          </cell>
          <cell r="M126">
            <v>0</v>
          </cell>
        </row>
        <row r="127">
          <cell r="F127">
            <v>29264</v>
          </cell>
          <cell r="H127">
            <v>0</v>
          </cell>
          <cell r="I127">
            <v>29264</v>
          </cell>
          <cell r="J127">
            <v>0</v>
          </cell>
          <cell r="K127">
            <v>29264</v>
          </cell>
          <cell r="M127">
            <v>28215</v>
          </cell>
        </row>
        <row r="128">
          <cell r="F128">
            <v>-29264</v>
          </cell>
          <cell r="H128">
            <v>0</v>
          </cell>
          <cell r="I128">
            <v>-29264</v>
          </cell>
          <cell r="J128">
            <v>0</v>
          </cell>
          <cell r="K128">
            <v>-29264</v>
          </cell>
          <cell r="M128">
            <v>-28215</v>
          </cell>
        </row>
        <row r="129">
          <cell r="F129">
            <v>5</v>
          </cell>
          <cell r="H129">
            <v>0</v>
          </cell>
          <cell r="I129">
            <v>5</v>
          </cell>
          <cell r="J129">
            <v>0</v>
          </cell>
          <cell r="K129">
            <v>5</v>
          </cell>
          <cell r="M129">
            <v>5</v>
          </cell>
        </row>
        <row r="130">
          <cell r="F130">
            <v>0</v>
          </cell>
          <cell r="H130">
            <v>0</v>
          </cell>
          <cell r="I130">
            <v>0</v>
          </cell>
          <cell r="J130">
            <v>0</v>
          </cell>
          <cell r="K130">
            <v>0</v>
          </cell>
          <cell r="M130">
            <v>0</v>
          </cell>
        </row>
        <row r="131">
          <cell r="F131">
            <v>0</v>
          </cell>
          <cell r="H131">
            <v>0</v>
          </cell>
          <cell r="I131">
            <v>0</v>
          </cell>
          <cell r="J131">
            <v>0</v>
          </cell>
          <cell r="K131">
            <v>0</v>
          </cell>
          <cell r="M131">
            <v>0</v>
          </cell>
        </row>
        <row r="132">
          <cell r="F132">
            <v>0</v>
          </cell>
          <cell r="H132">
            <v>0</v>
          </cell>
          <cell r="I132">
            <v>0</v>
          </cell>
          <cell r="J132">
            <v>0</v>
          </cell>
          <cell r="K132">
            <v>0</v>
          </cell>
          <cell r="M132">
            <v>0</v>
          </cell>
        </row>
        <row r="133">
          <cell r="F133">
            <v>0</v>
          </cell>
          <cell r="H133">
            <v>0</v>
          </cell>
          <cell r="I133">
            <v>0</v>
          </cell>
          <cell r="J133">
            <v>0</v>
          </cell>
          <cell r="K133">
            <v>0</v>
          </cell>
          <cell r="M133">
            <v>0</v>
          </cell>
        </row>
        <row r="134">
          <cell r="F134">
            <v>5</v>
          </cell>
          <cell r="H134">
            <v>0</v>
          </cell>
          <cell r="I134">
            <v>5</v>
          </cell>
          <cell r="J134">
            <v>0</v>
          </cell>
          <cell r="K134">
            <v>5</v>
          </cell>
          <cell r="M134">
            <v>5</v>
          </cell>
        </row>
        <row r="136">
          <cell r="F136">
            <v>136</v>
          </cell>
          <cell r="H136">
            <v>0</v>
          </cell>
          <cell r="I136">
            <v>136</v>
          </cell>
          <cell r="J136">
            <v>0</v>
          </cell>
          <cell r="K136">
            <v>136</v>
          </cell>
          <cell r="M136">
            <v>136</v>
          </cell>
        </row>
        <row r="137">
          <cell r="F137">
            <v>0</v>
          </cell>
          <cell r="H137">
            <v>0</v>
          </cell>
          <cell r="I137">
            <v>0</v>
          </cell>
          <cell r="J137">
            <v>0</v>
          </cell>
          <cell r="K137">
            <v>0</v>
          </cell>
          <cell r="M137">
            <v>239</v>
          </cell>
        </row>
        <row r="138">
          <cell r="F138">
            <v>3927</v>
          </cell>
          <cell r="H138">
            <v>0</v>
          </cell>
          <cell r="I138">
            <v>3927</v>
          </cell>
          <cell r="J138">
            <v>0</v>
          </cell>
          <cell r="K138">
            <v>3927</v>
          </cell>
          <cell r="M138">
            <v>3927</v>
          </cell>
        </row>
        <row r="139">
          <cell r="F139">
            <v>0</v>
          </cell>
          <cell r="H139">
            <v>0</v>
          </cell>
          <cell r="I139">
            <v>0</v>
          </cell>
          <cell r="J139">
            <v>0</v>
          </cell>
          <cell r="K139">
            <v>0</v>
          </cell>
          <cell r="M139">
            <v>0</v>
          </cell>
        </row>
        <row r="140">
          <cell r="F140">
            <v>0</v>
          </cell>
          <cell r="H140">
            <v>0</v>
          </cell>
          <cell r="I140">
            <v>0</v>
          </cell>
          <cell r="J140">
            <v>0</v>
          </cell>
          <cell r="K140">
            <v>0</v>
          </cell>
          <cell r="M140">
            <v>0</v>
          </cell>
        </row>
        <row r="141">
          <cell r="F141">
            <v>0</v>
          </cell>
          <cell r="H141">
            <v>0</v>
          </cell>
          <cell r="I141">
            <v>0</v>
          </cell>
          <cell r="J141">
            <v>0</v>
          </cell>
          <cell r="K141">
            <v>0</v>
          </cell>
          <cell r="M141">
            <v>0</v>
          </cell>
        </row>
        <row r="142">
          <cell r="F142">
            <v>0</v>
          </cell>
          <cell r="H142">
            <v>0</v>
          </cell>
          <cell r="I142">
            <v>0</v>
          </cell>
          <cell r="J142">
            <v>0</v>
          </cell>
          <cell r="K142">
            <v>0</v>
          </cell>
          <cell r="M142">
            <v>0</v>
          </cell>
        </row>
        <row r="143">
          <cell r="F143">
            <v>0</v>
          </cell>
          <cell r="H143">
            <v>0</v>
          </cell>
          <cell r="I143">
            <v>0</v>
          </cell>
          <cell r="J143">
            <v>0</v>
          </cell>
          <cell r="K143">
            <v>0</v>
          </cell>
          <cell r="M143">
            <v>0</v>
          </cell>
        </row>
        <row r="144">
          <cell r="F144">
            <v>4063</v>
          </cell>
          <cell r="H144">
            <v>0</v>
          </cell>
          <cell r="I144">
            <v>4063</v>
          </cell>
          <cell r="J144">
            <v>0</v>
          </cell>
          <cell r="K144">
            <v>4063</v>
          </cell>
          <cell r="M144">
            <v>4302</v>
          </cell>
        </row>
        <row r="146">
          <cell r="F146">
            <v>2500</v>
          </cell>
          <cell r="H146">
            <v>0</v>
          </cell>
          <cell r="I146">
            <v>2500</v>
          </cell>
          <cell r="J146">
            <v>0</v>
          </cell>
          <cell r="K146">
            <v>2500</v>
          </cell>
          <cell r="M146">
            <v>2500</v>
          </cell>
        </row>
        <row r="147">
          <cell r="F147">
            <v>0</v>
          </cell>
          <cell r="H147">
            <v>0</v>
          </cell>
          <cell r="I147">
            <v>0</v>
          </cell>
          <cell r="J147">
            <v>0</v>
          </cell>
          <cell r="K147">
            <v>0</v>
          </cell>
          <cell r="M147">
            <v>0</v>
          </cell>
        </row>
        <row r="148">
          <cell r="F148">
            <v>0</v>
          </cell>
          <cell r="H148">
            <v>0</v>
          </cell>
          <cell r="I148">
            <v>0</v>
          </cell>
          <cell r="J148">
            <v>0</v>
          </cell>
          <cell r="K148">
            <v>0</v>
          </cell>
          <cell r="M148">
            <v>0</v>
          </cell>
        </row>
        <row r="149">
          <cell r="F149">
            <v>0</v>
          </cell>
          <cell r="H149">
            <v>0</v>
          </cell>
          <cell r="I149">
            <v>0</v>
          </cell>
          <cell r="J149">
            <v>0</v>
          </cell>
          <cell r="K149">
            <v>0</v>
          </cell>
          <cell r="M149">
            <v>0</v>
          </cell>
        </row>
        <row r="150">
          <cell r="F150">
            <v>2500</v>
          </cell>
          <cell r="H150">
            <v>0</v>
          </cell>
          <cell r="I150">
            <v>2500</v>
          </cell>
          <cell r="J150">
            <v>0</v>
          </cell>
          <cell r="K150">
            <v>2500</v>
          </cell>
          <cell r="M150">
            <v>2500</v>
          </cell>
        </row>
        <row r="152">
          <cell r="F152">
            <v>200</v>
          </cell>
          <cell r="H152">
            <v>0</v>
          </cell>
          <cell r="I152">
            <v>200</v>
          </cell>
          <cell r="J152">
            <v>0</v>
          </cell>
          <cell r="K152">
            <v>200</v>
          </cell>
          <cell r="M152">
            <v>200</v>
          </cell>
        </row>
        <row r="153">
          <cell r="F153">
            <v>0</v>
          </cell>
          <cell r="H153">
            <v>0</v>
          </cell>
          <cell r="I153">
            <v>0</v>
          </cell>
          <cell r="J153">
            <v>0</v>
          </cell>
          <cell r="K153">
            <v>0</v>
          </cell>
          <cell r="M153">
            <v>0</v>
          </cell>
        </row>
        <row r="154">
          <cell r="F154">
            <v>200</v>
          </cell>
          <cell r="H154">
            <v>0</v>
          </cell>
          <cell r="I154">
            <v>200</v>
          </cell>
          <cell r="J154">
            <v>0</v>
          </cell>
          <cell r="K154">
            <v>200</v>
          </cell>
          <cell r="M154">
            <v>200</v>
          </cell>
        </row>
        <row r="156">
          <cell r="F156">
            <v>1353</v>
          </cell>
          <cell r="H156">
            <v>0</v>
          </cell>
          <cell r="I156">
            <v>1353</v>
          </cell>
          <cell r="J156">
            <v>0</v>
          </cell>
          <cell r="K156">
            <v>1353</v>
          </cell>
          <cell r="M156">
            <v>1353</v>
          </cell>
        </row>
        <row r="157">
          <cell r="F157">
            <v>0</v>
          </cell>
          <cell r="H157">
            <v>0</v>
          </cell>
          <cell r="I157">
            <v>0</v>
          </cell>
          <cell r="J157">
            <v>0</v>
          </cell>
          <cell r="K157">
            <v>0</v>
          </cell>
          <cell r="M157">
            <v>0</v>
          </cell>
        </row>
        <row r="158">
          <cell r="F158">
            <v>1353</v>
          </cell>
          <cell r="H158">
            <v>0</v>
          </cell>
          <cell r="I158">
            <v>1353</v>
          </cell>
          <cell r="J158">
            <v>0</v>
          </cell>
          <cell r="K158">
            <v>1353</v>
          </cell>
          <cell r="M158">
            <v>1353</v>
          </cell>
        </row>
        <row r="160">
          <cell r="F160">
            <v>0</v>
          </cell>
          <cell r="H160">
            <v>0</v>
          </cell>
          <cell r="I160">
            <v>0</v>
          </cell>
          <cell r="J160">
            <v>0</v>
          </cell>
          <cell r="K160">
            <v>0</v>
          </cell>
          <cell r="M160">
            <v>0</v>
          </cell>
        </row>
        <row r="161">
          <cell r="F161">
            <v>-1</v>
          </cell>
          <cell r="H161">
            <v>0</v>
          </cell>
          <cell r="I161">
            <v>-1</v>
          </cell>
          <cell r="J161">
            <v>0</v>
          </cell>
          <cell r="K161">
            <v>-1</v>
          </cell>
          <cell r="M161">
            <v>129</v>
          </cell>
        </row>
        <row r="162">
          <cell r="F162">
            <v>-19</v>
          </cell>
          <cell r="H162">
            <v>0</v>
          </cell>
          <cell r="I162">
            <v>-19</v>
          </cell>
          <cell r="J162">
            <v>0</v>
          </cell>
          <cell r="K162">
            <v>-19</v>
          </cell>
          <cell r="M162">
            <v>0</v>
          </cell>
        </row>
        <row r="163">
          <cell r="F163">
            <v>91</v>
          </cell>
          <cell r="H163">
            <v>0</v>
          </cell>
          <cell r="I163">
            <v>91</v>
          </cell>
          <cell r="J163">
            <v>0</v>
          </cell>
          <cell r="K163">
            <v>91</v>
          </cell>
          <cell r="M163">
            <v>91</v>
          </cell>
        </row>
        <row r="164">
          <cell r="F164">
            <v>0</v>
          </cell>
          <cell r="H164">
            <v>0</v>
          </cell>
          <cell r="I164">
            <v>0</v>
          </cell>
          <cell r="J164">
            <v>0</v>
          </cell>
          <cell r="K164">
            <v>0</v>
          </cell>
          <cell r="M164">
            <v>0</v>
          </cell>
        </row>
        <row r="165">
          <cell r="F165">
            <v>0</v>
          </cell>
          <cell r="H165">
            <v>0</v>
          </cell>
          <cell r="I165">
            <v>0</v>
          </cell>
          <cell r="J165">
            <v>0</v>
          </cell>
          <cell r="K165">
            <v>0</v>
          </cell>
          <cell r="M165">
            <v>0</v>
          </cell>
        </row>
        <row r="166">
          <cell r="F166">
            <v>71</v>
          </cell>
          <cell r="H166">
            <v>0</v>
          </cell>
          <cell r="I166">
            <v>71</v>
          </cell>
          <cell r="J166">
            <v>0</v>
          </cell>
          <cell r="K166">
            <v>71</v>
          </cell>
          <cell r="M166">
            <v>220</v>
          </cell>
        </row>
        <row r="168">
          <cell r="F168">
            <v>50000</v>
          </cell>
          <cell r="H168">
            <v>0</v>
          </cell>
          <cell r="I168">
            <v>50000</v>
          </cell>
          <cell r="J168">
            <v>0</v>
          </cell>
          <cell r="K168">
            <v>50000</v>
          </cell>
          <cell r="M168">
            <v>0</v>
          </cell>
        </row>
        <row r="169">
          <cell r="F169">
            <v>50000</v>
          </cell>
          <cell r="H169">
            <v>0</v>
          </cell>
          <cell r="I169">
            <v>50000</v>
          </cell>
          <cell r="J169">
            <v>0</v>
          </cell>
          <cell r="K169">
            <v>50000</v>
          </cell>
          <cell r="M169">
            <v>0</v>
          </cell>
        </row>
        <row r="171">
          <cell r="F171">
            <v>0</v>
          </cell>
          <cell r="H171">
            <v>0</v>
          </cell>
          <cell r="I171">
            <v>0</v>
          </cell>
          <cell r="J171">
            <v>0</v>
          </cell>
          <cell r="K171">
            <v>0</v>
          </cell>
          <cell r="M171">
            <v>0</v>
          </cell>
        </row>
        <row r="172">
          <cell r="F172">
            <v>0</v>
          </cell>
          <cell r="H172">
            <v>0</v>
          </cell>
          <cell r="I172">
            <v>0</v>
          </cell>
          <cell r="J172">
            <v>0</v>
          </cell>
          <cell r="K172">
            <v>0</v>
          </cell>
          <cell r="M172">
            <v>0</v>
          </cell>
        </row>
        <row r="173">
          <cell r="F173">
            <v>0</v>
          </cell>
          <cell r="H173">
            <v>0</v>
          </cell>
          <cell r="I173">
            <v>0</v>
          </cell>
          <cell r="J173">
            <v>0</v>
          </cell>
          <cell r="K173">
            <v>0</v>
          </cell>
          <cell r="M173">
            <v>0</v>
          </cell>
        </row>
        <row r="174">
          <cell r="F174">
            <v>0</v>
          </cell>
          <cell r="H174">
            <v>0</v>
          </cell>
          <cell r="I174">
            <v>0</v>
          </cell>
          <cell r="J174">
            <v>0</v>
          </cell>
          <cell r="K174">
            <v>0</v>
          </cell>
          <cell r="M174">
            <v>0</v>
          </cell>
        </row>
        <row r="175">
          <cell r="F175">
            <v>-1614</v>
          </cell>
          <cell r="H175">
            <v>0</v>
          </cell>
          <cell r="I175">
            <v>-1614</v>
          </cell>
          <cell r="J175">
            <v>0</v>
          </cell>
          <cell r="K175">
            <v>-1614</v>
          </cell>
          <cell r="M175">
            <v>-1439</v>
          </cell>
        </row>
        <row r="176">
          <cell r="F176">
            <v>-259</v>
          </cell>
          <cell r="H176">
            <v>0</v>
          </cell>
          <cell r="I176">
            <v>-259</v>
          </cell>
          <cell r="J176">
            <v>224</v>
          </cell>
          <cell r="K176">
            <v>-35</v>
          </cell>
          <cell r="M176">
            <v>-104</v>
          </cell>
        </row>
        <row r="177">
          <cell r="F177">
            <v>-226</v>
          </cell>
          <cell r="H177">
            <v>0</v>
          </cell>
          <cell r="I177">
            <v>-226</v>
          </cell>
          <cell r="J177">
            <v>0</v>
          </cell>
          <cell r="K177">
            <v>-226</v>
          </cell>
          <cell r="M177">
            <v>-320</v>
          </cell>
        </row>
        <row r="178">
          <cell r="F178">
            <v>0</v>
          </cell>
          <cell r="H178">
            <v>0</v>
          </cell>
          <cell r="I178">
            <v>0</v>
          </cell>
          <cell r="J178">
            <v>0</v>
          </cell>
          <cell r="K178">
            <v>0</v>
          </cell>
          <cell r="M178">
            <v>-100</v>
          </cell>
        </row>
        <row r="179">
          <cell r="F179">
            <v>-2099</v>
          </cell>
          <cell r="H179">
            <v>0</v>
          </cell>
          <cell r="I179">
            <v>-2099</v>
          </cell>
          <cell r="J179">
            <v>224</v>
          </cell>
          <cell r="K179">
            <v>-1875</v>
          </cell>
          <cell r="M179">
            <v>-1963</v>
          </cell>
        </row>
        <row r="181">
          <cell r="F181">
            <v>0</v>
          </cell>
          <cell r="H181">
            <v>0</v>
          </cell>
          <cell r="I181">
            <v>0</v>
          </cell>
          <cell r="J181">
            <v>0</v>
          </cell>
          <cell r="K181">
            <v>0</v>
          </cell>
          <cell r="M181">
            <v>0</v>
          </cell>
        </row>
        <row r="182">
          <cell r="F182">
            <v>-23</v>
          </cell>
          <cell r="H182">
            <v>0</v>
          </cell>
          <cell r="I182">
            <v>-23</v>
          </cell>
          <cell r="J182">
            <v>0</v>
          </cell>
          <cell r="K182">
            <v>-23</v>
          </cell>
          <cell r="M182">
            <v>0</v>
          </cell>
        </row>
        <row r="183">
          <cell r="F183">
            <v>-163</v>
          </cell>
          <cell r="H183">
            <v>0</v>
          </cell>
          <cell r="I183">
            <v>-163</v>
          </cell>
          <cell r="J183">
            <v>0</v>
          </cell>
          <cell r="K183">
            <v>-163</v>
          </cell>
          <cell r="M183">
            <v>-152</v>
          </cell>
        </row>
        <row r="184">
          <cell r="F184">
            <v>-22</v>
          </cell>
          <cell r="H184">
            <v>0</v>
          </cell>
          <cell r="I184">
            <v>-22</v>
          </cell>
          <cell r="J184">
            <v>0</v>
          </cell>
          <cell r="K184">
            <v>-22</v>
          </cell>
          <cell r="M184">
            <v>-22</v>
          </cell>
        </row>
        <row r="185">
          <cell r="F185">
            <v>-208</v>
          </cell>
          <cell r="H185">
            <v>0</v>
          </cell>
          <cell r="I185">
            <v>-208</v>
          </cell>
          <cell r="J185">
            <v>0</v>
          </cell>
          <cell r="K185">
            <v>-208</v>
          </cell>
          <cell r="M185">
            <v>-174</v>
          </cell>
        </row>
        <row r="187">
          <cell r="F187">
            <v>0</v>
          </cell>
          <cell r="H187">
            <v>0</v>
          </cell>
          <cell r="I187">
            <v>0</v>
          </cell>
          <cell r="J187">
            <v>0</v>
          </cell>
          <cell r="K187">
            <v>0</v>
          </cell>
          <cell r="M187">
            <v>0</v>
          </cell>
        </row>
        <row r="188">
          <cell r="F188">
            <v>-462</v>
          </cell>
          <cell r="H188">
            <v>0</v>
          </cell>
          <cell r="I188">
            <v>-462</v>
          </cell>
          <cell r="J188">
            <v>0</v>
          </cell>
          <cell r="K188">
            <v>-462</v>
          </cell>
          <cell r="M188">
            <v>-794</v>
          </cell>
        </row>
        <row r="189">
          <cell r="F189">
            <v>-462</v>
          </cell>
          <cell r="H189">
            <v>0</v>
          </cell>
          <cell r="I189">
            <v>-462</v>
          </cell>
          <cell r="J189">
            <v>0</v>
          </cell>
          <cell r="K189">
            <v>-462</v>
          </cell>
          <cell r="M189">
            <v>-794</v>
          </cell>
        </row>
        <row r="191">
          <cell r="F191">
            <v>0</v>
          </cell>
          <cell r="H191">
            <v>0</v>
          </cell>
          <cell r="I191">
            <v>0</v>
          </cell>
          <cell r="J191">
            <v>0</v>
          </cell>
          <cell r="K191">
            <v>0</v>
          </cell>
          <cell r="M191">
            <v>0</v>
          </cell>
        </row>
        <row r="192">
          <cell r="F192">
            <v>0</v>
          </cell>
          <cell r="H192">
            <v>0</v>
          </cell>
          <cell r="I192">
            <v>0</v>
          </cell>
          <cell r="J192">
            <v>0</v>
          </cell>
          <cell r="K192">
            <v>0</v>
          </cell>
          <cell r="M192">
            <v>0</v>
          </cell>
        </row>
        <row r="193">
          <cell r="F193">
            <v>0</v>
          </cell>
          <cell r="H193">
            <v>0</v>
          </cell>
          <cell r="I193">
            <v>0</v>
          </cell>
          <cell r="J193">
            <v>0</v>
          </cell>
          <cell r="K193">
            <v>0</v>
          </cell>
          <cell r="M193">
            <v>0</v>
          </cell>
        </row>
        <row r="194">
          <cell r="F194">
            <v>-47</v>
          </cell>
          <cell r="H194">
            <v>0</v>
          </cell>
          <cell r="I194">
            <v>-47</v>
          </cell>
          <cell r="J194">
            <v>0</v>
          </cell>
          <cell r="K194">
            <v>-47</v>
          </cell>
          <cell r="M194">
            <v>-47</v>
          </cell>
        </row>
        <row r="195">
          <cell r="F195">
            <v>-47</v>
          </cell>
          <cell r="H195">
            <v>0</v>
          </cell>
          <cell r="I195">
            <v>-47</v>
          </cell>
          <cell r="J195">
            <v>0</v>
          </cell>
          <cell r="K195">
            <v>-47</v>
          </cell>
          <cell r="M195">
            <v>-47</v>
          </cell>
        </row>
        <row r="197">
          <cell r="F197">
            <v>0</v>
          </cell>
          <cell r="H197">
            <v>0</v>
          </cell>
          <cell r="I197">
            <v>0</v>
          </cell>
          <cell r="J197">
            <v>0</v>
          </cell>
          <cell r="K197">
            <v>0</v>
          </cell>
          <cell r="M197">
            <v>0</v>
          </cell>
        </row>
        <row r="199">
          <cell r="F199">
            <v>0</v>
          </cell>
          <cell r="H199">
            <v>0</v>
          </cell>
          <cell r="I199">
            <v>0</v>
          </cell>
          <cell r="J199">
            <v>0</v>
          </cell>
          <cell r="K199">
            <v>0</v>
          </cell>
          <cell r="M199">
            <v>0</v>
          </cell>
        </row>
        <row r="200">
          <cell r="F200">
            <v>0</v>
          </cell>
          <cell r="H200">
            <v>0</v>
          </cell>
          <cell r="I200">
            <v>0</v>
          </cell>
          <cell r="J200">
            <v>0</v>
          </cell>
          <cell r="K200">
            <v>0</v>
          </cell>
          <cell r="M200">
            <v>0</v>
          </cell>
        </row>
        <row r="201">
          <cell r="F201">
            <v>0</v>
          </cell>
          <cell r="H201">
            <v>0</v>
          </cell>
          <cell r="I201">
            <v>0</v>
          </cell>
          <cell r="J201">
            <v>0</v>
          </cell>
          <cell r="K201">
            <v>0</v>
          </cell>
          <cell r="M201">
            <v>0</v>
          </cell>
        </row>
        <row r="202">
          <cell r="F202">
            <v>0</v>
          </cell>
          <cell r="H202">
            <v>0</v>
          </cell>
          <cell r="I202">
            <v>0</v>
          </cell>
          <cell r="J202">
            <v>0</v>
          </cell>
          <cell r="K202">
            <v>0</v>
          </cell>
          <cell r="M202">
            <v>0</v>
          </cell>
        </row>
        <row r="203">
          <cell r="F203">
            <v>0</v>
          </cell>
          <cell r="H203">
            <v>0</v>
          </cell>
          <cell r="I203">
            <v>0</v>
          </cell>
          <cell r="J203">
            <v>0</v>
          </cell>
          <cell r="K203">
            <v>0</v>
          </cell>
          <cell r="M203">
            <v>0</v>
          </cell>
        </row>
        <row r="204">
          <cell r="F204">
            <v>0</v>
          </cell>
          <cell r="H204">
            <v>0</v>
          </cell>
          <cell r="I204">
            <v>0</v>
          </cell>
          <cell r="J204">
            <v>0</v>
          </cell>
          <cell r="K204">
            <v>0</v>
          </cell>
          <cell r="M204">
            <v>0</v>
          </cell>
        </row>
        <row r="205">
          <cell r="F205">
            <v>0</v>
          </cell>
          <cell r="H205">
            <v>0</v>
          </cell>
          <cell r="I205">
            <v>0</v>
          </cell>
          <cell r="J205">
            <v>0</v>
          </cell>
          <cell r="K205">
            <v>0</v>
          </cell>
          <cell r="M205">
            <v>0</v>
          </cell>
        </row>
        <row r="206">
          <cell r="F206">
            <v>0</v>
          </cell>
          <cell r="H206">
            <v>0</v>
          </cell>
          <cell r="I206">
            <v>0</v>
          </cell>
          <cell r="J206">
            <v>0</v>
          </cell>
          <cell r="K206">
            <v>0</v>
          </cell>
          <cell r="M206">
            <v>0</v>
          </cell>
        </row>
        <row r="207">
          <cell r="F207">
            <v>0</v>
          </cell>
          <cell r="H207">
            <v>0</v>
          </cell>
          <cell r="I207">
            <v>0</v>
          </cell>
          <cell r="J207">
            <v>0</v>
          </cell>
          <cell r="K207">
            <v>0</v>
          </cell>
          <cell r="M207">
            <v>0</v>
          </cell>
        </row>
        <row r="208">
          <cell r="F208">
            <v>0</v>
          </cell>
          <cell r="H208">
            <v>0</v>
          </cell>
          <cell r="I208">
            <v>0</v>
          </cell>
          <cell r="J208">
            <v>0</v>
          </cell>
          <cell r="K208">
            <v>0</v>
          </cell>
          <cell r="M208">
            <v>0</v>
          </cell>
        </row>
        <row r="209">
          <cell r="F209">
            <v>0</v>
          </cell>
          <cell r="H209">
            <v>0</v>
          </cell>
          <cell r="I209">
            <v>0</v>
          </cell>
          <cell r="J209">
            <v>0</v>
          </cell>
          <cell r="K209">
            <v>0</v>
          </cell>
          <cell r="M209">
            <v>0</v>
          </cell>
        </row>
        <row r="210">
          <cell r="F210">
            <v>0</v>
          </cell>
          <cell r="H210">
            <v>0</v>
          </cell>
          <cell r="I210">
            <v>0</v>
          </cell>
          <cell r="J210">
            <v>0</v>
          </cell>
          <cell r="K210">
            <v>0</v>
          </cell>
          <cell r="M210">
            <v>0</v>
          </cell>
        </row>
        <row r="211">
          <cell r="F211">
            <v>0</v>
          </cell>
          <cell r="H211">
            <v>0</v>
          </cell>
          <cell r="I211">
            <v>0</v>
          </cell>
          <cell r="J211">
            <v>0</v>
          </cell>
          <cell r="K211">
            <v>0</v>
          </cell>
          <cell r="M211">
            <v>0</v>
          </cell>
        </row>
        <row r="212">
          <cell r="F212">
            <v>0</v>
          </cell>
          <cell r="H212">
            <v>0</v>
          </cell>
          <cell r="I212">
            <v>0</v>
          </cell>
          <cell r="J212">
            <v>0</v>
          </cell>
          <cell r="K212">
            <v>0</v>
          </cell>
          <cell r="M212">
            <v>0</v>
          </cell>
        </row>
        <row r="213">
          <cell r="F213">
            <v>0</v>
          </cell>
          <cell r="H213">
            <v>0</v>
          </cell>
          <cell r="I213">
            <v>0</v>
          </cell>
          <cell r="J213">
            <v>0</v>
          </cell>
          <cell r="K213">
            <v>0</v>
          </cell>
          <cell r="M213">
            <v>0</v>
          </cell>
        </row>
        <row r="214">
          <cell r="F214">
            <v>0</v>
          </cell>
          <cell r="H214">
            <v>0</v>
          </cell>
          <cell r="I214">
            <v>0</v>
          </cell>
          <cell r="J214">
            <v>0</v>
          </cell>
          <cell r="K214">
            <v>0</v>
          </cell>
          <cell r="M214">
            <v>0</v>
          </cell>
        </row>
        <row r="215">
          <cell r="F215">
            <v>0</v>
          </cell>
          <cell r="H215">
            <v>0</v>
          </cell>
          <cell r="I215">
            <v>0</v>
          </cell>
          <cell r="J215">
            <v>0</v>
          </cell>
          <cell r="K215">
            <v>0</v>
          </cell>
          <cell r="M215">
            <v>0</v>
          </cell>
        </row>
        <row r="216">
          <cell r="F216">
            <v>0</v>
          </cell>
          <cell r="H216">
            <v>0</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v>
          </cell>
        </row>
        <row r="220">
          <cell r="F220">
            <v>0</v>
          </cell>
          <cell r="H220">
            <v>0</v>
          </cell>
          <cell r="I220">
            <v>0</v>
          </cell>
          <cell r="J220">
            <v>0</v>
          </cell>
          <cell r="K220">
            <v>0</v>
          </cell>
          <cell r="M220">
            <v>0</v>
          </cell>
        </row>
        <row r="221">
          <cell r="F221">
            <v>0</v>
          </cell>
          <cell r="H221">
            <v>0</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0</v>
          </cell>
          <cell r="H225">
            <v>0</v>
          </cell>
          <cell r="I225">
            <v>0</v>
          </cell>
          <cell r="J225">
            <v>0</v>
          </cell>
          <cell r="K225">
            <v>0</v>
          </cell>
          <cell r="M225">
            <v>0</v>
          </cell>
        </row>
        <row r="226">
          <cell r="F226">
            <v>0</v>
          </cell>
          <cell r="H226">
            <v>0</v>
          </cell>
          <cell r="I226">
            <v>0</v>
          </cell>
          <cell r="J226">
            <v>0</v>
          </cell>
          <cell r="K226">
            <v>0</v>
          </cell>
          <cell r="M226">
            <v>0</v>
          </cell>
        </row>
        <row r="227">
          <cell r="F227">
            <v>0</v>
          </cell>
          <cell r="H227">
            <v>0</v>
          </cell>
          <cell r="I227">
            <v>0</v>
          </cell>
          <cell r="J227">
            <v>0</v>
          </cell>
          <cell r="K227">
            <v>0</v>
          </cell>
          <cell r="M227">
            <v>0</v>
          </cell>
        </row>
        <row r="228">
          <cell r="F228">
            <v>0</v>
          </cell>
          <cell r="H228">
            <v>0</v>
          </cell>
          <cell r="I228">
            <v>0</v>
          </cell>
          <cell r="J228">
            <v>0</v>
          </cell>
          <cell r="K228">
            <v>0</v>
          </cell>
          <cell r="M228">
            <v>0</v>
          </cell>
        </row>
        <row r="229">
          <cell r="F229">
            <v>0</v>
          </cell>
          <cell r="H229">
            <v>0</v>
          </cell>
          <cell r="I229">
            <v>0</v>
          </cell>
          <cell r="J229">
            <v>0</v>
          </cell>
          <cell r="K229">
            <v>0</v>
          </cell>
          <cell r="M229">
            <v>0</v>
          </cell>
        </row>
        <row r="230">
          <cell r="F230">
            <v>0</v>
          </cell>
          <cell r="H230">
            <v>0</v>
          </cell>
          <cell r="I230">
            <v>0</v>
          </cell>
          <cell r="J230">
            <v>0</v>
          </cell>
          <cell r="K230">
            <v>0</v>
          </cell>
          <cell r="M230">
            <v>0</v>
          </cell>
        </row>
        <row r="231">
          <cell r="F231">
            <v>-7579</v>
          </cell>
          <cell r="H231">
            <v>0</v>
          </cell>
          <cell r="I231">
            <v>-7579</v>
          </cell>
          <cell r="J231">
            <v>0</v>
          </cell>
          <cell r="K231">
            <v>-7579</v>
          </cell>
          <cell r="M231">
            <v>-5790</v>
          </cell>
        </row>
        <row r="232">
          <cell r="F232">
            <v>-49</v>
          </cell>
          <cell r="H232">
            <v>0</v>
          </cell>
          <cell r="I232">
            <v>-49</v>
          </cell>
          <cell r="J232">
            <v>0</v>
          </cell>
          <cell r="K232">
            <v>-49</v>
          </cell>
          <cell r="M232">
            <v>-57</v>
          </cell>
        </row>
        <row r="233">
          <cell r="F233">
            <v>0</v>
          </cell>
          <cell r="H233">
            <v>0</v>
          </cell>
          <cell r="I233">
            <v>0</v>
          </cell>
          <cell r="J233">
            <v>0</v>
          </cell>
          <cell r="K233">
            <v>0</v>
          </cell>
          <cell r="M233">
            <v>0</v>
          </cell>
        </row>
        <row r="234">
          <cell r="F234">
            <v>-24327</v>
          </cell>
          <cell r="H234">
            <v>0</v>
          </cell>
          <cell r="I234">
            <v>-24327</v>
          </cell>
          <cell r="J234">
            <v>0</v>
          </cell>
          <cell r="K234">
            <v>-24327</v>
          </cell>
          <cell r="M234">
            <v>-24327</v>
          </cell>
        </row>
        <row r="235">
          <cell r="F235">
            <v>-325</v>
          </cell>
          <cell r="H235">
            <v>0</v>
          </cell>
          <cell r="I235">
            <v>-325</v>
          </cell>
          <cell r="J235">
            <v>0</v>
          </cell>
          <cell r="K235">
            <v>-325</v>
          </cell>
          <cell r="M235">
            <v>-399</v>
          </cell>
        </row>
        <row r="236">
          <cell r="F236">
            <v>-26</v>
          </cell>
          <cell r="H236">
            <v>0</v>
          </cell>
          <cell r="I236">
            <v>-26</v>
          </cell>
          <cell r="J236">
            <v>0</v>
          </cell>
          <cell r="K236">
            <v>-26</v>
          </cell>
          <cell r="M236">
            <v>-84</v>
          </cell>
        </row>
        <row r="237">
          <cell r="F237">
            <v>0</v>
          </cell>
          <cell r="H237">
            <v>0</v>
          </cell>
          <cell r="I237">
            <v>0</v>
          </cell>
          <cell r="J237">
            <v>0</v>
          </cell>
          <cell r="K237">
            <v>0</v>
          </cell>
          <cell r="M237">
            <v>-10124</v>
          </cell>
        </row>
        <row r="238">
          <cell r="F238">
            <v>0</v>
          </cell>
          <cell r="H238">
            <v>0</v>
          </cell>
          <cell r="I238">
            <v>0</v>
          </cell>
          <cell r="J238">
            <v>0</v>
          </cell>
          <cell r="K238">
            <v>0</v>
          </cell>
          <cell r="M238">
            <v>0</v>
          </cell>
        </row>
        <row r="239">
          <cell r="F239">
            <v>-165</v>
          </cell>
          <cell r="H239">
            <v>0</v>
          </cell>
          <cell r="I239">
            <v>-165</v>
          </cell>
          <cell r="J239">
            <v>0</v>
          </cell>
          <cell r="K239">
            <v>-165</v>
          </cell>
          <cell r="M239">
            <v>-165</v>
          </cell>
        </row>
        <row r="240">
          <cell r="F240">
            <v>-17</v>
          </cell>
          <cell r="H240">
            <v>0</v>
          </cell>
          <cell r="I240">
            <v>-17</v>
          </cell>
          <cell r="J240">
            <v>0</v>
          </cell>
          <cell r="K240">
            <v>-17</v>
          </cell>
          <cell r="M240">
            <v>-16</v>
          </cell>
        </row>
        <row r="241">
          <cell r="F241">
            <v>-69</v>
          </cell>
          <cell r="H241">
            <v>0</v>
          </cell>
          <cell r="I241">
            <v>-69</v>
          </cell>
          <cell r="J241">
            <v>0</v>
          </cell>
          <cell r="K241">
            <v>-69</v>
          </cell>
          <cell r="M241">
            <v>-69</v>
          </cell>
        </row>
        <row r="242">
          <cell r="F242">
            <v>-474</v>
          </cell>
          <cell r="H242">
            <v>0</v>
          </cell>
          <cell r="I242">
            <v>-474</v>
          </cell>
          <cell r="J242">
            <v>0</v>
          </cell>
          <cell r="K242">
            <v>-474</v>
          </cell>
          <cell r="M242">
            <v>-474</v>
          </cell>
        </row>
        <row r="243">
          <cell r="F243">
            <v>-139</v>
          </cell>
          <cell r="H243">
            <v>0</v>
          </cell>
          <cell r="I243">
            <v>-139</v>
          </cell>
          <cell r="J243">
            <v>0</v>
          </cell>
          <cell r="K243">
            <v>-139</v>
          </cell>
          <cell r="M243">
            <v>0</v>
          </cell>
        </row>
        <row r="244">
          <cell r="F244">
            <v>0</v>
          </cell>
          <cell r="H244">
            <v>0</v>
          </cell>
          <cell r="I244">
            <v>0</v>
          </cell>
          <cell r="J244">
            <v>-224</v>
          </cell>
          <cell r="K244">
            <v>-224</v>
          </cell>
          <cell r="M244">
            <v>-185</v>
          </cell>
        </row>
        <row r="245">
          <cell r="F245">
            <v>-33170</v>
          </cell>
          <cell r="H245">
            <v>0</v>
          </cell>
          <cell r="I245">
            <v>-33170</v>
          </cell>
          <cell r="J245">
            <v>-224</v>
          </cell>
          <cell r="K245">
            <v>-33394</v>
          </cell>
          <cell r="M245">
            <v>-41690</v>
          </cell>
        </row>
        <row r="247">
          <cell r="F247">
            <v>0</v>
          </cell>
          <cell r="H247">
            <v>0</v>
          </cell>
          <cell r="I247">
            <v>0</v>
          </cell>
          <cell r="J247">
            <v>0</v>
          </cell>
          <cell r="K247">
            <v>0</v>
          </cell>
          <cell r="M247">
            <v>0</v>
          </cell>
        </row>
        <row r="249">
          <cell r="F249">
            <v>0</v>
          </cell>
          <cell r="H249">
            <v>0</v>
          </cell>
          <cell r="I249">
            <v>0</v>
          </cell>
          <cell r="J249">
            <v>0</v>
          </cell>
          <cell r="K249">
            <v>0</v>
          </cell>
          <cell r="M249">
            <v>0</v>
          </cell>
        </row>
        <row r="251">
          <cell r="F251">
            <v>-2</v>
          </cell>
          <cell r="H251">
            <v>0</v>
          </cell>
          <cell r="I251">
            <v>-2</v>
          </cell>
          <cell r="J251">
            <v>0</v>
          </cell>
          <cell r="K251">
            <v>-2</v>
          </cell>
          <cell r="M251">
            <v>-5</v>
          </cell>
        </row>
        <row r="252">
          <cell r="F252">
            <v>0</v>
          </cell>
          <cell r="H252">
            <v>0</v>
          </cell>
          <cell r="I252">
            <v>0</v>
          </cell>
          <cell r="J252">
            <v>0</v>
          </cell>
          <cell r="K252">
            <v>0</v>
          </cell>
          <cell r="M252">
            <v>0</v>
          </cell>
        </row>
        <row r="253">
          <cell r="F253">
            <v>0</v>
          </cell>
          <cell r="H253">
            <v>0</v>
          </cell>
          <cell r="I253">
            <v>0</v>
          </cell>
          <cell r="J253">
            <v>0</v>
          </cell>
          <cell r="K253">
            <v>0</v>
          </cell>
          <cell r="M253">
            <v>0</v>
          </cell>
        </row>
        <row r="254">
          <cell r="F254">
            <v>0</v>
          </cell>
          <cell r="H254">
            <v>0</v>
          </cell>
          <cell r="I254">
            <v>0</v>
          </cell>
          <cell r="J254">
            <v>0</v>
          </cell>
          <cell r="K254">
            <v>0</v>
          </cell>
          <cell r="M254">
            <v>0</v>
          </cell>
        </row>
        <row r="255">
          <cell r="F255">
            <v>0</v>
          </cell>
          <cell r="H255">
            <v>0</v>
          </cell>
          <cell r="I255">
            <v>0</v>
          </cell>
          <cell r="J255">
            <v>0</v>
          </cell>
          <cell r="K255">
            <v>0</v>
          </cell>
          <cell r="M255">
            <v>0</v>
          </cell>
        </row>
        <row r="256">
          <cell r="F256">
            <v>0</v>
          </cell>
          <cell r="H256">
            <v>0</v>
          </cell>
          <cell r="I256">
            <v>0</v>
          </cell>
          <cell r="J256">
            <v>0</v>
          </cell>
          <cell r="K256">
            <v>0</v>
          </cell>
          <cell r="M256">
            <v>0</v>
          </cell>
        </row>
        <row r="257">
          <cell r="F257">
            <v>0</v>
          </cell>
          <cell r="H257">
            <v>0</v>
          </cell>
          <cell r="I257">
            <v>0</v>
          </cell>
          <cell r="J257">
            <v>0</v>
          </cell>
          <cell r="K257">
            <v>0</v>
          </cell>
          <cell r="M257">
            <v>0</v>
          </cell>
        </row>
        <row r="258">
          <cell r="F258">
            <v>0</v>
          </cell>
          <cell r="H258">
            <v>0</v>
          </cell>
          <cell r="I258">
            <v>0</v>
          </cell>
          <cell r="J258">
            <v>0</v>
          </cell>
          <cell r="K258">
            <v>0</v>
          </cell>
          <cell r="M258">
            <v>0</v>
          </cell>
        </row>
        <row r="259">
          <cell r="F259">
            <v>-2</v>
          </cell>
          <cell r="H259">
            <v>0</v>
          </cell>
          <cell r="I259">
            <v>-2</v>
          </cell>
          <cell r="J259">
            <v>0</v>
          </cell>
          <cell r="K259">
            <v>-2</v>
          </cell>
          <cell r="M259">
            <v>-5</v>
          </cell>
        </row>
        <row r="261">
          <cell r="F261">
            <v>-1059</v>
          </cell>
          <cell r="H261">
            <v>0</v>
          </cell>
          <cell r="I261">
            <v>-1059</v>
          </cell>
          <cell r="J261">
            <v>0</v>
          </cell>
          <cell r="K261">
            <v>-1059</v>
          </cell>
          <cell r="M261">
            <v>1525</v>
          </cell>
        </row>
        <row r="262">
          <cell r="F262">
            <v>-1059</v>
          </cell>
          <cell r="H262">
            <v>0</v>
          </cell>
          <cell r="I262">
            <v>-1059</v>
          </cell>
          <cell r="J262">
            <v>0</v>
          </cell>
          <cell r="K262">
            <v>-1059</v>
          </cell>
          <cell r="M262">
            <v>1525</v>
          </cell>
        </row>
        <row r="264">
          <cell r="F264">
            <v>0</v>
          </cell>
          <cell r="H264">
            <v>0</v>
          </cell>
          <cell r="I264">
            <v>0</v>
          </cell>
          <cell r="J264">
            <v>0</v>
          </cell>
          <cell r="K264">
            <v>0</v>
          </cell>
          <cell r="M264">
            <v>0</v>
          </cell>
        </row>
        <row r="265">
          <cell r="F265">
            <v>0</v>
          </cell>
          <cell r="H265">
            <v>0</v>
          </cell>
          <cell r="I265">
            <v>0</v>
          </cell>
          <cell r="J265">
            <v>0</v>
          </cell>
          <cell r="K265">
            <v>0</v>
          </cell>
          <cell r="M265">
            <v>0</v>
          </cell>
        </row>
        <row r="266">
          <cell r="F266">
            <v>0</v>
          </cell>
          <cell r="H266">
            <v>0</v>
          </cell>
          <cell r="I266">
            <v>0</v>
          </cell>
          <cell r="J266">
            <v>0</v>
          </cell>
          <cell r="K266">
            <v>0</v>
          </cell>
          <cell r="M266">
            <v>0</v>
          </cell>
        </row>
        <row r="267">
          <cell r="F267">
            <v>0</v>
          </cell>
          <cell r="H267">
            <v>0</v>
          </cell>
          <cell r="I267">
            <v>0</v>
          </cell>
          <cell r="J267">
            <v>0</v>
          </cell>
          <cell r="K267">
            <v>0</v>
          </cell>
          <cell r="M267">
            <v>0</v>
          </cell>
        </row>
        <row r="268">
          <cell r="F268">
            <v>0</v>
          </cell>
          <cell r="H268">
            <v>0</v>
          </cell>
          <cell r="I268">
            <v>0</v>
          </cell>
          <cell r="J268">
            <v>0</v>
          </cell>
          <cell r="K268">
            <v>0</v>
          </cell>
          <cell r="M268">
            <v>0</v>
          </cell>
        </row>
        <row r="269">
          <cell r="F269">
            <v>0</v>
          </cell>
          <cell r="H269">
            <v>0</v>
          </cell>
          <cell r="I269">
            <v>0</v>
          </cell>
          <cell r="J269">
            <v>0</v>
          </cell>
          <cell r="K269">
            <v>0</v>
          </cell>
          <cell r="M269">
            <v>0</v>
          </cell>
        </row>
        <row r="270">
          <cell r="F270">
            <v>0</v>
          </cell>
          <cell r="H270">
            <v>0</v>
          </cell>
          <cell r="I270">
            <v>0</v>
          </cell>
          <cell r="J270">
            <v>0</v>
          </cell>
          <cell r="K270">
            <v>0</v>
          </cell>
          <cell r="M270">
            <v>0</v>
          </cell>
        </row>
        <row r="271">
          <cell r="F271">
            <v>0</v>
          </cell>
          <cell r="H271">
            <v>0</v>
          </cell>
          <cell r="I271">
            <v>0</v>
          </cell>
          <cell r="J271">
            <v>0</v>
          </cell>
          <cell r="K271">
            <v>0</v>
          </cell>
          <cell r="M271">
            <v>0</v>
          </cell>
        </row>
        <row r="272">
          <cell r="F272">
            <v>0</v>
          </cell>
          <cell r="H272">
            <v>0</v>
          </cell>
          <cell r="I272">
            <v>0</v>
          </cell>
          <cell r="J272">
            <v>0</v>
          </cell>
          <cell r="K272">
            <v>0</v>
          </cell>
          <cell r="M272">
            <v>0</v>
          </cell>
        </row>
        <row r="273">
          <cell r="F273">
            <v>0</v>
          </cell>
          <cell r="H273">
            <v>0</v>
          </cell>
          <cell r="I273">
            <v>0</v>
          </cell>
          <cell r="J273">
            <v>0</v>
          </cell>
          <cell r="K273">
            <v>0</v>
          </cell>
          <cell r="M273">
            <v>0</v>
          </cell>
        </row>
        <row r="274">
          <cell r="F274">
            <v>0</v>
          </cell>
          <cell r="H274">
            <v>0</v>
          </cell>
          <cell r="I274">
            <v>0</v>
          </cell>
          <cell r="J274">
            <v>0</v>
          </cell>
          <cell r="K274">
            <v>0</v>
          </cell>
          <cell r="M274">
            <v>0</v>
          </cell>
        </row>
        <row r="275">
          <cell r="F275">
            <v>0</v>
          </cell>
          <cell r="H275">
            <v>0</v>
          </cell>
          <cell r="I275">
            <v>0</v>
          </cell>
          <cell r="J275">
            <v>0</v>
          </cell>
          <cell r="K275">
            <v>0</v>
          </cell>
          <cell r="M275">
            <v>0</v>
          </cell>
        </row>
        <row r="276">
          <cell r="F276">
            <v>0</v>
          </cell>
          <cell r="H276">
            <v>0</v>
          </cell>
          <cell r="I276">
            <v>0</v>
          </cell>
          <cell r="J276">
            <v>0</v>
          </cell>
          <cell r="K276">
            <v>0</v>
          </cell>
          <cell r="M276">
            <v>0</v>
          </cell>
        </row>
        <row r="277">
          <cell r="F277">
            <v>0</v>
          </cell>
          <cell r="H277">
            <v>0</v>
          </cell>
          <cell r="I277">
            <v>0</v>
          </cell>
          <cell r="J277">
            <v>0</v>
          </cell>
          <cell r="K277">
            <v>0</v>
          </cell>
          <cell r="M277">
            <v>0</v>
          </cell>
        </row>
        <row r="278">
          <cell r="F278">
            <v>0</v>
          </cell>
          <cell r="H278">
            <v>0</v>
          </cell>
          <cell r="I278">
            <v>0</v>
          </cell>
          <cell r="J278">
            <v>0</v>
          </cell>
          <cell r="K278">
            <v>0</v>
          </cell>
          <cell r="M278">
            <v>0</v>
          </cell>
        </row>
        <row r="279">
          <cell r="F279">
            <v>0</v>
          </cell>
          <cell r="H279">
            <v>0</v>
          </cell>
          <cell r="I279">
            <v>0</v>
          </cell>
          <cell r="J279">
            <v>0</v>
          </cell>
          <cell r="K279">
            <v>0</v>
          </cell>
          <cell r="M279">
            <v>0</v>
          </cell>
        </row>
        <row r="280">
          <cell r="F280">
            <v>0</v>
          </cell>
          <cell r="H280">
            <v>0</v>
          </cell>
          <cell r="I280">
            <v>0</v>
          </cell>
          <cell r="J280">
            <v>0</v>
          </cell>
          <cell r="K280">
            <v>0</v>
          </cell>
          <cell r="M280">
            <v>0</v>
          </cell>
        </row>
        <row r="281">
          <cell r="F281">
            <v>0</v>
          </cell>
          <cell r="H281">
            <v>0</v>
          </cell>
          <cell r="I281">
            <v>0</v>
          </cell>
          <cell r="J281">
            <v>0</v>
          </cell>
          <cell r="K281">
            <v>0</v>
          </cell>
          <cell r="M281">
            <v>0</v>
          </cell>
        </row>
        <row r="282">
          <cell r="F282">
            <v>0</v>
          </cell>
          <cell r="H282">
            <v>0</v>
          </cell>
          <cell r="I282">
            <v>0</v>
          </cell>
          <cell r="J282">
            <v>0</v>
          </cell>
          <cell r="K282">
            <v>0</v>
          </cell>
          <cell r="M282">
            <v>84894</v>
          </cell>
        </row>
        <row r="283">
          <cell r="F283">
            <v>0</v>
          </cell>
          <cell r="H283">
            <v>0</v>
          </cell>
          <cell r="I283">
            <v>0</v>
          </cell>
          <cell r="J283">
            <v>0</v>
          </cell>
          <cell r="K283">
            <v>0</v>
          </cell>
          <cell r="M283">
            <v>-61065</v>
          </cell>
        </row>
        <row r="284">
          <cell r="F284">
            <v>0</v>
          </cell>
          <cell r="H284">
            <v>0</v>
          </cell>
          <cell r="I284">
            <v>0</v>
          </cell>
          <cell r="J284">
            <v>0</v>
          </cell>
          <cell r="K284">
            <v>0</v>
          </cell>
          <cell r="M284">
            <v>23829</v>
          </cell>
        </row>
        <row r="286">
          <cell r="F286">
            <v>-157592</v>
          </cell>
          <cell r="H286">
            <v>0</v>
          </cell>
          <cell r="I286">
            <v>-157592</v>
          </cell>
          <cell r="J286">
            <v>0</v>
          </cell>
          <cell r="K286">
            <v>-157592</v>
          </cell>
          <cell r="M286">
            <v>-330512</v>
          </cell>
        </row>
        <row r="287">
          <cell r="F287">
            <v>83419</v>
          </cell>
          <cell r="H287">
            <v>0</v>
          </cell>
          <cell r="I287">
            <v>83419</v>
          </cell>
          <cell r="J287">
            <v>0</v>
          </cell>
          <cell r="K287">
            <v>83419</v>
          </cell>
          <cell r="M287">
            <v>173621</v>
          </cell>
        </row>
        <row r="288">
          <cell r="F288">
            <v>0</v>
          </cell>
          <cell r="H288">
            <v>0</v>
          </cell>
          <cell r="I288">
            <v>0</v>
          </cell>
          <cell r="J288">
            <v>0</v>
          </cell>
          <cell r="K288">
            <v>0</v>
          </cell>
          <cell r="M288">
            <v>0</v>
          </cell>
        </row>
        <row r="289">
          <cell r="F289">
            <v>-131368</v>
          </cell>
          <cell r="H289">
            <v>0</v>
          </cell>
          <cell r="I289">
            <v>-131368</v>
          </cell>
          <cell r="J289">
            <v>0</v>
          </cell>
          <cell r="K289">
            <v>-131368</v>
          </cell>
          <cell r="M289">
            <v>-161206</v>
          </cell>
        </row>
        <row r="290">
          <cell r="F290">
            <v>113790</v>
          </cell>
          <cell r="H290">
            <v>0</v>
          </cell>
          <cell r="I290">
            <v>113790</v>
          </cell>
          <cell r="J290">
            <v>0</v>
          </cell>
          <cell r="K290">
            <v>113790</v>
          </cell>
          <cell r="M290">
            <v>221324</v>
          </cell>
        </row>
        <row r="291">
          <cell r="F291">
            <v>0</v>
          </cell>
          <cell r="H291">
            <v>0</v>
          </cell>
          <cell r="I291">
            <v>0</v>
          </cell>
          <cell r="J291">
            <v>0</v>
          </cell>
          <cell r="K291">
            <v>0</v>
          </cell>
          <cell r="M291">
            <v>0</v>
          </cell>
        </row>
        <row r="292">
          <cell r="F292">
            <v>-1131446</v>
          </cell>
          <cell r="H292">
            <v>0</v>
          </cell>
          <cell r="I292">
            <v>-1131446</v>
          </cell>
          <cell r="J292">
            <v>0</v>
          </cell>
          <cell r="K292">
            <v>-1131446</v>
          </cell>
          <cell r="M292">
            <v>-1007820</v>
          </cell>
        </row>
        <row r="293">
          <cell r="F293">
            <v>-1223197</v>
          </cell>
          <cell r="H293">
            <v>0</v>
          </cell>
          <cell r="I293">
            <v>-1223197</v>
          </cell>
          <cell r="J293">
            <v>0</v>
          </cell>
          <cell r="K293">
            <v>-1223197</v>
          </cell>
          <cell r="M293">
            <v>-1104593</v>
          </cell>
        </row>
        <row r="295">
          <cell r="F295">
            <v>0</v>
          </cell>
          <cell r="H295">
            <v>0</v>
          </cell>
          <cell r="I295">
            <v>0</v>
          </cell>
          <cell r="J295">
            <v>0</v>
          </cell>
          <cell r="K295">
            <v>0</v>
          </cell>
          <cell r="M295">
            <v>0</v>
          </cell>
        </row>
        <row r="296">
          <cell r="F296">
            <v>0</v>
          </cell>
          <cell r="H296">
            <v>0</v>
          </cell>
          <cell r="I296">
            <v>0</v>
          </cell>
          <cell r="J296">
            <v>0</v>
          </cell>
          <cell r="K296">
            <v>0</v>
          </cell>
          <cell r="M296">
            <v>0</v>
          </cell>
        </row>
        <row r="297">
          <cell r="F297">
            <v>0</v>
          </cell>
          <cell r="H297">
            <v>0</v>
          </cell>
          <cell r="I297">
            <v>0</v>
          </cell>
          <cell r="J297">
            <v>0</v>
          </cell>
          <cell r="K297">
            <v>0</v>
          </cell>
          <cell r="M297">
            <v>0</v>
          </cell>
        </row>
        <row r="298">
          <cell r="F298">
            <v>0</v>
          </cell>
          <cell r="H298">
            <v>0</v>
          </cell>
          <cell r="I298">
            <v>0</v>
          </cell>
          <cell r="J298">
            <v>0</v>
          </cell>
          <cell r="K298">
            <v>0</v>
          </cell>
          <cell r="M298">
            <v>0</v>
          </cell>
        </row>
        <row r="299">
          <cell r="F299">
            <v>0</v>
          </cell>
          <cell r="H299">
            <v>0</v>
          </cell>
          <cell r="I299">
            <v>0</v>
          </cell>
          <cell r="J299">
            <v>0</v>
          </cell>
          <cell r="K299">
            <v>0</v>
          </cell>
          <cell r="M299">
            <v>0</v>
          </cell>
        </row>
        <row r="300">
          <cell r="F300">
            <v>0</v>
          </cell>
          <cell r="H300">
            <v>0</v>
          </cell>
          <cell r="I300">
            <v>0</v>
          </cell>
          <cell r="J300">
            <v>0</v>
          </cell>
          <cell r="K300">
            <v>0</v>
          </cell>
          <cell r="M300">
            <v>0</v>
          </cell>
        </row>
        <row r="301">
          <cell r="F301">
            <v>0</v>
          </cell>
          <cell r="H301">
            <v>0</v>
          </cell>
          <cell r="I301">
            <v>0</v>
          </cell>
          <cell r="J301">
            <v>0</v>
          </cell>
          <cell r="K301">
            <v>0</v>
          </cell>
          <cell r="M301">
            <v>0</v>
          </cell>
        </row>
        <row r="302">
          <cell r="F302">
            <v>0</v>
          </cell>
          <cell r="H302">
            <v>0</v>
          </cell>
          <cell r="I302">
            <v>0</v>
          </cell>
          <cell r="J302">
            <v>0</v>
          </cell>
          <cell r="K302">
            <v>0</v>
          </cell>
          <cell r="M302">
            <v>0</v>
          </cell>
        </row>
        <row r="303">
          <cell r="F303">
            <v>607</v>
          </cell>
          <cell r="H303">
            <v>0</v>
          </cell>
          <cell r="I303">
            <v>607</v>
          </cell>
          <cell r="J303">
            <v>0</v>
          </cell>
          <cell r="K303">
            <v>607</v>
          </cell>
          <cell r="M303">
            <v>1464</v>
          </cell>
        </row>
        <row r="304">
          <cell r="F304">
            <v>607</v>
          </cell>
          <cell r="H304">
            <v>0</v>
          </cell>
          <cell r="I304">
            <v>607</v>
          </cell>
          <cell r="J304">
            <v>0</v>
          </cell>
          <cell r="K304">
            <v>607</v>
          </cell>
          <cell r="M304">
            <v>1464</v>
          </cell>
        </row>
        <row r="306">
          <cell r="F306">
            <v>0</v>
          </cell>
          <cell r="H306">
            <v>0</v>
          </cell>
          <cell r="I306">
            <v>0</v>
          </cell>
          <cell r="J306">
            <v>0</v>
          </cell>
          <cell r="K306">
            <v>0</v>
          </cell>
          <cell r="M306">
            <v>0</v>
          </cell>
        </row>
        <row r="307">
          <cell r="F307">
            <v>0</v>
          </cell>
          <cell r="H307">
            <v>0</v>
          </cell>
          <cell r="I307">
            <v>0</v>
          </cell>
          <cell r="J307">
            <v>0</v>
          </cell>
          <cell r="K307">
            <v>0</v>
          </cell>
          <cell r="M307">
            <v>0</v>
          </cell>
        </row>
        <row r="308">
          <cell r="F308">
            <v>0</v>
          </cell>
          <cell r="H308">
            <v>0</v>
          </cell>
          <cell r="I308">
            <v>0</v>
          </cell>
          <cell r="J308">
            <v>0</v>
          </cell>
          <cell r="K308">
            <v>0</v>
          </cell>
          <cell r="M308">
            <v>0</v>
          </cell>
        </row>
        <row r="309">
          <cell r="F309">
            <v>0</v>
          </cell>
          <cell r="H309">
            <v>0</v>
          </cell>
          <cell r="I309">
            <v>0</v>
          </cell>
          <cell r="J309">
            <v>0</v>
          </cell>
          <cell r="K309">
            <v>0</v>
          </cell>
          <cell r="M309">
            <v>0</v>
          </cell>
        </row>
        <row r="310">
          <cell r="F310">
            <v>0</v>
          </cell>
          <cell r="H310">
            <v>0</v>
          </cell>
          <cell r="I310">
            <v>0</v>
          </cell>
          <cell r="J310">
            <v>0</v>
          </cell>
          <cell r="K310">
            <v>0</v>
          </cell>
          <cell r="M310">
            <v>0</v>
          </cell>
        </row>
        <row r="311">
          <cell r="F311">
            <v>0</v>
          </cell>
          <cell r="H311">
            <v>0</v>
          </cell>
          <cell r="I311">
            <v>0</v>
          </cell>
          <cell r="J311">
            <v>0</v>
          </cell>
          <cell r="K311">
            <v>0</v>
          </cell>
          <cell r="M311">
            <v>0</v>
          </cell>
        </row>
        <row r="312">
          <cell r="F312">
            <v>0</v>
          </cell>
          <cell r="H312">
            <v>0</v>
          </cell>
          <cell r="I312">
            <v>0</v>
          </cell>
          <cell r="J312">
            <v>0</v>
          </cell>
          <cell r="K312">
            <v>0</v>
          </cell>
          <cell r="M312">
            <v>0</v>
          </cell>
        </row>
        <row r="313">
          <cell r="F313">
            <v>0</v>
          </cell>
          <cell r="H313">
            <v>0</v>
          </cell>
          <cell r="I313">
            <v>0</v>
          </cell>
          <cell r="J313">
            <v>0</v>
          </cell>
          <cell r="K313">
            <v>0</v>
          </cell>
          <cell r="M313">
            <v>0</v>
          </cell>
        </row>
        <row r="314">
          <cell r="F314">
            <v>0</v>
          </cell>
          <cell r="H314">
            <v>0</v>
          </cell>
          <cell r="I314">
            <v>0</v>
          </cell>
          <cell r="J314">
            <v>0</v>
          </cell>
          <cell r="K314">
            <v>0</v>
          </cell>
          <cell r="M314">
            <v>0</v>
          </cell>
        </row>
        <row r="315">
          <cell r="F315">
            <v>0</v>
          </cell>
          <cell r="H315">
            <v>0</v>
          </cell>
          <cell r="I315">
            <v>0</v>
          </cell>
          <cell r="J315">
            <v>0</v>
          </cell>
          <cell r="K315">
            <v>0</v>
          </cell>
          <cell r="M315">
            <v>0</v>
          </cell>
        </row>
        <row r="316">
          <cell r="F316">
            <v>6274</v>
          </cell>
          <cell r="H316">
            <v>0</v>
          </cell>
          <cell r="I316">
            <v>6274</v>
          </cell>
          <cell r="J316">
            <v>0</v>
          </cell>
          <cell r="K316">
            <v>6274</v>
          </cell>
          <cell r="M316">
            <v>4453</v>
          </cell>
        </row>
        <row r="317">
          <cell r="F317">
            <v>6274</v>
          </cell>
          <cell r="H317">
            <v>0</v>
          </cell>
          <cell r="I317">
            <v>6274</v>
          </cell>
          <cell r="J317">
            <v>0</v>
          </cell>
          <cell r="K317">
            <v>6274</v>
          </cell>
          <cell r="M317">
            <v>4453</v>
          </cell>
        </row>
        <row r="319">
          <cell r="F319">
            <v>0</v>
          </cell>
          <cell r="H319">
            <v>0</v>
          </cell>
          <cell r="I319">
            <v>0</v>
          </cell>
          <cell r="J319">
            <v>0</v>
          </cell>
          <cell r="K319">
            <v>0</v>
          </cell>
          <cell r="M319">
            <v>0</v>
          </cell>
        </row>
        <row r="320">
          <cell r="F320">
            <v>0</v>
          </cell>
          <cell r="H320">
            <v>0</v>
          </cell>
          <cell r="I320">
            <v>0</v>
          </cell>
          <cell r="J320">
            <v>0</v>
          </cell>
          <cell r="K320">
            <v>0</v>
          </cell>
          <cell r="M320">
            <v>0</v>
          </cell>
        </row>
        <row r="321">
          <cell r="F321">
            <v>0</v>
          </cell>
          <cell r="H321">
            <v>0</v>
          </cell>
          <cell r="I321">
            <v>0</v>
          </cell>
          <cell r="J321">
            <v>0</v>
          </cell>
          <cell r="K321">
            <v>0</v>
          </cell>
          <cell r="M321">
            <v>0</v>
          </cell>
        </row>
        <row r="322">
          <cell r="F322">
            <v>0</v>
          </cell>
          <cell r="H322">
            <v>0</v>
          </cell>
          <cell r="I322">
            <v>0</v>
          </cell>
          <cell r="J322">
            <v>0</v>
          </cell>
          <cell r="K322">
            <v>0</v>
          </cell>
          <cell r="M322">
            <v>0</v>
          </cell>
        </row>
        <row r="323">
          <cell r="F323">
            <v>0</v>
          </cell>
          <cell r="H323">
            <v>0</v>
          </cell>
          <cell r="I323">
            <v>0</v>
          </cell>
          <cell r="J323">
            <v>0</v>
          </cell>
          <cell r="K323">
            <v>0</v>
          </cell>
          <cell r="M323">
            <v>0</v>
          </cell>
        </row>
        <row r="324">
          <cell r="F324">
            <v>-5576</v>
          </cell>
          <cell r="H324">
            <v>0</v>
          </cell>
          <cell r="I324">
            <v>-5576</v>
          </cell>
          <cell r="J324">
            <v>0</v>
          </cell>
          <cell r="K324">
            <v>-5576</v>
          </cell>
          <cell r="M324">
            <v>-172</v>
          </cell>
        </row>
        <row r="325">
          <cell r="F325">
            <v>20</v>
          </cell>
          <cell r="H325">
            <v>0</v>
          </cell>
          <cell r="I325">
            <v>20</v>
          </cell>
          <cell r="J325">
            <v>-16</v>
          </cell>
          <cell r="K325">
            <v>4</v>
          </cell>
          <cell r="M325">
            <v>30</v>
          </cell>
        </row>
        <row r="326">
          <cell r="F326">
            <v>0</v>
          </cell>
          <cell r="H326">
            <v>0</v>
          </cell>
          <cell r="I326">
            <v>0</v>
          </cell>
          <cell r="J326">
            <v>0</v>
          </cell>
          <cell r="K326">
            <v>0</v>
          </cell>
          <cell r="M326">
            <v>0</v>
          </cell>
        </row>
        <row r="327">
          <cell r="F327">
            <v>-5556</v>
          </cell>
          <cell r="H327">
            <v>0</v>
          </cell>
          <cell r="I327">
            <v>-5556</v>
          </cell>
          <cell r="J327">
            <v>-16</v>
          </cell>
          <cell r="K327">
            <v>-5572</v>
          </cell>
          <cell r="M327">
            <v>-142</v>
          </cell>
        </row>
        <row r="329">
          <cell r="F329">
            <v>0</v>
          </cell>
          <cell r="H329">
            <v>0</v>
          </cell>
          <cell r="I329">
            <v>0</v>
          </cell>
          <cell r="J329">
            <v>0</v>
          </cell>
          <cell r="K329">
            <v>0</v>
          </cell>
          <cell r="M329">
            <v>0</v>
          </cell>
        </row>
        <row r="331">
          <cell r="F331">
            <v>0</v>
          </cell>
          <cell r="H331">
            <v>0</v>
          </cell>
          <cell r="I331">
            <v>0</v>
          </cell>
          <cell r="J331">
            <v>0</v>
          </cell>
          <cell r="K331">
            <v>0</v>
          </cell>
          <cell r="M331">
            <v>0</v>
          </cell>
        </row>
        <row r="332">
          <cell r="F332">
            <v>0</v>
          </cell>
          <cell r="H332">
            <v>0</v>
          </cell>
          <cell r="I332">
            <v>0</v>
          </cell>
          <cell r="J332">
            <v>0</v>
          </cell>
          <cell r="K332">
            <v>0</v>
          </cell>
          <cell r="M332">
            <v>0</v>
          </cell>
        </row>
        <row r="333">
          <cell r="F333">
            <v>0</v>
          </cell>
          <cell r="H333">
            <v>0</v>
          </cell>
          <cell r="I333">
            <v>0</v>
          </cell>
          <cell r="J333">
            <v>0</v>
          </cell>
          <cell r="K333">
            <v>0</v>
          </cell>
          <cell r="M333">
            <v>0</v>
          </cell>
        </row>
        <row r="334">
          <cell r="F334">
            <v>0</v>
          </cell>
          <cell r="H334">
            <v>0</v>
          </cell>
          <cell r="I334">
            <v>0</v>
          </cell>
          <cell r="J334">
            <v>0</v>
          </cell>
          <cell r="K334">
            <v>0</v>
          </cell>
          <cell r="M334">
            <v>0</v>
          </cell>
        </row>
        <row r="335">
          <cell r="F335">
            <v>0</v>
          </cell>
          <cell r="H335">
            <v>0</v>
          </cell>
          <cell r="I335">
            <v>0</v>
          </cell>
          <cell r="J335">
            <v>0</v>
          </cell>
          <cell r="K335">
            <v>0</v>
          </cell>
          <cell r="M335">
            <v>0</v>
          </cell>
        </row>
        <row r="336">
          <cell r="F336">
            <v>0</v>
          </cell>
          <cell r="H336">
            <v>0</v>
          </cell>
          <cell r="I336">
            <v>0</v>
          </cell>
          <cell r="J336">
            <v>0</v>
          </cell>
          <cell r="K336">
            <v>0</v>
          </cell>
          <cell r="M336">
            <v>0</v>
          </cell>
        </row>
        <row r="337">
          <cell r="F337">
            <v>0</v>
          </cell>
          <cell r="H337">
            <v>0</v>
          </cell>
          <cell r="I337">
            <v>0</v>
          </cell>
          <cell r="J337">
            <v>0</v>
          </cell>
          <cell r="K337">
            <v>0</v>
          </cell>
          <cell r="M337">
            <v>0</v>
          </cell>
        </row>
        <row r="338">
          <cell r="F338">
            <v>0</v>
          </cell>
          <cell r="H338">
            <v>0</v>
          </cell>
          <cell r="I338">
            <v>0</v>
          </cell>
          <cell r="J338">
            <v>0</v>
          </cell>
          <cell r="K338">
            <v>0</v>
          </cell>
          <cell r="M338">
            <v>0</v>
          </cell>
        </row>
        <row r="339">
          <cell r="F339">
            <v>0</v>
          </cell>
          <cell r="H339">
            <v>0</v>
          </cell>
          <cell r="I339">
            <v>0</v>
          </cell>
          <cell r="J339">
            <v>0</v>
          </cell>
          <cell r="K339">
            <v>0</v>
          </cell>
          <cell r="M339">
            <v>0</v>
          </cell>
        </row>
        <row r="340">
          <cell r="F340">
            <v>0</v>
          </cell>
          <cell r="H340">
            <v>0</v>
          </cell>
          <cell r="I340">
            <v>0</v>
          </cell>
          <cell r="J340">
            <v>0</v>
          </cell>
          <cell r="K340">
            <v>0</v>
          </cell>
          <cell r="M340">
            <v>0</v>
          </cell>
        </row>
        <row r="341">
          <cell r="F341">
            <v>0</v>
          </cell>
          <cell r="H341">
            <v>0</v>
          </cell>
          <cell r="I341">
            <v>0</v>
          </cell>
          <cell r="J341">
            <v>0</v>
          </cell>
          <cell r="K341">
            <v>0</v>
          </cell>
          <cell r="M341">
            <v>0</v>
          </cell>
        </row>
        <row r="342">
          <cell r="F342">
            <v>0</v>
          </cell>
          <cell r="H342">
            <v>0</v>
          </cell>
          <cell r="I342">
            <v>0</v>
          </cell>
          <cell r="J342">
            <v>0</v>
          </cell>
          <cell r="K342">
            <v>0</v>
          </cell>
          <cell r="M342">
            <v>0</v>
          </cell>
        </row>
        <row r="343">
          <cell r="F343">
            <v>0</v>
          </cell>
          <cell r="H343">
            <v>0</v>
          </cell>
          <cell r="I343">
            <v>0</v>
          </cell>
          <cell r="J343">
            <v>0</v>
          </cell>
          <cell r="K343">
            <v>0</v>
          </cell>
          <cell r="M343">
            <v>0</v>
          </cell>
        </row>
        <row r="344">
          <cell r="F344">
            <v>0</v>
          </cell>
          <cell r="H344">
            <v>0</v>
          </cell>
          <cell r="I344">
            <v>0</v>
          </cell>
          <cell r="J344">
            <v>0</v>
          </cell>
          <cell r="K344">
            <v>0</v>
          </cell>
          <cell r="M344">
            <v>0</v>
          </cell>
        </row>
        <row r="345">
          <cell r="F345">
            <v>0</v>
          </cell>
          <cell r="H345">
            <v>0</v>
          </cell>
          <cell r="I345">
            <v>0</v>
          </cell>
          <cell r="J345">
            <v>0</v>
          </cell>
          <cell r="K345">
            <v>0</v>
          </cell>
          <cell r="M345">
            <v>0</v>
          </cell>
        </row>
        <row r="346">
          <cell r="F346">
            <v>0</v>
          </cell>
          <cell r="H346">
            <v>0</v>
          </cell>
          <cell r="I346">
            <v>0</v>
          </cell>
          <cell r="J346">
            <v>0</v>
          </cell>
          <cell r="K346">
            <v>0</v>
          </cell>
          <cell r="M346">
            <v>0</v>
          </cell>
        </row>
        <row r="347">
          <cell r="F347">
            <v>0</v>
          </cell>
          <cell r="H347">
            <v>0</v>
          </cell>
          <cell r="I347">
            <v>0</v>
          </cell>
          <cell r="J347">
            <v>0</v>
          </cell>
          <cell r="K347">
            <v>0</v>
          </cell>
          <cell r="M347">
            <v>0</v>
          </cell>
        </row>
        <row r="348">
          <cell r="F348">
            <v>0</v>
          </cell>
          <cell r="H348">
            <v>0</v>
          </cell>
          <cell r="I348">
            <v>0</v>
          </cell>
          <cell r="J348">
            <v>0</v>
          </cell>
          <cell r="K348">
            <v>0</v>
          </cell>
          <cell r="M348">
            <v>0</v>
          </cell>
        </row>
        <row r="349">
          <cell r="F349">
            <v>0</v>
          </cell>
          <cell r="H349">
            <v>0</v>
          </cell>
          <cell r="I349">
            <v>0</v>
          </cell>
          <cell r="J349">
            <v>0</v>
          </cell>
          <cell r="K349">
            <v>0</v>
          </cell>
          <cell r="M349">
            <v>0</v>
          </cell>
        </row>
        <row r="350">
          <cell r="F350">
            <v>-10933</v>
          </cell>
          <cell r="H350">
            <v>0</v>
          </cell>
          <cell r="I350">
            <v>-10933</v>
          </cell>
          <cell r="J350">
            <v>0</v>
          </cell>
          <cell r="K350">
            <v>-10933</v>
          </cell>
          <cell r="M350">
            <v>-15559</v>
          </cell>
        </row>
        <row r="351">
          <cell r="F351">
            <v>-146</v>
          </cell>
          <cell r="H351">
            <v>0</v>
          </cell>
          <cell r="I351">
            <v>-146</v>
          </cell>
          <cell r="J351">
            <v>0</v>
          </cell>
          <cell r="K351">
            <v>-146</v>
          </cell>
          <cell r="M351">
            <v>-107</v>
          </cell>
        </row>
        <row r="352">
          <cell r="F352">
            <v>-1729</v>
          </cell>
          <cell r="H352">
            <v>0</v>
          </cell>
          <cell r="I352">
            <v>-1729</v>
          </cell>
          <cell r="J352">
            <v>0</v>
          </cell>
          <cell r="K352">
            <v>-1729</v>
          </cell>
          <cell r="M352">
            <v>-4646</v>
          </cell>
        </row>
        <row r="353">
          <cell r="F353">
            <v>-12808</v>
          </cell>
          <cell r="H353">
            <v>0</v>
          </cell>
          <cell r="I353">
            <v>-12808</v>
          </cell>
          <cell r="J353">
            <v>0</v>
          </cell>
          <cell r="K353">
            <v>-12808</v>
          </cell>
          <cell r="M353">
            <v>-20312</v>
          </cell>
        </row>
        <row r="355">
          <cell r="F355">
            <v>0</v>
          </cell>
          <cell r="H355">
            <v>0</v>
          </cell>
          <cell r="I355">
            <v>0</v>
          </cell>
          <cell r="J355">
            <v>0</v>
          </cell>
          <cell r="K355">
            <v>0</v>
          </cell>
          <cell r="M355">
            <v>0</v>
          </cell>
        </row>
        <row r="356">
          <cell r="F356">
            <v>0</v>
          </cell>
          <cell r="H356">
            <v>0</v>
          </cell>
          <cell r="I356">
            <v>0</v>
          </cell>
          <cell r="J356">
            <v>0</v>
          </cell>
          <cell r="K356">
            <v>0</v>
          </cell>
          <cell r="M356">
            <v>0</v>
          </cell>
        </row>
        <row r="357">
          <cell r="F357">
            <v>0</v>
          </cell>
          <cell r="H357">
            <v>0</v>
          </cell>
          <cell r="I357">
            <v>0</v>
          </cell>
          <cell r="J357">
            <v>0</v>
          </cell>
          <cell r="K357">
            <v>0</v>
          </cell>
          <cell r="M357">
            <v>0</v>
          </cell>
        </row>
        <row r="358">
          <cell r="F358">
            <v>-21331</v>
          </cell>
          <cell r="H358">
            <v>0</v>
          </cell>
          <cell r="I358">
            <v>-21331</v>
          </cell>
          <cell r="J358">
            <v>0</v>
          </cell>
          <cell r="K358">
            <v>-21331</v>
          </cell>
          <cell r="M358">
            <v>-23190</v>
          </cell>
        </row>
        <row r="359">
          <cell r="F359">
            <v>0</v>
          </cell>
          <cell r="H359">
            <v>0</v>
          </cell>
          <cell r="I359">
            <v>0</v>
          </cell>
          <cell r="J359">
            <v>0</v>
          </cell>
          <cell r="K359">
            <v>0</v>
          </cell>
          <cell r="M359">
            <v>0</v>
          </cell>
        </row>
        <row r="360">
          <cell r="F360">
            <v>0</v>
          </cell>
          <cell r="H360">
            <v>0</v>
          </cell>
          <cell r="I360">
            <v>0</v>
          </cell>
          <cell r="J360">
            <v>0</v>
          </cell>
          <cell r="K360">
            <v>0</v>
          </cell>
          <cell r="M360">
            <v>0</v>
          </cell>
        </row>
        <row r="361">
          <cell r="F361">
            <v>0</v>
          </cell>
          <cell r="H361">
            <v>0</v>
          </cell>
          <cell r="I361">
            <v>0</v>
          </cell>
          <cell r="J361">
            <v>0</v>
          </cell>
          <cell r="K361">
            <v>0</v>
          </cell>
          <cell r="M361">
            <v>0</v>
          </cell>
        </row>
        <row r="362">
          <cell r="F362">
            <v>-11728</v>
          </cell>
          <cell r="H362">
            <v>0</v>
          </cell>
          <cell r="I362">
            <v>-11728</v>
          </cell>
          <cell r="J362">
            <v>-141</v>
          </cell>
          <cell r="K362">
            <v>-11869</v>
          </cell>
          <cell r="M362">
            <v>-8662</v>
          </cell>
        </row>
        <row r="363">
          <cell r="F363">
            <v>-33059</v>
          </cell>
          <cell r="H363">
            <v>0</v>
          </cell>
          <cell r="I363">
            <v>-33059</v>
          </cell>
          <cell r="J363">
            <v>-141</v>
          </cell>
          <cell r="K363">
            <v>-33200</v>
          </cell>
          <cell r="M363">
            <v>-31852</v>
          </cell>
        </row>
        <row r="365">
          <cell r="F365">
            <v>0</v>
          </cell>
          <cell r="H365">
            <v>0</v>
          </cell>
          <cell r="I365">
            <v>0</v>
          </cell>
          <cell r="J365">
            <v>0</v>
          </cell>
          <cell r="K365">
            <v>0</v>
          </cell>
          <cell r="M365">
            <v>0</v>
          </cell>
        </row>
        <row r="367">
          <cell r="F367">
            <v>0</v>
          </cell>
          <cell r="H367">
            <v>0</v>
          </cell>
          <cell r="I367">
            <v>0</v>
          </cell>
          <cell r="J367">
            <v>0</v>
          </cell>
          <cell r="K367">
            <v>0</v>
          </cell>
          <cell r="M367">
            <v>0</v>
          </cell>
        </row>
        <row r="368">
          <cell r="F368">
            <v>-2969</v>
          </cell>
          <cell r="H368">
            <v>0</v>
          </cell>
          <cell r="I368">
            <v>-2969</v>
          </cell>
          <cell r="J368">
            <v>0</v>
          </cell>
          <cell r="K368">
            <v>-2969</v>
          </cell>
          <cell r="M368">
            <v>0</v>
          </cell>
        </row>
        <row r="369">
          <cell r="F369">
            <v>-2969</v>
          </cell>
          <cell r="H369">
            <v>0</v>
          </cell>
          <cell r="I369">
            <v>-2969</v>
          </cell>
          <cell r="J369">
            <v>0</v>
          </cell>
          <cell r="K369">
            <v>-2969</v>
          </cell>
          <cell r="M369">
            <v>0</v>
          </cell>
        </row>
        <row r="371">
          <cell r="F371">
            <v>0</v>
          </cell>
          <cell r="H371">
            <v>0</v>
          </cell>
          <cell r="I371">
            <v>0</v>
          </cell>
          <cell r="J371">
            <v>0</v>
          </cell>
          <cell r="K371">
            <v>0</v>
          </cell>
          <cell r="M371">
            <v>0</v>
          </cell>
        </row>
        <row r="372">
          <cell r="F372">
            <v>-29</v>
          </cell>
          <cell r="H372">
            <v>0</v>
          </cell>
          <cell r="I372">
            <v>-29</v>
          </cell>
          <cell r="J372">
            <v>0</v>
          </cell>
          <cell r="K372">
            <v>-29</v>
          </cell>
          <cell r="M372">
            <v>0</v>
          </cell>
        </row>
        <row r="373">
          <cell r="F373">
            <v>-29</v>
          </cell>
          <cell r="H373">
            <v>0</v>
          </cell>
          <cell r="I373">
            <v>-29</v>
          </cell>
          <cell r="J373">
            <v>0</v>
          </cell>
          <cell r="K373">
            <v>-29</v>
          </cell>
          <cell r="M373">
            <v>0</v>
          </cell>
        </row>
        <row r="375">
          <cell r="F375">
            <v>0</v>
          </cell>
          <cell r="H375">
            <v>0</v>
          </cell>
          <cell r="I375">
            <v>0</v>
          </cell>
          <cell r="J375">
            <v>0</v>
          </cell>
          <cell r="K375">
            <v>0</v>
          </cell>
          <cell r="M375">
            <v>0</v>
          </cell>
        </row>
        <row r="376">
          <cell r="F376">
            <v>0</v>
          </cell>
          <cell r="H376">
            <v>0</v>
          </cell>
          <cell r="I376">
            <v>0</v>
          </cell>
          <cell r="J376">
            <v>0</v>
          </cell>
          <cell r="K376">
            <v>0</v>
          </cell>
          <cell r="M376">
            <v>0</v>
          </cell>
        </row>
        <row r="377">
          <cell r="F377">
            <v>0</v>
          </cell>
          <cell r="H377">
            <v>0</v>
          </cell>
          <cell r="I377">
            <v>0</v>
          </cell>
          <cell r="J377">
            <v>0</v>
          </cell>
          <cell r="K377">
            <v>0</v>
          </cell>
          <cell r="M377">
            <v>0</v>
          </cell>
        </row>
        <row r="378">
          <cell r="F378">
            <v>0</v>
          </cell>
          <cell r="H378">
            <v>0</v>
          </cell>
          <cell r="I378">
            <v>0</v>
          </cell>
          <cell r="J378">
            <v>0</v>
          </cell>
          <cell r="K378">
            <v>0</v>
          </cell>
          <cell r="M378">
            <v>0</v>
          </cell>
        </row>
        <row r="379">
          <cell r="F379">
            <v>0</v>
          </cell>
          <cell r="H379">
            <v>0</v>
          </cell>
          <cell r="I379">
            <v>0</v>
          </cell>
          <cell r="J379">
            <v>0</v>
          </cell>
          <cell r="K379">
            <v>0</v>
          </cell>
          <cell r="M379">
            <v>0</v>
          </cell>
        </row>
        <row r="380">
          <cell r="F380">
            <v>0</v>
          </cell>
          <cell r="H380">
            <v>0</v>
          </cell>
          <cell r="I380">
            <v>0</v>
          </cell>
          <cell r="J380">
            <v>0</v>
          </cell>
          <cell r="K380">
            <v>0</v>
          </cell>
          <cell r="M380">
            <v>0</v>
          </cell>
        </row>
        <row r="381">
          <cell r="F381">
            <v>0</v>
          </cell>
          <cell r="H381">
            <v>0</v>
          </cell>
          <cell r="I381">
            <v>0</v>
          </cell>
          <cell r="J381">
            <v>0</v>
          </cell>
          <cell r="K381">
            <v>0</v>
          </cell>
          <cell r="M381">
            <v>0</v>
          </cell>
        </row>
        <row r="382">
          <cell r="F382">
            <v>0</v>
          </cell>
          <cell r="H382">
            <v>0</v>
          </cell>
          <cell r="I382">
            <v>0</v>
          </cell>
          <cell r="J382">
            <v>0</v>
          </cell>
          <cell r="K382">
            <v>0</v>
          </cell>
          <cell r="M382">
            <v>0</v>
          </cell>
        </row>
        <row r="383">
          <cell r="F383">
            <v>0</v>
          </cell>
          <cell r="H383">
            <v>0</v>
          </cell>
          <cell r="I383">
            <v>0</v>
          </cell>
          <cell r="J383">
            <v>0</v>
          </cell>
          <cell r="K383">
            <v>0</v>
          </cell>
          <cell r="M383">
            <v>0</v>
          </cell>
        </row>
        <row r="384">
          <cell r="F384">
            <v>0</v>
          </cell>
          <cell r="H384">
            <v>0</v>
          </cell>
          <cell r="I384">
            <v>0</v>
          </cell>
          <cell r="J384">
            <v>0</v>
          </cell>
          <cell r="K384">
            <v>0</v>
          </cell>
          <cell r="M384">
            <v>0</v>
          </cell>
        </row>
        <row r="385">
          <cell r="F385">
            <v>0</v>
          </cell>
          <cell r="H385">
            <v>0</v>
          </cell>
          <cell r="I385">
            <v>0</v>
          </cell>
          <cell r="J385">
            <v>0</v>
          </cell>
          <cell r="K385">
            <v>0</v>
          </cell>
          <cell r="M385">
            <v>0</v>
          </cell>
        </row>
        <row r="386">
          <cell r="F386">
            <v>0</v>
          </cell>
          <cell r="H386">
            <v>0</v>
          </cell>
          <cell r="I386">
            <v>0</v>
          </cell>
          <cell r="J386">
            <v>0</v>
          </cell>
          <cell r="K386">
            <v>0</v>
          </cell>
          <cell r="M386">
            <v>0</v>
          </cell>
        </row>
        <row r="387">
          <cell r="F387">
            <v>0</v>
          </cell>
          <cell r="H387">
            <v>0</v>
          </cell>
          <cell r="I387">
            <v>0</v>
          </cell>
          <cell r="J387">
            <v>0</v>
          </cell>
          <cell r="K387">
            <v>0</v>
          </cell>
          <cell r="M387">
            <v>0</v>
          </cell>
        </row>
        <row r="388">
          <cell r="F388">
            <v>0</v>
          </cell>
          <cell r="H388">
            <v>0</v>
          </cell>
          <cell r="I388">
            <v>0</v>
          </cell>
          <cell r="J388">
            <v>0</v>
          </cell>
          <cell r="K388">
            <v>0</v>
          </cell>
          <cell r="M388">
            <v>0</v>
          </cell>
        </row>
        <row r="389">
          <cell r="F389">
            <v>0</v>
          </cell>
          <cell r="H389">
            <v>0</v>
          </cell>
          <cell r="I389">
            <v>0</v>
          </cell>
          <cell r="J389">
            <v>0</v>
          </cell>
          <cell r="K389">
            <v>0</v>
          </cell>
          <cell r="M389">
            <v>0</v>
          </cell>
        </row>
        <row r="390">
          <cell r="F390">
            <v>0</v>
          </cell>
          <cell r="H390">
            <v>0</v>
          </cell>
          <cell r="I390">
            <v>0</v>
          </cell>
          <cell r="J390">
            <v>0</v>
          </cell>
          <cell r="K390">
            <v>0</v>
          </cell>
          <cell r="M390">
            <v>0</v>
          </cell>
        </row>
        <row r="391">
          <cell r="F391">
            <v>-14</v>
          </cell>
          <cell r="H391">
            <v>0</v>
          </cell>
          <cell r="I391">
            <v>-14</v>
          </cell>
          <cell r="J391">
            <v>0</v>
          </cell>
          <cell r="K391">
            <v>-14</v>
          </cell>
          <cell r="M391">
            <v>-169</v>
          </cell>
        </row>
        <row r="392">
          <cell r="F392">
            <v>-1271</v>
          </cell>
          <cell r="H392">
            <v>0</v>
          </cell>
          <cell r="I392">
            <v>-1271</v>
          </cell>
          <cell r="J392">
            <v>0</v>
          </cell>
          <cell r="K392">
            <v>-1271</v>
          </cell>
          <cell r="M392">
            <v>-3</v>
          </cell>
        </row>
        <row r="393">
          <cell r="F393">
            <v>-1</v>
          </cell>
          <cell r="H393">
            <v>0</v>
          </cell>
          <cell r="I393">
            <v>-1</v>
          </cell>
          <cell r="J393">
            <v>0</v>
          </cell>
          <cell r="K393">
            <v>-1</v>
          </cell>
          <cell r="M393">
            <v>0</v>
          </cell>
        </row>
        <row r="394">
          <cell r="F394">
            <v>-90</v>
          </cell>
          <cell r="H394">
            <v>0</v>
          </cell>
          <cell r="I394">
            <v>-90</v>
          </cell>
          <cell r="J394">
            <v>0</v>
          </cell>
          <cell r="K394">
            <v>-90</v>
          </cell>
          <cell r="M394">
            <v>-690</v>
          </cell>
        </row>
        <row r="395">
          <cell r="F395">
            <v>-96</v>
          </cell>
          <cell r="H395">
            <v>0</v>
          </cell>
          <cell r="I395">
            <v>-96</v>
          </cell>
          <cell r="J395">
            <v>0</v>
          </cell>
          <cell r="K395">
            <v>-96</v>
          </cell>
          <cell r="M395">
            <v>-495</v>
          </cell>
        </row>
        <row r="396">
          <cell r="F396">
            <v>-47</v>
          </cell>
          <cell r="H396">
            <v>0</v>
          </cell>
          <cell r="I396">
            <v>-47</v>
          </cell>
          <cell r="J396">
            <v>0</v>
          </cell>
          <cell r="K396">
            <v>-47</v>
          </cell>
          <cell r="M396">
            <v>-128</v>
          </cell>
        </row>
        <row r="397">
          <cell r="F397">
            <v>-435</v>
          </cell>
          <cell r="H397">
            <v>0</v>
          </cell>
          <cell r="I397">
            <v>-435</v>
          </cell>
          <cell r="J397">
            <v>0</v>
          </cell>
          <cell r="K397">
            <v>-435</v>
          </cell>
          <cell r="M397">
            <v>-492</v>
          </cell>
        </row>
        <row r="398">
          <cell r="F398">
            <v>-2</v>
          </cell>
          <cell r="H398">
            <v>0</v>
          </cell>
          <cell r="I398">
            <v>-2</v>
          </cell>
          <cell r="J398">
            <v>0</v>
          </cell>
          <cell r="K398">
            <v>-2</v>
          </cell>
          <cell r="M398">
            <v>0</v>
          </cell>
        </row>
        <row r="399">
          <cell r="F399">
            <v>-2329</v>
          </cell>
          <cell r="H399">
            <v>0</v>
          </cell>
          <cell r="I399">
            <v>-2329</v>
          </cell>
          <cell r="J399">
            <v>0</v>
          </cell>
          <cell r="K399">
            <v>-2329</v>
          </cell>
          <cell r="M399">
            <v>-2655</v>
          </cell>
        </row>
        <row r="400">
          <cell r="F400">
            <v>-4</v>
          </cell>
          <cell r="H400">
            <v>0</v>
          </cell>
          <cell r="I400">
            <v>-4</v>
          </cell>
          <cell r="J400">
            <v>0</v>
          </cell>
          <cell r="K400">
            <v>-4</v>
          </cell>
          <cell r="M400">
            <v>-59</v>
          </cell>
        </row>
        <row r="401">
          <cell r="F401">
            <v>-15</v>
          </cell>
          <cell r="H401">
            <v>0</v>
          </cell>
          <cell r="I401">
            <v>-15</v>
          </cell>
          <cell r="J401">
            <v>0</v>
          </cell>
          <cell r="K401">
            <v>-15</v>
          </cell>
          <cell r="M401">
            <v>0</v>
          </cell>
        </row>
        <row r="402">
          <cell r="F402">
            <v>0</v>
          </cell>
          <cell r="H402">
            <v>0</v>
          </cell>
          <cell r="I402">
            <v>0</v>
          </cell>
          <cell r="J402">
            <v>0</v>
          </cell>
          <cell r="K402">
            <v>0</v>
          </cell>
          <cell r="M402">
            <v>0</v>
          </cell>
        </row>
        <row r="403">
          <cell r="F403">
            <v>-4304</v>
          </cell>
          <cell r="H403">
            <v>0</v>
          </cell>
          <cell r="I403">
            <v>-4304</v>
          </cell>
          <cell r="J403">
            <v>0</v>
          </cell>
          <cell r="K403">
            <v>-4304</v>
          </cell>
          <cell r="M403">
            <v>-4691</v>
          </cell>
        </row>
        <row r="405">
          <cell r="F405">
            <v>0</v>
          </cell>
          <cell r="H405">
            <v>0</v>
          </cell>
          <cell r="I405">
            <v>0</v>
          </cell>
          <cell r="J405">
            <v>0</v>
          </cell>
          <cell r="K405">
            <v>0</v>
          </cell>
          <cell r="M405">
            <v>0</v>
          </cell>
        </row>
        <row r="406">
          <cell r="F406">
            <v>0</v>
          </cell>
          <cell r="H406">
            <v>0</v>
          </cell>
          <cell r="I406">
            <v>0</v>
          </cell>
          <cell r="J406">
            <v>0</v>
          </cell>
          <cell r="K406">
            <v>0</v>
          </cell>
          <cell r="M406">
            <v>0</v>
          </cell>
        </row>
        <row r="407">
          <cell r="F407">
            <v>0</v>
          </cell>
          <cell r="H407">
            <v>0</v>
          </cell>
          <cell r="I407">
            <v>0</v>
          </cell>
          <cell r="J407">
            <v>0</v>
          </cell>
          <cell r="K407">
            <v>0</v>
          </cell>
          <cell r="M407">
            <v>0</v>
          </cell>
        </row>
        <row r="408">
          <cell r="F408">
            <v>1148</v>
          </cell>
          <cell r="H408">
            <v>0</v>
          </cell>
          <cell r="I408">
            <v>1148</v>
          </cell>
          <cell r="J408">
            <v>0</v>
          </cell>
          <cell r="K408">
            <v>1148</v>
          </cell>
          <cell r="M408">
            <v>323</v>
          </cell>
        </row>
        <row r="409">
          <cell r="F409">
            <v>0</v>
          </cell>
          <cell r="H409">
            <v>0</v>
          </cell>
          <cell r="I409">
            <v>0</v>
          </cell>
          <cell r="J409">
            <v>0</v>
          </cell>
          <cell r="K409">
            <v>0</v>
          </cell>
          <cell r="M409">
            <v>-15793</v>
          </cell>
        </row>
        <row r="410">
          <cell r="F410">
            <v>-110</v>
          </cell>
          <cell r="H410">
            <v>0</v>
          </cell>
          <cell r="I410">
            <v>-110</v>
          </cell>
          <cell r="J410">
            <v>157</v>
          </cell>
          <cell r="K410">
            <v>47</v>
          </cell>
          <cell r="M410">
            <v>50</v>
          </cell>
        </row>
        <row r="411">
          <cell r="F411">
            <v>1038</v>
          </cell>
          <cell r="H411">
            <v>0</v>
          </cell>
          <cell r="I411">
            <v>1038</v>
          </cell>
          <cell r="J411">
            <v>157</v>
          </cell>
          <cell r="K411">
            <v>1195</v>
          </cell>
          <cell r="M411">
            <v>-15420</v>
          </cell>
        </row>
        <row r="413">
          <cell r="F413">
            <v>0</v>
          </cell>
          <cell r="H413">
            <v>0</v>
          </cell>
          <cell r="I413">
            <v>0</v>
          </cell>
          <cell r="J413">
            <v>0</v>
          </cell>
          <cell r="K413">
            <v>0</v>
          </cell>
          <cell r="M413">
            <v>0</v>
          </cell>
        </row>
        <row r="414">
          <cell r="F414">
            <v>0</v>
          </cell>
          <cell r="H414">
            <v>0</v>
          </cell>
          <cell r="I414">
            <v>0</v>
          </cell>
          <cell r="J414">
            <v>0</v>
          </cell>
          <cell r="K414">
            <v>0</v>
          </cell>
          <cell r="M414">
            <v>-1248</v>
          </cell>
        </row>
        <row r="415">
          <cell r="F415">
            <v>1699</v>
          </cell>
          <cell r="H415">
            <v>0</v>
          </cell>
          <cell r="I415">
            <v>1699</v>
          </cell>
          <cell r="J415">
            <v>0</v>
          </cell>
          <cell r="K415">
            <v>1699</v>
          </cell>
          <cell r="M415">
            <v>0</v>
          </cell>
        </row>
        <row r="416">
          <cell r="F416">
            <v>1699</v>
          </cell>
          <cell r="H416">
            <v>0</v>
          </cell>
          <cell r="I416">
            <v>1699</v>
          </cell>
          <cell r="J416">
            <v>0</v>
          </cell>
          <cell r="K416">
            <v>1699</v>
          </cell>
          <cell r="M416">
            <v>-1248</v>
          </cell>
        </row>
        <row r="418">
          <cell r="F418">
            <v>0</v>
          </cell>
          <cell r="H418">
            <v>0</v>
          </cell>
          <cell r="I418">
            <v>0</v>
          </cell>
          <cell r="J418">
            <v>0</v>
          </cell>
          <cell r="K418">
            <v>0</v>
          </cell>
          <cell r="M418">
            <v>0</v>
          </cell>
        </row>
        <row r="419">
          <cell r="F419">
            <v>0</v>
          </cell>
          <cell r="H419">
            <v>0</v>
          </cell>
          <cell r="I419">
            <v>0</v>
          </cell>
          <cell r="J419">
            <v>0</v>
          </cell>
          <cell r="K419">
            <v>0</v>
          </cell>
          <cell r="M419">
            <v>0</v>
          </cell>
        </row>
        <row r="420">
          <cell r="F420">
            <v>0</v>
          </cell>
          <cell r="H420">
            <v>0</v>
          </cell>
          <cell r="I420">
            <v>0</v>
          </cell>
          <cell r="J420">
            <v>0</v>
          </cell>
          <cell r="K420">
            <v>0</v>
          </cell>
          <cell r="M420">
            <v>0</v>
          </cell>
        </row>
        <row r="421">
          <cell r="F421">
            <v>9242</v>
          </cell>
          <cell r="H421">
            <v>0</v>
          </cell>
          <cell r="I421">
            <v>9242</v>
          </cell>
          <cell r="J421">
            <v>0</v>
          </cell>
          <cell r="K421">
            <v>9242</v>
          </cell>
          <cell r="M421">
            <v>7683</v>
          </cell>
        </row>
        <row r="422">
          <cell r="F422">
            <v>1501</v>
          </cell>
          <cell r="H422">
            <v>0</v>
          </cell>
          <cell r="I422">
            <v>1501</v>
          </cell>
          <cell r="J422">
            <v>0</v>
          </cell>
          <cell r="K422">
            <v>1501</v>
          </cell>
          <cell r="M422">
            <v>1337</v>
          </cell>
        </row>
        <row r="423">
          <cell r="F423">
            <v>1479</v>
          </cell>
          <cell r="H423">
            <v>0</v>
          </cell>
          <cell r="I423">
            <v>1479</v>
          </cell>
          <cell r="J423">
            <v>0</v>
          </cell>
          <cell r="K423">
            <v>1479</v>
          </cell>
          <cell r="M423">
            <v>1229</v>
          </cell>
        </row>
        <row r="424">
          <cell r="F424">
            <v>12222</v>
          </cell>
          <cell r="H424">
            <v>0</v>
          </cell>
          <cell r="I424">
            <v>12222</v>
          </cell>
          <cell r="J424">
            <v>0</v>
          </cell>
          <cell r="K424">
            <v>12222</v>
          </cell>
          <cell r="M424">
            <v>10249</v>
          </cell>
        </row>
        <row r="426">
          <cell r="F426">
            <v>0</v>
          </cell>
          <cell r="H426">
            <v>0</v>
          </cell>
          <cell r="I426">
            <v>0</v>
          </cell>
          <cell r="J426">
            <v>0</v>
          </cell>
          <cell r="K426">
            <v>0</v>
          </cell>
          <cell r="M426">
            <v>0</v>
          </cell>
        </row>
        <row r="427">
          <cell r="F427">
            <v>951</v>
          </cell>
          <cell r="H427">
            <v>0</v>
          </cell>
          <cell r="I427">
            <v>951</v>
          </cell>
          <cell r="J427">
            <v>0</v>
          </cell>
          <cell r="K427">
            <v>951</v>
          </cell>
          <cell r="M427">
            <v>864</v>
          </cell>
        </row>
        <row r="428">
          <cell r="F428">
            <v>133</v>
          </cell>
          <cell r="H428">
            <v>0</v>
          </cell>
          <cell r="I428">
            <v>133</v>
          </cell>
          <cell r="J428">
            <v>0</v>
          </cell>
          <cell r="K428">
            <v>133</v>
          </cell>
          <cell r="M428">
            <v>0</v>
          </cell>
        </row>
        <row r="429">
          <cell r="F429">
            <v>1084</v>
          </cell>
          <cell r="H429">
            <v>0</v>
          </cell>
          <cell r="I429">
            <v>1084</v>
          </cell>
          <cell r="J429">
            <v>0</v>
          </cell>
          <cell r="K429">
            <v>1084</v>
          </cell>
          <cell r="M429">
            <v>864</v>
          </cell>
        </row>
        <row r="431">
          <cell r="F431">
            <v>0</v>
          </cell>
          <cell r="H431">
            <v>0</v>
          </cell>
          <cell r="I431">
            <v>0</v>
          </cell>
          <cell r="J431">
            <v>0</v>
          </cell>
          <cell r="K431">
            <v>0</v>
          </cell>
          <cell r="M431">
            <v>0</v>
          </cell>
        </row>
        <row r="432">
          <cell r="F432">
            <v>462</v>
          </cell>
          <cell r="H432">
            <v>0</v>
          </cell>
          <cell r="I432">
            <v>462</v>
          </cell>
          <cell r="J432">
            <v>0</v>
          </cell>
          <cell r="K432">
            <v>462</v>
          </cell>
          <cell r="M432">
            <v>384</v>
          </cell>
        </row>
        <row r="433">
          <cell r="F433">
            <v>462</v>
          </cell>
          <cell r="H433">
            <v>0</v>
          </cell>
          <cell r="I433">
            <v>462</v>
          </cell>
          <cell r="J433">
            <v>0</v>
          </cell>
          <cell r="K433">
            <v>462</v>
          </cell>
          <cell r="M433">
            <v>384</v>
          </cell>
        </row>
        <row r="435">
          <cell r="F435">
            <v>0</v>
          </cell>
          <cell r="H435">
            <v>0</v>
          </cell>
          <cell r="I435">
            <v>0</v>
          </cell>
          <cell r="J435">
            <v>0</v>
          </cell>
          <cell r="K435">
            <v>0</v>
          </cell>
          <cell r="M435">
            <v>0</v>
          </cell>
        </row>
        <row r="436">
          <cell r="F436">
            <v>0</v>
          </cell>
          <cell r="H436">
            <v>0</v>
          </cell>
          <cell r="I436">
            <v>0</v>
          </cell>
          <cell r="J436">
            <v>0</v>
          </cell>
          <cell r="K436">
            <v>0</v>
          </cell>
          <cell r="M436">
            <v>0</v>
          </cell>
        </row>
        <row r="437">
          <cell r="F437">
            <v>0</v>
          </cell>
          <cell r="H437">
            <v>0</v>
          </cell>
          <cell r="I437">
            <v>0</v>
          </cell>
          <cell r="J437">
            <v>0</v>
          </cell>
          <cell r="K437">
            <v>0</v>
          </cell>
          <cell r="M437">
            <v>0</v>
          </cell>
        </row>
        <row r="438">
          <cell r="F438">
            <v>0</v>
          </cell>
          <cell r="H438">
            <v>0</v>
          </cell>
          <cell r="I438">
            <v>0</v>
          </cell>
          <cell r="J438">
            <v>0</v>
          </cell>
          <cell r="K438">
            <v>0</v>
          </cell>
          <cell r="M438">
            <v>0</v>
          </cell>
        </row>
        <row r="439">
          <cell r="F439">
            <v>0</v>
          </cell>
          <cell r="H439">
            <v>0</v>
          </cell>
          <cell r="I439">
            <v>0</v>
          </cell>
          <cell r="J439">
            <v>0</v>
          </cell>
          <cell r="K439">
            <v>0</v>
          </cell>
          <cell r="M439">
            <v>0</v>
          </cell>
        </row>
        <row r="440">
          <cell r="F440">
            <v>0</v>
          </cell>
          <cell r="H440">
            <v>0</v>
          </cell>
          <cell r="I440">
            <v>0</v>
          </cell>
          <cell r="J440">
            <v>0</v>
          </cell>
          <cell r="K440">
            <v>0</v>
          </cell>
          <cell r="M440">
            <v>0</v>
          </cell>
        </row>
        <row r="441">
          <cell r="F441">
            <v>0</v>
          </cell>
          <cell r="H441">
            <v>0</v>
          </cell>
          <cell r="I441">
            <v>0</v>
          </cell>
          <cell r="J441">
            <v>0</v>
          </cell>
          <cell r="K441">
            <v>0</v>
          </cell>
          <cell r="M441">
            <v>0</v>
          </cell>
        </row>
        <row r="442">
          <cell r="F442">
            <v>0</v>
          </cell>
          <cell r="H442">
            <v>0</v>
          </cell>
          <cell r="I442">
            <v>0</v>
          </cell>
          <cell r="J442">
            <v>0</v>
          </cell>
          <cell r="K442">
            <v>0</v>
          </cell>
          <cell r="M442">
            <v>0</v>
          </cell>
        </row>
        <row r="443">
          <cell r="F443">
            <v>0</v>
          </cell>
          <cell r="H443">
            <v>0</v>
          </cell>
          <cell r="I443">
            <v>0</v>
          </cell>
          <cell r="J443">
            <v>0</v>
          </cell>
          <cell r="K443">
            <v>0</v>
          </cell>
          <cell r="M443">
            <v>0</v>
          </cell>
        </row>
        <row r="444">
          <cell r="F444">
            <v>0</v>
          </cell>
          <cell r="H444">
            <v>0</v>
          </cell>
          <cell r="I444">
            <v>0</v>
          </cell>
          <cell r="J444">
            <v>0</v>
          </cell>
          <cell r="K444">
            <v>0</v>
          </cell>
          <cell r="M444">
            <v>0</v>
          </cell>
        </row>
        <row r="445">
          <cell r="F445">
            <v>0</v>
          </cell>
          <cell r="H445">
            <v>0</v>
          </cell>
          <cell r="I445">
            <v>0</v>
          </cell>
          <cell r="J445">
            <v>0</v>
          </cell>
          <cell r="K445">
            <v>0</v>
          </cell>
          <cell r="M445">
            <v>0</v>
          </cell>
        </row>
        <row r="446">
          <cell r="F446">
            <v>0</v>
          </cell>
          <cell r="H446">
            <v>0</v>
          </cell>
          <cell r="I446">
            <v>0</v>
          </cell>
          <cell r="J446">
            <v>0</v>
          </cell>
          <cell r="K446">
            <v>0</v>
          </cell>
          <cell r="M446">
            <v>0</v>
          </cell>
        </row>
        <row r="447">
          <cell r="F447">
            <v>0</v>
          </cell>
          <cell r="H447">
            <v>0</v>
          </cell>
          <cell r="I447">
            <v>0</v>
          </cell>
          <cell r="J447">
            <v>0</v>
          </cell>
          <cell r="K447">
            <v>0</v>
          </cell>
          <cell r="M447">
            <v>0</v>
          </cell>
        </row>
        <row r="448">
          <cell r="F448">
            <v>0</v>
          </cell>
          <cell r="H448">
            <v>0</v>
          </cell>
          <cell r="I448">
            <v>0</v>
          </cell>
          <cell r="J448">
            <v>0</v>
          </cell>
          <cell r="K448">
            <v>0</v>
          </cell>
          <cell r="M448">
            <v>0</v>
          </cell>
        </row>
        <row r="449">
          <cell r="F449">
            <v>0</v>
          </cell>
          <cell r="H449">
            <v>0</v>
          </cell>
          <cell r="I449">
            <v>0</v>
          </cell>
          <cell r="J449">
            <v>0</v>
          </cell>
          <cell r="K449">
            <v>0</v>
          </cell>
          <cell r="M449">
            <v>0</v>
          </cell>
        </row>
        <row r="450">
          <cell r="F450">
            <v>100</v>
          </cell>
          <cell r="H450">
            <v>0</v>
          </cell>
          <cell r="I450">
            <v>100</v>
          </cell>
          <cell r="J450">
            <v>0</v>
          </cell>
          <cell r="K450">
            <v>100</v>
          </cell>
          <cell r="M450">
            <v>70</v>
          </cell>
        </row>
        <row r="451">
          <cell r="F451">
            <v>100</v>
          </cell>
          <cell r="H451">
            <v>0</v>
          </cell>
          <cell r="I451">
            <v>100</v>
          </cell>
          <cell r="J451">
            <v>0</v>
          </cell>
          <cell r="K451">
            <v>100</v>
          </cell>
          <cell r="M451">
            <v>70</v>
          </cell>
        </row>
        <row r="453">
          <cell r="F453">
            <v>0</v>
          </cell>
          <cell r="H453">
            <v>0</v>
          </cell>
          <cell r="I453">
            <v>0</v>
          </cell>
          <cell r="J453">
            <v>0</v>
          </cell>
          <cell r="K453">
            <v>0</v>
          </cell>
          <cell r="M453">
            <v>0</v>
          </cell>
        </row>
        <row r="455">
          <cell r="F455">
            <v>0</v>
          </cell>
          <cell r="H455">
            <v>0</v>
          </cell>
          <cell r="I455">
            <v>0</v>
          </cell>
          <cell r="J455">
            <v>0</v>
          </cell>
          <cell r="K455">
            <v>0</v>
          </cell>
          <cell r="M455">
            <v>0</v>
          </cell>
        </row>
        <row r="457">
          <cell r="F457">
            <v>0</v>
          </cell>
          <cell r="H457">
            <v>0</v>
          </cell>
          <cell r="I457">
            <v>0</v>
          </cell>
          <cell r="J457">
            <v>0</v>
          </cell>
          <cell r="K457">
            <v>0</v>
          </cell>
          <cell r="M457">
            <v>0</v>
          </cell>
        </row>
        <row r="458">
          <cell r="F458">
            <v>0</v>
          </cell>
          <cell r="H458">
            <v>0</v>
          </cell>
          <cell r="I458">
            <v>0</v>
          </cell>
          <cell r="J458">
            <v>0</v>
          </cell>
          <cell r="K458">
            <v>0</v>
          </cell>
          <cell r="M458">
            <v>0</v>
          </cell>
        </row>
        <row r="459">
          <cell r="F459">
            <v>0</v>
          </cell>
          <cell r="H459">
            <v>0</v>
          </cell>
          <cell r="I459">
            <v>0</v>
          </cell>
          <cell r="J459">
            <v>0</v>
          </cell>
          <cell r="K459">
            <v>0</v>
          </cell>
          <cell r="M459">
            <v>0</v>
          </cell>
        </row>
        <row r="460">
          <cell r="F460">
            <v>0</v>
          </cell>
          <cell r="H460">
            <v>0</v>
          </cell>
          <cell r="I460">
            <v>0</v>
          </cell>
          <cell r="J460">
            <v>0</v>
          </cell>
          <cell r="K460">
            <v>0</v>
          </cell>
          <cell r="M460">
            <v>0</v>
          </cell>
        </row>
        <row r="461">
          <cell r="F461">
            <v>0</v>
          </cell>
          <cell r="H461">
            <v>0</v>
          </cell>
          <cell r="I461">
            <v>0</v>
          </cell>
          <cell r="J461">
            <v>0</v>
          </cell>
          <cell r="K461">
            <v>0</v>
          </cell>
          <cell r="M461">
            <v>0</v>
          </cell>
        </row>
        <row r="462">
          <cell r="F462">
            <v>0</v>
          </cell>
          <cell r="H462">
            <v>0</v>
          </cell>
          <cell r="I462">
            <v>0</v>
          </cell>
          <cell r="J462">
            <v>0</v>
          </cell>
          <cell r="K462">
            <v>0</v>
          </cell>
          <cell r="M462">
            <v>0</v>
          </cell>
        </row>
        <row r="463">
          <cell r="F463">
            <v>0</v>
          </cell>
          <cell r="H463">
            <v>0</v>
          </cell>
          <cell r="I463">
            <v>0</v>
          </cell>
          <cell r="J463">
            <v>0</v>
          </cell>
          <cell r="K463">
            <v>0</v>
          </cell>
          <cell r="M463">
            <v>0</v>
          </cell>
        </row>
        <row r="464">
          <cell r="F464">
            <v>0</v>
          </cell>
          <cell r="H464">
            <v>0</v>
          </cell>
          <cell r="I464">
            <v>0</v>
          </cell>
          <cell r="J464">
            <v>0</v>
          </cell>
          <cell r="K464">
            <v>0</v>
          </cell>
          <cell r="M464">
            <v>0</v>
          </cell>
        </row>
        <row r="465">
          <cell r="F465">
            <v>0</v>
          </cell>
          <cell r="H465">
            <v>0</v>
          </cell>
          <cell r="I465">
            <v>0</v>
          </cell>
          <cell r="J465">
            <v>0</v>
          </cell>
          <cell r="K465">
            <v>0</v>
          </cell>
          <cell r="M465">
            <v>0</v>
          </cell>
        </row>
        <row r="466">
          <cell r="F466">
            <v>0</v>
          </cell>
          <cell r="H466">
            <v>0</v>
          </cell>
          <cell r="I466">
            <v>0</v>
          </cell>
          <cell r="J466">
            <v>0</v>
          </cell>
          <cell r="K466">
            <v>0</v>
          </cell>
          <cell r="M466">
            <v>0</v>
          </cell>
        </row>
        <row r="467">
          <cell r="F467">
            <v>0</v>
          </cell>
          <cell r="H467">
            <v>0</v>
          </cell>
          <cell r="I467">
            <v>0</v>
          </cell>
          <cell r="J467">
            <v>0</v>
          </cell>
          <cell r="K467">
            <v>0</v>
          </cell>
          <cell r="M467">
            <v>0</v>
          </cell>
        </row>
        <row r="468">
          <cell r="F468">
            <v>0</v>
          </cell>
          <cell r="H468">
            <v>0</v>
          </cell>
          <cell r="I468">
            <v>0</v>
          </cell>
          <cell r="J468">
            <v>0</v>
          </cell>
          <cell r="K468">
            <v>0</v>
          </cell>
          <cell r="M468">
            <v>0</v>
          </cell>
        </row>
        <row r="469">
          <cell r="F469">
            <v>0</v>
          </cell>
          <cell r="H469">
            <v>0</v>
          </cell>
          <cell r="I469">
            <v>0</v>
          </cell>
          <cell r="J469">
            <v>0</v>
          </cell>
          <cell r="K469">
            <v>0</v>
          </cell>
          <cell r="M469">
            <v>0</v>
          </cell>
        </row>
        <row r="470">
          <cell r="F470">
            <v>0</v>
          </cell>
          <cell r="H470">
            <v>0</v>
          </cell>
          <cell r="I470">
            <v>0</v>
          </cell>
          <cell r="J470">
            <v>0</v>
          </cell>
          <cell r="K470">
            <v>0</v>
          </cell>
          <cell r="M470">
            <v>0</v>
          </cell>
        </row>
        <row r="471">
          <cell r="F471">
            <v>0</v>
          </cell>
          <cell r="H471">
            <v>0</v>
          </cell>
          <cell r="I471">
            <v>0</v>
          </cell>
          <cell r="J471">
            <v>0</v>
          </cell>
          <cell r="K471">
            <v>0</v>
          </cell>
          <cell r="M471">
            <v>0</v>
          </cell>
        </row>
        <row r="472">
          <cell r="F472">
            <v>0</v>
          </cell>
          <cell r="H472">
            <v>0</v>
          </cell>
          <cell r="I472">
            <v>0</v>
          </cell>
          <cell r="J472">
            <v>0</v>
          </cell>
          <cell r="K472">
            <v>0</v>
          </cell>
          <cell r="M472">
            <v>0</v>
          </cell>
        </row>
        <row r="473">
          <cell r="F473">
            <v>0</v>
          </cell>
          <cell r="H473">
            <v>0</v>
          </cell>
          <cell r="I473">
            <v>0</v>
          </cell>
          <cell r="J473">
            <v>0</v>
          </cell>
          <cell r="K473">
            <v>0</v>
          </cell>
          <cell r="M473">
            <v>2</v>
          </cell>
        </row>
        <row r="474">
          <cell r="F474">
            <v>3</v>
          </cell>
          <cell r="H474">
            <v>0</v>
          </cell>
          <cell r="I474">
            <v>3</v>
          </cell>
          <cell r="J474">
            <v>0</v>
          </cell>
          <cell r="K474">
            <v>3</v>
          </cell>
          <cell r="M474">
            <v>1</v>
          </cell>
        </row>
        <row r="475">
          <cell r="F475">
            <v>0</v>
          </cell>
          <cell r="H475">
            <v>0</v>
          </cell>
          <cell r="I475">
            <v>0</v>
          </cell>
          <cell r="J475">
            <v>0</v>
          </cell>
          <cell r="K475">
            <v>0</v>
          </cell>
          <cell r="M475">
            <v>0</v>
          </cell>
        </row>
        <row r="476">
          <cell r="F476">
            <v>48</v>
          </cell>
          <cell r="H476">
            <v>0</v>
          </cell>
          <cell r="I476">
            <v>48</v>
          </cell>
          <cell r="J476">
            <v>0</v>
          </cell>
          <cell r="K476">
            <v>48</v>
          </cell>
          <cell r="M476">
            <v>28</v>
          </cell>
        </row>
        <row r="477">
          <cell r="F477">
            <v>14</v>
          </cell>
          <cell r="H477">
            <v>0</v>
          </cell>
          <cell r="I477">
            <v>14</v>
          </cell>
          <cell r="J477">
            <v>0</v>
          </cell>
          <cell r="K477">
            <v>14</v>
          </cell>
          <cell r="M477">
            <v>8</v>
          </cell>
        </row>
        <row r="478">
          <cell r="F478">
            <v>11</v>
          </cell>
          <cell r="H478">
            <v>0</v>
          </cell>
          <cell r="I478">
            <v>11</v>
          </cell>
          <cell r="J478">
            <v>0</v>
          </cell>
          <cell r="K478">
            <v>11</v>
          </cell>
          <cell r="M478">
            <v>3</v>
          </cell>
        </row>
        <row r="479">
          <cell r="F479">
            <v>0</v>
          </cell>
          <cell r="H479">
            <v>0</v>
          </cell>
          <cell r="I479">
            <v>0</v>
          </cell>
          <cell r="J479">
            <v>0</v>
          </cell>
          <cell r="K479">
            <v>0</v>
          </cell>
          <cell r="M479">
            <v>12</v>
          </cell>
        </row>
        <row r="480">
          <cell r="F480">
            <v>6</v>
          </cell>
          <cell r="H480">
            <v>0</v>
          </cell>
          <cell r="I480">
            <v>6</v>
          </cell>
          <cell r="J480">
            <v>0</v>
          </cell>
          <cell r="K480">
            <v>6</v>
          </cell>
          <cell r="M480">
            <v>2</v>
          </cell>
        </row>
        <row r="481">
          <cell r="F481">
            <v>82</v>
          </cell>
          <cell r="H481">
            <v>0</v>
          </cell>
          <cell r="I481">
            <v>82</v>
          </cell>
          <cell r="J481">
            <v>0</v>
          </cell>
          <cell r="K481">
            <v>82</v>
          </cell>
          <cell r="M481">
            <v>56</v>
          </cell>
        </row>
        <row r="483">
          <cell r="F483">
            <v>0</v>
          </cell>
          <cell r="H483">
            <v>0</v>
          </cell>
          <cell r="I483">
            <v>0</v>
          </cell>
          <cell r="J483">
            <v>0</v>
          </cell>
          <cell r="K483">
            <v>0</v>
          </cell>
          <cell r="M483">
            <v>0</v>
          </cell>
        </row>
        <row r="485">
          <cell r="F485">
            <v>0</v>
          </cell>
          <cell r="H485">
            <v>0</v>
          </cell>
          <cell r="I485">
            <v>0</v>
          </cell>
          <cell r="J485">
            <v>0</v>
          </cell>
          <cell r="K485">
            <v>0</v>
          </cell>
          <cell r="M485">
            <v>0</v>
          </cell>
        </row>
        <row r="486">
          <cell r="F486">
            <v>0</v>
          </cell>
          <cell r="H486">
            <v>0</v>
          </cell>
          <cell r="I486">
            <v>0</v>
          </cell>
          <cell r="J486">
            <v>0</v>
          </cell>
          <cell r="K486">
            <v>0</v>
          </cell>
          <cell r="M486">
            <v>0</v>
          </cell>
        </row>
        <row r="487">
          <cell r="F487">
            <v>0</v>
          </cell>
          <cell r="H487">
            <v>0</v>
          </cell>
          <cell r="I487">
            <v>0</v>
          </cell>
          <cell r="J487">
            <v>0</v>
          </cell>
          <cell r="K487">
            <v>0</v>
          </cell>
          <cell r="M487">
            <v>0</v>
          </cell>
        </row>
        <row r="488">
          <cell r="F488">
            <v>69</v>
          </cell>
          <cell r="H488">
            <v>0</v>
          </cell>
          <cell r="I488">
            <v>69</v>
          </cell>
          <cell r="J488">
            <v>0</v>
          </cell>
          <cell r="K488">
            <v>69</v>
          </cell>
          <cell r="M488">
            <v>10</v>
          </cell>
        </row>
        <row r="489">
          <cell r="F489">
            <v>129</v>
          </cell>
          <cell r="H489">
            <v>0</v>
          </cell>
          <cell r="I489">
            <v>129</v>
          </cell>
          <cell r="J489">
            <v>0</v>
          </cell>
          <cell r="K489">
            <v>129</v>
          </cell>
          <cell r="M489">
            <v>91</v>
          </cell>
        </row>
        <row r="490">
          <cell r="F490">
            <v>7</v>
          </cell>
          <cell r="H490">
            <v>0</v>
          </cell>
          <cell r="I490">
            <v>7</v>
          </cell>
          <cell r="J490">
            <v>0</v>
          </cell>
          <cell r="K490">
            <v>7</v>
          </cell>
          <cell r="M490">
            <v>0</v>
          </cell>
        </row>
        <row r="491">
          <cell r="F491">
            <v>0</v>
          </cell>
          <cell r="H491">
            <v>0</v>
          </cell>
          <cell r="I491">
            <v>0</v>
          </cell>
          <cell r="J491">
            <v>0</v>
          </cell>
          <cell r="K491">
            <v>0</v>
          </cell>
          <cell r="M491">
            <v>0</v>
          </cell>
        </row>
        <row r="492">
          <cell r="F492">
            <v>205</v>
          </cell>
          <cell r="H492">
            <v>0</v>
          </cell>
          <cell r="I492">
            <v>205</v>
          </cell>
          <cell r="J492">
            <v>0</v>
          </cell>
          <cell r="K492">
            <v>205</v>
          </cell>
          <cell r="M492">
            <v>101</v>
          </cell>
        </row>
        <row r="494">
          <cell r="F494">
            <v>0</v>
          </cell>
          <cell r="H494">
            <v>0</v>
          </cell>
          <cell r="I494">
            <v>0</v>
          </cell>
          <cell r="J494">
            <v>0</v>
          </cell>
          <cell r="K494">
            <v>0</v>
          </cell>
          <cell r="M494">
            <v>0</v>
          </cell>
        </row>
        <row r="495">
          <cell r="F495">
            <v>0</v>
          </cell>
          <cell r="H495">
            <v>0</v>
          </cell>
          <cell r="I495">
            <v>0</v>
          </cell>
          <cell r="J495">
            <v>0</v>
          </cell>
          <cell r="K495">
            <v>0</v>
          </cell>
          <cell r="M495">
            <v>0</v>
          </cell>
        </row>
        <row r="496">
          <cell r="F496">
            <v>0</v>
          </cell>
          <cell r="H496">
            <v>0</v>
          </cell>
          <cell r="I496">
            <v>0</v>
          </cell>
          <cell r="J496">
            <v>0</v>
          </cell>
          <cell r="K496">
            <v>0</v>
          </cell>
          <cell r="M496">
            <v>177</v>
          </cell>
        </row>
        <row r="497">
          <cell r="F497">
            <v>0</v>
          </cell>
          <cell r="H497">
            <v>0</v>
          </cell>
          <cell r="I497">
            <v>0</v>
          </cell>
          <cell r="J497">
            <v>0</v>
          </cell>
          <cell r="K497">
            <v>0</v>
          </cell>
          <cell r="M497">
            <v>177</v>
          </cell>
        </row>
        <row r="499">
          <cell r="F499">
            <v>0</v>
          </cell>
          <cell r="H499">
            <v>0</v>
          </cell>
          <cell r="I499">
            <v>0</v>
          </cell>
          <cell r="J499">
            <v>0</v>
          </cell>
          <cell r="K499">
            <v>0</v>
          </cell>
          <cell r="M499">
            <v>0</v>
          </cell>
        </row>
        <row r="500">
          <cell r="F500">
            <v>0</v>
          </cell>
          <cell r="H500">
            <v>0</v>
          </cell>
          <cell r="I500">
            <v>0</v>
          </cell>
          <cell r="J500">
            <v>0</v>
          </cell>
          <cell r="K500">
            <v>0</v>
          </cell>
          <cell r="M500">
            <v>0</v>
          </cell>
        </row>
        <row r="501">
          <cell r="F501">
            <v>3</v>
          </cell>
          <cell r="H501">
            <v>0</v>
          </cell>
          <cell r="I501">
            <v>3</v>
          </cell>
          <cell r="J501">
            <v>0</v>
          </cell>
          <cell r="K501">
            <v>3</v>
          </cell>
          <cell r="M501">
            <v>0</v>
          </cell>
        </row>
        <row r="502">
          <cell r="F502">
            <v>115</v>
          </cell>
          <cell r="H502">
            <v>0</v>
          </cell>
          <cell r="I502">
            <v>115</v>
          </cell>
          <cell r="J502">
            <v>0</v>
          </cell>
          <cell r="K502">
            <v>115</v>
          </cell>
          <cell r="M502">
            <v>74</v>
          </cell>
        </row>
        <row r="503">
          <cell r="F503">
            <v>118</v>
          </cell>
          <cell r="H503">
            <v>0</v>
          </cell>
          <cell r="I503">
            <v>118</v>
          </cell>
          <cell r="J503">
            <v>0</v>
          </cell>
          <cell r="K503">
            <v>118</v>
          </cell>
          <cell r="M503">
            <v>74</v>
          </cell>
        </row>
        <row r="505">
          <cell r="F505">
            <v>0</v>
          </cell>
          <cell r="H505">
            <v>0</v>
          </cell>
          <cell r="I505">
            <v>0</v>
          </cell>
          <cell r="J505">
            <v>0</v>
          </cell>
          <cell r="K505">
            <v>0</v>
          </cell>
          <cell r="M505">
            <v>0</v>
          </cell>
        </row>
        <row r="506">
          <cell r="F506">
            <v>0</v>
          </cell>
          <cell r="H506">
            <v>0</v>
          </cell>
          <cell r="I506">
            <v>0</v>
          </cell>
          <cell r="J506">
            <v>0</v>
          </cell>
          <cell r="K506">
            <v>0</v>
          </cell>
          <cell r="M506">
            <v>0</v>
          </cell>
        </row>
        <row r="507">
          <cell r="F507">
            <v>125</v>
          </cell>
          <cell r="H507">
            <v>0</v>
          </cell>
          <cell r="I507">
            <v>125</v>
          </cell>
          <cell r="J507">
            <v>0</v>
          </cell>
          <cell r="K507">
            <v>125</v>
          </cell>
          <cell r="M507">
            <v>23</v>
          </cell>
        </row>
        <row r="508">
          <cell r="F508">
            <v>13</v>
          </cell>
          <cell r="H508">
            <v>0</v>
          </cell>
          <cell r="I508">
            <v>13</v>
          </cell>
          <cell r="J508">
            <v>0</v>
          </cell>
          <cell r="K508">
            <v>13</v>
          </cell>
          <cell r="M508">
            <v>15</v>
          </cell>
        </row>
        <row r="509">
          <cell r="F509">
            <v>138</v>
          </cell>
          <cell r="H509">
            <v>0</v>
          </cell>
          <cell r="I509">
            <v>138</v>
          </cell>
          <cell r="J509">
            <v>0</v>
          </cell>
          <cell r="K509">
            <v>138</v>
          </cell>
          <cell r="M509">
            <v>38</v>
          </cell>
        </row>
        <row r="511">
          <cell r="F511">
            <v>0</v>
          </cell>
          <cell r="H511">
            <v>0</v>
          </cell>
          <cell r="I511">
            <v>0</v>
          </cell>
          <cell r="J511">
            <v>0</v>
          </cell>
          <cell r="K511">
            <v>0</v>
          </cell>
          <cell r="M511">
            <v>0</v>
          </cell>
        </row>
        <row r="512">
          <cell r="F512">
            <v>0</v>
          </cell>
          <cell r="H512">
            <v>0</v>
          </cell>
          <cell r="I512">
            <v>0</v>
          </cell>
          <cell r="J512">
            <v>0</v>
          </cell>
          <cell r="K512">
            <v>0</v>
          </cell>
          <cell r="M512">
            <v>0</v>
          </cell>
        </row>
        <row r="513">
          <cell r="F513">
            <v>0</v>
          </cell>
          <cell r="H513">
            <v>0</v>
          </cell>
          <cell r="I513">
            <v>0</v>
          </cell>
          <cell r="J513">
            <v>0</v>
          </cell>
          <cell r="K513">
            <v>0</v>
          </cell>
          <cell r="M513">
            <v>0</v>
          </cell>
        </row>
        <row r="514">
          <cell r="F514">
            <v>0</v>
          </cell>
          <cell r="H514">
            <v>0</v>
          </cell>
          <cell r="I514">
            <v>0</v>
          </cell>
          <cell r="J514">
            <v>0</v>
          </cell>
          <cell r="K514">
            <v>0</v>
          </cell>
          <cell r="M514">
            <v>0</v>
          </cell>
        </row>
        <row r="515">
          <cell r="F515">
            <v>0</v>
          </cell>
          <cell r="H515">
            <v>0</v>
          </cell>
          <cell r="I515">
            <v>0</v>
          </cell>
          <cell r="J515">
            <v>0</v>
          </cell>
          <cell r="K515">
            <v>0</v>
          </cell>
          <cell r="M515">
            <v>0</v>
          </cell>
        </row>
        <row r="516">
          <cell r="F516">
            <v>333</v>
          </cell>
          <cell r="H516">
            <v>0</v>
          </cell>
          <cell r="I516">
            <v>333</v>
          </cell>
          <cell r="J516">
            <v>0</v>
          </cell>
          <cell r="K516">
            <v>333</v>
          </cell>
          <cell r="M516">
            <v>252</v>
          </cell>
        </row>
        <row r="517">
          <cell r="F517">
            <v>23</v>
          </cell>
          <cell r="H517">
            <v>0</v>
          </cell>
          <cell r="I517">
            <v>23</v>
          </cell>
          <cell r="J517">
            <v>0</v>
          </cell>
          <cell r="K517">
            <v>23</v>
          </cell>
          <cell r="M517">
            <v>0</v>
          </cell>
        </row>
        <row r="518">
          <cell r="F518">
            <v>356</v>
          </cell>
          <cell r="H518">
            <v>0</v>
          </cell>
          <cell r="I518">
            <v>356</v>
          </cell>
          <cell r="J518">
            <v>0</v>
          </cell>
          <cell r="K518">
            <v>356</v>
          </cell>
          <cell r="M518">
            <v>252</v>
          </cell>
        </row>
        <row r="520">
          <cell r="F520">
            <v>0</v>
          </cell>
          <cell r="H520">
            <v>0</v>
          </cell>
          <cell r="I520">
            <v>0</v>
          </cell>
          <cell r="J520">
            <v>0</v>
          </cell>
          <cell r="K520">
            <v>0</v>
          </cell>
          <cell r="M520">
            <v>0</v>
          </cell>
        </row>
        <row r="522">
          <cell r="F522">
            <v>139</v>
          </cell>
          <cell r="H522">
            <v>0</v>
          </cell>
          <cell r="I522">
            <v>139</v>
          </cell>
          <cell r="J522">
            <v>0</v>
          </cell>
          <cell r="K522">
            <v>139</v>
          </cell>
          <cell r="M522">
            <v>0</v>
          </cell>
        </row>
        <row r="523">
          <cell r="F523">
            <v>139</v>
          </cell>
          <cell r="H523">
            <v>0</v>
          </cell>
          <cell r="I523">
            <v>139</v>
          </cell>
          <cell r="J523">
            <v>0</v>
          </cell>
          <cell r="K523">
            <v>139</v>
          </cell>
          <cell r="M523">
            <v>0</v>
          </cell>
        </row>
        <row r="525">
          <cell r="F525">
            <v>0</v>
          </cell>
          <cell r="H525">
            <v>0</v>
          </cell>
          <cell r="I525">
            <v>0</v>
          </cell>
          <cell r="J525">
            <v>0</v>
          </cell>
          <cell r="K525">
            <v>0</v>
          </cell>
          <cell r="M525">
            <v>0</v>
          </cell>
        </row>
        <row r="527">
          <cell r="F527">
            <v>0</v>
          </cell>
          <cell r="H527">
            <v>0</v>
          </cell>
          <cell r="I527">
            <v>0</v>
          </cell>
          <cell r="J527">
            <v>0</v>
          </cell>
          <cell r="K527">
            <v>0</v>
          </cell>
          <cell r="M527">
            <v>0</v>
          </cell>
        </row>
        <row r="528">
          <cell r="F528">
            <v>0</v>
          </cell>
          <cell r="H528">
            <v>0</v>
          </cell>
          <cell r="I528">
            <v>0</v>
          </cell>
          <cell r="J528">
            <v>0</v>
          </cell>
          <cell r="K528">
            <v>0</v>
          </cell>
          <cell r="M528">
            <v>1213</v>
          </cell>
        </row>
        <row r="529">
          <cell r="F529">
            <v>0</v>
          </cell>
          <cell r="H529">
            <v>0</v>
          </cell>
          <cell r="I529">
            <v>0</v>
          </cell>
          <cell r="J529">
            <v>0</v>
          </cell>
          <cell r="K529">
            <v>0</v>
          </cell>
          <cell r="M529">
            <v>1213</v>
          </cell>
        </row>
        <row r="531">
          <cell r="F531">
            <v>0</v>
          </cell>
          <cell r="H531">
            <v>0</v>
          </cell>
          <cell r="I531">
            <v>0</v>
          </cell>
          <cell r="J531">
            <v>0</v>
          </cell>
          <cell r="K531">
            <v>0</v>
          </cell>
          <cell r="M531">
            <v>0</v>
          </cell>
        </row>
        <row r="532">
          <cell r="F532">
            <v>0</v>
          </cell>
          <cell r="H532">
            <v>0</v>
          </cell>
          <cell r="I532">
            <v>0</v>
          </cell>
          <cell r="J532">
            <v>0</v>
          </cell>
          <cell r="K532">
            <v>0</v>
          </cell>
          <cell r="M532">
            <v>0</v>
          </cell>
        </row>
        <row r="533">
          <cell r="F533">
            <v>0</v>
          </cell>
          <cell r="H533">
            <v>0</v>
          </cell>
          <cell r="I533">
            <v>0</v>
          </cell>
          <cell r="J533">
            <v>0</v>
          </cell>
          <cell r="K533">
            <v>0</v>
          </cell>
          <cell r="M533">
            <v>0</v>
          </cell>
        </row>
        <row r="534">
          <cell r="F534">
            <v>0</v>
          </cell>
          <cell r="H534">
            <v>0</v>
          </cell>
          <cell r="I534">
            <v>0</v>
          </cell>
          <cell r="J534">
            <v>0</v>
          </cell>
          <cell r="K534">
            <v>0</v>
          </cell>
          <cell r="M534">
            <v>0</v>
          </cell>
        </row>
        <row r="535">
          <cell r="F535">
            <v>0</v>
          </cell>
          <cell r="H535">
            <v>0</v>
          </cell>
          <cell r="I535">
            <v>0</v>
          </cell>
          <cell r="J535">
            <v>0</v>
          </cell>
          <cell r="K535">
            <v>0</v>
          </cell>
          <cell r="M535">
            <v>0</v>
          </cell>
        </row>
        <row r="536">
          <cell r="F536">
            <v>0</v>
          </cell>
          <cell r="H536">
            <v>0</v>
          </cell>
          <cell r="I536">
            <v>0</v>
          </cell>
          <cell r="J536">
            <v>0</v>
          </cell>
          <cell r="K536">
            <v>0</v>
          </cell>
          <cell r="M536">
            <v>0</v>
          </cell>
        </row>
        <row r="537">
          <cell r="F537">
            <v>0</v>
          </cell>
          <cell r="H537">
            <v>0</v>
          </cell>
          <cell r="I537">
            <v>0</v>
          </cell>
          <cell r="J537">
            <v>0</v>
          </cell>
          <cell r="K537">
            <v>0</v>
          </cell>
          <cell r="M537">
            <v>0</v>
          </cell>
        </row>
        <row r="538">
          <cell r="F538">
            <v>0</v>
          </cell>
          <cell r="H538">
            <v>0</v>
          </cell>
          <cell r="I538">
            <v>0</v>
          </cell>
          <cell r="J538">
            <v>0</v>
          </cell>
          <cell r="K538">
            <v>0</v>
          </cell>
          <cell r="M538">
            <v>0</v>
          </cell>
        </row>
        <row r="539">
          <cell r="F539">
            <v>-607</v>
          </cell>
          <cell r="H539">
            <v>0</v>
          </cell>
          <cell r="I539">
            <v>-607</v>
          </cell>
          <cell r="J539">
            <v>0</v>
          </cell>
          <cell r="K539">
            <v>-607</v>
          </cell>
          <cell r="M539">
            <v>757</v>
          </cell>
        </row>
        <row r="540">
          <cell r="F540">
            <v>-607</v>
          </cell>
          <cell r="H540">
            <v>0</v>
          </cell>
          <cell r="I540">
            <v>-607</v>
          </cell>
          <cell r="J540">
            <v>0</v>
          </cell>
          <cell r="K540">
            <v>-607</v>
          </cell>
          <cell r="M540">
            <v>757</v>
          </cell>
        </row>
        <row r="542">
          <cell r="F542">
            <v>0</v>
          </cell>
          <cell r="H542">
            <v>0</v>
          </cell>
          <cell r="I542">
            <v>0</v>
          </cell>
          <cell r="J542">
            <v>0</v>
          </cell>
          <cell r="K542">
            <v>0</v>
          </cell>
          <cell r="M542">
            <v>0</v>
          </cell>
        </row>
        <row r="543">
          <cell r="F543">
            <v>-6274</v>
          </cell>
          <cell r="H543">
            <v>0</v>
          </cell>
          <cell r="I543">
            <v>-6274</v>
          </cell>
          <cell r="J543">
            <v>0</v>
          </cell>
          <cell r="K543">
            <v>-6274</v>
          </cell>
          <cell r="M543">
            <v>1309</v>
          </cell>
        </row>
        <row r="544">
          <cell r="F544">
            <v>-6274</v>
          </cell>
          <cell r="H544">
            <v>0</v>
          </cell>
          <cell r="I544">
            <v>-6274</v>
          </cell>
          <cell r="J544">
            <v>0</v>
          </cell>
          <cell r="K544">
            <v>-6274</v>
          </cell>
          <cell r="M544">
            <v>1309</v>
          </cell>
        </row>
        <row r="546">
          <cell r="F546">
            <v>0</v>
          </cell>
          <cell r="H546">
            <v>0</v>
          </cell>
          <cell r="I546">
            <v>0</v>
          </cell>
          <cell r="J546">
            <v>0</v>
          </cell>
          <cell r="K546">
            <v>0</v>
          </cell>
          <cell r="M546">
            <v>0</v>
          </cell>
        </row>
        <row r="548">
          <cell r="F548">
            <v>0</v>
          </cell>
          <cell r="H548">
            <v>0</v>
          </cell>
          <cell r="I548">
            <v>0</v>
          </cell>
          <cell r="J548">
            <v>0</v>
          </cell>
          <cell r="K548">
            <v>0</v>
          </cell>
          <cell r="M548">
            <v>0</v>
          </cell>
        </row>
        <row r="550">
          <cell r="F550">
            <v>0</v>
          </cell>
          <cell r="H550">
            <v>0</v>
          </cell>
          <cell r="I550">
            <v>0</v>
          </cell>
          <cell r="J550">
            <v>0</v>
          </cell>
          <cell r="K550">
            <v>0</v>
          </cell>
          <cell r="M550">
            <v>0</v>
          </cell>
        </row>
        <row r="552">
          <cell r="F552">
            <v>0</v>
          </cell>
          <cell r="H552">
            <v>0</v>
          </cell>
          <cell r="I552">
            <v>0</v>
          </cell>
          <cell r="J552">
            <v>0</v>
          </cell>
          <cell r="K552">
            <v>0</v>
          </cell>
          <cell r="M552">
            <v>0</v>
          </cell>
        </row>
        <row r="553">
          <cell r="F553">
            <v>0</v>
          </cell>
          <cell r="H553">
            <v>0</v>
          </cell>
          <cell r="I553">
            <v>0</v>
          </cell>
          <cell r="J553">
            <v>0</v>
          </cell>
          <cell r="K553">
            <v>0</v>
          </cell>
          <cell r="M553">
            <v>0</v>
          </cell>
        </row>
      </sheetData>
      <sheetData sheetId="11"/>
      <sheetData sheetId="12"/>
      <sheetData sheetId="13">
        <row r="1">
          <cell r="F1" t="str">
            <v>Preliminary</v>
          </cell>
          <cell r="G1" t="str">
            <v>AJE</v>
          </cell>
          <cell r="H1" t="str">
            <v>Adjusted</v>
          </cell>
          <cell r="I1" t="str">
            <v>RJE</v>
          </cell>
          <cell r="J1" t="str">
            <v>Dec 15</v>
          </cell>
        </row>
        <row r="3">
          <cell r="F3">
            <v>353</v>
          </cell>
          <cell r="G3">
            <v>0</v>
          </cell>
          <cell r="H3">
            <v>353</v>
          </cell>
          <cell r="I3">
            <v>0</v>
          </cell>
          <cell r="J3">
            <v>353</v>
          </cell>
        </row>
        <row r="4">
          <cell r="F4">
            <v>204190</v>
          </cell>
          <cell r="G4">
            <v>0</v>
          </cell>
          <cell r="H4">
            <v>204190</v>
          </cell>
          <cell r="I4">
            <v>0</v>
          </cell>
          <cell r="J4">
            <v>204190</v>
          </cell>
        </row>
        <row r="5">
          <cell r="F5">
            <v>12</v>
          </cell>
          <cell r="G5">
            <v>0</v>
          </cell>
          <cell r="H5">
            <v>12</v>
          </cell>
          <cell r="I5">
            <v>0</v>
          </cell>
          <cell r="J5">
            <v>12</v>
          </cell>
        </row>
        <row r="6">
          <cell r="F6">
            <v>54076</v>
          </cell>
          <cell r="G6">
            <v>0</v>
          </cell>
          <cell r="H6">
            <v>54076</v>
          </cell>
          <cell r="I6">
            <v>0</v>
          </cell>
          <cell r="J6">
            <v>54076</v>
          </cell>
        </row>
        <row r="7">
          <cell r="F7">
            <v>4933</v>
          </cell>
          <cell r="G7">
            <v>0</v>
          </cell>
          <cell r="H7">
            <v>4933</v>
          </cell>
          <cell r="I7">
            <v>0</v>
          </cell>
          <cell r="J7">
            <v>4933</v>
          </cell>
        </row>
        <row r="8">
          <cell r="F8">
            <v>1101</v>
          </cell>
          <cell r="G8">
            <v>0</v>
          </cell>
          <cell r="H8">
            <v>1101</v>
          </cell>
          <cell r="I8">
            <v>0</v>
          </cell>
          <cell r="J8">
            <v>1101</v>
          </cell>
        </row>
        <row r="9">
          <cell r="F9">
            <v>144935</v>
          </cell>
          <cell r="G9">
            <v>0</v>
          </cell>
          <cell r="H9">
            <v>144935</v>
          </cell>
          <cell r="I9">
            <v>0</v>
          </cell>
          <cell r="J9">
            <v>144935</v>
          </cell>
        </row>
        <row r="10">
          <cell r="F10">
            <v>8</v>
          </cell>
          <cell r="G10">
            <v>0</v>
          </cell>
          <cell r="H10">
            <v>8</v>
          </cell>
          <cell r="I10">
            <v>0</v>
          </cell>
          <cell r="J10">
            <v>8</v>
          </cell>
        </row>
        <row r="11">
          <cell r="F11">
            <v>136609</v>
          </cell>
          <cell r="G11">
            <v>0</v>
          </cell>
          <cell r="H11">
            <v>136609</v>
          </cell>
          <cell r="I11">
            <v>0</v>
          </cell>
          <cell r="J11">
            <v>136609</v>
          </cell>
        </row>
        <row r="12">
          <cell r="F12">
            <v>4</v>
          </cell>
          <cell r="G12">
            <v>0</v>
          </cell>
          <cell r="H12">
            <v>4</v>
          </cell>
          <cell r="I12">
            <v>0</v>
          </cell>
          <cell r="J12">
            <v>4</v>
          </cell>
        </row>
        <row r="13">
          <cell r="F13">
            <v>719</v>
          </cell>
          <cell r="G13">
            <v>0</v>
          </cell>
          <cell r="H13">
            <v>719</v>
          </cell>
          <cell r="I13">
            <v>0</v>
          </cell>
          <cell r="J13">
            <v>719</v>
          </cell>
        </row>
        <row r="14">
          <cell r="F14">
            <v>835</v>
          </cell>
          <cell r="G14">
            <v>0</v>
          </cell>
          <cell r="H14">
            <v>835</v>
          </cell>
          <cell r="I14">
            <v>0</v>
          </cell>
          <cell r="J14">
            <v>835</v>
          </cell>
        </row>
        <row r="15">
          <cell r="F15">
            <v>4090</v>
          </cell>
          <cell r="G15">
            <v>0</v>
          </cell>
          <cell r="H15">
            <v>4090</v>
          </cell>
          <cell r="I15">
            <v>0</v>
          </cell>
          <cell r="J15">
            <v>4090</v>
          </cell>
        </row>
        <row r="16">
          <cell r="F16">
            <v>150000</v>
          </cell>
          <cell r="G16">
            <v>0</v>
          </cell>
          <cell r="H16">
            <v>150000</v>
          </cell>
          <cell r="I16">
            <v>0</v>
          </cell>
          <cell r="J16">
            <v>150000</v>
          </cell>
        </row>
        <row r="17">
          <cell r="F17">
            <v>0</v>
          </cell>
          <cell r="G17">
            <v>0</v>
          </cell>
          <cell r="H17">
            <v>0</v>
          </cell>
          <cell r="I17">
            <v>0</v>
          </cell>
          <cell r="J17">
            <v>0</v>
          </cell>
        </row>
        <row r="18">
          <cell r="F18">
            <v>0</v>
          </cell>
          <cell r="G18">
            <v>0</v>
          </cell>
          <cell r="H18">
            <v>0</v>
          </cell>
          <cell r="I18">
            <v>0</v>
          </cell>
          <cell r="J18">
            <v>0</v>
          </cell>
        </row>
        <row r="19">
          <cell r="F19">
            <v>0</v>
          </cell>
          <cell r="G19">
            <v>0</v>
          </cell>
          <cell r="H19">
            <v>0</v>
          </cell>
          <cell r="I19">
            <v>0</v>
          </cell>
          <cell r="J19">
            <v>0</v>
          </cell>
        </row>
        <row r="20">
          <cell r="F20">
            <v>0</v>
          </cell>
          <cell r="G20">
            <v>0</v>
          </cell>
          <cell r="H20">
            <v>0</v>
          </cell>
          <cell r="I20">
            <v>0</v>
          </cell>
          <cell r="J20">
            <v>0</v>
          </cell>
        </row>
        <row r="21">
          <cell r="F21">
            <v>0</v>
          </cell>
          <cell r="G21">
            <v>0</v>
          </cell>
          <cell r="H21">
            <v>0</v>
          </cell>
          <cell r="I21">
            <v>0</v>
          </cell>
          <cell r="J21">
            <v>0</v>
          </cell>
        </row>
        <row r="22">
          <cell r="F22">
            <v>0</v>
          </cell>
          <cell r="G22">
            <v>0</v>
          </cell>
          <cell r="H22">
            <v>0</v>
          </cell>
          <cell r="I22">
            <v>0</v>
          </cell>
          <cell r="J22">
            <v>0</v>
          </cell>
        </row>
        <row r="23">
          <cell r="F23">
            <v>0</v>
          </cell>
          <cell r="G23">
            <v>0</v>
          </cell>
          <cell r="H23">
            <v>0</v>
          </cell>
          <cell r="I23">
            <v>0</v>
          </cell>
          <cell r="J23">
            <v>0</v>
          </cell>
        </row>
        <row r="24">
          <cell r="F24">
            <v>0</v>
          </cell>
          <cell r="G24">
            <v>0</v>
          </cell>
          <cell r="H24">
            <v>0</v>
          </cell>
          <cell r="I24">
            <v>0</v>
          </cell>
          <cell r="J24">
            <v>0</v>
          </cell>
        </row>
        <row r="25">
          <cell r="F25">
            <v>0</v>
          </cell>
          <cell r="G25">
            <v>0</v>
          </cell>
          <cell r="H25">
            <v>0</v>
          </cell>
          <cell r="I25">
            <v>0</v>
          </cell>
          <cell r="J25">
            <v>0</v>
          </cell>
        </row>
        <row r="26">
          <cell r="F26">
            <v>0</v>
          </cell>
          <cell r="G26">
            <v>0</v>
          </cell>
          <cell r="H26">
            <v>0</v>
          </cell>
          <cell r="I26">
            <v>0</v>
          </cell>
          <cell r="J26">
            <v>0</v>
          </cell>
        </row>
        <row r="27">
          <cell r="F27">
            <v>701865</v>
          </cell>
          <cell r="G27">
            <v>0</v>
          </cell>
          <cell r="H27">
            <v>701865</v>
          </cell>
          <cell r="I27">
            <v>0</v>
          </cell>
          <cell r="J27">
            <v>701865</v>
          </cell>
        </row>
        <row r="29">
          <cell r="F29">
            <v>0</v>
          </cell>
          <cell r="G29">
            <v>0</v>
          </cell>
          <cell r="H29">
            <v>0</v>
          </cell>
          <cell r="I29">
            <v>0</v>
          </cell>
          <cell r="J29">
            <v>0</v>
          </cell>
        </row>
        <row r="30">
          <cell r="F30">
            <v>0</v>
          </cell>
          <cell r="G30">
            <v>0</v>
          </cell>
          <cell r="H30">
            <v>0</v>
          </cell>
          <cell r="I30">
            <v>0</v>
          </cell>
          <cell r="J30">
            <v>0</v>
          </cell>
        </row>
        <row r="31">
          <cell r="F31">
            <v>0</v>
          </cell>
          <cell r="G31">
            <v>0</v>
          </cell>
          <cell r="H31">
            <v>0</v>
          </cell>
          <cell r="I31">
            <v>0</v>
          </cell>
          <cell r="J31">
            <v>0</v>
          </cell>
        </row>
        <row r="32">
          <cell r="F32">
            <v>0</v>
          </cell>
          <cell r="G32">
            <v>0</v>
          </cell>
          <cell r="H32">
            <v>0</v>
          </cell>
          <cell r="I32">
            <v>0</v>
          </cell>
          <cell r="J32">
            <v>0</v>
          </cell>
        </row>
        <row r="33">
          <cell r="F33">
            <v>0</v>
          </cell>
          <cell r="G33">
            <v>0</v>
          </cell>
          <cell r="H33">
            <v>0</v>
          </cell>
          <cell r="I33">
            <v>0</v>
          </cell>
          <cell r="J33">
            <v>0</v>
          </cell>
        </row>
        <row r="34">
          <cell r="F34">
            <v>0</v>
          </cell>
          <cell r="G34">
            <v>0</v>
          </cell>
          <cell r="H34">
            <v>0</v>
          </cell>
          <cell r="I34">
            <v>0</v>
          </cell>
          <cell r="J34">
            <v>0</v>
          </cell>
        </row>
        <row r="35">
          <cell r="F35">
            <v>0</v>
          </cell>
          <cell r="G35">
            <v>0</v>
          </cell>
          <cell r="H35">
            <v>0</v>
          </cell>
          <cell r="I35">
            <v>0</v>
          </cell>
          <cell r="J35">
            <v>0</v>
          </cell>
        </row>
        <row r="37">
          <cell r="F37">
            <v>252526</v>
          </cell>
          <cell r="G37">
            <v>0</v>
          </cell>
          <cell r="H37">
            <v>252526</v>
          </cell>
          <cell r="I37">
            <v>0</v>
          </cell>
          <cell r="J37">
            <v>252526</v>
          </cell>
        </row>
        <row r="38">
          <cell r="F38">
            <v>5941</v>
          </cell>
          <cell r="G38">
            <v>0</v>
          </cell>
          <cell r="H38">
            <v>5941</v>
          </cell>
          <cell r="I38">
            <v>0</v>
          </cell>
          <cell r="J38">
            <v>5941</v>
          </cell>
        </row>
        <row r="39">
          <cell r="F39">
            <v>-8657</v>
          </cell>
          <cell r="G39">
            <v>0</v>
          </cell>
          <cell r="H39">
            <v>-8657</v>
          </cell>
          <cell r="I39">
            <v>0</v>
          </cell>
          <cell r="J39">
            <v>-8657</v>
          </cell>
        </row>
        <row r="40">
          <cell r="F40">
            <v>0</v>
          </cell>
          <cell r="G40">
            <v>0</v>
          </cell>
          <cell r="H40">
            <v>0</v>
          </cell>
          <cell r="I40">
            <v>0</v>
          </cell>
          <cell r="J40">
            <v>0</v>
          </cell>
        </row>
        <row r="41">
          <cell r="F41">
            <v>-9879</v>
          </cell>
          <cell r="G41">
            <v>0</v>
          </cell>
          <cell r="H41">
            <v>-9879</v>
          </cell>
          <cell r="I41">
            <v>0</v>
          </cell>
          <cell r="J41">
            <v>-9879</v>
          </cell>
        </row>
        <row r="42">
          <cell r="F42">
            <v>0</v>
          </cell>
          <cell r="G42">
            <v>0</v>
          </cell>
          <cell r="H42">
            <v>0</v>
          </cell>
          <cell r="I42">
            <v>0</v>
          </cell>
          <cell r="J42">
            <v>0</v>
          </cell>
        </row>
        <row r="43">
          <cell r="F43">
            <v>84795</v>
          </cell>
          <cell r="G43">
            <v>0</v>
          </cell>
          <cell r="H43">
            <v>84795</v>
          </cell>
          <cell r="I43">
            <v>0</v>
          </cell>
          <cell r="J43">
            <v>84795</v>
          </cell>
        </row>
        <row r="44">
          <cell r="F44">
            <v>0</v>
          </cell>
          <cell r="G44">
            <v>0</v>
          </cell>
          <cell r="H44">
            <v>0</v>
          </cell>
          <cell r="I44">
            <v>0</v>
          </cell>
          <cell r="J44">
            <v>0</v>
          </cell>
        </row>
        <row r="45">
          <cell r="F45">
            <v>-34964</v>
          </cell>
          <cell r="G45">
            <v>0</v>
          </cell>
          <cell r="H45">
            <v>-34964</v>
          </cell>
          <cell r="I45">
            <v>0</v>
          </cell>
          <cell r="J45">
            <v>-34964</v>
          </cell>
        </row>
        <row r="46">
          <cell r="F46">
            <v>-31088</v>
          </cell>
          <cell r="G46">
            <v>0</v>
          </cell>
          <cell r="H46">
            <v>-31088</v>
          </cell>
          <cell r="I46">
            <v>0</v>
          </cell>
          <cell r="J46">
            <v>-31088</v>
          </cell>
        </row>
        <row r="47">
          <cell r="F47">
            <v>-18743</v>
          </cell>
          <cell r="G47">
            <v>0</v>
          </cell>
          <cell r="H47">
            <v>-18743</v>
          </cell>
          <cell r="I47">
            <v>0</v>
          </cell>
          <cell r="J47">
            <v>-18743</v>
          </cell>
        </row>
        <row r="48">
          <cell r="F48">
            <v>0</v>
          </cell>
          <cell r="G48">
            <v>0</v>
          </cell>
          <cell r="H48">
            <v>0</v>
          </cell>
          <cell r="I48">
            <v>0</v>
          </cell>
          <cell r="J48">
            <v>0</v>
          </cell>
        </row>
        <row r="49">
          <cell r="F49">
            <v>0</v>
          </cell>
          <cell r="G49">
            <v>0</v>
          </cell>
          <cell r="H49">
            <v>0</v>
          </cell>
          <cell r="I49">
            <v>0</v>
          </cell>
          <cell r="J49">
            <v>0</v>
          </cell>
        </row>
        <row r="50">
          <cell r="F50">
            <v>0</v>
          </cell>
          <cell r="G50">
            <v>0</v>
          </cell>
          <cell r="H50">
            <v>0</v>
          </cell>
          <cell r="I50">
            <v>0</v>
          </cell>
          <cell r="J50">
            <v>0</v>
          </cell>
        </row>
        <row r="51">
          <cell r="F51">
            <v>0</v>
          </cell>
          <cell r="G51">
            <v>0</v>
          </cell>
          <cell r="H51">
            <v>0</v>
          </cell>
          <cell r="I51">
            <v>0</v>
          </cell>
          <cell r="J51">
            <v>0</v>
          </cell>
        </row>
        <row r="52">
          <cell r="F52">
            <v>0</v>
          </cell>
          <cell r="G52">
            <v>0</v>
          </cell>
          <cell r="H52">
            <v>0</v>
          </cell>
          <cell r="I52">
            <v>0</v>
          </cell>
          <cell r="J52">
            <v>0</v>
          </cell>
        </row>
        <row r="53">
          <cell r="F53">
            <v>0</v>
          </cell>
          <cell r="G53">
            <v>0</v>
          </cell>
          <cell r="H53">
            <v>0</v>
          </cell>
          <cell r="I53">
            <v>0</v>
          </cell>
          <cell r="J53">
            <v>0</v>
          </cell>
        </row>
        <row r="54">
          <cell r="F54">
            <v>0</v>
          </cell>
          <cell r="G54">
            <v>0</v>
          </cell>
          <cell r="H54">
            <v>0</v>
          </cell>
          <cell r="I54">
            <v>0</v>
          </cell>
          <cell r="J54">
            <v>0</v>
          </cell>
        </row>
        <row r="55">
          <cell r="F55">
            <v>0</v>
          </cell>
          <cell r="G55">
            <v>0</v>
          </cell>
          <cell r="H55">
            <v>0</v>
          </cell>
          <cell r="I55">
            <v>0</v>
          </cell>
          <cell r="J55">
            <v>0</v>
          </cell>
        </row>
        <row r="56">
          <cell r="F56">
            <v>0</v>
          </cell>
          <cell r="G56">
            <v>0</v>
          </cell>
          <cell r="H56">
            <v>0</v>
          </cell>
          <cell r="I56">
            <v>0</v>
          </cell>
          <cell r="J56">
            <v>0</v>
          </cell>
        </row>
        <row r="57">
          <cell r="F57">
            <v>0</v>
          </cell>
          <cell r="G57">
            <v>0</v>
          </cell>
          <cell r="H57">
            <v>0</v>
          </cell>
          <cell r="I57">
            <v>0</v>
          </cell>
          <cell r="J57">
            <v>0</v>
          </cell>
        </row>
        <row r="58">
          <cell r="F58">
            <v>239931</v>
          </cell>
          <cell r="G58">
            <v>0</v>
          </cell>
          <cell r="H58">
            <v>239931</v>
          </cell>
          <cell r="I58">
            <v>0</v>
          </cell>
          <cell r="J58">
            <v>239931</v>
          </cell>
        </row>
        <row r="60">
          <cell r="F60">
            <v>0</v>
          </cell>
          <cell r="G60">
            <v>0</v>
          </cell>
          <cell r="H60">
            <v>0</v>
          </cell>
          <cell r="I60">
            <v>0</v>
          </cell>
          <cell r="J60">
            <v>0</v>
          </cell>
        </row>
        <row r="62">
          <cell r="F62">
            <v>95039</v>
          </cell>
          <cell r="G62">
            <v>0</v>
          </cell>
          <cell r="H62">
            <v>95039</v>
          </cell>
          <cell r="I62">
            <v>0</v>
          </cell>
          <cell r="J62">
            <v>95039</v>
          </cell>
        </row>
        <row r="63">
          <cell r="F63">
            <v>-47</v>
          </cell>
          <cell r="G63">
            <v>0</v>
          </cell>
          <cell r="H63">
            <v>-47</v>
          </cell>
          <cell r="I63">
            <v>0</v>
          </cell>
          <cell r="J63">
            <v>-47</v>
          </cell>
        </row>
        <row r="64">
          <cell r="F64">
            <v>-1911</v>
          </cell>
          <cell r="G64">
            <v>0</v>
          </cell>
          <cell r="H64">
            <v>-1911</v>
          </cell>
          <cell r="I64">
            <v>0</v>
          </cell>
          <cell r="J64">
            <v>-1911</v>
          </cell>
        </row>
        <row r="65">
          <cell r="F65">
            <v>0</v>
          </cell>
          <cell r="G65">
            <v>0</v>
          </cell>
          <cell r="H65">
            <v>0</v>
          </cell>
          <cell r="I65">
            <v>0</v>
          </cell>
          <cell r="J65">
            <v>0</v>
          </cell>
        </row>
        <row r="66">
          <cell r="F66">
            <v>3301</v>
          </cell>
          <cell r="G66">
            <v>0</v>
          </cell>
          <cell r="H66">
            <v>3301</v>
          </cell>
          <cell r="I66">
            <v>-3301</v>
          </cell>
          <cell r="J66">
            <v>0</v>
          </cell>
        </row>
        <row r="67">
          <cell r="F67">
            <v>-3301</v>
          </cell>
          <cell r="G67">
            <v>0</v>
          </cell>
          <cell r="H67">
            <v>-3301</v>
          </cell>
          <cell r="I67">
            <v>3301</v>
          </cell>
          <cell r="J67">
            <v>0</v>
          </cell>
        </row>
        <row r="68">
          <cell r="F68">
            <v>173400</v>
          </cell>
          <cell r="G68">
            <v>0</v>
          </cell>
          <cell r="H68">
            <v>173400</v>
          </cell>
          <cell r="I68">
            <v>0</v>
          </cell>
          <cell r="J68">
            <v>173400</v>
          </cell>
        </row>
        <row r="69">
          <cell r="F69">
            <v>-359</v>
          </cell>
          <cell r="G69">
            <v>0</v>
          </cell>
          <cell r="H69">
            <v>-359</v>
          </cell>
          <cell r="I69">
            <v>0</v>
          </cell>
          <cell r="J69">
            <v>-359</v>
          </cell>
        </row>
        <row r="70">
          <cell r="F70">
            <v>17735</v>
          </cell>
          <cell r="G70">
            <v>0</v>
          </cell>
          <cell r="H70">
            <v>17735</v>
          </cell>
          <cell r="I70">
            <v>0</v>
          </cell>
          <cell r="J70">
            <v>17735</v>
          </cell>
        </row>
        <row r="71">
          <cell r="F71">
            <v>0</v>
          </cell>
          <cell r="G71">
            <v>0</v>
          </cell>
          <cell r="H71">
            <v>0</v>
          </cell>
          <cell r="I71">
            <v>0</v>
          </cell>
          <cell r="J71">
            <v>0</v>
          </cell>
        </row>
        <row r="72">
          <cell r="F72">
            <v>0</v>
          </cell>
          <cell r="G72">
            <v>0</v>
          </cell>
          <cell r="H72">
            <v>0</v>
          </cell>
          <cell r="I72">
            <v>0</v>
          </cell>
          <cell r="J72">
            <v>0</v>
          </cell>
        </row>
        <row r="73">
          <cell r="F73">
            <v>0</v>
          </cell>
          <cell r="G73">
            <v>0</v>
          </cell>
          <cell r="H73">
            <v>0</v>
          </cell>
          <cell r="I73">
            <v>0</v>
          </cell>
          <cell r="J73">
            <v>0</v>
          </cell>
        </row>
        <row r="74">
          <cell r="F74">
            <v>0</v>
          </cell>
          <cell r="G74">
            <v>0</v>
          </cell>
          <cell r="H74">
            <v>0</v>
          </cell>
          <cell r="I74">
            <v>0</v>
          </cell>
          <cell r="J74">
            <v>0</v>
          </cell>
        </row>
        <row r="75">
          <cell r="F75">
            <v>0</v>
          </cell>
          <cell r="G75">
            <v>0</v>
          </cell>
          <cell r="H75">
            <v>0</v>
          </cell>
          <cell r="I75">
            <v>0</v>
          </cell>
          <cell r="J75">
            <v>0</v>
          </cell>
        </row>
        <row r="76">
          <cell r="F76">
            <v>0</v>
          </cell>
          <cell r="G76">
            <v>0</v>
          </cell>
          <cell r="H76">
            <v>0</v>
          </cell>
          <cell r="I76">
            <v>0</v>
          </cell>
          <cell r="J76">
            <v>0</v>
          </cell>
        </row>
        <row r="77">
          <cell r="F77">
            <v>0</v>
          </cell>
          <cell r="G77">
            <v>0</v>
          </cell>
          <cell r="H77">
            <v>0</v>
          </cell>
          <cell r="I77">
            <v>0</v>
          </cell>
          <cell r="J77">
            <v>0</v>
          </cell>
        </row>
        <row r="78">
          <cell r="F78">
            <v>0</v>
          </cell>
          <cell r="G78">
            <v>0</v>
          </cell>
          <cell r="H78">
            <v>0</v>
          </cell>
          <cell r="I78">
            <v>0</v>
          </cell>
          <cell r="J78">
            <v>0</v>
          </cell>
        </row>
        <row r="79">
          <cell r="F79">
            <v>283857</v>
          </cell>
          <cell r="G79">
            <v>0</v>
          </cell>
          <cell r="H79">
            <v>283857</v>
          </cell>
          <cell r="I79">
            <v>0</v>
          </cell>
          <cell r="J79">
            <v>283857</v>
          </cell>
        </row>
        <row r="81">
          <cell r="F81">
            <v>0</v>
          </cell>
          <cell r="G81">
            <v>0</v>
          </cell>
          <cell r="H81">
            <v>0</v>
          </cell>
          <cell r="I81">
            <v>0</v>
          </cell>
          <cell r="J81">
            <v>0</v>
          </cell>
        </row>
        <row r="83">
          <cell r="F83">
            <v>0</v>
          </cell>
          <cell r="G83">
            <v>0</v>
          </cell>
          <cell r="H83">
            <v>0</v>
          </cell>
          <cell r="I83">
            <v>0</v>
          </cell>
          <cell r="J83">
            <v>0</v>
          </cell>
        </row>
        <row r="85">
          <cell r="F85">
            <v>1622</v>
          </cell>
          <cell r="G85">
            <v>0</v>
          </cell>
          <cell r="H85">
            <v>1622</v>
          </cell>
          <cell r="I85">
            <v>0</v>
          </cell>
          <cell r="J85">
            <v>1622</v>
          </cell>
        </row>
        <row r="86">
          <cell r="F86">
            <v>45</v>
          </cell>
          <cell r="G86">
            <v>0</v>
          </cell>
          <cell r="H86">
            <v>45</v>
          </cell>
          <cell r="I86">
            <v>0</v>
          </cell>
          <cell r="J86">
            <v>45</v>
          </cell>
        </row>
        <row r="87">
          <cell r="F87">
            <v>923</v>
          </cell>
          <cell r="G87">
            <v>0</v>
          </cell>
          <cell r="H87">
            <v>923</v>
          </cell>
          <cell r="I87">
            <v>0</v>
          </cell>
          <cell r="J87">
            <v>923</v>
          </cell>
        </row>
        <row r="88">
          <cell r="F88">
            <v>21</v>
          </cell>
          <cell r="G88">
            <v>0</v>
          </cell>
          <cell r="H88">
            <v>21</v>
          </cell>
          <cell r="I88">
            <v>0</v>
          </cell>
          <cell r="J88">
            <v>21</v>
          </cell>
        </row>
        <row r="89">
          <cell r="F89">
            <v>10</v>
          </cell>
          <cell r="G89">
            <v>0</v>
          </cell>
          <cell r="H89">
            <v>10</v>
          </cell>
          <cell r="I89">
            <v>0</v>
          </cell>
          <cell r="J89">
            <v>10</v>
          </cell>
        </row>
        <row r="90">
          <cell r="F90">
            <v>8</v>
          </cell>
          <cell r="G90">
            <v>0</v>
          </cell>
          <cell r="H90">
            <v>8</v>
          </cell>
          <cell r="I90">
            <v>0</v>
          </cell>
          <cell r="J90">
            <v>8</v>
          </cell>
        </row>
        <row r="91">
          <cell r="F91">
            <v>120</v>
          </cell>
          <cell r="G91">
            <v>0</v>
          </cell>
          <cell r="H91">
            <v>120</v>
          </cell>
          <cell r="I91">
            <v>0</v>
          </cell>
          <cell r="J91">
            <v>120</v>
          </cell>
        </row>
        <row r="92">
          <cell r="F92">
            <v>792</v>
          </cell>
          <cell r="G92">
            <v>0</v>
          </cell>
          <cell r="H92">
            <v>792</v>
          </cell>
          <cell r="I92">
            <v>0</v>
          </cell>
          <cell r="J92">
            <v>792</v>
          </cell>
        </row>
        <row r="93">
          <cell r="F93">
            <v>4840</v>
          </cell>
          <cell r="G93">
            <v>0</v>
          </cell>
          <cell r="H93">
            <v>4840</v>
          </cell>
          <cell r="I93">
            <v>0</v>
          </cell>
          <cell r="J93">
            <v>4840</v>
          </cell>
        </row>
        <row r="94">
          <cell r="F94">
            <v>43</v>
          </cell>
          <cell r="G94">
            <v>0</v>
          </cell>
          <cell r="H94">
            <v>43</v>
          </cell>
          <cell r="I94">
            <v>0</v>
          </cell>
          <cell r="J94">
            <v>43</v>
          </cell>
        </row>
        <row r="95">
          <cell r="F95">
            <v>10</v>
          </cell>
          <cell r="G95">
            <v>0</v>
          </cell>
          <cell r="H95">
            <v>10</v>
          </cell>
          <cell r="I95">
            <v>0</v>
          </cell>
          <cell r="J95">
            <v>10</v>
          </cell>
        </row>
        <row r="96">
          <cell r="F96">
            <v>9047</v>
          </cell>
          <cell r="G96">
            <v>0</v>
          </cell>
          <cell r="H96">
            <v>9047</v>
          </cell>
          <cell r="I96">
            <v>0</v>
          </cell>
          <cell r="J96">
            <v>9047</v>
          </cell>
        </row>
        <row r="97">
          <cell r="F97">
            <v>0</v>
          </cell>
          <cell r="G97">
            <v>0</v>
          </cell>
          <cell r="H97">
            <v>0</v>
          </cell>
          <cell r="I97">
            <v>0</v>
          </cell>
          <cell r="J97">
            <v>0</v>
          </cell>
        </row>
        <row r="98">
          <cell r="F98">
            <v>0</v>
          </cell>
          <cell r="G98">
            <v>0</v>
          </cell>
          <cell r="H98">
            <v>0</v>
          </cell>
          <cell r="I98">
            <v>0</v>
          </cell>
          <cell r="J98">
            <v>0</v>
          </cell>
        </row>
        <row r="99">
          <cell r="F99">
            <v>0</v>
          </cell>
          <cell r="G99">
            <v>0</v>
          </cell>
          <cell r="H99">
            <v>0</v>
          </cell>
          <cell r="I99">
            <v>0</v>
          </cell>
          <cell r="J99">
            <v>0</v>
          </cell>
        </row>
        <row r="100">
          <cell r="F100">
            <v>0</v>
          </cell>
          <cell r="G100">
            <v>0</v>
          </cell>
          <cell r="H100">
            <v>0</v>
          </cell>
          <cell r="I100">
            <v>0</v>
          </cell>
          <cell r="J100">
            <v>0</v>
          </cell>
        </row>
        <row r="101">
          <cell r="F101">
            <v>0</v>
          </cell>
          <cell r="G101">
            <v>0</v>
          </cell>
          <cell r="H101">
            <v>0</v>
          </cell>
          <cell r="I101">
            <v>0</v>
          </cell>
          <cell r="J101">
            <v>0</v>
          </cell>
        </row>
        <row r="102">
          <cell r="F102">
            <v>0</v>
          </cell>
          <cell r="G102">
            <v>0</v>
          </cell>
          <cell r="H102">
            <v>0</v>
          </cell>
          <cell r="I102">
            <v>0</v>
          </cell>
          <cell r="J102">
            <v>0</v>
          </cell>
        </row>
        <row r="103">
          <cell r="F103">
            <v>0</v>
          </cell>
          <cell r="G103">
            <v>0</v>
          </cell>
          <cell r="H103">
            <v>0</v>
          </cell>
          <cell r="I103">
            <v>0</v>
          </cell>
          <cell r="J103">
            <v>0</v>
          </cell>
        </row>
        <row r="104">
          <cell r="F104">
            <v>0</v>
          </cell>
          <cell r="G104">
            <v>0</v>
          </cell>
          <cell r="H104">
            <v>0</v>
          </cell>
          <cell r="I104">
            <v>0</v>
          </cell>
          <cell r="J104">
            <v>0</v>
          </cell>
        </row>
        <row r="105">
          <cell r="F105">
            <v>0</v>
          </cell>
          <cell r="G105">
            <v>0</v>
          </cell>
          <cell r="H105">
            <v>0</v>
          </cell>
          <cell r="I105">
            <v>0</v>
          </cell>
          <cell r="J105">
            <v>0</v>
          </cell>
        </row>
        <row r="106">
          <cell r="F106">
            <v>0</v>
          </cell>
          <cell r="G106">
            <v>0</v>
          </cell>
          <cell r="H106">
            <v>0</v>
          </cell>
          <cell r="I106">
            <v>0</v>
          </cell>
          <cell r="J106">
            <v>0</v>
          </cell>
        </row>
        <row r="107">
          <cell r="F107">
            <v>0</v>
          </cell>
          <cell r="G107">
            <v>0</v>
          </cell>
          <cell r="H107">
            <v>0</v>
          </cell>
          <cell r="I107">
            <v>0</v>
          </cell>
          <cell r="J107">
            <v>0</v>
          </cell>
        </row>
        <row r="108">
          <cell r="F108">
            <v>0</v>
          </cell>
          <cell r="G108">
            <v>0</v>
          </cell>
          <cell r="H108">
            <v>0</v>
          </cell>
          <cell r="I108">
            <v>0</v>
          </cell>
          <cell r="J108">
            <v>0</v>
          </cell>
        </row>
        <row r="109">
          <cell r="F109">
            <v>0</v>
          </cell>
          <cell r="G109">
            <v>0</v>
          </cell>
          <cell r="H109">
            <v>0</v>
          </cell>
          <cell r="I109">
            <v>0</v>
          </cell>
          <cell r="J109">
            <v>0</v>
          </cell>
        </row>
        <row r="110">
          <cell r="F110">
            <v>0</v>
          </cell>
          <cell r="G110">
            <v>0</v>
          </cell>
          <cell r="H110">
            <v>0</v>
          </cell>
          <cell r="I110">
            <v>0</v>
          </cell>
          <cell r="J110">
            <v>0</v>
          </cell>
        </row>
        <row r="111">
          <cell r="F111">
            <v>0</v>
          </cell>
          <cell r="G111">
            <v>0</v>
          </cell>
          <cell r="H111">
            <v>0</v>
          </cell>
          <cell r="I111">
            <v>0</v>
          </cell>
          <cell r="J111">
            <v>0</v>
          </cell>
        </row>
        <row r="112">
          <cell r="F112">
            <v>0</v>
          </cell>
          <cell r="G112">
            <v>0</v>
          </cell>
          <cell r="H112">
            <v>0</v>
          </cell>
          <cell r="I112">
            <v>0</v>
          </cell>
          <cell r="J112">
            <v>0</v>
          </cell>
        </row>
        <row r="113">
          <cell r="F113">
            <v>0</v>
          </cell>
          <cell r="G113">
            <v>0</v>
          </cell>
          <cell r="H113">
            <v>0</v>
          </cell>
          <cell r="I113">
            <v>0</v>
          </cell>
          <cell r="J113">
            <v>0</v>
          </cell>
        </row>
        <row r="114">
          <cell r="F114">
            <v>0</v>
          </cell>
          <cell r="G114">
            <v>0</v>
          </cell>
          <cell r="H114">
            <v>0</v>
          </cell>
          <cell r="I114">
            <v>0</v>
          </cell>
          <cell r="J114">
            <v>0</v>
          </cell>
        </row>
        <row r="115">
          <cell r="F115">
            <v>0</v>
          </cell>
          <cell r="G115">
            <v>0</v>
          </cell>
          <cell r="H115">
            <v>0</v>
          </cell>
          <cell r="I115">
            <v>0</v>
          </cell>
          <cell r="J115">
            <v>0</v>
          </cell>
        </row>
        <row r="116">
          <cell r="F116">
            <v>0</v>
          </cell>
          <cell r="G116">
            <v>0</v>
          </cell>
          <cell r="H116">
            <v>0</v>
          </cell>
          <cell r="I116">
            <v>0</v>
          </cell>
          <cell r="J116">
            <v>0</v>
          </cell>
        </row>
        <row r="117">
          <cell r="F117">
            <v>0</v>
          </cell>
          <cell r="G117">
            <v>0</v>
          </cell>
          <cell r="H117">
            <v>0</v>
          </cell>
          <cell r="I117">
            <v>0</v>
          </cell>
          <cell r="J117">
            <v>0</v>
          </cell>
        </row>
        <row r="118">
          <cell r="F118">
            <v>0</v>
          </cell>
          <cell r="G118">
            <v>0</v>
          </cell>
          <cell r="H118">
            <v>0</v>
          </cell>
          <cell r="I118">
            <v>0</v>
          </cell>
          <cell r="J118">
            <v>0</v>
          </cell>
        </row>
        <row r="119">
          <cell r="F119">
            <v>0</v>
          </cell>
          <cell r="G119">
            <v>0</v>
          </cell>
          <cell r="H119">
            <v>0</v>
          </cell>
          <cell r="I119">
            <v>0</v>
          </cell>
          <cell r="J119">
            <v>0</v>
          </cell>
        </row>
        <row r="120">
          <cell r="F120">
            <v>0</v>
          </cell>
          <cell r="G120">
            <v>0</v>
          </cell>
          <cell r="H120">
            <v>0</v>
          </cell>
          <cell r="I120">
            <v>0</v>
          </cell>
          <cell r="J120">
            <v>0</v>
          </cell>
        </row>
        <row r="121">
          <cell r="F121">
            <v>0</v>
          </cell>
          <cell r="G121">
            <v>0</v>
          </cell>
          <cell r="H121">
            <v>0</v>
          </cell>
          <cell r="I121">
            <v>0</v>
          </cell>
          <cell r="J121">
            <v>0</v>
          </cell>
        </row>
        <row r="122">
          <cell r="F122">
            <v>17481</v>
          </cell>
          <cell r="G122">
            <v>0</v>
          </cell>
          <cell r="H122">
            <v>17481</v>
          </cell>
          <cell r="I122">
            <v>0</v>
          </cell>
          <cell r="J122">
            <v>17481</v>
          </cell>
        </row>
        <row r="124">
          <cell r="F124">
            <v>0</v>
          </cell>
          <cell r="G124">
            <v>0</v>
          </cell>
          <cell r="H124">
            <v>0</v>
          </cell>
          <cell r="I124">
            <v>0</v>
          </cell>
          <cell r="J124">
            <v>0</v>
          </cell>
        </row>
        <row r="125">
          <cell r="F125">
            <v>0</v>
          </cell>
          <cell r="G125">
            <v>0</v>
          </cell>
          <cell r="H125">
            <v>0</v>
          </cell>
          <cell r="I125">
            <v>0</v>
          </cell>
          <cell r="J125">
            <v>0</v>
          </cell>
        </row>
        <row r="126">
          <cell r="F126">
            <v>29264</v>
          </cell>
          <cell r="G126">
            <v>0</v>
          </cell>
          <cell r="H126">
            <v>29264</v>
          </cell>
          <cell r="I126">
            <v>0</v>
          </cell>
          <cell r="J126">
            <v>29264</v>
          </cell>
        </row>
        <row r="127">
          <cell r="F127">
            <v>-29264</v>
          </cell>
          <cell r="G127">
            <v>0</v>
          </cell>
          <cell r="H127">
            <v>-29264</v>
          </cell>
          <cell r="I127">
            <v>0</v>
          </cell>
          <cell r="J127">
            <v>-29264</v>
          </cell>
        </row>
        <row r="128">
          <cell r="F128">
            <v>5</v>
          </cell>
          <cell r="G128">
            <v>0</v>
          </cell>
          <cell r="H128">
            <v>5</v>
          </cell>
          <cell r="I128">
            <v>0</v>
          </cell>
          <cell r="J128">
            <v>5</v>
          </cell>
        </row>
        <row r="129">
          <cell r="F129">
            <v>0</v>
          </cell>
          <cell r="G129">
            <v>0</v>
          </cell>
          <cell r="H129">
            <v>0</v>
          </cell>
          <cell r="I129">
            <v>0</v>
          </cell>
          <cell r="J129">
            <v>0</v>
          </cell>
        </row>
        <row r="130">
          <cell r="F130">
            <v>0</v>
          </cell>
          <cell r="G130">
            <v>0</v>
          </cell>
          <cell r="H130">
            <v>0</v>
          </cell>
          <cell r="I130">
            <v>0</v>
          </cell>
          <cell r="J130">
            <v>0</v>
          </cell>
        </row>
        <row r="131">
          <cell r="F131">
            <v>0</v>
          </cell>
          <cell r="G131">
            <v>0</v>
          </cell>
          <cell r="H131">
            <v>0</v>
          </cell>
          <cell r="I131">
            <v>0</v>
          </cell>
          <cell r="J131">
            <v>0</v>
          </cell>
        </row>
        <row r="132">
          <cell r="F132">
            <v>0</v>
          </cell>
          <cell r="G132">
            <v>0</v>
          </cell>
          <cell r="H132">
            <v>0</v>
          </cell>
          <cell r="I132">
            <v>0</v>
          </cell>
          <cell r="J132">
            <v>0</v>
          </cell>
        </row>
        <row r="133">
          <cell r="F133">
            <v>5</v>
          </cell>
          <cell r="G133">
            <v>0</v>
          </cell>
          <cell r="H133">
            <v>5</v>
          </cell>
          <cell r="I133">
            <v>0</v>
          </cell>
          <cell r="J133">
            <v>5</v>
          </cell>
        </row>
        <row r="135">
          <cell r="F135">
            <v>136</v>
          </cell>
          <cell r="G135">
            <v>0</v>
          </cell>
          <cell r="H135">
            <v>136</v>
          </cell>
          <cell r="I135">
            <v>0</v>
          </cell>
          <cell r="J135">
            <v>136</v>
          </cell>
        </row>
        <row r="136">
          <cell r="F136">
            <v>0</v>
          </cell>
          <cell r="G136">
            <v>0</v>
          </cell>
          <cell r="H136">
            <v>0</v>
          </cell>
          <cell r="I136">
            <v>0</v>
          </cell>
          <cell r="J136">
            <v>0</v>
          </cell>
        </row>
        <row r="137">
          <cell r="F137">
            <v>3927</v>
          </cell>
          <cell r="G137">
            <v>0</v>
          </cell>
          <cell r="H137">
            <v>3927</v>
          </cell>
          <cell r="I137">
            <v>0</v>
          </cell>
          <cell r="J137">
            <v>3927</v>
          </cell>
        </row>
        <row r="138">
          <cell r="F138">
            <v>0</v>
          </cell>
          <cell r="G138">
            <v>0</v>
          </cell>
          <cell r="H138">
            <v>0</v>
          </cell>
          <cell r="I138">
            <v>0</v>
          </cell>
          <cell r="J138">
            <v>0</v>
          </cell>
        </row>
        <row r="139">
          <cell r="F139">
            <v>0</v>
          </cell>
          <cell r="G139">
            <v>0</v>
          </cell>
          <cell r="H139">
            <v>0</v>
          </cell>
          <cell r="I139">
            <v>0</v>
          </cell>
          <cell r="J139">
            <v>0</v>
          </cell>
        </row>
        <row r="140">
          <cell r="F140">
            <v>0</v>
          </cell>
          <cell r="G140">
            <v>0</v>
          </cell>
          <cell r="H140">
            <v>0</v>
          </cell>
          <cell r="I140">
            <v>0</v>
          </cell>
          <cell r="J140">
            <v>0</v>
          </cell>
        </row>
        <row r="141">
          <cell r="F141">
            <v>0</v>
          </cell>
          <cell r="G141">
            <v>0</v>
          </cell>
          <cell r="H141">
            <v>0</v>
          </cell>
          <cell r="I141">
            <v>0</v>
          </cell>
          <cell r="J141">
            <v>0</v>
          </cell>
        </row>
        <row r="142">
          <cell r="F142">
            <v>0</v>
          </cell>
          <cell r="G142">
            <v>0</v>
          </cell>
          <cell r="H142">
            <v>0</v>
          </cell>
          <cell r="I142">
            <v>0</v>
          </cell>
          <cell r="J142">
            <v>0</v>
          </cell>
        </row>
        <row r="143">
          <cell r="F143">
            <v>4063</v>
          </cell>
          <cell r="G143">
            <v>0</v>
          </cell>
          <cell r="H143">
            <v>4063</v>
          </cell>
          <cell r="I143">
            <v>0</v>
          </cell>
          <cell r="J143">
            <v>4063</v>
          </cell>
        </row>
        <row r="145">
          <cell r="F145">
            <v>2500</v>
          </cell>
          <cell r="G145">
            <v>0</v>
          </cell>
          <cell r="H145">
            <v>2500</v>
          </cell>
          <cell r="I145">
            <v>0</v>
          </cell>
          <cell r="J145">
            <v>2500</v>
          </cell>
        </row>
        <row r="146">
          <cell r="F146">
            <v>0</v>
          </cell>
          <cell r="G146">
            <v>0</v>
          </cell>
          <cell r="H146">
            <v>0</v>
          </cell>
          <cell r="I146">
            <v>0</v>
          </cell>
          <cell r="J146">
            <v>0</v>
          </cell>
        </row>
        <row r="147">
          <cell r="F147">
            <v>0</v>
          </cell>
          <cell r="G147">
            <v>0</v>
          </cell>
          <cell r="H147">
            <v>0</v>
          </cell>
          <cell r="I147">
            <v>0</v>
          </cell>
          <cell r="J147">
            <v>0</v>
          </cell>
        </row>
        <row r="148">
          <cell r="F148">
            <v>0</v>
          </cell>
          <cell r="G148">
            <v>0</v>
          </cell>
          <cell r="H148">
            <v>0</v>
          </cell>
          <cell r="I148">
            <v>0</v>
          </cell>
          <cell r="J148">
            <v>0</v>
          </cell>
        </row>
        <row r="149">
          <cell r="F149">
            <v>2500</v>
          </cell>
          <cell r="G149">
            <v>0</v>
          </cell>
          <cell r="H149">
            <v>2500</v>
          </cell>
          <cell r="I149">
            <v>0</v>
          </cell>
          <cell r="J149">
            <v>2500</v>
          </cell>
        </row>
        <row r="151">
          <cell r="F151">
            <v>200</v>
          </cell>
          <cell r="G151">
            <v>0</v>
          </cell>
          <cell r="H151">
            <v>200</v>
          </cell>
          <cell r="I151">
            <v>0</v>
          </cell>
          <cell r="J151">
            <v>200</v>
          </cell>
        </row>
        <row r="152">
          <cell r="F152">
            <v>0</v>
          </cell>
          <cell r="G152">
            <v>0</v>
          </cell>
          <cell r="H152">
            <v>0</v>
          </cell>
          <cell r="I152">
            <v>0</v>
          </cell>
          <cell r="J152">
            <v>0</v>
          </cell>
        </row>
        <row r="153">
          <cell r="F153">
            <v>200</v>
          </cell>
          <cell r="G153">
            <v>0</v>
          </cell>
          <cell r="H153">
            <v>200</v>
          </cell>
          <cell r="I153">
            <v>0</v>
          </cell>
          <cell r="J153">
            <v>200</v>
          </cell>
        </row>
        <row r="155">
          <cell r="F155">
            <v>1353</v>
          </cell>
          <cell r="G155">
            <v>0</v>
          </cell>
          <cell r="H155">
            <v>1353</v>
          </cell>
          <cell r="I155">
            <v>0</v>
          </cell>
          <cell r="J155">
            <v>1353</v>
          </cell>
        </row>
        <row r="156">
          <cell r="F156">
            <v>0</v>
          </cell>
          <cell r="G156">
            <v>0</v>
          </cell>
          <cell r="H156">
            <v>0</v>
          </cell>
          <cell r="I156">
            <v>0</v>
          </cell>
          <cell r="J156">
            <v>0</v>
          </cell>
        </row>
        <row r="157">
          <cell r="F157">
            <v>1353</v>
          </cell>
          <cell r="G157">
            <v>0</v>
          </cell>
          <cell r="H157">
            <v>1353</v>
          </cell>
          <cell r="I157">
            <v>0</v>
          </cell>
          <cell r="J157">
            <v>1353</v>
          </cell>
        </row>
        <row r="159">
          <cell r="F159">
            <v>0</v>
          </cell>
          <cell r="G159">
            <v>0</v>
          </cell>
          <cell r="H159">
            <v>0</v>
          </cell>
          <cell r="I159">
            <v>0</v>
          </cell>
          <cell r="J159">
            <v>0</v>
          </cell>
        </row>
        <row r="160">
          <cell r="F160">
            <v>-1</v>
          </cell>
          <cell r="G160">
            <v>0</v>
          </cell>
          <cell r="H160">
            <v>-1</v>
          </cell>
          <cell r="I160">
            <v>0</v>
          </cell>
          <cell r="J160">
            <v>-1</v>
          </cell>
        </row>
        <row r="161">
          <cell r="F161">
            <v>-19</v>
          </cell>
          <cell r="G161">
            <v>0</v>
          </cell>
          <cell r="H161">
            <v>-19</v>
          </cell>
          <cell r="I161">
            <v>0</v>
          </cell>
          <cell r="J161">
            <v>-19</v>
          </cell>
        </row>
        <row r="162">
          <cell r="F162">
            <v>91</v>
          </cell>
          <cell r="G162">
            <v>0</v>
          </cell>
          <cell r="H162">
            <v>91</v>
          </cell>
          <cell r="I162">
            <v>0</v>
          </cell>
          <cell r="J162">
            <v>91</v>
          </cell>
        </row>
        <row r="163">
          <cell r="F163">
            <v>0</v>
          </cell>
          <cell r="G163">
            <v>0</v>
          </cell>
          <cell r="H163">
            <v>0</v>
          </cell>
          <cell r="I163">
            <v>0</v>
          </cell>
          <cell r="J163">
            <v>0</v>
          </cell>
        </row>
        <row r="164">
          <cell r="F164">
            <v>0</v>
          </cell>
          <cell r="G164">
            <v>0</v>
          </cell>
          <cell r="H164">
            <v>0</v>
          </cell>
          <cell r="I164">
            <v>0</v>
          </cell>
          <cell r="J164">
            <v>0</v>
          </cell>
        </row>
        <row r="165">
          <cell r="F165">
            <v>71</v>
          </cell>
          <cell r="G165">
            <v>0</v>
          </cell>
          <cell r="H165">
            <v>71</v>
          </cell>
          <cell r="I165">
            <v>0</v>
          </cell>
          <cell r="J165">
            <v>71</v>
          </cell>
        </row>
        <row r="167">
          <cell r="F167">
            <v>50000</v>
          </cell>
          <cell r="G167">
            <v>0</v>
          </cell>
          <cell r="H167">
            <v>50000</v>
          </cell>
          <cell r="I167">
            <v>0</v>
          </cell>
          <cell r="J167">
            <v>50000</v>
          </cell>
        </row>
        <row r="168">
          <cell r="F168">
            <v>50000</v>
          </cell>
          <cell r="G168">
            <v>0</v>
          </cell>
          <cell r="H168">
            <v>50000</v>
          </cell>
          <cell r="I168">
            <v>0</v>
          </cell>
          <cell r="J168">
            <v>50000</v>
          </cell>
        </row>
        <row r="170">
          <cell r="F170">
            <v>0</v>
          </cell>
          <cell r="G170">
            <v>0</v>
          </cell>
          <cell r="H170">
            <v>0</v>
          </cell>
          <cell r="I170">
            <v>0</v>
          </cell>
          <cell r="J170">
            <v>0</v>
          </cell>
        </row>
        <row r="171">
          <cell r="F171">
            <v>0</v>
          </cell>
          <cell r="G171">
            <v>0</v>
          </cell>
          <cell r="H171">
            <v>0</v>
          </cell>
          <cell r="I171">
            <v>0</v>
          </cell>
          <cell r="J171">
            <v>0</v>
          </cell>
        </row>
        <row r="172">
          <cell r="F172">
            <v>0</v>
          </cell>
          <cell r="G172">
            <v>0</v>
          </cell>
          <cell r="H172">
            <v>0</v>
          </cell>
          <cell r="I172">
            <v>0</v>
          </cell>
          <cell r="J172">
            <v>0</v>
          </cell>
        </row>
        <row r="173">
          <cell r="F173">
            <v>0</v>
          </cell>
          <cell r="G173">
            <v>0</v>
          </cell>
          <cell r="H173">
            <v>0</v>
          </cell>
          <cell r="I173">
            <v>0</v>
          </cell>
          <cell r="J173">
            <v>0</v>
          </cell>
        </row>
        <row r="174">
          <cell r="F174">
            <v>-1614</v>
          </cell>
          <cell r="G174">
            <v>0</v>
          </cell>
          <cell r="H174">
            <v>-1614</v>
          </cell>
          <cell r="I174">
            <v>0</v>
          </cell>
          <cell r="J174">
            <v>-1614</v>
          </cell>
        </row>
        <row r="175">
          <cell r="F175">
            <v>-259</v>
          </cell>
          <cell r="G175">
            <v>0</v>
          </cell>
          <cell r="H175">
            <v>-259</v>
          </cell>
          <cell r="I175">
            <v>224</v>
          </cell>
          <cell r="J175">
            <v>-35</v>
          </cell>
        </row>
        <row r="176">
          <cell r="F176">
            <v>-226</v>
          </cell>
          <cell r="G176">
            <v>0</v>
          </cell>
          <cell r="H176">
            <v>-226</v>
          </cell>
          <cell r="I176">
            <v>0</v>
          </cell>
          <cell r="J176">
            <v>-226</v>
          </cell>
        </row>
        <row r="177">
          <cell r="F177">
            <v>0</v>
          </cell>
          <cell r="G177">
            <v>0</v>
          </cell>
          <cell r="H177">
            <v>0</v>
          </cell>
          <cell r="I177">
            <v>0</v>
          </cell>
          <cell r="J177">
            <v>0</v>
          </cell>
        </row>
        <row r="178">
          <cell r="F178">
            <v>-2099</v>
          </cell>
          <cell r="G178">
            <v>0</v>
          </cell>
          <cell r="H178">
            <v>-2099</v>
          </cell>
          <cell r="I178">
            <v>224</v>
          </cell>
          <cell r="J178">
            <v>-1875</v>
          </cell>
        </row>
        <row r="180">
          <cell r="F180">
            <v>0</v>
          </cell>
          <cell r="G180">
            <v>0</v>
          </cell>
          <cell r="H180">
            <v>0</v>
          </cell>
          <cell r="I180">
            <v>0</v>
          </cell>
          <cell r="J180">
            <v>0</v>
          </cell>
        </row>
        <row r="181">
          <cell r="F181">
            <v>-23</v>
          </cell>
          <cell r="G181">
            <v>0</v>
          </cell>
          <cell r="H181">
            <v>-23</v>
          </cell>
          <cell r="I181">
            <v>0</v>
          </cell>
          <cell r="J181">
            <v>-23</v>
          </cell>
        </row>
        <row r="182">
          <cell r="F182">
            <v>-163</v>
          </cell>
          <cell r="G182">
            <v>0</v>
          </cell>
          <cell r="H182">
            <v>-163</v>
          </cell>
          <cell r="I182">
            <v>0</v>
          </cell>
          <cell r="J182">
            <v>-163</v>
          </cell>
        </row>
        <row r="183">
          <cell r="F183">
            <v>-22</v>
          </cell>
          <cell r="G183">
            <v>0</v>
          </cell>
          <cell r="H183">
            <v>-22</v>
          </cell>
          <cell r="I183">
            <v>0</v>
          </cell>
          <cell r="J183">
            <v>-22</v>
          </cell>
        </row>
        <row r="184">
          <cell r="F184">
            <v>-208</v>
          </cell>
          <cell r="G184">
            <v>0</v>
          </cell>
          <cell r="H184">
            <v>-208</v>
          </cell>
          <cell r="I184">
            <v>0</v>
          </cell>
          <cell r="J184">
            <v>-208</v>
          </cell>
        </row>
        <row r="186">
          <cell r="F186">
            <v>0</v>
          </cell>
          <cell r="G186">
            <v>0</v>
          </cell>
          <cell r="H186">
            <v>0</v>
          </cell>
          <cell r="I186">
            <v>0</v>
          </cell>
          <cell r="J186">
            <v>0</v>
          </cell>
        </row>
        <row r="187">
          <cell r="F187">
            <v>-462</v>
          </cell>
          <cell r="G187">
            <v>0</v>
          </cell>
          <cell r="H187">
            <v>-462</v>
          </cell>
          <cell r="I187">
            <v>0</v>
          </cell>
          <cell r="J187">
            <v>-462</v>
          </cell>
        </row>
        <row r="188">
          <cell r="F188">
            <v>-462</v>
          </cell>
          <cell r="G188">
            <v>0</v>
          </cell>
          <cell r="H188">
            <v>-462</v>
          </cell>
          <cell r="I188">
            <v>0</v>
          </cell>
          <cell r="J188">
            <v>-462</v>
          </cell>
        </row>
        <row r="190">
          <cell r="F190">
            <v>0</v>
          </cell>
          <cell r="G190">
            <v>0</v>
          </cell>
          <cell r="H190">
            <v>0</v>
          </cell>
          <cell r="I190">
            <v>0</v>
          </cell>
          <cell r="J190">
            <v>0</v>
          </cell>
        </row>
        <row r="191">
          <cell r="F191">
            <v>0</v>
          </cell>
          <cell r="G191">
            <v>0</v>
          </cell>
          <cell r="H191">
            <v>0</v>
          </cell>
          <cell r="I191">
            <v>0</v>
          </cell>
          <cell r="J191">
            <v>0</v>
          </cell>
        </row>
        <row r="192">
          <cell r="F192">
            <v>0</v>
          </cell>
          <cell r="G192">
            <v>0</v>
          </cell>
          <cell r="H192">
            <v>0</v>
          </cell>
          <cell r="I192">
            <v>0</v>
          </cell>
          <cell r="J192">
            <v>0</v>
          </cell>
        </row>
        <row r="193">
          <cell r="F193">
            <v>-47</v>
          </cell>
          <cell r="G193">
            <v>0</v>
          </cell>
          <cell r="H193">
            <v>-47</v>
          </cell>
          <cell r="I193">
            <v>0</v>
          </cell>
          <cell r="J193">
            <v>-47</v>
          </cell>
        </row>
        <row r="194">
          <cell r="F194">
            <v>-47</v>
          </cell>
          <cell r="G194">
            <v>0</v>
          </cell>
          <cell r="H194">
            <v>-47</v>
          </cell>
          <cell r="I194">
            <v>0</v>
          </cell>
          <cell r="J194">
            <v>-47</v>
          </cell>
        </row>
        <row r="196">
          <cell r="F196">
            <v>0</v>
          </cell>
          <cell r="G196">
            <v>0</v>
          </cell>
          <cell r="H196">
            <v>0</v>
          </cell>
          <cell r="I196">
            <v>0</v>
          </cell>
          <cell r="J196">
            <v>0</v>
          </cell>
        </row>
        <row r="198">
          <cell r="F198">
            <v>0</v>
          </cell>
          <cell r="G198">
            <v>0</v>
          </cell>
          <cell r="H198">
            <v>0</v>
          </cell>
          <cell r="I198">
            <v>0</v>
          </cell>
          <cell r="J198">
            <v>0</v>
          </cell>
        </row>
        <row r="199">
          <cell r="F199">
            <v>0</v>
          </cell>
          <cell r="G199">
            <v>0</v>
          </cell>
          <cell r="H199">
            <v>0</v>
          </cell>
          <cell r="I199">
            <v>0</v>
          </cell>
          <cell r="J199">
            <v>0</v>
          </cell>
        </row>
        <row r="200">
          <cell r="F200">
            <v>0</v>
          </cell>
          <cell r="G200">
            <v>0</v>
          </cell>
          <cell r="H200">
            <v>0</v>
          </cell>
          <cell r="I200">
            <v>0</v>
          </cell>
          <cell r="J200">
            <v>0</v>
          </cell>
        </row>
        <row r="201">
          <cell r="F201">
            <v>0</v>
          </cell>
          <cell r="G201">
            <v>0</v>
          </cell>
          <cell r="H201">
            <v>0</v>
          </cell>
          <cell r="I201">
            <v>0</v>
          </cell>
          <cell r="J201">
            <v>0</v>
          </cell>
        </row>
        <row r="202">
          <cell r="F202">
            <v>0</v>
          </cell>
          <cell r="G202">
            <v>0</v>
          </cell>
          <cell r="H202">
            <v>0</v>
          </cell>
          <cell r="I202">
            <v>0</v>
          </cell>
          <cell r="J202">
            <v>0</v>
          </cell>
        </row>
        <row r="203">
          <cell r="F203">
            <v>0</v>
          </cell>
          <cell r="G203">
            <v>0</v>
          </cell>
          <cell r="H203">
            <v>0</v>
          </cell>
          <cell r="I203">
            <v>0</v>
          </cell>
          <cell r="J203">
            <v>0</v>
          </cell>
        </row>
        <row r="204">
          <cell r="F204">
            <v>0</v>
          </cell>
          <cell r="G204">
            <v>0</v>
          </cell>
          <cell r="H204">
            <v>0</v>
          </cell>
          <cell r="I204">
            <v>0</v>
          </cell>
          <cell r="J204">
            <v>0</v>
          </cell>
        </row>
        <row r="205">
          <cell r="F205">
            <v>0</v>
          </cell>
          <cell r="G205">
            <v>0</v>
          </cell>
          <cell r="H205">
            <v>0</v>
          </cell>
          <cell r="I205">
            <v>0</v>
          </cell>
          <cell r="J205">
            <v>0</v>
          </cell>
        </row>
        <row r="206">
          <cell r="F206">
            <v>0</v>
          </cell>
          <cell r="G206">
            <v>0</v>
          </cell>
          <cell r="H206">
            <v>0</v>
          </cell>
          <cell r="I206">
            <v>0</v>
          </cell>
          <cell r="J206">
            <v>0</v>
          </cell>
        </row>
        <row r="207">
          <cell r="F207">
            <v>0</v>
          </cell>
          <cell r="G207">
            <v>0</v>
          </cell>
          <cell r="H207">
            <v>0</v>
          </cell>
          <cell r="I207">
            <v>0</v>
          </cell>
          <cell r="J207">
            <v>0</v>
          </cell>
        </row>
        <row r="208">
          <cell r="F208">
            <v>0</v>
          </cell>
          <cell r="G208">
            <v>0</v>
          </cell>
          <cell r="H208">
            <v>0</v>
          </cell>
          <cell r="I208">
            <v>0</v>
          </cell>
          <cell r="J208">
            <v>0</v>
          </cell>
        </row>
        <row r="209">
          <cell r="F209">
            <v>0</v>
          </cell>
          <cell r="G209">
            <v>0</v>
          </cell>
          <cell r="H209">
            <v>0</v>
          </cell>
          <cell r="I209">
            <v>0</v>
          </cell>
          <cell r="J209">
            <v>0</v>
          </cell>
        </row>
        <row r="210">
          <cell r="F210">
            <v>0</v>
          </cell>
          <cell r="G210">
            <v>0</v>
          </cell>
          <cell r="H210">
            <v>0</v>
          </cell>
          <cell r="I210">
            <v>0</v>
          </cell>
          <cell r="J210">
            <v>0</v>
          </cell>
        </row>
        <row r="211">
          <cell r="F211">
            <v>0</v>
          </cell>
          <cell r="G211">
            <v>0</v>
          </cell>
          <cell r="H211">
            <v>0</v>
          </cell>
          <cell r="I211">
            <v>0</v>
          </cell>
          <cell r="J211">
            <v>0</v>
          </cell>
        </row>
        <row r="212">
          <cell r="F212">
            <v>0</v>
          </cell>
          <cell r="G212">
            <v>0</v>
          </cell>
          <cell r="H212">
            <v>0</v>
          </cell>
          <cell r="I212">
            <v>0</v>
          </cell>
          <cell r="J212">
            <v>0</v>
          </cell>
        </row>
        <row r="213">
          <cell r="F213">
            <v>0</v>
          </cell>
          <cell r="G213">
            <v>0</v>
          </cell>
          <cell r="H213">
            <v>0</v>
          </cell>
          <cell r="I213">
            <v>0</v>
          </cell>
          <cell r="J213">
            <v>0</v>
          </cell>
        </row>
        <row r="214">
          <cell r="F214">
            <v>0</v>
          </cell>
          <cell r="G214">
            <v>0</v>
          </cell>
          <cell r="H214">
            <v>0</v>
          </cell>
          <cell r="I214">
            <v>0</v>
          </cell>
          <cell r="J214">
            <v>0</v>
          </cell>
        </row>
        <row r="215">
          <cell r="F215">
            <v>0</v>
          </cell>
          <cell r="G215">
            <v>0</v>
          </cell>
          <cell r="H215">
            <v>0</v>
          </cell>
          <cell r="I215">
            <v>0</v>
          </cell>
          <cell r="J215">
            <v>0</v>
          </cell>
        </row>
        <row r="216">
          <cell r="F216">
            <v>0</v>
          </cell>
          <cell r="G216">
            <v>0</v>
          </cell>
          <cell r="H216">
            <v>0</v>
          </cell>
          <cell r="I216">
            <v>0</v>
          </cell>
          <cell r="J216">
            <v>0</v>
          </cell>
        </row>
        <row r="217">
          <cell r="F217">
            <v>0</v>
          </cell>
          <cell r="G217">
            <v>0</v>
          </cell>
          <cell r="H217">
            <v>0</v>
          </cell>
          <cell r="I217">
            <v>0</v>
          </cell>
          <cell r="J217">
            <v>0</v>
          </cell>
        </row>
        <row r="218">
          <cell r="F218">
            <v>0</v>
          </cell>
          <cell r="G218">
            <v>0</v>
          </cell>
          <cell r="H218">
            <v>0</v>
          </cell>
          <cell r="I218">
            <v>0</v>
          </cell>
          <cell r="J218">
            <v>0</v>
          </cell>
        </row>
        <row r="219">
          <cell r="F219">
            <v>0</v>
          </cell>
          <cell r="G219">
            <v>0</v>
          </cell>
          <cell r="H219">
            <v>0</v>
          </cell>
          <cell r="I219">
            <v>0</v>
          </cell>
          <cell r="J219">
            <v>0</v>
          </cell>
        </row>
        <row r="220">
          <cell r="F220">
            <v>0</v>
          </cell>
          <cell r="G220">
            <v>0</v>
          </cell>
          <cell r="H220">
            <v>0</v>
          </cell>
          <cell r="I220">
            <v>0</v>
          </cell>
          <cell r="J220">
            <v>0</v>
          </cell>
        </row>
        <row r="221">
          <cell r="F221">
            <v>0</v>
          </cell>
          <cell r="G221">
            <v>0</v>
          </cell>
          <cell r="H221">
            <v>0</v>
          </cell>
          <cell r="I221">
            <v>0</v>
          </cell>
          <cell r="J221">
            <v>0</v>
          </cell>
        </row>
        <row r="222">
          <cell r="F222">
            <v>0</v>
          </cell>
          <cell r="G222">
            <v>0</v>
          </cell>
          <cell r="H222">
            <v>0</v>
          </cell>
          <cell r="I222">
            <v>0</v>
          </cell>
          <cell r="J222">
            <v>0</v>
          </cell>
        </row>
        <row r="223">
          <cell r="F223">
            <v>0</v>
          </cell>
          <cell r="G223">
            <v>0</v>
          </cell>
          <cell r="H223">
            <v>0</v>
          </cell>
          <cell r="I223">
            <v>0</v>
          </cell>
          <cell r="J223">
            <v>0</v>
          </cell>
        </row>
        <row r="224">
          <cell r="F224">
            <v>0</v>
          </cell>
          <cell r="G224">
            <v>0</v>
          </cell>
          <cell r="H224">
            <v>0</v>
          </cell>
          <cell r="I224">
            <v>0</v>
          </cell>
          <cell r="J224">
            <v>0</v>
          </cell>
        </row>
        <row r="225">
          <cell r="F225">
            <v>0</v>
          </cell>
          <cell r="G225">
            <v>0</v>
          </cell>
          <cell r="H225">
            <v>0</v>
          </cell>
          <cell r="I225">
            <v>0</v>
          </cell>
          <cell r="J225">
            <v>0</v>
          </cell>
        </row>
        <row r="226">
          <cell r="F226">
            <v>0</v>
          </cell>
          <cell r="G226">
            <v>0</v>
          </cell>
          <cell r="H226">
            <v>0</v>
          </cell>
          <cell r="I226">
            <v>0</v>
          </cell>
          <cell r="J226">
            <v>0</v>
          </cell>
        </row>
        <row r="227">
          <cell r="F227">
            <v>0</v>
          </cell>
          <cell r="G227">
            <v>0</v>
          </cell>
          <cell r="H227">
            <v>0</v>
          </cell>
          <cell r="I227">
            <v>0</v>
          </cell>
          <cell r="J227">
            <v>0</v>
          </cell>
        </row>
        <row r="228">
          <cell r="F228">
            <v>0</v>
          </cell>
          <cell r="G228">
            <v>0</v>
          </cell>
          <cell r="H228">
            <v>0</v>
          </cell>
          <cell r="I228">
            <v>0</v>
          </cell>
          <cell r="J228">
            <v>0</v>
          </cell>
        </row>
        <row r="229">
          <cell r="F229">
            <v>0</v>
          </cell>
          <cell r="G229">
            <v>0</v>
          </cell>
          <cell r="H229">
            <v>0</v>
          </cell>
          <cell r="I229">
            <v>0</v>
          </cell>
          <cell r="J229">
            <v>0</v>
          </cell>
        </row>
        <row r="230">
          <cell r="F230">
            <v>-7579</v>
          </cell>
          <cell r="G230">
            <v>0</v>
          </cell>
          <cell r="H230">
            <v>-7579</v>
          </cell>
          <cell r="I230">
            <v>0</v>
          </cell>
          <cell r="J230">
            <v>-7579</v>
          </cell>
        </row>
        <row r="231">
          <cell r="F231">
            <v>-49</v>
          </cell>
          <cell r="G231">
            <v>0</v>
          </cell>
          <cell r="H231">
            <v>-49</v>
          </cell>
          <cell r="I231">
            <v>0</v>
          </cell>
          <cell r="J231">
            <v>-49</v>
          </cell>
        </row>
        <row r="232">
          <cell r="F232">
            <v>0</v>
          </cell>
          <cell r="G232">
            <v>0</v>
          </cell>
          <cell r="H232">
            <v>0</v>
          </cell>
          <cell r="I232">
            <v>0</v>
          </cell>
          <cell r="J232">
            <v>0</v>
          </cell>
        </row>
        <row r="233">
          <cell r="F233">
            <v>-24327</v>
          </cell>
          <cell r="G233">
            <v>0</v>
          </cell>
          <cell r="H233">
            <v>-24327</v>
          </cell>
          <cell r="I233">
            <v>0</v>
          </cell>
          <cell r="J233">
            <v>-24327</v>
          </cell>
        </row>
        <row r="234">
          <cell r="F234">
            <v>-325</v>
          </cell>
          <cell r="G234">
            <v>0</v>
          </cell>
          <cell r="H234">
            <v>-325</v>
          </cell>
          <cell r="I234">
            <v>0</v>
          </cell>
          <cell r="J234">
            <v>-325</v>
          </cell>
        </row>
        <row r="235">
          <cell r="F235">
            <v>-26</v>
          </cell>
          <cell r="G235">
            <v>0</v>
          </cell>
          <cell r="H235">
            <v>-26</v>
          </cell>
          <cell r="I235">
            <v>0</v>
          </cell>
          <cell r="J235">
            <v>-26</v>
          </cell>
        </row>
        <row r="236">
          <cell r="F236">
            <v>0</v>
          </cell>
          <cell r="G236">
            <v>0</v>
          </cell>
          <cell r="H236">
            <v>0</v>
          </cell>
          <cell r="I236">
            <v>0</v>
          </cell>
          <cell r="J236">
            <v>0</v>
          </cell>
        </row>
        <row r="237">
          <cell r="F237">
            <v>0</v>
          </cell>
          <cell r="G237">
            <v>0</v>
          </cell>
          <cell r="H237">
            <v>0</v>
          </cell>
          <cell r="I237">
            <v>0</v>
          </cell>
          <cell r="J237">
            <v>0</v>
          </cell>
        </row>
        <row r="238">
          <cell r="F238">
            <v>-165</v>
          </cell>
          <cell r="G238">
            <v>0</v>
          </cell>
          <cell r="H238">
            <v>-165</v>
          </cell>
          <cell r="I238">
            <v>0</v>
          </cell>
          <cell r="J238">
            <v>-165</v>
          </cell>
        </row>
        <row r="239">
          <cell r="F239">
            <v>-17</v>
          </cell>
          <cell r="G239">
            <v>0</v>
          </cell>
          <cell r="H239">
            <v>-17</v>
          </cell>
          <cell r="I239">
            <v>0</v>
          </cell>
          <cell r="J239">
            <v>-17</v>
          </cell>
        </row>
        <row r="240">
          <cell r="F240">
            <v>-69</v>
          </cell>
          <cell r="G240">
            <v>0</v>
          </cell>
          <cell r="H240">
            <v>-69</v>
          </cell>
          <cell r="I240">
            <v>0</v>
          </cell>
          <cell r="J240">
            <v>-69</v>
          </cell>
        </row>
        <row r="241">
          <cell r="F241">
            <v>-474</v>
          </cell>
          <cell r="G241">
            <v>0</v>
          </cell>
          <cell r="H241">
            <v>-474</v>
          </cell>
          <cell r="I241">
            <v>0</v>
          </cell>
          <cell r="J241">
            <v>-474</v>
          </cell>
        </row>
        <row r="242">
          <cell r="F242">
            <v>-139</v>
          </cell>
          <cell r="G242">
            <v>0</v>
          </cell>
          <cell r="H242">
            <v>-139</v>
          </cell>
          <cell r="I242">
            <v>0</v>
          </cell>
          <cell r="J242">
            <v>-139</v>
          </cell>
        </row>
        <row r="243">
          <cell r="F243">
            <v>0</v>
          </cell>
          <cell r="G243">
            <v>0</v>
          </cell>
          <cell r="H243">
            <v>0</v>
          </cell>
          <cell r="I243">
            <v>-224</v>
          </cell>
          <cell r="J243">
            <v>-224</v>
          </cell>
        </row>
        <row r="244">
          <cell r="F244">
            <v>-33170</v>
          </cell>
          <cell r="G244">
            <v>0</v>
          </cell>
          <cell r="H244">
            <v>-33170</v>
          </cell>
          <cell r="I244">
            <v>-224</v>
          </cell>
          <cell r="J244">
            <v>-33394</v>
          </cell>
        </row>
        <row r="246">
          <cell r="F246">
            <v>0</v>
          </cell>
          <cell r="G246">
            <v>0</v>
          </cell>
          <cell r="H246">
            <v>0</v>
          </cell>
          <cell r="I246">
            <v>0</v>
          </cell>
          <cell r="J246">
            <v>0</v>
          </cell>
        </row>
        <row r="248">
          <cell r="F248">
            <v>0</v>
          </cell>
          <cell r="G248">
            <v>0</v>
          </cell>
          <cell r="H248">
            <v>0</v>
          </cell>
          <cell r="I248">
            <v>0</v>
          </cell>
          <cell r="J248">
            <v>0</v>
          </cell>
        </row>
        <row r="250">
          <cell r="F250">
            <v>-2</v>
          </cell>
          <cell r="G250">
            <v>0</v>
          </cell>
          <cell r="H250">
            <v>-2</v>
          </cell>
          <cell r="I250">
            <v>0</v>
          </cell>
          <cell r="J250">
            <v>-2</v>
          </cell>
        </row>
        <row r="251">
          <cell r="F251">
            <v>0</v>
          </cell>
          <cell r="G251">
            <v>0</v>
          </cell>
          <cell r="H251">
            <v>0</v>
          </cell>
          <cell r="I251">
            <v>0</v>
          </cell>
          <cell r="J251">
            <v>0</v>
          </cell>
        </row>
        <row r="252">
          <cell r="F252">
            <v>0</v>
          </cell>
          <cell r="G252">
            <v>0</v>
          </cell>
          <cell r="H252">
            <v>0</v>
          </cell>
          <cell r="I252">
            <v>0</v>
          </cell>
          <cell r="J252">
            <v>0</v>
          </cell>
        </row>
        <row r="253">
          <cell r="F253">
            <v>0</v>
          </cell>
          <cell r="G253">
            <v>0</v>
          </cell>
          <cell r="H253">
            <v>0</v>
          </cell>
          <cell r="I253">
            <v>0</v>
          </cell>
          <cell r="J253">
            <v>0</v>
          </cell>
        </row>
        <row r="254">
          <cell r="F254">
            <v>0</v>
          </cell>
          <cell r="G254">
            <v>0</v>
          </cell>
          <cell r="H254">
            <v>0</v>
          </cell>
          <cell r="I254">
            <v>0</v>
          </cell>
          <cell r="J254">
            <v>0</v>
          </cell>
        </row>
        <row r="255">
          <cell r="F255">
            <v>0</v>
          </cell>
          <cell r="G255">
            <v>0</v>
          </cell>
          <cell r="H255">
            <v>0</v>
          </cell>
          <cell r="I255">
            <v>0</v>
          </cell>
          <cell r="J255">
            <v>0</v>
          </cell>
        </row>
        <row r="256">
          <cell r="F256">
            <v>0</v>
          </cell>
          <cell r="G256">
            <v>0</v>
          </cell>
          <cell r="H256">
            <v>0</v>
          </cell>
          <cell r="I256">
            <v>0</v>
          </cell>
          <cell r="J256">
            <v>0</v>
          </cell>
        </row>
        <row r="257">
          <cell r="F257">
            <v>0</v>
          </cell>
          <cell r="G257">
            <v>0</v>
          </cell>
          <cell r="H257">
            <v>0</v>
          </cell>
          <cell r="I257">
            <v>0</v>
          </cell>
          <cell r="J257">
            <v>0</v>
          </cell>
        </row>
        <row r="258">
          <cell r="F258">
            <v>-2</v>
          </cell>
          <cell r="G258">
            <v>0</v>
          </cell>
          <cell r="H258">
            <v>-2</v>
          </cell>
          <cell r="I258">
            <v>0</v>
          </cell>
          <cell r="J258">
            <v>-2</v>
          </cell>
        </row>
        <row r="260">
          <cell r="F260">
            <v>-1059</v>
          </cell>
          <cell r="G260">
            <v>0</v>
          </cell>
          <cell r="H260">
            <v>-1059</v>
          </cell>
          <cell r="I260">
            <v>0</v>
          </cell>
          <cell r="J260">
            <v>-1059</v>
          </cell>
        </row>
        <row r="261">
          <cell r="F261">
            <v>-1059</v>
          </cell>
          <cell r="G261">
            <v>0</v>
          </cell>
          <cell r="H261">
            <v>-1059</v>
          </cell>
          <cell r="I261">
            <v>0</v>
          </cell>
          <cell r="J261">
            <v>-1059</v>
          </cell>
        </row>
        <row r="263">
          <cell r="F263">
            <v>0</v>
          </cell>
          <cell r="G263">
            <v>0</v>
          </cell>
          <cell r="H263">
            <v>0</v>
          </cell>
          <cell r="I263">
            <v>0</v>
          </cell>
          <cell r="J263">
            <v>0</v>
          </cell>
        </row>
        <row r="264">
          <cell r="F264">
            <v>0</v>
          </cell>
          <cell r="G264">
            <v>0</v>
          </cell>
          <cell r="H264">
            <v>0</v>
          </cell>
          <cell r="I264">
            <v>0</v>
          </cell>
          <cell r="J264">
            <v>0</v>
          </cell>
        </row>
        <row r="265">
          <cell r="F265">
            <v>0</v>
          </cell>
          <cell r="G265">
            <v>0</v>
          </cell>
          <cell r="H265">
            <v>0</v>
          </cell>
          <cell r="I265">
            <v>0</v>
          </cell>
          <cell r="J265">
            <v>0</v>
          </cell>
        </row>
        <row r="266">
          <cell r="F266">
            <v>0</v>
          </cell>
          <cell r="G266">
            <v>0</v>
          </cell>
          <cell r="H266">
            <v>0</v>
          </cell>
          <cell r="I266">
            <v>0</v>
          </cell>
          <cell r="J266">
            <v>0</v>
          </cell>
        </row>
        <row r="267">
          <cell r="F267">
            <v>0</v>
          </cell>
          <cell r="G267">
            <v>0</v>
          </cell>
          <cell r="H267">
            <v>0</v>
          </cell>
          <cell r="I267">
            <v>0</v>
          </cell>
          <cell r="J267">
            <v>0</v>
          </cell>
        </row>
        <row r="268">
          <cell r="F268">
            <v>0</v>
          </cell>
          <cell r="G268">
            <v>0</v>
          </cell>
          <cell r="H268">
            <v>0</v>
          </cell>
          <cell r="I268">
            <v>0</v>
          </cell>
          <cell r="J268">
            <v>0</v>
          </cell>
        </row>
        <row r="269">
          <cell r="F269">
            <v>0</v>
          </cell>
          <cell r="G269">
            <v>0</v>
          </cell>
          <cell r="H269">
            <v>0</v>
          </cell>
          <cell r="I269">
            <v>0</v>
          </cell>
          <cell r="J269">
            <v>0</v>
          </cell>
        </row>
        <row r="270">
          <cell r="F270">
            <v>0</v>
          </cell>
          <cell r="G270">
            <v>0</v>
          </cell>
          <cell r="H270">
            <v>0</v>
          </cell>
          <cell r="I270">
            <v>0</v>
          </cell>
          <cell r="J270">
            <v>0</v>
          </cell>
        </row>
        <row r="271">
          <cell r="F271">
            <v>0</v>
          </cell>
          <cell r="G271">
            <v>0</v>
          </cell>
          <cell r="H271">
            <v>0</v>
          </cell>
          <cell r="I271">
            <v>0</v>
          </cell>
          <cell r="J271">
            <v>0</v>
          </cell>
        </row>
        <row r="272">
          <cell r="F272">
            <v>0</v>
          </cell>
          <cell r="G272">
            <v>0</v>
          </cell>
          <cell r="H272">
            <v>0</v>
          </cell>
          <cell r="I272">
            <v>0</v>
          </cell>
          <cell r="J272">
            <v>0</v>
          </cell>
        </row>
        <row r="273">
          <cell r="F273">
            <v>0</v>
          </cell>
          <cell r="G273">
            <v>0</v>
          </cell>
          <cell r="H273">
            <v>0</v>
          </cell>
          <cell r="I273">
            <v>0</v>
          </cell>
          <cell r="J273">
            <v>0</v>
          </cell>
        </row>
        <row r="274">
          <cell r="F274">
            <v>0</v>
          </cell>
          <cell r="G274">
            <v>0</v>
          </cell>
          <cell r="H274">
            <v>0</v>
          </cell>
          <cell r="I274">
            <v>0</v>
          </cell>
          <cell r="J274">
            <v>0</v>
          </cell>
        </row>
        <row r="275">
          <cell r="F275">
            <v>0</v>
          </cell>
          <cell r="G275">
            <v>0</v>
          </cell>
          <cell r="H275">
            <v>0</v>
          </cell>
          <cell r="I275">
            <v>0</v>
          </cell>
          <cell r="J275">
            <v>0</v>
          </cell>
        </row>
        <row r="276">
          <cell r="F276">
            <v>0</v>
          </cell>
          <cell r="G276">
            <v>0</v>
          </cell>
          <cell r="H276">
            <v>0</v>
          </cell>
          <cell r="I276">
            <v>0</v>
          </cell>
          <cell r="J276">
            <v>0</v>
          </cell>
        </row>
        <row r="277">
          <cell r="F277">
            <v>0</v>
          </cell>
          <cell r="G277">
            <v>0</v>
          </cell>
          <cell r="H277">
            <v>0</v>
          </cell>
          <cell r="I277">
            <v>0</v>
          </cell>
          <cell r="J277">
            <v>0</v>
          </cell>
        </row>
        <row r="278">
          <cell r="F278">
            <v>0</v>
          </cell>
          <cell r="G278">
            <v>0</v>
          </cell>
          <cell r="H278">
            <v>0</v>
          </cell>
          <cell r="I278">
            <v>0</v>
          </cell>
          <cell r="J278">
            <v>0</v>
          </cell>
        </row>
        <row r="279">
          <cell r="F279">
            <v>0</v>
          </cell>
          <cell r="G279">
            <v>0</v>
          </cell>
          <cell r="H279">
            <v>0</v>
          </cell>
          <cell r="I279">
            <v>0</v>
          </cell>
          <cell r="J279">
            <v>0</v>
          </cell>
        </row>
        <row r="280">
          <cell r="F280">
            <v>0</v>
          </cell>
          <cell r="G280">
            <v>0</v>
          </cell>
          <cell r="H280">
            <v>0</v>
          </cell>
          <cell r="I280">
            <v>0</v>
          </cell>
          <cell r="J280">
            <v>0</v>
          </cell>
        </row>
        <row r="281">
          <cell r="F281">
            <v>0</v>
          </cell>
          <cell r="G281">
            <v>0</v>
          </cell>
          <cell r="H281">
            <v>0</v>
          </cell>
          <cell r="I281">
            <v>0</v>
          </cell>
          <cell r="J281">
            <v>0</v>
          </cell>
        </row>
        <row r="282">
          <cell r="F282">
            <v>0</v>
          </cell>
          <cell r="G282">
            <v>0</v>
          </cell>
          <cell r="H282">
            <v>0</v>
          </cell>
          <cell r="I282">
            <v>0</v>
          </cell>
          <cell r="J282">
            <v>0</v>
          </cell>
        </row>
        <row r="283">
          <cell r="F283">
            <v>0</v>
          </cell>
          <cell r="G283">
            <v>0</v>
          </cell>
          <cell r="H283">
            <v>0</v>
          </cell>
          <cell r="I283">
            <v>0</v>
          </cell>
          <cell r="J283">
            <v>0</v>
          </cell>
        </row>
        <row r="285">
          <cell r="F285">
            <v>-157592</v>
          </cell>
          <cell r="G285">
            <v>0</v>
          </cell>
          <cell r="H285">
            <v>-157592</v>
          </cell>
          <cell r="I285">
            <v>0</v>
          </cell>
          <cell r="J285">
            <v>-157592</v>
          </cell>
        </row>
        <row r="286">
          <cell r="F286">
            <v>83419</v>
          </cell>
          <cell r="G286">
            <v>0</v>
          </cell>
          <cell r="H286">
            <v>83419</v>
          </cell>
          <cell r="I286">
            <v>0</v>
          </cell>
          <cell r="J286">
            <v>83419</v>
          </cell>
        </row>
        <row r="287">
          <cell r="F287">
            <v>0</v>
          </cell>
          <cell r="G287">
            <v>0</v>
          </cell>
          <cell r="H287">
            <v>0</v>
          </cell>
          <cell r="I287">
            <v>0</v>
          </cell>
          <cell r="J287">
            <v>0</v>
          </cell>
        </row>
        <row r="288">
          <cell r="F288">
            <v>-131368</v>
          </cell>
          <cell r="G288">
            <v>0</v>
          </cell>
          <cell r="H288">
            <v>-131368</v>
          </cell>
          <cell r="I288">
            <v>0</v>
          </cell>
          <cell r="J288">
            <v>-131368</v>
          </cell>
        </row>
        <row r="289">
          <cell r="F289">
            <v>113790</v>
          </cell>
          <cell r="G289">
            <v>0</v>
          </cell>
          <cell r="H289">
            <v>113790</v>
          </cell>
          <cell r="I289">
            <v>0</v>
          </cell>
          <cell r="J289">
            <v>113790</v>
          </cell>
        </row>
        <row r="290">
          <cell r="F290">
            <v>0</v>
          </cell>
          <cell r="G290">
            <v>0</v>
          </cell>
          <cell r="H290">
            <v>0</v>
          </cell>
          <cell r="I290">
            <v>0</v>
          </cell>
          <cell r="J290">
            <v>0</v>
          </cell>
        </row>
        <row r="291">
          <cell r="F291">
            <v>-1131446</v>
          </cell>
          <cell r="G291">
            <v>0</v>
          </cell>
          <cell r="H291">
            <v>-1131446</v>
          </cell>
          <cell r="I291">
            <v>0</v>
          </cell>
          <cell r="J291">
            <v>-1131446</v>
          </cell>
        </row>
        <row r="292">
          <cell r="F292">
            <v>-1223197</v>
          </cell>
          <cell r="G292">
            <v>0</v>
          </cell>
          <cell r="H292">
            <v>-1223197</v>
          </cell>
          <cell r="I292">
            <v>0</v>
          </cell>
          <cell r="J292">
            <v>-1223197</v>
          </cell>
        </row>
        <row r="294">
          <cell r="F294">
            <v>0</v>
          </cell>
          <cell r="G294">
            <v>0</v>
          </cell>
          <cell r="H294">
            <v>0</v>
          </cell>
          <cell r="I294">
            <v>0</v>
          </cell>
          <cell r="J294">
            <v>0</v>
          </cell>
        </row>
        <row r="295">
          <cell r="F295">
            <v>0</v>
          </cell>
          <cell r="G295">
            <v>0</v>
          </cell>
          <cell r="H295">
            <v>0</v>
          </cell>
          <cell r="I295">
            <v>0</v>
          </cell>
          <cell r="J295">
            <v>0</v>
          </cell>
        </row>
        <row r="296">
          <cell r="F296">
            <v>0</v>
          </cell>
          <cell r="G296">
            <v>0</v>
          </cell>
          <cell r="H296">
            <v>0</v>
          </cell>
          <cell r="I296">
            <v>0</v>
          </cell>
          <cell r="J296">
            <v>0</v>
          </cell>
        </row>
        <row r="297">
          <cell r="F297">
            <v>0</v>
          </cell>
          <cell r="G297">
            <v>0</v>
          </cell>
          <cell r="H297">
            <v>0</v>
          </cell>
          <cell r="I297">
            <v>0</v>
          </cell>
          <cell r="J297">
            <v>0</v>
          </cell>
        </row>
        <row r="298">
          <cell r="F298">
            <v>0</v>
          </cell>
          <cell r="G298">
            <v>0</v>
          </cell>
          <cell r="H298">
            <v>0</v>
          </cell>
          <cell r="I298">
            <v>0</v>
          </cell>
          <cell r="J298">
            <v>0</v>
          </cell>
        </row>
        <row r="299">
          <cell r="F299">
            <v>0</v>
          </cell>
          <cell r="G299">
            <v>0</v>
          </cell>
          <cell r="H299">
            <v>0</v>
          </cell>
          <cell r="I299">
            <v>0</v>
          </cell>
          <cell r="J299">
            <v>0</v>
          </cell>
        </row>
        <row r="300">
          <cell r="F300">
            <v>0</v>
          </cell>
          <cell r="G300">
            <v>0</v>
          </cell>
          <cell r="H300">
            <v>0</v>
          </cell>
          <cell r="I300">
            <v>0</v>
          </cell>
          <cell r="J300">
            <v>0</v>
          </cell>
        </row>
        <row r="301">
          <cell r="F301">
            <v>0</v>
          </cell>
          <cell r="G301">
            <v>0</v>
          </cell>
          <cell r="H301">
            <v>0</v>
          </cell>
          <cell r="I301">
            <v>0</v>
          </cell>
          <cell r="J301">
            <v>0</v>
          </cell>
        </row>
        <row r="302">
          <cell r="F302">
            <v>607</v>
          </cell>
          <cell r="G302">
            <v>0</v>
          </cell>
          <cell r="H302">
            <v>607</v>
          </cell>
          <cell r="I302">
            <v>0</v>
          </cell>
          <cell r="J302">
            <v>607</v>
          </cell>
        </row>
        <row r="303">
          <cell r="F303">
            <v>607</v>
          </cell>
          <cell r="G303">
            <v>0</v>
          </cell>
          <cell r="H303">
            <v>607</v>
          </cell>
          <cell r="I303">
            <v>0</v>
          </cell>
          <cell r="J303">
            <v>607</v>
          </cell>
        </row>
        <row r="305">
          <cell r="F305">
            <v>0</v>
          </cell>
          <cell r="G305">
            <v>0</v>
          </cell>
          <cell r="H305">
            <v>0</v>
          </cell>
          <cell r="I305">
            <v>0</v>
          </cell>
          <cell r="J305">
            <v>0</v>
          </cell>
        </row>
        <row r="306">
          <cell r="F306">
            <v>0</v>
          </cell>
          <cell r="G306">
            <v>0</v>
          </cell>
          <cell r="H306">
            <v>0</v>
          </cell>
          <cell r="I306">
            <v>0</v>
          </cell>
          <cell r="J306">
            <v>0</v>
          </cell>
        </row>
        <row r="307">
          <cell r="F307">
            <v>0</v>
          </cell>
          <cell r="G307">
            <v>0</v>
          </cell>
          <cell r="H307">
            <v>0</v>
          </cell>
          <cell r="I307">
            <v>0</v>
          </cell>
          <cell r="J307">
            <v>0</v>
          </cell>
        </row>
        <row r="308">
          <cell r="F308">
            <v>0</v>
          </cell>
          <cell r="G308">
            <v>0</v>
          </cell>
          <cell r="H308">
            <v>0</v>
          </cell>
          <cell r="I308">
            <v>0</v>
          </cell>
          <cell r="J308">
            <v>0</v>
          </cell>
        </row>
        <row r="309">
          <cell r="F309">
            <v>0</v>
          </cell>
          <cell r="G309">
            <v>0</v>
          </cell>
          <cell r="H309">
            <v>0</v>
          </cell>
          <cell r="I309">
            <v>0</v>
          </cell>
          <cell r="J309">
            <v>0</v>
          </cell>
        </row>
        <row r="310">
          <cell r="F310">
            <v>0</v>
          </cell>
          <cell r="G310">
            <v>0</v>
          </cell>
          <cell r="H310">
            <v>0</v>
          </cell>
          <cell r="I310">
            <v>0</v>
          </cell>
          <cell r="J310">
            <v>0</v>
          </cell>
        </row>
        <row r="311">
          <cell r="F311">
            <v>0</v>
          </cell>
          <cell r="G311">
            <v>0</v>
          </cell>
          <cell r="H311">
            <v>0</v>
          </cell>
          <cell r="I311">
            <v>0</v>
          </cell>
          <cell r="J311">
            <v>0</v>
          </cell>
        </row>
        <row r="312">
          <cell r="F312">
            <v>0</v>
          </cell>
          <cell r="G312">
            <v>0</v>
          </cell>
          <cell r="H312">
            <v>0</v>
          </cell>
          <cell r="I312">
            <v>0</v>
          </cell>
          <cell r="J312">
            <v>0</v>
          </cell>
        </row>
        <row r="313">
          <cell r="F313">
            <v>0</v>
          </cell>
          <cell r="G313">
            <v>0</v>
          </cell>
          <cell r="H313">
            <v>0</v>
          </cell>
          <cell r="I313">
            <v>0</v>
          </cell>
          <cell r="J313">
            <v>0</v>
          </cell>
        </row>
        <row r="314">
          <cell r="F314">
            <v>0</v>
          </cell>
          <cell r="G314">
            <v>0</v>
          </cell>
          <cell r="H314">
            <v>0</v>
          </cell>
          <cell r="I314">
            <v>0</v>
          </cell>
          <cell r="J314">
            <v>0</v>
          </cell>
        </row>
        <row r="315">
          <cell r="F315">
            <v>6274</v>
          </cell>
          <cell r="G315">
            <v>0</v>
          </cell>
          <cell r="H315">
            <v>6274</v>
          </cell>
          <cell r="I315">
            <v>0</v>
          </cell>
          <cell r="J315">
            <v>6274</v>
          </cell>
        </row>
        <row r="316">
          <cell r="F316">
            <v>6274</v>
          </cell>
          <cell r="G316">
            <v>0</v>
          </cell>
          <cell r="H316">
            <v>6274</v>
          </cell>
          <cell r="I316">
            <v>0</v>
          </cell>
          <cell r="J316">
            <v>6274</v>
          </cell>
        </row>
        <row r="318">
          <cell r="F318">
            <v>0</v>
          </cell>
          <cell r="G318">
            <v>0</v>
          </cell>
          <cell r="H318">
            <v>0</v>
          </cell>
          <cell r="I318">
            <v>0</v>
          </cell>
          <cell r="J318">
            <v>0</v>
          </cell>
        </row>
        <row r="319">
          <cell r="F319">
            <v>0</v>
          </cell>
          <cell r="G319">
            <v>0</v>
          </cell>
          <cell r="H319">
            <v>0</v>
          </cell>
          <cell r="I319">
            <v>0</v>
          </cell>
          <cell r="J319">
            <v>0</v>
          </cell>
        </row>
        <row r="320">
          <cell r="F320">
            <v>0</v>
          </cell>
          <cell r="G320">
            <v>0</v>
          </cell>
          <cell r="H320">
            <v>0</v>
          </cell>
          <cell r="I320">
            <v>0</v>
          </cell>
          <cell r="J320">
            <v>0</v>
          </cell>
        </row>
        <row r="321">
          <cell r="F321">
            <v>0</v>
          </cell>
          <cell r="G321">
            <v>0</v>
          </cell>
          <cell r="H321">
            <v>0</v>
          </cell>
          <cell r="I321">
            <v>0</v>
          </cell>
          <cell r="J321">
            <v>0</v>
          </cell>
        </row>
        <row r="322">
          <cell r="F322">
            <v>0</v>
          </cell>
          <cell r="G322">
            <v>0</v>
          </cell>
          <cell r="H322">
            <v>0</v>
          </cell>
          <cell r="I322">
            <v>0</v>
          </cell>
          <cell r="J322">
            <v>0</v>
          </cell>
        </row>
        <row r="323">
          <cell r="F323">
            <v>-5576</v>
          </cell>
          <cell r="G323">
            <v>0</v>
          </cell>
          <cell r="H323">
            <v>-5576</v>
          </cell>
          <cell r="I323">
            <v>0</v>
          </cell>
          <cell r="J323">
            <v>-5576</v>
          </cell>
        </row>
        <row r="324">
          <cell r="F324">
            <v>20</v>
          </cell>
          <cell r="G324">
            <v>0</v>
          </cell>
          <cell r="H324">
            <v>20</v>
          </cell>
          <cell r="I324">
            <v>-16</v>
          </cell>
          <cell r="J324">
            <v>4</v>
          </cell>
        </row>
        <row r="325">
          <cell r="F325">
            <v>0</v>
          </cell>
          <cell r="G325">
            <v>0</v>
          </cell>
          <cell r="H325">
            <v>0</v>
          </cell>
          <cell r="I325">
            <v>0</v>
          </cell>
          <cell r="J325">
            <v>0</v>
          </cell>
        </row>
        <row r="326">
          <cell r="F326">
            <v>-5556</v>
          </cell>
          <cell r="G326">
            <v>0</v>
          </cell>
          <cell r="H326">
            <v>-5556</v>
          </cell>
          <cell r="I326">
            <v>-16</v>
          </cell>
          <cell r="J326">
            <v>-5572</v>
          </cell>
        </row>
        <row r="328">
          <cell r="F328">
            <v>0</v>
          </cell>
          <cell r="G328">
            <v>0</v>
          </cell>
          <cell r="H328">
            <v>0</v>
          </cell>
          <cell r="I328">
            <v>0</v>
          </cell>
          <cell r="J328">
            <v>0</v>
          </cell>
        </row>
        <row r="330">
          <cell r="F330">
            <v>0</v>
          </cell>
          <cell r="G330">
            <v>0</v>
          </cell>
          <cell r="H330">
            <v>0</v>
          </cell>
          <cell r="I330">
            <v>0</v>
          </cell>
          <cell r="J330">
            <v>0</v>
          </cell>
        </row>
        <row r="331">
          <cell r="F331">
            <v>0</v>
          </cell>
          <cell r="G331">
            <v>0</v>
          </cell>
          <cell r="H331">
            <v>0</v>
          </cell>
          <cell r="I331">
            <v>0</v>
          </cell>
          <cell r="J331">
            <v>0</v>
          </cell>
        </row>
        <row r="332">
          <cell r="F332">
            <v>0</v>
          </cell>
          <cell r="G332">
            <v>0</v>
          </cell>
          <cell r="H332">
            <v>0</v>
          </cell>
          <cell r="I332">
            <v>0</v>
          </cell>
          <cell r="J332">
            <v>0</v>
          </cell>
        </row>
        <row r="333">
          <cell r="F333">
            <v>0</v>
          </cell>
          <cell r="G333">
            <v>0</v>
          </cell>
          <cell r="H333">
            <v>0</v>
          </cell>
          <cell r="I333">
            <v>0</v>
          </cell>
          <cell r="J333">
            <v>0</v>
          </cell>
        </row>
        <row r="334">
          <cell r="F334">
            <v>0</v>
          </cell>
          <cell r="G334">
            <v>0</v>
          </cell>
          <cell r="H334">
            <v>0</v>
          </cell>
          <cell r="I334">
            <v>0</v>
          </cell>
          <cell r="J334">
            <v>0</v>
          </cell>
        </row>
        <row r="335">
          <cell r="F335">
            <v>0</v>
          </cell>
          <cell r="G335">
            <v>0</v>
          </cell>
          <cell r="H335">
            <v>0</v>
          </cell>
          <cell r="I335">
            <v>0</v>
          </cell>
          <cell r="J335">
            <v>0</v>
          </cell>
        </row>
        <row r="336">
          <cell r="F336">
            <v>0</v>
          </cell>
          <cell r="G336">
            <v>0</v>
          </cell>
          <cell r="H336">
            <v>0</v>
          </cell>
          <cell r="I336">
            <v>0</v>
          </cell>
          <cell r="J336">
            <v>0</v>
          </cell>
        </row>
        <row r="337">
          <cell r="F337">
            <v>0</v>
          </cell>
          <cell r="G337">
            <v>0</v>
          </cell>
          <cell r="H337">
            <v>0</v>
          </cell>
          <cell r="I337">
            <v>0</v>
          </cell>
          <cell r="J337">
            <v>0</v>
          </cell>
        </row>
        <row r="338">
          <cell r="F338">
            <v>0</v>
          </cell>
          <cell r="G338">
            <v>0</v>
          </cell>
          <cell r="H338">
            <v>0</v>
          </cell>
          <cell r="I338">
            <v>0</v>
          </cell>
          <cell r="J338">
            <v>0</v>
          </cell>
        </row>
        <row r="339">
          <cell r="F339">
            <v>0</v>
          </cell>
          <cell r="G339">
            <v>0</v>
          </cell>
          <cell r="H339">
            <v>0</v>
          </cell>
          <cell r="I339">
            <v>0</v>
          </cell>
          <cell r="J339">
            <v>0</v>
          </cell>
        </row>
        <row r="340">
          <cell r="F340">
            <v>0</v>
          </cell>
          <cell r="G340">
            <v>0</v>
          </cell>
          <cell r="H340">
            <v>0</v>
          </cell>
          <cell r="I340">
            <v>0</v>
          </cell>
          <cell r="J340">
            <v>0</v>
          </cell>
        </row>
        <row r="341">
          <cell r="F341">
            <v>0</v>
          </cell>
          <cell r="G341">
            <v>0</v>
          </cell>
          <cell r="H341">
            <v>0</v>
          </cell>
          <cell r="I341">
            <v>0</v>
          </cell>
          <cell r="J341">
            <v>0</v>
          </cell>
        </row>
        <row r="342">
          <cell r="F342">
            <v>0</v>
          </cell>
          <cell r="G342">
            <v>0</v>
          </cell>
          <cell r="H342">
            <v>0</v>
          </cell>
          <cell r="I342">
            <v>0</v>
          </cell>
          <cell r="J342">
            <v>0</v>
          </cell>
        </row>
        <row r="343">
          <cell r="F343">
            <v>0</v>
          </cell>
          <cell r="G343">
            <v>0</v>
          </cell>
          <cell r="H343">
            <v>0</v>
          </cell>
          <cell r="I343">
            <v>0</v>
          </cell>
          <cell r="J343">
            <v>0</v>
          </cell>
        </row>
        <row r="344">
          <cell r="F344">
            <v>0</v>
          </cell>
          <cell r="G344">
            <v>0</v>
          </cell>
          <cell r="H344">
            <v>0</v>
          </cell>
          <cell r="I344">
            <v>0</v>
          </cell>
          <cell r="J344">
            <v>0</v>
          </cell>
        </row>
        <row r="345">
          <cell r="F345">
            <v>0</v>
          </cell>
          <cell r="G345">
            <v>0</v>
          </cell>
          <cell r="H345">
            <v>0</v>
          </cell>
          <cell r="I345">
            <v>0</v>
          </cell>
          <cell r="J345">
            <v>0</v>
          </cell>
        </row>
        <row r="346">
          <cell r="F346">
            <v>0</v>
          </cell>
          <cell r="G346">
            <v>0</v>
          </cell>
          <cell r="H346">
            <v>0</v>
          </cell>
          <cell r="I346">
            <v>0</v>
          </cell>
          <cell r="J346">
            <v>0</v>
          </cell>
        </row>
        <row r="347">
          <cell r="F347">
            <v>0</v>
          </cell>
          <cell r="G347">
            <v>0</v>
          </cell>
          <cell r="H347">
            <v>0</v>
          </cell>
          <cell r="I347">
            <v>0</v>
          </cell>
          <cell r="J347">
            <v>0</v>
          </cell>
        </row>
        <row r="348">
          <cell r="F348">
            <v>0</v>
          </cell>
          <cell r="G348">
            <v>0</v>
          </cell>
          <cell r="H348">
            <v>0</v>
          </cell>
          <cell r="I348">
            <v>0</v>
          </cell>
          <cell r="J348">
            <v>0</v>
          </cell>
        </row>
        <row r="349">
          <cell r="F349">
            <v>-10933</v>
          </cell>
          <cell r="G349">
            <v>0</v>
          </cell>
          <cell r="H349">
            <v>-10933</v>
          </cell>
          <cell r="I349">
            <v>0</v>
          </cell>
          <cell r="J349">
            <v>-10933</v>
          </cell>
        </row>
        <row r="350">
          <cell r="F350">
            <v>-146</v>
          </cell>
          <cell r="G350">
            <v>0</v>
          </cell>
          <cell r="H350">
            <v>-146</v>
          </cell>
          <cell r="I350">
            <v>0</v>
          </cell>
          <cell r="J350">
            <v>-146</v>
          </cell>
        </row>
        <row r="351">
          <cell r="F351">
            <v>-1729</v>
          </cell>
          <cell r="G351">
            <v>0</v>
          </cell>
          <cell r="H351">
            <v>-1729</v>
          </cell>
          <cell r="I351">
            <v>0</v>
          </cell>
          <cell r="J351">
            <v>-1729</v>
          </cell>
        </row>
        <row r="352">
          <cell r="F352">
            <v>-12808</v>
          </cell>
          <cell r="G352">
            <v>0</v>
          </cell>
          <cell r="H352">
            <v>-12808</v>
          </cell>
          <cell r="I352">
            <v>0</v>
          </cell>
          <cell r="J352">
            <v>-12808</v>
          </cell>
        </row>
        <row r="354">
          <cell r="F354">
            <v>0</v>
          </cell>
          <cell r="G354">
            <v>0</v>
          </cell>
          <cell r="H354">
            <v>0</v>
          </cell>
          <cell r="I354">
            <v>0</v>
          </cell>
          <cell r="J354">
            <v>0</v>
          </cell>
        </row>
        <row r="355">
          <cell r="F355">
            <v>0</v>
          </cell>
          <cell r="G355">
            <v>0</v>
          </cell>
          <cell r="H355">
            <v>0</v>
          </cell>
          <cell r="I355">
            <v>0</v>
          </cell>
          <cell r="J355">
            <v>0</v>
          </cell>
        </row>
        <row r="356">
          <cell r="F356">
            <v>0</v>
          </cell>
          <cell r="G356">
            <v>0</v>
          </cell>
          <cell r="H356">
            <v>0</v>
          </cell>
          <cell r="I356">
            <v>0</v>
          </cell>
          <cell r="J356">
            <v>0</v>
          </cell>
        </row>
        <row r="357">
          <cell r="F357">
            <v>-21331</v>
          </cell>
          <cell r="G357">
            <v>0</v>
          </cell>
          <cell r="H357">
            <v>-21331</v>
          </cell>
          <cell r="I357">
            <v>0</v>
          </cell>
          <cell r="J357">
            <v>-21331</v>
          </cell>
        </row>
        <row r="358">
          <cell r="F358">
            <v>0</v>
          </cell>
          <cell r="G358">
            <v>0</v>
          </cell>
          <cell r="H358">
            <v>0</v>
          </cell>
          <cell r="I358">
            <v>0</v>
          </cell>
          <cell r="J358">
            <v>0</v>
          </cell>
        </row>
        <row r="359">
          <cell r="F359">
            <v>0</v>
          </cell>
          <cell r="G359">
            <v>0</v>
          </cell>
          <cell r="H359">
            <v>0</v>
          </cell>
          <cell r="I359">
            <v>0</v>
          </cell>
          <cell r="J359">
            <v>0</v>
          </cell>
        </row>
        <row r="360">
          <cell r="F360">
            <v>0</v>
          </cell>
          <cell r="G360">
            <v>0</v>
          </cell>
          <cell r="H360">
            <v>0</v>
          </cell>
          <cell r="I360">
            <v>0</v>
          </cell>
          <cell r="J360">
            <v>0</v>
          </cell>
        </row>
        <row r="361">
          <cell r="F361">
            <v>-11728</v>
          </cell>
          <cell r="G361">
            <v>0</v>
          </cell>
          <cell r="H361">
            <v>-11728</v>
          </cell>
          <cell r="I361">
            <v>-141</v>
          </cell>
          <cell r="J361">
            <v>-11869</v>
          </cell>
        </row>
        <row r="362">
          <cell r="F362">
            <v>-33059</v>
          </cell>
          <cell r="G362">
            <v>0</v>
          </cell>
          <cell r="H362">
            <v>-33059</v>
          </cell>
          <cell r="I362">
            <v>-141</v>
          </cell>
          <cell r="J362">
            <v>-33200</v>
          </cell>
        </row>
        <row r="364">
          <cell r="F364">
            <v>0</v>
          </cell>
          <cell r="G364">
            <v>0</v>
          </cell>
          <cell r="H364">
            <v>0</v>
          </cell>
          <cell r="I364">
            <v>0</v>
          </cell>
          <cell r="J364">
            <v>0</v>
          </cell>
        </row>
        <row r="366">
          <cell r="F366">
            <v>0</v>
          </cell>
          <cell r="G366">
            <v>0</v>
          </cell>
          <cell r="H366">
            <v>0</v>
          </cell>
          <cell r="I366">
            <v>0</v>
          </cell>
          <cell r="J366">
            <v>0</v>
          </cell>
        </row>
        <row r="367">
          <cell r="F367">
            <v>-2969</v>
          </cell>
          <cell r="G367">
            <v>0</v>
          </cell>
          <cell r="H367">
            <v>-2969</v>
          </cell>
          <cell r="I367">
            <v>0</v>
          </cell>
          <cell r="J367">
            <v>-2969</v>
          </cell>
        </row>
        <row r="368">
          <cell r="F368">
            <v>-2969</v>
          </cell>
          <cell r="G368">
            <v>0</v>
          </cell>
          <cell r="H368">
            <v>-2969</v>
          </cell>
          <cell r="I368">
            <v>0</v>
          </cell>
          <cell r="J368">
            <v>-2969</v>
          </cell>
        </row>
        <row r="370">
          <cell r="F370">
            <v>0</v>
          </cell>
          <cell r="G370">
            <v>0</v>
          </cell>
          <cell r="H370">
            <v>0</v>
          </cell>
          <cell r="I370">
            <v>0</v>
          </cell>
          <cell r="J370">
            <v>0</v>
          </cell>
        </row>
        <row r="371">
          <cell r="F371">
            <v>-29</v>
          </cell>
          <cell r="G371">
            <v>0</v>
          </cell>
          <cell r="H371">
            <v>-29</v>
          </cell>
          <cell r="I371">
            <v>0</v>
          </cell>
          <cell r="J371">
            <v>-29</v>
          </cell>
        </row>
        <row r="372">
          <cell r="F372">
            <v>-29</v>
          </cell>
          <cell r="G372">
            <v>0</v>
          </cell>
          <cell r="H372">
            <v>-29</v>
          </cell>
          <cell r="I372">
            <v>0</v>
          </cell>
          <cell r="J372">
            <v>-29</v>
          </cell>
        </row>
        <row r="374">
          <cell r="F374">
            <v>0</v>
          </cell>
          <cell r="G374">
            <v>0</v>
          </cell>
          <cell r="H374">
            <v>0</v>
          </cell>
          <cell r="I374">
            <v>0</v>
          </cell>
          <cell r="J374">
            <v>0</v>
          </cell>
        </row>
        <row r="375">
          <cell r="F375">
            <v>0</v>
          </cell>
          <cell r="G375">
            <v>0</v>
          </cell>
          <cell r="H375">
            <v>0</v>
          </cell>
          <cell r="I375">
            <v>0</v>
          </cell>
          <cell r="J375">
            <v>0</v>
          </cell>
        </row>
        <row r="376">
          <cell r="F376">
            <v>0</v>
          </cell>
          <cell r="G376">
            <v>0</v>
          </cell>
          <cell r="H376">
            <v>0</v>
          </cell>
          <cell r="I376">
            <v>0</v>
          </cell>
          <cell r="J376">
            <v>0</v>
          </cell>
        </row>
        <row r="377">
          <cell r="F377">
            <v>0</v>
          </cell>
          <cell r="G377">
            <v>0</v>
          </cell>
          <cell r="H377">
            <v>0</v>
          </cell>
          <cell r="I377">
            <v>0</v>
          </cell>
          <cell r="J377">
            <v>0</v>
          </cell>
        </row>
        <row r="378">
          <cell r="F378">
            <v>0</v>
          </cell>
          <cell r="G378">
            <v>0</v>
          </cell>
          <cell r="H378">
            <v>0</v>
          </cell>
          <cell r="I378">
            <v>0</v>
          </cell>
          <cell r="J378">
            <v>0</v>
          </cell>
        </row>
        <row r="379">
          <cell r="F379">
            <v>0</v>
          </cell>
          <cell r="G379">
            <v>0</v>
          </cell>
          <cell r="H379">
            <v>0</v>
          </cell>
          <cell r="I379">
            <v>0</v>
          </cell>
          <cell r="J379">
            <v>0</v>
          </cell>
        </row>
        <row r="380">
          <cell r="F380">
            <v>0</v>
          </cell>
          <cell r="G380">
            <v>0</v>
          </cell>
          <cell r="H380">
            <v>0</v>
          </cell>
          <cell r="I380">
            <v>0</v>
          </cell>
          <cell r="J380">
            <v>0</v>
          </cell>
        </row>
        <row r="381">
          <cell r="F381">
            <v>0</v>
          </cell>
          <cell r="G381">
            <v>0</v>
          </cell>
          <cell r="H381">
            <v>0</v>
          </cell>
          <cell r="I381">
            <v>0</v>
          </cell>
          <cell r="J381">
            <v>0</v>
          </cell>
        </row>
        <row r="382">
          <cell r="F382">
            <v>0</v>
          </cell>
          <cell r="G382">
            <v>0</v>
          </cell>
          <cell r="H382">
            <v>0</v>
          </cell>
          <cell r="I382">
            <v>0</v>
          </cell>
          <cell r="J382">
            <v>0</v>
          </cell>
        </row>
        <row r="383">
          <cell r="F383">
            <v>0</v>
          </cell>
          <cell r="G383">
            <v>0</v>
          </cell>
          <cell r="H383">
            <v>0</v>
          </cell>
          <cell r="I383">
            <v>0</v>
          </cell>
          <cell r="J383">
            <v>0</v>
          </cell>
        </row>
        <row r="384">
          <cell r="F384">
            <v>0</v>
          </cell>
          <cell r="G384">
            <v>0</v>
          </cell>
          <cell r="H384">
            <v>0</v>
          </cell>
          <cell r="I384">
            <v>0</v>
          </cell>
          <cell r="J384">
            <v>0</v>
          </cell>
        </row>
        <row r="385">
          <cell r="F385">
            <v>0</v>
          </cell>
          <cell r="G385">
            <v>0</v>
          </cell>
          <cell r="H385">
            <v>0</v>
          </cell>
          <cell r="I385">
            <v>0</v>
          </cell>
          <cell r="J385">
            <v>0</v>
          </cell>
        </row>
        <row r="386">
          <cell r="F386">
            <v>0</v>
          </cell>
          <cell r="G386">
            <v>0</v>
          </cell>
          <cell r="H386">
            <v>0</v>
          </cell>
          <cell r="I386">
            <v>0</v>
          </cell>
          <cell r="J386">
            <v>0</v>
          </cell>
        </row>
        <row r="387">
          <cell r="F387">
            <v>0</v>
          </cell>
          <cell r="G387">
            <v>0</v>
          </cell>
          <cell r="H387">
            <v>0</v>
          </cell>
          <cell r="I387">
            <v>0</v>
          </cell>
          <cell r="J387">
            <v>0</v>
          </cell>
        </row>
        <row r="388">
          <cell r="F388">
            <v>0</v>
          </cell>
          <cell r="G388">
            <v>0</v>
          </cell>
          <cell r="H388">
            <v>0</v>
          </cell>
          <cell r="I388">
            <v>0</v>
          </cell>
          <cell r="J388">
            <v>0</v>
          </cell>
        </row>
        <row r="389">
          <cell r="F389">
            <v>0</v>
          </cell>
          <cell r="G389">
            <v>0</v>
          </cell>
          <cell r="H389">
            <v>0</v>
          </cell>
          <cell r="I389">
            <v>0</v>
          </cell>
          <cell r="J389">
            <v>0</v>
          </cell>
        </row>
        <row r="390">
          <cell r="F390">
            <v>-14</v>
          </cell>
          <cell r="G390">
            <v>0</v>
          </cell>
          <cell r="H390">
            <v>-14</v>
          </cell>
          <cell r="I390">
            <v>0</v>
          </cell>
          <cell r="J390">
            <v>-14</v>
          </cell>
        </row>
        <row r="391">
          <cell r="F391">
            <v>-1271</v>
          </cell>
          <cell r="G391">
            <v>0</v>
          </cell>
          <cell r="H391">
            <v>-1271</v>
          </cell>
          <cell r="I391">
            <v>0</v>
          </cell>
          <cell r="J391">
            <v>-1271</v>
          </cell>
        </row>
        <row r="392">
          <cell r="F392">
            <v>-1</v>
          </cell>
          <cell r="G392">
            <v>0</v>
          </cell>
          <cell r="H392">
            <v>-1</v>
          </cell>
          <cell r="I392">
            <v>0</v>
          </cell>
          <cell r="J392">
            <v>-1</v>
          </cell>
        </row>
        <row r="393">
          <cell r="F393">
            <v>-90</v>
          </cell>
          <cell r="G393">
            <v>0</v>
          </cell>
          <cell r="H393">
            <v>-90</v>
          </cell>
          <cell r="I393">
            <v>0</v>
          </cell>
          <cell r="J393">
            <v>-90</v>
          </cell>
        </row>
        <row r="394">
          <cell r="F394">
            <v>-96</v>
          </cell>
          <cell r="G394">
            <v>0</v>
          </cell>
          <cell r="H394">
            <v>-96</v>
          </cell>
          <cell r="I394">
            <v>0</v>
          </cell>
          <cell r="J394">
            <v>-96</v>
          </cell>
        </row>
        <row r="395">
          <cell r="F395">
            <v>-47</v>
          </cell>
          <cell r="G395">
            <v>0</v>
          </cell>
          <cell r="H395">
            <v>-47</v>
          </cell>
          <cell r="I395">
            <v>0</v>
          </cell>
          <cell r="J395">
            <v>-47</v>
          </cell>
        </row>
        <row r="396">
          <cell r="F396">
            <v>-435</v>
          </cell>
          <cell r="G396">
            <v>0</v>
          </cell>
          <cell r="H396">
            <v>-435</v>
          </cell>
          <cell r="I396">
            <v>0</v>
          </cell>
          <cell r="J396">
            <v>-435</v>
          </cell>
        </row>
        <row r="397">
          <cell r="F397">
            <v>-2</v>
          </cell>
          <cell r="G397">
            <v>0</v>
          </cell>
          <cell r="H397">
            <v>-2</v>
          </cell>
          <cell r="I397">
            <v>0</v>
          </cell>
          <cell r="J397">
            <v>-2</v>
          </cell>
        </row>
        <row r="398">
          <cell r="F398">
            <v>-2329</v>
          </cell>
          <cell r="G398">
            <v>0</v>
          </cell>
          <cell r="H398">
            <v>-2329</v>
          </cell>
          <cell r="I398">
            <v>0</v>
          </cell>
          <cell r="J398">
            <v>-2329</v>
          </cell>
        </row>
        <row r="399">
          <cell r="F399">
            <v>-4</v>
          </cell>
          <cell r="G399">
            <v>0</v>
          </cell>
          <cell r="H399">
            <v>-4</v>
          </cell>
          <cell r="I399">
            <v>0</v>
          </cell>
          <cell r="J399">
            <v>-4</v>
          </cell>
        </row>
        <row r="400">
          <cell r="F400">
            <v>-15</v>
          </cell>
          <cell r="G400">
            <v>0</v>
          </cell>
          <cell r="H400">
            <v>-15</v>
          </cell>
          <cell r="I400">
            <v>0</v>
          </cell>
          <cell r="J400">
            <v>-15</v>
          </cell>
        </row>
        <row r="401">
          <cell r="F401">
            <v>0</v>
          </cell>
          <cell r="G401">
            <v>0</v>
          </cell>
          <cell r="H401">
            <v>0</v>
          </cell>
          <cell r="I401">
            <v>0</v>
          </cell>
          <cell r="J401">
            <v>0</v>
          </cell>
        </row>
        <row r="402">
          <cell r="F402">
            <v>-4304</v>
          </cell>
          <cell r="G402">
            <v>0</v>
          </cell>
          <cell r="H402">
            <v>-4304</v>
          </cell>
          <cell r="I402">
            <v>0</v>
          </cell>
          <cell r="J402">
            <v>-4304</v>
          </cell>
        </row>
        <row r="404">
          <cell r="F404">
            <v>0</v>
          </cell>
          <cell r="G404">
            <v>0</v>
          </cell>
          <cell r="H404">
            <v>0</v>
          </cell>
          <cell r="I404">
            <v>0</v>
          </cell>
          <cell r="J404">
            <v>0</v>
          </cell>
        </row>
        <row r="405">
          <cell r="F405">
            <v>0</v>
          </cell>
          <cell r="G405">
            <v>0</v>
          </cell>
          <cell r="H405">
            <v>0</v>
          </cell>
          <cell r="I405">
            <v>0</v>
          </cell>
          <cell r="J405">
            <v>0</v>
          </cell>
        </row>
        <row r="406">
          <cell r="F406">
            <v>0</v>
          </cell>
          <cell r="G406">
            <v>0</v>
          </cell>
          <cell r="H406">
            <v>0</v>
          </cell>
          <cell r="I406">
            <v>0</v>
          </cell>
          <cell r="J406">
            <v>0</v>
          </cell>
        </row>
        <row r="407">
          <cell r="F407">
            <v>1148</v>
          </cell>
          <cell r="G407">
            <v>0</v>
          </cell>
          <cell r="H407">
            <v>1148</v>
          </cell>
          <cell r="I407">
            <v>0</v>
          </cell>
          <cell r="J407">
            <v>1148</v>
          </cell>
        </row>
        <row r="408">
          <cell r="F408">
            <v>0</v>
          </cell>
          <cell r="G408">
            <v>0</v>
          </cell>
          <cell r="H408">
            <v>0</v>
          </cell>
          <cell r="I408">
            <v>0</v>
          </cell>
          <cell r="J408">
            <v>0</v>
          </cell>
        </row>
        <row r="409">
          <cell r="F409">
            <v>-110</v>
          </cell>
          <cell r="G409">
            <v>0</v>
          </cell>
          <cell r="H409">
            <v>-110</v>
          </cell>
          <cell r="I409">
            <v>157</v>
          </cell>
          <cell r="J409">
            <v>47</v>
          </cell>
        </row>
        <row r="410">
          <cell r="F410">
            <v>1038</v>
          </cell>
          <cell r="G410">
            <v>0</v>
          </cell>
          <cell r="H410">
            <v>1038</v>
          </cell>
          <cell r="I410">
            <v>157</v>
          </cell>
          <cell r="J410">
            <v>1195</v>
          </cell>
        </row>
        <row r="412">
          <cell r="F412">
            <v>0</v>
          </cell>
          <cell r="G412">
            <v>0</v>
          </cell>
          <cell r="H412">
            <v>0</v>
          </cell>
          <cell r="I412">
            <v>0</v>
          </cell>
          <cell r="J412">
            <v>0</v>
          </cell>
        </row>
        <row r="413">
          <cell r="F413">
            <v>0</v>
          </cell>
          <cell r="G413">
            <v>0</v>
          </cell>
          <cell r="H413">
            <v>0</v>
          </cell>
          <cell r="I413">
            <v>0</v>
          </cell>
          <cell r="J413">
            <v>0</v>
          </cell>
        </row>
        <row r="414">
          <cell r="F414">
            <v>1699</v>
          </cell>
          <cell r="G414">
            <v>0</v>
          </cell>
          <cell r="H414">
            <v>1699</v>
          </cell>
          <cell r="I414">
            <v>0</v>
          </cell>
          <cell r="J414">
            <v>1699</v>
          </cell>
        </row>
        <row r="415">
          <cell r="F415">
            <v>1699</v>
          </cell>
          <cell r="G415">
            <v>0</v>
          </cell>
          <cell r="H415">
            <v>1699</v>
          </cell>
          <cell r="I415">
            <v>0</v>
          </cell>
          <cell r="J415">
            <v>1699</v>
          </cell>
        </row>
        <row r="417">
          <cell r="F417">
            <v>0</v>
          </cell>
          <cell r="G417">
            <v>0</v>
          </cell>
          <cell r="H417">
            <v>0</v>
          </cell>
          <cell r="I417">
            <v>0</v>
          </cell>
          <cell r="J417">
            <v>0</v>
          </cell>
        </row>
        <row r="418">
          <cell r="F418">
            <v>0</v>
          </cell>
          <cell r="G418">
            <v>0</v>
          </cell>
          <cell r="H418">
            <v>0</v>
          </cell>
          <cell r="I418">
            <v>0</v>
          </cell>
          <cell r="J418">
            <v>0</v>
          </cell>
        </row>
        <row r="419">
          <cell r="F419">
            <v>0</v>
          </cell>
          <cell r="G419">
            <v>0</v>
          </cell>
          <cell r="H419">
            <v>0</v>
          </cell>
          <cell r="I419">
            <v>0</v>
          </cell>
          <cell r="J419">
            <v>0</v>
          </cell>
        </row>
        <row r="420">
          <cell r="F420">
            <v>9242</v>
          </cell>
          <cell r="G420">
            <v>0</v>
          </cell>
          <cell r="H420">
            <v>9242</v>
          </cell>
          <cell r="I420">
            <v>0</v>
          </cell>
          <cell r="J420">
            <v>9242</v>
          </cell>
        </row>
        <row r="421">
          <cell r="F421">
            <v>1501</v>
          </cell>
          <cell r="G421">
            <v>0</v>
          </cell>
          <cell r="H421">
            <v>1501</v>
          </cell>
          <cell r="I421">
            <v>0</v>
          </cell>
          <cell r="J421">
            <v>1501</v>
          </cell>
        </row>
        <row r="422">
          <cell r="F422">
            <v>1479</v>
          </cell>
          <cell r="G422">
            <v>0</v>
          </cell>
          <cell r="H422">
            <v>1479</v>
          </cell>
          <cell r="I422">
            <v>0</v>
          </cell>
          <cell r="J422">
            <v>1479</v>
          </cell>
        </row>
        <row r="423">
          <cell r="F423">
            <v>12222</v>
          </cell>
          <cell r="G423">
            <v>0</v>
          </cell>
          <cell r="H423">
            <v>12222</v>
          </cell>
          <cell r="I423">
            <v>0</v>
          </cell>
          <cell r="J423">
            <v>12222</v>
          </cell>
        </row>
        <row r="425">
          <cell r="F425">
            <v>0</v>
          </cell>
          <cell r="G425">
            <v>0</v>
          </cell>
          <cell r="H425">
            <v>0</v>
          </cell>
          <cell r="I425">
            <v>0</v>
          </cell>
          <cell r="J425">
            <v>0</v>
          </cell>
        </row>
        <row r="426">
          <cell r="F426">
            <v>951</v>
          </cell>
          <cell r="G426">
            <v>0</v>
          </cell>
          <cell r="H426">
            <v>951</v>
          </cell>
          <cell r="I426">
            <v>0</v>
          </cell>
          <cell r="J426">
            <v>951</v>
          </cell>
        </row>
        <row r="427">
          <cell r="F427">
            <v>133</v>
          </cell>
          <cell r="G427">
            <v>0</v>
          </cell>
          <cell r="H427">
            <v>133</v>
          </cell>
          <cell r="I427">
            <v>0</v>
          </cell>
          <cell r="J427">
            <v>133</v>
          </cell>
        </row>
        <row r="428">
          <cell r="F428">
            <v>1084</v>
          </cell>
          <cell r="G428">
            <v>0</v>
          </cell>
          <cell r="H428">
            <v>1084</v>
          </cell>
          <cell r="I428">
            <v>0</v>
          </cell>
          <cell r="J428">
            <v>1084</v>
          </cell>
        </row>
        <row r="430">
          <cell r="F430">
            <v>0</v>
          </cell>
          <cell r="G430">
            <v>0</v>
          </cell>
          <cell r="H430">
            <v>0</v>
          </cell>
          <cell r="I430">
            <v>0</v>
          </cell>
          <cell r="J430">
            <v>0</v>
          </cell>
        </row>
        <row r="431">
          <cell r="F431">
            <v>462</v>
          </cell>
          <cell r="G431">
            <v>0</v>
          </cell>
          <cell r="H431">
            <v>462</v>
          </cell>
          <cell r="I431">
            <v>0</v>
          </cell>
          <cell r="J431">
            <v>462</v>
          </cell>
        </row>
        <row r="432">
          <cell r="F432">
            <v>462</v>
          </cell>
          <cell r="G432">
            <v>0</v>
          </cell>
          <cell r="H432">
            <v>462</v>
          </cell>
          <cell r="I432">
            <v>0</v>
          </cell>
          <cell r="J432">
            <v>462</v>
          </cell>
        </row>
        <row r="434">
          <cell r="F434">
            <v>0</v>
          </cell>
          <cell r="G434">
            <v>0</v>
          </cell>
          <cell r="H434">
            <v>0</v>
          </cell>
          <cell r="I434">
            <v>0</v>
          </cell>
          <cell r="J434">
            <v>0</v>
          </cell>
        </row>
        <row r="435">
          <cell r="F435">
            <v>0</v>
          </cell>
          <cell r="G435">
            <v>0</v>
          </cell>
          <cell r="H435">
            <v>0</v>
          </cell>
          <cell r="I435">
            <v>0</v>
          </cell>
          <cell r="J435">
            <v>0</v>
          </cell>
        </row>
        <row r="436">
          <cell r="F436">
            <v>0</v>
          </cell>
          <cell r="G436">
            <v>0</v>
          </cell>
          <cell r="H436">
            <v>0</v>
          </cell>
          <cell r="I436">
            <v>0</v>
          </cell>
          <cell r="J436">
            <v>0</v>
          </cell>
        </row>
        <row r="437">
          <cell r="F437">
            <v>0</v>
          </cell>
          <cell r="G437">
            <v>0</v>
          </cell>
          <cell r="H437">
            <v>0</v>
          </cell>
          <cell r="I437">
            <v>0</v>
          </cell>
          <cell r="J437">
            <v>0</v>
          </cell>
        </row>
        <row r="438">
          <cell r="F438">
            <v>0</v>
          </cell>
          <cell r="G438">
            <v>0</v>
          </cell>
          <cell r="H438">
            <v>0</v>
          </cell>
          <cell r="I438">
            <v>0</v>
          </cell>
          <cell r="J438">
            <v>0</v>
          </cell>
        </row>
        <row r="439">
          <cell r="F439">
            <v>0</v>
          </cell>
          <cell r="G439">
            <v>0</v>
          </cell>
          <cell r="H439">
            <v>0</v>
          </cell>
          <cell r="I439">
            <v>0</v>
          </cell>
          <cell r="J439">
            <v>0</v>
          </cell>
        </row>
        <row r="440">
          <cell r="F440">
            <v>0</v>
          </cell>
          <cell r="G440">
            <v>0</v>
          </cell>
          <cell r="H440">
            <v>0</v>
          </cell>
          <cell r="I440">
            <v>0</v>
          </cell>
          <cell r="J440">
            <v>0</v>
          </cell>
        </row>
        <row r="441">
          <cell r="F441">
            <v>0</v>
          </cell>
          <cell r="G441">
            <v>0</v>
          </cell>
          <cell r="H441">
            <v>0</v>
          </cell>
          <cell r="I441">
            <v>0</v>
          </cell>
          <cell r="J441">
            <v>0</v>
          </cell>
        </row>
        <row r="442">
          <cell r="F442">
            <v>0</v>
          </cell>
          <cell r="G442">
            <v>0</v>
          </cell>
          <cell r="H442">
            <v>0</v>
          </cell>
          <cell r="I442">
            <v>0</v>
          </cell>
          <cell r="J442">
            <v>0</v>
          </cell>
        </row>
        <row r="443">
          <cell r="F443">
            <v>0</v>
          </cell>
          <cell r="G443">
            <v>0</v>
          </cell>
          <cell r="H443">
            <v>0</v>
          </cell>
          <cell r="I443">
            <v>0</v>
          </cell>
          <cell r="J443">
            <v>0</v>
          </cell>
        </row>
        <row r="444">
          <cell r="F444">
            <v>0</v>
          </cell>
          <cell r="G444">
            <v>0</v>
          </cell>
          <cell r="H444">
            <v>0</v>
          </cell>
          <cell r="I444">
            <v>0</v>
          </cell>
          <cell r="J444">
            <v>0</v>
          </cell>
        </row>
        <row r="445">
          <cell r="F445">
            <v>0</v>
          </cell>
          <cell r="G445">
            <v>0</v>
          </cell>
          <cell r="H445">
            <v>0</v>
          </cell>
          <cell r="I445">
            <v>0</v>
          </cell>
          <cell r="J445">
            <v>0</v>
          </cell>
        </row>
        <row r="446">
          <cell r="F446">
            <v>0</v>
          </cell>
          <cell r="G446">
            <v>0</v>
          </cell>
          <cell r="H446">
            <v>0</v>
          </cell>
          <cell r="I446">
            <v>0</v>
          </cell>
          <cell r="J446">
            <v>0</v>
          </cell>
        </row>
        <row r="447">
          <cell r="F447">
            <v>0</v>
          </cell>
          <cell r="G447">
            <v>0</v>
          </cell>
          <cell r="H447">
            <v>0</v>
          </cell>
          <cell r="I447">
            <v>0</v>
          </cell>
          <cell r="J447">
            <v>0</v>
          </cell>
        </row>
        <row r="448">
          <cell r="F448">
            <v>0</v>
          </cell>
          <cell r="G448">
            <v>0</v>
          </cell>
          <cell r="H448">
            <v>0</v>
          </cell>
          <cell r="I448">
            <v>0</v>
          </cell>
          <cell r="J448">
            <v>0</v>
          </cell>
        </row>
        <row r="449">
          <cell r="F449">
            <v>100</v>
          </cell>
          <cell r="G449">
            <v>0</v>
          </cell>
          <cell r="H449">
            <v>100</v>
          </cell>
          <cell r="I449">
            <v>0</v>
          </cell>
          <cell r="J449">
            <v>100</v>
          </cell>
        </row>
        <row r="450">
          <cell r="F450">
            <v>100</v>
          </cell>
          <cell r="G450">
            <v>0</v>
          </cell>
          <cell r="H450">
            <v>100</v>
          </cell>
          <cell r="I450">
            <v>0</v>
          </cell>
          <cell r="J450">
            <v>100</v>
          </cell>
        </row>
        <row r="452">
          <cell r="F452">
            <v>0</v>
          </cell>
          <cell r="G452">
            <v>0</v>
          </cell>
          <cell r="H452">
            <v>0</v>
          </cell>
          <cell r="I452">
            <v>0</v>
          </cell>
          <cell r="J452">
            <v>0</v>
          </cell>
        </row>
        <row r="454">
          <cell r="F454">
            <v>0</v>
          </cell>
          <cell r="G454">
            <v>0</v>
          </cell>
          <cell r="H454">
            <v>0</v>
          </cell>
          <cell r="I454">
            <v>0</v>
          </cell>
          <cell r="J454">
            <v>0</v>
          </cell>
        </row>
        <row r="456">
          <cell r="F456">
            <v>0</v>
          </cell>
          <cell r="G456">
            <v>0</v>
          </cell>
          <cell r="H456">
            <v>0</v>
          </cell>
          <cell r="I456">
            <v>0</v>
          </cell>
          <cell r="J456">
            <v>0</v>
          </cell>
        </row>
        <row r="457">
          <cell r="F457">
            <v>0</v>
          </cell>
          <cell r="G457">
            <v>0</v>
          </cell>
          <cell r="H457">
            <v>0</v>
          </cell>
          <cell r="I457">
            <v>0</v>
          </cell>
          <cell r="J457">
            <v>0</v>
          </cell>
        </row>
        <row r="458">
          <cell r="F458">
            <v>0</v>
          </cell>
          <cell r="G458">
            <v>0</v>
          </cell>
          <cell r="H458">
            <v>0</v>
          </cell>
          <cell r="I458">
            <v>0</v>
          </cell>
          <cell r="J458">
            <v>0</v>
          </cell>
        </row>
        <row r="459">
          <cell r="F459">
            <v>0</v>
          </cell>
          <cell r="G459">
            <v>0</v>
          </cell>
          <cell r="H459">
            <v>0</v>
          </cell>
          <cell r="I459">
            <v>0</v>
          </cell>
          <cell r="J459">
            <v>0</v>
          </cell>
        </row>
        <row r="460">
          <cell r="F460">
            <v>0</v>
          </cell>
          <cell r="G460">
            <v>0</v>
          </cell>
          <cell r="H460">
            <v>0</v>
          </cell>
          <cell r="I460">
            <v>0</v>
          </cell>
          <cell r="J460">
            <v>0</v>
          </cell>
        </row>
        <row r="461">
          <cell r="F461">
            <v>0</v>
          </cell>
          <cell r="G461">
            <v>0</v>
          </cell>
          <cell r="H461">
            <v>0</v>
          </cell>
          <cell r="I461">
            <v>0</v>
          </cell>
          <cell r="J461">
            <v>0</v>
          </cell>
        </row>
        <row r="462">
          <cell r="F462">
            <v>0</v>
          </cell>
          <cell r="G462">
            <v>0</v>
          </cell>
          <cell r="H462">
            <v>0</v>
          </cell>
          <cell r="I462">
            <v>0</v>
          </cell>
          <cell r="J462">
            <v>0</v>
          </cell>
        </row>
        <row r="463">
          <cell r="F463">
            <v>0</v>
          </cell>
          <cell r="G463">
            <v>0</v>
          </cell>
          <cell r="H463">
            <v>0</v>
          </cell>
          <cell r="I463">
            <v>0</v>
          </cell>
          <cell r="J463">
            <v>0</v>
          </cell>
        </row>
        <row r="464">
          <cell r="F464">
            <v>0</v>
          </cell>
          <cell r="G464">
            <v>0</v>
          </cell>
          <cell r="H464">
            <v>0</v>
          </cell>
          <cell r="I464">
            <v>0</v>
          </cell>
          <cell r="J464">
            <v>0</v>
          </cell>
        </row>
        <row r="465">
          <cell r="F465">
            <v>0</v>
          </cell>
          <cell r="G465">
            <v>0</v>
          </cell>
          <cell r="H465">
            <v>0</v>
          </cell>
          <cell r="I465">
            <v>0</v>
          </cell>
          <cell r="J465">
            <v>0</v>
          </cell>
        </row>
        <row r="466">
          <cell r="F466">
            <v>0</v>
          </cell>
          <cell r="G466">
            <v>0</v>
          </cell>
          <cell r="H466">
            <v>0</v>
          </cell>
          <cell r="I466">
            <v>0</v>
          </cell>
          <cell r="J466">
            <v>0</v>
          </cell>
        </row>
        <row r="467">
          <cell r="F467">
            <v>0</v>
          </cell>
          <cell r="G467">
            <v>0</v>
          </cell>
          <cell r="H467">
            <v>0</v>
          </cell>
          <cell r="I467">
            <v>0</v>
          </cell>
          <cell r="J467">
            <v>0</v>
          </cell>
        </row>
        <row r="468">
          <cell r="F468">
            <v>0</v>
          </cell>
          <cell r="G468">
            <v>0</v>
          </cell>
          <cell r="H468">
            <v>0</v>
          </cell>
          <cell r="I468">
            <v>0</v>
          </cell>
          <cell r="J468">
            <v>0</v>
          </cell>
        </row>
        <row r="469">
          <cell r="F469">
            <v>0</v>
          </cell>
          <cell r="G469">
            <v>0</v>
          </cell>
          <cell r="H469">
            <v>0</v>
          </cell>
          <cell r="I469">
            <v>0</v>
          </cell>
          <cell r="J469">
            <v>0</v>
          </cell>
        </row>
        <row r="470">
          <cell r="F470">
            <v>0</v>
          </cell>
          <cell r="G470">
            <v>0</v>
          </cell>
          <cell r="H470">
            <v>0</v>
          </cell>
          <cell r="I470">
            <v>0</v>
          </cell>
          <cell r="J470">
            <v>0</v>
          </cell>
        </row>
        <row r="471">
          <cell r="F471">
            <v>0</v>
          </cell>
          <cell r="G471">
            <v>0</v>
          </cell>
          <cell r="H471">
            <v>0</v>
          </cell>
          <cell r="I471">
            <v>0</v>
          </cell>
          <cell r="J471">
            <v>0</v>
          </cell>
        </row>
        <row r="472">
          <cell r="F472">
            <v>0</v>
          </cell>
          <cell r="G472">
            <v>0</v>
          </cell>
          <cell r="H472">
            <v>0</v>
          </cell>
          <cell r="I472">
            <v>0</v>
          </cell>
          <cell r="J472">
            <v>0</v>
          </cell>
        </row>
        <row r="473">
          <cell r="F473">
            <v>3</v>
          </cell>
          <cell r="G473">
            <v>0</v>
          </cell>
          <cell r="H473">
            <v>3</v>
          </cell>
          <cell r="I473">
            <v>0</v>
          </cell>
          <cell r="J473">
            <v>3</v>
          </cell>
        </row>
        <row r="474">
          <cell r="F474">
            <v>0</v>
          </cell>
          <cell r="G474">
            <v>0</v>
          </cell>
          <cell r="H474">
            <v>0</v>
          </cell>
          <cell r="I474">
            <v>0</v>
          </cell>
          <cell r="J474">
            <v>0</v>
          </cell>
        </row>
        <row r="475">
          <cell r="F475">
            <v>48</v>
          </cell>
          <cell r="G475">
            <v>0</v>
          </cell>
          <cell r="H475">
            <v>48</v>
          </cell>
          <cell r="I475">
            <v>0</v>
          </cell>
          <cell r="J475">
            <v>48</v>
          </cell>
        </row>
        <row r="476">
          <cell r="F476">
            <v>14</v>
          </cell>
          <cell r="G476">
            <v>0</v>
          </cell>
          <cell r="H476">
            <v>14</v>
          </cell>
          <cell r="I476">
            <v>0</v>
          </cell>
          <cell r="J476">
            <v>14</v>
          </cell>
        </row>
        <row r="477">
          <cell r="F477">
            <v>11</v>
          </cell>
          <cell r="G477">
            <v>0</v>
          </cell>
          <cell r="H477">
            <v>11</v>
          </cell>
          <cell r="I477">
            <v>0</v>
          </cell>
          <cell r="J477">
            <v>11</v>
          </cell>
        </row>
        <row r="478">
          <cell r="F478">
            <v>0</v>
          </cell>
          <cell r="G478">
            <v>0</v>
          </cell>
          <cell r="H478">
            <v>0</v>
          </cell>
          <cell r="I478">
            <v>0</v>
          </cell>
          <cell r="J478">
            <v>0</v>
          </cell>
        </row>
        <row r="479">
          <cell r="F479">
            <v>6</v>
          </cell>
          <cell r="G479">
            <v>0</v>
          </cell>
          <cell r="H479">
            <v>6</v>
          </cell>
          <cell r="I479">
            <v>0</v>
          </cell>
          <cell r="J479">
            <v>6</v>
          </cell>
        </row>
        <row r="480">
          <cell r="F480">
            <v>82</v>
          </cell>
          <cell r="G480">
            <v>0</v>
          </cell>
          <cell r="H480">
            <v>82</v>
          </cell>
          <cell r="I480">
            <v>0</v>
          </cell>
          <cell r="J480">
            <v>82</v>
          </cell>
        </row>
        <row r="482">
          <cell r="F482">
            <v>0</v>
          </cell>
          <cell r="G482">
            <v>0</v>
          </cell>
          <cell r="H482">
            <v>0</v>
          </cell>
          <cell r="I482">
            <v>0</v>
          </cell>
          <cell r="J482">
            <v>0</v>
          </cell>
        </row>
        <row r="484">
          <cell r="F484">
            <v>0</v>
          </cell>
          <cell r="G484">
            <v>0</v>
          </cell>
          <cell r="H484">
            <v>0</v>
          </cell>
          <cell r="I484">
            <v>0</v>
          </cell>
          <cell r="J484">
            <v>0</v>
          </cell>
        </row>
        <row r="485">
          <cell r="F485">
            <v>0</v>
          </cell>
          <cell r="G485">
            <v>0</v>
          </cell>
          <cell r="H485">
            <v>0</v>
          </cell>
          <cell r="I485">
            <v>0</v>
          </cell>
          <cell r="J485">
            <v>0</v>
          </cell>
        </row>
        <row r="486">
          <cell r="F486">
            <v>0</v>
          </cell>
          <cell r="G486">
            <v>0</v>
          </cell>
          <cell r="H486">
            <v>0</v>
          </cell>
          <cell r="I486">
            <v>0</v>
          </cell>
          <cell r="J486">
            <v>0</v>
          </cell>
        </row>
        <row r="487">
          <cell r="F487">
            <v>69</v>
          </cell>
          <cell r="G487">
            <v>0</v>
          </cell>
          <cell r="H487">
            <v>69</v>
          </cell>
          <cell r="I487">
            <v>0</v>
          </cell>
          <cell r="J487">
            <v>69</v>
          </cell>
        </row>
        <row r="488">
          <cell r="F488">
            <v>129</v>
          </cell>
          <cell r="G488">
            <v>0</v>
          </cell>
          <cell r="H488">
            <v>129</v>
          </cell>
          <cell r="I488">
            <v>0</v>
          </cell>
          <cell r="J488">
            <v>129</v>
          </cell>
        </row>
        <row r="489">
          <cell r="F489">
            <v>7</v>
          </cell>
          <cell r="G489">
            <v>0</v>
          </cell>
          <cell r="H489">
            <v>7</v>
          </cell>
          <cell r="I489">
            <v>0</v>
          </cell>
          <cell r="J489">
            <v>7</v>
          </cell>
        </row>
        <row r="490">
          <cell r="F490">
            <v>0</v>
          </cell>
          <cell r="G490">
            <v>0</v>
          </cell>
          <cell r="H490">
            <v>0</v>
          </cell>
          <cell r="I490">
            <v>0</v>
          </cell>
          <cell r="J490">
            <v>0</v>
          </cell>
        </row>
        <row r="491">
          <cell r="F491">
            <v>205</v>
          </cell>
          <cell r="G491">
            <v>0</v>
          </cell>
          <cell r="H491">
            <v>205</v>
          </cell>
          <cell r="I491">
            <v>0</v>
          </cell>
          <cell r="J491">
            <v>205</v>
          </cell>
        </row>
        <row r="493">
          <cell r="F493">
            <v>0</v>
          </cell>
          <cell r="G493">
            <v>0</v>
          </cell>
          <cell r="H493">
            <v>0</v>
          </cell>
          <cell r="I493">
            <v>0</v>
          </cell>
          <cell r="J493">
            <v>0</v>
          </cell>
        </row>
        <row r="494">
          <cell r="F494">
            <v>0</v>
          </cell>
          <cell r="G494">
            <v>0</v>
          </cell>
          <cell r="H494">
            <v>0</v>
          </cell>
          <cell r="I494">
            <v>0</v>
          </cell>
          <cell r="J494">
            <v>0</v>
          </cell>
        </row>
        <row r="495">
          <cell r="F495">
            <v>0</v>
          </cell>
          <cell r="G495">
            <v>0</v>
          </cell>
          <cell r="H495">
            <v>0</v>
          </cell>
          <cell r="I495">
            <v>0</v>
          </cell>
          <cell r="J495">
            <v>0</v>
          </cell>
        </row>
        <row r="496">
          <cell r="F496">
            <v>0</v>
          </cell>
          <cell r="G496">
            <v>0</v>
          </cell>
          <cell r="H496">
            <v>0</v>
          </cell>
          <cell r="I496">
            <v>0</v>
          </cell>
          <cell r="J496">
            <v>0</v>
          </cell>
        </row>
        <row r="498">
          <cell r="F498">
            <v>0</v>
          </cell>
          <cell r="G498">
            <v>0</v>
          </cell>
          <cell r="H498">
            <v>0</v>
          </cell>
          <cell r="I498">
            <v>0</v>
          </cell>
          <cell r="J498">
            <v>0</v>
          </cell>
        </row>
        <row r="499">
          <cell r="F499">
            <v>0</v>
          </cell>
          <cell r="G499">
            <v>0</v>
          </cell>
          <cell r="H499">
            <v>0</v>
          </cell>
          <cell r="I499">
            <v>0</v>
          </cell>
          <cell r="J499">
            <v>0</v>
          </cell>
        </row>
        <row r="500">
          <cell r="F500">
            <v>3</v>
          </cell>
          <cell r="G500">
            <v>0</v>
          </cell>
          <cell r="H500">
            <v>3</v>
          </cell>
          <cell r="I500">
            <v>0</v>
          </cell>
          <cell r="J500">
            <v>3</v>
          </cell>
        </row>
        <row r="501">
          <cell r="F501">
            <v>115</v>
          </cell>
          <cell r="G501">
            <v>0</v>
          </cell>
          <cell r="H501">
            <v>115</v>
          </cell>
          <cell r="I501">
            <v>0</v>
          </cell>
          <cell r="J501">
            <v>115</v>
          </cell>
        </row>
        <row r="502">
          <cell r="F502">
            <v>118</v>
          </cell>
          <cell r="G502">
            <v>0</v>
          </cell>
          <cell r="H502">
            <v>118</v>
          </cell>
          <cell r="I502">
            <v>0</v>
          </cell>
          <cell r="J502">
            <v>118</v>
          </cell>
        </row>
        <row r="504">
          <cell r="F504">
            <v>0</v>
          </cell>
          <cell r="G504">
            <v>0</v>
          </cell>
          <cell r="H504">
            <v>0</v>
          </cell>
          <cell r="I504">
            <v>0</v>
          </cell>
          <cell r="J504">
            <v>0</v>
          </cell>
        </row>
        <row r="505">
          <cell r="F505">
            <v>0</v>
          </cell>
          <cell r="G505">
            <v>0</v>
          </cell>
          <cell r="H505">
            <v>0</v>
          </cell>
          <cell r="I505">
            <v>0</v>
          </cell>
          <cell r="J505">
            <v>0</v>
          </cell>
        </row>
        <row r="506">
          <cell r="F506">
            <v>125</v>
          </cell>
          <cell r="G506">
            <v>0</v>
          </cell>
          <cell r="H506">
            <v>125</v>
          </cell>
          <cell r="I506">
            <v>0</v>
          </cell>
          <cell r="J506">
            <v>125</v>
          </cell>
        </row>
        <row r="507">
          <cell r="F507">
            <v>13</v>
          </cell>
          <cell r="G507">
            <v>0</v>
          </cell>
          <cell r="H507">
            <v>13</v>
          </cell>
          <cell r="I507">
            <v>0</v>
          </cell>
          <cell r="J507">
            <v>13</v>
          </cell>
        </row>
        <row r="508">
          <cell r="F508">
            <v>138</v>
          </cell>
          <cell r="G508">
            <v>0</v>
          </cell>
          <cell r="H508">
            <v>138</v>
          </cell>
          <cell r="I508">
            <v>0</v>
          </cell>
          <cell r="J508">
            <v>138</v>
          </cell>
        </row>
        <row r="510">
          <cell r="F510">
            <v>0</v>
          </cell>
          <cell r="G510">
            <v>0</v>
          </cell>
          <cell r="H510">
            <v>0</v>
          </cell>
          <cell r="I510">
            <v>0</v>
          </cell>
          <cell r="J510">
            <v>0</v>
          </cell>
        </row>
        <row r="511">
          <cell r="F511">
            <v>0</v>
          </cell>
          <cell r="G511">
            <v>0</v>
          </cell>
          <cell r="H511">
            <v>0</v>
          </cell>
          <cell r="I511">
            <v>0</v>
          </cell>
          <cell r="J511">
            <v>0</v>
          </cell>
        </row>
        <row r="512">
          <cell r="F512">
            <v>0</v>
          </cell>
          <cell r="G512">
            <v>0</v>
          </cell>
          <cell r="H512">
            <v>0</v>
          </cell>
          <cell r="I512">
            <v>0</v>
          </cell>
          <cell r="J512">
            <v>0</v>
          </cell>
        </row>
        <row r="513">
          <cell r="F513">
            <v>0</v>
          </cell>
          <cell r="G513">
            <v>0</v>
          </cell>
          <cell r="H513">
            <v>0</v>
          </cell>
          <cell r="I513">
            <v>0</v>
          </cell>
          <cell r="J513">
            <v>0</v>
          </cell>
        </row>
        <row r="514">
          <cell r="F514">
            <v>0</v>
          </cell>
          <cell r="G514">
            <v>0</v>
          </cell>
          <cell r="H514">
            <v>0</v>
          </cell>
          <cell r="I514">
            <v>0</v>
          </cell>
          <cell r="J514">
            <v>0</v>
          </cell>
        </row>
        <row r="515">
          <cell r="F515">
            <v>333</v>
          </cell>
          <cell r="G515">
            <v>0</v>
          </cell>
          <cell r="H515">
            <v>333</v>
          </cell>
          <cell r="I515">
            <v>0</v>
          </cell>
          <cell r="J515">
            <v>333</v>
          </cell>
        </row>
        <row r="516">
          <cell r="F516">
            <v>23</v>
          </cell>
          <cell r="G516">
            <v>0</v>
          </cell>
          <cell r="H516">
            <v>23</v>
          </cell>
          <cell r="I516">
            <v>0</v>
          </cell>
          <cell r="J516">
            <v>23</v>
          </cell>
        </row>
        <row r="517">
          <cell r="F517">
            <v>356</v>
          </cell>
          <cell r="G517">
            <v>0</v>
          </cell>
          <cell r="H517">
            <v>356</v>
          </cell>
          <cell r="I517">
            <v>0</v>
          </cell>
          <cell r="J517">
            <v>356</v>
          </cell>
        </row>
        <row r="519">
          <cell r="F519">
            <v>0</v>
          </cell>
          <cell r="G519">
            <v>0</v>
          </cell>
          <cell r="H519">
            <v>0</v>
          </cell>
          <cell r="I519">
            <v>0</v>
          </cell>
          <cell r="J519">
            <v>0</v>
          </cell>
        </row>
        <row r="521">
          <cell r="F521">
            <v>139</v>
          </cell>
          <cell r="G521">
            <v>0</v>
          </cell>
          <cell r="H521">
            <v>139</v>
          </cell>
          <cell r="I521">
            <v>0</v>
          </cell>
          <cell r="J521">
            <v>139</v>
          </cell>
        </row>
        <row r="522">
          <cell r="F522">
            <v>139</v>
          </cell>
          <cell r="G522">
            <v>0</v>
          </cell>
          <cell r="H522">
            <v>139</v>
          </cell>
          <cell r="I522">
            <v>0</v>
          </cell>
          <cell r="J522">
            <v>139</v>
          </cell>
        </row>
        <row r="524">
          <cell r="F524">
            <v>0</v>
          </cell>
          <cell r="G524">
            <v>0</v>
          </cell>
          <cell r="H524">
            <v>0</v>
          </cell>
          <cell r="I524">
            <v>0</v>
          </cell>
          <cell r="J524">
            <v>0</v>
          </cell>
        </row>
        <row r="526">
          <cell r="F526">
            <v>0</v>
          </cell>
          <cell r="G526">
            <v>0</v>
          </cell>
          <cell r="H526">
            <v>0</v>
          </cell>
          <cell r="I526">
            <v>0</v>
          </cell>
          <cell r="J526">
            <v>0</v>
          </cell>
        </row>
        <row r="527">
          <cell r="F527">
            <v>0</v>
          </cell>
          <cell r="G527">
            <v>0</v>
          </cell>
          <cell r="H527">
            <v>0</v>
          </cell>
          <cell r="I527">
            <v>0</v>
          </cell>
          <cell r="J527">
            <v>0</v>
          </cell>
        </row>
        <row r="528">
          <cell r="F528">
            <v>0</v>
          </cell>
          <cell r="G528">
            <v>0</v>
          </cell>
          <cell r="H528">
            <v>0</v>
          </cell>
          <cell r="I528">
            <v>0</v>
          </cell>
          <cell r="J528">
            <v>0</v>
          </cell>
        </row>
        <row r="530">
          <cell r="F530">
            <v>0</v>
          </cell>
          <cell r="G530">
            <v>0</v>
          </cell>
          <cell r="H530">
            <v>0</v>
          </cell>
          <cell r="I530">
            <v>0</v>
          </cell>
          <cell r="J530">
            <v>0</v>
          </cell>
        </row>
        <row r="531">
          <cell r="F531">
            <v>0</v>
          </cell>
          <cell r="G531">
            <v>0</v>
          </cell>
          <cell r="H531">
            <v>0</v>
          </cell>
          <cell r="I531">
            <v>0</v>
          </cell>
          <cell r="J531">
            <v>0</v>
          </cell>
        </row>
        <row r="532">
          <cell r="F532">
            <v>0</v>
          </cell>
          <cell r="G532">
            <v>0</v>
          </cell>
          <cell r="H532">
            <v>0</v>
          </cell>
          <cell r="I532">
            <v>0</v>
          </cell>
          <cell r="J532">
            <v>0</v>
          </cell>
        </row>
        <row r="533">
          <cell r="F533">
            <v>0</v>
          </cell>
          <cell r="G533">
            <v>0</v>
          </cell>
          <cell r="H533">
            <v>0</v>
          </cell>
          <cell r="I533">
            <v>0</v>
          </cell>
          <cell r="J533">
            <v>0</v>
          </cell>
        </row>
        <row r="534">
          <cell r="F534">
            <v>0</v>
          </cell>
          <cell r="G534">
            <v>0</v>
          </cell>
          <cell r="H534">
            <v>0</v>
          </cell>
          <cell r="I534">
            <v>0</v>
          </cell>
          <cell r="J534">
            <v>0</v>
          </cell>
        </row>
        <row r="535">
          <cell r="F535">
            <v>0</v>
          </cell>
          <cell r="G535">
            <v>0</v>
          </cell>
          <cell r="H535">
            <v>0</v>
          </cell>
          <cell r="I535">
            <v>0</v>
          </cell>
          <cell r="J535">
            <v>0</v>
          </cell>
        </row>
        <row r="536">
          <cell r="F536">
            <v>0</v>
          </cell>
          <cell r="G536">
            <v>0</v>
          </cell>
          <cell r="H536">
            <v>0</v>
          </cell>
          <cell r="I536">
            <v>0</v>
          </cell>
          <cell r="J536">
            <v>0</v>
          </cell>
        </row>
        <row r="537">
          <cell r="F537">
            <v>0</v>
          </cell>
          <cell r="G537">
            <v>0</v>
          </cell>
          <cell r="H537">
            <v>0</v>
          </cell>
          <cell r="I537">
            <v>0</v>
          </cell>
          <cell r="J537">
            <v>0</v>
          </cell>
        </row>
        <row r="538">
          <cell r="F538">
            <v>-607</v>
          </cell>
          <cell r="G538">
            <v>0</v>
          </cell>
          <cell r="H538">
            <v>-607</v>
          </cell>
          <cell r="I538">
            <v>0</v>
          </cell>
          <cell r="J538">
            <v>-607</v>
          </cell>
        </row>
        <row r="539">
          <cell r="F539">
            <v>-607</v>
          </cell>
          <cell r="G539">
            <v>0</v>
          </cell>
          <cell r="H539">
            <v>-607</v>
          </cell>
          <cell r="I539">
            <v>0</v>
          </cell>
          <cell r="J539">
            <v>-607</v>
          </cell>
        </row>
        <row r="541">
          <cell r="F541">
            <v>0</v>
          </cell>
          <cell r="G541">
            <v>0</v>
          </cell>
          <cell r="H541">
            <v>0</v>
          </cell>
          <cell r="I541">
            <v>0</v>
          </cell>
          <cell r="J541">
            <v>0</v>
          </cell>
        </row>
        <row r="542">
          <cell r="F542">
            <v>-6274</v>
          </cell>
          <cell r="G542">
            <v>0</v>
          </cell>
          <cell r="H542">
            <v>-6274</v>
          </cell>
          <cell r="I542">
            <v>0</v>
          </cell>
          <cell r="J542">
            <v>-6274</v>
          </cell>
        </row>
        <row r="543">
          <cell r="F543">
            <v>-6274</v>
          </cell>
          <cell r="G543">
            <v>0</v>
          </cell>
          <cell r="H543">
            <v>-6274</v>
          </cell>
          <cell r="I543">
            <v>0</v>
          </cell>
          <cell r="J543">
            <v>-6274</v>
          </cell>
        </row>
        <row r="545">
          <cell r="F545">
            <v>0</v>
          </cell>
          <cell r="G545">
            <v>0</v>
          </cell>
          <cell r="H545">
            <v>0</v>
          </cell>
          <cell r="I545">
            <v>0</v>
          </cell>
          <cell r="J545">
            <v>0</v>
          </cell>
        </row>
        <row r="547">
          <cell r="F547">
            <v>0</v>
          </cell>
          <cell r="G547">
            <v>0</v>
          </cell>
          <cell r="H547">
            <v>0</v>
          </cell>
          <cell r="I547">
            <v>0</v>
          </cell>
          <cell r="J547">
            <v>0</v>
          </cell>
        </row>
        <row r="549">
          <cell r="F549">
            <v>0</v>
          </cell>
          <cell r="G549">
            <v>0</v>
          </cell>
          <cell r="H549">
            <v>0</v>
          </cell>
          <cell r="I549">
            <v>0</v>
          </cell>
          <cell r="J549">
            <v>0</v>
          </cell>
        </row>
        <row r="551">
          <cell r="F551">
            <v>0</v>
          </cell>
          <cell r="G551">
            <v>0</v>
          </cell>
          <cell r="H551">
            <v>0</v>
          </cell>
          <cell r="I551">
            <v>0</v>
          </cell>
          <cell r="J551">
            <v>0</v>
          </cell>
        </row>
        <row r="552">
          <cell r="F552">
            <v>0</v>
          </cell>
          <cell r="G552">
            <v>0</v>
          </cell>
          <cell r="H552">
            <v>0</v>
          </cell>
          <cell r="I552">
            <v>0</v>
          </cell>
          <cell r="J552">
            <v>0</v>
          </cell>
        </row>
      </sheetData>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 val="region_wise_recovery1"/>
      <sheetName val="region_wise_stuckup1"/>
      <sheetName val="region_wise_recovery3"/>
      <sheetName val="region_wise_stuckup3"/>
      <sheetName val="region_wise_recovery2"/>
      <sheetName val="region_wise_stuckup2"/>
      <sheetName val="PIB-IPS"/>
      <sheetName val="QTY"/>
      <sheetName val="APP-SOR"/>
      <sheetName val="ANA1"/>
      <sheetName val="CALL-L"/>
      <sheetName val="REV-SH "/>
      <sheetName val="region_wise_recovery4"/>
      <sheetName val="region_wise_stuckup4"/>
      <sheetName val="Actualization_Details"/>
      <sheetName val="EMOF Portfolio"/>
      <sheetName val="LS-UAE"/>
      <sheetName val="region_wise_recovery5"/>
      <sheetName val="region_wise_stuckup5"/>
      <sheetName val="REV-SH_"/>
      <sheetName val="balance sheet"/>
      <sheetName val="balance_sheet"/>
      <sheetName val="DATA"/>
      <sheetName val="GROUPING"/>
      <sheetName val="SCHEDULES"/>
      <sheetName val="TGL"/>
      <sheetName val="lp"/>
      <sheetName val="Currency"/>
      <sheetName val="settings"/>
      <sheetName val="last qrt2001"/>
      <sheetName val="102B"/>
      <sheetName val="REV-SH_1"/>
      <sheetName val="region_wise_recovery7"/>
      <sheetName val="region_wise_stuckup7"/>
      <sheetName val="REV-SH_2"/>
      <sheetName val="balance_sheet2"/>
      <sheetName val="region_wise_recovery6"/>
      <sheetName val="region_wise_stuckup6"/>
      <sheetName val="balance_sheet1"/>
      <sheetName val="Lead"/>
      <sheetName val="E"/>
    </sheetNames>
    <sheetDataSet>
      <sheetData sheetId="0" refreshError="1">
        <row r="132">
          <cell r="C132" t="str">
            <v>TOTAL RECOVERY OF STUCK-UP ADVANCES REPORT</v>
          </cell>
          <cell r="D132">
            <v>0</v>
          </cell>
          <cell r="E132">
            <v>0</v>
          </cell>
          <cell r="F132">
            <v>0</v>
          </cell>
          <cell r="G132">
            <v>0</v>
          </cell>
          <cell r="H132">
            <v>0</v>
          </cell>
          <cell r="I132">
            <v>0</v>
          </cell>
          <cell r="J132">
            <v>0</v>
          </cell>
          <cell r="K132">
            <v>0</v>
          </cell>
          <cell r="L132">
            <v>0</v>
          </cell>
          <cell r="M132">
            <v>0</v>
          </cell>
          <cell r="N132">
            <v>0</v>
          </cell>
          <cell r="O132" t="str">
            <v>TOTAL</v>
          </cell>
        </row>
        <row r="133">
          <cell r="C133" t="str">
            <v>ON ACHIEVEMENT OF CASH RECOVERY TARGET FOR WEEK ENDED  31.12.98</v>
          </cell>
        </row>
        <row r="135">
          <cell r="B135" t="str">
            <v xml:space="preserve"> </v>
          </cell>
          <cell r="C135">
            <v>0</v>
          </cell>
          <cell r="D135">
            <v>0</v>
          </cell>
          <cell r="E135">
            <v>0</v>
          </cell>
          <cell r="F135">
            <v>0</v>
          </cell>
          <cell r="G135">
            <v>0</v>
          </cell>
          <cell r="H135">
            <v>0</v>
          </cell>
          <cell r="I135">
            <v>0</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K136">
            <v>0</v>
          </cell>
          <cell r="L136">
            <v>0</v>
          </cell>
          <cell r="M136">
            <v>0</v>
          </cell>
          <cell r="N136">
            <v>0</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J137">
            <v>0</v>
          </cell>
          <cell r="K137">
            <v>0</v>
          </cell>
          <cell r="L137">
            <v>0</v>
          </cell>
          <cell r="M137">
            <v>0</v>
          </cell>
          <cell r="N137">
            <v>0</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E139">
            <v>0</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E140">
            <v>0</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D168">
            <v>0</v>
          </cell>
          <cell r="E168">
            <v>306.30900000000008</v>
          </cell>
          <cell r="F168">
            <v>9.5596689324569795</v>
          </cell>
          <cell r="G168">
            <v>0</v>
          </cell>
          <cell r="H168" t="str">
            <v xml:space="preserve">OCT-DEC 98 TARGET    </v>
          </cell>
        </row>
      </sheetData>
      <sheetData sheetId="1">
        <row r="132">
          <cell r="C132" t="str">
            <v>TOTAL RECOVERY OF STUCK-UP ADVANCES REPORT</v>
          </cell>
        </row>
      </sheetData>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ow r="132">
          <cell r="C132" t="str">
            <v>TOTAL RECOVERY OF STUCK-UP ADVANCES REPORT</v>
          </cell>
        </row>
      </sheetData>
      <sheetData sheetId="22">
        <row r="132">
          <cell r="C132" t="str">
            <v>TOTAL RECOVERY OF STUCK-UP ADVANCES REPORT</v>
          </cell>
        </row>
      </sheetData>
      <sheetData sheetId="23" refreshError="1"/>
      <sheetData sheetId="24" refreshError="1"/>
      <sheetData sheetId="25" refreshError="1"/>
      <sheetData sheetId="26">
        <row r="132">
          <cell r="C132" t="str">
            <v>TOTAL RECOVERY OF STUCK-UP ADVANCES REPORT</v>
          </cell>
        </row>
      </sheetData>
      <sheetData sheetId="27">
        <row r="132">
          <cell r="C132" t="str">
            <v>TOTAL RECOVERY OF STUCK-UP ADVANCES REPORT</v>
          </cell>
        </row>
      </sheetData>
      <sheetData sheetId="28">
        <row r="132">
          <cell r="C132" t="str">
            <v>TOTAL RECOVERY OF STUCK-UP ADVANCES REPORT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ow r="132">
          <cell r="C132" t="str">
            <v>TOTAL RECOVERY OF STUCK-UP ADVANCES REPORT</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Distribution statement"/>
      <sheetName val="UHF"/>
      <sheetName val="Income Statement"/>
      <sheetName val="Income certification"/>
      <sheetName val="Cash Flow"/>
      <sheetName val="Adjust-entry"/>
      <sheetName val="Lead"/>
      <sheetName val="Notes 4.1.1.1-2"/>
      <sheetName val="Notes 4.1.4 - 5 (2)"/>
      <sheetName val="Notes 16-19"/>
      <sheetName val="Notes 8-11.1"/>
      <sheetName val="Notes 1 - 7.1.1"/>
      <sheetName val="Notes 7.1.1.2"/>
      <sheetName val="Note 7.1.2"/>
      <sheetName val="Notes 1-3.1"/>
      <sheetName val="Notes 4.1.1 old"/>
      <sheetName val="Notes 4.1.2old"/>
      <sheetName val="Notes 4.1.4-5, 4.2"/>
      <sheetName val="Notes 4.1.4-5 old"/>
      <sheetName val="Notes 5-8 old"/>
      <sheetName val="Links"/>
      <sheetName val="Notes 6 old"/>
      <sheetName val="Notes 6 old "/>
      <sheetName val="Notes 6.1 old"/>
      <sheetName val="Notes 4"/>
      <sheetName val="Notes 4.1.4 - 5"/>
      <sheetName val="Note 4.1.2-4.1.3.1 old"/>
      <sheetName val="Note 6"/>
      <sheetName val="Note 6 - 8"/>
      <sheetName val="Tickmarks"/>
      <sheetName val="Sheet2"/>
      <sheetName val="Rentals-SAM KHI"/>
      <sheetName val="Salary"/>
      <sheetName val="c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J1" t="str">
            <v>Final</v>
          </cell>
        </row>
        <row r="3">
          <cell r="J3">
            <v>50</v>
          </cell>
        </row>
        <row r="4">
          <cell r="J4">
            <v>7740</v>
          </cell>
        </row>
        <row r="5">
          <cell r="J5">
            <v>10</v>
          </cell>
        </row>
        <row r="6">
          <cell r="J6">
            <v>50</v>
          </cell>
        </row>
        <row r="7">
          <cell r="J7">
            <v>49</v>
          </cell>
        </row>
        <row r="8">
          <cell r="J8">
            <v>47</v>
          </cell>
        </row>
        <row r="9">
          <cell r="J9">
            <v>3227</v>
          </cell>
        </row>
        <row r="10">
          <cell r="J10">
            <v>55</v>
          </cell>
        </row>
        <row r="11">
          <cell r="J11">
            <v>50</v>
          </cell>
        </row>
        <row r="12">
          <cell r="J12">
            <v>33</v>
          </cell>
        </row>
        <row r="13">
          <cell r="J13">
            <v>52</v>
          </cell>
        </row>
        <row r="14">
          <cell r="J14">
            <v>50</v>
          </cell>
        </row>
        <row r="15">
          <cell r="J15">
            <v>141311</v>
          </cell>
        </row>
        <row r="16">
          <cell r="J16">
            <v>152724</v>
          </cell>
        </row>
        <row r="18">
          <cell r="J18">
            <v>60</v>
          </cell>
        </row>
        <row r="19">
          <cell r="J19">
            <v>60</v>
          </cell>
        </row>
        <row r="21">
          <cell r="J21">
            <v>400000</v>
          </cell>
        </row>
        <row r="22">
          <cell r="J22">
            <v>1170000</v>
          </cell>
        </row>
        <row r="23">
          <cell r="J23">
            <v>0</v>
          </cell>
        </row>
        <row r="24">
          <cell r="J24">
            <v>0</v>
          </cell>
        </row>
        <row r="25">
          <cell r="J25">
            <v>0</v>
          </cell>
        </row>
        <row r="26">
          <cell r="J26">
            <v>0</v>
          </cell>
        </row>
        <row r="27">
          <cell r="J27">
            <v>1570000</v>
          </cell>
        </row>
        <row r="29">
          <cell r="J29">
            <v>267569</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267569</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3046</v>
          </cell>
        </row>
        <row r="66">
          <cell r="J66">
            <v>7497</v>
          </cell>
        </row>
        <row r="67">
          <cell r="J67">
            <v>10543</v>
          </cell>
        </row>
        <row r="69">
          <cell r="J69">
            <v>100000</v>
          </cell>
        </row>
        <row r="70">
          <cell r="J70">
            <v>50000</v>
          </cell>
        </row>
        <row r="71">
          <cell r="J71">
            <v>200000</v>
          </cell>
        </row>
        <row r="72">
          <cell r="J72">
            <v>34000</v>
          </cell>
        </row>
        <row r="73">
          <cell r="J73">
            <v>384000</v>
          </cell>
        </row>
        <row r="75">
          <cell r="J75">
            <v>0</v>
          </cell>
        </row>
        <row r="76">
          <cell r="J76">
            <v>0</v>
          </cell>
        </row>
        <row r="78">
          <cell r="J78">
            <v>0</v>
          </cell>
        </row>
        <row r="79">
          <cell r="J79">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5072</v>
          </cell>
        </row>
        <row r="90">
          <cell r="J90">
            <v>41152</v>
          </cell>
        </row>
        <row r="91">
          <cell r="J91">
            <v>0</v>
          </cell>
        </row>
        <row r="92">
          <cell r="J92">
            <v>126987</v>
          </cell>
        </row>
        <row r="93">
          <cell r="J93">
            <v>0</v>
          </cell>
        </row>
        <row r="94">
          <cell r="J94">
            <v>0</v>
          </cell>
        </row>
        <row r="95">
          <cell r="J95">
            <v>0</v>
          </cell>
        </row>
        <row r="96">
          <cell r="J96">
            <v>194853</v>
          </cell>
        </row>
        <row r="97">
          <cell r="J97">
            <v>25265</v>
          </cell>
        </row>
        <row r="98">
          <cell r="J98">
            <v>0</v>
          </cell>
        </row>
        <row r="99">
          <cell r="J99">
            <v>47419</v>
          </cell>
        </row>
        <row r="100">
          <cell r="J100">
            <v>0</v>
          </cell>
        </row>
        <row r="101">
          <cell r="J101">
            <v>0</v>
          </cell>
        </row>
        <row r="102">
          <cell r="J102">
            <v>60300</v>
          </cell>
        </row>
        <row r="103">
          <cell r="J103">
            <v>101750</v>
          </cell>
        </row>
        <row r="104">
          <cell r="J104">
            <v>25576</v>
          </cell>
        </row>
        <row r="105">
          <cell r="J105">
            <v>99580</v>
          </cell>
        </row>
        <row r="106">
          <cell r="J106">
            <v>0</v>
          </cell>
        </row>
        <row r="107">
          <cell r="J107">
            <v>35182</v>
          </cell>
        </row>
        <row r="108">
          <cell r="J108">
            <v>0</v>
          </cell>
        </row>
        <row r="109">
          <cell r="J109">
            <v>763136</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2583</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2583</v>
          </cell>
        </row>
        <row r="153">
          <cell r="J153">
            <v>0</v>
          </cell>
        </row>
        <row r="154">
          <cell r="J154">
            <v>0</v>
          </cell>
        </row>
        <row r="155">
          <cell r="J155">
            <v>0</v>
          </cell>
        </row>
        <row r="157">
          <cell r="J157">
            <v>0</v>
          </cell>
        </row>
        <row r="159">
          <cell r="J159">
            <v>75045</v>
          </cell>
        </row>
        <row r="160">
          <cell r="J160">
            <v>60402</v>
          </cell>
        </row>
        <row r="161">
          <cell r="J161">
            <v>50200</v>
          </cell>
        </row>
        <row r="162">
          <cell r="J162">
            <v>120868</v>
          </cell>
        </row>
        <row r="163">
          <cell r="J163">
            <v>226305</v>
          </cell>
        </row>
        <row r="164">
          <cell r="J164">
            <v>96822</v>
          </cell>
        </row>
        <row r="165">
          <cell r="J165">
            <v>152175</v>
          </cell>
        </row>
        <row r="166">
          <cell r="J166">
            <v>75563</v>
          </cell>
        </row>
        <row r="167">
          <cell r="J167">
            <v>857380</v>
          </cell>
        </row>
        <row r="169">
          <cell r="J169">
            <v>0</v>
          </cell>
        </row>
        <row r="170">
          <cell r="J170">
            <v>0</v>
          </cell>
        </row>
        <row r="171">
          <cell r="J171">
            <v>0</v>
          </cell>
        </row>
        <row r="172">
          <cell r="J172">
            <v>48154</v>
          </cell>
        </row>
        <row r="173">
          <cell r="J173">
            <v>49941</v>
          </cell>
        </row>
        <row r="174">
          <cell r="J174">
            <v>0</v>
          </cell>
        </row>
        <row r="175">
          <cell r="J175">
            <v>0</v>
          </cell>
        </row>
        <row r="176">
          <cell r="J176">
            <v>0</v>
          </cell>
        </row>
        <row r="177">
          <cell r="J177">
            <v>24901</v>
          </cell>
        </row>
        <row r="178">
          <cell r="J178">
            <v>9681</v>
          </cell>
        </row>
        <row r="179">
          <cell r="J179">
            <v>132677</v>
          </cell>
        </row>
        <row r="181">
          <cell r="J181">
            <v>200000</v>
          </cell>
        </row>
        <row r="182">
          <cell r="J182">
            <v>150000</v>
          </cell>
        </row>
        <row r="183">
          <cell r="J183">
            <v>200000</v>
          </cell>
        </row>
        <row r="184">
          <cell r="J184">
            <v>0</v>
          </cell>
        </row>
        <row r="185">
          <cell r="J185">
            <v>200000</v>
          </cell>
        </row>
        <row r="186">
          <cell r="J186">
            <v>750000</v>
          </cell>
        </row>
        <row r="188">
          <cell r="J188">
            <v>207</v>
          </cell>
        </row>
        <row r="189">
          <cell r="J189">
            <v>389</v>
          </cell>
        </row>
        <row r="190">
          <cell r="J190">
            <v>0</v>
          </cell>
        </row>
        <row r="191">
          <cell r="J191">
            <v>0</v>
          </cell>
        </row>
        <row r="192">
          <cell r="J192">
            <v>2</v>
          </cell>
        </row>
        <row r="193">
          <cell r="J193">
            <v>0</v>
          </cell>
        </row>
        <row r="194">
          <cell r="J194">
            <v>0</v>
          </cell>
        </row>
        <row r="195">
          <cell r="J195">
            <v>0</v>
          </cell>
        </row>
        <row r="196">
          <cell r="J196">
            <v>126</v>
          </cell>
        </row>
        <row r="197">
          <cell r="J197">
            <v>41077</v>
          </cell>
        </row>
        <row r="198">
          <cell r="J198">
            <v>16</v>
          </cell>
        </row>
        <row r="199">
          <cell r="J199">
            <v>0</v>
          </cell>
        </row>
        <row r="200">
          <cell r="J200">
            <v>0</v>
          </cell>
        </row>
        <row r="201">
          <cell r="J201">
            <v>0</v>
          </cell>
        </row>
        <row r="202">
          <cell r="J202">
            <v>0</v>
          </cell>
        </row>
        <row r="203">
          <cell r="J203">
            <v>41817</v>
          </cell>
        </row>
        <row r="205">
          <cell r="J205">
            <v>138</v>
          </cell>
        </row>
        <row r="206">
          <cell r="J206">
            <v>138</v>
          </cell>
        </row>
        <row r="208">
          <cell r="J208">
            <v>0</v>
          </cell>
        </row>
        <row r="209">
          <cell r="J209">
            <v>0</v>
          </cell>
        </row>
        <row r="210">
          <cell r="J210">
            <v>110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110</v>
          </cell>
        </row>
        <row r="226">
          <cell r="J226">
            <v>3462</v>
          </cell>
        </row>
        <row r="227">
          <cell r="J227">
            <v>87</v>
          </cell>
        </row>
        <row r="228">
          <cell r="J228">
            <v>0</v>
          </cell>
        </row>
        <row r="229">
          <cell r="J229">
            <v>3549</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74</v>
          </cell>
        </row>
        <row r="240">
          <cell r="J240">
            <v>1475</v>
          </cell>
        </row>
        <row r="241">
          <cell r="J241">
            <v>0</v>
          </cell>
        </row>
        <row r="242">
          <cell r="J242">
            <v>1933</v>
          </cell>
        </row>
        <row r="243">
          <cell r="J243">
            <v>0</v>
          </cell>
        </row>
        <row r="244">
          <cell r="J244">
            <v>0</v>
          </cell>
        </row>
        <row r="245">
          <cell r="J245">
            <v>0</v>
          </cell>
        </row>
        <row r="246">
          <cell r="J246">
            <v>2496</v>
          </cell>
        </row>
        <row r="247">
          <cell r="J247">
            <v>1430</v>
          </cell>
        </row>
        <row r="248">
          <cell r="J248">
            <v>0</v>
          </cell>
        </row>
        <row r="249">
          <cell r="J249">
            <v>1897</v>
          </cell>
        </row>
        <row r="250">
          <cell r="J250">
            <v>0</v>
          </cell>
        </row>
        <row r="251">
          <cell r="J251">
            <v>0</v>
          </cell>
        </row>
        <row r="252">
          <cell r="J252">
            <v>970</v>
          </cell>
        </row>
        <row r="253">
          <cell r="J253">
            <v>908</v>
          </cell>
        </row>
        <row r="254">
          <cell r="J254">
            <v>2895</v>
          </cell>
        </row>
        <row r="255">
          <cell r="J255">
            <v>0</v>
          </cell>
        </row>
        <row r="256">
          <cell r="J256">
            <v>511</v>
          </cell>
        </row>
        <row r="257">
          <cell r="J257">
            <v>3466</v>
          </cell>
        </row>
        <row r="258">
          <cell r="J258">
            <v>268</v>
          </cell>
        </row>
        <row r="259">
          <cell r="J259">
            <v>18323</v>
          </cell>
        </row>
        <row r="261">
          <cell r="J261">
            <v>1594</v>
          </cell>
        </row>
        <row r="262">
          <cell r="J262">
            <v>2005</v>
          </cell>
        </row>
        <row r="263">
          <cell r="J263">
            <v>0</v>
          </cell>
        </row>
        <row r="264">
          <cell r="J264">
            <v>3768</v>
          </cell>
        </row>
        <row r="265">
          <cell r="J265">
            <v>8952</v>
          </cell>
        </row>
        <row r="266">
          <cell r="J266">
            <v>0</v>
          </cell>
        </row>
        <row r="267">
          <cell r="J267">
            <v>0</v>
          </cell>
        </row>
        <row r="268">
          <cell r="J268">
            <v>0</v>
          </cell>
        </row>
        <row r="269">
          <cell r="J269">
            <v>0</v>
          </cell>
        </row>
        <row r="270">
          <cell r="J270">
            <v>0</v>
          </cell>
        </row>
        <row r="271">
          <cell r="J271">
            <v>0</v>
          </cell>
        </row>
        <row r="272">
          <cell r="J272">
            <v>0</v>
          </cell>
        </row>
        <row r="273">
          <cell r="J273">
            <v>917</v>
          </cell>
        </row>
        <row r="274">
          <cell r="J274">
            <v>0</v>
          </cell>
        </row>
        <row r="275">
          <cell r="J275">
            <v>17236</v>
          </cell>
        </row>
        <row r="277">
          <cell r="J277">
            <v>957</v>
          </cell>
        </row>
        <row r="278">
          <cell r="J278">
            <v>1356</v>
          </cell>
        </row>
        <row r="279">
          <cell r="J279">
            <v>1734</v>
          </cell>
        </row>
        <row r="280">
          <cell r="J280">
            <v>3496</v>
          </cell>
        </row>
        <row r="281">
          <cell r="J281">
            <v>2296</v>
          </cell>
        </row>
        <row r="282">
          <cell r="J282">
            <v>435</v>
          </cell>
        </row>
        <row r="283">
          <cell r="J283">
            <v>9375</v>
          </cell>
        </row>
        <row r="284">
          <cell r="J284">
            <v>8786</v>
          </cell>
        </row>
        <row r="285">
          <cell r="J285">
            <v>327</v>
          </cell>
        </row>
        <row r="286">
          <cell r="J286">
            <v>28762</v>
          </cell>
        </row>
        <row r="288">
          <cell r="J288">
            <v>0</v>
          </cell>
        </row>
        <row r="289">
          <cell r="J289">
            <v>0</v>
          </cell>
        </row>
        <row r="291">
          <cell r="J291">
            <v>100</v>
          </cell>
        </row>
        <row r="292">
          <cell r="J292">
            <v>100</v>
          </cell>
        </row>
        <row r="294">
          <cell r="J294">
            <v>3500</v>
          </cell>
        </row>
        <row r="295">
          <cell r="J295">
            <v>3500</v>
          </cell>
        </row>
        <row r="297">
          <cell r="J297">
            <v>0</v>
          </cell>
        </row>
        <row r="298">
          <cell r="J298">
            <v>0</v>
          </cell>
        </row>
        <row r="300">
          <cell r="J300">
            <v>0</v>
          </cell>
        </row>
        <row r="301">
          <cell r="J301">
            <v>0</v>
          </cell>
        </row>
        <row r="302">
          <cell r="J302">
            <v>0</v>
          </cell>
        </row>
        <row r="303">
          <cell r="J303">
            <v>0</v>
          </cell>
        </row>
        <row r="304">
          <cell r="J304">
            <v>0</v>
          </cell>
        </row>
        <row r="305">
          <cell r="J305">
            <v>0</v>
          </cell>
        </row>
        <row r="306">
          <cell r="J306">
            <v>828</v>
          </cell>
        </row>
        <row r="307">
          <cell r="J307">
            <v>248</v>
          </cell>
        </row>
        <row r="308">
          <cell r="J308">
            <v>1076</v>
          </cell>
        </row>
        <row r="310">
          <cell r="J310">
            <v>1008</v>
          </cell>
        </row>
        <row r="311">
          <cell r="J311">
            <v>1008</v>
          </cell>
        </row>
        <row r="313">
          <cell r="J313">
            <v>-34495</v>
          </cell>
        </row>
        <row r="314">
          <cell r="J314">
            <v>0</v>
          </cell>
        </row>
        <row r="315">
          <cell r="J315">
            <v>0</v>
          </cell>
        </row>
        <row r="316">
          <cell r="J316">
            <v>0</v>
          </cell>
        </row>
        <row r="317">
          <cell r="J317">
            <v>0</v>
          </cell>
        </row>
        <row r="318">
          <cell r="J318">
            <v>0</v>
          </cell>
        </row>
        <row r="319">
          <cell r="J319">
            <v>0</v>
          </cell>
        </row>
        <row r="320">
          <cell r="J320">
            <v>0</v>
          </cell>
        </row>
        <row r="321">
          <cell r="J321">
            <v>0</v>
          </cell>
        </row>
        <row r="322">
          <cell r="J322">
            <v>0</v>
          </cell>
        </row>
        <row r="323">
          <cell r="J323">
            <v>0</v>
          </cell>
        </row>
        <row r="324">
          <cell r="J324">
            <v>0</v>
          </cell>
        </row>
        <row r="325">
          <cell r="J325">
            <v>0</v>
          </cell>
        </row>
        <row r="326">
          <cell r="J326">
            <v>0</v>
          </cell>
        </row>
        <row r="327">
          <cell r="J327">
            <v>0</v>
          </cell>
        </row>
        <row r="328">
          <cell r="J328">
            <v>0</v>
          </cell>
        </row>
        <row r="329">
          <cell r="J329">
            <v>0</v>
          </cell>
        </row>
        <row r="330">
          <cell r="J330">
            <v>0</v>
          </cell>
        </row>
        <row r="331">
          <cell r="J331">
            <v>-34495</v>
          </cell>
        </row>
        <row r="333">
          <cell r="J333">
            <v>-4633</v>
          </cell>
        </row>
        <row r="334">
          <cell r="J334">
            <v>-4633</v>
          </cell>
        </row>
        <row r="336">
          <cell r="J336">
            <v>-55</v>
          </cell>
        </row>
        <row r="337">
          <cell r="J337">
            <v>0</v>
          </cell>
        </row>
        <row r="338">
          <cell r="J338">
            <v>-55</v>
          </cell>
        </row>
        <row r="340">
          <cell r="J340">
            <v>-443</v>
          </cell>
        </row>
        <row r="341">
          <cell r="J341">
            <v>-443</v>
          </cell>
        </row>
        <row r="343">
          <cell r="J343">
            <v>-25</v>
          </cell>
        </row>
        <row r="344">
          <cell r="J344">
            <v>-25</v>
          </cell>
        </row>
        <row r="346">
          <cell r="J346">
            <v>-5771</v>
          </cell>
        </row>
        <row r="347">
          <cell r="J347">
            <v>-5771</v>
          </cell>
        </row>
        <row r="349">
          <cell r="J349">
            <v>15</v>
          </cell>
        </row>
        <row r="350">
          <cell r="J350">
            <v>15</v>
          </cell>
        </row>
        <row r="352">
          <cell r="J352">
            <v>-175</v>
          </cell>
        </row>
        <row r="353">
          <cell r="J353">
            <v>0</v>
          </cell>
        </row>
        <row r="354">
          <cell r="J354">
            <v>-175</v>
          </cell>
        </row>
        <row r="356">
          <cell r="J356">
            <v>0</v>
          </cell>
        </row>
        <row r="358">
          <cell r="J358">
            <v>0</v>
          </cell>
        </row>
        <row r="359">
          <cell r="J359">
            <v>0</v>
          </cell>
        </row>
        <row r="361">
          <cell r="J361">
            <v>0</v>
          </cell>
        </row>
        <row r="362">
          <cell r="J362">
            <v>0</v>
          </cell>
        </row>
        <row r="363">
          <cell r="J363">
            <v>0</v>
          </cell>
        </row>
        <row r="364">
          <cell r="J364">
            <v>0</v>
          </cell>
        </row>
        <row r="365">
          <cell r="J365">
            <v>0</v>
          </cell>
        </row>
        <row r="366">
          <cell r="J366">
            <v>0</v>
          </cell>
        </row>
        <row r="367">
          <cell r="J367">
            <v>0</v>
          </cell>
        </row>
        <row r="368">
          <cell r="J368">
            <v>0</v>
          </cell>
        </row>
        <row r="369">
          <cell r="J369">
            <v>0</v>
          </cell>
        </row>
        <row r="370">
          <cell r="J370">
            <v>0</v>
          </cell>
        </row>
        <row r="371">
          <cell r="J371">
            <v>0</v>
          </cell>
        </row>
        <row r="372">
          <cell r="J372">
            <v>0</v>
          </cell>
        </row>
        <row r="373">
          <cell r="J373">
            <v>0</v>
          </cell>
        </row>
        <row r="374">
          <cell r="J374">
            <v>0</v>
          </cell>
        </row>
        <row r="375">
          <cell r="J375">
            <v>0</v>
          </cell>
        </row>
        <row r="376">
          <cell r="J376">
            <v>0</v>
          </cell>
        </row>
        <row r="377">
          <cell r="J377">
            <v>0</v>
          </cell>
        </row>
        <row r="378">
          <cell r="J378">
            <v>0</v>
          </cell>
        </row>
        <row r="379">
          <cell r="J379">
            <v>0</v>
          </cell>
        </row>
        <row r="380">
          <cell r="J380">
            <v>0</v>
          </cell>
        </row>
        <row r="381">
          <cell r="J381">
            <v>0</v>
          </cell>
        </row>
        <row r="382">
          <cell r="J382">
            <v>0</v>
          </cell>
        </row>
        <row r="383">
          <cell r="J383">
            <v>0</v>
          </cell>
        </row>
        <row r="384">
          <cell r="J384">
            <v>-3</v>
          </cell>
        </row>
        <row r="385">
          <cell r="J385">
            <v>0</v>
          </cell>
        </row>
        <row r="386">
          <cell r="J386">
            <v>-174</v>
          </cell>
        </row>
        <row r="387">
          <cell r="J387">
            <v>0</v>
          </cell>
        </row>
        <row r="388">
          <cell r="J388">
            <v>0</v>
          </cell>
        </row>
        <row r="389">
          <cell r="J389">
            <v>0</v>
          </cell>
        </row>
        <row r="390">
          <cell r="J390">
            <v>0</v>
          </cell>
        </row>
        <row r="391">
          <cell r="J391">
            <v>0</v>
          </cell>
        </row>
        <row r="392">
          <cell r="J392">
            <v>0</v>
          </cell>
        </row>
        <row r="393">
          <cell r="J393">
            <v>-7</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row r="404">
          <cell r="J404">
            <v>0</v>
          </cell>
        </row>
        <row r="405">
          <cell r="J405">
            <v>0</v>
          </cell>
        </row>
        <row r="406">
          <cell r="J406">
            <v>0</v>
          </cell>
        </row>
        <row r="407">
          <cell r="J407">
            <v>0</v>
          </cell>
        </row>
        <row r="408">
          <cell r="J408">
            <v>0</v>
          </cell>
        </row>
        <row r="409">
          <cell r="J409">
            <v>0</v>
          </cell>
        </row>
        <row r="410">
          <cell r="J410">
            <v>0</v>
          </cell>
        </row>
        <row r="411">
          <cell r="J411">
            <v>0</v>
          </cell>
        </row>
        <row r="412">
          <cell r="J412">
            <v>0</v>
          </cell>
        </row>
        <row r="413">
          <cell r="J413">
            <v>0</v>
          </cell>
        </row>
        <row r="414">
          <cell r="J414">
            <v>0</v>
          </cell>
        </row>
        <row r="415">
          <cell r="J415">
            <v>0</v>
          </cell>
        </row>
        <row r="416">
          <cell r="J416">
            <v>0</v>
          </cell>
        </row>
        <row r="417">
          <cell r="J417">
            <v>0</v>
          </cell>
        </row>
        <row r="418">
          <cell r="J418">
            <v>0</v>
          </cell>
        </row>
        <row r="419">
          <cell r="J419">
            <v>0</v>
          </cell>
        </row>
        <row r="420">
          <cell r="J420">
            <v>0</v>
          </cell>
        </row>
        <row r="421">
          <cell r="J421">
            <v>0</v>
          </cell>
        </row>
        <row r="422">
          <cell r="J422">
            <v>0</v>
          </cell>
        </row>
        <row r="423">
          <cell r="J423">
            <v>0</v>
          </cell>
        </row>
        <row r="424">
          <cell r="J424">
            <v>0</v>
          </cell>
        </row>
        <row r="425">
          <cell r="J425">
            <v>0</v>
          </cell>
        </row>
        <row r="426">
          <cell r="J426">
            <v>0</v>
          </cell>
        </row>
        <row r="427">
          <cell r="J427">
            <v>0</v>
          </cell>
        </row>
        <row r="428">
          <cell r="J428">
            <v>0</v>
          </cell>
        </row>
        <row r="429">
          <cell r="J429">
            <v>0</v>
          </cell>
        </row>
        <row r="430">
          <cell r="J430">
            <v>0</v>
          </cell>
        </row>
        <row r="431">
          <cell r="J431">
            <v>0</v>
          </cell>
        </row>
        <row r="432">
          <cell r="J432">
            <v>0</v>
          </cell>
        </row>
        <row r="433">
          <cell r="J433">
            <v>0</v>
          </cell>
        </row>
        <row r="434">
          <cell r="J434">
            <v>0</v>
          </cell>
        </row>
        <row r="435">
          <cell r="J435">
            <v>0</v>
          </cell>
        </row>
        <row r="436">
          <cell r="J436">
            <v>-184</v>
          </cell>
        </row>
        <row r="438">
          <cell r="J438">
            <v>-75</v>
          </cell>
        </row>
        <row r="439">
          <cell r="J439">
            <v>-54989</v>
          </cell>
        </row>
        <row r="440">
          <cell r="J440">
            <v>0</v>
          </cell>
        </row>
        <row r="441">
          <cell r="J441">
            <v>-11</v>
          </cell>
        </row>
        <row r="442">
          <cell r="J442">
            <v>-98</v>
          </cell>
        </row>
        <row r="443">
          <cell r="J443">
            <v>-69</v>
          </cell>
        </row>
        <row r="444">
          <cell r="J444">
            <v>-19</v>
          </cell>
        </row>
        <row r="445">
          <cell r="J445">
            <v>-2283</v>
          </cell>
        </row>
        <row r="446">
          <cell r="J446">
            <v>0</v>
          </cell>
        </row>
        <row r="447">
          <cell r="J447">
            <v>-57</v>
          </cell>
        </row>
        <row r="448">
          <cell r="J448">
            <v>0</v>
          </cell>
        </row>
        <row r="449">
          <cell r="J449">
            <v>0</v>
          </cell>
        </row>
        <row r="450">
          <cell r="J450">
            <v>-57601</v>
          </cell>
        </row>
        <row r="452">
          <cell r="J452">
            <v>-4537717</v>
          </cell>
        </row>
        <row r="453">
          <cell r="J453">
            <v>-20436</v>
          </cell>
        </row>
        <row r="454">
          <cell r="J454">
            <v>213282</v>
          </cell>
        </row>
        <row r="455">
          <cell r="J455">
            <v>-4254</v>
          </cell>
        </row>
        <row r="456">
          <cell r="J456">
            <v>-4349125</v>
          </cell>
        </row>
        <row r="458">
          <cell r="J458">
            <v>-4343</v>
          </cell>
        </row>
        <row r="459">
          <cell r="J459">
            <v>0</v>
          </cell>
        </row>
        <row r="460">
          <cell r="J460">
            <v>-134</v>
          </cell>
        </row>
        <row r="461">
          <cell r="J461">
            <v>-51533</v>
          </cell>
        </row>
        <row r="462">
          <cell r="J462">
            <v>-3060</v>
          </cell>
        </row>
        <row r="463">
          <cell r="J463">
            <v>0</v>
          </cell>
        </row>
        <row r="464">
          <cell r="J464">
            <v>-45</v>
          </cell>
        </row>
        <row r="465">
          <cell r="J465">
            <v>-194</v>
          </cell>
        </row>
        <row r="466">
          <cell r="J466">
            <v>-261</v>
          </cell>
        </row>
        <row r="467">
          <cell r="J467">
            <v>-1302</v>
          </cell>
        </row>
        <row r="468">
          <cell r="J468">
            <v>-60872</v>
          </cell>
        </row>
        <row r="470">
          <cell r="J470">
            <v>0</v>
          </cell>
        </row>
        <row r="471">
          <cell r="J471">
            <v>-4</v>
          </cell>
        </row>
        <row r="472">
          <cell r="J472">
            <v>-1</v>
          </cell>
        </row>
        <row r="473">
          <cell r="J473">
            <v>0</v>
          </cell>
        </row>
        <row r="474">
          <cell r="J474">
            <v>0</v>
          </cell>
        </row>
        <row r="475">
          <cell r="J475">
            <v>-83</v>
          </cell>
        </row>
        <row r="476">
          <cell r="J476">
            <v>0</v>
          </cell>
        </row>
        <row r="477">
          <cell r="J477">
            <v>-3146</v>
          </cell>
        </row>
        <row r="478">
          <cell r="J478">
            <v>0</v>
          </cell>
        </row>
        <row r="479">
          <cell r="J479">
            <v>-7926</v>
          </cell>
        </row>
        <row r="480">
          <cell r="J480">
            <v>-962</v>
          </cell>
        </row>
        <row r="481">
          <cell r="J481">
            <v>-1</v>
          </cell>
        </row>
        <row r="482">
          <cell r="J482">
            <v>0</v>
          </cell>
        </row>
        <row r="483">
          <cell r="J483">
            <v>0</v>
          </cell>
        </row>
        <row r="484">
          <cell r="J484">
            <v>0</v>
          </cell>
        </row>
        <row r="485">
          <cell r="J485">
            <v>0</v>
          </cell>
        </row>
        <row r="486">
          <cell r="J486">
            <v>-95</v>
          </cell>
        </row>
        <row r="487">
          <cell r="J487">
            <v>0</v>
          </cell>
        </row>
        <row r="488">
          <cell r="J488">
            <v>-1694</v>
          </cell>
        </row>
        <row r="489">
          <cell r="J489">
            <v>-10</v>
          </cell>
        </row>
        <row r="490">
          <cell r="J490">
            <v>-940</v>
          </cell>
        </row>
        <row r="491">
          <cell r="J491">
            <v>0</v>
          </cell>
        </row>
        <row r="492">
          <cell r="J492">
            <v>-549</v>
          </cell>
        </row>
        <row r="493">
          <cell r="J493">
            <v>0</v>
          </cell>
        </row>
        <row r="494">
          <cell r="J494">
            <v>0</v>
          </cell>
        </row>
        <row r="495">
          <cell r="J495">
            <v>-12</v>
          </cell>
        </row>
        <row r="496">
          <cell r="J496">
            <v>-2317</v>
          </cell>
        </row>
        <row r="497">
          <cell r="J497">
            <v>-3341</v>
          </cell>
        </row>
        <row r="498">
          <cell r="J498">
            <v>-91</v>
          </cell>
        </row>
        <row r="499">
          <cell r="J499">
            <v>-13</v>
          </cell>
        </row>
        <row r="500">
          <cell r="J500">
            <v>-5758</v>
          </cell>
        </row>
        <row r="501">
          <cell r="J501">
            <v>-7531</v>
          </cell>
        </row>
        <row r="502">
          <cell r="J502">
            <v>-5375</v>
          </cell>
        </row>
        <row r="503">
          <cell r="J503">
            <v>-2083</v>
          </cell>
        </row>
        <row r="504">
          <cell r="J504">
            <v>-59</v>
          </cell>
        </row>
        <row r="505">
          <cell r="J505">
            <v>-136</v>
          </cell>
        </row>
        <row r="506">
          <cell r="J506">
            <v>0</v>
          </cell>
        </row>
        <row r="507">
          <cell r="J507">
            <v>-3451</v>
          </cell>
        </row>
        <row r="508">
          <cell r="J508">
            <v>0</v>
          </cell>
        </row>
        <row r="509">
          <cell r="J509">
            <v>0</v>
          </cell>
        </row>
        <row r="510">
          <cell r="J510">
            <v>0</v>
          </cell>
        </row>
        <row r="511">
          <cell r="J511">
            <v>0</v>
          </cell>
        </row>
        <row r="512">
          <cell r="J512">
            <v>-45578</v>
          </cell>
        </row>
        <row r="514">
          <cell r="J514">
            <v>-4558</v>
          </cell>
        </row>
        <row r="515">
          <cell r="J515">
            <v>-114041</v>
          </cell>
        </row>
        <row r="516">
          <cell r="J516">
            <v>-35398</v>
          </cell>
        </row>
        <row r="517">
          <cell r="J517">
            <v>-17988</v>
          </cell>
        </row>
        <row r="518">
          <cell r="J518">
            <v>-168</v>
          </cell>
        </row>
        <row r="519">
          <cell r="J519">
            <v>-111</v>
          </cell>
        </row>
        <row r="520">
          <cell r="J520">
            <v>-1223</v>
          </cell>
        </row>
        <row r="521">
          <cell r="J521">
            <v>-359</v>
          </cell>
        </row>
        <row r="522">
          <cell r="J522">
            <v>-10830</v>
          </cell>
        </row>
        <row r="523">
          <cell r="J523">
            <v>-1685</v>
          </cell>
        </row>
        <row r="524">
          <cell r="J524">
            <v>-187</v>
          </cell>
        </row>
        <row r="525">
          <cell r="J525">
            <v>-33</v>
          </cell>
        </row>
        <row r="526">
          <cell r="J526">
            <v>-186581</v>
          </cell>
        </row>
        <row r="528">
          <cell r="J528">
            <v>0</v>
          </cell>
        </row>
        <row r="529">
          <cell r="J529">
            <v>-18204</v>
          </cell>
        </row>
        <row r="530">
          <cell r="J530">
            <v>-23853</v>
          </cell>
        </row>
        <row r="531">
          <cell r="J531">
            <v>-1405</v>
          </cell>
        </row>
        <row r="532">
          <cell r="J532">
            <v>-20953</v>
          </cell>
        </row>
        <row r="533">
          <cell r="J533">
            <v>-20704</v>
          </cell>
        </row>
        <row r="534">
          <cell r="J534">
            <v>-85119</v>
          </cell>
        </row>
        <row r="536">
          <cell r="J536">
            <v>0</v>
          </cell>
        </row>
        <row r="537">
          <cell r="J537">
            <v>-353</v>
          </cell>
        </row>
        <row r="538">
          <cell r="J538">
            <v>-6</v>
          </cell>
        </row>
        <row r="539">
          <cell r="J539">
            <v>-273</v>
          </cell>
        </row>
        <row r="540">
          <cell r="J540">
            <v>-434</v>
          </cell>
        </row>
        <row r="541">
          <cell r="J541">
            <v>0</v>
          </cell>
        </row>
        <row r="542">
          <cell r="J542">
            <v>-273</v>
          </cell>
        </row>
        <row r="543">
          <cell r="J543">
            <v>-151</v>
          </cell>
        </row>
        <row r="544">
          <cell r="J544">
            <v>0</v>
          </cell>
        </row>
        <row r="545">
          <cell r="J545">
            <v>-2494</v>
          </cell>
        </row>
        <row r="546">
          <cell r="J546">
            <v>-656</v>
          </cell>
        </row>
        <row r="547">
          <cell r="J547">
            <v>-5017</v>
          </cell>
        </row>
        <row r="548">
          <cell r="J548">
            <v>0</v>
          </cell>
        </row>
        <row r="549">
          <cell r="J549">
            <v>-4744</v>
          </cell>
        </row>
        <row r="550">
          <cell r="J550">
            <v>-1248</v>
          </cell>
        </row>
        <row r="551">
          <cell r="J551">
            <v>-15356</v>
          </cell>
        </row>
        <row r="552">
          <cell r="J552">
            <v>-2842</v>
          </cell>
        </row>
        <row r="553">
          <cell r="J553">
            <v>-12851</v>
          </cell>
        </row>
        <row r="554">
          <cell r="J554">
            <v>-480</v>
          </cell>
        </row>
        <row r="555">
          <cell r="J555">
            <v>-24729</v>
          </cell>
        </row>
        <row r="556">
          <cell r="J556">
            <v>-2843</v>
          </cell>
        </row>
        <row r="557">
          <cell r="J557">
            <v>-9341</v>
          </cell>
        </row>
        <row r="558">
          <cell r="J558">
            <v>-10179</v>
          </cell>
        </row>
        <row r="559">
          <cell r="J559">
            <v>-5447</v>
          </cell>
        </row>
        <row r="560">
          <cell r="J560">
            <v>-1320</v>
          </cell>
        </row>
        <row r="561">
          <cell r="J561">
            <v>-6058</v>
          </cell>
        </row>
        <row r="562">
          <cell r="J562">
            <v>-8834</v>
          </cell>
        </row>
        <row r="563">
          <cell r="J563">
            <v>-2311</v>
          </cell>
        </row>
        <row r="564">
          <cell r="J564">
            <v>-7678</v>
          </cell>
        </row>
        <row r="565">
          <cell r="J565">
            <v>-1973</v>
          </cell>
        </row>
        <row r="566">
          <cell r="J566">
            <v>-1440</v>
          </cell>
        </row>
        <row r="567">
          <cell r="J567">
            <v>-2528</v>
          </cell>
        </row>
        <row r="568">
          <cell r="J568">
            <v>0</v>
          </cell>
        </row>
        <row r="569">
          <cell r="J569">
            <v>-114</v>
          </cell>
        </row>
        <row r="570">
          <cell r="J570">
            <v>-131973</v>
          </cell>
        </row>
        <row r="572">
          <cell r="J572">
            <v>-1723</v>
          </cell>
        </row>
        <row r="573">
          <cell r="J573">
            <v>-85</v>
          </cell>
        </row>
        <row r="574">
          <cell r="J574">
            <v>-1808</v>
          </cell>
        </row>
        <row r="576">
          <cell r="J576">
            <v>-9219</v>
          </cell>
        </row>
        <row r="577">
          <cell r="J577">
            <v>-6923</v>
          </cell>
        </row>
        <row r="578">
          <cell r="J578">
            <v>-4596</v>
          </cell>
        </row>
        <row r="579">
          <cell r="J579">
            <v>-5707</v>
          </cell>
        </row>
        <row r="580">
          <cell r="J580">
            <v>-14196</v>
          </cell>
        </row>
        <row r="581">
          <cell r="J581">
            <v>-6531</v>
          </cell>
        </row>
        <row r="582">
          <cell r="J582">
            <v>-9375</v>
          </cell>
        </row>
        <row r="583">
          <cell r="J583">
            <v>-327</v>
          </cell>
        </row>
        <row r="584">
          <cell r="J584">
            <v>-56874</v>
          </cell>
        </row>
        <row r="586">
          <cell r="J586">
            <v>-1035</v>
          </cell>
        </row>
        <row r="587">
          <cell r="J587">
            <v>-3933</v>
          </cell>
        </row>
        <row r="588">
          <cell r="J588">
            <v>-2140</v>
          </cell>
        </row>
        <row r="589">
          <cell r="J589">
            <v>-5849</v>
          </cell>
        </row>
        <row r="590">
          <cell r="J590">
            <v>-3504</v>
          </cell>
        </row>
        <row r="591">
          <cell r="J591">
            <v>-252</v>
          </cell>
        </row>
        <row r="592">
          <cell r="J592">
            <v>-3275</v>
          </cell>
        </row>
        <row r="593">
          <cell r="J593">
            <v>-2499</v>
          </cell>
        </row>
        <row r="594">
          <cell r="J594">
            <v>-1139</v>
          </cell>
        </row>
        <row r="595">
          <cell r="J595">
            <v>-180</v>
          </cell>
        </row>
        <row r="596">
          <cell r="J596">
            <v>-23806</v>
          </cell>
        </row>
        <row r="598">
          <cell r="J598">
            <v>-4924</v>
          </cell>
        </row>
        <row r="599">
          <cell r="J599">
            <v>-458</v>
          </cell>
        </row>
        <row r="600">
          <cell r="J600">
            <v>-400</v>
          </cell>
        </row>
        <row r="601">
          <cell r="J601">
            <v>-5782</v>
          </cell>
        </row>
        <row r="603">
          <cell r="J603">
            <v>0</v>
          </cell>
        </row>
        <row r="604">
          <cell r="J604">
            <v>-840</v>
          </cell>
        </row>
        <row r="605">
          <cell r="J605">
            <v>0</v>
          </cell>
        </row>
        <row r="606">
          <cell r="J606">
            <v>-34191</v>
          </cell>
        </row>
        <row r="607">
          <cell r="J607">
            <v>-20880</v>
          </cell>
        </row>
        <row r="608">
          <cell r="J608">
            <v>-15008</v>
          </cell>
        </row>
        <row r="609">
          <cell r="J609">
            <v>-56</v>
          </cell>
        </row>
        <row r="610">
          <cell r="J610">
            <v>4635</v>
          </cell>
        </row>
        <row r="611">
          <cell r="J611">
            <v>-529</v>
          </cell>
        </row>
        <row r="612">
          <cell r="J612">
            <v>430</v>
          </cell>
        </row>
        <row r="613">
          <cell r="J613">
            <v>-1222</v>
          </cell>
        </row>
        <row r="614">
          <cell r="J614">
            <v>-67661</v>
          </cell>
        </row>
        <row r="616">
          <cell r="J616">
            <v>0</v>
          </cell>
        </row>
        <row r="617">
          <cell r="J617">
            <v>0</v>
          </cell>
        </row>
        <row r="618">
          <cell r="J618">
            <v>0</v>
          </cell>
        </row>
        <row r="619">
          <cell r="J619">
            <v>0</v>
          </cell>
        </row>
        <row r="620">
          <cell r="J620">
            <v>0</v>
          </cell>
        </row>
        <row r="621">
          <cell r="J621">
            <v>0</v>
          </cell>
        </row>
        <row r="622">
          <cell r="J622">
            <v>0</v>
          </cell>
        </row>
        <row r="623">
          <cell r="J623">
            <v>0</v>
          </cell>
        </row>
        <row r="624">
          <cell r="J624">
            <v>0</v>
          </cell>
        </row>
        <row r="625">
          <cell r="J625">
            <v>0</v>
          </cell>
        </row>
        <row r="626">
          <cell r="J626">
            <v>0</v>
          </cell>
        </row>
        <row r="627">
          <cell r="J627">
            <v>0</v>
          </cell>
        </row>
        <row r="628">
          <cell r="J628">
            <v>0</v>
          </cell>
        </row>
        <row r="629">
          <cell r="J629">
            <v>0</v>
          </cell>
        </row>
        <row r="630">
          <cell r="J630">
            <v>0</v>
          </cell>
        </row>
        <row r="631">
          <cell r="J631">
            <v>0</v>
          </cell>
        </row>
        <row r="632">
          <cell r="J632">
            <v>0</v>
          </cell>
        </row>
        <row r="633">
          <cell r="J633">
            <v>0</v>
          </cell>
        </row>
        <row r="634">
          <cell r="J634">
            <v>0</v>
          </cell>
        </row>
        <row r="635">
          <cell r="J635">
            <v>0</v>
          </cell>
        </row>
        <row r="636">
          <cell r="J636">
            <v>0</v>
          </cell>
        </row>
        <row r="637">
          <cell r="J637">
            <v>0</v>
          </cell>
        </row>
        <row r="638">
          <cell r="J638">
            <v>0</v>
          </cell>
        </row>
        <row r="639">
          <cell r="J639">
            <v>0</v>
          </cell>
        </row>
        <row r="640">
          <cell r="J640">
            <v>0</v>
          </cell>
        </row>
        <row r="641">
          <cell r="J641">
            <v>0</v>
          </cell>
        </row>
        <row r="642">
          <cell r="J642">
            <v>0</v>
          </cell>
        </row>
        <row r="643">
          <cell r="J643">
            <v>0</v>
          </cell>
        </row>
        <row r="644">
          <cell r="J644">
            <v>0</v>
          </cell>
        </row>
        <row r="645">
          <cell r="J645">
            <v>0</v>
          </cell>
        </row>
        <row r="646">
          <cell r="J646">
            <v>0</v>
          </cell>
        </row>
        <row r="648">
          <cell r="J648">
            <v>-433</v>
          </cell>
        </row>
        <row r="649">
          <cell r="J649">
            <v>8313</v>
          </cell>
        </row>
        <row r="650">
          <cell r="J650">
            <v>0</v>
          </cell>
        </row>
        <row r="651">
          <cell r="J651">
            <v>0</v>
          </cell>
        </row>
        <row r="652">
          <cell r="J652">
            <v>0</v>
          </cell>
        </row>
        <row r="653">
          <cell r="J653">
            <v>7880</v>
          </cell>
        </row>
        <row r="655">
          <cell r="J655">
            <v>0</v>
          </cell>
        </row>
        <row r="657">
          <cell r="J657">
            <v>72156</v>
          </cell>
        </row>
        <row r="658">
          <cell r="J658">
            <v>72156</v>
          </cell>
        </row>
        <row r="660">
          <cell r="J660">
            <v>6773</v>
          </cell>
        </row>
        <row r="661">
          <cell r="J661">
            <v>6773</v>
          </cell>
        </row>
        <row r="663">
          <cell r="J663">
            <v>5771</v>
          </cell>
        </row>
        <row r="664">
          <cell r="J664">
            <v>5771</v>
          </cell>
        </row>
        <row r="666">
          <cell r="J666">
            <v>155</v>
          </cell>
        </row>
        <row r="667">
          <cell r="J667">
            <v>58</v>
          </cell>
        </row>
        <row r="668">
          <cell r="J668">
            <v>25</v>
          </cell>
        </row>
        <row r="669">
          <cell r="J669">
            <v>238</v>
          </cell>
        </row>
        <row r="671">
          <cell r="J671">
            <v>3454</v>
          </cell>
        </row>
        <row r="672">
          <cell r="J672">
            <v>7061</v>
          </cell>
        </row>
        <row r="673">
          <cell r="J673">
            <v>520</v>
          </cell>
        </row>
        <row r="674">
          <cell r="J674">
            <v>0</v>
          </cell>
        </row>
        <row r="675">
          <cell r="J675">
            <v>0</v>
          </cell>
        </row>
        <row r="676">
          <cell r="J676">
            <v>1405</v>
          </cell>
        </row>
        <row r="677">
          <cell r="J677">
            <v>0</v>
          </cell>
        </row>
        <row r="678">
          <cell r="J678">
            <v>1</v>
          </cell>
        </row>
        <row r="679">
          <cell r="J679">
            <v>0</v>
          </cell>
        </row>
        <row r="680">
          <cell r="J680">
            <v>0</v>
          </cell>
        </row>
        <row r="681">
          <cell r="J681">
            <v>0</v>
          </cell>
        </row>
        <row r="682">
          <cell r="J682">
            <v>0</v>
          </cell>
        </row>
        <row r="683">
          <cell r="J683">
            <v>0</v>
          </cell>
        </row>
        <row r="684">
          <cell r="J684">
            <v>0</v>
          </cell>
        </row>
        <row r="685">
          <cell r="J685">
            <v>0</v>
          </cell>
        </row>
        <row r="686">
          <cell r="J686">
            <v>7</v>
          </cell>
        </row>
        <row r="687">
          <cell r="J687">
            <v>0</v>
          </cell>
        </row>
        <row r="688">
          <cell r="J688">
            <v>15</v>
          </cell>
        </row>
        <row r="689">
          <cell r="J689">
            <v>0</v>
          </cell>
        </row>
        <row r="690">
          <cell r="J690">
            <v>0</v>
          </cell>
        </row>
        <row r="691">
          <cell r="J691">
            <v>0</v>
          </cell>
        </row>
        <row r="692">
          <cell r="J692">
            <v>0</v>
          </cell>
        </row>
        <row r="693">
          <cell r="J693">
            <v>0</v>
          </cell>
        </row>
        <row r="694">
          <cell r="J694">
            <v>0</v>
          </cell>
        </row>
        <row r="695">
          <cell r="J695">
            <v>0</v>
          </cell>
        </row>
        <row r="696">
          <cell r="J696">
            <v>0</v>
          </cell>
        </row>
        <row r="697">
          <cell r="J697">
            <v>0</v>
          </cell>
        </row>
        <row r="698">
          <cell r="J698">
            <v>1932</v>
          </cell>
        </row>
        <row r="699">
          <cell r="J699">
            <v>43</v>
          </cell>
        </row>
        <row r="700">
          <cell r="J700">
            <v>775</v>
          </cell>
        </row>
        <row r="701">
          <cell r="J701">
            <v>191</v>
          </cell>
        </row>
        <row r="702">
          <cell r="J702">
            <v>2164</v>
          </cell>
        </row>
        <row r="703">
          <cell r="J703">
            <v>17568</v>
          </cell>
        </row>
        <row r="705">
          <cell r="J705">
            <v>406</v>
          </cell>
        </row>
        <row r="706">
          <cell r="J706">
            <v>0</v>
          </cell>
        </row>
        <row r="707">
          <cell r="J707">
            <v>170</v>
          </cell>
        </row>
        <row r="708">
          <cell r="J708">
            <v>32</v>
          </cell>
        </row>
        <row r="709">
          <cell r="J709">
            <v>35</v>
          </cell>
        </row>
        <row r="710">
          <cell r="J710">
            <v>375</v>
          </cell>
        </row>
        <row r="711">
          <cell r="J711">
            <v>42</v>
          </cell>
        </row>
        <row r="712">
          <cell r="J712">
            <v>108</v>
          </cell>
        </row>
        <row r="713">
          <cell r="J713">
            <v>172</v>
          </cell>
        </row>
        <row r="714">
          <cell r="J714">
            <v>73</v>
          </cell>
        </row>
        <row r="715">
          <cell r="J715">
            <v>75</v>
          </cell>
        </row>
        <row r="716">
          <cell r="J716">
            <v>1488</v>
          </cell>
        </row>
        <row r="718">
          <cell r="J718">
            <v>381</v>
          </cell>
        </row>
        <row r="719">
          <cell r="J719">
            <v>381</v>
          </cell>
        </row>
        <row r="721">
          <cell r="J721">
            <v>0</v>
          </cell>
        </row>
        <row r="722">
          <cell r="J722">
            <v>0</v>
          </cell>
        </row>
        <row r="65536">
          <cell r="J65536" t="str">
            <v>Final</v>
          </cell>
        </row>
      </sheetData>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BS"/>
      <sheetName val="Pn L"/>
      <sheetName val="CF "/>
      <sheetName val="DS"/>
      <sheetName val="UH"/>
      <sheetName val="Note 1-4"/>
      <sheetName val="Note 4.1 -7"/>
      <sheetName val="Note 7.3 -11"/>
      <sheetName val="Lead 2017."/>
      <sheetName val="Note 7.1-7.2"/>
      <sheetName val="12 - 18"/>
      <sheetName val="Note 19"/>
      <sheetName val="Note 20-22"/>
      <sheetName val="Links"/>
      <sheetName val="Realised"/>
      <sheetName val="Lead"/>
      <sheetName val="Unit Sold and Redeem"/>
      <sheetName val="Pattern of holding"/>
      <sheetName val="FISGF RP"/>
    </sheetNames>
    <sheetDataSet>
      <sheetData sheetId="0" refreshError="1"/>
      <sheetData sheetId="1"/>
      <sheetData sheetId="2"/>
      <sheetData sheetId="3"/>
      <sheetData sheetId="4"/>
      <sheetData sheetId="5"/>
      <sheetData sheetId="6"/>
      <sheetData sheetId="7"/>
      <sheetData sheetId="8"/>
      <sheetData sheetId="9">
        <row r="30">
          <cell r="K30">
            <v>603989377</v>
          </cell>
        </row>
      </sheetData>
      <sheetData sheetId="10"/>
      <sheetData sheetId="11"/>
      <sheetData sheetId="12" refreshError="1"/>
      <sheetData sheetId="13" refreshError="1"/>
      <sheetData sheetId="14">
        <row r="1">
          <cell r="F1" t="str">
            <v>Preliminary</v>
          </cell>
          <cell r="K1" t="str">
            <v>PY1</v>
          </cell>
        </row>
        <row r="3">
          <cell r="K3">
            <v>0</v>
          </cell>
        </row>
        <row r="4">
          <cell r="K4">
            <v>0</v>
          </cell>
        </row>
        <row r="5">
          <cell r="K5">
            <v>25366</v>
          </cell>
        </row>
        <row r="6">
          <cell r="K6">
            <v>0</v>
          </cell>
        </row>
        <row r="7">
          <cell r="K7">
            <v>0</v>
          </cell>
        </row>
        <row r="8">
          <cell r="K8">
            <v>0</v>
          </cell>
        </row>
        <row r="9">
          <cell r="K9">
            <v>0</v>
          </cell>
        </row>
        <row r="10">
          <cell r="K10">
            <v>0</v>
          </cell>
        </row>
        <row r="11">
          <cell r="K11">
            <v>0</v>
          </cell>
        </row>
        <row r="12">
          <cell r="K12">
            <v>0</v>
          </cell>
        </row>
        <row r="13">
          <cell r="K13">
            <v>0</v>
          </cell>
        </row>
        <row r="14">
          <cell r="K14">
            <v>10029010</v>
          </cell>
        </row>
        <row r="15">
          <cell r="K15">
            <v>0</v>
          </cell>
        </row>
        <row r="16">
          <cell r="K16">
            <v>11353</v>
          </cell>
        </row>
        <row r="17">
          <cell r="K17">
            <v>5962</v>
          </cell>
        </row>
        <row r="18">
          <cell r="K18">
            <v>14685</v>
          </cell>
        </row>
        <row r="19">
          <cell r="K19">
            <v>16375</v>
          </cell>
        </row>
        <row r="20">
          <cell r="K20">
            <v>16335</v>
          </cell>
        </row>
        <row r="21">
          <cell r="K21">
            <v>-38089</v>
          </cell>
        </row>
        <row r="22">
          <cell r="K22">
            <v>0</v>
          </cell>
        </row>
        <row r="23">
          <cell r="K23">
            <v>8700</v>
          </cell>
        </row>
        <row r="24">
          <cell r="K24">
            <v>655200720</v>
          </cell>
        </row>
        <row r="25">
          <cell r="K25">
            <v>8950</v>
          </cell>
        </row>
        <row r="26">
          <cell r="K26">
            <v>56374</v>
          </cell>
        </row>
        <row r="27">
          <cell r="K27">
            <v>96131</v>
          </cell>
        </row>
        <row r="28">
          <cell r="K28">
            <v>0</v>
          </cell>
        </row>
        <row r="29">
          <cell r="K29">
            <v>0</v>
          </cell>
        </row>
        <row r="30">
          <cell r="K30">
            <v>665451872</v>
          </cell>
        </row>
        <row r="32">
          <cell r="K32">
            <v>0</v>
          </cell>
        </row>
        <row r="33">
          <cell r="K33">
            <v>0</v>
          </cell>
        </row>
        <row r="34">
          <cell r="K34">
            <v>0</v>
          </cell>
        </row>
        <row r="35">
          <cell r="K35">
            <v>0</v>
          </cell>
        </row>
        <row r="36">
          <cell r="K36">
            <v>0</v>
          </cell>
        </row>
        <row r="37">
          <cell r="K37">
            <v>0</v>
          </cell>
        </row>
        <row r="38">
          <cell r="K38">
            <v>0</v>
          </cell>
        </row>
        <row r="40">
          <cell r="K40">
            <v>0</v>
          </cell>
        </row>
        <row r="41">
          <cell r="K41">
            <v>0</v>
          </cell>
        </row>
        <row r="43">
          <cell r="K43">
            <v>0</v>
          </cell>
        </row>
        <row r="44">
          <cell r="K44">
            <v>0</v>
          </cell>
        </row>
        <row r="45">
          <cell r="K45">
            <v>0</v>
          </cell>
        </row>
        <row r="46">
          <cell r="K46">
            <v>0</v>
          </cell>
        </row>
        <row r="48">
          <cell r="K48">
            <v>100000</v>
          </cell>
        </row>
        <row r="49">
          <cell r="K49">
            <v>0</v>
          </cell>
        </row>
        <row r="50">
          <cell r="K50">
            <v>100000</v>
          </cell>
        </row>
        <row r="52">
          <cell r="K52">
            <v>0</v>
          </cell>
        </row>
        <row r="53">
          <cell r="K53">
            <v>0</v>
          </cell>
        </row>
        <row r="54">
          <cell r="K54">
            <v>0</v>
          </cell>
        </row>
        <row r="55">
          <cell r="K55">
            <v>0</v>
          </cell>
        </row>
        <row r="56">
          <cell r="K56">
            <v>0</v>
          </cell>
        </row>
        <row r="57">
          <cell r="K57">
            <v>0</v>
          </cell>
        </row>
        <row r="58">
          <cell r="K58">
            <v>0</v>
          </cell>
        </row>
        <row r="59">
          <cell r="K59">
            <v>0</v>
          </cell>
        </row>
        <row r="60">
          <cell r="K60">
            <v>0</v>
          </cell>
        </row>
        <row r="61">
          <cell r="K61">
            <v>0</v>
          </cell>
        </row>
        <row r="62">
          <cell r="K62">
            <v>0</v>
          </cell>
        </row>
        <row r="63">
          <cell r="K63">
            <v>313437</v>
          </cell>
        </row>
        <row r="64">
          <cell r="K64">
            <v>5232206</v>
          </cell>
        </row>
        <row r="65">
          <cell r="K65">
            <v>502288</v>
          </cell>
        </row>
        <row r="66">
          <cell r="K66">
            <v>639864</v>
          </cell>
        </row>
        <row r="67">
          <cell r="K67">
            <v>0</v>
          </cell>
        </row>
        <row r="68">
          <cell r="K68">
            <v>0</v>
          </cell>
        </row>
        <row r="69">
          <cell r="K69">
            <v>0</v>
          </cell>
        </row>
        <row r="70">
          <cell r="K70">
            <v>0</v>
          </cell>
        </row>
        <row r="71">
          <cell r="K71">
            <v>0</v>
          </cell>
        </row>
        <row r="72">
          <cell r="K72">
            <v>0</v>
          </cell>
        </row>
        <row r="73">
          <cell r="K73">
            <v>6687795</v>
          </cell>
        </row>
        <row r="75">
          <cell r="K75">
            <v>0</v>
          </cell>
        </row>
        <row r="76">
          <cell r="K76">
            <v>0</v>
          </cell>
        </row>
        <row r="77">
          <cell r="K77">
            <v>0</v>
          </cell>
        </row>
        <row r="78">
          <cell r="K78">
            <v>0</v>
          </cell>
        </row>
        <row r="79">
          <cell r="K79">
            <v>0</v>
          </cell>
        </row>
        <row r="80">
          <cell r="K80">
            <v>0</v>
          </cell>
        </row>
        <row r="81">
          <cell r="K81">
            <v>0</v>
          </cell>
        </row>
        <row r="82">
          <cell r="K82">
            <v>0</v>
          </cell>
        </row>
        <row r="83">
          <cell r="K83">
            <v>0</v>
          </cell>
        </row>
        <row r="84">
          <cell r="K84">
            <v>0</v>
          </cell>
        </row>
        <row r="85">
          <cell r="K85">
            <v>0</v>
          </cell>
        </row>
        <row r="86">
          <cell r="K86">
            <v>0</v>
          </cell>
        </row>
        <row r="87">
          <cell r="K87">
            <v>0</v>
          </cell>
        </row>
        <row r="88">
          <cell r="K88">
            <v>0</v>
          </cell>
        </row>
        <row r="89">
          <cell r="K89">
            <v>0</v>
          </cell>
        </row>
        <row r="90">
          <cell r="K90">
            <v>0</v>
          </cell>
        </row>
        <row r="92">
          <cell r="K92">
            <v>0</v>
          </cell>
        </row>
        <row r="93">
          <cell r="K93">
            <v>0</v>
          </cell>
        </row>
        <row r="95">
          <cell r="K95">
            <v>0</v>
          </cell>
        </row>
        <row r="96">
          <cell r="K96">
            <v>5574</v>
          </cell>
        </row>
        <row r="97">
          <cell r="K97">
            <v>2029</v>
          </cell>
        </row>
        <row r="98">
          <cell r="K98">
            <v>0</v>
          </cell>
        </row>
        <row r="99">
          <cell r="K99">
            <v>0</v>
          </cell>
        </row>
        <row r="100">
          <cell r="K100">
            <v>0</v>
          </cell>
        </row>
        <row r="101">
          <cell r="K101">
            <v>0</v>
          </cell>
        </row>
        <row r="102">
          <cell r="K102">
            <v>0</v>
          </cell>
        </row>
        <row r="103">
          <cell r="K103">
            <v>0</v>
          </cell>
        </row>
        <row r="104">
          <cell r="K104">
            <v>0</v>
          </cell>
        </row>
        <row r="105">
          <cell r="K105">
            <v>30713</v>
          </cell>
        </row>
        <row r="106">
          <cell r="K106">
            <v>443</v>
          </cell>
        </row>
        <row r="107">
          <cell r="K107">
            <v>221</v>
          </cell>
        </row>
        <row r="108">
          <cell r="K108">
            <v>5423739</v>
          </cell>
        </row>
        <row r="109">
          <cell r="K109">
            <v>276</v>
          </cell>
        </row>
        <row r="110">
          <cell r="K110">
            <v>1112</v>
          </cell>
        </row>
        <row r="111">
          <cell r="K111">
            <v>5725</v>
          </cell>
        </row>
        <row r="112">
          <cell r="K112">
            <v>0</v>
          </cell>
        </row>
        <row r="113">
          <cell r="K113">
            <v>0</v>
          </cell>
        </row>
        <row r="114">
          <cell r="K114">
            <v>5469832</v>
          </cell>
        </row>
        <row r="116">
          <cell r="K116">
            <v>0</v>
          </cell>
        </row>
        <row r="118">
          <cell r="K118">
            <v>0</v>
          </cell>
        </row>
        <row r="120">
          <cell r="K120">
            <v>185446</v>
          </cell>
        </row>
        <row r="121">
          <cell r="K121">
            <v>0</v>
          </cell>
        </row>
        <row r="122">
          <cell r="K122">
            <v>0</v>
          </cell>
        </row>
        <row r="123">
          <cell r="K123">
            <v>185446</v>
          </cell>
        </row>
        <row r="125">
          <cell r="K125">
            <v>0</v>
          </cell>
        </row>
        <row r="126">
          <cell r="K126">
            <v>0</v>
          </cell>
        </row>
        <row r="127">
          <cell r="K127">
            <v>4946137</v>
          </cell>
        </row>
        <row r="128">
          <cell r="K128">
            <v>2282760</v>
          </cell>
        </row>
        <row r="129">
          <cell r="K129">
            <v>75234</v>
          </cell>
        </row>
        <row r="130">
          <cell r="K130">
            <v>-373008</v>
          </cell>
        </row>
        <row r="131">
          <cell r="K131">
            <v>0</v>
          </cell>
        </row>
        <row r="132">
          <cell r="K132">
            <v>99762234</v>
          </cell>
        </row>
        <row r="133">
          <cell r="K133">
            <v>8709861</v>
          </cell>
        </row>
        <row r="134">
          <cell r="K134">
            <v>11358435</v>
          </cell>
        </row>
        <row r="135">
          <cell r="K135">
            <v>99000000</v>
          </cell>
        </row>
        <row r="136">
          <cell r="K136">
            <v>0</v>
          </cell>
        </row>
        <row r="137">
          <cell r="K137">
            <v>225761653</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8">
          <cell r="K198">
            <v>0</v>
          </cell>
        </row>
        <row r="199">
          <cell r="K199">
            <v>0</v>
          </cell>
        </row>
        <row r="200">
          <cell r="K200">
            <v>0</v>
          </cell>
        </row>
        <row r="202">
          <cell r="K202">
            <v>0</v>
          </cell>
        </row>
        <row r="203">
          <cell r="K203">
            <v>0</v>
          </cell>
        </row>
        <row r="204">
          <cell r="K204">
            <v>0</v>
          </cell>
        </row>
        <row r="205">
          <cell r="K205">
            <v>0</v>
          </cell>
        </row>
        <row r="206">
          <cell r="K206">
            <v>0</v>
          </cell>
        </row>
        <row r="207">
          <cell r="K207">
            <v>0</v>
          </cell>
        </row>
        <row r="209">
          <cell r="K209">
            <v>0</v>
          </cell>
        </row>
        <row r="210">
          <cell r="K210">
            <v>0</v>
          </cell>
        </row>
        <row r="211">
          <cell r="K211">
            <v>0</v>
          </cell>
        </row>
        <row r="212">
          <cell r="K212">
            <v>0</v>
          </cell>
        </row>
        <row r="213">
          <cell r="K213">
            <v>0</v>
          </cell>
        </row>
        <row r="215">
          <cell r="K215">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6">
          <cell r="K226">
            <v>0</v>
          </cell>
        </row>
        <row r="227">
          <cell r="K227">
            <v>0</v>
          </cell>
        </row>
        <row r="229">
          <cell r="K229">
            <v>0</v>
          </cell>
        </row>
        <row r="230">
          <cell r="K230">
            <v>0</v>
          </cell>
        </row>
        <row r="232">
          <cell r="K232">
            <v>-1690977</v>
          </cell>
        </row>
        <row r="233">
          <cell r="K233">
            <v>-253648</v>
          </cell>
        </row>
        <row r="234">
          <cell r="K234">
            <v>0</v>
          </cell>
        </row>
        <row r="235">
          <cell r="K235">
            <v>0</v>
          </cell>
        </row>
        <row r="236">
          <cell r="K236">
            <v>-1944625</v>
          </cell>
        </row>
        <row r="238">
          <cell r="K238">
            <v>0</v>
          </cell>
        </row>
        <row r="239">
          <cell r="K239">
            <v>0</v>
          </cell>
        </row>
        <row r="241">
          <cell r="K241">
            <v>-2843962</v>
          </cell>
        </row>
        <row r="242">
          <cell r="K242">
            <v>-412981</v>
          </cell>
        </row>
        <row r="243">
          <cell r="K243">
            <v>-3256943</v>
          </cell>
        </row>
        <row r="245">
          <cell r="K245">
            <v>0</v>
          </cell>
        </row>
        <row r="246">
          <cell r="K246">
            <v>-158481</v>
          </cell>
        </row>
        <row r="247">
          <cell r="K247">
            <v>-158481</v>
          </cell>
        </row>
        <row r="249">
          <cell r="K249">
            <v>0</v>
          </cell>
        </row>
        <row r="251">
          <cell r="K251">
            <v>-594134</v>
          </cell>
        </row>
        <row r="252">
          <cell r="K252">
            <v>-594134</v>
          </cell>
        </row>
        <row r="254">
          <cell r="K254">
            <v>0</v>
          </cell>
        </row>
        <row r="255">
          <cell r="K255">
            <v>-2000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0</v>
          </cell>
        </row>
        <row r="268">
          <cell r="K268">
            <v>0</v>
          </cell>
        </row>
        <row r="269">
          <cell r="K269">
            <v>0</v>
          </cell>
        </row>
        <row r="270">
          <cell r="K270">
            <v>0</v>
          </cell>
        </row>
        <row r="271">
          <cell r="K271">
            <v>0</v>
          </cell>
        </row>
        <row r="272">
          <cell r="K272">
            <v>0</v>
          </cell>
        </row>
        <row r="273">
          <cell r="K273">
            <v>0</v>
          </cell>
        </row>
        <row r="274">
          <cell r="K274">
            <v>0</v>
          </cell>
        </row>
        <row r="275">
          <cell r="K275">
            <v>0</v>
          </cell>
        </row>
        <row r="276">
          <cell r="K276">
            <v>0</v>
          </cell>
        </row>
        <row r="277">
          <cell r="K277">
            <v>0</v>
          </cell>
        </row>
        <row r="278">
          <cell r="K278">
            <v>0</v>
          </cell>
        </row>
        <row r="279">
          <cell r="K279">
            <v>0</v>
          </cell>
        </row>
        <row r="280">
          <cell r="K280">
            <v>0</v>
          </cell>
        </row>
        <row r="281">
          <cell r="K281">
            <v>-262442</v>
          </cell>
        </row>
        <row r="282">
          <cell r="K282">
            <v>0</v>
          </cell>
        </row>
        <row r="283">
          <cell r="K283">
            <v>-144279</v>
          </cell>
        </row>
        <row r="284">
          <cell r="K284">
            <v>-4913683</v>
          </cell>
        </row>
        <row r="285">
          <cell r="K285">
            <v>-11874</v>
          </cell>
        </row>
        <row r="286">
          <cell r="K286">
            <v>-102534</v>
          </cell>
        </row>
        <row r="287">
          <cell r="K287">
            <v>0</v>
          </cell>
        </row>
        <row r="288">
          <cell r="K288">
            <v>-68873</v>
          </cell>
        </row>
        <row r="289">
          <cell r="K289">
            <v>0</v>
          </cell>
        </row>
        <row r="290">
          <cell r="K290">
            <v>0</v>
          </cell>
        </row>
        <row r="291">
          <cell r="K291">
            <v>-237439</v>
          </cell>
        </row>
        <row r="292">
          <cell r="K292">
            <v>0</v>
          </cell>
        </row>
        <row r="293">
          <cell r="K293">
            <v>0</v>
          </cell>
        </row>
        <row r="294">
          <cell r="K294">
            <v>0</v>
          </cell>
        </row>
        <row r="295">
          <cell r="K295">
            <v>0</v>
          </cell>
        </row>
        <row r="296">
          <cell r="K296">
            <v>0</v>
          </cell>
        </row>
        <row r="297">
          <cell r="K297">
            <v>0</v>
          </cell>
        </row>
        <row r="298">
          <cell r="K298">
            <v>0</v>
          </cell>
        </row>
        <row r="299">
          <cell r="K299">
            <v>0</v>
          </cell>
        </row>
        <row r="300">
          <cell r="K300">
            <v>0</v>
          </cell>
        </row>
        <row r="301">
          <cell r="K301">
            <v>0</v>
          </cell>
        </row>
        <row r="302">
          <cell r="K302">
            <v>0</v>
          </cell>
        </row>
        <row r="303">
          <cell r="K303">
            <v>0</v>
          </cell>
        </row>
        <row r="304">
          <cell r="K304">
            <v>0</v>
          </cell>
        </row>
        <row r="305">
          <cell r="K305">
            <v>0</v>
          </cell>
        </row>
        <row r="306">
          <cell r="K306">
            <v>0</v>
          </cell>
        </row>
        <row r="307">
          <cell r="K307">
            <v>0</v>
          </cell>
        </row>
        <row r="308">
          <cell r="K308">
            <v>0</v>
          </cell>
        </row>
        <row r="309">
          <cell r="K309">
            <v>0</v>
          </cell>
        </row>
        <row r="310">
          <cell r="K310">
            <v>0</v>
          </cell>
        </row>
        <row r="311">
          <cell r="K311">
            <v>0</v>
          </cell>
        </row>
        <row r="312">
          <cell r="K312">
            <v>0</v>
          </cell>
        </row>
        <row r="313">
          <cell r="K313">
            <v>0</v>
          </cell>
        </row>
        <row r="314">
          <cell r="K314">
            <v>0</v>
          </cell>
        </row>
        <row r="315">
          <cell r="K315">
            <v>0</v>
          </cell>
        </row>
        <row r="316">
          <cell r="K316">
            <v>-5743124</v>
          </cell>
        </row>
        <row r="318">
          <cell r="K318">
            <v>-70722</v>
          </cell>
        </row>
        <row r="319">
          <cell r="K319">
            <v>-70722</v>
          </cell>
        </row>
        <row r="321">
          <cell r="K321">
            <v>0</v>
          </cell>
        </row>
        <row r="323">
          <cell r="K323">
            <v>-5044472</v>
          </cell>
        </row>
        <row r="324">
          <cell r="K324">
            <v>-5044472</v>
          </cell>
        </row>
        <row r="326">
          <cell r="K326">
            <v>0</v>
          </cell>
        </row>
        <row r="327">
          <cell r="K327">
            <v>0</v>
          </cell>
        </row>
        <row r="329">
          <cell r="K329">
            <v>-5610930524</v>
          </cell>
        </row>
        <row r="330">
          <cell r="K330">
            <v>4722878031</v>
          </cell>
        </row>
        <row r="331">
          <cell r="K331">
            <v>0</v>
          </cell>
        </row>
        <row r="332">
          <cell r="K332">
            <v>50572098</v>
          </cell>
        </row>
        <row r="333">
          <cell r="K333">
            <v>11814372</v>
          </cell>
        </row>
        <row r="334">
          <cell r="K334">
            <v>0</v>
          </cell>
        </row>
        <row r="335">
          <cell r="K335">
            <v>0</v>
          </cell>
        </row>
        <row r="336">
          <cell r="K336">
            <v>-825666023</v>
          </cell>
        </row>
        <row r="338">
          <cell r="K338">
            <v>0</v>
          </cell>
        </row>
        <row r="340">
          <cell r="K340">
            <v>0</v>
          </cell>
        </row>
        <row r="342">
          <cell r="K342">
            <v>0</v>
          </cell>
        </row>
        <row r="344">
          <cell r="K344">
            <v>0</v>
          </cell>
        </row>
        <row r="346">
          <cell r="K346">
            <v>0</v>
          </cell>
        </row>
        <row r="347">
          <cell r="K347">
            <v>0</v>
          </cell>
        </row>
        <row r="348">
          <cell r="K348">
            <v>-9821183</v>
          </cell>
        </row>
        <row r="349">
          <cell r="K349">
            <v>0</v>
          </cell>
        </row>
        <row r="350">
          <cell r="K350">
            <v>0</v>
          </cell>
        </row>
        <row r="351">
          <cell r="K351">
            <v>0</v>
          </cell>
        </row>
        <row r="352">
          <cell r="K352">
            <v>-7179020</v>
          </cell>
        </row>
        <row r="353">
          <cell r="K353">
            <v>-3283530</v>
          </cell>
        </row>
        <row r="354">
          <cell r="K354">
            <v>0</v>
          </cell>
        </row>
        <row r="355">
          <cell r="K355">
            <v>0</v>
          </cell>
        </row>
        <row r="356">
          <cell r="K356">
            <v>-4750225</v>
          </cell>
        </row>
        <row r="357">
          <cell r="K357">
            <v>0</v>
          </cell>
        </row>
        <row r="358">
          <cell r="K358">
            <v>-25033958</v>
          </cell>
        </row>
        <row r="360">
          <cell r="K360">
            <v>0</v>
          </cell>
        </row>
        <row r="361">
          <cell r="K361">
            <v>0</v>
          </cell>
        </row>
        <row r="362">
          <cell r="K362">
            <v>0</v>
          </cell>
        </row>
        <row r="363">
          <cell r="K363">
            <v>0</v>
          </cell>
        </row>
        <row r="364">
          <cell r="K364">
            <v>0</v>
          </cell>
        </row>
        <row r="365">
          <cell r="K365">
            <v>0</v>
          </cell>
        </row>
        <row r="366">
          <cell r="K366">
            <v>0</v>
          </cell>
        </row>
        <row r="367">
          <cell r="K367">
            <v>0</v>
          </cell>
        </row>
        <row r="368">
          <cell r="K368">
            <v>0</v>
          </cell>
        </row>
        <row r="369">
          <cell r="K369">
            <v>0</v>
          </cell>
        </row>
        <row r="370">
          <cell r="K370">
            <v>0</v>
          </cell>
        </row>
        <row r="371">
          <cell r="K371">
            <v>0</v>
          </cell>
        </row>
        <row r="372">
          <cell r="K372">
            <v>0</v>
          </cell>
        </row>
        <row r="373">
          <cell r="K373">
            <v>0</v>
          </cell>
        </row>
        <row r="374">
          <cell r="K374">
            <v>0</v>
          </cell>
        </row>
        <row r="375">
          <cell r="K375">
            <v>0</v>
          </cell>
        </row>
        <row r="376">
          <cell r="K376">
            <v>0</v>
          </cell>
        </row>
        <row r="377">
          <cell r="K377">
            <v>0</v>
          </cell>
        </row>
        <row r="378">
          <cell r="K378">
            <v>0</v>
          </cell>
        </row>
        <row r="379">
          <cell r="K379">
            <v>0</v>
          </cell>
        </row>
        <row r="380">
          <cell r="K380">
            <v>0</v>
          </cell>
        </row>
        <row r="381">
          <cell r="K381">
            <v>0</v>
          </cell>
        </row>
        <row r="382">
          <cell r="K382">
            <v>0</v>
          </cell>
        </row>
        <row r="383">
          <cell r="K383">
            <v>0</v>
          </cell>
        </row>
        <row r="384">
          <cell r="K384">
            <v>0</v>
          </cell>
        </row>
        <row r="385">
          <cell r="K385">
            <v>0</v>
          </cell>
        </row>
        <row r="386">
          <cell r="K386">
            <v>0</v>
          </cell>
        </row>
        <row r="388">
          <cell r="K388">
            <v>-160275</v>
          </cell>
        </row>
        <row r="389">
          <cell r="K389">
            <v>0</v>
          </cell>
        </row>
        <row r="390">
          <cell r="K390">
            <v>0</v>
          </cell>
        </row>
        <row r="391">
          <cell r="K391">
            <v>-1160</v>
          </cell>
        </row>
        <row r="392">
          <cell r="K392">
            <v>0</v>
          </cell>
        </row>
        <row r="393">
          <cell r="K393">
            <v>0</v>
          </cell>
        </row>
        <row r="394">
          <cell r="K394">
            <v>0</v>
          </cell>
        </row>
        <row r="395">
          <cell r="K395">
            <v>0</v>
          </cell>
        </row>
        <row r="396">
          <cell r="K396">
            <v>0</v>
          </cell>
        </row>
        <row r="397">
          <cell r="K397">
            <v>0</v>
          </cell>
        </row>
        <row r="398">
          <cell r="K398">
            <v>0</v>
          </cell>
        </row>
        <row r="399">
          <cell r="K399">
            <v>0</v>
          </cell>
        </row>
        <row r="400">
          <cell r="K400">
            <v>-669</v>
          </cell>
        </row>
        <row r="401">
          <cell r="K401">
            <v>0</v>
          </cell>
        </row>
        <row r="402">
          <cell r="K402">
            <v>0</v>
          </cell>
        </row>
        <row r="403">
          <cell r="K403">
            <v>204680</v>
          </cell>
        </row>
        <row r="404">
          <cell r="K404">
            <v>-212</v>
          </cell>
        </row>
        <row r="405">
          <cell r="K405">
            <v>-11137</v>
          </cell>
        </row>
        <row r="406">
          <cell r="K406">
            <v>-2897</v>
          </cell>
        </row>
        <row r="407">
          <cell r="K407">
            <v>-470</v>
          </cell>
        </row>
        <row r="408">
          <cell r="K408">
            <v>-46103</v>
          </cell>
        </row>
        <row r="409">
          <cell r="K409">
            <v>0</v>
          </cell>
        </row>
        <row r="410">
          <cell r="K410">
            <v>0</v>
          </cell>
        </row>
        <row r="411">
          <cell r="K411">
            <v>-557</v>
          </cell>
        </row>
        <row r="412">
          <cell r="K412">
            <v>-48053518</v>
          </cell>
        </row>
        <row r="413">
          <cell r="K413">
            <v>-427</v>
          </cell>
        </row>
        <row r="414">
          <cell r="K414">
            <v>-27837</v>
          </cell>
        </row>
        <row r="415">
          <cell r="K415">
            <v>-5782</v>
          </cell>
        </row>
        <row r="416">
          <cell r="K416">
            <v>0</v>
          </cell>
        </row>
        <row r="417">
          <cell r="K417">
            <v>0</v>
          </cell>
        </row>
        <row r="418">
          <cell r="K418">
            <v>0</v>
          </cell>
        </row>
        <row r="419">
          <cell r="K419">
            <v>-48106364</v>
          </cell>
        </row>
        <row r="421">
          <cell r="K421">
            <v>0</v>
          </cell>
        </row>
        <row r="422">
          <cell r="K422">
            <v>0</v>
          </cell>
        </row>
        <row r="423">
          <cell r="K423">
            <v>0</v>
          </cell>
        </row>
        <row r="424">
          <cell r="K424">
            <v>0</v>
          </cell>
        </row>
        <row r="425">
          <cell r="K425">
            <v>0</v>
          </cell>
        </row>
        <row r="427">
          <cell r="K427">
            <v>0</v>
          </cell>
        </row>
        <row r="428">
          <cell r="K428">
            <v>0</v>
          </cell>
        </row>
        <row r="429">
          <cell r="K429">
            <v>-6448995</v>
          </cell>
        </row>
        <row r="430">
          <cell r="K430">
            <v>0</v>
          </cell>
        </row>
        <row r="431">
          <cell r="K431">
            <v>0</v>
          </cell>
        </row>
        <row r="432">
          <cell r="K432">
            <v>-6448995</v>
          </cell>
        </row>
        <row r="434">
          <cell r="K434">
            <v>0</v>
          </cell>
        </row>
        <row r="436">
          <cell r="K436">
            <v>11882677</v>
          </cell>
        </row>
        <row r="437">
          <cell r="K437">
            <v>11882677</v>
          </cell>
        </row>
        <row r="439">
          <cell r="K439">
            <v>1315172</v>
          </cell>
        </row>
        <row r="440">
          <cell r="K440">
            <v>1315172</v>
          </cell>
        </row>
        <row r="442">
          <cell r="K442">
            <v>0</v>
          </cell>
        </row>
        <row r="443">
          <cell r="K443">
            <v>13375</v>
          </cell>
        </row>
        <row r="444">
          <cell r="K444">
            <v>0</v>
          </cell>
        </row>
        <row r="445">
          <cell r="K445">
            <v>0</v>
          </cell>
        </row>
        <row r="446">
          <cell r="K446">
            <v>0</v>
          </cell>
        </row>
        <row r="447">
          <cell r="K447">
            <v>0</v>
          </cell>
        </row>
        <row r="448">
          <cell r="K448">
            <v>0</v>
          </cell>
        </row>
        <row r="449">
          <cell r="K449">
            <v>0</v>
          </cell>
        </row>
        <row r="450">
          <cell r="K450">
            <v>0</v>
          </cell>
        </row>
        <row r="451">
          <cell r="K451">
            <v>0</v>
          </cell>
        </row>
        <row r="452">
          <cell r="K452">
            <v>0</v>
          </cell>
        </row>
        <row r="453">
          <cell r="K453">
            <v>0</v>
          </cell>
        </row>
        <row r="454">
          <cell r="K454">
            <v>0</v>
          </cell>
        </row>
        <row r="455">
          <cell r="K455">
            <v>0</v>
          </cell>
        </row>
        <row r="456">
          <cell r="K456">
            <v>0</v>
          </cell>
        </row>
        <row r="457">
          <cell r="K457">
            <v>0</v>
          </cell>
        </row>
        <row r="458">
          <cell r="K458">
            <v>0</v>
          </cell>
        </row>
        <row r="459">
          <cell r="K459">
            <v>0</v>
          </cell>
        </row>
        <row r="460">
          <cell r="K460">
            <v>0</v>
          </cell>
        </row>
        <row r="461">
          <cell r="K461">
            <v>0</v>
          </cell>
        </row>
        <row r="462">
          <cell r="K462">
            <v>0</v>
          </cell>
        </row>
        <row r="463">
          <cell r="K463">
            <v>0</v>
          </cell>
        </row>
        <row r="464">
          <cell r="K464">
            <v>0</v>
          </cell>
        </row>
        <row r="465">
          <cell r="K465">
            <v>0</v>
          </cell>
        </row>
        <row r="466">
          <cell r="K466">
            <v>0</v>
          </cell>
        </row>
        <row r="467">
          <cell r="K467">
            <v>0</v>
          </cell>
        </row>
        <row r="468">
          <cell r="K468">
            <v>0</v>
          </cell>
        </row>
        <row r="469">
          <cell r="K469">
            <v>0</v>
          </cell>
        </row>
        <row r="470">
          <cell r="K470">
            <v>0</v>
          </cell>
        </row>
        <row r="471">
          <cell r="K471">
            <v>0</v>
          </cell>
        </row>
        <row r="472">
          <cell r="K472">
            <v>0</v>
          </cell>
        </row>
        <row r="473">
          <cell r="K473">
            <v>0</v>
          </cell>
        </row>
        <row r="474">
          <cell r="K474">
            <v>0</v>
          </cell>
        </row>
        <row r="475">
          <cell r="K475">
            <v>13375</v>
          </cell>
        </row>
        <row r="477">
          <cell r="K477">
            <v>32255</v>
          </cell>
        </row>
        <row r="478">
          <cell r="K478">
            <v>32255</v>
          </cell>
        </row>
        <row r="480">
          <cell r="K480">
            <v>477093</v>
          </cell>
        </row>
        <row r="481">
          <cell r="K481">
            <v>477093</v>
          </cell>
        </row>
        <row r="483">
          <cell r="K483">
            <v>594134</v>
          </cell>
        </row>
        <row r="484">
          <cell r="K484">
            <v>594134</v>
          </cell>
        </row>
        <row r="486">
          <cell r="K486">
            <v>708910</v>
          </cell>
        </row>
        <row r="487">
          <cell r="K487">
            <v>708910</v>
          </cell>
        </row>
        <row r="489">
          <cell r="K489">
            <v>50000</v>
          </cell>
        </row>
        <row r="490">
          <cell r="K490">
            <v>204547</v>
          </cell>
        </row>
        <row r="491">
          <cell r="K491">
            <v>254547</v>
          </cell>
        </row>
        <row r="493">
          <cell r="K493">
            <v>0</v>
          </cell>
        </row>
        <row r="494">
          <cell r="K494">
            <v>0</v>
          </cell>
        </row>
        <row r="495">
          <cell r="K495">
            <v>6352</v>
          </cell>
        </row>
        <row r="496">
          <cell r="K496">
            <v>130225</v>
          </cell>
        </row>
        <row r="497">
          <cell r="K497">
            <v>136577</v>
          </cell>
        </row>
        <row r="499">
          <cell r="K499">
            <v>528380</v>
          </cell>
        </row>
        <row r="500">
          <cell r="K500">
            <v>0</v>
          </cell>
        </row>
        <row r="501">
          <cell r="K501">
            <v>350834</v>
          </cell>
        </row>
        <row r="502">
          <cell r="K502">
            <v>879214</v>
          </cell>
        </row>
        <row r="504">
          <cell r="K504">
            <v>1782402</v>
          </cell>
        </row>
        <row r="505">
          <cell r="K505">
            <v>285185</v>
          </cell>
        </row>
        <row r="506">
          <cell r="K506">
            <v>0</v>
          </cell>
        </row>
        <row r="507">
          <cell r="K507">
            <v>0</v>
          </cell>
        </row>
        <row r="508">
          <cell r="K508">
            <v>2067587</v>
          </cell>
        </row>
        <row r="510">
          <cell r="K510">
            <v>1248532</v>
          </cell>
        </row>
        <row r="511">
          <cell r="K511">
            <v>1248532</v>
          </cell>
        </row>
        <row r="513">
          <cell r="K513">
            <v>0</v>
          </cell>
        </row>
        <row r="514">
          <cell r="K514">
            <v>0</v>
          </cell>
        </row>
        <row r="516">
          <cell r="K516">
            <v>1901228</v>
          </cell>
        </row>
        <row r="517">
          <cell r="K517">
            <v>0</v>
          </cell>
        </row>
        <row r="518">
          <cell r="K518">
            <v>1901228</v>
          </cell>
        </row>
        <row r="520">
          <cell r="K520">
            <v>-3100058</v>
          </cell>
        </row>
        <row r="521">
          <cell r="K521">
            <v>-3100058</v>
          </cell>
        </row>
        <row r="523">
          <cell r="K523">
            <v>0</v>
          </cell>
        </row>
        <row r="525">
          <cell r="K525">
            <v>0</v>
          </cell>
        </row>
        <row r="526">
          <cell r="K526">
            <v>0</v>
          </cell>
        </row>
        <row r="528">
          <cell r="K528">
            <v>0</v>
          </cell>
        </row>
        <row r="529">
          <cell r="K529">
            <v>0</v>
          </cell>
        </row>
        <row r="530">
          <cell r="K530">
            <v>0</v>
          </cell>
        </row>
      </sheetData>
      <sheetData sheetId="15">
        <row r="10">
          <cell r="F10">
            <v>-3158776.494949495</v>
          </cell>
        </row>
      </sheetData>
      <sheetData sheetId="16">
        <row r="2">
          <cell r="F2" t="str">
            <v>Preliminary</v>
          </cell>
        </row>
      </sheetData>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 val="Security Holding June 04"/>
      <sheetName val="Holding_Position"/>
      <sheetName val="Maturity_Profile"/>
      <sheetName val="PIVOT_ALL"/>
      <sheetName val="MTM_with_Yields"/>
      <sheetName val="Security_Holding_June_04"/>
      <sheetName val="Holding_Position2"/>
      <sheetName val="Maturity_Profile2"/>
      <sheetName val="PIVOT_ALL2"/>
      <sheetName val="MTM_with_Yields2"/>
      <sheetName val="Security_Holding_June_042"/>
      <sheetName val="Holding_Position1"/>
      <sheetName val="Maturity_Profile1"/>
      <sheetName val="PIVOT_ALL1"/>
      <sheetName val="MTM_with_Yields1"/>
      <sheetName val="Security_Holding_June_041"/>
      <sheetName val="Profit Worksheet"/>
      <sheetName val="Sheet2"/>
      <sheetName val="Rate Input"/>
      <sheetName val="Sheet3"/>
      <sheetName val="Implied Rate"/>
      <sheetName val="BAHRAIN"/>
      <sheetName val="DOHA QATAR "/>
      <sheetName val="PAKISTAN"/>
      <sheetName val="rate "/>
      <sheetName val="UAE"/>
      <sheetName val="A-C CODE &amp; NAME"/>
      <sheetName val="Lookups"/>
      <sheetName val="CHALLAN"/>
      <sheetName val="Old Code"/>
    </sheetNames>
    <sheetDataSet>
      <sheetData sheetId="0" refreshError="1"/>
      <sheetData sheetId="1" refreshError="1"/>
      <sheetData sheetId="2" refreshError="1">
        <row r="3">
          <cell r="B3">
            <v>0</v>
          </cell>
          <cell r="C3" t="str">
            <v>0 to 1</v>
          </cell>
        </row>
        <row r="4">
          <cell r="B4">
            <v>1</v>
          </cell>
          <cell r="C4" t="str">
            <v>1 to 2</v>
          </cell>
        </row>
        <row r="5">
          <cell r="B5">
            <v>2</v>
          </cell>
          <cell r="C5" t="str">
            <v>2 to 3</v>
          </cell>
        </row>
        <row r="6">
          <cell r="B6">
            <v>3</v>
          </cell>
          <cell r="C6" t="str">
            <v>3 to 4</v>
          </cell>
        </row>
        <row r="7">
          <cell r="B7">
            <v>4</v>
          </cell>
          <cell r="C7" t="str">
            <v>4 to 5</v>
          </cell>
        </row>
        <row r="8">
          <cell r="B8">
            <v>5</v>
          </cell>
          <cell r="C8" t="str">
            <v>5 to 7</v>
          </cell>
        </row>
        <row r="9">
          <cell r="B9">
            <v>7</v>
          </cell>
          <cell r="C9" t="str">
            <v>7 to 10</v>
          </cell>
        </row>
        <row r="10">
          <cell r="B10">
            <v>10</v>
          </cell>
          <cell r="C10" t="str">
            <v>10 to 15</v>
          </cell>
        </row>
        <row r="11">
          <cell r="B11">
            <v>15</v>
          </cell>
          <cell r="C11" t="str">
            <v>15 to 20</v>
          </cell>
        </row>
        <row r="12">
          <cell r="B12">
            <v>20</v>
          </cell>
          <cell r="C12" t="str">
            <v xml:space="preserve">20 to </v>
          </cell>
        </row>
      </sheetData>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AR Drop Downs"/>
    </sheetNames>
    <sheetDataSet>
      <sheetData sheetId="0"/>
      <sheetData sheetId="1"/>
      <sheetData sheetId="2"/>
      <sheetData sheetId="3" refreshError="1">
        <row r="5">
          <cell r="A5" t="str">
            <v>001001</v>
          </cell>
          <cell r="B5" t="str">
            <v>I/R ON LOANS / SMALL LOANS</v>
          </cell>
          <cell r="C5">
            <v>64392.326999999997</v>
          </cell>
        </row>
        <row r="6">
          <cell r="A6" t="str">
            <v>001005</v>
          </cell>
          <cell r="B6" t="str">
            <v>I/R ON  L.A.F.B.</v>
          </cell>
          <cell r="C6">
            <v>16.131</v>
          </cell>
        </row>
        <row r="7">
          <cell r="A7" t="str">
            <v>001006</v>
          </cell>
          <cell r="B7" t="str">
            <v>I/R ON  L.T.R.</v>
          </cell>
          <cell r="C7">
            <v>28339.732</v>
          </cell>
        </row>
        <row r="8">
          <cell r="A8" t="str">
            <v>001009</v>
          </cell>
          <cell r="B8" t="str">
            <v>SYNDICATION  LOAN</v>
          </cell>
          <cell r="C8">
            <v>91126.183999999994</v>
          </cell>
        </row>
        <row r="9">
          <cell r="A9" t="str">
            <v>001011</v>
          </cell>
          <cell r="B9" t="str">
            <v>I/R ON FOREIGN BILLS PURCHA</v>
          </cell>
          <cell r="C9">
            <v>384.83300000000003</v>
          </cell>
        </row>
        <row r="10">
          <cell r="A10" t="str">
            <v>001012</v>
          </cell>
          <cell r="B10" t="str">
            <v>I/R ON P.A.D.</v>
          </cell>
          <cell r="C10">
            <v>40.752000000000002</v>
          </cell>
        </row>
        <row r="11">
          <cell r="A11" t="str">
            <v>001020</v>
          </cell>
          <cell r="B11" t="str">
            <v>I/R ON OVERDRAFTS</v>
          </cell>
          <cell r="C11">
            <v>15576.852000000001</v>
          </cell>
        </row>
        <row r="12">
          <cell r="A12" t="str">
            <v>001053</v>
          </cell>
          <cell r="B12" t="str">
            <v>CONSUMER LOAN</v>
          </cell>
          <cell r="C12">
            <v>281690.93599999999</v>
          </cell>
        </row>
        <row r="13">
          <cell r="A13" t="str">
            <v>002003</v>
          </cell>
          <cell r="B13" t="str">
            <v>PLACEMENTS/SPECIAL NOTICE A</v>
          </cell>
          <cell r="C13">
            <v>17119.082999999999</v>
          </cell>
        </row>
        <row r="14">
          <cell r="A14" t="str">
            <v>020001</v>
          </cell>
          <cell r="B14" t="str">
            <v>BILLS DISCOUNTED</v>
          </cell>
          <cell r="C14">
            <v>6286.1</v>
          </cell>
        </row>
        <row r="15">
          <cell r="A15" t="str">
            <v>025011</v>
          </cell>
          <cell r="B15" t="str">
            <v>OTHER AREA BRANCHES - OVERS</v>
          </cell>
          <cell r="C15">
            <v>39087.078000000001</v>
          </cell>
        </row>
        <row r="16">
          <cell r="A16" t="str">
            <v>025014</v>
          </cell>
          <cell r="B16" t="str">
            <v>MAIN OFFICE ACCOUNT</v>
          </cell>
          <cell r="C16">
            <v>27126.232</v>
          </cell>
        </row>
        <row r="17">
          <cell r="A17" t="str">
            <v>062001</v>
          </cell>
          <cell r="B17" t="str">
            <v>PLS EXCHANGE-POUND STERLING</v>
          </cell>
          <cell r="C17">
            <v>740.66099999999994</v>
          </cell>
        </row>
        <row r="18">
          <cell r="A18" t="str">
            <v>062002</v>
          </cell>
          <cell r="B18" t="str">
            <v>PLS EXCHANGE-DOLLAR</v>
          </cell>
          <cell r="C18">
            <v>6746.9579999999996</v>
          </cell>
        </row>
        <row r="19">
          <cell r="A19" t="str">
            <v>062004</v>
          </cell>
          <cell r="B19" t="str">
            <v>PLS EXCHANGE OTHER CURRENCI</v>
          </cell>
          <cell r="C19">
            <v>966.74900000000002</v>
          </cell>
        </row>
        <row r="20">
          <cell r="A20" t="str">
            <v>062008</v>
          </cell>
          <cell r="B20" t="str">
            <v>INCOME ON EXCHANGE-EURO-OVE</v>
          </cell>
          <cell r="C20">
            <v>343.46699999999998</v>
          </cell>
        </row>
        <row r="21">
          <cell r="A21" t="str">
            <v>062009</v>
          </cell>
          <cell r="B21" t="str">
            <v>INCOME ON EXCHANGE-JAPAN YE</v>
          </cell>
          <cell r="C21">
            <v>28.573</v>
          </cell>
        </row>
        <row r="22">
          <cell r="A22" t="str">
            <v>062010</v>
          </cell>
          <cell r="B22" t="str">
            <v>PLS EX-GAIN/LOSS ON REV. SW</v>
          </cell>
          <cell r="C22">
            <v>68.247</v>
          </cell>
        </row>
        <row r="23">
          <cell r="A23" t="str">
            <v>062012</v>
          </cell>
          <cell r="B23" t="str">
            <v>PLS EX-GAIN/LOSS ON REV. PA</v>
          </cell>
          <cell r="C23">
            <v>12737.206</v>
          </cell>
        </row>
        <row r="24">
          <cell r="A24" t="str">
            <v>064002</v>
          </cell>
          <cell r="B24" t="str">
            <v>PLS COMMISSION-EXPORT BILLS</v>
          </cell>
          <cell r="C24">
            <v>1323.08</v>
          </cell>
        </row>
        <row r="25">
          <cell r="A25" t="str">
            <v>064003</v>
          </cell>
          <cell r="B25" t="str">
            <v>PLS COM ON IMPORT BILL</v>
          </cell>
          <cell r="C25">
            <v>917.7</v>
          </cell>
        </row>
        <row r="26">
          <cell r="A26" t="str">
            <v>064004</v>
          </cell>
          <cell r="B26" t="str">
            <v>PLS COMMISSION-OPN. OF L/C</v>
          </cell>
          <cell r="C26">
            <v>3191.8780000000002</v>
          </cell>
        </row>
        <row r="27">
          <cell r="A27" t="str">
            <v>064008</v>
          </cell>
          <cell r="B27" t="str">
            <v>PLS COMMISSION-L.G. (INLAND</v>
          </cell>
          <cell r="C27">
            <v>3032.1819999999998</v>
          </cell>
        </row>
        <row r="28">
          <cell r="A28" t="str">
            <v>064010</v>
          </cell>
          <cell r="B28" t="str">
            <v>PLS COMM. BILLS (FBC,IBC,ET</v>
          </cell>
          <cell r="C28">
            <v>60</v>
          </cell>
        </row>
        <row r="29">
          <cell r="A29" t="str">
            <v>064019</v>
          </cell>
          <cell r="B29" t="str">
            <v>FEE FOR RENDERING OTHER SER</v>
          </cell>
          <cell r="C29">
            <v>985.93799999999999</v>
          </cell>
        </row>
        <row r="30">
          <cell r="A30" t="str">
            <v>064022</v>
          </cell>
          <cell r="B30" t="str">
            <v>PLS COM ON ISSUE OF NEW CHE</v>
          </cell>
          <cell r="C30">
            <v>543</v>
          </cell>
        </row>
        <row r="31">
          <cell r="A31" t="str">
            <v>064031</v>
          </cell>
          <cell r="B31" t="str">
            <v>PL.COMMISSION-LC ADVISING (</v>
          </cell>
          <cell r="C31">
            <v>135</v>
          </cell>
        </row>
        <row r="32">
          <cell r="A32" t="str">
            <v>064089</v>
          </cell>
          <cell r="B32" t="str">
            <v>IFDBC</v>
          </cell>
          <cell r="C32">
            <v>2901.91</v>
          </cell>
        </row>
        <row r="33">
          <cell r="A33" t="str">
            <v>064091</v>
          </cell>
          <cell r="B33" t="str">
            <v>IBG COMMISSION</v>
          </cell>
          <cell r="C33">
            <v>782.78</v>
          </cell>
        </row>
        <row r="34">
          <cell r="A34" t="str">
            <v>065004</v>
          </cell>
          <cell r="B34" t="str">
            <v>SERVICE CHARGES ON STAFF LO</v>
          </cell>
          <cell r="C34">
            <v>0</v>
          </cell>
        </row>
        <row r="35">
          <cell r="A35" t="str">
            <v>066001</v>
          </cell>
          <cell r="B35" t="str">
            <v>LOCKERS</v>
          </cell>
          <cell r="C35">
            <v>50</v>
          </cell>
        </row>
        <row r="36">
          <cell r="A36" t="str">
            <v>069070</v>
          </cell>
          <cell r="B36" t="str">
            <v>OTHERS</v>
          </cell>
          <cell r="C36">
            <v>29054.92</v>
          </cell>
        </row>
        <row r="37">
          <cell r="A37" t="str">
            <v>069072</v>
          </cell>
          <cell r="B37" t="str">
            <v>GOVERNMENT OF INDONESIA USD</v>
          </cell>
          <cell r="C37">
            <v>34414.462</v>
          </cell>
        </row>
        <row r="38">
          <cell r="A38" t="str">
            <v>069077</v>
          </cell>
          <cell r="B38" t="str">
            <v>INVESTMENT INCOME ON TABREE</v>
          </cell>
          <cell r="C38">
            <v>9498.4560000000001</v>
          </cell>
        </row>
        <row r="39">
          <cell r="A39" t="str">
            <v>078001</v>
          </cell>
          <cell r="B39" t="str">
            <v>PLS O/R-INCIDENTAL CHARGES</v>
          </cell>
          <cell r="C39">
            <v>1068.999</v>
          </cell>
        </row>
        <row r="40">
          <cell r="A40" t="str">
            <v>078078</v>
          </cell>
          <cell r="B40" t="str">
            <v>AMORTIZATION GAINS - GOP US</v>
          </cell>
          <cell r="C40">
            <v>-1123.5909999999999</v>
          </cell>
        </row>
        <row r="41">
          <cell r="A41" t="str">
            <v>078084</v>
          </cell>
          <cell r="B41" t="str">
            <v>CONSUMER LOAN - PREPAYMENT</v>
          </cell>
          <cell r="C41">
            <v>9659.58</v>
          </cell>
        </row>
        <row r="42">
          <cell r="A42" t="str">
            <v>078085</v>
          </cell>
          <cell r="B42" t="str">
            <v>CONSUMER LOAN - MISC FEES</v>
          </cell>
          <cell r="C42">
            <v>37226.03</v>
          </cell>
        </row>
        <row r="43">
          <cell r="A43" t="str">
            <v>078094</v>
          </cell>
          <cell r="B43" t="str">
            <v>BENEFIT SWITCH RELATED INCO</v>
          </cell>
          <cell r="C43">
            <v>362</v>
          </cell>
        </row>
        <row r="44">
          <cell r="A44" t="str">
            <v>078099</v>
          </cell>
          <cell r="B44" t="str">
            <v>MISCELLANEOUS</v>
          </cell>
          <cell r="C44">
            <v>10</v>
          </cell>
        </row>
        <row r="45">
          <cell r="A45" t="str">
            <v>080001</v>
          </cell>
          <cell r="B45" t="str">
            <v>POSTAGE RECOVERIES - CORPOR</v>
          </cell>
          <cell r="C45">
            <v>1055.27</v>
          </cell>
        </row>
        <row r="46">
          <cell r="A46" t="str">
            <v>080002</v>
          </cell>
          <cell r="B46" t="str">
            <v>TELEX RECOVERIES</v>
          </cell>
          <cell r="C46">
            <v>3177.2719999999999</v>
          </cell>
        </row>
        <row r="47">
          <cell r="A47" t="str">
            <v>080003</v>
          </cell>
          <cell r="B47" t="str">
            <v>TELEGRAM RECOVERIES</v>
          </cell>
          <cell r="C47">
            <v>1043.829</v>
          </cell>
        </row>
        <row r="48">
          <cell r="A48" t="str">
            <v>080009</v>
          </cell>
          <cell r="B48" t="str">
            <v>CLEARING CHEQUE  RECOVERIES</v>
          </cell>
          <cell r="C48">
            <v>1065</v>
          </cell>
        </row>
        <row r="49">
          <cell r="A49" t="str">
            <v>080021</v>
          </cell>
          <cell r="B49" t="str">
            <v>TEZRAFTAAR TT REIMBURSEMENT</v>
          </cell>
          <cell r="C49">
            <v>14000</v>
          </cell>
        </row>
        <row r="50">
          <cell r="A50" t="str">
            <v>080023</v>
          </cell>
          <cell r="B50" t="str">
            <v>INSURANCE RECOVERIES - CONS</v>
          </cell>
          <cell r="C50">
            <v>66424.021999999997</v>
          </cell>
        </row>
        <row r="51">
          <cell r="A51" t="str">
            <v>086001</v>
          </cell>
          <cell r="B51" t="str">
            <v>MARK UP AUTO CAR FINANCE</v>
          </cell>
          <cell r="C51">
            <v>424.89299999999997</v>
          </cell>
        </row>
        <row r="52">
          <cell r="A52" t="str">
            <v>087081</v>
          </cell>
          <cell r="B52" t="str">
            <v>GAIN ON SALE OF INDONESIA U</v>
          </cell>
          <cell r="C52">
            <v>110376.18</v>
          </cell>
        </row>
        <row r="53">
          <cell r="A53" t="str">
            <v>110018</v>
          </cell>
          <cell r="B53" t="str">
            <v>BORROWINGS FROM BANKS - FOR</v>
          </cell>
          <cell r="C53">
            <v>611.80499999999995</v>
          </cell>
        </row>
        <row r="54">
          <cell r="A54" t="str">
            <v>114011</v>
          </cell>
          <cell r="B54" t="str">
            <v>INTEREST PAID - CURRENT ACC</v>
          </cell>
          <cell r="C54">
            <v>1425.2070000000001</v>
          </cell>
        </row>
        <row r="55">
          <cell r="A55" t="str">
            <v>114012</v>
          </cell>
          <cell r="B55" t="str">
            <v>INTEREST PAID - CALL ACCOUN</v>
          </cell>
          <cell r="C55">
            <v>54.054000000000002</v>
          </cell>
        </row>
        <row r="56">
          <cell r="A56" t="str">
            <v>122012</v>
          </cell>
          <cell r="B56" t="str">
            <v>SB DEPOSITS - BD</v>
          </cell>
          <cell r="C56">
            <v>1275.6020000000001</v>
          </cell>
        </row>
        <row r="57">
          <cell r="A57" t="str">
            <v>123013</v>
          </cell>
          <cell r="B57" t="str">
            <v>FIXED DEPOSITS BD</v>
          </cell>
          <cell r="C57">
            <v>108196.14599999999</v>
          </cell>
        </row>
        <row r="58">
          <cell r="A58" t="str">
            <v>123019</v>
          </cell>
          <cell r="B58" t="str">
            <v>FIXED DEPOSITS - US $</v>
          </cell>
          <cell r="C58">
            <v>168010.76800000001</v>
          </cell>
        </row>
        <row r="59">
          <cell r="A59" t="str">
            <v>123021</v>
          </cell>
          <cell r="B59" t="str">
            <v>FIXED DEPOSITS - POUND STER</v>
          </cell>
          <cell r="C59">
            <v>4254.7139999999999</v>
          </cell>
        </row>
        <row r="60">
          <cell r="A60" t="str">
            <v>130011</v>
          </cell>
          <cell r="B60" t="str">
            <v>OTHER AREA BRANCHES - OVERS</v>
          </cell>
          <cell r="C60">
            <v>8.5939999999999994</v>
          </cell>
        </row>
        <row r="61">
          <cell r="A61" t="str">
            <v>130014</v>
          </cell>
          <cell r="B61" t="str">
            <v>MAIN OFFICE ACCOUNT</v>
          </cell>
          <cell r="C61">
            <v>27126.254000000001</v>
          </cell>
        </row>
        <row r="62">
          <cell r="A62" t="str">
            <v>140010</v>
          </cell>
          <cell r="B62" t="str">
            <v>BASIC SALARIES - EXECUTIVES</v>
          </cell>
          <cell r="C62">
            <v>15642</v>
          </cell>
        </row>
        <row r="63">
          <cell r="A63" t="str">
            <v>140011</v>
          </cell>
          <cell r="B63" t="str">
            <v>BASIC SALARIES - OFFICERS</v>
          </cell>
          <cell r="C63">
            <v>37527</v>
          </cell>
        </row>
        <row r="64">
          <cell r="A64" t="str">
            <v>140012</v>
          </cell>
          <cell r="B64" t="str">
            <v>BASIC SALARIES - CLERICAL</v>
          </cell>
          <cell r="C64">
            <v>5256</v>
          </cell>
        </row>
        <row r="65">
          <cell r="A65" t="str">
            <v>142001</v>
          </cell>
          <cell r="B65" t="str">
            <v>CASUAL LABOUR</v>
          </cell>
          <cell r="C65">
            <v>58</v>
          </cell>
        </row>
        <row r="66">
          <cell r="A66" t="str">
            <v>145020</v>
          </cell>
          <cell r="B66" t="str">
            <v>OTHER ALLOWANCES</v>
          </cell>
          <cell r="C66">
            <v>38950</v>
          </cell>
        </row>
        <row r="67">
          <cell r="A67" t="str">
            <v>145061</v>
          </cell>
          <cell r="B67" t="str">
            <v>AIR TICKETS TO OVERSEAS STA</v>
          </cell>
          <cell r="C67">
            <v>128.38</v>
          </cell>
        </row>
        <row r="68">
          <cell r="A68" t="str">
            <v>145064</v>
          </cell>
          <cell r="B68" t="str">
            <v>DISLOCATION ALLOWANCE</v>
          </cell>
          <cell r="C68">
            <v>95.929000000000002</v>
          </cell>
        </row>
        <row r="69">
          <cell r="A69" t="str">
            <v>145067</v>
          </cell>
          <cell r="B69" t="str">
            <v>TEZRAFTAR EVENING /FRIDAY A</v>
          </cell>
          <cell r="C69">
            <v>1023</v>
          </cell>
        </row>
        <row r="70">
          <cell r="A70" t="str">
            <v>148001</v>
          </cell>
          <cell r="B70" t="str">
            <v>MESSENGER / OFFICE BOYS</v>
          </cell>
          <cell r="C70">
            <v>1100</v>
          </cell>
        </row>
        <row r="71">
          <cell r="A71" t="str">
            <v>148005</v>
          </cell>
          <cell r="B71" t="str">
            <v>OUTSOURCED DRIVER CHARGES</v>
          </cell>
          <cell r="C71">
            <v>150</v>
          </cell>
        </row>
        <row r="72">
          <cell r="A72" t="str">
            <v>149004</v>
          </cell>
          <cell r="B72" t="str">
            <v>DSA STAFF SALARY</v>
          </cell>
          <cell r="C72">
            <v>2400</v>
          </cell>
        </row>
        <row r="73">
          <cell r="A73" t="str">
            <v>149005</v>
          </cell>
          <cell r="B73" t="str">
            <v>DSA STAFF AGENCY FEE</v>
          </cell>
          <cell r="C73">
            <v>300</v>
          </cell>
        </row>
        <row r="74">
          <cell r="A74" t="str">
            <v>149007</v>
          </cell>
          <cell r="B74" t="str">
            <v>DSA STAFF SALES COMMISSION</v>
          </cell>
          <cell r="C74">
            <v>9541.65</v>
          </cell>
        </row>
        <row r="75">
          <cell r="A75" t="str">
            <v>149008</v>
          </cell>
          <cell r="B75" t="str">
            <v>DSA STAFF VISA EXPENSES</v>
          </cell>
          <cell r="C75">
            <v>221</v>
          </cell>
        </row>
        <row r="76">
          <cell r="A76" t="str">
            <v>149009</v>
          </cell>
          <cell r="B76" t="str">
            <v>DSA STAFF FOREIGN TRAVEL EX</v>
          </cell>
          <cell r="C76">
            <v>800</v>
          </cell>
        </row>
        <row r="77">
          <cell r="A77" t="str">
            <v>150001</v>
          </cell>
          <cell r="B77" t="str">
            <v>OVERTIME</v>
          </cell>
          <cell r="C77">
            <v>149</v>
          </cell>
        </row>
        <row r="78">
          <cell r="A78" t="str">
            <v>152012</v>
          </cell>
          <cell r="B78" t="str">
            <v>MEDIACAL INSURANCE-OVS</v>
          </cell>
          <cell r="C78">
            <v>4389.9870000000001</v>
          </cell>
        </row>
        <row r="79">
          <cell r="A79" t="str">
            <v>155011</v>
          </cell>
          <cell r="B79" t="str">
            <v>EOSB EXPATS</v>
          </cell>
          <cell r="C79">
            <v>759.61</v>
          </cell>
        </row>
        <row r="80">
          <cell r="A80" t="str">
            <v>160010</v>
          </cell>
          <cell r="B80" t="str">
            <v>PROVIDENT FUND - EXECUTIVES</v>
          </cell>
          <cell r="C80">
            <v>88.128</v>
          </cell>
        </row>
        <row r="81">
          <cell r="A81" t="str">
            <v>162001</v>
          </cell>
          <cell r="B81" t="str">
            <v>BENEVOLENT FUND</v>
          </cell>
          <cell r="C81">
            <v>3.7290000000000001</v>
          </cell>
        </row>
        <row r="82">
          <cell r="A82" t="str">
            <v>165001</v>
          </cell>
          <cell r="B82" t="str">
            <v>BONUS PAID  - (OFFICERS)</v>
          </cell>
          <cell r="C82">
            <v>5376.64</v>
          </cell>
        </row>
        <row r="83">
          <cell r="A83" t="str">
            <v>172001</v>
          </cell>
          <cell r="B83" t="str">
            <v>PERFORMANCE AWARDS</v>
          </cell>
          <cell r="C83">
            <v>8502.61</v>
          </cell>
        </row>
        <row r="84">
          <cell r="A84" t="str">
            <v>172002</v>
          </cell>
          <cell r="B84" t="str">
            <v>SALES DEVELOPMENT INCENTIVE</v>
          </cell>
          <cell r="C84">
            <v>2114.48</v>
          </cell>
        </row>
        <row r="85">
          <cell r="A85" t="str">
            <v>180001</v>
          </cell>
          <cell r="B85" t="str">
            <v>RENT - OFFICE</v>
          </cell>
          <cell r="C85">
            <v>18359.419999999998</v>
          </cell>
        </row>
        <row r="86">
          <cell r="A86" t="str">
            <v>180002</v>
          </cell>
          <cell r="B86" t="str">
            <v>RENT - GODOWN</v>
          </cell>
          <cell r="C86">
            <v>296.36399999999998</v>
          </cell>
        </row>
        <row r="87">
          <cell r="A87" t="str">
            <v>180011</v>
          </cell>
          <cell r="B87" t="str">
            <v>RATES &amp; TAXES - TRADE LICEN</v>
          </cell>
          <cell r="C87">
            <v>3640</v>
          </cell>
        </row>
        <row r="88">
          <cell r="A88" t="str">
            <v>180012</v>
          </cell>
          <cell r="B88" t="str">
            <v>RATES &amp; TAXES - COMMERCIAL</v>
          </cell>
          <cell r="C88">
            <v>9607.6659999999993</v>
          </cell>
        </row>
        <row r="89">
          <cell r="A89" t="str">
            <v>190001</v>
          </cell>
          <cell r="B89" t="str">
            <v>GAS - ELECTRICITY-OFFICE</v>
          </cell>
          <cell r="C89">
            <v>1518.7619999999999</v>
          </cell>
        </row>
        <row r="90">
          <cell r="A90" t="str">
            <v>190002</v>
          </cell>
          <cell r="B90" t="str">
            <v>GAS - ELECTRICITY-RESIDENCE</v>
          </cell>
          <cell r="C90">
            <v>5.74</v>
          </cell>
        </row>
        <row r="91">
          <cell r="A91" t="str">
            <v>195001</v>
          </cell>
          <cell r="B91" t="str">
            <v>INSURANCE-FIRE/THEIFT</v>
          </cell>
          <cell r="C91">
            <v>832.03599999999994</v>
          </cell>
        </row>
        <row r="92">
          <cell r="A92" t="str">
            <v>195011</v>
          </cell>
          <cell r="B92" t="str">
            <v>GOSI LOCAL</v>
          </cell>
          <cell r="C92">
            <v>6062.3739999999998</v>
          </cell>
        </row>
        <row r="93">
          <cell r="A93" t="str">
            <v>195012</v>
          </cell>
          <cell r="B93" t="str">
            <v>INSURANCE-FIRE/THEFT</v>
          </cell>
          <cell r="C93">
            <v>214.386</v>
          </cell>
        </row>
        <row r="94">
          <cell r="A94" t="str">
            <v>200002</v>
          </cell>
          <cell r="B94" t="str">
            <v>RETAINER'S FEES</v>
          </cell>
          <cell r="C94">
            <v>1429.9159999999999</v>
          </cell>
        </row>
        <row r="95">
          <cell r="A95" t="str">
            <v>200006</v>
          </cell>
          <cell r="B95" t="str">
            <v>LEGAL CHARGES - STAFF MATTE</v>
          </cell>
          <cell r="C95">
            <v>15080</v>
          </cell>
        </row>
        <row r="96">
          <cell r="A96" t="str">
            <v>200007</v>
          </cell>
          <cell r="B96" t="str">
            <v>LEGAL CHARGES - OPERATIONS</v>
          </cell>
          <cell r="C96">
            <v>3126.3620000000001</v>
          </cell>
        </row>
        <row r="97">
          <cell r="A97" t="str">
            <v>200008</v>
          </cell>
          <cell r="B97" t="str">
            <v>PROFESSIONAL &amp; CONSULTANCY</v>
          </cell>
          <cell r="C97">
            <v>1283</v>
          </cell>
        </row>
        <row r="98">
          <cell r="A98" t="str">
            <v>205001</v>
          </cell>
          <cell r="B98" t="str">
            <v>POSTAGE</v>
          </cell>
          <cell r="C98">
            <v>865</v>
          </cell>
        </row>
        <row r="99">
          <cell r="A99" t="str">
            <v>205005</v>
          </cell>
          <cell r="B99" t="str">
            <v>COURIER CHARGES - CORPORATE</v>
          </cell>
          <cell r="C99">
            <v>847.77800000000002</v>
          </cell>
        </row>
        <row r="100">
          <cell r="A100" t="str">
            <v>206001</v>
          </cell>
          <cell r="B100" t="str">
            <v>TELEPHONE / TRUNK CALL - OF</v>
          </cell>
          <cell r="C100">
            <v>7864.88</v>
          </cell>
        </row>
        <row r="101">
          <cell r="A101" t="str">
            <v>206011</v>
          </cell>
          <cell r="B101" t="str">
            <v>FAX - OFFICE</v>
          </cell>
          <cell r="C101">
            <v>260</v>
          </cell>
        </row>
        <row r="102">
          <cell r="A102" t="str">
            <v>207011</v>
          </cell>
          <cell r="B102" t="str">
            <v>TELEPHONE LINE FOR REUTERS/</v>
          </cell>
          <cell r="C102">
            <v>1309.8879999999999</v>
          </cell>
        </row>
        <row r="103">
          <cell r="A103" t="str">
            <v>208002</v>
          </cell>
          <cell r="B103" t="str">
            <v>RUETER FEE / SWIFT EXPENSES</v>
          </cell>
          <cell r="C103">
            <v>477.47800000000001</v>
          </cell>
        </row>
        <row r="104">
          <cell r="A104" t="str">
            <v>208003</v>
          </cell>
          <cell r="B104" t="str">
            <v>SOFTWARE CHARGES</v>
          </cell>
          <cell r="C104">
            <v>303.67700000000002</v>
          </cell>
        </row>
        <row r="105">
          <cell r="A105" t="str">
            <v>208004</v>
          </cell>
          <cell r="B105" t="str">
            <v>USER LICENSE CHARGES</v>
          </cell>
          <cell r="C105">
            <v>44.616</v>
          </cell>
        </row>
        <row r="106">
          <cell r="A106" t="str">
            <v>208012</v>
          </cell>
          <cell r="B106" t="str">
            <v>BENEFIT SWITCH EXPENSES</v>
          </cell>
          <cell r="C106">
            <v>7073.66</v>
          </cell>
        </row>
        <row r="107">
          <cell r="A107" t="str">
            <v>215001</v>
          </cell>
          <cell r="B107" t="str">
            <v>AUDITOR'S FEES</v>
          </cell>
          <cell r="C107">
            <v>2865.2</v>
          </cell>
        </row>
        <row r="108">
          <cell r="A108" t="str">
            <v>215003</v>
          </cell>
          <cell r="B108" t="str">
            <v>OUT OF POCKET EXPENSES</v>
          </cell>
          <cell r="C108">
            <v>1200</v>
          </cell>
        </row>
        <row r="109">
          <cell r="A109" t="str">
            <v>218001</v>
          </cell>
          <cell r="B109" t="str">
            <v>DEPRECIATION-ELECTRICAL &amp; O</v>
          </cell>
          <cell r="C109">
            <v>2919.252</v>
          </cell>
        </row>
        <row r="110">
          <cell r="A110" t="str">
            <v>219001</v>
          </cell>
          <cell r="B110" t="str">
            <v>DEPRECIATION -VEHICLE OFFIC</v>
          </cell>
          <cell r="C110">
            <v>635.779</v>
          </cell>
        </row>
        <row r="111">
          <cell r="A111" t="str">
            <v>220012</v>
          </cell>
          <cell r="B111" t="str">
            <v>FURNITURE &amp; FIXTURES WOODEN</v>
          </cell>
          <cell r="C111">
            <v>2347.2669999999998</v>
          </cell>
        </row>
        <row r="112">
          <cell r="A112" t="str">
            <v>221003</v>
          </cell>
          <cell r="B112" t="str">
            <v>DEPRECIATION-LEASE HOLD IMP</v>
          </cell>
          <cell r="C112">
            <v>1481.6659999999999</v>
          </cell>
        </row>
        <row r="113">
          <cell r="A113" t="str">
            <v>222001</v>
          </cell>
          <cell r="B113" t="str">
            <v>DEPRECIATION IT HARDWARE-PC</v>
          </cell>
          <cell r="C113">
            <v>4434.2139999999999</v>
          </cell>
        </row>
        <row r="114">
          <cell r="A114" t="str">
            <v>223001</v>
          </cell>
          <cell r="B114" t="str">
            <v>I T SOFTWARE</v>
          </cell>
          <cell r="C114">
            <v>2954.2719999999999</v>
          </cell>
        </row>
        <row r="115">
          <cell r="A115" t="str">
            <v>225002</v>
          </cell>
          <cell r="B115" t="str">
            <v>REPAIR - MACHINE/EQUIPMENT</v>
          </cell>
          <cell r="C115">
            <v>85</v>
          </cell>
        </row>
        <row r="116">
          <cell r="A116" t="str">
            <v>225007</v>
          </cell>
          <cell r="B116" t="str">
            <v>REPAIRS - I T HARDWARE</v>
          </cell>
          <cell r="C116">
            <v>1844.9159999999999</v>
          </cell>
        </row>
        <row r="117">
          <cell r="A117" t="str">
            <v>225008</v>
          </cell>
          <cell r="B117" t="str">
            <v>REPAIRS - CABLING</v>
          </cell>
          <cell r="C117">
            <v>11.196</v>
          </cell>
        </row>
        <row r="118">
          <cell r="A118" t="str">
            <v>225010</v>
          </cell>
          <cell r="B118" t="str">
            <v>VEHICLE REPAIR OFFICERS</v>
          </cell>
          <cell r="C118">
            <v>10</v>
          </cell>
        </row>
        <row r="119">
          <cell r="A119" t="str">
            <v>235001</v>
          </cell>
          <cell r="B119" t="str">
            <v>OFFICE STATIONERY</v>
          </cell>
          <cell r="C119">
            <v>879.00699999999995</v>
          </cell>
        </row>
        <row r="120">
          <cell r="A120" t="str">
            <v>235002</v>
          </cell>
          <cell r="B120" t="str">
            <v>SECURITY STATIONERY</v>
          </cell>
          <cell r="C120">
            <v>13.6</v>
          </cell>
        </row>
        <row r="121">
          <cell r="A121" t="str">
            <v>235004</v>
          </cell>
          <cell r="B121" t="str">
            <v>PRINTING STATIONERY</v>
          </cell>
          <cell r="C121">
            <v>1209.576</v>
          </cell>
        </row>
        <row r="122">
          <cell r="A122" t="str">
            <v>235006</v>
          </cell>
          <cell r="B122" t="str">
            <v>COMPUTER STATIONERY (CONSUM</v>
          </cell>
          <cell r="C122">
            <v>269.8</v>
          </cell>
        </row>
        <row r="123">
          <cell r="A123" t="str">
            <v>237001</v>
          </cell>
          <cell r="B123" t="str">
            <v>OFFICE RUNNING EXPENSES</v>
          </cell>
          <cell r="C123">
            <v>448.71</v>
          </cell>
        </row>
        <row r="124">
          <cell r="A124" t="str">
            <v>237002</v>
          </cell>
          <cell r="B124" t="str">
            <v>JANITORIAL CHARGES</v>
          </cell>
          <cell r="C124">
            <v>370</v>
          </cell>
        </row>
        <row r="125">
          <cell r="A125" t="str">
            <v>240005</v>
          </cell>
          <cell r="B125" t="str">
            <v>BILLBOARDS AND SIGNAGE</v>
          </cell>
          <cell r="C125">
            <v>58.784999999999997</v>
          </cell>
        </row>
        <row r="126">
          <cell r="A126" t="str">
            <v>240009</v>
          </cell>
          <cell r="B126" t="str">
            <v>PRESS ADVERTISING</v>
          </cell>
          <cell r="C126">
            <v>393.81</v>
          </cell>
        </row>
        <row r="127">
          <cell r="A127" t="str">
            <v>240015</v>
          </cell>
          <cell r="B127" t="str">
            <v>MISCELLANEOUS</v>
          </cell>
          <cell r="C127">
            <v>5748.04</v>
          </cell>
        </row>
        <row r="128">
          <cell r="A128" t="str">
            <v>245001</v>
          </cell>
          <cell r="B128" t="str">
            <v>ENTERTAINMENT</v>
          </cell>
          <cell r="C128">
            <v>638.57000000000005</v>
          </cell>
        </row>
        <row r="129">
          <cell r="A129" t="str">
            <v>245002</v>
          </cell>
          <cell r="B129" t="str">
            <v>CUSTOMERS GUESTS-OUTSIDE BA</v>
          </cell>
          <cell r="C129">
            <v>140.72</v>
          </cell>
        </row>
        <row r="130">
          <cell r="A130" t="str">
            <v>255006</v>
          </cell>
          <cell r="B130" t="str">
            <v>VEHICLE FUEL -OFFICE</v>
          </cell>
          <cell r="C130">
            <v>90</v>
          </cell>
        </row>
        <row r="131">
          <cell r="A131" t="str">
            <v>255007</v>
          </cell>
          <cell r="B131" t="str">
            <v>VEHICLE TAXES &amp; INS. EXECUT</v>
          </cell>
          <cell r="C131">
            <v>62.277000000000001</v>
          </cell>
        </row>
        <row r="132">
          <cell r="A132" t="str">
            <v>255009</v>
          </cell>
          <cell r="B132" t="str">
            <v>VEHICLE REPAIR -EXECUTIVES</v>
          </cell>
          <cell r="C132">
            <v>43.8</v>
          </cell>
        </row>
        <row r="133">
          <cell r="A133" t="str">
            <v>260001</v>
          </cell>
          <cell r="B133" t="str">
            <v>SUBSCRIPTIONS PERIODICAL /</v>
          </cell>
          <cell r="C133">
            <v>32</v>
          </cell>
        </row>
        <row r="134">
          <cell r="A134" t="str">
            <v>260002</v>
          </cell>
          <cell r="B134" t="str">
            <v>SUBSCRIPTIONS INSTITUTIONS</v>
          </cell>
          <cell r="C134">
            <v>125</v>
          </cell>
        </row>
        <row r="135">
          <cell r="A135" t="str">
            <v>270006</v>
          </cell>
          <cell r="B135" t="str">
            <v>TRAVELLING INLAND HOTEL STA</v>
          </cell>
          <cell r="C135">
            <v>874.71</v>
          </cell>
        </row>
        <row r="136">
          <cell r="A136" t="str">
            <v>270008</v>
          </cell>
          <cell r="B136" t="str">
            <v>TRAVELLING FOREIGN TA / DA</v>
          </cell>
          <cell r="C136">
            <v>347.14499999999998</v>
          </cell>
        </row>
        <row r="137">
          <cell r="A137" t="str">
            <v>270009</v>
          </cell>
          <cell r="B137" t="str">
            <v>TRAVELLING FOREIGN HOTEL ST</v>
          </cell>
          <cell r="C137">
            <v>1377.4</v>
          </cell>
        </row>
        <row r="138">
          <cell r="A138" t="str">
            <v>270010</v>
          </cell>
          <cell r="B138" t="str">
            <v>TRAVELLING FOREIGN AIR-FARE</v>
          </cell>
          <cell r="C138">
            <v>333</v>
          </cell>
        </row>
        <row r="139">
          <cell r="A139" t="str">
            <v>271001</v>
          </cell>
          <cell r="B139" t="str">
            <v>SECURITY GUARDS CHARGES</v>
          </cell>
          <cell r="C139">
            <v>8760</v>
          </cell>
        </row>
        <row r="140">
          <cell r="A140" t="str">
            <v>272001</v>
          </cell>
          <cell r="B140" t="str">
            <v>CASH TRANSPORT CHARGES</v>
          </cell>
          <cell r="C140">
            <v>815.07</v>
          </cell>
        </row>
        <row r="141">
          <cell r="A141" t="str">
            <v>275001</v>
          </cell>
          <cell r="B141" t="str">
            <v>CONVEYANCE (LOCAL)</v>
          </cell>
          <cell r="C141">
            <v>50.7</v>
          </cell>
        </row>
        <row r="142">
          <cell r="A142" t="str">
            <v>283003</v>
          </cell>
          <cell r="B142" t="str">
            <v>SEMINAR</v>
          </cell>
          <cell r="C142">
            <v>536.95500000000004</v>
          </cell>
        </row>
        <row r="143">
          <cell r="A143" t="str">
            <v>283004</v>
          </cell>
          <cell r="B143" t="str">
            <v>OTHERS</v>
          </cell>
          <cell r="C143">
            <v>133.51400000000001</v>
          </cell>
        </row>
        <row r="144">
          <cell r="A144" t="str">
            <v>285007</v>
          </cell>
          <cell r="B144" t="str">
            <v>VISA EXP -VISITORS</v>
          </cell>
          <cell r="C144">
            <v>30</v>
          </cell>
        </row>
        <row r="145">
          <cell r="A145" t="str">
            <v>285008</v>
          </cell>
          <cell r="B145" t="str">
            <v>VISA EXP -STAFF</v>
          </cell>
          <cell r="C145">
            <v>313.08100000000002</v>
          </cell>
        </row>
        <row r="146">
          <cell r="A146" t="str">
            <v>285042</v>
          </cell>
          <cell r="B146" t="str">
            <v>CHEQUE RETURN CHARGES</v>
          </cell>
          <cell r="C146">
            <v>480</v>
          </cell>
        </row>
        <row r="147">
          <cell r="A147" t="str">
            <v>285088</v>
          </cell>
          <cell r="B147" t="str">
            <v>CREDIT CARD &amp; CONSUMER LOAN</v>
          </cell>
          <cell r="C147">
            <v>8817.7119999999995</v>
          </cell>
        </row>
        <row r="148">
          <cell r="A148" t="str">
            <v>285090</v>
          </cell>
          <cell r="B148" t="str">
            <v>AFS MISC EXPENSES</v>
          </cell>
          <cell r="C148">
            <v>743.30499999999995</v>
          </cell>
        </row>
        <row r="149">
          <cell r="A149" t="str">
            <v>285091</v>
          </cell>
          <cell r="B149" t="str">
            <v>MASTER CARD MISC EXPENSES</v>
          </cell>
          <cell r="C149">
            <v>1509</v>
          </cell>
        </row>
        <row r="150">
          <cell r="A150" t="str">
            <v>285092</v>
          </cell>
          <cell r="B150" t="str">
            <v>GIFT/GIVEWAYS EXP</v>
          </cell>
          <cell r="C150">
            <v>46</v>
          </cell>
        </row>
        <row r="151">
          <cell r="A151" t="str">
            <v>285094</v>
          </cell>
          <cell r="B151" t="str">
            <v>FOREIGN BANK CHARGES</v>
          </cell>
          <cell r="C151">
            <v>60.47</v>
          </cell>
        </row>
        <row r="152">
          <cell r="A152" t="str">
            <v>288001</v>
          </cell>
          <cell r="B152" t="str">
            <v>HO SHARE OF EXPENSES</v>
          </cell>
          <cell r="C152">
            <v>13480</v>
          </cell>
        </row>
        <row r="153">
          <cell r="A153" t="str">
            <v>290011</v>
          </cell>
          <cell r="B153" t="str">
            <v>IT CHARGES PAID TO HO</v>
          </cell>
          <cell r="C153">
            <v>1507.998</v>
          </cell>
        </row>
        <row r="157">
          <cell r="A157" t="str">
            <v>301011</v>
          </cell>
          <cell r="B157" t="str">
            <v>CAPITAL AT OVERSEAS BRANCHE</v>
          </cell>
          <cell r="C157">
            <v>2300000</v>
          </cell>
        </row>
        <row r="158">
          <cell r="A158" t="str">
            <v>307001</v>
          </cell>
          <cell r="B158" t="str">
            <v>SURPLUS/DIMINUTION ON REVAL</v>
          </cell>
          <cell r="C158">
            <v>411501.201</v>
          </cell>
        </row>
        <row r="159">
          <cell r="A159" t="str">
            <v>309012</v>
          </cell>
          <cell r="B159" t="str">
            <v>UNREMITTED PROFIT OF FOREIG</v>
          </cell>
          <cell r="C159">
            <v>4470330.3289999999</v>
          </cell>
        </row>
        <row r="160">
          <cell r="A160" t="str">
            <v>321004</v>
          </cell>
          <cell r="B160" t="str">
            <v>CURRENT DEPOSITS (UNCLAIMED</v>
          </cell>
          <cell r="C160">
            <v>163700.01199999999</v>
          </cell>
        </row>
        <row r="161">
          <cell r="A161" t="str">
            <v>321052</v>
          </cell>
          <cell r="B161" t="str">
            <v>CURRENT DEPOSITS BD</v>
          </cell>
          <cell r="C161">
            <v>2613612.4909999999</v>
          </cell>
        </row>
        <row r="162">
          <cell r="A162" t="str">
            <v>322012</v>
          </cell>
          <cell r="B162" t="str">
            <v>CALL DEPOSITS BD</v>
          </cell>
          <cell r="C162">
            <v>30986.991000000002</v>
          </cell>
        </row>
        <row r="163">
          <cell r="A163" t="str">
            <v>322015</v>
          </cell>
          <cell r="B163" t="str">
            <v>CALL DEPOSITS USD</v>
          </cell>
          <cell r="C163">
            <v>615.85799999999995</v>
          </cell>
        </row>
        <row r="164">
          <cell r="A164" t="str">
            <v>322016</v>
          </cell>
          <cell r="B164" t="str">
            <v>CALL DEPOSITS POUND STLG</v>
          </cell>
          <cell r="C164">
            <v>7020.692</v>
          </cell>
        </row>
        <row r="165">
          <cell r="A165" t="str">
            <v>322018</v>
          </cell>
          <cell r="B165" t="str">
            <v>CALL DEPOSITS EURO</v>
          </cell>
          <cell r="C165">
            <v>15.346</v>
          </cell>
        </row>
        <row r="166">
          <cell r="A166" t="str">
            <v>322021</v>
          </cell>
          <cell r="B166" t="str">
            <v>AL-AMMAN DEPOSITS - BAHRAIN</v>
          </cell>
          <cell r="C166">
            <v>749399.89</v>
          </cell>
        </row>
        <row r="167">
          <cell r="A167" t="str">
            <v>325001</v>
          </cell>
          <cell r="B167" t="str">
            <v>FOREIGN CURRENCY CD US $</v>
          </cell>
          <cell r="C167">
            <v>36736.915999999997</v>
          </cell>
        </row>
        <row r="168">
          <cell r="A168" t="str">
            <v>325002</v>
          </cell>
          <cell r="B168" t="str">
            <v>FOREIGN CURRENCY CD P.STG.</v>
          </cell>
          <cell r="C168">
            <v>1982.94</v>
          </cell>
        </row>
        <row r="169">
          <cell r="A169" t="str">
            <v>341001</v>
          </cell>
          <cell r="B169" t="str">
            <v>MARGIN ON LG -</v>
          </cell>
          <cell r="C169">
            <v>26248</v>
          </cell>
        </row>
        <row r="170">
          <cell r="A170" t="str">
            <v>342001</v>
          </cell>
          <cell r="B170" t="str">
            <v>SUNDRY DEPOSITS-MARGIN ON L</v>
          </cell>
          <cell r="C170">
            <v>3526</v>
          </cell>
        </row>
        <row r="171">
          <cell r="A171" t="str">
            <v>343073</v>
          </cell>
          <cell r="B171" t="str">
            <v>SD/SC PAKISTAN SCHOOL FEE</v>
          </cell>
          <cell r="C171">
            <v>0</v>
          </cell>
        </row>
        <row r="172">
          <cell r="A172" t="str">
            <v>343089</v>
          </cell>
          <cell r="B172" t="str">
            <v>CASH RECEIVED FOR TEZRAFTAR</v>
          </cell>
          <cell r="C172">
            <v>0</v>
          </cell>
        </row>
        <row r="173">
          <cell r="A173" t="str">
            <v>344001</v>
          </cell>
          <cell r="B173" t="str">
            <v>SUD CE A/C ACCOUNTS DEPARTM</v>
          </cell>
          <cell r="C173">
            <v>56618.239999999998</v>
          </cell>
        </row>
        <row r="174">
          <cell r="A174" t="str">
            <v>344008</v>
          </cell>
          <cell r="B174" t="str">
            <v>SD.A/C SUNDRY FDR</v>
          </cell>
          <cell r="C174">
            <v>0</v>
          </cell>
        </row>
        <row r="175">
          <cell r="A175" t="str">
            <v>344024</v>
          </cell>
          <cell r="B175" t="str">
            <v>CUSTOMER SALARY BAHRAIN</v>
          </cell>
          <cell r="C175">
            <v>0</v>
          </cell>
        </row>
        <row r="176">
          <cell r="A176" t="str">
            <v>344062</v>
          </cell>
          <cell r="B176" t="str">
            <v>S/CREDIT CARD PAYMENT THROU</v>
          </cell>
          <cell r="C176">
            <v>2504.3879999999999</v>
          </cell>
        </row>
        <row r="177">
          <cell r="A177" t="str">
            <v>344068</v>
          </cell>
          <cell r="B177" t="str">
            <v>CASH MASTER CARD</v>
          </cell>
          <cell r="C177">
            <v>1419.5</v>
          </cell>
        </row>
        <row r="178">
          <cell r="A178" t="str">
            <v>344078</v>
          </cell>
          <cell r="B178" t="str">
            <v>TT / DD/FDD HOME REMITT. CA</v>
          </cell>
          <cell r="C178">
            <v>0</v>
          </cell>
        </row>
        <row r="179">
          <cell r="A179" t="str">
            <v>344088</v>
          </cell>
          <cell r="B179" t="str">
            <v>UN-CLAIMED DEPOSITS</v>
          </cell>
          <cell r="C179">
            <v>63.381</v>
          </cell>
        </row>
        <row r="180">
          <cell r="A180" t="str">
            <v>344092</v>
          </cell>
          <cell r="B180" t="str">
            <v>UNCLAIMED PAYORDER</v>
          </cell>
          <cell r="C180">
            <v>51173.116999999998</v>
          </cell>
        </row>
        <row r="181">
          <cell r="A181" t="str">
            <v>346011</v>
          </cell>
          <cell r="B181" t="str">
            <v>KEY DEPOSIT LOCKERS - OVERS</v>
          </cell>
          <cell r="C181">
            <v>1265</v>
          </cell>
        </row>
        <row r="182">
          <cell r="A182" t="str">
            <v>349001</v>
          </cell>
          <cell r="B182" t="str">
            <v>SD-CLEARING ADJUSTMENT</v>
          </cell>
          <cell r="C182">
            <v>0</v>
          </cell>
        </row>
        <row r="183">
          <cell r="A183" t="str">
            <v>349012</v>
          </cell>
          <cell r="B183" t="str">
            <v>SE-CLEARING ADJUSTMENT-OVER</v>
          </cell>
          <cell r="C183">
            <v>0</v>
          </cell>
        </row>
        <row r="184">
          <cell r="A184" t="str">
            <v>359008</v>
          </cell>
          <cell r="B184" t="str">
            <v>EXCESS CASH</v>
          </cell>
          <cell r="C184">
            <v>58.204999999999998</v>
          </cell>
        </row>
        <row r="185">
          <cell r="A185" t="str">
            <v>359067</v>
          </cell>
          <cell r="B185" t="str">
            <v>SD G.P.F</v>
          </cell>
          <cell r="C185">
            <v>176.27099999999999</v>
          </cell>
        </row>
        <row r="186">
          <cell r="A186" t="str">
            <v>359069</v>
          </cell>
          <cell r="B186" t="str">
            <v>SD B.F (OLD OPTION)</v>
          </cell>
          <cell r="C186">
            <v>7.4539999999999997</v>
          </cell>
        </row>
        <row r="187">
          <cell r="A187" t="str">
            <v>359070</v>
          </cell>
          <cell r="B187" t="str">
            <v>SD-B.F.(NEW OPTION)</v>
          </cell>
          <cell r="C187">
            <v>9.8330000000000002</v>
          </cell>
        </row>
        <row r="188">
          <cell r="A188" t="str">
            <v>359073</v>
          </cell>
          <cell r="B188" t="str">
            <v>SD MONETARY ASSISTANCE</v>
          </cell>
          <cell r="C188">
            <v>0.80700000000000005</v>
          </cell>
        </row>
        <row r="189">
          <cell r="A189" t="str">
            <v>359083</v>
          </cell>
          <cell r="B189" t="str">
            <v>SD PARKING ACCOUNT</v>
          </cell>
          <cell r="C189">
            <v>0</v>
          </cell>
        </row>
        <row r="190">
          <cell r="A190" t="str">
            <v>359096</v>
          </cell>
          <cell r="B190" t="str">
            <v>CASH PURGED IN ATM</v>
          </cell>
          <cell r="C190">
            <v>570</v>
          </cell>
        </row>
        <row r="191">
          <cell r="A191" t="str">
            <v>362001</v>
          </cell>
          <cell r="B191" t="str">
            <v>DEMAND DEP. FROM BANKS  (J.</v>
          </cell>
          <cell r="C191">
            <v>11568.24</v>
          </cell>
        </row>
        <row r="192">
          <cell r="A192" t="str">
            <v>366012</v>
          </cell>
          <cell r="B192" t="str">
            <v>CURRENT DEPOSITS UBL OVERSE</v>
          </cell>
          <cell r="C192">
            <v>73032.324999999997</v>
          </cell>
        </row>
        <row r="193">
          <cell r="A193" t="str">
            <v>381012</v>
          </cell>
          <cell r="B193" t="str">
            <v>PLS SAVING DEP-BD OVERSEAS</v>
          </cell>
          <cell r="C193">
            <v>1366136.976</v>
          </cell>
        </row>
        <row r="194">
          <cell r="A194" t="str">
            <v>401002</v>
          </cell>
          <cell r="B194" t="str">
            <v>FIXED DEPOSIT - 2 MONTHS</v>
          </cell>
          <cell r="C194">
            <v>43929.493000000002</v>
          </cell>
        </row>
        <row r="195">
          <cell r="A195" t="str">
            <v>401021</v>
          </cell>
          <cell r="B195" t="str">
            <v>FIXED DEPOSITS BD - ONE MON</v>
          </cell>
          <cell r="C195">
            <v>6208406.517</v>
          </cell>
        </row>
        <row r="196">
          <cell r="A196" t="str">
            <v>401022</v>
          </cell>
          <cell r="B196" t="str">
            <v>FIXED DEP. BD - THREE MONTH</v>
          </cell>
          <cell r="C196">
            <v>2603592.2439999999</v>
          </cell>
        </row>
        <row r="197">
          <cell r="A197" t="str">
            <v>401023</v>
          </cell>
          <cell r="B197" t="str">
            <v>FIXED DEPOSITS BD - SIX MON</v>
          </cell>
          <cell r="C197">
            <v>2389000.6889999998</v>
          </cell>
        </row>
        <row r="198">
          <cell r="A198" t="str">
            <v>401024</v>
          </cell>
          <cell r="B198" t="str">
            <v>FIXED DEPOSITS BD - ONE YEA</v>
          </cell>
          <cell r="C198">
            <v>950590.30200000003</v>
          </cell>
        </row>
        <row r="199">
          <cell r="A199" t="str">
            <v>405001</v>
          </cell>
          <cell r="B199" t="str">
            <v>FC. FIXED DEP. US$ - 3 MONT</v>
          </cell>
          <cell r="C199">
            <v>9873517.3430000003</v>
          </cell>
        </row>
        <row r="200">
          <cell r="A200" t="str">
            <v>405002</v>
          </cell>
          <cell r="B200" t="str">
            <v>FC. FIXED DEP. US$ - 6 MONT</v>
          </cell>
          <cell r="C200">
            <v>1825327.07</v>
          </cell>
        </row>
        <row r="201">
          <cell r="A201" t="str">
            <v>405003</v>
          </cell>
          <cell r="B201" t="str">
            <v>FC. FIXED DEPOSITS US $ - O</v>
          </cell>
          <cell r="C201">
            <v>174276.26699999999</v>
          </cell>
        </row>
        <row r="202">
          <cell r="A202" t="str">
            <v>405013</v>
          </cell>
          <cell r="B202" t="str">
            <v>FC. FIXED DEP. GBP - 1 YEAR</v>
          </cell>
          <cell r="C202">
            <v>6804.0770000000002</v>
          </cell>
        </row>
        <row r="203">
          <cell r="A203" t="str">
            <v>405041</v>
          </cell>
          <cell r="B203" t="str">
            <v>FC. FIXED DEP. US$ - 1 MONT</v>
          </cell>
          <cell r="C203">
            <v>6878544.2520000003</v>
          </cell>
        </row>
        <row r="204">
          <cell r="A204" t="str">
            <v>405042</v>
          </cell>
          <cell r="B204" t="str">
            <v>FC. FIXED DEP. GBP - 1 MONT</v>
          </cell>
          <cell r="C204">
            <v>865344.53399999999</v>
          </cell>
        </row>
        <row r="205">
          <cell r="A205" t="str">
            <v>405054</v>
          </cell>
          <cell r="B205" t="str">
            <v>USD$ - TWO  MONTHS</v>
          </cell>
          <cell r="C205">
            <v>1885000</v>
          </cell>
        </row>
        <row r="206">
          <cell r="A206" t="str">
            <v>421001</v>
          </cell>
          <cell r="B206" t="str">
            <v>PAYORDER ISSUED</v>
          </cell>
          <cell r="C206">
            <v>176719.51300000001</v>
          </cell>
        </row>
        <row r="207">
          <cell r="A207" t="str">
            <v>434003</v>
          </cell>
          <cell r="B207" t="str">
            <v>PROVISION FOR INCENTIVE/AWA</v>
          </cell>
          <cell r="C207">
            <v>40855.635999999999</v>
          </cell>
        </row>
        <row r="208">
          <cell r="A208" t="str">
            <v>434018</v>
          </cell>
          <cell r="B208" t="str">
            <v>PROVISION FOR STAFF BENEFIT</v>
          </cell>
          <cell r="C208">
            <v>44072.834999999999</v>
          </cell>
        </row>
        <row r="209">
          <cell r="A209" t="str">
            <v>434019</v>
          </cell>
          <cell r="B209" t="str">
            <v>PROVISION FOR LEGAL &amp;PROF C</v>
          </cell>
          <cell r="C209">
            <v>19480.2</v>
          </cell>
        </row>
        <row r="210">
          <cell r="A210" t="str">
            <v>434020</v>
          </cell>
          <cell r="B210" t="str">
            <v>PROVISION FOR SUBSCRIPTION</v>
          </cell>
          <cell r="C210">
            <v>16920.580000000002</v>
          </cell>
        </row>
        <row r="211">
          <cell r="A211" t="str">
            <v>434021</v>
          </cell>
          <cell r="B211" t="str">
            <v>PROVISION FOR BONUS PAYABLE</v>
          </cell>
          <cell r="C211">
            <v>8064.96</v>
          </cell>
        </row>
        <row r="212">
          <cell r="A212" t="str">
            <v>434024</v>
          </cell>
          <cell r="B212" t="str">
            <v>PROVISION FOR ELECTRICITY</v>
          </cell>
          <cell r="C212">
            <v>500</v>
          </cell>
        </row>
        <row r="213">
          <cell r="A213" t="str">
            <v>434025</v>
          </cell>
          <cell r="B213" t="str">
            <v>PROVISION FOR TELEPHONE</v>
          </cell>
          <cell r="C213">
            <v>700</v>
          </cell>
        </row>
        <row r="214">
          <cell r="A214" t="str">
            <v>434098</v>
          </cell>
          <cell r="B214" t="str">
            <v>PROVISION FOR OTHER EXPENSE</v>
          </cell>
          <cell r="C214">
            <v>161476.91</v>
          </cell>
        </row>
        <row r="215">
          <cell r="A215" t="str">
            <v>461011</v>
          </cell>
          <cell r="B215" t="str">
            <v>GENERAL PROVISION FOR CONSU</v>
          </cell>
          <cell r="C215">
            <v>390395.685</v>
          </cell>
        </row>
        <row r="216">
          <cell r="A216" t="str">
            <v>467001</v>
          </cell>
          <cell r="B216" t="str">
            <v>FURNITURE &amp; FIXTURES WOODEN</v>
          </cell>
          <cell r="C216">
            <v>43899.237000000001</v>
          </cell>
        </row>
        <row r="217">
          <cell r="A217" t="str">
            <v>471002</v>
          </cell>
          <cell r="B217" t="str">
            <v>PROVISION FOR GRATUITY -</v>
          </cell>
          <cell r="C217">
            <v>5337.1549999999997</v>
          </cell>
        </row>
        <row r="218">
          <cell r="A218" t="str">
            <v>471021</v>
          </cell>
          <cell r="B218" t="str">
            <v>END SERVICE BENEFITS - OVS.</v>
          </cell>
          <cell r="C218">
            <v>8338.81</v>
          </cell>
        </row>
        <row r="219">
          <cell r="A219" t="str">
            <v>473001</v>
          </cell>
          <cell r="B219" t="str">
            <v>SPECIFIC RESERVE-NPLS</v>
          </cell>
          <cell r="C219">
            <v>1654174.463</v>
          </cell>
        </row>
        <row r="220">
          <cell r="A220" t="str">
            <v>501001</v>
          </cell>
          <cell r="B220" t="str">
            <v>ELECTRICAL &amp; OFFICE APPLIAN</v>
          </cell>
          <cell r="C220">
            <v>51546.307999999997</v>
          </cell>
        </row>
        <row r="221">
          <cell r="A221" t="str">
            <v>502001</v>
          </cell>
          <cell r="B221" t="str">
            <v>ACC. DEPRECIATION - VEHICLE</v>
          </cell>
          <cell r="C221">
            <v>13685.849</v>
          </cell>
        </row>
        <row r="222">
          <cell r="A222" t="str">
            <v>503001</v>
          </cell>
          <cell r="B222" t="str">
            <v>PC &amp; SERVER</v>
          </cell>
          <cell r="C222">
            <v>146896.31400000001</v>
          </cell>
        </row>
        <row r="223">
          <cell r="A223" t="str">
            <v>503005</v>
          </cell>
          <cell r="B223" t="str">
            <v>ACCUMULATED AMORTIZATION -</v>
          </cell>
          <cell r="C223">
            <v>53972.192999999999</v>
          </cell>
        </row>
        <row r="224">
          <cell r="A224" t="str">
            <v>504003</v>
          </cell>
          <cell r="B224" t="str">
            <v>AMORTIZATION - LEASEHOLD IM</v>
          </cell>
          <cell r="C224">
            <v>51184.28</v>
          </cell>
        </row>
        <row r="225">
          <cell r="A225" t="str">
            <v>527004</v>
          </cell>
          <cell r="B225" t="str">
            <v>INCOME RECIEVED IN ADV.-DEM</v>
          </cell>
          <cell r="C225">
            <v>6813.8620000000001</v>
          </cell>
        </row>
        <row r="226">
          <cell r="A226" t="str">
            <v>529052</v>
          </cell>
          <cell r="B226" t="str">
            <v>INTEREST PAYABLE ON SAVINGS</v>
          </cell>
          <cell r="C226">
            <v>2022.12</v>
          </cell>
        </row>
        <row r="227">
          <cell r="A227" t="str">
            <v>529053</v>
          </cell>
          <cell r="B227" t="str">
            <v>INTEREST PAYABLE ON TIME DE</v>
          </cell>
          <cell r="C227">
            <v>220963.29199999999</v>
          </cell>
        </row>
        <row r="228">
          <cell r="A228" t="str">
            <v>529056</v>
          </cell>
          <cell r="B228" t="str">
            <v>INTEREST PAYABLE ON DEPOSIT</v>
          </cell>
          <cell r="C228">
            <v>2480.5549999999998</v>
          </cell>
        </row>
        <row r="229">
          <cell r="A229" t="str">
            <v>529059</v>
          </cell>
          <cell r="B229" t="str">
            <v>UN-EARNED COMMISSION</v>
          </cell>
          <cell r="C229">
            <v>20495.951000000001</v>
          </cell>
        </row>
        <row r="230">
          <cell r="A230" t="str">
            <v>532012</v>
          </cell>
          <cell r="B230" t="str">
            <v>INT ON STUCK UP D/FUL DEBTS</v>
          </cell>
          <cell r="C230">
            <v>634487.50699999998</v>
          </cell>
        </row>
        <row r="231">
          <cell r="A231" t="str">
            <v>541002</v>
          </cell>
          <cell r="B231" t="str">
            <v>FBC BILLS FOR COLL. OUTWARD</v>
          </cell>
          <cell r="C231">
            <v>71351.998999999996</v>
          </cell>
        </row>
        <row r="232">
          <cell r="A232" t="str">
            <v>541008</v>
          </cell>
          <cell r="B232" t="str">
            <v>BILLS FOR COLLECTION-INWARD</v>
          </cell>
          <cell r="C232">
            <v>797220</v>
          </cell>
        </row>
        <row r="233">
          <cell r="A233" t="str">
            <v>542008</v>
          </cell>
          <cell r="B233" t="str">
            <v>FOREIGN DOCUMENTARY BILLS F</v>
          </cell>
          <cell r="C233">
            <v>152319</v>
          </cell>
        </row>
        <row r="234">
          <cell r="A234" t="str">
            <v>543003</v>
          </cell>
          <cell r="B234" t="str">
            <v>BANKERS LIABILITY L.G.</v>
          </cell>
          <cell r="C234">
            <v>3767963</v>
          </cell>
        </row>
        <row r="235">
          <cell r="A235" t="str">
            <v>544003</v>
          </cell>
          <cell r="B235" t="str">
            <v>BANKER LIABILITY L.C. (CASH</v>
          </cell>
          <cell r="C235">
            <v>10251608.699999999</v>
          </cell>
        </row>
        <row r="236">
          <cell r="A236" t="str">
            <v>544004</v>
          </cell>
          <cell r="B236" t="str">
            <v>BANKER LIABILITY L.C. (ICA)</v>
          </cell>
          <cell r="C236">
            <v>321437</v>
          </cell>
        </row>
        <row r="237">
          <cell r="A237" t="str">
            <v>549001</v>
          </cell>
          <cell r="B237" t="str">
            <v>BANKERS LIAB L/C ACCEPTANCE</v>
          </cell>
          <cell r="C237">
            <v>526708</v>
          </cell>
        </row>
        <row r="238">
          <cell r="A238" t="str">
            <v>555001</v>
          </cell>
          <cell r="B238" t="str">
            <v>BANKERS LIABILITY NIDF</v>
          </cell>
          <cell r="C238">
            <v>-2E-3</v>
          </cell>
        </row>
        <row r="239">
          <cell r="A239" t="str">
            <v>581001</v>
          </cell>
          <cell r="B239" t="str">
            <v>INCOME ACCOUNT</v>
          </cell>
          <cell r="C239">
            <v>924478.89099999995</v>
          </cell>
        </row>
        <row r="240">
          <cell r="A240" t="str">
            <v>602012</v>
          </cell>
          <cell r="B240" t="str">
            <v>CASH ON HAND BD (BAHRAIN ON</v>
          </cell>
          <cell r="C240">
            <v>98993.206999999995</v>
          </cell>
        </row>
        <row r="241">
          <cell r="A241" t="str">
            <v>603032</v>
          </cell>
          <cell r="B241" t="str">
            <v>CENTRAL BANK OF BAHRAIN</v>
          </cell>
          <cell r="C241">
            <v>143010.962</v>
          </cell>
        </row>
        <row r="242">
          <cell r="A242" t="str">
            <v>605013</v>
          </cell>
          <cell r="B242" t="str">
            <v>CENTRAL BANK OF BAHRAIN</v>
          </cell>
          <cell r="C242">
            <v>910000</v>
          </cell>
        </row>
        <row r="243">
          <cell r="A243" t="str">
            <v>608018</v>
          </cell>
          <cell r="B243" t="str">
            <v>BALANCE WITH FOREIGN BANKS</v>
          </cell>
          <cell r="C243">
            <v>9089.16</v>
          </cell>
        </row>
        <row r="244">
          <cell r="A244" t="str">
            <v>608019</v>
          </cell>
          <cell r="B244" t="str">
            <v>BALANCE WITH FOREIGN BANKS</v>
          </cell>
          <cell r="C244">
            <v>307.39</v>
          </cell>
        </row>
        <row r="245">
          <cell r="A245" t="str">
            <v>608029</v>
          </cell>
          <cell r="B245" t="str">
            <v>BALANCE WITH FOREIGN BANKS</v>
          </cell>
          <cell r="C245">
            <v>1209.961</v>
          </cell>
        </row>
        <row r="246">
          <cell r="A246" t="str">
            <v>608053</v>
          </cell>
          <cell r="B246" t="str">
            <v>BALANCE  WITH UNITED NATION</v>
          </cell>
          <cell r="C246">
            <v>39482.199000000001</v>
          </cell>
        </row>
        <row r="247">
          <cell r="A247" t="str">
            <v>608055</v>
          </cell>
          <cell r="B247" t="str">
            <v>BALANCE  WITH UNITED NATION</v>
          </cell>
          <cell r="C247">
            <v>2364.1889999999999</v>
          </cell>
        </row>
        <row r="248">
          <cell r="A248" t="str">
            <v>613012</v>
          </cell>
          <cell r="B248" t="str">
            <v>CASH IN ATM SAFE BD</v>
          </cell>
          <cell r="C248">
            <v>61260</v>
          </cell>
        </row>
        <row r="249">
          <cell r="A249" t="str">
            <v>613018</v>
          </cell>
          <cell r="B249" t="str">
            <v>CASH IN SAFE ATM 2</v>
          </cell>
          <cell r="C249">
            <v>14160</v>
          </cell>
        </row>
        <row r="250">
          <cell r="A250" t="str">
            <v>616001</v>
          </cell>
          <cell r="B250" t="str">
            <v>BAL WITH OVERSEAS BRCHS -US</v>
          </cell>
          <cell r="C250">
            <v>309936.55300000001</v>
          </cell>
        </row>
        <row r="251">
          <cell r="A251" t="str">
            <v>616002</v>
          </cell>
          <cell r="B251" t="str">
            <v>BALANCE WITH OVERSEAS BRANC</v>
          </cell>
          <cell r="C251">
            <v>42415.482000000004</v>
          </cell>
        </row>
        <row r="252">
          <cell r="A252" t="str">
            <v>616005</v>
          </cell>
          <cell r="B252" t="str">
            <v>BALANCE WITH OVERSEAS BRANC</v>
          </cell>
          <cell r="C252">
            <v>134.50299999999999</v>
          </cell>
        </row>
        <row r="253">
          <cell r="A253" t="str">
            <v>616014</v>
          </cell>
          <cell r="B253" t="str">
            <v>BALANCE WITH OVERSEAS BRANC</v>
          </cell>
          <cell r="C253">
            <v>43797.326000000001</v>
          </cell>
        </row>
        <row r="254">
          <cell r="A254" t="str">
            <v>617021</v>
          </cell>
          <cell r="B254" t="str">
            <v>PLACEMENT  WITH UNITED NATI</v>
          </cell>
          <cell r="C254">
            <v>879237.12899999996</v>
          </cell>
        </row>
        <row r="255">
          <cell r="A255" t="str">
            <v>618002</v>
          </cell>
          <cell r="B255" t="str">
            <v>PLACEMENT WITH OVERSEAS BRA</v>
          </cell>
          <cell r="C255">
            <v>6974500.1960000005</v>
          </cell>
        </row>
        <row r="256">
          <cell r="A256" t="str">
            <v>618003</v>
          </cell>
          <cell r="B256" t="str">
            <v>PLACEMENT WITH OVERSEAS BRA</v>
          </cell>
          <cell r="C256">
            <v>8.0000000000000002E-3</v>
          </cell>
        </row>
        <row r="257">
          <cell r="A257" t="str">
            <v>621001</v>
          </cell>
          <cell r="B257" t="str">
            <v>CALL LOAN/ADV. TO BANKERS</v>
          </cell>
          <cell r="C257">
            <v>1000000</v>
          </cell>
        </row>
        <row r="258">
          <cell r="A258" t="str">
            <v>651008</v>
          </cell>
          <cell r="B258" t="str">
            <v>GOP ISLAMIC BOUND (SUKUK)</v>
          </cell>
          <cell r="C258">
            <v>2681035.5</v>
          </cell>
        </row>
        <row r="259">
          <cell r="A259" t="str">
            <v>651016</v>
          </cell>
          <cell r="B259" t="str">
            <v>GOV.OF INDONESIA USD BONDS</v>
          </cell>
          <cell r="C259">
            <v>1508708.76</v>
          </cell>
        </row>
        <row r="260">
          <cell r="A260" t="str">
            <v>661011</v>
          </cell>
          <cell r="B260" t="str">
            <v>TREASURY BILLS - OVERSEAS B</v>
          </cell>
          <cell r="C260">
            <v>296346</v>
          </cell>
        </row>
        <row r="261">
          <cell r="A261" t="str">
            <v>664012</v>
          </cell>
          <cell r="B261" t="str">
            <v>SHARES AT BAHRAIN UNQUOTED</v>
          </cell>
          <cell r="C261">
            <v>8000</v>
          </cell>
        </row>
        <row r="262">
          <cell r="A262" t="str">
            <v>677001</v>
          </cell>
          <cell r="B262" t="str">
            <v>OTHER BONDS-TABREED 06 FINA</v>
          </cell>
          <cell r="C262">
            <v>1059431.1000000001</v>
          </cell>
        </row>
        <row r="263">
          <cell r="A263" t="str">
            <v>682001</v>
          </cell>
          <cell r="B263" t="str">
            <v>PERSONAL LOAN</v>
          </cell>
          <cell r="C263">
            <v>3985.7060000000001</v>
          </cell>
        </row>
        <row r="264">
          <cell r="A264" t="str">
            <v>685031</v>
          </cell>
          <cell r="B264" t="str">
            <v>GENERAL LOAN</v>
          </cell>
          <cell r="C264">
            <v>5803273.9029999999</v>
          </cell>
        </row>
        <row r="265">
          <cell r="A265" t="str">
            <v>685034</v>
          </cell>
          <cell r="B265" t="str">
            <v>CONSUMER LOAN</v>
          </cell>
          <cell r="C265">
            <v>110217.505</v>
          </cell>
        </row>
        <row r="266">
          <cell r="A266" t="str">
            <v>685037</v>
          </cell>
          <cell r="B266" t="str">
            <v>CORPORATE LOAN USD</v>
          </cell>
          <cell r="C266">
            <v>189674.554</v>
          </cell>
        </row>
        <row r="267">
          <cell r="A267" t="str">
            <v>685044</v>
          </cell>
          <cell r="B267" t="str">
            <v>LOAN - SYNDICATE - US $</v>
          </cell>
          <cell r="C267">
            <v>7505949.0489999996</v>
          </cell>
        </row>
        <row r="268">
          <cell r="A268" t="str">
            <v>689001</v>
          </cell>
          <cell r="B268" t="str">
            <v>LOANS AGAINST FOREIGN BILLS</v>
          </cell>
          <cell r="C268">
            <v>42440</v>
          </cell>
        </row>
        <row r="269">
          <cell r="A269" t="str">
            <v>691001</v>
          </cell>
          <cell r="B269" t="str">
            <v>LOANS AGAINST TRUST RECEIPT</v>
          </cell>
          <cell r="C269">
            <v>2912076.9079999998</v>
          </cell>
        </row>
        <row r="270">
          <cell r="A270" t="str">
            <v>692001</v>
          </cell>
          <cell r="B270" t="str">
            <v>LOANS AGAINST PACKING CREDI</v>
          </cell>
          <cell r="C270">
            <v>6121</v>
          </cell>
        </row>
        <row r="271">
          <cell r="A271" t="str">
            <v>721001</v>
          </cell>
          <cell r="B271" t="str">
            <v>PAD OVERDUE IFDBC</v>
          </cell>
          <cell r="C271">
            <v>18.780999999999999</v>
          </cell>
        </row>
        <row r="272">
          <cell r="A272" t="str">
            <v>722002</v>
          </cell>
          <cell r="B272" t="str">
            <v>LOCAL BILLS DISCOUNTED (LBD</v>
          </cell>
          <cell r="C272">
            <v>232084</v>
          </cell>
        </row>
        <row r="273">
          <cell r="A273" t="str">
            <v>724001</v>
          </cell>
          <cell r="B273" t="str">
            <v>PAD (CASH)</v>
          </cell>
          <cell r="C273">
            <v>16136.9</v>
          </cell>
        </row>
        <row r="274">
          <cell r="A274" t="str">
            <v>726001</v>
          </cell>
          <cell r="B274" t="str">
            <v>FOREIGN BILLS PURCHASED .</v>
          </cell>
          <cell r="C274">
            <v>14000</v>
          </cell>
        </row>
        <row r="275">
          <cell r="A275" t="str">
            <v>741062</v>
          </cell>
          <cell r="B275" t="str">
            <v>GOVERNMENT OF INDONESIA USD</v>
          </cell>
          <cell r="C275">
            <v>55617.440000000002</v>
          </cell>
        </row>
        <row r="276">
          <cell r="A276" t="str">
            <v>741066</v>
          </cell>
          <cell r="B276" t="str">
            <v>INCOME ACCRUED ON TABREED 0</v>
          </cell>
          <cell r="C276">
            <v>6117.58</v>
          </cell>
        </row>
        <row r="277">
          <cell r="A277" t="str">
            <v>742003</v>
          </cell>
          <cell r="B277" t="str">
            <v>LEASE HOLD IMPROVEMENT</v>
          </cell>
          <cell r="C277">
            <v>88899.91</v>
          </cell>
        </row>
        <row r="278">
          <cell r="A278" t="str">
            <v>744007</v>
          </cell>
          <cell r="B278" t="str">
            <v>FURNITURE &amp; FIXTURE WOODEN,</v>
          </cell>
          <cell r="C278">
            <v>56099.966</v>
          </cell>
        </row>
        <row r="279">
          <cell r="A279" t="str">
            <v>744008</v>
          </cell>
          <cell r="B279" t="str">
            <v>LIABRARY BOOKS -</v>
          </cell>
          <cell r="C279">
            <v>46</v>
          </cell>
        </row>
        <row r="280">
          <cell r="A280" t="str">
            <v>744010</v>
          </cell>
          <cell r="B280" t="str">
            <v>FURNITURE &amp; FIXTURE - MISC.</v>
          </cell>
          <cell r="C280">
            <v>6069.14</v>
          </cell>
        </row>
        <row r="281">
          <cell r="A281" t="str">
            <v>744012</v>
          </cell>
          <cell r="B281" t="str">
            <v>FURNITURE &amp; FIXTURE - STEEL</v>
          </cell>
          <cell r="C281">
            <v>2188</v>
          </cell>
        </row>
        <row r="282">
          <cell r="A282" t="str">
            <v>746001</v>
          </cell>
          <cell r="B282" t="str">
            <v>STOCK OF OFFICE STATIONERY</v>
          </cell>
          <cell r="C282">
            <v>1463.624</v>
          </cell>
        </row>
        <row r="283">
          <cell r="A283" t="str">
            <v>746002</v>
          </cell>
          <cell r="B283" t="str">
            <v>STOCK OF SECURITY STATIONER</v>
          </cell>
          <cell r="C283">
            <v>200.065</v>
          </cell>
        </row>
        <row r="284">
          <cell r="A284" t="str">
            <v>751021</v>
          </cell>
          <cell r="B284" t="str">
            <v>ADVANCE DEPOSITS - OVS. BRS</v>
          </cell>
          <cell r="C284">
            <v>200</v>
          </cell>
        </row>
        <row r="285">
          <cell r="A285" t="str">
            <v>751022</v>
          </cell>
          <cell r="B285" t="str">
            <v>ADVANCE DEPOSIT - CREDIT CA</v>
          </cell>
          <cell r="C285">
            <v>38394.288</v>
          </cell>
        </row>
        <row r="286">
          <cell r="A286" t="str">
            <v>761032</v>
          </cell>
          <cell r="B286" t="str">
            <v>SUNDRY DEBTORS - OTHERS</v>
          </cell>
          <cell r="C286">
            <v>4445.92</v>
          </cell>
        </row>
        <row r="287">
          <cell r="A287" t="str">
            <v>766001</v>
          </cell>
          <cell r="B287" t="str">
            <v>SUSP. A/C-DD CANCELLED</v>
          </cell>
          <cell r="C287">
            <v>-80.483000000000004</v>
          </cell>
        </row>
        <row r="288">
          <cell r="A288" t="str">
            <v>771001</v>
          </cell>
          <cell r="B288" t="str">
            <v>SUSP.A/C- CLEARING ADJUSTME</v>
          </cell>
          <cell r="C288">
            <v>722.70899999999995</v>
          </cell>
        </row>
        <row r="289">
          <cell r="A289" t="str">
            <v>771002</v>
          </cell>
          <cell r="B289" t="str">
            <v>SUSP.A/C CLRNG.ADJ.OTHERS</v>
          </cell>
          <cell r="C289">
            <v>-5571.4719999999998</v>
          </cell>
        </row>
        <row r="290">
          <cell r="A290" t="str">
            <v>772002</v>
          </cell>
          <cell r="B290" t="str">
            <v>PREPAIRED INSURANCE</v>
          </cell>
          <cell r="C290">
            <v>17833.536</v>
          </cell>
        </row>
        <row r="291">
          <cell r="A291" t="str">
            <v>772003</v>
          </cell>
          <cell r="B291" t="str">
            <v>PRE-PAID EXPENSES - OTHERS</v>
          </cell>
          <cell r="C291">
            <v>58429.254000000001</v>
          </cell>
        </row>
        <row r="292">
          <cell r="A292" t="str">
            <v>772011</v>
          </cell>
          <cell r="B292" t="str">
            <v>INTEREST ACCRUED ON ADVANCE</v>
          </cell>
          <cell r="C292">
            <v>119622.18799999999</v>
          </cell>
        </row>
        <row r="293">
          <cell r="A293" t="str">
            <v>772012</v>
          </cell>
          <cell r="B293" t="str">
            <v>INTEREST ACCRUED ON PLACEME</v>
          </cell>
          <cell r="C293">
            <v>16198.31</v>
          </cell>
        </row>
        <row r="294">
          <cell r="A294" t="str">
            <v>772017</v>
          </cell>
          <cell r="B294" t="str">
            <v>OTHER RECEIVABLES</v>
          </cell>
          <cell r="C294">
            <v>231962.965</v>
          </cell>
        </row>
        <row r="295">
          <cell r="A295" t="str">
            <v>773002</v>
          </cell>
          <cell r="B295" t="str">
            <v>OTHER ASSETS- ADV RENT PAID</v>
          </cell>
          <cell r="C295">
            <v>104091.57</v>
          </cell>
        </row>
        <row r="296">
          <cell r="A296" t="str">
            <v>774001</v>
          </cell>
          <cell r="B296" t="str">
            <v>OTHER ASSET-ADV.POSTAGE / T</v>
          </cell>
          <cell r="C296">
            <v>0</v>
          </cell>
        </row>
        <row r="297">
          <cell r="A297" t="str">
            <v>776006</v>
          </cell>
          <cell r="B297" t="str">
            <v>OTHER ASSETS A/C MARKUP REC</v>
          </cell>
          <cell r="C297">
            <v>-174.61600000000001</v>
          </cell>
        </row>
        <row r="298">
          <cell r="A298" t="str">
            <v>779001</v>
          </cell>
          <cell r="B298" t="str">
            <v>CASH IN TRANSIT</v>
          </cell>
          <cell r="C298">
            <v>0</v>
          </cell>
        </row>
        <row r="299">
          <cell r="A299" t="str">
            <v>779017</v>
          </cell>
          <cell r="B299" t="str">
            <v>O/A A/C TEZRAFTAR CASH EVEN</v>
          </cell>
          <cell r="C299">
            <v>12319.915000000001</v>
          </cell>
        </row>
        <row r="300">
          <cell r="A300" t="str">
            <v>785001</v>
          </cell>
          <cell r="B300" t="str">
            <v>OTHER ASSETS - MEND</v>
          </cell>
          <cell r="C300">
            <v>7245.51</v>
          </cell>
        </row>
        <row r="301">
          <cell r="A301" t="str">
            <v>795001</v>
          </cell>
          <cell r="B301" t="str">
            <v>PC &amp; SERVER -</v>
          </cell>
          <cell r="C301">
            <v>162415.69099999999</v>
          </cell>
        </row>
        <row r="302">
          <cell r="A302" t="str">
            <v>795002</v>
          </cell>
          <cell r="B302" t="str">
            <v>PRINTER/PERIPHERALS -</v>
          </cell>
          <cell r="C302">
            <v>4497.0200000000004</v>
          </cell>
        </row>
        <row r="303">
          <cell r="A303" t="str">
            <v>795003</v>
          </cell>
          <cell r="B303" t="str">
            <v>ELEC.EQIP. UPS/STABILIZER -</v>
          </cell>
          <cell r="C303">
            <v>52978.34</v>
          </cell>
        </row>
        <row r="304">
          <cell r="A304" t="str">
            <v>795004</v>
          </cell>
          <cell r="B304" t="str">
            <v>COMMUNICATION/NETWORKING</v>
          </cell>
          <cell r="C304">
            <v>19674.823</v>
          </cell>
        </row>
        <row r="305">
          <cell r="A305" t="str">
            <v>795005</v>
          </cell>
          <cell r="B305" t="str">
            <v>IT SOFTWARE</v>
          </cell>
          <cell r="C305">
            <v>72520.247000000003</v>
          </cell>
        </row>
        <row r="306">
          <cell r="A306" t="str">
            <v>821002</v>
          </cell>
          <cell r="B306" t="str">
            <v>FBC BILLS LODGED OUTWARD</v>
          </cell>
          <cell r="C306">
            <v>71351.998999999996</v>
          </cell>
        </row>
        <row r="307">
          <cell r="A307" t="str">
            <v>822007</v>
          </cell>
          <cell r="B307" t="str">
            <v>FOREIGN DOCUMENTARY BILLS L</v>
          </cell>
          <cell r="C307">
            <v>797220</v>
          </cell>
        </row>
        <row r="308">
          <cell r="A308" t="str">
            <v>822008</v>
          </cell>
          <cell r="B308" t="str">
            <v>FOREIGN DOCUMENTARY BILLS L</v>
          </cell>
          <cell r="C308">
            <v>152319</v>
          </cell>
        </row>
        <row r="309">
          <cell r="A309" t="str">
            <v>823003</v>
          </cell>
          <cell r="B309" t="str">
            <v>CURTOMER'S LIABILITY L.G.</v>
          </cell>
          <cell r="C309">
            <v>3767963</v>
          </cell>
        </row>
        <row r="310">
          <cell r="A310" t="str">
            <v>824003</v>
          </cell>
          <cell r="B310" t="str">
            <v>CUSTOMER LIABILITY L.C. (CA</v>
          </cell>
          <cell r="C310">
            <v>10251608.699999999</v>
          </cell>
        </row>
        <row r="311">
          <cell r="A311" t="str">
            <v>824004</v>
          </cell>
          <cell r="B311" t="str">
            <v>CUSTOMER LIABILITY L.C. (IC</v>
          </cell>
          <cell r="C311">
            <v>321437</v>
          </cell>
        </row>
        <row r="312">
          <cell r="A312" t="str">
            <v>829001</v>
          </cell>
          <cell r="B312" t="str">
            <v>CUST LIAB. L/C ACCEPTANCE</v>
          </cell>
          <cell r="C312">
            <v>526708</v>
          </cell>
        </row>
        <row r="313">
          <cell r="A313" t="str">
            <v>835001</v>
          </cell>
          <cell r="B313" t="str">
            <v>CUSTOMER LIABILITY NIDF</v>
          </cell>
          <cell r="C313">
            <v>49.140999999999998</v>
          </cell>
        </row>
        <row r="314">
          <cell r="A314" t="str">
            <v>842012</v>
          </cell>
          <cell r="B314" t="str">
            <v>MAIN OFFICE ACCOUNT - BD</v>
          </cell>
          <cell r="C314">
            <v>0</v>
          </cell>
        </row>
        <row r="315">
          <cell r="A315" t="str">
            <v>861001</v>
          </cell>
          <cell r="B315" t="str">
            <v>EXPENDITURE ACCOUNT</v>
          </cell>
          <cell r="C315">
            <v>597571.80700000003</v>
          </cell>
        </row>
        <row r="316">
          <cell r="A316" t="str">
            <v>911001</v>
          </cell>
          <cell r="B316" t="str">
            <v>AUTO CAR FINANCE</v>
          </cell>
          <cell r="C316">
            <v>30358.633999999998</v>
          </cell>
        </row>
        <row r="317">
          <cell r="A317" t="str">
            <v>913003</v>
          </cell>
          <cell r="B317" t="str">
            <v>DUE FM CARD MEM-MC CLASSIC</v>
          </cell>
          <cell r="C317">
            <v>-2417.0680000000002</v>
          </cell>
        </row>
        <row r="318">
          <cell r="A318" t="str">
            <v>913004</v>
          </cell>
          <cell r="B318" t="str">
            <v>DUE CARD MEM MC PREFERRED</v>
          </cell>
          <cell r="C318">
            <v>7451.8689999999997</v>
          </cell>
        </row>
        <row r="319">
          <cell r="A319" t="str">
            <v>915011</v>
          </cell>
          <cell r="B319" t="str">
            <v>ADVANCES CONSUMER-PIL FINAN</v>
          </cell>
          <cell r="C319">
            <v>15959732.25</v>
          </cell>
        </row>
        <row r="320">
          <cell r="A320" t="str">
            <v>921001</v>
          </cell>
          <cell r="B320" t="str">
            <v>ELECTRICAL &amp; OFFICE APPLIAN</v>
          </cell>
          <cell r="C320">
            <v>110146.291</v>
          </cell>
        </row>
        <row r="321">
          <cell r="A321" t="str">
            <v>922001</v>
          </cell>
          <cell r="B321" t="str">
            <v>VEHICLE OFFICE -</v>
          </cell>
          <cell r="C321">
            <v>27858</v>
          </cell>
        </row>
      </sheetData>
      <sheetData sheetId="4" refreshError="1"/>
      <sheetData sheetId="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 val="Range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Sheet3"/>
    </sheetNames>
    <sheetDataSet>
      <sheetData sheetId="0"/>
      <sheetData sheetId="1" refreshError="1">
        <row r="1">
          <cell r="B1" t="str">
            <v>Date:</v>
          </cell>
          <cell r="C1">
            <v>39262</v>
          </cell>
        </row>
        <row r="3">
          <cell r="B3" t="str">
            <v>Total Turnover</v>
          </cell>
          <cell r="D3">
            <v>447722144</v>
          </cell>
        </row>
        <row r="6">
          <cell r="B6" t="str">
            <v>KSE 100 INDEX</v>
          </cell>
        </row>
        <row r="7">
          <cell r="B7" t="str">
            <v>Open</v>
          </cell>
          <cell r="C7" t="str">
            <v>HIGH</v>
          </cell>
          <cell r="D7" t="str">
            <v>LOW</v>
          </cell>
          <cell r="E7" t="str">
            <v>CLOSE</v>
          </cell>
        </row>
        <row r="8">
          <cell r="B8">
            <v>13731.86</v>
          </cell>
          <cell r="C8">
            <v>13806.38</v>
          </cell>
          <cell r="D8">
            <v>13645.56</v>
          </cell>
          <cell r="E8">
            <v>13772.46</v>
          </cell>
          <cell r="F8">
            <v>40.599999999998545</v>
          </cell>
        </row>
        <row r="10">
          <cell r="B10" t="str">
            <v>CODE NO.</v>
          </cell>
          <cell r="C10" t="str">
            <v>NAME</v>
          </cell>
          <cell r="D10" t="str">
            <v>PRV CLOSE</v>
          </cell>
          <cell r="E10" t="str">
            <v>HIGH</v>
          </cell>
          <cell r="F10" t="str">
            <v>LOW</v>
          </cell>
          <cell r="G10" t="str">
            <v>CLOSE</v>
          </cell>
        </row>
        <row r="11">
          <cell r="B11" t="str">
            <v>SASM</v>
          </cell>
          <cell r="C11" t="str">
            <v>Saitex Spinning</v>
          </cell>
          <cell r="D11">
            <v>0.8</v>
          </cell>
          <cell r="E11">
            <v>0.85</v>
          </cell>
          <cell r="F11">
            <v>0.45</v>
          </cell>
          <cell r="G11">
            <v>0.85</v>
          </cell>
        </row>
        <row r="12">
          <cell r="B12" t="str">
            <v>FTSM</v>
          </cell>
          <cell r="C12" t="str">
            <v>Tri-Star 1st.</v>
          </cell>
          <cell r="D12">
            <v>0.95</v>
          </cell>
          <cell r="E12">
            <v>1.95</v>
          </cell>
          <cell r="F12">
            <v>1.5</v>
          </cell>
          <cell r="G12">
            <v>1.95</v>
          </cell>
        </row>
        <row r="13">
          <cell r="B13" t="str">
            <v>SSML</v>
          </cell>
          <cell r="C13" t="str">
            <v>Saritow Sp.</v>
          </cell>
          <cell r="D13">
            <v>2.75</v>
          </cell>
          <cell r="E13">
            <v>3.45</v>
          </cell>
          <cell r="F13">
            <v>2.5</v>
          </cell>
          <cell r="G13">
            <v>2.9</v>
          </cell>
        </row>
        <row r="14">
          <cell r="B14" t="str">
            <v>DBCIR</v>
          </cell>
          <cell r="C14" t="str">
            <v>Dadab.Cem(R)</v>
          </cell>
          <cell r="D14">
            <v>0.8</v>
          </cell>
          <cell r="E14">
            <v>0.9</v>
          </cell>
          <cell r="F14">
            <v>0.65</v>
          </cell>
          <cell r="G14">
            <v>0.65</v>
          </cell>
        </row>
        <row r="15">
          <cell r="B15" t="str">
            <v>TRPOL</v>
          </cell>
          <cell r="C15" t="str">
            <v>Tri-Star Poly</v>
          </cell>
          <cell r="D15">
            <v>2.2000000000000002</v>
          </cell>
          <cell r="E15">
            <v>3</v>
          </cell>
          <cell r="F15">
            <v>2.35</v>
          </cell>
          <cell r="G15">
            <v>3</v>
          </cell>
        </row>
        <row r="16">
          <cell r="B16" t="str">
            <v>TSMF</v>
          </cell>
          <cell r="C16" t="str">
            <v>Tri-Star Mutual</v>
          </cell>
          <cell r="D16">
            <v>2.4</v>
          </cell>
          <cell r="E16">
            <v>3</v>
          </cell>
          <cell r="F16">
            <v>2.2999999999999998</v>
          </cell>
          <cell r="G16">
            <v>3</v>
          </cell>
        </row>
        <row r="17">
          <cell r="B17" t="str">
            <v>BSML</v>
          </cell>
          <cell r="C17" t="str">
            <v>Baig Sp.</v>
          </cell>
          <cell r="D17">
            <v>2</v>
          </cell>
          <cell r="E17">
            <v>2</v>
          </cell>
          <cell r="F17">
            <v>1.5</v>
          </cell>
          <cell r="G17">
            <v>2</v>
          </cell>
        </row>
        <row r="18">
          <cell r="B18" t="str">
            <v>FRCL</v>
          </cell>
          <cell r="C18" t="str">
            <v>Frontier Ceramics</v>
          </cell>
          <cell r="D18">
            <v>4.6500000000000004</v>
          </cell>
          <cell r="E18">
            <v>5.6</v>
          </cell>
          <cell r="F18">
            <v>4.55</v>
          </cell>
          <cell r="G18">
            <v>5.4</v>
          </cell>
        </row>
        <row r="19">
          <cell r="B19" t="str">
            <v>ANLNCPS</v>
          </cell>
          <cell r="C19" t="str">
            <v>AzgN.ConP.8.95%</v>
          </cell>
          <cell r="D19">
            <v>7</v>
          </cell>
          <cell r="E19">
            <v>7.95</v>
          </cell>
          <cell r="F19">
            <v>6.55</v>
          </cell>
          <cell r="G19">
            <v>6.65</v>
          </cell>
        </row>
        <row r="20">
          <cell r="B20" t="str">
            <v>PMI</v>
          </cell>
          <cell r="C20" t="str">
            <v>Prud Mod.1st</v>
          </cell>
          <cell r="D20">
            <v>2</v>
          </cell>
          <cell r="E20">
            <v>2.15</v>
          </cell>
          <cell r="F20">
            <v>1.75</v>
          </cell>
          <cell r="G20">
            <v>1.9</v>
          </cell>
        </row>
        <row r="21">
          <cell r="B21" t="str">
            <v>PDGH</v>
          </cell>
          <cell r="C21" t="str">
            <v>P.D.G.House</v>
          </cell>
          <cell r="D21">
            <v>3.9</v>
          </cell>
          <cell r="E21">
            <v>4.6500000000000004</v>
          </cell>
          <cell r="F21">
            <v>3.9</v>
          </cell>
          <cell r="G21">
            <v>4.6500000000000004</v>
          </cell>
        </row>
        <row r="22">
          <cell r="B22" t="str">
            <v>MTIL</v>
          </cell>
          <cell r="C22" t="str">
            <v>Mian Textile</v>
          </cell>
          <cell r="D22">
            <v>3.9</v>
          </cell>
          <cell r="E22">
            <v>4.25</v>
          </cell>
          <cell r="F22">
            <v>3.5</v>
          </cell>
          <cell r="G22">
            <v>4.25</v>
          </cell>
        </row>
        <row r="23">
          <cell r="B23" t="str">
            <v>NBF</v>
          </cell>
          <cell r="C23" t="str">
            <v>NAMCO Balanced Fund</v>
          </cell>
          <cell r="D23">
            <v>9</v>
          </cell>
          <cell r="E23">
            <v>9.9499999999999993</v>
          </cell>
          <cell r="F23">
            <v>8.5</v>
          </cell>
          <cell r="G23">
            <v>9.75</v>
          </cell>
        </row>
        <row r="24">
          <cell r="B24" t="str">
            <v>COTT</v>
          </cell>
          <cell r="C24" t="str">
            <v>(Colony) Thal</v>
          </cell>
          <cell r="D24">
            <v>4.4000000000000004</v>
          </cell>
          <cell r="E24">
            <v>4.95</v>
          </cell>
          <cell r="F24">
            <v>4.3</v>
          </cell>
          <cell r="G24">
            <v>4.75</v>
          </cell>
        </row>
        <row r="25">
          <cell r="B25" t="str">
            <v>PRIC</v>
          </cell>
          <cell r="C25" t="str">
            <v>Progressive Ins.</v>
          </cell>
          <cell r="D25">
            <v>6.1</v>
          </cell>
          <cell r="E25">
            <v>6.7</v>
          </cell>
          <cell r="F25">
            <v>5.8</v>
          </cell>
          <cell r="G25">
            <v>6.5</v>
          </cell>
        </row>
        <row r="26">
          <cell r="B26" t="str">
            <v>PICL</v>
          </cell>
          <cell r="C26" t="str">
            <v>Pak.Com.Leas</v>
          </cell>
          <cell r="D26">
            <v>2.4</v>
          </cell>
          <cell r="E26">
            <v>2.4500000000000002</v>
          </cell>
          <cell r="F26">
            <v>2.1</v>
          </cell>
          <cell r="G26">
            <v>2.1</v>
          </cell>
        </row>
        <row r="27">
          <cell r="B27" t="str">
            <v>NICL</v>
          </cell>
          <cell r="C27" t="str">
            <v>Nimir Ind.Chem.</v>
          </cell>
          <cell r="D27">
            <v>4.2</v>
          </cell>
          <cell r="E27">
            <v>4.6500000000000004</v>
          </cell>
          <cell r="F27">
            <v>4.05</v>
          </cell>
          <cell r="G27">
            <v>4.5</v>
          </cell>
        </row>
        <row r="28">
          <cell r="B28" t="str">
            <v>ASHT</v>
          </cell>
          <cell r="C28" t="str">
            <v>Ashfaq Textile</v>
          </cell>
          <cell r="D28">
            <v>6.4</v>
          </cell>
          <cell r="E28">
            <v>7.4</v>
          </cell>
          <cell r="F28">
            <v>6.5</v>
          </cell>
          <cell r="G28">
            <v>7.4</v>
          </cell>
        </row>
        <row r="29">
          <cell r="B29" t="str">
            <v>FIM</v>
          </cell>
          <cell r="C29" t="str">
            <v>First Invest Mod</v>
          </cell>
          <cell r="D29">
            <v>4.25</v>
          </cell>
          <cell r="E29">
            <v>5.25</v>
          </cell>
          <cell r="F29">
            <v>4.7</v>
          </cell>
          <cell r="G29">
            <v>5.25</v>
          </cell>
        </row>
        <row r="30">
          <cell r="B30" t="str">
            <v>GENP</v>
          </cell>
          <cell r="C30" t="str">
            <v>Genertech</v>
          </cell>
          <cell r="D30">
            <v>3.5</v>
          </cell>
          <cell r="E30">
            <v>3.5</v>
          </cell>
          <cell r="F30">
            <v>3.05</v>
          </cell>
          <cell r="G30">
            <v>3.05</v>
          </cell>
        </row>
        <row r="31">
          <cell r="B31" t="str">
            <v>DSML</v>
          </cell>
          <cell r="C31" t="str">
            <v>Dar-es-Salaam</v>
          </cell>
          <cell r="D31">
            <v>7.5</v>
          </cell>
          <cell r="E31">
            <v>8.3000000000000007</v>
          </cell>
          <cell r="F31">
            <v>7.35</v>
          </cell>
          <cell r="G31">
            <v>7.75</v>
          </cell>
        </row>
        <row r="32">
          <cell r="B32" t="str">
            <v>GAIL</v>
          </cell>
          <cell r="C32" t="str">
            <v>Ghani Automobile</v>
          </cell>
          <cell r="D32">
            <v>11.5</v>
          </cell>
          <cell r="E32">
            <v>12.45</v>
          </cell>
          <cell r="F32">
            <v>11</v>
          </cell>
          <cell r="G32">
            <v>12</v>
          </cell>
        </row>
        <row r="33">
          <cell r="B33" t="str">
            <v>INMF</v>
          </cell>
          <cell r="C33" t="str">
            <v>Inve Mut.Fund</v>
          </cell>
          <cell r="D33">
            <v>1.2</v>
          </cell>
          <cell r="E33">
            <v>1.3</v>
          </cell>
          <cell r="F33">
            <v>1.1499999999999999</v>
          </cell>
          <cell r="G33">
            <v>1.2</v>
          </cell>
        </row>
        <row r="34">
          <cell r="B34" t="str">
            <v>SGPL</v>
          </cell>
          <cell r="C34" t="str">
            <v>S.G.Power</v>
          </cell>
          <cell r="D34">
            <v>4.2</v>
          </cell>
          <cell r="E34">
            <v>3.8</v>
          </cell>
          <cell r="F34">
            <v>3.3</v>
          </cell>
          <cell r="G34">
            <v>3.8</v>
          </cell>
        </row>
        <row r="35">
          <cell r="B35" t="str">
            <v>TSBL</v>
          </cell>
          <cell r="C35" t="str">
            <v>Trust Brokerage</v>
          </cell>
          <cell r="D35">
            <v>8.5</v>
          </cell>
          <cell r="E35">
            <v>9.5</v>
          </cell>
          <cell r="F35">
            <v>8.5</v>
          </cell>
          <cell r="G35">
            <v>9.4499999999999993</v>
          </cell>
        </row>
        <row r="36">
          <cell r="B36" t="str">
            <v>DWAE</v>
          </cell>
          <cell r="C36" t="str">
            <v>Dewan Auto Engg</v>
          </cell>
          <cell r="D36">
            <v>7</v>
          </cell>
          <cell r="E36">
            <v>6.8</v>
          </cell>
          <cell r="F36">
            <v>6</v>
          </cell>
          <cell r="G36">
            <v>6.2</v>
          </cell>
        </row>
        <row r="37">
          <cell r="B37" t="str">
            <v>JKSM</v>
          </cell>
          <cell r="C37" t="str">
            <v>J.K.Spinning</v>
          </cell>
          <cell r="D37">
            <v>12.9</v>
          </cell>
          <cell r="E37">
            <v>13.45</v>
          </cell>
          <cell r="F37">
            <v>12</v>
          </cell>
          <cell r="G37">
            <v>13.35</v>
          </cell>
        </row>
        <row r="38">
          <cell r="B38" t="str">
            <v>MUKT</v>
          </cell>
          <cell r="C38" t="str">
            <v>Mukhtar Textile</v>
          </cell>
          <cell r="D38">
            <v>3.15</v>
          </cell>
          <cell r="E38">
            <v>3.25</v>
          </cell>
          <cell r="F38">
            <v>2.9</v>
          </cell>
          <cell r="G38">
            <v>2.9</v>
          </cell>
        </row>
        <row r="39">
          <cell r="B39" t="str">
            <v>FUDLM</v>
          </cell>
          <cell r="C39" t="str">
            <v>U.D.L.Mod.</v>
          </cell>
          <cell r="D39">
            <v>5.45</v>
          </cell>
          <cell r="E39">
            <v>5.75</v>
          </cell>
          <cell r="F39">
            <v>5.15</v>
          </cell>
          <cell r="G39">
            <v>5.6</v>
          </cell>
        </row>
        <row r="40">
          <cell r="B40" t="str">
            <v>PIAA-JUN</v>
          </cell>
          <cell r="C40" t="str">
            <v>PIAA-JUN</v>
          </cell>
          <cell r="D40">
            <v>7.4</v>
          </cell>
          <cell r="E40">
            <v>8.4</v>
          </cell>
          <cell r="F40">
            <v>7.6</v>
          </cell>
          <cell r="G40">
            <v>8.4</v>
          </cell>
        </row>
        <row r="41">
          <cell r="B41" t="str">
            <v>GAEL</v>
          </cell>
          <cell r="C41" t="str">
            <v>Gauhar Engg Ltd</v>
          </cell>
          <cell r="D41">
            <v>1.85</v>
          </cell>
          <cell r="E41">
            <v>2</v>
          </cell>
          <cell r="F41">
            <v>1.8</v>
          </cell>
          <cell r="G41">
            <v>1.8</v>
          </cell>
        </row>
        <row r="42">
          <cell r="B42" t="str">
            <v>PKGI</v>
          </cell>
          <cell r="C42" t="str">
            <v>Pak Gen.Ins</v>
          </cell>
          <cell r="D42">
            <v>10.45</v>
          </cell>
          <cell r="E42">
            <v>10.55</v>
          </cell>
          <cell r="F42">
            <v>9.4499999999999993</v>
          </cell>
          <cell r="G42">
            <v>9.4499999999999993</v>
          </cell>
        </row>
        <row r="43">
          <cell r="B43" t="str">
            <v>PIAA</v>
          </cell>
          <cell r="C43" t="str">
            <v>P.I.A.C.(A)</v>
          </cell>
          <cell r="D43">
            <v>7.35</v>
          </cell>
          <cell r="E43">
            <v>8.35</v>
          </cell>
          <cell r="F43">
            <v>7.6</v>
          </cell>
          <cell r="G43">
            <v>8.35</v>
          </cell>
        </row>
        <row r="44">
          <cell r="B44" t="str">
            <v>CFL</v>
          </cell>
          <cell r="C44" t="str">
            <v>Crescent Fibres Ltd.</v>
          </cell>
          <cell r="D44">
            <v>15.35</v>
          </cell>
          <cell r="E44">
            <v>16.350000000000001</v>
          </cell>
          <cell r="F44">
            <v>14.8</v>
          </cell>
          <cell r="G44">
            <v>15.55</v>
          </cell>
        </row>
        <row r="45">
          <cell r="B45" t="str">
            <v>SRTL</v>
          </cell>
          <cell r="C45" t="str">
            <v>Sahrish Tex.</v>
          </cell>
          <cell r="D45">
            <v>1.5</v>
          </cell>
          <cell r="E45">
            <v>1.1499999999999999</v>
          </cell>
          <cell r="F45">
            <v>1</v>
          </cell>
          <cell r="G45">
            <v>1.1499999999999999</v>
          </cell>
        </row>
        <row r="46">
          <cell r="B46" t="str">
            <v>POAF</v>
          </cell>
          <cell r="C46" t="str">
            <v>Pak Oman Advantage</v>
          </cell>
          <cell r="D46">
            <v>9.5</v>
          </cell>
          <cell r="E46">
            <v>10.45</v>
          </cell>
          <cell r="F46">
            <v>9.5</v>
          </cell>
          <cell r="G46">
            <v>10.45</v>
          </cell>
        </row>
        <row r="47">
          <cell r="B47" t="str">
            <v>FFLM</v>
          </cell>
          <cell r="C47" t="str">
            <v>1st.Fid.Leasing</v>
          </cell>
          <cell r="D47">
            <v>7.05</v>
          </cell>
          <cell r="E47">
            <v>7.45</v>
          </cell>
          <cell r="F47">
            <v>6.75</v>
          </cell>
          <cell r="G47">
            <v>7.45</v>
          </cell>
        </row>
        <row r="48">
          <cell r="B48" t="str">
            <v>FEM</v>
          </cell>
          <cell r="C48" t="str">
            <v>Equity Mod.</v>
          </cell>
          <cell r="D48">
            <v>4.55</v>
          </cell>
          <cell r="E48">
            <v>5</v>
          </cell>
          <cell r="F48">
            <v>4.55</v>
          </cell>
          <cell r="G48">
            <v>4.8</v>
          </cell>
        </row>
        <row r="49">
          <cell r="B49" t="str">
            <v>DSIL</v>
          </cell>
          <cell r="C49" t="str">
            <v>D.S.Ind.Ltd.</v>
          </cell>
          <cell r="D49">
            <v>36.9</v>
          </cell>
          <cell r="E49">
            <v>38.700000000000003</v>
          </cell>
          <cell r="F49">
            <v>35.1</v>
          </cell>
          <cell r="G49">
            <v>38.700000000000003</v>
          </cell>
        </row>
        <row r="50">
          <cell r="B50" t="str">
            <v>IHFL</v>
          </cell>
          <cell r="C50" t="str">
            <v>Int.Housing Fin.</v>
          </cell>
          <cell r="D50">
            <v>20.9</v>
          </cell>
          <cell r="E50">
            <v>21.9</v>
          </cell>
          <cell r="F50">
            <v>19.899999999999999</v>
          </cell>
          <cell r="G50">
            <v>21.9</v>
          </cell>
        </row>
        <row r="51">
          <cell r="B51" t="str">
            <v>PIAA-JUL</v>
          </cell>
          <cell r="C51" t="str">
            <v>PIAA-JUL</v>
          </cell>
          <cell r="D51">
            <v>7.5</v>
          </cell>
          <cell r="E51">
            <v>8.5</v>
          </cell>
          <cell r="F51">
            <v>7.8</v>
          </cell>
          <cell r="G51">
            <v>8.5</v>
          </cell>
        </row>
        <row r="52">
          <cell r="B52" t="str">
            <v>PASL</v>
          </cell>
          <cell r="C52" t="str">
            <v>Pervez Ahmed Sec.</v>
          </cell>
          <cell r="D52">
            <v>21.65</v>
          </cell>
          <cell r="E52">
            <v>22.7</v>
          </cell>
          <cell r="F52">
            <v>20.7</v>
          </cell>
          <cell r="G52">
            <v>22.7</v>
          </cell>
        </row>
        <row r="53">
          <cell r="B53" t="str">
            <v>AZLM</v>
          </cell>
          <cell r="C53" t="str">
            <v>AL-Zamin Mod.</v>
          </cell>
          <cell r="D53">
            <v>9.25</v>
          </cell>
          <cell r="E53">
            <v>9.9</v>
          </cell>
          <cell r="F53">
            <v>9.0500000000000007</v>
          </cell>
          <cell r="G53">
            <v>9.0500000000000007</v>
          </cell>
        </row>
        <row r="54">
          <cell r="B54" t="str">
            <v>FECM</v>
          </cell>
          <cell r="C54" t="str">
            <v>Elite Cap.Mod</v>
          </cell>
          <cell r="D54">
            <v>4.4000000000000004</v>
          </cell>
          <cell r="E54">
            <v>4.4000000000000004</v>
          </cell>
          <cell r="F54">
            <v>4</v>
          </cell>
          <cell r="G54">
            <v>4.3</v>
          </cell>
        </row>
        <row r="55">
          <cell r="B55" t="str">
            <v>QUICE</v>
          </cell>
          <cell r="C55" t="str">
            <v>Quice Food</v>
          </cell>
          <cell r="D55">
            <v>4.4000000000000004</v>
          </cell>
          <cell r="E55">
            <v>4.5999999999999996</v>
          </cell>
          <cell r="F55">
            <v>4.2</v>
          </cell>
          <cell r="G55">
            <v>4.5999999999999996</v>
          </cell>
        </row>
        <row r="56">
          <cell r="B56" t="str">
            <v>PSEL</v>
          </cell>
          <cell r="C56" t="str">
            <v>Pak.Services</v>
          </cell>
          <cell r="D56">
            <v>444</v>
          </cell>
          <cell r="E56">
            <v>466</v>
          </cell>
          <cell r="F56">
            <v>426</v>
          </cell>
          <cell r="G56">
            <v>466</v>
          </cell>
        </row>
        <row r="57">
          <cell r="B57" t="str">
            <v>SEL</v>
          </cell>
          <cell r="C57" t="str">
            <v>Sitara Energy</v>
          </cell>
          <cell r="D57">
            <v>28.35</v>
          </cell>
          <cell r="E57">
            <v>29.75</v>
          </cell>
          <cell r="F57">
            <v>27.2</v>
          </cell>
          <cell r="G57">
            <v>27.2</v>
          </cell>
        </row>
        <row r="58">
          <cell r="B58" t="str">
            <v>MODAM</v>
          </cell>
          <cell r="C58" t="str">
            <v>Mod.Al-Mali</v>
          </cell>
          <cell r="D58">
            <v>8.9499999999999993</v>
          </cell>
          <cell r="E58">
            <v>9.35</v>
          </cell>
          <cell r="F58">
            <v>8.5500000000000007</v>
          </cell>
          <cell r="G58">
            <v>9</v>
          </cell>
        </row>
        <row r="59">
          <cell r="B59" t="str">
            <v>IIBL</v>
          </cell>
          <cell r="C59" t="str">
            <v>Islamic Bank</v>
          </cell>
          <cell r="D59">
            <v>5.0999999999999996</v>
          </cell>
          <cell r="E59">
            <v>5.45</v>
          </cell>
          <cell r="F59">
            <v>5</v>
          </cell>
          <cell r="G59">
            <v>5.25</v>
          </cell>
        </row>
        <row r="60">
          <cell r="B60" t="str">
            <v>JOVC</v>
          </cell>
          <cell r="C60" t="str">
            <v>J.O.V.&amp; CO.</v>
          </cell>
          <cell r="D60">
            <v>224.05</v>
          </cell>
          <cell r="E60">
            <v>235.25</v>
          </cell>
          <cell r="F60">
            <v>216.05</v>
          </cell>
          <cell r="G60">
            <v>233.5</v>
          </cell>
        </row>
        <row r="61">
          <cell r="B61" t="str">
            <v>SZTM</v>
          </cell>
          <cell r="C61" t="str">
            <v>Shahzad Tex</v>
          </cell>
          <cell r="D61">
            <v>12</v>
          </cell>
          <cell r="E61">
            <v>13</v>
          </cell>
          <cell r="F61">
            <v>12</v>
          </cell>
          <cell r="G61">
            <v>13</v>
          </cell>
        </row>
        <row r="62">
          <cell r="B62" t="str">
            <v>UNTM</v>
          </cell>
          <cell r="C62" t="str">
            <v>Unity Mod.</v>
          </cell>
          <cell r="D62">
            <v>0.6</v>
          </cell>
          <cell r="E62">
            <v>0.6</v>
          </cell>
          <cell r="F62">
            <v>0.55000000000000004</v>
          </cell>
          <cell r="G62">
            <v>0.6</v>
          </cell>
        </row>
        <row r="63">
          <cell r="B63" t="str">
            <v>DFSM</v>
          </cell>
          <cell r="C63" t="str">
            <v>Dewan Farooque Sp.</v>
          </cell>
          <cell r="D63">
            <v>9.0500000000000007</v>
          </cell>
          <cell r="E63">
            <v>9</v>
          </cell>
          <cell r="F63">
            <v>8.25</v>
          </cell>
          <cell r="G63">
            <v>8.9499999999999993</v>
          </cell>
        </row>
        <row r="64">
          <cell r="B64" t="str">
            <v>MACFL</v>
          </cell>
          <cell r="C64" t="str">
            <v>MACPAC Films</v>
          </cell>
          <cell r="D64">
            <v>16.350000000000001</v>
          </cell>
          <cell r="E64">
            <v>17.350000000000001</v>
          </cell>
          <cell r="F64">
            <v>16</v>
          </cell>
          <cell r="G64">
            <v>16.899999999999999</v>
          </cell>
        </row>
        <row r="65">
          <cell r="B65" t="str">
            <v>CSMD</v>
          </cell>
          <cell r="C65" t="str">
            <v>Crescent Sugar</v>
          </cell>
          <cell r="D65">
            <v>10.9</v>
          </cell>
          <cell r="E65">
            <v>11.9</v>
          </cell>
          <cell r="F65">
            <v>11</v>
          </cell>
          <cell r="G65">
            <v>11.9</v>
          </cell>
        </row>
        <row r="66">
          <cell r="B66" t="str">
            <v>ANL</v>
          </cell>
          <cell r="C66" t="str">
            <v>Azgard NineXD</v>
          </cell>
          <cell r="D66">
            <v>50.3</v>
          </cell>
          <cell r="E66">
            <v>52.8</v>
          </cell>
          <cell r="F66">
            <v>48.65</v>
          </cell>
          <cell r="G66">
            <v>52.8</v>
          </cell>
        </row>
        <row r="67">
          <cell r="B67" t="str">
            <v>SNL</v>
          </cell>
          <cell r="C67" t="str">
            <v>Southern Network</v>
          </cell>
          <cell r="D67">
            <v>9.1</v>
          </cell>
          <cell r="E67">
            <v>9.3000000000000007</v>
          </cell>
          <cell r="F67">
            <v>8.5500000000000007</v>
          </cell>
          <cell r="G67">
            <v>8.85</v>
          </cell>
        </row>
        <row r="68">
          <cell r="B68" t="str">
            <v>SKRS</v>
          </cell>
          <cell r="C68" t="str">
            <v>Sakrand Sugar</v>
          </cell>
          <cell r="D68">
            <v>2.5499999999999998</v>
          </cell>
          <cell r="E68">
            <v>2.7</v>
          </cell>
          <cell r="F68">
            <v>2.5</v>
          </cell>
          <cell r="G68">
            <v>2.5</v>
          </cell>
        </row>
        <row r="69">
          <cell r="B69" t="str">
            <v>FMHM</v>
          </cell>
          <cell r="C69" t="str">
            <v>Mehran Mod.</v>
          </cell>
          <cell r="D69">
            <v>3.2</v>
          </cell>
          <cell r="E69">
            <v>3.15</v>
          </cell>
          <cell r="F69">
            <v>2.9</v>
          </cell>
          <cell r="G69">
            <v>2.9</v>
          </cell>
        </row>
        <row r="70">
          <cell r="B70" t="str">
            <v>NLRL</v>
          </cell>
          <cell r="C70" t="str">
            <v>Natover Lease</v>
          </cell>
          <cell r="D70">
            <v>9</v>
          </cell>
          <cell r="E70">
            <v>9.6999999999999993</v>
          </cell>
          <cell r="F70">
            <v>9</v>
          </cell>
          <cell r="G70">
            <v>9.6999999999999993</v>
          </cell>
        </row>
        <row r="71">
          <cell r="B71" t="str">
            <v>HIRAT</v>
          </cell>
          <cell r="C71" t="str">
            <v>Hira Textile Mills</v>
          </cell>
          <cell r="D71">
            <v>9.75</v>
          </cell>
          <cell r="E71">
            <v>10</v>
          </cell>
          <cell r="F71">
            <v>9.25</v>
          </cell>
          <cell r="G71">
            <v>10</v>
          </cell>
        </row>
        <row r="72">
          <cell r="B72" t="str">
            <v>KESC</v>
          </cell>
          <cell r="C72" t="str">
            <v>K.E.S.C.</v>
          </cell>
          <cell r="D72">
            <v>6.5</v>
          </cell>
          <cell r="E72">
            <v>6.95</v>
          </cell>
          <cell r="F72">
            <v>6.45</v>
          </cell>
          <cell r="G72">
            <v>6.75</v>
          </cell>
        </row>
        <row r="73">
          <cell r="B73" t="str">
            <v>KESC-JUL</v>
          </cell>
          <cell r="C73" t="str">
            <v>KESC-JUL</v>
          </cell>
          <cell r="D73">
            <v>6.56</v>
          </cell>
          <cell r="E73">
            <v>7</v>
          </cell>
          <cell r="F73">
            <v>6.5</v>
          </cell>
          <cell r="G73">
            <v>6.85</v>
          </cell>
        </row>
        <row r="74">
          <cell r="B74" t="str">
            <v>KOHP</v>
          </cell>
          <cell r="C74" t="str">
            <v>Kohinoor Power</v>
          </cell>
          <cell r="D74">
            <v>4.5999999999999996</v>
          </cell>
          <cell r="E74">
            <v>4.75</v>
          </cell>
          <cell r="F74">
            <v>4.4000000000000004</v>
          </cell>
          <cell r="G74">
            <v>4.5</v>
          </cell>
        </row>
        <row r="75">
          <cell r="B75" t="str">
            <v>NETSOL</v>
          </cell>
          <cell r="C75" t="str">
            <v>Netsol Technologies</v>
          </cell>
          <cell r="D75">
            <v>72</v>
          </cell>
          <cell r="E75">
            <v>75.599999999999994</v>
          </cell>
          <cell r="F75">
            <v>70.2</v>
          </cell>
          <cell r="G75">
            <v>75.599999999999994</v>
          </cell>
        </row>
        <row r="76">
          <cell r="B76" t="str">
            <v>AABS</v>
          </cell>
          <cell r="C76" t="str">
            <v>AL-Abbas Sugur</v>
          </cell>
          <cell r="D76">
            <v>63.65</v>
          </cell>
          <cell r="E76">
            <v>66.75</v>
          </cell>
          <cell r="F76">
            <v>62</v>
          </cell>
          <cell r="G76">
            <v>64</v>
          </cell>
        </row>
        <row r="77">
          <cell r="B77" t="str">
            <v>NORT</v>
          </cell>
          <cell r="C77" t="str">
            <v>Norrie Tex.</v>
          </cell>
          <cell r="D77">
            <v>2.7</v>
          </cell>
          <cell r="E77">
            <v>2.8</v>
          </cell>
          <cell r="F77">
            <v>2.6</v>
          </cell>
          <cell r="G77">
            <v>2.65</v>
          </cell>
        </row>
        <row r="78">
          <cell r="B78" t="str">
            <v>NAZC</v>
          </cell>
          <cell r="C78" t="str">
            <v>Nazir Cotton</v>
          </cell>
          <cell r="D78">
            <v>2.0499999999999998</v>
          </cell>
          <cell r="E78">
            <v>2.0499999999999998</v>
          </cell>
          <cell r="F78">
            <v>1.9</v>
          </cell>
          <cell r="G78">
            <v>2.0499999999999998</v>
          </cell>
        </row>
        <row r="79">
          <cell r="B79" t="str">
            <v>ATIL</v>
          </cell>
          <cell r="C79" t="str">
            <v>Atlas Insurance</v>
          </cell>
          <cell r="D79">
            <v>130</v>
          </cell>
          <cell r="E79">
            <v>133</v>
          </cell>
          <cell r="F79">
            <v>123.5</v>
          </cell>
          <cell r="G79">
            <v>130</v>
          </cell>
        </row>
        <row r="80">
          <cell r="B80" t="str">
            <v>MTLA</v>
          </cell>
          <cell r="C80" t="str">
            <v>Metro Life</v>
          </cell>
          <cell r="D80">
            <v>10.95</v>
          </cell>
          <cell r="E80">
            <v>10.8</v>
          </cell>
          <cell r="F80">
            <v>10</v>
          </cell>
          <cell r="G80">
            <v>10.8</v>
          </cell>
        </row>
        <row r="81">
          <cell r="B81" t="str">
            <v>FZTM</v>
          </cell>
          <cell r="C81" t="str">
            <v>Fazal Textile</v>
          </cell>
          <cell r="D81">
            <v>267</v>
          </cell>
          <cell r="E81">
            <v>278.5</v>
          </cell>
          <cell r="F81">
            <v>259</v>
          </cell>
          <cell r="G81">
            <v>278.5</v>
          </cell>
        </row>
        <row r="82">
          <cell r="B82" t="str">
            <v>SARD</v>
          </cell>
          <cell r="C82" t="str">
            <v>Sardar Chemical</v>
          </cell>
          <cell r="D82">
            <v>3.45</v>
          </cell>
          <cell r="E82">
            <v>3.5</v>
          </cell>
          <cell r="F82">
            <v>3.25</v>
          </cell>
          <cell r="G82">
            <v>3.3</v>
          </cell>
        </row>
        <row r="83">
          <cell r="B83" t="str">
            <v>DCL</v>
          </cell>
          <cell r="C83" t="str">
            <v>Dewan Cement</v>
          </cell>
          <cell r="D83">
            <v>16.649999999999999</v>
          </cell>
          <cell r="E83">
            <v>17.649999999999999</v>
          </cell>
          <cell r="F83">
            <v>16.45</v>
          </cell>
          <cell r="G83">
            <v>17.350000000000001</v>
          </cell>
        </row>
        <row r="84">
          <cell r="B84" t="str">
            <v>DSFL</v>
          </cell>
          <cell r="C84" t="str">
            <v>Dewan Salman</v>
          </cell>
          <cell r="D84">
            <v>10.6</v>
          </cell>
          <cell r="E84">
            <v>10.9</v>
          </cell>
          <cell r="F84">
            <v>10.15</v>
          </cell>
          <cell r="G84">
            <v>10.55</v>
          </cell>
        </row>
        <row r="85">
          <cell r="B85" t="str">
            <v>SHNI</v>
          </cell>
          <cell r="C85" t="str">
            <v>Shaheen Insurance</v>
          </cell>
          <cell r="D85">
            <v>82.05</v>
          </cell>
          <cell r="E85">
            <v>86</v>
          </cell>
          <cell r="F85">
            <v>80.2</v>
          </cell>
          <cell r="G85">
            <v>86</v>
          </cell>
        </row>
        <row r="86">
          <cell r="B86" t="str">
            <v>FDMF</v>
          </cell>
          <cell r="C86" t="str">
            <v>F. Daw.Mut.Fund</v>
          </cell>
          <cell r="D86">
            <v>8.5</v>
          </cell>
          <cell r="E86">
            <v>9</v>
          </cell>
          <cell r="F86">
            <v>8.4</v>
          </cell>
          <cell r="G86">
            <v>9</v>
          </cell>
        </row>
        <row r="87">
          <cell r="B87" t="str">
            <v>PICT</v>
          </cell>
          <cell r="C87" t="str">
            <v>Pak.Int.Con.Ter.</v>
          </cell>
          <cell r="D87">
            <v>80.8</v>
          </cell>
          <cell r="E87">
            <v>84.8</v>
          </cell>
          <cell r="F87">
            <v>79.099999999999994</v>
          </cell>
          <cell r="G87">
            <v>84.8</v>
          </cell>
        </row>
        <row r="88">
          <cell r="B88" t="str">
            <v>DSFL-JUN</v>
          </cell>
          <cell r="C88" t="str">
            <v>DSFL-JUN</v>
          </cell>
          <cell r="D88">
            <v>10.65</v>
          </cell>
          <cell r="E88">
            <v>10.85</v>
          </cell>
          <cell r="F88">
            <v>10.1</v>
          </cell>
          <cell r="G88">
            <v>10.45</v>
          </cell>
        </row>
        <row r="89">
          <cell r="B89" t="str">
            <v>TELE-JUL</v>
          </cell>
          <cell r="C89" t="str">
            <v>TELE-JUL</v>
          </cell>
          <cell r="D89">
            <v>12.2</v>
          </cell>
          <cell r="E89">
            <v>13.2</v>
          </cell>
          <cell r="F89">
            <v>12.35</v>
          </cell>
          <cell r="G89">
            <v>13.2</v>
          </cell>
        </row>
        <row r="90">
          <cell r="B90" t="str">
            <v>KESC-JUN</v>
          </cell>
          <cell r="C90" t="str">
            <v>KESC-JUN</v>
          </cell>
          <cell r="D90">
            <v>6.5</v>
          </cell>
          <cell r="E90">
            <v>6.85</v>
          </cell>
          <cell r="F90">
            <v>6.4</v>
          </cell>
          <cell r="G90">
            <v>6.8</v>
          </cell>
        </row>
        <row r="91">
          <cell r="B91" t="str">
            <v>MYBL</v>
          </cell>
          <cell r="C91" t="str">
            <v>Mybank Ltd</v>
          </cell>
          <cell r="D91">
            <v>29</v>
          </cell>
          <cell r="E91">
            <v>30</v>
          </cell>
          <cell r="F91">
            <v>28</v>
          </cell>
          <cell r="G91">
            <v>29.9</v>
          </cell>
        </row>
        <row r="92">
          <cell r="B92" t="str">
            <v>CSAP</v>
          </cell>
          <cell r="C92" t="str">
            <v>Crescent Steel</v>
          </cell>
          <cell r="D92">
            <v>70.45</v>
          </cell>
          <cell r="E92">
            <v>72.5</v>
          </cell>
          <cell r="F92">
            <v>67.75</v>
          </cell>
          <cell r="G92">
            <v>71</v>
          </cell>
        </row>
        <row r="93">
          <cell r="B93" t="str">
            <v>SANSM</v>
          </cell>
          <cell r="C93" t="str">
            <v>Sanghar Sugar</v>
          </cell>
          <cell r="D93">
            <v>9</v>
          </cell>
          <cell r="E93">
            <v>9</v>
          </cell>
          <cell r="F93">
            <v>8.4</v>
          </cell>
          <cell r="G93">
            <v>9</v>
          </cell>
        </row>
        <row r="94">
          <cell r="B94" t="str">
            <v>APL</v>
          </cell>
          <cell r="C94" t="str">
            <v>Attock Petroleum</v>
          </cell>
          <cell r="D94">
            <v>477.5</v>
          </cell>
          <cell r="E94">
            <v>501.35</v>
          </cell>
          <cell r="F94">
            <v>470</v>
          </cell>
          <cell r="G94">
            <v>501.35</v>
          </cell>
        </row>
        <row r="95">
          <cell r="B95" t="str">
            <v>DSFL-JUL</v>
          </cell>
          <cell r="C95" t="str">
            <v>DSFL-JUL</v>
          </cell>
          <cell r="D95">
            <v>10.7</v>
          </cell>
          <cell r="E95">
            <v>11</v>
          </cell>
          <cell r="F95">
            <v>10.3</v>
          </cell>
          <cell r="G95">
            <v>10.65</v>
          </cell>
        </row>
        <row r="96">
          <cell r="B96" t="str">
            <v>DHCL</v>
          </cell>
          <cell r="C96" t="str">
            <v>Dewan Hattar Ce</v>
          </cell>
          <cell r="D96">
            <v>12.5</v>
          </cell>
          <cell r="E96">
            <v>13.2</v>
          </cell>
          <cell r="F96">
            <v>12.4</v>
          </cell>
          <cell r="G96">
            <v>12.8</v>
          </cell>
        </row>
        <row r="97">
          <cell r="B97" t="str">
            <v>ALICO</v>
          </cell>
          <cell r="C97" t="str">
            <v>American Life</v>
          </cell>
          <cell r="D97">
            <v>46.9</v>
          </cell>
          <cell r="E97">
            <v>49.2</v>
          </cell>
          <cell r="F97">
            <v>46.2</v>
          </cell>
          <cell r="G97">
            <v>46.2</v>
          </cell>
        </row>
        <row r="98">
          <cell r="B98" t="str">
            <v>BIPL</v>
          </cell>
          <cell r="C98" t="str">
            <v>Bankislami Pak</v>
          </cell>
          <cell r="D98">
            <v>15</v>
          </cell>
          <cell r="E98">
            <v>15.25</v>
          </cell>
          <cell r="F98">
            <v>14.3</v>
          </cell>
          <cell r="G98">
            <v>14.95</v>
          </cell>
        </row>
        <row r="99">
          <cell r="B99" t="str">
            <v>TELE-JUN</v>
          </cell>
          <cell r="C99" t="str">
            <v>TELE-JUN</v>
          </cell>
          <cell r="D99">
            <v>12</v>
          </cell>
          <cell r="E99">
            <v>13</v>
          </cell>
          <cell r="F99">
            <v>12.25</v>
          </cell>
          <cell r="G99">
            <v>13</v>
          </cell>
        </row>
        <row r="100">
          <cell r="B100" t="str">
            <v>CHBL</v>
          </cell>
          <cell r="C100" t="str">
            <v>Chenab Limited</v>
          </cell>
          <cell r="D100">
            <v>15.2</v>
          </cell>
          <cell r="E100">
            <v>15.5</v>
          </cell>
          <cell r="F100">
            <v>14.55</v>
          </cell>
          <cell r="G100">
            <v>14.9</v>
          </cell>
        </row>
        <row r="101">
          <cell r="B101" t="str">
            <v>KASBB</v>
          </cell>
          <cell r="C101" t="str">
            <v>KASB Bank Ltd.</v>
          </cell>
          <cell r="D101">
            <v>22.6</v>
          </cell>
          <cell r="E101">
            <v>23</v>
          </cell>
          <cell r="F101">
            <v>21.6</v>
          </cell>
          <cell r="G101">
            <v>23</v>
          </cell>
        </row>
        <row r="102">
          <cell r="B102" t="str">
            <v>CTTL</v>
          </cell>
          <cell r="C102" t="str">
            <v>Callmate Telips</v>
          </cell>
          <cell r="D102">
            <v>48.55</v>
          </cell>
          <cell r="E102">
            <v>50.9</v>
          </cell>
          <cell r="F102">
            <v>47.9</v>
          </cell>
          <cell r="G102">
            <v>49.5</v>
          </cell>
        </row>
        <row r="103">
          <cell r="B103" t="str">
            <v>KOHC</v>
          </cell>
          <cell r="C103" t="str">
            <v>Kohat Cement</v>
          </cell>
          <cell r="D103">
            <v>54.4</v>
          </cell>
          <cell r="E103">
            <v>56.8</v>
          </cell>
          <cell r="F103">
            <v>53.5</v>
          </cell>
          <cell r="G103">
            <v>54.5</v>
          </cell>
        </row>
        <row r="104">
          <cell r="B104" t="str">
            <v>CRTM</v>
          </cell>
          <cell r="C104" t="str">
            <v>Crescent Textile</v>
          </cell>
          <cell r="D104">
            <v>66</v>
          </cell>
          <cell r="E104">
            <v>69</v>
          </cell>
          <cell r="F104">
            <v>65</v>
          </cell>
          <cell r="G104">
            <v>69</v>
          </cell>
        </row>
        <row r="105">
          <cell r="B105" t="str">
            <v>MEBL</v>
          </cell>
          <cell r="C105" t="str">
            <v>Meezan Bank</v>
          </cell>
          <cell r="D105">
            <v>31.55</v>
          </cell>
          <cell r="E105">
            <v>32.1</v>
          </cell>
          <cell r="F105">
            <v>30.2</v>
          </cell>
          <cell r="G105">
            <v>32</v>
          </cell>
        </row>
        <row r="106">
          <cell r="B106" t="str">
            <v>CHAS</v>
          </cell>
          <cell r="C106" t="str">
            <v>Chashma Sugar</v>
          </cell>
          <cell r="D106">
            <v>13.6</v>
          </cell>
          <cell r="E106">
            <v>14.3</v>
          </cell>
          <cell r="F106">
            <v>13.5</v>
          </cell>
          <cell r="G106">
            <v>14.3</v>
          </cell>
        </row>
        <row r="107">
          <cell r="B107" t="str">
            <v>TELE</v>
          </cell>
          <cell r="C107" t="str">
            <v>Telecard</v>
          </cell>
          <cell r="D107">
            <v>12</v>
          </cell>
          <cell r="E107">
            <v>13</v>
          </cell>
          <cell r="F107">
            <v>12.3</v>
          </cell>
          <cell r="G107">
            <v>13</v>
          </cell>
        </row>
        <row r="108">
          <cell r="B108" t="str">
            <v>BRR</v>
          </cell>
          <cell r="C108" t="str">
            <v>B.R.R.Guardian</v>
          </cell>
          <cell r="D108">
            <v>8.65</v>
          </cell>
          <cell r="E108">
            <v>9</v>
          </cell>
          <cell r="F108">
            <v>8.5</v>
          </cell>
          <cell r="G108">
            <v>8.6999999999999993</v>
          </cell>
        </row>
        <row r="109">
          <cell r="B109" t="str">
            <v>PPTA</v>
          </cell>
          <cell r="C109" t="str">
            <v>Pak.PTA Ltd.</v>
          </cell>
          <cell r="D109">
            <v>5.2</v>
          </cell>
          <cell r="E109">
            <v>5.5</v>
          </cell>
          <cell r="F109">
            <v>5.2</v>
          </cell>
          <cell r="G109">
            <v>5.5</v>
          </cell>
        </row>
        <row r="110">
          <cell r="B110" t="str">
            <v>CLOV</v>
          </cell>
          <cell r="C110" t="str">
            <v>Clover Pakistan</v>
          </cell>
          <cell r="D110">
            <v>135</v>
          </cell>
          <cell r="E110">
            <v>136</v>
          </cell>
          <cell r="F110">
            <v>128.25</v>
          </cell>
          <cell r="G110">
            <v>128.25</v>
          </cell>
        </row>
        <row r="111">
          <cell r="B111" t="str">
            <v>SSOM</v>
          </cell>
          <cell r="C111" t="str">
            <v>S.S.Oil</v>
          </cell>
          <cell r="D111">
            <v>12.3</v>
          </cell>
          <cell r="E111">
            <v>13.2</v>
          </cell>
          <cell r="F111">
            <v>12.5</v>
          </cell>
          <cell r="G111">
            <v>12.5</v>
          </cell>
        </row>
        <row r="112">
          <cell r="B112" t="str">
            <v>IBFL</v>
          </cell>
          <cell r="C112" t="str">
            <v>Ibrahim Fibres</v>
          </cell>
          <cell r="D112">
            <v>58</v>
          </cell>
          <cell r="E112">
            <v>60</v>
          </cell>
          <cell r="F112">
            <v>56.7</v>
          </cell>
          <cell r="G112">
            <v>57</v>
          </cell>
        </row>
        <row r="113">
          <cell r="B113" t="str">
            <v>SEARL</v>
          </cell>
          <cell r="C113" t="str">
            <v>Searle Pak</v>
          </cell>
          <cell r="D113">
            <v>39.299999999999997</v>
          </cell>
          <cell r="E113">
            <v>40</v>
          </cell>
          <cell r="F113">
            <v>37.799999999999997</v>
          </cell>
          <cell r="G113">
            <v>38.25</v>
          </cell>
        </row>
        <row r="114">
          <cell r="B114" t="str">
            <v>OLSM</v>
          </cell>
          <cell r="C114" t="str">
            <v>Olympia Sp.</v>
          </cell>
          <cell r="D114">
            <v>9</v>
          </cell>
          <cell r="E114">
            <v>10</v>
          </cell>
          <cell r="F114">
            <v>9.5</v>
          </cell>
          <cell r="G114">
            <v>10</v>
          </cell>
        </row>
        <row r="115">
          <cell r="B115" t="str">
            <v>NIBR</v>
          </cell>
          <cell r="C115" t="str">
            <v>NIB Bank(R)</v>
          </cell>
          <cell r="D115">
            <v>9.15</v>
          </cell>
          <cell r="E115">
            <v>9.5</v>
          </cell>
          <cell r="F115">
            <v>9</v>
          </cell>
          <cell r="G115">
            <v>9.15</v>
          </cell>
        </row>
        <row r="116">
          <cell r="B116" t="str">
            <v>CML</v>
          </cell>
          <cell r="C116" t="str">
            <v>Colony Mills Ltd</v>
          </cell>
          <cell r="D116">
            <v>18.3</v>
          </cell>
          <cell r="E116">
            <v>18.600000000000001</v>
          </cell>
          <cell r="F116">
            <v>17.600000000000001</v>
          </cell>
          <cell r="G116">
            <v>17.75</v>
          </cell>
        </row>
        <row r="117">
          <cell r="B117" t="str">
            <v>TSPL</v>
          </cell>
          <cell r="C117" t="str">
            <v>Tri-Star Power</v>
          </cell>
          <cell r="D117">
            <v>2.75</v>
          </cell>
          <cell r="E117">
            <v>2.8</v>
          </cell>
          <cell r="F117">
            <v>2.65</v>
          </cell>
          <cell r="G117">
            <v>2.65</v>
          </cell>
        </row>
        <row r="118">
          <cell r="B118" t="str">
            <v>ZELP</v>
          </cell>
          <cell r="C118" t="str">
            <v>Zeal Pak.</v>
          </cell>
          <cell r="D118">
            <v>5.55</v>
          </cell>
          <cell r="E118">
            <v>5.6</v>
          </cell>
          <cell r="F118">
            <v>5.3</v>
          </cell>
          <cell r="G118">
            <v>5.4</v>
          </cell>
        </row>
        <row r="119">
          <cell r="B119" t="str">
            <v>PNGRS</v>
          </cell>
          <cell r="C119" t="str">
            <v>Pangrio Sugar</v>
          </cell>
          <cell r="D119">
            <v>4.6500000000000004</v>
          </cell>
          <cell r="E119">
            <v>4.75</v>
          </cell>
          <cell r="F119">
            <v>4.5</v>
          </cell>
          <cell r="G119">
            <v>4.5</v>
          </cell>
        </row>
        <row r="120">
          <cell r="B120" t="str">
            <v>PIOC-JUN</v>
          </cell>
          <cell r="C120" t="str">
            <v>PIOC-JUN</v>
          </cell>
          <cell r="D120">
            <v>37</v>
          </cell>
          <cell r="E120">
            <v>38.75</v>
          </cell>
          <cell r="F120">
            <v>36.799999999999997</v>
          </cell>
          <cell r="G120">
            <v>36.950000000000003</v>
          </cell>
        </row>
        <row r="121">
          <cell r="B121" t="str">
            <v>KHSM</v>
          </cell>
          <cell r="C121" t="str">
            <v>Khurshid Sp.</v>
          </cell>
          <cell r="D121">
            <v>1.9</v>
          </cell>
          <cell r="E121">
            <v>2.4</v>
          </cell>
          <cell r="F121">
            <v>2.2999999999999998</v>
          </cell>
          <cell r="G121">
            <v>2.4</v>
          </cell>
        </row>
        <row r="122">
          <cell r="B122" t="str">
            <v>TRG</v>
          </cell>
          <cell r="C122" t="str">
            <v>TRG Pakistan</v>
          </cell>
          <cell r="D122">
            <v>15.4</v>
          </cell>
          <cell r="E122">
            <v>16.399999999999999</v>
          </cell>
          <cell r="F122">
            <v>15.6</v>
          </cell>
          <cell r="G122">
            <v>16.399999999999999</v>
          </cell>
        </row>
        <row r="123">
          <cell r="B123" t="str">
            <v>BOSI</v>
          </cell>
          <cell r="C123" t="str">
            <v>Bosicor Pakistan</v>
          </cell>
          <cell r="D123">
            <v>18.3</v>
          </cell>
          <cell r="E123">
            <v>18.649999999999999</v>
          </cell>
          <cell r="F123">
            <v>17.7</v>
          </cell>
          <cell r="G123">
            <v>17.75</v>
          </cell>
        </row>
        <row r="124">
          <cell r="B124" t="str">
            <v>PNSC</v>
          </cell>
          <cell r="C124" t="str">
            <v>P.N.S.C.</v>
          </cell>
          <cell r="D124">
            <v>94.4</v>
          </cell>
          <cell r="E124">
            <v>97.2</v>
          </cell>
          <cell r="F124">
            <v>92.3</v>
          </cell>
          <cell r="G124">
            <v>94</v>
          </cell>
        </row>
        <row r="125">
          <cell r="B125" t="str">
            <v>GADT</v>
          </cell>
          <cell r="C125" t="str">
            <v>Gadoon Textile</v>
          </cell>
          <cell r="D125">
            <v>81</v>
          </cell>
          <cell r="E125">
            <v>82</v>
          </cell>
          <cell r="F125">
            <v>77.8</v>
          </cell>
          <cell r="G125">
            <v>77.8</v>
          </cell>
        </row>
        <row r="126">
          <cell r="B126" t="str">
            <v>SHFA</v>
          </cell>
          <cell r="C126" t="str">
            <v>Shifa Int.Hosp</v>
          </cell>
          <cell r="D126">
            <v>24.3</v>
          </cell>
          <cell r="E126">
            <v>25.25</v>
          </cell>
          <cell r="F126">
            <v>24</v>
          </cell>
          <cell r="G126">
            <v>24.25</v>
          </cell>
        </row>
        <row r="127">
          <cell r="B127" t="str">
            <v>SSIC</v>
          </cell>
          <cell r="C127" t="str">
            <v>Silver Star Ins.</v>
          </cell>
          <cell r="D127">
            <v>24.55</v>
          </cell>
          <cell r="E127">
            <v>25.75</v>
          </cell>
          <cell r="F127">
            <v>24.5</v>
          </cell>
          <cell r="G127">
            <v>25.75</v>
          </cell>
        </row>
        <row r="128">
          <cell r="B128" t="str">
            <v>MFFL</v>
          </cell>
          <cell r="C128" t="str">
            <v>Mithchells</v>
          </cell>
          <cell r="D128">
            <v>79.25</v>
          </cell>
          <cell r="E128">
            <v>80</v>
          </cell>
          <cell r="F128">
            <v>76</v>
          </cell>
          <cell r="G128">
            <v>76</v>
          </cell>
        </row>
        <row r="129">
          <cell r="B129" t="str">
            <v>JSGCL</v>
          </cell>
          <cell r="C129" t="str">
            <v>JS Global Cap.L</v>
          </cell>
          <cell r="D129">
            <v>435</v>
          </cell>
          <cell r="E129">
            <v>438</v>
          </cell>
          <cell r="F129">
            <v>416.1</v>
          </cell>
          <cell r="G129">
            <v>438</v>
          </cell>
        </row>
        <row r="130">
          <cell r="B130" t="str">
            <v>PICIC</v>
          </cell>
          <cell r="C130" t="str">
            <v>P.I.C.I.C</v>
          </cell>
          <cell r="D130">
            <v>80.900000000000006</v>
          </cell>
          <cell r="E130">
            <v>83.35</v>
          </cell>
          <cell r="F130">
            <v>79.3</v>
          </cell>
          <cell r="G130">
            <v>82.1</v>
          </cell>
        </row>
        <row r="131">
          <cell r="B131" t="str">
            <v>AACIL</v>
          </cell>
          <cell r="C131" t="str">
            <v>Al-Abbas Cement</v>
          </cell>
          <cell r="D131">
            <v>15</v>
          </cell>
          <cell r="E131">
            <v>15.35</v>
          </cell>
          <cell r="F131">
            <v>14.6</v>
          </cell>
          <cell r="G131">
            <v>14.65</v>
          </cell>
        </row>
        <row r="132">
          <cell r="B132" t="str">
            <v>ICL</v>
          </cell>
          <cell r="C132" t="str">
            <v>Ittehad Chem.</v>
          </cell>
          <cell r="D132">
            <v>30</v>
          </cell>
          <cell r="E132">
            <v>31.5</v>
          </cell>
          <cell r="F132">
            <v>30</v>
          </cell>
          <cell r="G132">
            <v>31.5</v>
          </cell>
        </row>
        <row r="133">
          <cell r="B133" t="str">
            <v>DYNO</v>
          </cell>
          <cell r="C133" t="str">
            <v>Dynea Pakistan</v>
          </cell>
          <cell r="D133">
            <v>23</v>
          </cell>
          <cell r="E133">
            <v>23</v>
          </cell>
          <cell r="F133">
            <v>21.85</v>
          </cell>
          <cell r="G133">
            <v>22.7</v>
          </cell>
        </row>
        <row r="134">
          <cell r="B134" t="str">
            <v>MRNS</v>
          </cell>
          <cell r="C134" t="str">
            <v>Mehran Sug.</v>
          </cell>
          <cell r="D134">
            <v>18</v>
          </cell>
          <cell r="E134">
            <v>18.899999999999999</v>
          </cell>
          <cell r="F134">
            <v>18</v>
          </cell>
          <cell r="G134">
            <v>18.899999999999999</v>
          </cell>
        </row>
        <row r="135">
          <cell r="B135" t="str">
            <v>BWCL</v>
          </cell>
          <cell r="C135" t="str">
            <v>Bestway Cement</v>
          </cell>
          <cell r="D135">
            <v>81</v>
          </cell>
          <cell r="E135">
            <v>85.05</v>
          </cell>
          <cell r="F135">
            <v>81.05</v>
          </cell>
          <cell r="G135">
            <v>81.95</v>
          </cell>
        </row>
        <row r="136">
          <cell r="B136" t="str">
            <v>AMZV</v>
          </cell>
          <cell r="C136" t="str">
            <v>AMZ Ventures</v>
          </cell>
          <cell r="D136">
            <v>7.1</v>
          </cell>
          <cell r="E136">
            <v>7.15</v>
          </cell>
          <cell r="F136">
            <v>6.8</v>
          </cell>
          <cell r="G136">
            <v>6.9</v>
          </cell>
        </row>
        <row r="137">
          <cell r="B137" t="str">
            <v>IDYM</v>
          </cell>
          <cell r="C137" t="str">
            <v>Indus Dyeing</v>
          </cell>
          <cell r="D137">
            <v>70</v>
          </cell>
          <cell r="E137">
            <v>73.45</v>
          </cell>
          <cell r="F137">
            <v>70</v>
          </cell>
          <cell r="G137">
            <v>73</v>
          </cell>
        </row>
        <row r="138">
          <cell r="B138" t="str">
            <v>PICB-JUN</v>
          </cell>
          <cell r="C138" t="str">
            <v>PICB-JUN</v>
          </cell>
          <cell r="D138">
            <v>44.74</v>
          </cell>
          <cell r="E138">
            <v>44.75</v>
          </cell>
          <cell r="F138">
            <v>42.55</v>
          </cell>
          <cell r="G138">
            <v>43.45</v>
          </cell>
        </row>
        <row r="139">
          <cell r="B139" t="str">
            <v>HWQS</v>
          </cell>
          <cell r="C139" t="str">
            <v>Haseeb Waqas</v>
          </cell>
          <cell r="D139">
            <v>49.85</v>
          </cell>
          <cell r="E139">
            <v>52.3</v>
          </cell>
          <cell r="F139">
            <v>49.85</v>
          </cell>
          <cell r="G139">
            <v>52.3</v>
          </cell>
        </row>
        <row r="140">
          <cell r="B140" t="str">
            <v>ALWIN</v>
          </cell>
          <cell r="C140" t="str">
            <v>Allwin Engin.</v>
          </cell>
          <cell r="D140">
            <v>24.5</v>
          </cell>
          <cell r="E140">
            <v>25.7</v>
          </cell>
          <cell r="F140">
            <v>24.5</v>
          </cell>
          <cell r="G140">
            <v>25.7</v>
          </cell>
        </row>
        <row r="141">
          <cell r="B141" t="str">
            <v>GHNL</v>
          </cell>
          <cell r="C141" t="str">
            <v>Ghandhara Nissan</v>
          </cell>
          <cell r="D141">
            <v>40.950000000000003</v>
          </cell>
          <cell r="E141">
            <v>42.1</v>
          </cell>
          <cell r="F141">
            <v>40.1</v>
          </cell>
          <cell r="G141">
            <v>42</v>
          </cell>
        </row>
        <row r="142">
          <cell r="B142" t="str">
            <v>JSABM</v>
          </cell>
          <cell r="C142" t="str">
            <v>JS Abamco Ltd.</v>
          </cell>
          <cell r="D142">
            <v>74.900000000000006</v>
          </cell>
          <cell r="E142">
            <v>76.25</v>
          </cell>
          <cell r="F142">
            <v>72.599999999999994</v>
          </cell>
          <cell r="G142">
            <v>73.900000000000006</v>
          </cell>
        </row>
        <row r="143">
          <cell r="B143" t="str">
            <v>WTL</v>
          </cell>
          <cell r="C143" t="str">
            <v>WorldCall Telecom</v>
          </cell>
          <cell r="D143">
            <v>18.7</v>
          </cell>
          <cell r="E143">
            <v>19.100000000000001</v>
          </cell>
          <cell r="F143">
            <v>18.2</v>
          </cell>
          <cell r="G143">
            <v>18.350000000000001</v>
          </cell>
        </row>
        <row r="144">
          <cell r="B144" t="str">
            <v>GUSM</v>
          </cell>
          <cell r="C144" t="str">
            <v>Gulistan Spinning</v>
          </cell>
          <cell r="D144">
            <v>10.5</v>
          </cell>
          <cell r="E144">
            <v>11.5</v>
          </cell>
          <cell r="F144">
            <v>11</v>
          </cell>
          <cell r="G144">
            <v>11</v>
          </cell>
        </row>
        <row r="145">
          <cell r="B145" t="str">
            <v>PICIC-JUN</v>
          </cell>
          <cell r="C145" t="str">
            <v>PICIC-JUN</v>
          </cell>
          <cell r="D145">
            <v>80.510000000000005</v>
          </cell>
          <cell r="E145">
            <v>83.03</v>
          </cell>
          <cell r="F145">
            <v>79.2</v>
          </cell>
          <cell r="G145">
            <v>81.66</v>
          </cell>
        </row>
        <row r="146">
          <cell r="B146" t="str">
            <v>BSBF</v>
          </cell>
          <cell r="C146" t="str">
            <v>BSJS Balanced XD</v>
          </cell>
          <cell r="D146">
            <v>12.75</v>
          </cell>
          <cell r="E146">
            <v>13</v>
          </cell>
          <cell r="F146">
            <v>12.4</v>
          </cell>
          <cell r="G146">
            <v>12.9</v>
          </cell>
        </row>
        <row r="147">
          <cell r="B147" t="str">
            <v>SPCB</v>
          </cell>
          <cell r="C147" t="str">
            <v>Saudi Pak Bank</v>
          </cell>
          <cell r="D147">
            <v>24.7</v>
          </cell>
          <cell r="E147">
            <v>25.2</v>
          </cell>
          <cell r="F147">
            <v>24.05</v>
          </cell>
          <cell r="G147">
            <v>25.15</v>
          </cell>
        </row>
        <row r="148">
          <cell r="B148" t="str">
            <v>ATBL</v>
          </cell>
          <cell r="C148" t="str">
            <v>Atlas Bank Ltd.</v>
          </cell>
          <cell r="D148">
            <v>17.3</v>
          </cell>
          <cell r="E148">
            <v>17.5</v>
          </cell>
          <cell r="F148">
            <v>16.7</v>
          </cell>
          <cell r="G148">
            <v>17.149999999999999</v>
          </cell>
        </row>
        <row r="149">
          <cell r="B149" t="str">
            <v>SAZEW</v>
          </cell>
          <cell r="C149" t="str">
            <v>Sazgar Engineering</v>
          </cell>
          <cell r="D149">
            <v>68.25</v>
          </cell>
          <cell r="E149">
            <v>71.650000000000006</v>
          </cell>
          <cell r="F149">
            <v>68.5</v>
          </cell>
          <cell r="G149">
            <v>71.650000000000006</v>
          </cell>
        </row>
        <row r="150">
          <cell r="B150" t="str">
            <v>PICIC-JUL</v>
          </cell>
          <cell r="C150" t="str">
            <v>PICIC-JUL</v>
          </cell>
          <cell r="D150">
            <v>81.3</v>
          </cell>
          <cell r="E150">
            <v>83.95</v>
          </cell>
          <cell r="F150">
            <v>80.2</v>
          </cell>
          <cell r="G150">
            <v>82.5</v>
          </cell>
        </row>
        <row r="151">
          <cell r="B151" t="str">
            <v>RICL</v>
          </cell>
          <cell r="C151" t="str">
            <v>Reliance Insurance</v>
          </cell>
          <cell r="D151">
            <v>32.9</v>
          </cell>
          <cell r="E151">
            <v>34.5</v>
          </cell>
          <cell r="F151">
            <v>33</v>
          </cell>
          <cell r="G151">
            <v>34.5</v>
          </cell>
        </row>
        <row r="152">
          <cell r="B152" t="str">
            <v>CCBL</v>
          </cell>
          <cell r="C152" t="str">
            <v>Cres. Comm.Bank</v>
          </cell>
          <cell r="D152">
            <v>22</v>
          </cell>
          <cell r="E152">
            <v>22.5</v>
          </cell>
          <cell r="F152">
            <v>21.5</v>
          </cell>
          <cell r="G152">
            <v>22.45</v>
          </cell>
        </row>
        <row r="153">
          <cell r="B153" t="str">
            <v>SMTM</v>
          </cell>
          <cell r="C153" t="str">
            <v>Samin Tex.</v>
          </cell>
          <cell r="D153">
            <v>55.1</v>
          </cell>
          <cell r="E153">
            <v>57</v>
          </cell>
          <cell r="F153">
            <v>54.5</v>
          </cell>
          <cell r="G153">
            <v>56</v>
          </cell>
        </row>
        <row r="154">
          <cell r="B154" t="str">
            <v>ALNRS</v>
          </cell>
          <cell r="C154" t="str">
            <v>AL-Noor Suger</v>
          </cell>
          <cell r="D154">
            <v>28.95</v>
          </cell>
          <cell r="E154">
            <v>30.35</v>
          </cell>
          <cell r="F154">
            <v>29.05</v>
          </cell>
          <cell r="G154">
            <v>29.5</v>
          </cell>
        </row>
        <row r="155">
          <cell r="B155" t="str">
            <v>PAKT</v>
          </cell>
          <cell r="C155" t="str">
            <v>Pak TobaccoXD</v>
          </cell>
          <cell r="D155">
            <v>156.44999999999999</v>
          </cell>
          <cell r="E155">
            <v>164</v>
          </cell>
          <cell r="F155">
            <v>157</v>
          </cell>
          <cell r="G155">
            <v>157</v>
          </cell>
        </row>
        <row r="156">
          <cell r="B156" t="str">
            <v>SITC</v>
          </cell>
          <cell r="C156" t="str">
            <v>Sitara Chemical</v>
          </cell>
          <cell r="D156">
            <v>154.94999999999999</v>
          </cell>
          <cell r="E156">
            <v>159.25</v>
          </cell>
          <cell r="F156">
            <v>152.5</v>
          </cell>
          <cell r="G156">
            <v>159.25</v>
          </cell>
        </row>
        <row r="157">
          <cell r="B157" t="str">
            <v>TRIPF</v>
          </cell>
          <cell r="C157" t="str">
            <v>Tri-Pack Films</v>
          </cell>
          <cell r="D157">
            <v>140</v>
          </cell>
          <cell r="E157">
            <v>140</v>
          </cell>
          <cell r="F157">
            <v>134</v>
          </cell>
          <cell r="G157">
            <v>134.80000000000001</v>
          </cell>
        </row>
        <row r="158">
          <cell r="B158" t="str">
            <v>FCCL</v>
          </cell>
          <cell r="C158" t="str">
            <v>Fauji Cement</v>
          </cell>
          <cell r="D158">
            <v>20.2</v>
          </cell>
          <cell r="E158">
            <v>20.5</v>
          </cell>
          <cell r="F158">
            <v>19.649999999999999</v>
          </cell>
          <cell r="G158">
            <v>19.7</v>
          </cell>
        </row>
        <row r="159">
          <cell r="B159" t="str">
            <v>ECOP</v>
          </cell>
          <cell r="C159" t="str">
            <v>ECOPACK Ltd</v>
          </cell>
          <cell r="D159">
            <v>21.4</v>
          </cell>
          <cell r="E159">
            <v>21.6</v>
          </cell>
          <cell r="F159">
            <v>20.7</v>
          </cell>
          <cell r="G159">
            <v>21.4</v>
          </cell>
        </row>
        <row r="160">
          <cell r="B160" t="str">
            <v>BATA</v>
          </cell>
          <cell r="C160" t="str">
            <v>Bata (Pak)</v>
          </cell>
          <cell r="D160">
            <v>372</v>
          </cell>
          <cell r="E160">
            <v>390.6</v>
          </cell>
          <cell r="F160">
            <v>375</v>
          </cell>
          <cell r="G160">
            <v>390.6</v>
          </cell>
        </row>
        <row r="161">
          <cell r="B161" t="str">
            <v>ATRL</v>
          </cell>
          <cell r="C161" t="str">
            <v>Attock Refinery</v>
          </cell>
          <cell r="D161">
            <v>114.85</v>
          </cell>
          <cell r="E161">
            <v>119.8</v>
          </cell>
          <cell r="F161">
            <v>115</v>
          </cell>
          <cell r="G161">
            <v>116.55</v>
          </cell>
        </row>
        <row r="162">
          <cell r="B162" t="str">
            <v>MLCF-JUN</v>
          </cell>
          <cell r="C162" t="str">
            <v>MLCF-JUN</v>
          </cell>
          <cell r="D162">
            <v>24.95</v>
          </cell>
          <cell r="E162">
            <v>25.3</v>
          </cell>
          <cell r="F162">
            <v>24.26</v>
          </cell>
          <cell r="G162">
            <v>24.26</v>
          </cell>
        </row>
        <row r="163">
          <cell r="B163" t="str">
            <v>FDIBL</v>
          </cell>
          <cell r="C163" t="str">
            <v>Ist.Dawood Bank</v>
          </cell>
          <cell r="D163">
            <v>28.95</v>
          </cell>
          <cell r="E163">
            <v>28.95</v>
          </cell>
          <cell r="F163">
            <v>27.75</v>
          </cell>
          <cell r="G163">
            <v>28.95</v>
          </cell>
        </row>
        <row r="164">
          <cell r="B164" t="str">
            <v>ESBL</v>
          </cell>
          <cell r="C164" t="str">
            <v>Escorts Bank</v>
          </cell>
          <cell r="D164">
            <v>16.899999999999999</v>
          </cell>
          <cell r="E164">
            <v>17</v>
          </cell>
          <cell r="F164">
            <v>16.3</v>
          </cell>
          <cell r="G164">
            <v>16.399999999999999</v>
          </cell>
        </row>
        <row r="165">
          <cell r="B165" t="str">
            <v>PPFL</v>
          </cell>
          <cell r="C165" t="str">
            <v>Pak.Prem Fund</v>
          </cell>
          <cell r="D165">
            <v>14.6</v>
          </cell>
          <cell r="E165">
            <v>15.2</v>
          </cell>
          <cell r="F165">
            <v>14.6</v>
          </cell>
          <cell r="G165">
            <v>15</v>
          </cell>
        </row>
        <row r="166">
          <cell r="B166" t="str">
            <v>BOP-JUN</v>
          </cell>
          <cell r="C166" t="str">
            <v>BOP-JUN</v>
          </cell>
          <cell r="D166">
            <v>114</v>
          </cell>
          <cell r="E166">
            <v>119.2</v>
          </cell>
          <cell r="F166">
            <v>114.55</v>
          </cell>
          <cell r="G166">
            <v>116.9</v>
          </cell>
        </row>
        <row r="167">
          <cell r="B167" t="str">
            <v>DWSM</v>
          </cell>
          <cell r="C167" t="str">
            <v>Dewan Sugar</v>
          </cell>
          <cell r="D167">
            <v>11.1</v>
          </cell>
          <cell r="E167">
            <v>11.5</v>
          </cell>
          <cell r="F167">
            <v>11.05</v>
          </cell>
          <cell r="G167">
            <v>11.05</v>
          </cell>
        </row>
        <row r="168">
          <cell r="B168" t="str">
            <v>CENI</v>
          </cell>
          <cell r="C168" t="str">
            <v>Century Ins.</v>
          </cell>
          <cell r="D168">
            <v>53.5</v>
          </cell>
          <cell r="E168">
            <v>56.15</v>
          </cell>
          <cell r="F168">
            <v>54</v>
          </cell>
          <cell r="G168">
            <v>55.5</v>
          </cell>
        </row>
        <row r="169">
          <cell r="B169" t="str">
            <v>SPL-PRO</v>
          </cell>
          <cell r="C169" t="str">
            <v>Sitara Peroxide</v>
          </cell>
          <cell r="D169">
            <v>33.700000000000003</v>
          </cell>
          <cell r="E169">
            <v>35.35</v>
          </cell>
          <cell r="F169">
            <v>34</v>
          </cell>
          <cell r="G169">
            <v>35.35</v>
          </cell>
        </row>
        <row r="170">
          <cell r="B170" t="str">
            <v>AHL</v>
          </cell>
          <cell r="C170" t="str">
            <v>Arif Habib Limited</v>
          </cell>
          <cell r="D170">
            <v>205.4</v>
          </cell>
          <cell r="E170">
            <v>210.2</v>
          </cell>
          <cell r="F170">
            <v>202</v>
          </cell>
          <cell r="G170">
            <v>203.9</v>
          </cell>
        </row>
        <row r="171">
          <cell r="B171" t="str">
            <v>PPP</v>
          </cell>
          <cell r="C171" t="str">
            <v>Pak Pap.Prod</v>
          </cell>
          <cell r="D171">
            <v>100.25</v>
          </cell>
          <cell r="E171">
            <v>104</v>
          </cell>
          <cell r="F171">
            <v>100</v>
          </cell>
          <cell r="G171">
            <v>104</v>
          </cell>
        </row>
        <row r="172">
          <cell r="B172" t="str">
            <v>ENGRO-JUL</v>
          </cell>
          <cell r="C172" t="str">
            <v>ENGRO-JUL</v>
          </cell>
          <cell r="D172">
            <v>251.5</v>
          </cell>
          <cell r="E172">
            <v>259.10000000000002</v>
          </cell>
          <cell r="F172">
            <v>249.1</v>
          </cell>
          <cell r="G172">
            <v>255.9</v>
          </cell>
        </row>
        <row r="173">
          <cell r="B173" t="str">
            <v>ADMM</v>
          </cell>
          <cell r="C173" t="str">
            <v>Artistic Denim</v>
          </cell>
          <cell r="D173">
            <v>70.849999999999994</v>
          </cell>
          <cell r="E173">
            <v>71.599999999999994</v>
          </cell>
          <cell r="F173">
            <v>68.8</v>
          </cell>
          <cell r="G173">
            <v>69.5</v>
          </cell>
        </row>
        <row r="174">
          <cell r="B174" t="str">
            <v>SGML</v>
          </cell>
          <cell r="C174" t="str">
            <v>Shakarganj Sugar</v>
          </cell>
          <cell r="D174">
            <v>48.8</v>
          </cell>
          <cell r="E174">
            <v>51.15</v>
          </cell>
          <cell r="F174">
            <v>49.25</v>
          </cell>
          <cell r="G174">
            <v>51</v>
          </cell>
        </row>
        <row r="175">
          <cell r="B175" t="str">
            <v>HINOON</v>
          </cell>
          <cell r="C175" t="str">
            <v>Highnoon (Lab)</v>
          </cell>
          <cell r="D175">
            <v>88</v>
          </cell>
          <cell r="E175">
            <v>88</v>
          </cell>
          <cell r="F175">
            <v>84.6</v>
          </cell>
          <cell r="G175">
            <v>85</v>
          </cell>
        </row>
        <row r="176">
          <cell r="B176" t="str">
            <v>ENGRO</v>
          </cell>
          <cell r="C176" t="str">
            <v>Engro Chemical</v>
          </cell>
          <cell r="D176">
            <v>248.8</v>
          </cell>
          <cell r="E176">
            <v>256.10000000000002</v>
          </cell>
          <cell r="F176">
            <v>246.5</v>
          </cell>
          <cell r="G176">
            <v>253</v>
          </cell>
        </row>
        <row r="177">
          <cell r="B177" t="str">
            <v>NML-JUN</v>
          </cell>
          <cell r="C177" t="str">
            <v>NML-JUN</v>
          </cell>
          <cell r="D177">
            <v>133.5</v>
          </cell>
          <cell r="E177">
            <v>135.15</v>
          </cell>
          <cell r="F177">
            <v>130</v>
          </cell>
          <cell r="G177">
            <v>130.4</v>
          </cell>
        </row>
        <row r="178">
          <cell r="B178" t="str">
            <v>PICB</v>
          </cell>
          <cell r="C178" t="str">
            <v>PICIC Bank</v>
          </cell>
          <cell r="D178">
            <v>44.2</v>
          </cell>
          <cell r="E178">
            <v>44.7</v>
          </cell>
          <cell r="F178">
            <v>43</v>
          </cell>
          <cell r="G178">
            <v>44</v>
          </cell>
        </row>
        <row r="179">
          <cell r="B179" t="str">
            <v>JSBL</v>
          </cell>
          <cell r="C179" t="str">
            <v>JS Bank Ltd.</v>
          </cell>
          <cell r="D179">
            <v>19.55</v>
          </cell>
          <cell r="E179">
            <v>19.850000000000001</v>
          </cell>
          <cell r="F179">
            <v>19.100000000000001</v>
          </cell>
          <cell r="G179">
            <v>19.25</v>
          </cell>
        </row>
        <row r="180">
          <cell r="B180" t="str">
            <v>MLCF</v>
          </cell>
          <cell r="C180" t="str">
            <v>Maple Leaf Cem.XR</v>
          </cell>
          <cell r="D180">
            <v>24.85</v>
          </cell>
          <cell r="E180">
            <v>25.3</v>
          </cell>
          <cell r="F180">
            <v>24.35</v>
          </cell>
          <cell r="G180">
            <v>24.4</v>
          </cell>
        </row>
        <row r="181">
          <cell r="B181" t="str">
            <v>IGIBL</v>
          </cell>
          <cell r="C181" t="str">
            <v>IGI Inv.Bank Ltd</v>
          </cell>
          <cell r="D181">
            <v>17.100000000000001</v>
          </cell>
          <cell r="E181">
            <v>17.55</v>
          </cell>
          <cell r="F181">
            <v>16.899999999999999</v>
          </cell>
          <cell r="G181">
            <v>17</v>
          </cell>
        </row>
        <row r="182">
          <cell r="B182" t="str">
            <v>BOP</v>
          </cell>
          <cell r="C182" t="str">
            <v>B.O.Punjab</v>
          </cell>
          <cell r="D182">
            <v>113.9</v>
          </cell>
          <cell r="E182">
            <v>119.5</v>
          </cell>
          <cell r="F182">
            <v>115.2</v>
          </cell>
          <cell r="G182">
            <v>116.5</v>
          </cell>
        </row>
        <row r="183">
          <cell r="B183" t="str">
            <v>ENGRO-JUN</v>
          </cell>
          <cell r="C183" t="str">
            <v>ENGRO-JUN</v>
          </cell>
          <cell r="D183">
            <v>249.05</v>
          </cell>
          <cell r="E183">
            <v>256</v>
          </cell>
          <cell r="F183">
            <v>246.6</v>
          </cell>
          <cell r="G183">
            <v>252.01</v>
          </cell>
        </row>
        <row r="184">
          <cell r="B184" t="str">
            <v>NIB</v>
          </cell>
          <cell r="C184" t="str">
            <v>NIB Bank</v>
          </cell>
          <cell r="D184">
            <v>21.2</v>
          </cell>
          <cell r="E184">
            <v>21.7</v>
          </cell>
          <cell r="F184">
            <v>20.9</v>
          </cell>
          <cell r="G184">
            <v>21</v>
          </cell>
        </row>
        <row r="185">
          <cell r="B185" t="str">
            <v>DLL</v>
          </cell>
          <cell r="C185" t="str">
            <v>Dawood Law</v>
          </cell>
          <cell r="D185">
            <v>79</v>
          </cell>
          <cell r="E185">
            <v>82.95</v>
          </cell>
          <cell r="F185">
            <v>80</v>
          </cell>
          <cell r="G185">
            <v>82</v>
          </cell>
        </row>
        <row r="186">
          <cell r="B186" t="str">
            <v>NML</v>
          </cell>
          <cell r="C186" t="str">
            <v>Nishat Mills</v>
          </cell>
          <cell r="D186">
            <v>133.75</v>
          </cell>
          <cell r="E186">
            <v>135</v>
          </cell>
          <cell r="F186">
            <v>130.05000000000001</v>
          </cell>
          <cell r="G186">
            <v>130.44999999999999</v>
          </cell>
        </row>
        <row r="187">
          <cell r="B187" t="str">
            <v>NJLIC</v>
          </cell>
          <cell r="C187" t="str">
            <v>New Jub. Life</v>
          </cell>
          <cell r="D187">
            <v>50.4</v>
          </cell>
          <cell r="E187">
            <v>51</v>
          </cell>
          <cell r="F187">
            <v>49.15</v>
          </cell>
          <cell r="G187">
            <v>50.25</v>
          </cell>
        </row>
        <row r="188">
          <cell r="B188" t="str">
            <v>FLYNG</v>
          </cell>
          <cell r="C188" t="str">
            <v>Flying Cement Ltd.</v>
          </cell>
          <cell r="D188">
            <v>16.399999999999999</v>
          </cell>
          <cell r="E188">
            <v>17.05</v>
          </cell>
          <cell r="F188">
            <v>16.45</v>
          </cell>
          <cell r="G188">
            <v>16.5</v>
          </cell>
        </row>
        <row r="189">
          <cell r="B189" t="str">
            <v>PSYL</v>
          </cell>
          <cell r="C189" t="str">
            <v>Pak Synthetic</v>
          </cell>
          <cell r="D189">
            <v>9.65</v>
          </cell>
          <cell r="E189">
            <v>9.35</v>
          </cell>
          <cell r="F189">
            <v>9</v>
          </cell>
          <cell r="G189">
            <v>9.3000000000000007</v>
          </cell>
        </row>
        <row r="190">
          <cell r="B190" t="str">
            <v>GTYR</v>
          </cell>
          <cell r="C190" t="str">
            <v>General Tyre</v>
          </cell>
          <cell r="D190">
            <v>30.4</v>
          </cell>
          <cell r="E190">
            <v>30.6</v>
          </cell>
          <cell r="F190">
            <v>29.5</v>
          </cell>
          <cell r="G190">
            <v>29.5</v>
          </cell>
        </row>
        <row r="191">
          <cell r="B191" t="str">
            <v>AICL</v>
          </cell>
          <cell r="C191" t="str">
            <v>Adamjee Insurance</v>
          </cell>
          <cell r="D191">
            <v>329.7</v>
          </cell>
          <cell r="E191">
            <v>336.9</v>
          </cell>
          <cell r="F191">
            <v>325</v>
          </cell>
          <cell r="G191">
            <v>325.95</v>
          </cell>
        </row>
        <row r="192">
          <cell r="B192" t="str">
            <v>REWM</v>
          </cell>
          <cell r="C192" t="str">
            <v>Reliance Weaving</v>
          </cell>
          <cell r="D192">
            <v>20.95</v>
          </cell>
          <cell r="E192">
            <v>20.7</v>
          </cell>
          <cell r="F192">
            <v>19.95</v>
          </cell>
          <cell r="G192">
            <v>19.95</v>
          </cell>
        </row>
        <row r="193">
          <cell r="B193" t="str">
            <v>NML-JUL</v>
          </cell>
          <cell r="C193" t="str">
            <v>NML-JUL</v>
          </cell>
          <cell r="D193">
            <v>135.38999999999999</v>
          </cell>
          <cell r="E193">
            <v>135.80000000000001</v>
          </cell>
          <cell r="F193">
            <v>131</v>
          </cell>
          <cell r="G193">
            <v>132</v>
          </cell>
        </row>
        <row r="194">
          <cell r="B194" t="str">
            <v>MLCF-JUL</v>
          </cell>
          <cell r="C194" t="str">
            <v>MLCF-JUL</v>
          </cell>
          <cell r="D194">
            <v>25.3</v>
          </cell>
          <cell r="E194">
            <v>25.59</v>
          </cell>
          <cell r="F194">
            <v>24.7</v>
          </cell>
          <cell r="G194">
            <v>24.98</v>
          </cell>
        </row>
        <row r="195">
          <cell r="B195" t="str">
            <v>AHSL</v>
          </cell>
          <cell r="C195" t="str">
            <v>Arif Habib Sec.</v>
          </cell>
          <cell r="D195">
            <v>119.45</v>
          </cell>
          <cell r="E195">
            <v>120.25</v>
          </cell>
          <cell r="F195">
            <v>116.05</v>
          </cell>
          <cell r="G195">
            <v>116.6</v>
          </cell>
        </row>
        <row r="196">
          <cell r="B196" t="str">
            <v>CPSL</v>
          </cell>
          <cell r="C196" t="str">
            <v>Cherat Papersack</v>
          </cell>
          <cell r="D196">
            <v>158.1</v>
          </cell>
          <cell r="E196">
            <v>160</v>
          </cell>
          <cell r="F196">
            <v>154.5</v>
          </cell>
          <cell r="G196">
            <v>154.5</v>
          </cell>
        </row>
        <row r="197">
          <cell r="B197" t="str">
            <v>BOP-JUL</v>
          </cell>
          <cell r="C197" t="str">
            <v>BOP-JUL</v>
          </cell>
          <cell r="D197">
            <v>115</v>
          </cell>
          <cell r="E197">
            <v>119.5</v>
          </cell>
          <cell r="F197">
            <v>115.5</v>
          </cell>
          <cell r="G197">
            <v>117.2</v>
          </cell>
        </row>
        <row r="198">
          <cell r="B198" t="str">
            <v>PICB-JUL</v>
          </cell>
          <cell r="C198" t="str">
            <v>PICB-JUL</v>
          </cell>
          <cell r="D198">
            <v>44.6</v>
          </cell>
          <cell r="E198">
            <v>45</v>
          </cell>
          <cell r="F198">
            <v>43.45</v>
          </cell>
          <cell r="G198">
            <v>43.5</v>
          </cell>
        </row>
        <row r="199">
          <cell r="B199" t="str">
            <v>STPL</v>
          </cell>
          <cell r="C199" t="str">
            <v>Siddiqsons Tin plate</v>
          </cell>
          <cell r="D199">
            <v>33.1</v>
          </cell>
          <cell r="E199">
            <v>33.4</v>
          </cell>
          <cell r="F199">
            <v>32.25</v>
          </cell>
          <cell r="G199">
            <v>32.35</v>
          </cell>
        </row>
        <row r="200">
          <cell r="B200" t="str">
            <v>PTC</v>
          </cell>
          <cell r="C200" t="str">
            <v>P.T.C.L.A</v>
          </cell>
          <cell r="D200">
            <v>56.2</v>
          </cell>
          <cell r="E200">
            <v>58.1</v>
          </cell>
          <cell r="F200">
            <v>56.15</v>
          </cell>
          <cell r="G200">
            <v>57</v>
          </cell>
        </row>
        <row r="201">
          <cell r="B201" t="str">
            <v>SKFL</v>
          </cell>
          <cell r="C201" t="str">
            <v>Shakarganj Food</v>
          </cell>
          <cell r="D201">
            <v>15.9</v>
          </cell>
          <cell r="E201">
            <v>15.95</v>
          </cell>
          <cell r="F201">
            <v>15.4</v>
          </cell>
          <cell r="G201">
            <v>15.45</v>
          </cell>
        </row>
        <row r="202">
          <cell r="B202" t="str">
            <v>STML</v>
          </cell>
          <cell r="C202" t="str">
            <v>Shams Tex.</v>
          </cell>
          <cell r="D202">
            <v>49.25</v>
          </cell>
          <cell r="E202">
            <v>51.7</v>
          </cell>
          <cell r="F202">
            <v>50</v>
          </cell>
          <cell r="G202">
            <v>51.7</v>
          </cell>
        </row>
        <row r="203">
          <cell r="B203" t="str">
            <v>FRSM</v>
          </cell>
          <cell r="C203" t="str">
            <v>Faran Sugar XR</v>
          </cell>
          <cell r="D203">
            <v>14.6</v>
          </cell>
          <cell r="E203">
            <v>15</v>
          </cell>
          <cell r="F203">
            <v>14.5</v>
          </cell>
          <cell r="G203">
            <v>14.5</v>
          </cell>
        </row>
        <row r="204">
          <cell r="B204" t="str">
            <v>PCCL</v>
          </cell>
          <cell r="C204" t="str">
            <v>Pakistan Cem.XR</v>
          </cell>
          <cell r="D204">
            <v>14.7</v>
          </cell>
          <cell r="E204">
            <v>14.85</v>
          </cell>
          <cell r="F204">
            <v>14.35</v>
          </cell>
          <cell r="G204">
            <v>14.45</v>
          </cell>
        </row>
        <row r="205">
          <cell r="B205" t="str">
            <v>JOPP</v>
          </cell>
          <cell r="C205" t="str">
            <v>Johnson &amp; Philips</v>
          </cell>
          <cell r="D205">
            <v>22.05</v>
          </cell>
          <cell r="E205">
            <v>22.8</v>
          </cell>
          <cell r="F205">
            <v>22.05</v>
          </cell>
          <cell r="G205">
            <v>22.05</v>
          </cell>
        </row>
        <row r="206">
          <cell r="B206" t="str">
            <v>LUCK</v>
          </cell>
          <cell r="C206" t="str">
            <v>Lucky Cement</v>
          </cell>
          <cell r="D206">
            <v>136.9</v>
          </cell>
          <cell r="E206">
            <v>139.9</v>
          </cell>
          <cell r="F206">
            <v>135.25</v>
          </cell>
          <cell r="G206">
            <v>137.75</v>
          </cell>
        </row>
        <row r="207">
          <cell r="B207" t="str">
            <v>KOHE</v>
          </cell>
          <cell r="C207" t="str">
            <v>Kohinoor Energy</v>
          </cell>
          <cell r="D207">
            <v>37.25</v>
          </cell>
          <cell r="E207">
            <v>37.799999999999997</v>
          </cell>
          <cell r="F207">
            <v>36.549999999999997</v>
          </cell>
          <cell r="G207">
            <v>37.5</v>
          </cell>
        </row>
        <row r="208">
          <cell r="B208" t="str">
            <v>POL</v>
          </cell>
          <cell r="C208" t="str">
            <v>Pak Oilfields</v>
          </cell>
          <cell r="D208">
            <v>325</v>
          </cell>
          <cell r="E208">
            <v>326.39999999999998</v>
          </cell>
          <cell r="F208">
            <v>315.5</v>
          </cell>
          <cell r="G208">
            <v>317</v>
          </cell>
        </row>
        <row r="209">
          <cell r="B209" t="str">
            <v>POL-JUN</v>
          </cell>
          <cell r="C209" t="str">
            <v>POL-JUN</v>
          </cell>
          <cell r="D209">
            <v>325</v>
          </cell>
          <cell r="E209">
            <v>326</v>
          </cell>
          <cell r="F209">
            <v>315.10000000000002</v>
          </cell>
          <cell r="G209">
            <v>318</v>
          </cell>
        </row>
        <row r="210">
          <cell r="B210" t="str">
            <v>JSCL</v>
          </cell>
          <cell r="C210" t="str">
            <v>Jah.Siddiq.Co.</v>
          </cell>
          <cell r="D210">
            <v>522.35</v>
          </cell>
          <cell r="E210">
            <v>548.45000000000005</v>
          </cell>
          <cell r="F210">
            <v>531</v>
          </cell>
          <cell r="G210">
            <v>547</v>
          </cell>
        </row>
        <row r="211">
          <cell r="B211" t="str">
            <v>MIRKS</v>
          </cell>
          <cell r="C211" t="str">
            <v>Mirpurkhas Sugar</v>
          </cell>
          <cell r="D211">
            <v>209.95</v>
          </cell>
          <cell r="E211">
            <v>212</v>
          </cell>
          <cell r="F211">
            <v>205</v>
          </cell>
          <cell r="G211">
            <v>205</v>
          </cell>
        </row>
        <row r="212">
          <cell r="B212" t="str">
            <v>JPGL</v>
          </cell>
          <cell r="C212" t="str">
            <v>Japan Power</v>
          </cell>
          <cell r="D212">
            <v>6</v>
          </cell>
          <cell r="E212">
            <v>6.2</v>
          </cell>
          <cell r="F212">
            <v>6</v>
          </cell>
          <cell r="G212">
            <v>6</v>
          </cell>
        </row>
        <row r="213">
          <cell r="B213" t="str">
            <v>SERF</v>
          </cell>
          <cell r="C213" t="str">
            <v>Service Fabrics</v>
          </cell>
          <cell r="D213">
            <v>1.5</v>
          </cell>
          <cell r="E213">
            <v>1.4</v>
          </cell>
          <cell r="F213">
            <v>1.35</v>
          </cell>
          <cell r="G213">
            <v>1.35</v>
          </cell>
        </row>
        <row r="214">
          <cell r="B214" t="str">
            <v>PTC-JUN</v>
          </cell>
          <cell r="C214" t="str">
            <v>PTC-JUN</v>
          </cell>
          <cell r="D214">
            <v>56.3</v>
          </cell>
          <cell r="E214">
            <v>58.11</v>
          </cell>
          <cell r="F214">
            <v>56.25</v>
          </cell>
          <cell r="G214">
            <v>57</v>
          </cell>
        </row>
        <row r="215">
          <cell r="B215" t="str">
            <v>UTPGF</v>
          </cell>
          <cell r="C215" t="str">
            <v>UTP-Growth FundXD</v>
          </cell>
          <cell r="D215">
            <v>13.7</v>
          </cell>
          <cell r="E215">
            <v>14</v>
          </cell>
          <cell r="F215">
            <v>13.55</v>
          </cell>
          <cell r="G215">
            <v>14</v>
          </cell>
        </row>
        <row r="216">
          <cell r="B216" t="str">
            <v>UBL</v>
          </cell>
          <cell r="C216" t="str">
            <v>United Bank Ltd.</v>
          </cell>
          <cell r="D216">
            <v>214.5</v>
          </cell>
          <cell r="E216">
            <v>220</v>
          </cell>
          <cell r="F216">
            <v>213</v>
          </cell>
          <cell r="G216">
            <v>219.95</v>
          </cell>
        </row>
        <row r="217">
          <cell r="B217" t="str">
            <v>POL-JUL</v>
          </cell>
          <cell r="C217" t="str">
            <v>POL-JUL</v>
          </cell>
          <cell r="D217">
            <v>328</v>
          </cell>
          <cell r="E217">
            <v>328.9</v>
          </cell>
          <cell r="F217">
            <v>318.25</v>
          </cell>
          <cell r="G217">
            <v>321</v>
          </cell>
        </row>
        <row r="218">
          <cell r="B218" t="str">
            <v>NJICL</v>
          </cell>
          <cell r="C218" t="str">
            <v>New Jubilee Ins.SPOT</v>
          </cell>
          <cell r="D218">
            <v>119.5</v>
          </cell>
          <cell r="E218">
            <v>124.85</v>
          </cell>
          <cell r="F218">
            <v>121</v>
          </cell>
          <cell r="G218">
            <v>121</v>
          </cell>
        </row>
        <row r="219">
          <cell r="B219" t="str">
            <v>LUCK-JUN</v>
          </cell>
          <cell r="C219" t="str">
            <v>LUCK-JUN</v>
          </cell>
          <cell r="D219">
            <v>136.6</v>
          </cell>
          <cell r="E219">
            <v>139.9</v>
          </cell>
          <cell r="F219">
            <v>135.5</v>
          </cell>
          <cell r="G219">
            <v>138</v>
          </cell>
        </row>
        <row r="220">
          <cell r="B220" t="str">
            <v>BNWM</v>
          </cell>
          <cell r="C220" t="str">
            <v>Bannu Woollen</v>
          </cell>
          <cell r="D220">
            <v>53</v>
          </cell>
          <cell r="E220">
            <v>52</v>
          </cell>
          <cell r="F220">
            <v>50.35</v>
          </cell>
          <cell r="G220">
            <v>52</v>
          </cell>
        </row>
        <row r="221">
          <cell r="B221" t="str">
            <v>CHCC</v>
          </cell>
          <cell r="C221" t="str">
            <v>Cherat Cement</v>
          </cell>
          <cell r="D221">
            <v>58</v>
          </cell>
          <cell r="E221">
            <v>58.3</v>
          </cell>
          <cell r="F221">
            <v>56.5</v>
          </cell>
          <cell r="G221">
            <v>56.5</v>
          </cell>
        </row>
        <row r="222">
          <cell r="B222" t="str">
            <v>ADAMS</v>
          </cell>
          <cell r="C222" t="str">
            <v>Adam Sugar</v>
          </cell>
          <cell r="D222">
            <v>14.65</v>
          </cell>
          <cell r="E222">
            <v>15.45</v>
          </cell>
          <cell r="F222">
            <v>15</v>
          </cell>
          <cell r="G222">
            <v>15</v>
          </cell>
        </row>
        <row r="223">
          <cell r="B223" t="str">
            <v>PTC-JUL</v>
          </cell>
          <cell r="C223" t="str">
            <v>PTC-JUL</v>
          </cell>
          <cell r="D223">
            <v>56.65</v>
          </cell>
          <cell r="E223">
            <v>58.35</v>
          </cell>
          <cell r="F223">
            <v>56.61</v>
          </cell>
          <cell r="G223">
            <v>57.5</v>
          </cell>
        </row>
        <row r="224">
          <cell r="B224" t="str">
            <v>GASF</v>
          </cell>
          <cell r="C224" t="str">
            <v>Golden Arrow</v>
          </cell>
          <cell r="D224">
            <v>8.25</v>
          </cell>
          <cell r="E224">
            <v>8.4</v>
          </cell>
          <cell r="F224">
            <v>8.15</v>
          </cell>
          <cell r="G224">
            <v>8.3000000000000007</v>
          </cell>
        </row>
        <row r="225">
          <cell r="B225" t="str">
            <v>SEPCO</v>
          </cell>
          <cell r="C225" t="str">
            <v>Southern Electric</v>
          </cell>
          <cell r="D225">
            <v>6.6</v>
          </cell>
          <cell r="E225">
            <v>6.6</v>
          </cell>
          <cell r="F225">
            <v>6.4</v>
          </cell>
          <cell r="G225">
            <v>6.55</v>
          </cell>
        </row>
        <row r="226">
          <cell r="B226" t="str">
            <v>ICI</v>
          </cell>
          <cell r="C226" t="str">
            <v>ICI Pakistan</v>
          </cell>
          <cell r="D226">
            <v>166</v>
          </cell>
          <cell r="E226">
            <v>169</v>
          </cell>
          <cell r="F226">
            <v>164</v>
          </cell>
          <cell r="G226">
            <v>167.1</v>
          </cell>
        </row>
        <row r="227">
          <cell r="B227" t="str">
            <v>NESTLE</v>
          </cell>
          <cell r="C227" t="str">
            <v>Nestle Pakistan</v>
          </cell>
          <cell r="D227">
            <v>1500</v>
          </cell>
          <cell r="E227">
            <v>1545</v>
          </cell>
          <cell r="F227">
            <v>1500</v>
          </cell>
          <cell r="G227">
            <v>1545</v>
          </cell>
        </row>
        <row r="228">
          <cell r="B228" t="str">
            <v>DNCC</v>
          </cell>
          <cell r="C228" t="str">
            <v>Dandot Cement</v>
          </cell>
          <cell r="D228">
            <v>30.1</v>
          </cell>
          <cell r="E228">
            <v>30</v>
          </cell>
          <cell r="F228">
            <v>29.1</v>
          </cell>
          <cell r="G228">
            <v>29.1</v>
          </cell>
        </row>
        <row r="229">
          <cell r="B229" t="str">
            <v>DBCI</v>
          </cell>
          <cell r="C229" t="str">
            <v>Dadabhoy Cement</v>
          </cell>
          <cell r="D229">
            <v>10.199999999999999</v>
          </cell>
          <cell r="E229">
            <v>10.3</v>
          </cell>
          <cell r="F229">
            <v>10</v>
          </cell>
          <cell r="G229">
            <v>10.1</v>
          </cell>
        </row>
        <row r="230">
          <cell r="B230" t="str">
            <v>SCM</v>
          </cell>
          <cell r="C230" t="str">
            <v>Stand.Chart.Mod.</v>
          </cell>
          <cell r="D230">
            <v>13.6</v>
          </cell>
          <cell r="E230">
            <v>14</v>
          </cell>
          <cell r="F230">
            <v>13.6</v>
          </cell>
          <cell r="G230">
            <v>13.6</v>
          </cell>
        </row>
        <row r="231">
          <cell r="B231" t="str">
            <v>NIRE</v>
          </cell>
          <cell r="C231" t="str">
            <v>Nimir Resins</v>
          </cell>
          <cell r="D231">
            <v>6.8</v>
          </cell>
          <cell r="E231">
            <v>7.05</v>
          </cell>
          <cell r="F231">
            <v>6.85</v>
          </cell>
          <cell r="G231">
            <v>7</v>
          </cell>
        </row>
        <row r="232">
          <cell r="B232" t="str">
            <v>AUBC</v>
          </cell>
          <cell r="C232" t="str">
            <v>Automotive Battery</v>
          </cell>
          <cell r="D232">
            <v>20.6</v>
          </cell>
          <cell r="E232">
            <v>21.6</v>
          </cell>
          <cell r="F232">
            <v>21</v>
          </cell>
          <cell r="G232">
            <v>21.6</v>
          </cell>
        </row>
        <row r="233">
          <cell r="B233" t="str">
            <v>NRL</v>
          </cell>
          <cell r="C233" t="str">
            <v>National Refinery</v>
          </cell>
          <cell r="D233">
            <v>348</v>
          </cell>
          <cell r="E233">
            <v>351</v>
          </cell>
          <cell r="F233">
            <v>341</v>
          </cell>
          <cell r="G233">
            <v>341</v>
          </cell>
        </row>
        <row r="234">
          <cell r="B234" t="str">
            <v>BGL</v>
          </cell>
          <cell r="C234" t="str">
            <v>Bal.Glass</v>
          </cell>
          <cell r="D234">
            <v>13.95</v>
          </cell>
          <cell r="E234">
            <v>13.75</v>
          </cell>
          <cell r="F234">
            <v>13.35</v>
          </cell>
          <cell r="G234">
            <v>13.6</v>
          </cell>
        </row>
        <row r="235">
          <cell r="B235" t="str">
            <v>FNEL</v>
          </cell>
          <cell r="C235" t="str">
            <v>F. Nat.Equities</v>
          </cell>
          <cell r="D235">
            <v>38.75</v>
          </cell>
          <cell r="E235">
            <v>38.700000000000003</v>
          </cell>
          <cell r="F235">
            <v>37.6</v>
          </cell>
          <cell r="G235">
            <v>37.6</v>
          </cell>
        </row>
        <row r="236">
          <cell r="B236" t="str">
            <v>ACPL</v>
          </cell>
          <cell r="C236" t="str">
            <v>Attock Cement</v>
          </cell>
          <cell r="D236">
            <v>123</v>
          </cell>
          <cell r="E236">
            <v>123.95</v>
          </cell>
          <cell r="F236">
            <v>120.5</v>
          </cell>
          <cell r="G236">
            <v>122.45</v>
          </cell>
        </row>
        <row r="237">
          <cell r="B237" t="str">
            <v>LUCK-JUL</v>
          </cell>
          <cell r="C237" t="str">
            <v>LUCK-JUL</v>
          </cell>
          <cell r="D237">
            <v>137.62</v>
          </cell>
          <cell r="E237">
            <v>140.25</v>
          </cell>
          <cell r="F237">
            <v>136.4</v>
          </cell>
          <cell r="G237">
            <v>138.62</v>
          </cell>
        </row>
        <row r="238">
          <cell r="B238" t="str">
            <v>ATLH</v>
          </cell>
          <cell r="C238" t="str">
            <v>Atlas Honda</v>
          </cell>
          <cell r="D238">
            <v>158.1</v>
          </cell>
          <cell r="E238">
            <v>161.5</v>
          </cell>
          <cell r="F238">
            <v>157.1</v>
          </cell>
          <cell r="G238">
            <v>158</v>
          </cell>
        </row>
        <row r="239">
          <cell r="B239" t="str">
            <v>BOC</v>
          </cell>
          <cell r="C239" t="str">
            <v>BOC (Pak)</v>
          </cell>
          <cell r="D239">
            <v>160</v>
          </cell>
          <cell r="E239">
            <v>164.7</v>
          </cell>
          <cell r="F239">
            <v>160.25</v>
          </cell>
          <cell r="G239">
            <v>163</v>
          </cell>
        </row>
        <row r="240">
          <cell r="B240" t="str">
            <v>NCL</v>
          </cell>
          <cell r="C240" t="str">
            <v>Nishat (Chunian)</v>
          </cell>
          <cell r="D240">
            <v>41.55</v>
          </cell>
          <cell r="E240">
            <v>42</v>
          </cell>
          <cell r="F240">
            <v>40.85</v>
          </cell>
          <cell r="G240">
            <v>41.15</v>
          </cell>
        </row>
        <row r="241">
          <cell r="B241" t="str">
            <v>PSO</v>
          </cell>
          <cell r="C241" t="str">
            <v>P.S.O.XD</v>
          </cell>
          <cell r="D241">
            <v>390</v>
          </cell>
          <cell r="E241">
            <v>392</v>
          </cell>
          <cell r="F241">
            <v>381.25</v>
          </cell>
          <cell r="G241">
            <v>391.45</v>
          </cell>
        </row>
        <row r="242">
          <cell r="B242" t="str">
            <v>CEPB</v>
          </cell>
          <cell r="C242" t="str">
            <v>Century Paper</v>
          </cell>
          <cell r="D242">
            <v>63.5</v>
          </cell>
          <cell r="E242">
            <v>64.25</v>
          </cell>
          <cell r="F242">
            <v>62.5</v>
          </cell>
          <cell r="G242">
            <v>62.55</v>
          </cell>
        </row>
        <row r="243">
          <cell r="B243" t="str">
            <v>CSM</v>
          </cell>
          <cell r="C243" t="str">
            <v>Cres. Stand.Mod.</v>
          </cell>
          <cell r="D243">
            <v>1.85</v>
          </cell>
          <cell r="E243">
            <v>1.7</v>
          </cell>
          <cell r="F243">
            <v>1.65</v>
          </cell>
          <cell r="G243">
            <v>1.7</v>
          </cell>
        </row>
        <row r="244">
          <cell r="B244" t="str">
            <v>BROT</v>
          </cell>
          <cell r="C244" t="str">
            <v>Brothers Tex</v>
          </cell>
          <cell r="D244">
            <v>1.85</v>
          </cell>
          <cell r="E244">
            <v>1.9</v>
          </cell>
          <cell r="F244">
            <v>1.85</v>
          </cell>
          <cell r="G244">
            <v>1.9</v>
          </cell>
        </row>
        <row r="245">
          <cell r="B245" t="str">
            <v>EFUG</v>
          </cell>
          <cell r="C245" t="str">
            <v>EFU General Ins</v>
          </cell>
          <cell r="D245">
            <v>242</v>
          </cell>
          <cell r="E245">
            <v>242.5</v>
          </cell>
          <cell r="F245">
            <v>236</v>
          </cell>
          <cell r="G245">
            <v>242</v>
          </cell>
        </row>
        <row r="246">
          <cell r="B246" t="str">
            <v>AMMF</v>
          </cell>
          <cell r="C246" t="str">
            <v>AL-Meezan Mutual</v>
          </cell>
          <cell r="D246">
            <v>15</v>
          </cell>
          <cell r="E246">
            <v>15.2</v>
          </cell>
          <cell r="F246">
            <v>14.8</v>
          </cell>
          <cell r="G246">
            <v>15.2</v>
          </cell>
        </row>
        <row r="247">
          <cell r="B247" t="str">
            <v>PAKD</v>
          </cell>
          <cell r="C247" t="str">
            <v>Pak Datacom</v>
          </cell>
          <cell r="D247">
            <v>113.3</v>
          </cell>
          <cell r="E247">
            <v>116</v>
          </cell>
          <cell r="F247">
            <v>113</v>
          </cell>
          <cell r="G247">
            <v>113</v>
          </cell>
        </row>
        <row r="248">
          <cell r="B248" t="str">
            <v>SSGC-JUN</v>
          </cell>
          <cell r="C248" t="str">
            <v>SSGC-JUN</v>
          </cell>
          <cell r="D248">
            <v>26.1</v>
          </cell>
          <cell r="E248">
            <v>26.2</v>
          </cell>
          <cell r="F248">
            <v>25.51</v>
          </cell>
          <cell r="G248">
            <v>25.7</v>
          </cell>
        </row>
        <row r="249">
          <cell r="B249" t="str">
            <v>PSO-JUN</v>
          </cell>
          <cell r="C249" t="str">
            <v>PSO-JUN</v>
          </cell>
          <cell r="D249">
            <v>390.26</v>
          </cell>
          <cell r="E249">
            <v>392.5</v>
          </cell>
          <cell r="F249">
            <v>382.26</v>
          </cell>
          <cell r="G249">
            <v>389.15</v>
          </cell>
        </row>
        <row r="250">
          <cell r="B250" t="str">
            <v>EFUL</v>
          </cell>
          <cell r="C250" t="str">
            <v>EFU Life Assur</v>
          </cell>
          <cell r="D250">
            <v>269</v>
          </cell>
          <cell r="E250">
            <v>272</v>
          </cell>
          <cell r="F250">
            <v>265</v>
          </cell>
          <cell r="G250">
            <v>270</v>
          </cell>
        </row>
        <row r="251">
          <cell r="B251" t="str">
            <v>TSML</v>
          </cell>
          <cell r="C251" t="str">
            <v>Tandlianwala Sugar</v>
          </cell>
          <cell r="D251">
            <v>13.5</v>
          </cell>
          <cell r="E251">
            <v>13.65</v>
          </cell>
          <cell r="F251">
            <v>13.3</v>
          </cell>
          <cell r="G251">
            <v>13.5</v>
          </cell>
        </row>
        <row r="252">
          <cell r="B252" t="str">
            <v>GWLC</v>
          </cell>
          <cell r="C252" t="str">
            <v>Gharibwal CemXR</v>
          </cell>
          <cell r="D252">
            <v>17.649999999999999</v>
          </cell>
          <cell r="E252">
            <v>17.75</v>
          </cell>
          <cell r="F252">
            <v>17.3</v>
          </cell>
          <cell r="G252">
            <v>17.5</v>
          </cell>
        </row>
        <row r="253">
          <cell r="B253" t="str">
            <v>NBP-JUL</v>
          </cell>
          <cell r="C253" t="str">
            <v>NBP-JUL</v>
          </cell>
          <cell r="D253">
            <v>267</v>
          </cell>
          <cell r="E253">
            <v>268.8</v>
          </cell>
          <cell r="F253">
            <v>262</v>
          </cell>
          <cell r="G253">
            <v>265.10000000000002</v>
          </cell>
        </row>
        <row r="254">
          <cell r="B254" t="str">
            <v>PSO-JUL</v>
          </cell>
          <cell r="C254" t="str">
            <v>PSO-JUL</v>
          </cell>
          <cell r="D254">
            <v>393.8</v>
          </cell>
          <cell r="E254">
            <v>394</v>
          </cell>
          <cell r="F254">
            <v>384</v>
          </cell>
          <cell r="G254">
            <v>393.25</v>
          </cell>
        </row>
        <row r="255">
          <cell r="B255" t="str">
            <v>BAFL-JUN</v>
          </cell>
          <cell r="C255" t="str">
            <v>BAFL-JUN</v>
          </cell>
          <cell r="D255">
            <v>62.21</v>
          </cell>
          <cell r="E255">
            <v>65.319999999999993</v>
          </cell>
          <cell r="F255">
            <v>63.75</v>
          </cell>
          <cell r="G255">
            <v>65</v>
          </cell>
        </row>
        <row r="256">
          <cell r="B256" t="str">
            <v>ABL</v>
          </cell>
          <cell r="C256" t="str">
            <v>Allied Bank Ltd</v>
          </cell>
          <cell r="D256">
            <v>139.5</v>
          </cell>
          <cell r="E256">
            <v>139.5</v>
          </cell>
          <cell r="F256">
            <v>136</v>
          </cell>
          <cell r="G256">
            <v>138.94999999999999</v>
          </cell>
        </row>
        <row r="257">
          <cell r="B257" t="str">
            <v>RCML</v>
          </cell>
          <cell r="C257" t="str">
            <v>Reliance Cotton</v>
          </cell>
          <cell r="D257">
            <v>36.1</v>
          </cell>
          <cell r="E257">
            <v>37.9</v>
          </cell>
          <cell r="F257">
            <v>37</v>
          </cell>
          <cell r="G257">
            <v>37.9</v>
          </cell>
        </row>
        <row r="258">
          <cell r="B258" t="str">
            <v>DFML</v>
          </cell>
          <cell r="C258" t="str">
            <v>Dewan Motors</v>
          </cell>
          <cell r="D258">
            <v>16.100000000000001</v>
          </cell>
          <cell r="E258">
            <v>16.3</v>
          </cell>
          <cell r="F258">
            <v>15.9</v>
          </cell>
          <cell r="G258">
            <v>15.9</v>
          </cell>
        </row>
        <row r="259">
          <cell r="B259" t="str">
            <v>THALL</v>
          </cell>
          <cell r="C259" t="str">
            <v>Thal Limited</v>
          </cell>
          <cell r="D259">
            <v>283</v>
          </cell>
          <cell r="E259">
            <v>285</v>
          </cell>
          <cell r="F259">
            <v>278</v>
          </cell>
          <cell r="G259">
            <v>279</v>
          </cell>
        </row>
        <row r="260">
          <cell r="B260" t="str">
            <v>AGIC</v>
          </cell>
          <cell r="C260" t="str">
            <v>Ask.Gen.Insurance</v>
          </cell>
          <cell r="D260">
            <v>81</v>
          </cell>
          <cell r="E260">
            <v>81</v>
          </cell>
          <cell r="F260">
            <v>79</v>
          </cell>
          <cell r="G260">
            <v>79</v>
          </cell>
        </row>
        <row r="261">
          <cell r="B261" t="str">
            <v>BUXL</v>
          </cell>
          <cell r="C261" t="str">
            <v>Buxly Paints</v>
          </cell>
          <cell r="D261">
            <v>36.549999999999997</v>
          </cell>
          <cell r="E261">
            <v>37.9</v>
          </cell>
          <cell r="F261">
            <v>37</v>
          </cell>
          <cell r="G261">
            <v>37.549999999999997</v>
          </cell>
        </row>
        <row r="262">
          <cell r="B262" t="str">
            <v>HAL</v>
          </cell>
          <cell r="C262" t="str">
            <v>Habib-ADM Ltd.</v>
          </cell>
          <cell r="D262">
            <v>14.3</v>
          </cell>
          <cell r="E262">
            <v>15.15</v>
          </cell>
          <cell r="F262">
            <v>14.8</v>
          </cell>
          <cell r="G262">
            <v>14.9</v>
          </cell>
        </row>
        <row r="263">
          <cell r="B263" t="str">
            <v>SEPL</v>
          </cell>
          <cell r="C263" t="str">
            <v>Security Paper</v>
          </cell>
          <cell r="D263">
            <v>111</v>
          </cell>
          <cell r="E263">
            <v>113.95</v>
          </cell>
          <cell r="F263">
            <v>111.25</v>
          </cell>
          <cell r="G263">
            <v>113.95</v>
          </cell>
        </row>
        <row r="264">
          <cell r="B264" t="str">
            <v>BOK</v>
          </cell>
          <cell r="C264" t="str">
            <v>Bank Of Khyber</v>
          </cell>
          <cell r="D264">
            <v>16.5</v>
          </cell>
          <cell r="E264">
            <v>16.5</v>
          </cell>
          <cell r="F264">
            <v>16.100000000000001</v>
          </cell>
          <cell r="G264">
            <v>16.5</v>
          </cell>
        </row>
        <row r="265">
          <cell r="B265" t="str">
            <v>FFBL-JUN</v>
          </cell>
          <cell r="C265" t="str">
            <v>FFBL-JUN</v>
          </cell>
          <cell r="D265">
            <v>39.299999999999997</v>
          </cell>
          <cell r="E265">
            <v>39.75</v>
          </cell>
          <cell r="F265">
            <v>38.799999999999997</v>
          </cell>
          <cell r="G265">
            <v>39</v>
          </cell>
        </row>
        <row r="266">
          <cell r="B266" t="str">
            <v>PACE</v>
          </cell>
          <cell r="C266" t="str">
            <v>Pace (Pak) Ltd.</v>
          </cell>
          <cell r="D266">
            <v>29</v>
          </cell>
          <cell r="E266">
            <v>29.2</v>
          </cell>
          <cell r="F266">
            <v>28.5</v>
          </cell>
          <cell r="G266">
            <v>28.5</v>
          </cell>
        </row>
        <row r="267">
          <cell r="B267" t="str">
            <v>UTPLCF</v>
          </cell>
          <cell r="C267" t="str">
            <v>UTP-Large Cap. XD</v>
          </cell>
          <cell r="D267">
            <v>8.3000000000000007</v>
          </cell>
          <cell r="E267">
            <v>8.4499999999999993</v>
          </cell>
          <cell r="F267">
            <v>8.25</v>
          </cell>
          <cell r="G267">
            <v>8.4499999999999993</v>
          </cell>
        </row>
        <row r="268">
          <cell r="B268" t="str">
            <v>BIIC</v>
          </cell>
          <cell r="C268" t="str">
            <v>Business Ins.</v>
          </cell>
          <cell r="D268">
            <v>4.1500000000000004</v>
          </cell>
          <cell r="E268">
            <v>4.05</v>
          </cell>
          <cell r="F268">
            <v>3.95</v>
          </cell>
          <cell r="G268">
            <v>4.05</v>
          </cell>
        </row>
        <row r="269">
          <cell r="B269" t="str">
            <v>CICL</v>
          </cell>
          <cell r="C269" t="str">
            <v>Central Ins.</v>
          </cell>
          <cell r="D269">
            <v>187</v>
          </cell>
          <cell r="E269">
            <v>186.05</v>
          </cell>
          <cell r="F269">
            <v>181.55</v>
          </cell>
          <cell r="G269">
            <v>181.55</v>
          </cell>
        </row>
        <row r="270">
          <cell r="B270" t="str">
            <v>PSAF</v>
          </cell>
          <cell r="C270" t="str">
            <v>Pak Strat Fund</v>
          </cell>
          <cell r="D270">
            <v>10.4</v>
          </cell>
          <cell r="E270">
            <v>10.55</v>
          </cell>
          <cell r="F270">
            <v>10.3</v>
          </cell>
          <cell r="G270">
            <v>10.5</v>
          </cell>
        </row>
        <row r="271">
          <cell r="B271" t="str">
            <v>TAJT</v>
          </cell>
          <cell r="C271" t="str">
            <v>Taj Textile</v>
          </cell>
          <cell r="D271">
            <v>2.1</v>
          </cell>
          <cell r="E271">
            <v>2.0499999999999998</v>
          </cell>
          <cell r="F271">
            <v>2</v>
          </cell>
          <cell r="G271">
            <v>2</v>
          </cell>
        </row>
        <row r="272">
          <cell r="B272" t="str">
            <v>GHNI</v>
          </cell>
          <cell r="C272" t="str">
            <v>Ghandhara Ind.</v>
          </cell>
          <cell r="D272">
            <v>50.7</v>
          </cell>
          <cell r="E272">
            <v>53.2</v>
          </cell>
          <cell r="F272">
            <v>52</v>
          </cell>
          <cell r="G272">
            <v>53.2</v>
          </cell>
        </row>
        <row r="273">
          <cell r="B273" t="str">
            <v>HABSM</v>
          </cell>
          <cell r="C273" t="str">
            <v>Habib Sugar</v>
          </cell>
          <cell r="D273">
            <v>36</v>
          </cell>
          <cell r="E273">
            <v>36.1</v>
          </cell>
          <cell r="F273">
            <v>35.25</v>
          </cell>
          <cell r="G273">
            <v>35.549999999999997</v>
          </cell>
        </row>
        <row r="274">
          <cell r="B274" t="str">
            <v>DGKC-JUL</v>
          </cell>
          <cell r="C274" t="str">
            <v>DGKC-JUL</v>
          </cell>
          <cell r="D274">
            <v>118.9</v>
          </cell>
          <cell r="E274">
            <v>120</v>
          </cell>
          <cell r="F274">
            <v>117.2</v>
          </cell>
          <cell r="G274">
            <v>117.7</v>
          </cell>
        </row>
        <row r="275">
          <cell r="B275" t="str">
            <v>PAKRI</v>
          </cell>
          <cell r="C275" t="str">
            <v>Pak ReInsur</v>
          </cell>
          <cell r="D275">
            <v>212.35</v>
          </cell>
          <cell r="E275">
            <v>222.95</v>
          </cell>
          <cell r="F275">
            <v>217.95</v>
          </cell>
          <cell r="G275">
            <v>222.95</v>
          </cell>
        </row>
        <row r="276">
          <cell r="B276" t="str">
            <v>GLPL</v>
          </cell>
          <cell r="C276" t="str">
            <v>Gillette Pak</v>
          </cell>
          <cell r="D276">
            <v>128</v>
          </cell>
          <cell r="E276">
            <v>133</v>
          </cell>
          <cell r="F276">
            <v>130</v>
          </cell>
          <cell r="G276">
            <v>130</v>
          </cell>
        </row>
        <row r="277">
          <cell r="B277" t="str">
            <v>DGKC</v>
          </cell>
          <cell r="C277" t="str">
            <v>D.G.K.Cement</v>
          </cell>
          <cell r="D277">
            <v>117.8</v>
          </cell>
          <cell r="E277">
            <v>119.15</v>
          </cell>
          <cell r="F277">
            <v>116.4</v>
          </cell>
          <cell r="G277">
            <v>116.5</v>
          </cell>
        </row>
        <row r="278">
          <cell r="B278" t="str">
            <v>BAFL</v>
          </cell>
          <cell r="C278" t="str">
            <v>Bank Al-Falah</v>
          </cell>
          <cell r="D278">
            <v>62.15</v>
          </cell>
          <cell r="E278">
            <v>65.25</v>
          </cell>
          <cell r="F278">
            <v>63.8</v>
          </cell>
          <cell r="G278">
            <v>65.099999999999994</v>
          </cell>
        </row>
        <row r="279">
          <cell r="B279" t="str">
            <v>SIEM</v>
          </cell>
          <cell r="C279" t="str">
            <v>Siemens</v>
          </cell>
          <cell r="D279">
            <v>1715</v>
          </cell>
          <cell r="E279">
            <v>1740</v>
          </cell>
          <cell r="F279">
            <v>1700</v>
          </cell>
          <cell r="G279">
            <v>1735</v>
          </cell>
        </row>
        <row r="280">
          <cell r="B280" t="str">
            <v>PKGS</v>
          </cell>
          <cell r="C280" t="str">
            <v>Packages Limited</v>
          </cell>
          <cell r="D280">
            <v>323.95</v>
          </cell>
          <cell r="E280">
            <v>326.5</v>
          </cell>
          <cell r="F280">
            <v>319</v>
          </cell>
          <cell r="G280">
            <v>319.05</v>
          </cell>
        </row>
        <row r="281">
          <cell r="B281" t="str">
            <v>BAFL-JUL</v>
          </cell>
          <cell r="C281" t="str">
            <v>BAFL-JUL</v>
          </cell>
          <cell r="D281">
            <v>62.68</v>
          </cell>
          <cell r="E281">
            <v>65.81</v>
          </cell>
          <cell r="F281">
            <v>64.36</v>
          </cell>
          <cell r="G281">
            <v>65.8</v>
          </cell>
        </row>
        <row r="282">
          <cell r="B282" t="str">
            <v>DGKC-JUN</v>
          </cell>
          <cell r="C282" t="str">
            <v>DGKC-JUN</v>
          </cell>
          <cell r="D282">
            <v>118</v>
          </cell>
          <cell r="E282">
            <v>119</v>
          </cell>
          <cell r="F282">
            <v>116.3</v>
          </cell>
          <cell r="G282">
            <v>116.75</v>
          </cell>
        </row>
        <row r="283">
          <cell r="B283" t="str">
            <v>AKBL</v>
          </cell>
          <cell r="C283" t="str">
            <v>Askari Bank</v>
          </cell>
          <cell r="D283">
            <v>104.95</v>
          </cell>
          <cell r="E283">
            <v>106.7</v>
          </cell>
          <cell r="F283">
            <v>104.3</v>
          </cell>
          <cell r="G283">
            <v>105.9</v>
          </cell>
        </row>
        <row r="284">
          <cell r="B284" t="str">
            <v>ACBL-JUN</v>
          </cell>
          <cell r="C284" t="str">
            <v>ACBL-JUN</v>
          </cell>
          <cell r="D284">
            <v>104.75</v>
          </cell>
          <cell r="E284">
            <v>106.5</v>
          </cell>
          <cell r="F284">
            <v>104.11</v>
          </cell>
          <cell r="G284">
            <v>105</v>
          </cell>
        </row>
        <row r="285">
          <cell r="B285" t="str">
            <v>MARI</v>
          </cell>
          <cell r="C285" t="str">
            <v>Mari Gas Company</v>
          </cell>
          <cell r="D285">
            <v>176</v>
          </cell>
          <cell r="E285">
            <v>177</v>
          </cell>
          <cell r="F285">
            <v>173</v>
          </cell>
          <cell r="G285">
            <v>175</v>
          </cell>
        </row>
        <row r="286">
          <cell r="B286" t="str">
            <v>FFC</v>
          </cell>
          <cell r="C286" t="str">
            <v>Fauji Fert.XD</v>
          </cell>
          <cell r="D286">
            <v>121.15</v>
          </cell>
          <cell r="E286">
            <v>122.75</v>
          </cell>
          <cell r="F286">
            <v>120</v>
          </cell>
          <cell r="G286">
            <v>121.25</v>
          </cell>
        </row>
        <row r="287">
          <cell r="B287" t="str">
            <v>NBP</v>
          </cell>
          <cell r="C287" t="str">
            <v>National Bank</v>
          </cell>
          <cell r="D287">
            <v>264.5</v>
          </cell>
          <cell r="E287">
            <v>266</v>
          </cell>
          <cell r="F287">
            <v>260</v>
          </cell>
          <cell r="G287">
            <v>262</v>
          </cell>
        </row>
        <row r="288">
          <cell r="B288" t="str">
            <v>PIOC-JUL</v>
          </cell>
          <cell r="C288" t="str">
            <v>PIOC-JUL</v>
          </cell>
          <cell r="D288">
            <v>37.5</v>
          </cell>
          <cell r="E288">
            <v>37.9</v>
          </cell>
          <cell r="F288">
            <v>37.049999999999997</v>
          </cell>
          <cell r="G288">
            <v>37.67</v>
          </cell>
        </row>
        <row r="289">
          <cell r="B289" t="str">
            <v>OIBL</v>
          </cell>
          <cell r="C289" t="str">
            <v>Orix Bank</v>
          </cell>
          <cell r="D289">
            <v>22.15</v>
          </cell>
          <cell r="E289">
            <v>22.3</v>
          </cell>
          <cell r="F289">
            <v>21.8</v>
          </cell>
          <cell r="G289">
            <v>21.8</v>
          </cell>
        </row>
        <row r="290">
          <cell r="B290" t="str">
            <v>HSPI</v>
          </cell>
          <cell r="C290" t="str">
            <v>Huffaz Pipe</v>
          </cell>
          <cell r="D290">
            <v>89.9</v>
          </cell>
          <cell r="E290">
            <v>90</v>
          </cell>
          <cell r="F290">
            <v>88</v>
          </cell>
          <cell r="G290">
            <v>88</v>
          </cell>
        </row>
        <row r="291">
          <cell r="B291" t="str">
            <v>SNGP-JUN</v>
          </cell>
          <cell r="C291" t="str">
            <v>SNGP-JUN</v>
          </cell>
          <cell r="D291">
            <v>70.75</v>
          </cell>
          <cell r="E291">
            <v>71.3</v>
          </cell>
          <cell r="F291">
            <v>69.75</v>
          </cell>
          <cell r="G291">
            <v>70.16</v>
          </cell>
        </row>
        <row r="292">
          <cell r="B292" t="str">
            <v>NBP-JUN</v>
          </cell>
          <cell r="C292" t="str">
            <v>NBP-JUN</v>
          </cell>
          <cell r="D292">
            <v>264.10000000000002</v>
          </cell>
          <cell r="E292">
            <v>266</v>
          </cell>
          <cell r="F292">
            <v>260.25</v>
          </cell>
          <cell r="G292">
            <v>262.89999999999998</v>
          </cell>
        </row>
        <row r="293">
          <cell r="B293" t="str">
            <v>AKBL-JUL</v>
          </cell>
          <cell r="C293" t="str">
            <v>AKBL-JUL</v>
          </cell>
          <cell r="D293">
            <v>105.7</v>
          </cell>
          <cell r="E293">
            <v>107.3</v>
          </cell>
          <cell r="F293">
            <v>105</v>
          </cell>
          <cell r="G293">
            <v>106.4</v>
          </cell>
        </row>
        <row r="294">
          <cell r="B294" t="str">
            <v>PIOC</v>
          </cell>
          <cell r="C294" t="str">
            <v>Pioneer Cement</v>
          </cell>
          <cell r="D294">
            <v>36.85</v>
          </cell>
          <cell r="E294">
            <v>37.549999999999997</v>
          </cell>
          <cell r="F294">
            <v>36.75</v>
          </cell>
          <cell r="G294">
            <v>37.4</v>
          </cell>
        </row>
        <row r="295">
          <cell r="B295" t="str">
            <v>FFBL</v>
          </cell>
          <cell r="C295" t="str">
            <v>Fauji Fert Bin</v>
          </cell>
          <cell r="D295">
            <v>39.200000000000003</v>
          </cell>
          <cell r="E295">
            <v>39.6</v>
          </cell>
          <cell r="F295">
            <v>38.75</v>
          </cell>
          <cell r="G295">
            <v>39</v>
          </cell>
        </row>
        <row r="296">
          <cell r="B296" t="str">
            <v>HUBC</v>
          </cell>
          <cell r="C296" t="str">
            <v>Hub Power</v>
          </cell>
          <cell r="D296">
            <v>36.9</v>
          </cell>
          <cell r="E296">
            <v>37.5</v>
          </cell>
          <cell r="F296">
            <v>36.700000000000003</v>
          </cell>
          <cell r="G296">
            <v>36.700000000000003</v>
          </cell>
        </row>
        <row r="297">
          <cell r="B297" t="str">
            <v>HUBC-JUN</v>
          </cell>
          <cell r="C297" t="str">
            <v>HUBC-JUN</v>
          </cell>
          <cell r="D297">
            <v>36.75</v>
          </cell>
          <cell r="E297">
            <v>37.4</v>
          </cell>
          <cell r="F297">
            <v>36.61</v>
          </cell>
          <cell r="G297">
            <v>36.75</v>
          </cell>
        </row>
        <row r="298">
          <cell r="B298" t="str">
            <v>INDU</v>
          </cell>
          <cell r="C298" t="str">
            <v>Indus Motor</v>
          </cell>
          <cell r="D298">
            <v>304</v>
          </cell>
          <cell r="E298">
            <v>309</v>
          </cell>
          <cell r="F298">
            <v>302.5</v>
          </cell>
          <cell r="G298">
            <v>305.5</v>
          </cell>
        </row>
        <row r="299">
          <cell r="B299" t="str">
            <v>FFC-JUN</v>
          </cell>
          <cell r="C299" t="str">
            <v>FFC-JUN</v>
          </cell>
          <cell r="D299">
            <v>121.05</v>
          </cell>
          <cell r="E299">
            <v>122.65</v>
          </cell>
          <cell r="F299">
            <v>120.1</v>
          </cell>
          <cell r="G299">
            <v>121.35</v>
          </cell>
        </row>
        <row r="300">
          <cell r="B300" t="str">
            <v>SNBL</v>
          </cell>
          <cell r="C300" t="str">
            <v>Soneri Bank</v>
          </cell>
          <cell r="D300">
            <v>57.25</v>
          </cell>
          <cell r="E300">
            <v>57.6</v>
          </cell>
          <cell r="F300">
            <v>56.4</v>
          </cell>
          <cell r="G300">
            <v>56.45</v>
          </cell>
        </row>
        <row r="301">
          <cell r="B301" t="str">
            <v>CPMFI</v>
          </cell>
          <cell r="C301" t="str">
            <v>F.Cap.Mut.FundXD</v>
          </cell>
          <cell r="D301">
            <v>9.5500000000000007</v>
          </cell>
          <cell r="E301">
            <v>10.1</v>
          </cell>
          <cell r="F301">
            <v>9.9</v>
          </cell>
          <cell r="G301">
            <v>10.1</v>
          </cell>
        </row>
        <row r="302">
          <cell r="B302" t="str">
            <v>HICL</v>
          </cell>
          <cell r="C302" t="str">
            <v>Habib Insurance</v>
          </cell>
          <cell r="D302">
            <v>70.75</v>
          </cell>
          <cell r="E302">
            <v>70.45</v>
          </cell>
          <cell r="F302">
            <v>69</v>
          </cell>
          <cell r="G302">
            <v>70.45</v>
          </cell>
        </row>
        <row r="303">
          <cell r="B303" t="str">
            <v>SNGP</v>
          </cell>
          <cell r="C303" t="str">
            <v>Sui North Gas</v>
          </cell>
          <cell r="D303">
            <v>70.900000000000006</v>
          </cell>
          <cell r="E303">
            <v>71.45</v>
          </cell>
          <cell r="F303">
            <v>70</v>
          </cell>
          <cell r="G303">
            <v>70.75</v>
          </cell>
        </row>
        <row r="304">
          <cell r="B304" t="str">
            <v>AIBL</v>
          </cell>
          <cell r="C304" t="str">
            <v>Asset Inv.Bank</v>
          </cell>
          <cell r="D304">
            <v>4.9000000000000004</v>
          </cell>
          <cell r="E304">
            <v>4.95</v>
          </cell>
          <cell r="F304">
            <v>4.8499999999999996</v>
          </cell>
          <cell r="G304">
            <v>4.8499999999999996</v>
          </cell>
        </row>
        <row r="305">
          <cell r="B305" t="str">
            <v>FFBL-JUL</v>
          </cell>
          <cell r="C305" t="str">
            <v>FFBL-JUL</v>
          </cell>
          <cell r="D305">
            <v>39.6</v>
          </cell>
          <cell r="E305">
            <v>39.9</v>
          </cell>
          <cell r="F305">
            <v>39.11</v>
          </cell>
          <cell r="G305">
            <v>39.4</v>
          </cell>
        </row>
        <row r="306">
          <cell r="B306" t="str">
            <v>GHGL</v>
          </cell>
          <cell r="C306" t="str">
            <v>Ghani Glass</v>
          </cell>
          <cell r="D306">
            <v>75.25</v>
          </cell>
          <cell r="E306">
            <v>76.5</v>
          </cell>
          <cell r="F306">
            <v>75</v>
          </cell>
          <cell r="G306">
            <v>76.349999999999994</v>
          </cell>
        </row>
        <row r="307">
          <cell r="B307" t="str">
            <v>PEF</v>
          </cell>
          <cell r="C307" t="str">
            <v>PICIC Energy Fund</v>
          </cell>
          <cell r="D307">
            <v>7.55</v>
          </cell>
          <cell r="E307">
            <v>7.65</v>
          </cell>
          <cell r="F307">
            <v>7.5</v>
          </cell>
          <cell r="G307">
            <v>7.5</v>
          </cell>
        </row>
        <row r="308">
          <cell r="B308" t="str">
            <v>KAPCO</v>
          </cell>
          <cell r="C308" t="str">
            <v>Kot Addu Power</v>
          </cell>
          <cell r="D308">
            <v>60.5</v>
          </cell>
          <cell r="E308">
            <v>60.75</v>
          </cell>
          <cell r="F308">
            <v>59.55</v>
          </cell>
          <cell r="G308">
            <v>60.15</v>
          </cell>
        </row>
        <row r="309">
          <cell r="B309" t="str">
            <v>FABL-JUN</v>
          </cell>
          <cell r="C309" t="str">
            <v>FABL-JUN</v>
          </cell>
          <cell r="D309">
            <v>73.150000000000006</v>
          </cell>
          <cell r="E309">
            <v>74.5</v>
          </cell>
          <cell r="F309">
            <v>73.05</v>
          </cell>
          <cell r="G309">
            <v>74.400000000000006</v>
          </cell>
        </row>
        <row r="310">
          <cell r="B310" t="str">
            <v>SHJS</v>
          </cell>
          <cell r="C310" t="str">
            <v>Shahtaj Sugar</v>
          </cell>
          <cell r="D310">
            <v>57</v>
          </cell>
          <cell r="E310">
            <v>58.85</v>
          </cell>
          <cell r="F310">
            <v>57.75</v>
          </cell>
          <cell r="G310">
            <v>57.75</v>
          </cell>
        </row>
        <row r="311">
          <cell r="B311" t="str">
            <v>SSGC</v>
          </cell>
          <cell r="C311" t="str">
            <v>Sui South Gas</v>
          </cell>
          <cell r="D311">
            <v>26.1</v>
          </cell>
          <cell r="E311">
            <v>26.25</v>
          </cell>
          <cell r="F311">
            <v>25.75</v>
          </cell>
          <cell r="G311">
            <v>25.8</v>
          </cell>
        </row>
        <row r="312">
          <cell r="B312" t="str">
            <v>SAPT</v>
          </cell>
          <cell r="C312" t="str">
            <v>Sapphire Textile</v>
          </cell>
          <cell r="D312">
            <v>97</v>
          </cell>
          <cell r="E312">
            <v>101.85</v>
          </cell>
          <cell r="F312">
            <v>100</v>
          </cell>
          <cell r="G312">
            <v>101.85</v>
          </cell>
        </row>
        <row r="313">
          <cell r="B313" t="str">
            <v>HCAR</v>
          </cell>
          <cell r="C313" t="str">
            <v>Honda Atlas Cars</v>
          </cell>
          <cell r="D313">
            <v>63</v>
          </cell>
          <cell r="E313">
            <v>64</v>
          </cell>
          <cell r="F313">
            <v>62.8</v>
          </cell>
          <cell r="G313">
            <v>63.2</v>
          </cell>
        </row>
        <row r="314">
          <cell r="B314" t="str">
            <v>PINL</v>
          </cell>
          <cell r="C314" t="str">
            <v>Premier Insuran</v>
          </cell>
          <cell r="D314">
            <v>45</v>
          </cell>
          <cell r="E314">
            <v>45</v>
          </cell>
          <cell r="F314">
            <v>44.15</v>
          </cell>
          <cell r="G314">
            <v>44.2</v>
          </cell>
        </row>
        <row r="315">
          <cell r="B315" t="str">
            <v>MCB</v>
          </cell>
          <cell r="C315" t="str">
            <v>MCB Bank</v>
          </cell>
          <cell r="D315">
            <v>365.75</v>
          </cell>
          <cell r="E315">
            <v>366.9</v>
          </cell>
          <cell r="F315">
            <v>360</v>
          </cell>
          <cell r="G315">
            <v>365</v>
          </cell>
        </row>
        <row r="316">
          <cell r="B316" t="str">
            <v>INIL</v>
          </cell>
          <cell r="C316" t="str">
            <v>International Ind.</v>
          </cell>
          <cell r="D316">
            <v>149</v>
          </cell>
          <cell r="E316">
            <v>150.80000000000001</v>
          </cell>
          <cell r="F316">
            <v>148</v>
          </cell>
          <cell r="G316">
            <v>148.25</v>
          </cell>
        </row>
        <row r="317">
          <cell r="B317" t="str">
            <v>SLCL</v>
          </cell>
          <cell r="C317" t="str">
            <v>Security Leasing</v>
          </cell>
          <cell r="D317">
            <v>10.75</v>
          </cell>
          <cell r="E317">
            <v>10.95</v>
          </cell>
          <cell r="F317">
            <v>10.75</v>
          </cell>
          <cell r="G317">
            <v>10.95</v>
          </cell>
        </row>
        <row r="318">
          <cell r="B318" t="str">
            <v>NLCL</v>
          </cell>
          <cell r="C318" t="str">
            <v>Network Leasing</v>
          </cell>
          <cell r="D318">
            <v>5.4</v>
          </cell>
          <cell r="E318">
            <v>4.9000000000000004</v>
          </cell>
          <cell r="F318">
            <v>4.8</v>
          </cell>
          <cell r="G318">
            <v>4.8</v>
          </cell>
        </row>
        <row r="319">
          <cell r="B319" t="str">
            <v>PCAL</v>
          </cell>
          <cell r="C319" t="str">
            <v>Pakistan Cables</v>
          </cell>
          <cell r="D319">
            <v>271</v>
          </cell>
          <cell r="E319">
            <v>270</v>
          </cell>
          <cell r="F319">
            <v>265</v>
          </cell>
          <cell r="G319">
            <v>267.89999999999998</v>
          </cell>
        </row>
        <row r="320">
          <cell r="B320" t="str">
            <v>KAPCO-JUN</v>
          </cell>
          <cell r="C320" t="str">
            <v>KAPCO-JUN</v>
          </cell>
          <cell r="D320">
            <v>59.8</v>
          </cell>
          <cell r="E320">
            <v>60.8</v>
          </cell>
          <cell r="F320">
            <v>59.7</v>
          </cell>
          <cell r="G320">
            <v>60.1</v>
          </cell>
        </row>
        <row r="321">
          <cell r="B321" t="str">
            <v>FHAM</v>
          </cell>
          <cell r="C321" t="str">
            <v>Habib Mod</v>
          </cell>
          <cell r="D321">
            <v>13.6</v>
          </cell>
          <cell r="E321">
            <v>13.7</v>
          </cell>
          <cell r="F321">
            <v>13.45</v>
          </cell>
          <cell r="G321">
            <v>13.5</v>
          </cell>
        </row>
        <row r="322">
          <cell r="B322" t="str">
            <v>PRL</v>
          </cell>
          <cell r="C322" t="str">
            <v>Pak Refinery</v>
          </cell>
          <cell r="D322">
            <v>224</v>
          </cell>
          <cell r="E322">
            <v>223.1</v>
          </cell>
          <cell r="F322">
            <v>219</v>
          </cell>
          <cell r="G322">
            <v>221.95</v>
          </cell>
        </row>
        <row r="323">
          <cell r="B323" t="str">
            <v>KOIL</v>
          </cell>
          <cell r="C323" t="str">
            <v>Kohinoor Ind.</v>
          </cell>
          <cell r="D323">
            <v>11.1</v>
          </cell>
          <cell r="E323">
            <v>11.2</v>
          </cell>
          <cell r="F323">
            <v>11</v>
          </cell>
          <cell r="G323">
            <v>11</v>
          </cell>
        </row>
        <row r="324">
          <cell r="B324" t="str">
            <v>PPL-JUL</v>
          </cell>
          <cell r="C324" t="str">
            <v>PPL-JUL</v>
          </cell>
          <cell r="D324">
            <v>267</v>
          </cell>
          <cell r="E324">
            <v>267.79000000000002</v>
          </cell>
          <cell r="F324">
            <v>263</v>
          </cell>
          <cell r="G324">
            <v>264.89999999999998</v>
          </cell>
        </row>
        <row r="325">
          <cell r="B325" t="str">
            <v>PAEL</v>
          </cell>
          <cell r="C325" t="str">
            <v>Pak Elektron</v>
          </cell>
          <cell r="D325">
            <v>86.45</v>
          </cell>
          <cell r="E325">
            <v>87.25</v>
          </cell>
          <cell r="F325">
            <v>85.7</v>
          </cell>
          <cell r="G325">
            <v>86</v>
          </cell>
        </row>
        <row r="326">
          <cell r="B326" t="str">
            <v>OGDC-JUN</v>
          </cell>
          <cell r="C326" t="str">
            <v>OGDC-JUN</v>
          </cell>
          <cell r="D326">
            <v>120.3</v>
          </cell>
          <cell r="E326">
            <v>120.64</v>
          </cell>
          <cell r="F326">
            <v>118.5</v>
          </cell>
          <cell r="G326">
            <v>119.7</v>
          </cell>
        </row>
        <row r="327">
          <cell r="B327" t="str">
            <v>DAWH</v>
          </cell>
          <cell r="C327" t="str">
            <v>Dawood Hercules</v>
          </cell>
          <cell r="D327">
            <v>277</v>
          </cell>
          <cell r="E327">
            <v>278.89999999999998</v>
          </cell>
          <cell r="F327">
            <v>274</v>
          </cell>
          <cell r="G327">
            <v>278.89999999999998</v>
          </cell>
        </row>
        <row r="328">
          <cell r="B328" t="str">
            <v>PMRS</v>
          </cell>
          <cell r="C328" t="str">
            <v>Premier Suger</v>
          </cell>
          <cell r="D328">
            <v>71.650000000000006</v>
          </cell>
          <cell r="E328">
            <v>75.2</v>
          </cell>
          <cell r="F328">
            <v>73.95</v>
          </cell>
          <cell r="G328">
            <v>75.2</v>
          </cell>
        </row>
        <row r="329">
          <cell r="B329" t="str">
            <v>PPL</v>
          </cell>
          <cell r="C329" t="str">
            <v>Pak Petroleum</v>
          </cell>
          <cell r="D329">
            <v>264.64999999999998</v>
          </cell>
          <cell r="E329">
            <v>265.35000000000002</v>
          </cell>
          <cell r="F329">
            <v>260.8</v>
          </cell>
          <cell r="G329">
            <v>262.45</v>
          </cell>
        </row>
        <row r="330">
          <cell r="B330" t="str">
            <v>JDWS</v>
          </cell>
          <cell r="C330" t="str">
            <v>J.D.W.Sugar</v>
          </cell>
          <cell r="D330">
            <v>70.150000000000006</v>
          </cell>
          <cell r="E330">
            <v>70.7</v>
          </cell>
          <cell r="F330">
            <v>69.5</v>
          </cell>
          <cell r="G330">
            <v>70.349999999999994</v>
          </cell>
        </row>
        <row r="331">
          <cell r="B331" t="str">
            <v>SSGC-JUL</v>
          </cell>
          <cell r="C331" t="str">
            <v>SSGC-JUL</v>
          </cell>
          <cell r="D331">
            <v>26.36</v>
          </cell>
          <cell r="E331">
            <v>26.5</v>
          </cell>
          <cell r="F331">
            <v>26.05</v>
          </cell>
          <cell r="G331">
            <v>26.4</v>
          </cell>
        </row>
        <row r="332">
          <cell r="B332" t="str">
            <v>PPL-JUN</v>
          </cell>
          <cell r="C332" t="str">
            <v>PPL-JUN</v>
          </cell>
          <cell r="D332">
            <v>264.89999999999998</v>
          </cell>
          <cell r="E332">
            <v>265.5</v>
          </cell>
          <cell r="F332">
            <v>261</v>
          </cell>
          <cell r="G332">
            <v>261.95</v>
          </cell>
        </row>
        <row r="333">
          <cell r="B333" t="str">
            <v>SMOP</v>
          </cell>
          <cell r="C333" t="str">
            <v>Suzuki Motorcyc</v>
          </cell>
          <cell r="D333">
            <v>17.850000000000001</v>
          </cell>
          <cell r="E333">
            <v>17.8</v>
          </cell>
          <cell r="F333">
            <v>17.5</v>
          </cell>
          <cell r="G333">
            <v>17.5</v>
          </cell>
        </row>
        <row r="334">
          <cell r="B334" t="str">
            <v>PASM</v>
          </cell>
          <cell r="C334" t="str">
            <v>Parmount Spinning</v>
          </cell>
          <cell r="D334">
            <v>12</v>
          </cell>
          <cell r="E334">
            <v>13</v>
          </cell>
          <cell r="F334">
            <v>12.8</v>
          </cell>
          <cell r="G334">
            <v>13</v>
          </cell>
        </row>
        <row r="335">
          <cell r="B335" t="str">
            <v>FABL</v>
          </cell>
          <cell r="C335" t="str">
            <v>Faysal Bank</v>
          </cell>
          <cell r="D335">
            <v>73.05</v>
          </cell>
          <cell r="E335">
            <v>74.349999999999994</v>
          </cell>
          <cell r="F335">
            <v>73.150000000000006</v>
          </cell>
          <cell r="G335">
            <v>74</v>
          </cell>
        </row>
        <row r="336">
          <cell r="B336" t="str">
            <v>FFC-JUL</v>
          </cell>
          <cell r="C336" t="str">
            <v>FFC-JUL</v>
          </cell>
          <cell r="D336">
            <v>122.4</v>
          </cell>
          <cell r="E336">
            <v>123.5</v>
          </cell>
          <cell r="F336">
            <v>121.5</v>
          </cell>
          <cell r="G336">
            <v>122.15</v>
          </cell>
        </row>
        <row r="337">
          <cell r="B337" t="str">
            <v>LATM</v>
          </cell>
          <cell r="C337" t="str">
            <v>Latif Jute</v>
          </cell>
          <cell r="D337">
            <v>9.25</v>
          </cell>
          <cell r="E337">
            <v>9.15</v>
          </cell>
          <cell r="F337">
            <v>9</v>
          </cell>
          <cell r="G337">
            <v>9</v>
          </cell>
        </row>
        <row r="338">
          <cell r="B338" t="str">
            <v>HUBC-JUL</v>
          </cell>
          <cell r="C338" t="str">
            <v>HUBC-JUL</v>
          </cell>
          <cell r="D338">
            <v>37</v>
          </cell>
          <cell r="E338">
            <v>37.75</v>
          </cell>
          <cell r="F338">
            <v>37.15</v>
          </cell>
          <cell r="G338">
            <v>37.200000000000003</v>
          </cell>
        </row>
        <row r="339">
          <cell r="B339" t="str">
            <v>MCB-JUN</v>
          </cell>
          <cell r="C339" t="str">
            <v>MCB-JUN</v>
          </cell>
          <cell r="D339">
            <v>365.5</v>
          </cell>
          <cell r="E339">
            <v>366.89</v>
          </cell>
          <cell r="F339">
            <v>361</v>
          </cell>
          <cell r="G339">
            <v>363.99</v>
          </cell>
        </row>
        <row r="340">
          <cell r="B340" t="str">
            <v>SPLC</v>
          </cell>
          <cell r="C340" t="str">
            <v>Saudi Pak Leas</v>
          </cell>
          <cell r="D340">
            <v>9.5</v>
          </cell>
          <cell r="E340">
            <v>9.5</v>
          </cell>
          <cell r="F340">
            <v>9.35</v>
          </cell>
          <cell r="G340">
            <v>9.5</v>
          </cell>
        </row>
        <row r="341">
          <cell r="B341" t="str">
            <v>ABOT</v>
          </cell>
          <cell r="C341" t="str">
            <v>Abbott (Lab)</v>
          </cell>
          <cell r="D341">
            <v>185.5</v>
          </cell>
          <cell r="E341">
            <v>188</v>
          </cell>
          <cell r="F341">
            <v>185.1</v>
          </cell>
          <cell r="G341">
            <v>186</v>
          </cell>
        </row>
        <row r="342">
          <cell r="B342" t="str">
            <v>MCB-JUL</v>
          </cell>
          <cell r="C342" t="str">
            <v>MCB-JUL</v>
          </cell>
          <cell r="D342">
            <v>365.65</v>
          </cell>
          <cell r="E342">
            <v>366.25</v>
          </cell>
          <cell r="F342">
            <v>360.57</v>
          </cell>
          <cell r="G342">
            <v>363.25</v>
          </cell>
        </row>
        <row r="343">
          <cell r="B343" t="str">
            <v>POLYR</v>
          </cell>
          <cell r="C343" t="str">
            <v>Polyron Limited</v>
          </cell>
          <cell r="D343">
            <v>3.25</v>
          </cell>
          <cell r="E343">
            <v>3.25</v>
          </cell>
          <cell r="F343">
            <v>3.2</v>
          </cell>
          <cell r="G343">
            <v>3.2</v>
          </cell>
        </row>
        <row r="344">
          <cell r="B344" t="str">
            <v>AGIL</v>
          </cell>
          <cell r="C344" t="str">
            <v>Agriautos Ind.</v>
          </cell>
          <cell r="D344">
            <v>98</v>
          </cell>
          <cell r="E344">
            <v>99</v>
          </cell>
          <cell r="F344">
            <v>97.5</v>
          </cell>
          <cell r="G344">
            <v>98.9</v>
          </cell>
        </row>
        <row r="345">
          <cell r="B345" t="str">
            <v>SNGP-JUL</v>
          </cell>
          <cell r="C345" t="str">
            <v>SNGP-JUL</v>
          </cell>
          <cell r="D345">
            <v>71.5</v>
          </cell>
          <cell r="E345">
            <v>71.89</v>
          </cell>
          <cell r="F345">
            <v>70.8</v>
          </cell>
          <cell r="G345">
            <v>71</v>
          </cell>
        </row>
        <row r="346">
          <cell r="B346" t="str">
            <v>FECTC</v>
          </cell>
          <cell r="C346" t="str">
            <v>Fecto Cement</v>
          </cell>
          <cell r="D346">
            <v>32.9</v>
          </cell>
          <cell r="E346">
            <v>32.5</v>
          </cell>
          <cell r="F346">
            <v>32</v>
          </cell>
          <cell r="G346">
            <v>32.5</v>
          </cell>
        </row>
        <row r="347">
          <cell r="B347" t="str">
            <v>NONS</v>
          </cell>
          <cell r="C347" t="str">
            <v>Noon Sugar</v>
          </cell>
          <cell r="D347">
            <v>29.8</v>
          </cell>
          <cell r="E347">
            <v>30.25</v>
          </cell>
          <cell r="F347">
            <v>29.8</v>
          </cell>
          <cell r="G347">
            <v>29.8</v>
          </cell>
        </row>
        <row r="348">
          <cell r="B348" t="str">
            <v>FABL-JUL</v>
          </cell>
          <cell r="C348" t="str">
            <v>FABL-JUL</v>
          </cell>
          <cell r="D348">
            <v>73.900000000000006</v>
          </cell>
          <cell r="E348">
            <v>74.900000000000006</v>
          </cell>
          <cell r="F348">
            <v>73.8</v>
          </cell>
          <cell r="G348">
            <v>74.5</v>
          </cell>
        </row>
        <row r="349">
          <cell r="B349" t="str">
            <v>MTL</v>
          </cell>
          <cell r="C349" t="str">
            <v>Millat Tractors</v>
          </cell>
          <cell r="D349">
            <v>333</v>
          </cell>
          <cell r="E349">
            <v>334.95</v>
          </cell>
          <cell r="F349">
            <v>330</v>
          </cell>
          <cell r="G349">
            <v>331.5</v>
          </cell>
        </row>
        <row r="350">
          <cell r="B350" t="str">
            <v>IGIIL</v>
          </cell>
          <cell r="C350" t="str">
            <v>IGI Insurance</v>
          </cell>
          <cell r="D350">
            <v>399</v>
          </cell>
          <cell r="E350">
            <v>400.95</v>
          </cell>
          <cell r="F350">
            <v>395.05</v>
          </cell>
          <cell r="G350">
            <v>400</v>
          </cell>
        </row>
        <row r="351">
          <cell r="B351" t="str">
            <v>MBF</v>
          </cell>
          <cell r="C351" t="str">
            <v>Meezan Bal.Fund</v>
          </cell>
          <cell r="D351">
            <v>10.199999999999999</v>
          </cell>
          <cell r="E351">
            <v>10.25</v>
          </cell>
          <cell r="F351">
            <v>10.1</v>
          </cell>
          <cell r="G351">
            <v>10.25</v>
          </cell>
        </row>
        <row r="352">
          <cell r="B352" t="str">
            <v>PGF</v>
          </cell>
          <cell r="C352" t="str">
            <v>PICIC Growth</v>
          </cell>
          <cell r="D352">
            <v>34.299999999999997</v>
          </cell>
          <cell r="E352">
            <v>34.299999999999997</v>
          </cell>
          <cell r="F352">
            <v>33.799999999999997</v>
          </cell>
          <cell r="G352">
            <v>33.799999999999997</v>
          </cell>
        </row>
        <row r="353">
          <cell r="B353" t="str">
            <v>OGDC</v>
          </cell>
          <cell r="C353" t="str">
            <v>Oil &amp; Gas Dev.XD</v>
          </cell>
          <cell r="D353">
            <v>120.35</v>
          </cell>
          <cell r="E353">
            <v>120.75</v>
          </cell>
          <cell r="F353">
            <v>119</v>
          </cell>
          <cell r="G353">
            <v>119.8</v>
          </cell>
        </row>
        <row r="354">
          <cell r="B354" t="str">
            <v>UVIC</v>
          </cell>
          <cell r="C354" t="str">
            <v>Universal Insur</v>
          </cell>
          <cell r="D354">
            <v>20.75</v>
          </cell>
          <cell r="E354">
            <v>20.8</v>
          </cell>
          <cell r="F354">
            <v>20.5</v>
          </cell>
          <cell r="G354">
            <v>20.75</v>
          </cell>
        </row>
        <row r="355">
          <cell r="B355" t="str">
            <v>OGDC-JUL</v>
          </cell>
          <cell r="C355" t="str">
            <v>OGDC-JUL</v>
          </cell>
          <cell r="D355">
            <v>121.45</v>
          </cell>
          <cell r="E355">
            <v>121.75</v>
          </cell>
          <cell r="F355">
            <v>120</v>
          </cell>
          <cell r="G355">
            <v>120.6</v>
          </cell>
        </row>
        <row r="356">
          <cell r="B356" t="str">
            <v>PRCBL</v>
          </cell>
          <cell r="C356" t="str">
            <v>Prime Bank</v>
          </cell>
          <cell r="D356">
            <v>51.8</v>
          </cell>
          <cell r="E356">
            <v>52.5</v>
          </cell>
          <cell r="F356">
            <v>51.8</v>
          </cell>
          <cell r="G356">
            <v>52</v>
          </cell>
        </row>
        <row r="357">
          <cell r="B357" t="str">
            <v>BAHL</v>
          </cell>
          <cell r="C357" t="str">
            <v>Bank AL-Habib</v>
          </cell>
          <cell r="D357">
            <v>66.8</v>
          </cell>
          <cell r="E357">
            <v>67.400000000000006</v>
          </cell>
          <cell r="F357">
            <v>66.5</v>
          </cell>
          <cell r="G357">
            <v>66.5</v>
          </cell>
        </row>
        <row r="358">
          <cell r="B358" t="str">
            <v>SCBPL</v>
          </cell>
          <cell r="C358" t="str">
            <v>Stand.Chart.Bank</v>
          </cell>
          <cell r="D358">
            <v>53</v>
          </cell>
          <cell r="E358">
            <v>53.2</v>
          </cell>
          <cell r="F358">
            <v>52.5</v>
          </cell>
          <cell r="G358">
            <v>52.95</v>
          </cell>
        </row>
        <row r="359">
          <cell r="B359" t="str">
            <v>KSBP</v>
          </cell>
          <cell r="C359" t="str">
            <v>K.S.B.Pumps</v>
          </cell>
          <cell r="D359">
            <v>155.80000000000001</v>
          </cell>
          <cell r="E359">
            <v>161.9</v>
          </cell>
          <cell r="F359">
            <v>159.94999999999999</v>
          </cell>
          <cell r="G359">
            <v>159.94999999999999</v>
          </cell>
        </row>
        <row r="360">
          <cell r="B360" t="str">
            <v>CPL</v>
          </cell>
          <cell r="C360" t="str">
            <v>Clariant Pak</v>
          </cell>
          <cell r="D360">
            <v>210</v>
          </cell>
          <cell r="E360">
            <v>209</v>
          </cell>
          <cell r="F360">
            <v>206.4</v>
          </cell>
          <cell r="G360">
            <v>208.25</v>
          </cell>
        </row>
        <row r="361">
          <cell r="B361" t="str">
            <v>FPJM</v>
          </cell>
          <cell r="C361" t="str">
            <v>Punjab Mod.</v>
          </cell>
          <cell r="D361">
            <v>8.1</v>
          </cell>
          <cell r="E361">
            <v>8</v>
          </cell>
          <cell r="F361">
            <v>7.9</v>
          </cell>
          <cell r="G361">
            <v>8</v>
          </cell>
        </row>
        <row r="362">
          <cell r="B362" t="str">
            <v>ZTL</v>
          </cell>
          <cell r="C362" t="str">
            <v>Zephyr Textile Ltd</v>
          </cell>
          <cell r="D362">
            <v>8.1999999999999993</v>
          </cell>
          <cell r="E362">
            <v>8.25</v>
          </cell>
          <cell r="F362">
            <v>8.15</v>
          </cell>
          <cell r="G362">
            <v>8.1999999999999993</v>
          </cell>
        </row>
        <row r="363">
          <cell r="B363" t="str">
            <v>SHEL</v>
          </cell>
          <cell r="C363" t="str">
            <v>Shell Pakistan</v>
          </cell>
          <cell r="D363">
            <v>412</v>
          </cell>
          <cell r="E363">
            <v>415</v>
          </cell>
          <cell r="F363">
            <v>410.05</v>
          </cell>
          <cell r="G363">
            <v>410.05</v>
          </cell>
        </row>
        <row r="364">
          <cell r="B364" t="str">
            <v>AKDITF</v>
          </cell>
          <cell r="C364" t="str">
            <v>AKD IndexSPOT</v>
          </cell>
          <cell r="D364">
            <v>13.05</v>
          </cell>
          <cell r="E364">
            <v>13.75</v>
          </cell>
          <cell r="F364">
            <v>13.6</v>
          </cell>
          <cell r="G364">
            <v>13.7</v>
          </cell>
        </row>
        <row r="365">
          <cell r="B365" t="str">
            <v>FNBM</v>
          </cell>
          <cell r="C365" t="str">
            <v>Nat.Bank Mod</v>
          </cell>
          <cell r="D365">
            <v>8.8000000000000007</v>
          </cell>
          <cell r="E365">
            <v>8.6999999999999993</v>
          </cell>
          <cell r="F365">
            <v>8.6</v>
          </cell>
          <cell r="G365">
            <v>8.65</v>
          </cell>
        </row>
        <row r="366">
          <cell r="B366" t="str">
            <v>ATBA</v>
          </cell>
          <cell r="C366" t="str">
            <v>Atlas Battery</v>
          </cell>
          <cell r="D366">
            <v>159.85</v>
          </cell>
          <cell r="E366">
            <v>167.8</v>
          </cell>
          <cell r="F366">
            <v>166</v>
          </cell>
          <cell r="G366">
            <v>167.8</v>
          </cell>
        </row>
        <row r="367">
          <cell r="B367" t="str">
            <v>FANM</v>
          </cell>
          <cell r="C367" t="str">
            <v>AL-Noor Mod.</v>
          </cell>
          <cell r="D367">
            <v>4.5999999999999996</v>
          </cell>
          <cell r="E367">
            <v>4.45</v>
          </cell>
          <cell r="F367">
            <v>4.4000000000000004</v>
          </cell>
          <cell r="G367">
            <v>4.45</v>
          </cell>
        </row>
        <row r="368">
          <cell r="B368" t="str">
            <v>FCSC</v>
          </cell>
          <cell r="C368" t="str">
            <v>Ist.Capital Sec.</v>
          </cell>
          <cell r="D368">
            <v>66.55</v>
          </cell>
          <cell r="E368">
            <v>69.849999999999994</v>
          </cell>
          <cell r="F368">
            <v>69.150000000000006</v>
          </cell>
          <cell r="G368">
            <v>69.849999999999994</v>
          </cell>
        </row>
        <row r="369">
          <cell r="B369" t="str">
            <v>HMB</v>
          </cell>
          <cell r="C369" t="str">
            <v>Habib Metro Bank</v>
          </cell>
          <cell r="D369">
            <v>77.650000000000006</v>
          </cell>
          <cell r="E369">
            <v>77.8</v>
          </cell>
          <cell r="F369">
            <v>77</v>
          </cell>
          <cell r="G369">
            <v>77</v>
          </cell>
        </row>
        <row r="370">
          <cell r="B370" t="str">
            <v>PSMC</v>
          </cell>
          <cell r="C370" t="str">
            <v>Pak Suzuki</v>
          </cell>
          <cell r="D370">
            <v>393</v>
          </cell>
          <cell r="E370">
            <v>395</v>
          </cell>
          <cell r="F370">
            <v>391</v>
          </cell>
          <cell r="G370">
            <v>392</v>
          </cell>
        </row>
        <row r="371">
          <cell r="B371" t="str">
            <v>PIF</v>
          </cell>
          <cell r="C371" t="str">
            <v>PICIC Inv.Fund</v>
          </cell>
          <cell r="D371">
            <v>15.25</v>
          </cell>
          <cell r="E371">
            <v>15.35</v>
          </cell>
          <cell r="F371">
            <v>15.2</v>
          </cell>
          <cell r="G371">
            <v>15.25</v>
          </cell>
        </row>
        <row r="372">
          <cell r="B372" t="str">
            <v>FHBM</v>
          </cell>
          <cell r="C372" t="str">
            <v>H.B.L.Mod.</v>
          </cell>
          <cell r="D372">
            <v>10.199999999999999</v>
          </cell>
          <cell r="E372">
            <v>10</v>
          </cell>
          <cell r="F372">
            <v>9.9</v>
          </cell>
          <cell r="G372">
            <v>9.9</v>
          </cell>
        </row>
        <row r="373">
          <cell r="B373" t="str">
            <v>GLAXO</v>
          </cell>
          <cell r="C373" t="str">
            <v>GlaxoSmith</v>
          </cell>
          <cell r="D373">
            <v>186.5</v>
          </cell>
          <cell r="E373">
            <v>188.8</v>
          </cell>
          <cell r="F373">
            <v>187</v>
          </cell>
          <cell r="G373">
            <v>187.5</v>
          </cell>
        </row>
        <row r="374">
          <cell r="B374" t="str">
            <v>LAKST</v>
          </cell>
          <cell r="C374" t="str">
            <v>Lakson Tobacco</v>
          </cell>
          <cell r="D374">
            <v>550</v>
          </cell>
          <cell r="E374">
            <v>575</v>
          </cell>
          <cell r="F374">
            <v>570</v>
          </cell>
          <cell r="G374">
            <v>575</v>
          </cell>
        </row>
        <row r="375">
          <cell r="B375" t="str">
            <v>YOUW</v>
          </cell>
          <cell r="C375" t="str">
            <v>Yousuf Weaving</v>
          </cell>
          <cell r="D375">
            <v>5.8</v>
          </cell>
          <cell r="E375">
            <v>6.45</v>
          </cell>
          <cell r="F375">
            <v>6.4</v>
          </cell>
          <cell r="G375">
            <v>6.45</v>
          </cell>
        </row>
        <row r="376">
          <cell r="B376" t="str">
            <v>OLPL</v>
          </cell>
          <cell r="C376" t="str">
            <v>Orix Leasing</v>
          </cell>
          <cell r="D376">
            <v>29.75</v>
          </cell>
          <cell r="E376">
            <v>29.75</v>
          </cell>
          <cell r="F376">
            <v>29.5</v>
          </cell>
          <cell r="G376">
            <v>29.75</v>
          </cell>
        </row>
        <row r="377">
          <cell r="B377" t="str">
            <v>CPAL</v>
          </cell>
          <cell r="C377" t="str">
            <v>Cap.Assets Leasing</v>
          </cell>
          <cell r="D377">
            <v>6</v>
          </cell>
          <cell r="E377">
            <v>5.55</v>
          </cell>
          <cell r="F377">
            <v>5.5</v>
          </cell>
          <cell r="G377">
            <v>5.5</v>
          </cell>
        </row>
        <row r="378">
          <cell r="B378" t="str">
            <v>WAHN</v>
          </cell>
          <cell r="C378" t="str">
            <v>Wah-Noble</v>
          </cell>
          <cell r="D378">
            <v>32.75</v>
          </cell>
          <cell r="E378">
            <v>33</v>
          </cell>
          <cell r="F378">
            <v>32.75</v>
          </cell>
          <cell r="G378">
            <v>33</v>
          </cell>
        </row>
        <row r="379">
          <cell r="B379" t="str">
            <v>KAPCO-JUL</v>
          </cell>
          <cell r="C379" t="str">
            <v>KAPCO-JUL</v>
          </cell>
          <cell r="D379">
            <v>59.85</v>
          </cell>
          <cell r="E379">
            <v>60.25</v>
          </cell>
          <cell r="F379">
            <v>59.8</v>
          </cell>
          <cell r="G379">
            <v>60.2</v>
          </cell>
        </row>
        <row r="380">
          <cell r="B380" t="str">
            <v>TGL</v>
          </cell>
          <cell r="C380" t="str">
            <v>Tariq Glass Ind.</v>
          </cell>
          <cell r="D380">
            <v>69</v>
          </cell>
          <cell r="E380">
            <v>69.5</v>
          </cell>
          <cell r="F380">
            <v>69</v>
          </cell>
          <cell r="G380">
            <v>69.25</v>
          </cell>
        </row>
        <row r="381">
          <cell r="B381" t="str">
            <v>PTEC</v>
          </cell>
          <cell r="C381" t="str">
            <v>Pak Telephone</v>
          </cell>
          <cell r="D381">
            <v>7.5</v>
          </cell>
          <cell r="E381">
            <v>6.9</v>
          </cell>
          <cell r="F381">
            <v>6.85</v>
          </cell>
          <cell r="G381">
            <v>6.85</v>
          </cell>
        </row>
        <row r="382">
          <cell r="B382" t="str">
            <v>HINO</v>
          </cell>
          <cell r="C382" t="str">
            <v>Hinopak Motor</v>
          </cell>
          <cell r="D382">
            <v>364.5</v>
          </cell>
          <cell r="E382">
            <v>365</v>
          </cell>
          <cell r="F382">
            <v>363</v>
          </cell>
          <cell r="G382">
            <v>363</v>
          </cell>
        </row>
        <row r="383">
          <cell r="B383" t="str">
            <v>ATFF</v>
          </cell>
          <cell r="C383" t="str">
            <v>Atlas Fund of Funds</v>
          </cell>
          <cell r="D383">
            <v>9.15</v>
          </cell>
          <cell r="E383">
            <v>9.1999999999999993</v>
          </cell>
          <cell r="F383">
            <v>9.15</v>
          </cell>
          <cell r="G383">
            <v>9.1999999999999993</v>
          </cell>
        </row>
        <row r="384">
          <cell r="B384" t="str">
            <v>ISIL</v>
          </cell>
          <cell r="C384" t="str">
            <v>Ismail Ind.</v>
          </cell>
          <cell r="D384">
            <v>39.25</v>
          </cell>
          <cell r="E384">
            <v>40</v>
          </cell>
          <cell r="F384">
            <v>39.799999999999997</v>
          </cell>
          <cell r="G384">
            <v>40</v>
          </cell>
        </row>
        <row r="385">
          <cell r="B385" t="str">
            <v>STCL</v>
          </cell>
          <cell r="C385" t="str">
            <v>Shabbir Tiles</v>
          </cell>
          <cell r="D385">
            <v>45</v>
          </cell>
          <cell r="E385">
            <v>46.5</v>
          </cell>
          <cell r="F385">
            <v>46.3</v>
          </cell>
          <cell r="G385">
            <v>46.5</v>
          </cell>
        </row>
        <row r="386">
          <cell r="B386" t="str">
            <v>SURC</v>
          </cell>
          <cell r="C386" t="str">
            <v>Suraj Cotton</v>
          </cell>
          <cell r="D386">
            <v>59.4</v>
          </cell>
          <cell r="E386">
            <v>59.25</v>
          </cell>
          <cell r="F386">
            <v>59</v>
          </cell>
          <cell r="G386">
            <v>59.25</v>
          </cell>
        </row>
        <row r="387">
          <cell r="B387" t="str">
            <v>SFL</v>
          </cell>
          <cell r="C387" t="str">
            <v>Sapphire Fiber</v>
          </cell>
          <cell r="D387">
            <v>174</v>
          </cell>
          <cell r="E387">
            <v>182.7</v>
          </cell>
          <cell r="F387">
            <v>182</v>
          </cell>
          <cell r="G387">
            <v>182.7</v>
          </cell>
        </row>
        <row r="388">
          <cell r="B388" t="str">
            <v>BWHL</v>
          </cell>
          <cell r="C388" t="str">
            <v>Bal.Wheels</v>
          </cell>
          <cell r="D388">
            <v>66.2</v>
          </cell>
          <cell r="E388">
            <v>66.25</v>
          </cell>
          <cell r="F388">
            <v>66</v>
          </cell>
          <cell r="G388">
            <v>66</v>
          </cell>
        </row>
        <row r="389">
          <cell r="B389" t="str">
            <v>SAPL</v>
          </cell>
          <cell r="C389" t="str">
            <v>Sanofi-Aventis</v>
          </cell>
          <cell r="D389">
            <v>322</v>
          </cell>
          <cell r="E389">
            <v>316</v>
          </cell>
          <cell r="F389">
            <v>315</v>
          </cell>
          <cell r="G389">
            <v>315</v>
          </cell>
        </row>
        <row r="390">
          <cell r="B390" t="str">
            <v>BERG</v>
          </cell>
          <cell r="C390" t="str">
            <v>Berger Paints</v>
          </cell>
          <cell r="D390">
            <v>150</v>
          </cell>
          <cell r="E390">
            <v>151.5</v>
          </cell>
          <cell r="F390">
            <v>151.05000000000001</v>
          </cell>
          <cell r="G390">
            <v>151.05000000000001</v>
          </cell>
        </row>
        <row r="391">
          <cell r="B391" t="str">
            <v>JDMT</v>
          </cell>
          <cell r="C391" t="str">
            <v>Janana D Mal</v>
          </cell>
          <cell r="D391">
            <v>26.25</v>
          </cell>
          <cell r="E391">
            <v>27.55</v>
          </cell>
          <cell r="F391">
            <v>27.5</v>
          </cell>
          <cell r="G391">
            <v>27.55</v>
          </cell>
        </row>
        <row r="392">
          <cell r="B392" t="str">
            <v>ASKL</v>
          </cell>
          <cell r="C392" t="str">
            <v>Askari Leasing</v>
          </cell>
          <cell r="D392">
            <v>32.799999999999997</v>
          </cell>
          <cell r="E392">
            <v>32.799999999999997</v>
          </cell>
          <cell r="F392">
            <v>32.75</v>
          </cell>
          <cell r="G392">
            <v>32.75</v>
          </cell>
        </row>
        <row r="393">
          <cell r="B393" t="str">
            <v>NOPK</v>
          </cell>
          <cell r="C393" t="str">
            <v>Noon Pakistan</v>
          </cell>
          <cell r="D393">
            <v>155</v>
          </cell>
          <cell r="E393">
            <v>160</v>
          </cell>
          <cell r="F393">
            <v>159.94999999999999</v>
          </cell>
          <cell r="G393">
            <v>160</v>
          </cell>
        </row>
        <row r="394">
          <cell r="B394" t="str">
            <v>BPGF</v>
          </cell>
          <cell r="C394" t="str">
            <v>BMA Principal Fund</v>
          </cell>
          <cell r="D394">
            <v>9</v>
          </cell>
          <cell r="E394">
            <v>9</v>
          </cell>
          <cell r="F394">
            <v>9</v>
          </cell>
          <cell r="G394">
            <v>9</v>
          </cell>
        </row>
        <row r="395">
          <cell r="B395" t="str">
            <v>DOMF</v>
          </cell>
          <cell r="C395" t="str">
            <v>Dominion Stock</v>
          </cell>
          <cell r="D395">
            <v>1.65</v>
          </cell>
          <cell r="E395">
            <v>1.6</v>
          </cell>
          <cell r="F395">
            <v>1.6</v>
          </cell>
          <cell r="G395">
            <v>1.6</v>
          </cell>
        </row>
        <row r="396">
          <cell r="B396" t="str">
            <v>WEBF</v>
          </cell>
          <cell r="C396" t="str">
            <v>WE Balanced Fund</v>
          </cell>
          <cell r="D396">
            <v>9.9</v>
          </cell>
          <cell r="E396">
            <v>9.9</v>
          </cell>
          <cell r="F396">
            <v>9.9</v>
          </cell>
          <cell r="G396">
            <v>9.9</v>
          </cell>
        </row>
        <row r="397">
          <cell r="B397" t="str">
            <v>TRSM</v>
          </cell>
          <cell r="C397" t="str">
            <v>Trust Modaraba</v>
          </cell>
          <cell r="D397">
            <v>4.75</v>
          </cell>
          <cell r="E397">
            <v>4.75</v>
          </cell>
          <cell r="F397">
            <v>4.75</v>
          </cell>
          <cell r="G397">
            <v>4.75</v>
          </cell>
        </row>
        <row r="398">
          <cell r="B398" t="str">
            <v>CLC</v>
          </cell>
          <cell r="C398" t="str">
            <v>Crescent Leasing</v>
          </cell>
          <cell r="D398">
            <v>8</v>
          </cell>
          <cell r="E398">
            <v>8</v>
          </cell>
          <cell r="F398">
            <v>8</v>
          </cell>
          <cell r="G398">
            <v>8</v>
          </cell>
        </row>
        <row r="399">
          <cell r="B399" t="str">
            <v>ENGL</v>
          </cell>
          <cell r="C399" t="str">
            <v>English Leas</v>
          </cell>
          <cell r="D399">
            <v>5</v>
          </cell>
          <cell r="E399">
            <v>5.5</v>
          </cell>
          <cell r="F399">
            <v>5.5</v>
          </cell>
          <cell r="G399">
            <v>5.5</v>
          </cell>
        </row>
        <row r="400">
          <cell r="B400" t="str">
            <v>IALC</v>
          </cell>
          <cell r="C400" t="str">
            <v>Interasia Leasi</v>
          </cell>
          <cell r="D400">
            <v>0.6</v>
          </cell>
          <cell r="E400">
            <v>0.6</v>
          </cell>
          <cell r="F400">
            <v>0.6</v>
          </cell>
          <cell r="G400">
            <v>0.6</v>
          </cell>
        </row>
        <row r="401">
          <cell r="B401" t="str">
            <v>GRYL</v>
          </cell>
          <cell r="C401" t="str">
            <v>Grays Leasing</v>
          </cell>
          <cell r="D401">
            <v>8.3000000000000007</v>
          </cell>
          <cell r="E401">
            <v>7.6</v>
          </cell>
          <cell r="F401">
            <v>7.6</v>
          </cell>
          <cell r="G401">
            <v>7.6</v>
          </cell>
        </row>
        <row r="402">
          <cell r="B402" t="str">
            <v>PGLC</v>
          </cell>
          <cell r="C402" t="str">
            <v>Pak Gulf Leas</v>
          </cell>
          <cell r="D402">
            <v>15.5</v>
          </cell>
          <cell r="E402">
            <v>15</v>
          </cell>
          <cell r="F402">
            <v>15</v>
          </cell>
          <cell r="G402">
            <v>15</v>
          </cell>
        </row>
        <row r="403">
          <cell r="B403" t="str">
            <v>SLCPA</v>
          </cell>
          <cell r="C403" t="str">
            <v>Sec.Lea(Pre)9.1</v>
          </cell>
          <cell r="D403">
            <v>9</v>
          </cell>
          <cell r="E403">
            <v>9.1</v>
          </cell>
          <cell r="F403">
            <v>9.1</v>
          </cell>
          <cell r="G403">
            <v>9.1</v>
          </cell>
        </row>
        <row r="404">
          <cell r="B404" t="str">
            <v>ULL</v>
          </cell>
          <cell r="C404" t="str">
            <v>Union Leasing</v>
          </cell>
          <cell r="D404">
            <v>11</v>
          </cell>
          <cell r="E404">
            <v>11.1</v>
          </cell>
          <cell r="F404">
            <v>11.1</v>
          </cell>
          <cell r="G404">
            <v>11.1</v>
          </cell>
        </row>
        <row r="405">
          <cell r="B405" t="str">
            <v>NMBL</v>
          </cell>
          <cell r="C405" t="str">
            <v>Network Mic Bank</v>
          </cell>
          <cell r="D405">
            <v>8.4</v>
          </cell>
          <cell r="E405">
            <v>8.5</v>
          </cell>
          <cell r="F405">
            <v>8.5</v>
          </cell>
          <cell r="G405">
            <v>8.5</v>
          </cell>
        </row>
        <row r="406">
          <cell r="B406" t="str">
            <v>ITSL</v>
          </cell>
          <cell r="C406" t="str">
            <v>Investec Sec.</v>
          </cell>
          <cell r="D406">
            <v>2.7</v>
          </cell>
          <cell r="E406">
            <v>2.7</v>
          </cell>
          <cell r="F406">
            <v>2.7</v>
          </cell>
          <cell r="G406">
            <v>2.7</v>
          </cell>
        </row>
        <row r="407">
          <cell r="B407" t="str">
            <v>PRIB</v>
          </cell>
          <cell r="C407" t="str">
            <v>Prud.Inv.Bank</v>
          </cell>
          <cell r="D407">
            <v>3.2</v>
          </cell>
          <cell r="E407">
            <v>3</v>
          </cell>
          <cell r="F407">
            <v>3</v>
          </cell>
          <cell r="G407">
            <v>3</v>
          </cell>
        </row>
        <row r="408">
          <cell r="B408" t="str">
            <v>PIL</v>
          </cell>
          <cell r="C408" t="str">
            <v>PICIC Ins.Ltd.</v>
          </cell>
          <cell r="D408">
            <v>47.8</v>
          </cell>
          <cell r="E408">
            <v>50.15</v>
          </cell>
          <cell r="F408">
            <v>50.15</v>
          </cell>
          <cell r="G408">
            <v>50.15</v>
          </cell>
        </row>
        <row r="409">
          <cell r="B409" t="str">
            <v>DINT</v>
          </cell>
          <cell r="C409" t="str">
            <v>Din Textile</v>
          </cell>
          <cell r="D409">
            <v>27.9</v>
          </cell>
          <cell r="E409">
            <v>27.9</v>
          </cell>
          <cell r="F409">
            <v>27.9</v>
          </cell>
          <cell r="G409">
            <v>27.9</v>
          </cell>
        </row>
        <row r="410">
          <cell r="B410" t="str">
            <v>ELSM</v>
          </cell>
          <cell r="C410" t="str">
            <v>Ellcot Spinning</v>
          </cell>
          <cell r="D410">
            <v>25.3</v>
          </cell>
          <cell r="E410">
            <v>25.5</v>
          </cell>
          <cell r="F410">
            <v>25.5</v>
          </cell>
          <cell r="G410">
            <v>25.5</v>
          </cell>
        </row>
        <row r="411">
          <cell r="B411" t="str">
            <v>GUTM</v>
          </cell>
          <cell r="C411" t="str">
            <v>Gulistan Textile</v>
          </cell>
          <cell r="D411">
            <v>24.5</v>
          </cell>
          <cell r="E411">
            <v>25.7</v>
          </cell>
          <cell r="F411">
            <v>25.7</v>
          </cell>
          <cell r="G411">
            <v>25.7</v>
          </cell>
        </row>
        <row r="412">
          <cell r="B412" t="str">
            <v>GSPM</v>
          </cell>
          <cell r="C412" t="str">
            <v>Gulshan Spinning</v>
          </cell>
          <cell r="D412">
            <v>13.4</v>
          </cell>
          <cell r="E412">
            <v>12.8</v>
          </cell>
          <cell r="F412">
            <v>12.8</v>
          </cell>
          <cell r="G412">
            <v>12.8</v>
          </cell>
        </row>
        <row r="413">
          <cell r="B413" t="str">
            <v>HMIM</v>
          </cell>
          <cell r="C413" t="str">
            <v>H.M.Ismail</v>
          </cell>
          <cell r="D413">
            <v>4.3</v>
          </cell>
          <cell r="E413">
            <v>4</v>
          </cell>
          <cell r="F413">
            <v>4</v>
          </cell>
          <cell r="G413">
            <v>4</v>
          </cell>
        </row>
        <row r="414">
          <cell r="B414" t="str">
            <v>ZAHT</v>
          </cell>
          <cell r="C414" t="str">
            <v>ZahidJee Textile</v>
          </cell>
          <cell r="D414">
            <v>13.7</v>
          </cell>
          <cell r="E414">
            <v>13.5</v>
          </cell>
          <cell r="F414">
            <v>13.5</v>
          </cell>
          <cell r="G414">
            <v>13.5</v>
          </cell>
        </row>
        <row r="415">
          <cell r="B415" t="str">
            <v>NPSM</v>
          </cell>
          <cell r="C415" t="str">
            <v>N. P. Spinning</v>
          </cell>
          <cell r="D415">
            <v>33.85</v>
          </cell>
          <cell r="E415">
            <v>33</v>
          </cell>
          <cell r="F415">
            <v>33</v>
          </cell>
          <cell r="G415">
            <v>33</v>
          </cell>
        </row>
        <row r="416">
          <cell r="B416" t="str">
            <v>RAVT</v>
          </cell>
          <cell r="C416" t="str">
            <v>Ravi Textile</v>
          </cell>
          <cell r="D416">
            <v>2.2000000000000002</v>
          </cell>
          <cell r="E416">
            <v>2</v>
          </cell>
          <cell r="F416">
            <v>2</v>
          </cell>
          <cell r="G416">
            <v>2</v>
          </cell>
        </row>
        <row r="417">
          <cell r="B417" t="str">
            <v>SAIF</v>
          </cell>
          <cell r="C417" t="str">
            <v>Saif Textile</v>
          </cell>
          <cell r="D417">
            <v>17</v>
          </cell>
          <cell r="E417">
            <v>16.05</v>
          </cell>
          <cell r="F417">
            <v>16.05</v>
          </cell>
          <cell r="G417">
            <v>16.05</v>
          </cell>
        </row>
        <row r="418">
          <cell r="B418" t="str">
            <v>SRSM</v>
          </cell>
          <cell r="C418" t="str">
            <v>Sargoda Sp.</v>
          </cell>
          <cell r="D418">
            <v>7.95</v>
          </cell>
          <cell r="E418">
            <v>7.5</v>
          </cell>
          <cell r="F418">
            <v>7.5</v>
          </cell>
          <cell r="G418">
            <v>7.5</v>
          </cell>
        </row>
        <row r="419">
          <cell r="B419" t="str">
            <v>QAYS</v>
          </cell>
          <cell r="C419" t="str">
            <v>Qayyum Spinning</v>
          </cell>
          <cell r="D419">
            <v>0.75</v>
          </cell>
          <cell r="E419">
            <v>0.85</v>
          </cell>
          <cell r="F419">
            <v>0.85</v>
          </cell>
          <cell r="G419">
            <v>0.85</v>
          </cell>
        </row>
        <row r="420">
          <cell r="B420" t="str">
            <v>SERT</v>
          </cell>
          <cell r="C420" t="str">
            <v>Service Tex.XR</v>
          </cell>
          <cell r="D420">
            <v>2.5</v>
          </cell>
          <cell r="E420">
            <v>2.5</v>
          </cell>
          <cell r="F420">
            <v>2.5</v>
          </cell>
          <cell r="G420">
            <v>2.5</v>
          </cell>
        </row>
        <row r="421">
          <cell r="B421" t="str">
            <v>SUCM</v>
          </cell>
          <cell r="C421" t="str">
            <v>Sunshine Cotton</v>
          </cell>
          <cell r="D421">
            <v>0.75</v>
          </cell>
          <cell r="E421">
            <v>0.75</v>
          </cell>
          <cell r="F421">
            <v>0.75</v>
          </cell>
          <cell r="G421">
            <v>0.75</v>
          </cell>
        </row>
        <row r="422">
          <cell r="B422" t="str">
            <v>ICCT</v>
          </cell>
          <cell r="C422" t="str">
            <v>I.C.C.Textile</v>
          </cell>
          <cell r="D422">
            <v>6</v>
          </cell>
          <cell r="E422">
            <v>6</v>
          </cell>
          <cell r="F422">
            <v>6</v>
          </cell>
          <cell r="G422">
            <v>6</v>
          </cell>
        </row>
        <row r="423">
          <cell r="B423" t="str">
            <v>GFIL</v>
          </cell>
          <cell r="C423" t="str">
            <v>Ghazi Fabrics</v>
          </cell>
          <cell r="D423">
            <v>7</v>
          </cell>
          <cell r="E423">
            <v>6.4</v>
          </cell>
          <cell r="F423">
            <v>6.4</v>
          </cell>
          <cell r="G423">
            <v>6.4</v>
          </cell>
        </row>
        <row r="424">
          <cell r="B424" t="str">
            <v>ISTM</v>
          </cell>
          <cell r="C424" t="str">
            <v>Ishaq Textile</v>
          </cell>
          <cell r="D424">
            <v>15.9</v>
          </cell>
          <cell r="E424">
            <v>16.399999999999999</v>
          </cell>
          <cell r="F424">
            <v>16.399999999999999</v>
          </cell>
          <cell r="G424">
            <v>16.399999999999999</v>
          </cell>
        </row>
        <row r="425">
          <cell r="B425" t="str">
            <v>JUBS</v>
          </cell>
          <cell r="C425" t="str">
            <v>Jubilee Sp.</v>
          </cell>
          <cell r="D425">
            <v>5.5</v>
          </cell>
          <cell r="E425">
            <v>5</v>
          </cell>
          <cell r="F425">
            <v>5</v>
          </cell>
          <cell r="G425">
            <v>5</v>
          </cell>
        </row>
        <row r="426">
          <cell r="B426" t="str">
            <v>KTML</v>
          </cell>
          <cell r="C426" t="str">
            <v>Kohinoor Textile</v>
          </cell>
          <cell r="D426">
            <v>25.5</v>
          </cell>
          <cell r="E426">
            <v>26.75</v>
          </cell>
          <cell r="F426">
            <v>26.75</v>
          </cell>
          <cell r="G426">
            <v>26.75</v>
          </cell>
        </row>
        <row r="427">
          <cell r="B427" t="str">
            <v>MFTM</v>
          </cell>
          <cell r="C427" t="str">
            <v>Mohd.Farooq</v>
          </cell>
          <cell r="D427">
            <v>9</v>
          </cell>
          <cell r="E427">
            <v>9</v>
          </cell>
          <cell r="F427">
            <v>9</v>
          </cell>
          <cell r="G427">
            <v>9</v>
          </cell>
        </row>
        <row r="428">
          <cell r="B428" t="str">
            <v>REDT</v>
          </cell>
          <cell r="C428" t="str">
            <v>Redco Tex.</v>
          </cell>
          <cell r="D428">
            <v>2.35</v>
          </cell>
          <cell r="E428">
            <v>2.2999999999999998</v>
          </cell>
          <cell r="F428">
            <v>2.2999999999999998</v>
          </cell>
          <cell r="G428">
            <v>2.2999999999999998</v>
          </cell>
        </row>
        <row r="429">
          <cell r="B429" t="str">
            <v>GATI</v>
          </cell>
          <cell r="C429" t="str">
            <v>Gatron Ind.</v>
          </cell>
          <cell r="D429">
            <v>161.30000000000001</v>
          </cell>
          <cell r="E429">
            <v>169.35</v>
          </cell>
          <cell r="F429">
            <v>169.35</v>
          </cell>
          <cell r="G429">
            <v>169.35</v>
          </cell>
        </row>
        <row r="430">
          <cell r="B430" t="str">
            <v>INDP</v>
          </cell>
          <cell r="C430" t="str">
            <v>Indus Poly.</v>
          </cell>
          <cell r="D430">
            <v>3.2</v>
          </cell>
          <cell r="E430">
            <v>3.05</v>
          </cell>
          <cell r="F430">
            <v>3.05</v>
          </cell>
          <cell r="G430">
            <v>3.05</v>
          </cell>
        </row>
        <row r="431">
          <cell r="B431" t="str">
            <v>AMFL</v>
          </cell>
          <cell r="C431" t="str">
            <v>Amin Fabrics</v>
          </cell>
          <cell r="D431">
            <v>7</v>
          </cell>
          <cell r="E431">
            <v>7</v>
          </cell>
          <cell r="F431">
            <v>7</v>
          </cell>
          <cell r="G431">
            <v>7</v>
          </cell>
        </row>
        <row r="432">
          <cell r="B432" t="str">
            <v>AASML</v>
          </cell>
          <cell r="C432" t="str">
            <v>Al-Asif Sugar</v>
          </cell>
          <cell r="D432">
            <v>4.0999999999999996</v>
          </cell>
          <cell r="E432">
            <v>4.0999999999999996</v>
          </cell>
          <cell r="F432">
            <v>4.0999999999999996</v>
          </cell>
          <cell r="G432">
            <v>4.0999999999999996</v>
          </cell>
        </row>
        <row r="433">
          <cell r="B433" t="str">
            <v>MZSM</v>
          </cell>
          <cell r="C433" t="str">
            <v>Mirza Sugar</v>
          </cell>
          <cell r="D433">
            <v>2.65</v>
          </cell>
          <cell r="E433">
            <v>2.5</v>
          </cell>
          <cell r="F433">
            <v>2.5</v>
          </cell>
          <cell r="G433">
            <v>2.5</v>
          </cell>
        </row>
        <row r="434">
          <cell r="B434" t="str">
            <v>JVDC</v>
          </cell>
          <cell r="C434" t="str">
            <v>Javedan Cement</v>
          </cell>
          <cell r="D434">
            <v>106</v>
          </cell>
          <cell r="E434">
            <v>106</v>
          </cell>
          <cell r="F434">
            <v>106</v>
          </cell>
          <cell r="G434">
            <v>106</v>
          </cell>
        </row>
        <row r="435">
          <cell r="B435" t="str">
            <v>MLCFPS</v>
          </cell>
          <cell r="C435" t="str">
            <v>MapleLeaf(Pref)</v>
          </cell>
          <cell r="D435">
            <v>7</v>
          </cell>
          <cell r="E435">
            <v>8</v>
          </cell>
          <cell r="F435">
            <v>8</v>
          </cell>
          <cell r="G435">
            <v>8</v>
          </cell>
        </row>
        <row r="436">
          <cell r="B436" t="str">
            <v>PKSLC</v>
          </cell>
          <cell r="C436" t="str">
            <v>Pak.Slag</v>
          </cell>
          <cell r="D436">
            <v>5.05</v>
          </cell>
          <cell r="E436">
            <v>5</v>
          </cell>
          <cell r="F436">
            <v>5</v>
          </cell>
          <cell r="G436">
            <v>5</v>
          </cell>
        </row>
        <row r="437">
          <cell r="B437" t="str">
            <v>MSCL</v>
          </cell>
          <cell r="C437" t="str">
            <v>Metro Steel</v>
          </cell>
          <cell r="D437">
            <v>20.05</v>
          </cell>
          <cell r="E437">
            <v>20.5</v>
          </cell>
          <cell r="F437">
            <v>20.5</v>
          </cell>
          <cell r="G437">
            <v>20.5</v>
          </cell>
        </row>
        <row r="438">
          <cell r="B438" t="str">
            <v>QUSW</v>
          </cell>
          <cell r="C438" t="str">
            <v>Quality Steel</v>
          </cell>
          <cell r="D438">
            <v>7.5</v>
          </cell>
          <cell r="E438">
            <v>6.5</v>
          </cell>
          <cell r="F438">
            <v>6.5</v>
          </cell>
          <cell r="G438">
            <v>6.5</v>
          </cell>
        </row>
        <row r="439">
          <cell r="B439" t="str">
            <v>TAXE</v>
          </cell>
          <cell r="C439" t="str">
            <v>Taxila Engg.</v>
          </cell>
          <cell r="D439">
            <v>3.4</v>
          </cell>
          <cell r="E439">
            <v>3</v>
          </cell>
          <cell r="F439">
            <v>3</v>
          </cell>
          <cell r="G439">
            <v>3</v>
          </cell>
        </row>
        <row r="440">
          <cell r="B440" t="str">
            <v>AGTL</v>
          </cell>
          <cell r="C440" t="str">
            <v>AL-Ghazi Tractors</v>
          </cell>
          <cell r="D440">
            <v>285</v>
          </cell>
          <cell r="E440">
            <v>285</v>
          </cell>
          <cell r="F440">
            <v>285</v>
          </cell>
          <cell r="G440">
            <v>285</v>
          </cell>
        </row>
        <row r="441">
          <cell r="B441" t="str">
            <v>BELA</v>
          </cell>
          <cell r="C441" t="str">
            <v>Bela Automotive</v>
          </cell>
          <cell r="D441">
            <v>6.15</v>
          </cell>
          <cell r="E441">
            <v>6.15</v>
          </cell>
          <cell r="F441">
            <v>6.15</v>
          </cell>
          <cell r="G441">
            <v>6.15</v>
          </cell>
        </row>
        <row r="442">
          <cell r="B442" t="str">
            <v>EXIDE</v>
          </cell>
          <cell r="C442" t="str">
            <v>Exide (PAK)</v>
          </cell>
          <cell r="D442">
            <v>156.75</v>
          </cell>
          <cell r="E442">
            <v>164.55</v>
          </cell>
          <cell r="F442">
            <v>164.55</v>
          </cell>
          <cell r="G442">
            <v>164.55</v>
          </cell>
        </row>
        <row r="443">
          <cell r="B443" t="str">
            <v>PICTPS</v>
          </cell>
          <cell r="C443" t="str">
            <v>Pak IntCon(Pref)</v>
          </cell>
          <cell r="D443">
            <v>9</v>
          </cell>
          <cell r="E443">
            <v>10</v>
          </cell>
          <cell r="F443">
            <v>10</v>
          </cell>
          <cell r="G443">
            <v>10</v>
          </cell>
        </row>
        <row r="444">
          <cell r="B444" t="str">
            <v>ETNL</v>
          </cell>
          <cell r="C444" t="str">
            <v>Eye Television Net</v>
          </cell>
          <cell r="D444">
            <v>47.55</v>
          </cell>
          <cell r="E444">
            <v>49.9</v>
          </cell>
          <cell r="F444">
            <v>49.9</v>
          </cell>
          <cell r="G444">
            <v>49.9</v>
          </cell>
        </row>
        <row r="445">
          <cell r="B445" t="str">
            <v>FEROZ</v>
          </cell>
          <cell r="C445" t="str">
            <v>Ferozsons (Lab)</v>
          </cell>
          <cell r="D445">
            <v>248</v>
          </cell>
          <cell r="E445">
            <v>242</v>
          </cell>
          <cell r="F445">
            <v>242</v>
          </cell>
          <cell r="G445">
            <v>242</v>
          </cell>
        </row>
        <row r="446">
          <cell r="B446" t="str">
            <v>OTSU</v>
          </cell>
          <cell r="C446" t="str">
            <v>Otsuka Pak</v>
          </cell>
          <cell r="D446">
            <v>55</v>
          </cell>
          <cell r="E446">
            <v>57.7</v>
          </cell>
          <cell r="F446">
            <v>57.7</v>
          </cell>
          <cell r="G446">
            <v>57.7</v>
          </cell>
        </row>
        <row r="447">
          <cell r="B447" t="str">
            <v>COLG</v>
          </cell>
          <cell r="C447" t="str">
            <v>Colgate Palmolive</v>
          </cell>
          <cell r="D447">
            <v>461</v>
          </cell>
          <cell r="E447">
            <v>470</v>
          </cell>
          <cell r="F447">
            <v>470</v>
          </cell>
          <cell r="G447">
            <v>470</v>
          </cell>
        </row>
        <row r="448">
          <cell r="B448" t="str">
            <v>PGCL</v>
          </cell>
          <cell r="C448" t="str">
            <v>Pak Gum</v>
          </cell>
          <cell r="D448">
            <v>65.05</v>
          </cell>
          <cell r="E448">
            <v>67.8</v>
          </cell>
          <cell r="F448">
            <v>67.8</v>
          </cell>
          <cell r="G448">
            <v>67.8</v>
          </cell>
        </row>
        <row r="449">
          <cell r="B449" t="str">
            <v>BPBL</v>
          </cell>
          <cell r="C449" t="str">
            <v>B.P.Board</v>
          </cell>
          <cell r="D449">
            <v>2.25</v>
          </cell>
          <cell r="E449">
            <v>2.2000000000000002</v>
          </cell>
          <cell r="F449">
            <v>2.2000000000000002</v>
          </cell>
          <cell r="G449">
            <v>2.2000000000000002</v>
          </cell>
        </row>
        <row r="450">
          <cell r="B450" t="str">
            <v>MERIT</v>
          </cell>
          <cell r="C450" t="str">
            <v>Merit Pack</v>
          </cell>
          <cell r="D450">
            <v>128.5</v>
          </cell>
          <cell r="E450">
            <v>132.9</v>
          </cell>
          <cell r="F450">
            <v>132.9</v>
          </cell>
          <cell r="G450">
            <v>132.9</v>
          </cell>
        </row>
        <row r="451">
          <cell r="B451" t="str">
            <v>LEUL</v>
          </cell>
          <cell r="C451" t="str">
            <v>Leather Up</v>
          </cell>
          <cell r="D451">
            <v>5</v>
          </cell>
          <cell r="E451">
            <v>4.9000000000000004</v>
          </cell>
          <cell r="F451">
            <v>4.9000000000000004</v>
          </cell>
          <cell r="G451">
            <v>4.9000000000000004</v>
          </cell>
        </row>
        <row r="452">
          <cell r="B452" t="str">
            <v>SRVI</v>
          </cell>
          <cell r="C452" t="str">
            <v>Service Industries</v>
          </cell>
          <cell r="D452">
            <v>92</v>
          </cell>
          <cell r="E452">
            <v>92</v>
          </cell>
          <cell r="F452">
            <v>92</v>
          </cell>
          <cell r="G452">
            <v>92</v>
          </cell>
        </row>
        <row r="453">
          <cell r="B453" t="str">
            <v>ULEVER</v>
          </cell>
          <cell r="C453" t="str">
            <v>UniLever</v>
          </cell>
          <cell r="D453">
            <v>2235</v>
          </cell>
          <cell r="E453">
            <v>2235</v>
          </cell>
          <cell r="F453">
            <v>2235</v>
          </cell>
          <cell r="G453">
            <v>2235</v>
          </cell>
        </row>
        <row r="454">
          <cell r="B454" t="str">
            <v>MUREB</v>
          </cell>
          <cell r="C454" t="str">
            <v>Murree Brewery</v>
          </cell>
          <cell r="D454">
            <v>118.25</v>
          </cell>
          <cell r="E454">
            <v>116</v>
          </cell>
          <cell r="F454">
            <v>116</v>
          </cell>
          <cell r="G454">
            <v>116</v>
          </cell>
        </row>
        <row r="455">
          <cell r="B455" t="str">
            <v>GAMON</v>
          </cell>
          <cell r="C455" t="str">
            <v>Gammon Pak.XR</v>
          </cell>
          <cell r="D455">
            <v>20.5</v>
          </cell>
          <cell r="E455">
            <v>20.149999999999999</v>
          </cell>
          <cell r="F455">
            <v>20.149999999999999</v>
          </cell>
          <cell r="G455">
            <v>20.149999999999999</v>
          </cell>
        </row>
        <row r="456">
          <cell r="B456" t="str">
            <v>ABLTFC</v>
          </cell>
          <cell r="C456" t="str">
            <v>Allied Bank (TFC)</v>
          </cell>
          <cell r="D456">
            <v>5197</v>
          </cell>
          <cell r="E456">
            <v>5456</v>
          </cell>
          <cell r="F456">
            <v>5456</v>
          </cell>
          <cell r="G456">
            <v>5456</v>
          </cell>
        </row>
        <row r="457">
          <cell r="B457" t="str">
            <v>TELETFC</v>
          </cell>
          <cell r="C457" t="str">
            <v>Telecard TFC</v>
          </cell>
          <cell r="D457">
            <v>4501.7</v>
          </cell>
          <cell r="E457">
            <v>4725</v>
          </cell>
          <cell r="F457">
            <v>4725</v>
          </cell>
          <cell r="G457">
            <v>4725</v>
          </cell>
        </row>
        <row r="458">
          <cell r="B458" t="str">
            <v>ANLTFC</v>
          </cell>
          <cell r="C458" t="str">
            <v>Azgard Nine(TFC)</v>
          </cell>
          <cell r="D458">
            <v>5247</v>
          </cell>
          <cell r="E458">
            <v>5509</v>
          </cell>
          <cell r="F458">
            <v>5509</v>
          </cell>
          <cell r="G458">
            <v>5509</v>
          </cell>
        </row>
        <row r="459">
          <cell r="B459" t="str">
            <v>SCBPLTFC-III</v>
          </cell>
          <cell r="C459" t="str">
            <v>Stan Char BankTFCIII</v>
          </cell>
          <cell r="D459">
            <v>5248</v>
          </cell>
          <cell r="E459">
            <v>5510</v>
          </cell>
          <cell r="F459">
            <v>5510</v>
          </cell>
          <cell r="G459">
            <v>5510</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ORTFOLIO"/>
      <sheetName val="tele no"/>
      <sheetName val="del activity"/>
      <sheetName val="port (nbfc's)"/>
      <sheetName val="bank inst"/>
      <sheetName val="Annex &quot;D&quot;"/>
      <sheetName val="Delivery &quot;c&quot;"/>
      <sheetName val="Cash position"/>
      <sheetName val="Sheet1"/>
      <sheetName val="BOUNUS 2003-04"/>
      <sheetName val="div incom f 03-04"/>
      <sheetName val="bonus FY  04-05"/>
      <sheetName val="dividend FY  04-05"/>
      <sheetName val="Annex. &quot;E&quot;Trade"/>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Data-922"/>
      <sheetName val="A-C CODE &amp; NAME"/>
      <sheetName val="December 06"/>
      <sheetName val="November 06"/>
      <sheetName val="Rate Input"/>
      <sheetName val="VLKP DATA"/>
    </sheetNames>
    <sheetDataSet>
      <sheetData sheetId="0"/>
      <sheetData sheetId="1" refreshError="1">
        <row r="49">
          <cell r="B49">
            <v>1</v>
          </cell>
          <cell r="C49">
            <v>1</v>
          </cell>
          <cell r="D49">
            <v>1.0779863215513831E-4</v>
          </cell>
          <cell r="E49">
            <v>6.4285714285716722E-3</v>
          </cell>
          <cell r="F49">
            <v>59.634999999999998</v>
          </cell>
          <cell r="G49">
            <v>59.64142857142857</v>
          </cell>
          <cell r="H49">
            <v>1.4070899870760993E-4</v>
          </cell>
          <cell r="I49">
            <v>1.0128571428570663E-2</v>
          </cell>
          <cell r="J49">
            <v>71.982399999999998</v>
          </cell>
          <cell r="K49">
            <v>71.992528571428565</v>
          </cell>
          <cell r="L49">
            <v>1.853911753800609E-4</v>
          </cell>
          <cell r="M49">
            <v>1.0000000000000484E-4</v>
          </cell>
          <cell r="N49">
            <v>0.53939999999999999</v>
          </cell>
          <cell r="O49">
            <v>0.53949999999999998</v>
          </cell>
          <cell r="P49">
            <v>6.8376934180866558E-5</v>
          </cell>
          <cell r="Q49">
            <v>7.3285714285710969E-3</v>
          </cell>
          <cell r="R49">
            <v>107.179</v>
          </cell>
          <cell r="S49">
            <v>107.18632857142858</v>
          </cell>
          <cell r="T49">
            <v>1.7962294560100299E-4</v>
          </cell>
          <cell r="U49">
            <v>8.3428571428569853E-3</v>
          </cell>
          <cell r="V49">
            <v>46.4465</v>
          </cell>
          <cell r="W49">
            <v>46.454842857142857</v>
          </cell>
          <cell r="X49">
            <v>4.6249292495934981E-5</v>
          </cell>
          <cell r="Y49">
            <v>2.0999999999996737E-3</v>
          </cell>
          <cell r="Z49">
            <v>45.406100000000002</v>
          </cell>
          <cell r="AA49">
            <v>45.408200000000001</v>
          </cell>
          <cell r="AB49">
            <v>1.3063576860424317E-4</v>
          </cell>
          <cell r="AC49">
            <v>6.3285714285713978E-3</v>
          </cell>
          <cell r="AD49">
            <v>48.444400000000002</v>
          </cell>
          <cell r="AE49">
            <v>48.45072857142857</v>
          </cell>
          <cell r="AF49">
            <v>1.073452292964487E-4</v>
          </cell>
          <cell r="AG49">
            <v>1.7428571428571413E-3</v>
          </cell>
          <cell r="AH49">
            <v>16.236000000000001</v>
          </cell>
          <cell r="AI49">
            <v>16.237742857142859</v>
          </cell>
          <cell r="AJ49">
            <v>1.0152421082895247E-4</v>
          </cell>
          <cell r="AK49">
            <v>1.6142857142857586E-3</v>
          </cell>
          <cell r="AL49">
            <v>15.900499999999999</v>
          </cell>
          <cell r="AM49">
            <v>15.902114285714285</v>
          </cell>
          <cell r="AN49">
            <v>1.571030203055647E-4</v>
          </cell>
          <cell r="AO49">
            <v>1.1999999999999947E-3</v>
          </cell>
          <cell r="AP49">
            <v>7.6383000000000001</v>
          </cell>
          <cell r="AQ49">
            <v>7.6395</v>
          </cell>
          <cell r="AR49">
            <v>7.9094362669599544E-6</v>
          </cell>
          <cell r="AS49">
            <v>3.2857142857117036E-4</v>
          </cell>
          <cell r="AT49">
            <v>41.541699999999999</v>
          </cell>
          <cell r="AU49">
            <v>41.542028571428567</v>
          </cell>
          <cell r="AV49">
            <v>1.4407186643689899E-4</v>
          </cell>
          <cell r="AW49">
            <v>5.099999999999787E-3</v>
          </cell>
          <cell r="AX49">
            <v>35.399000000000001</v>
          </cell>
          <cell r="AY49">
            <v>35.4041</v>
          </cell>
          <cell r="AZ49">
            <v>1.0240121540932774E-4</v>
          </cell>
          <cell r="BA49">
            <v>7.8571428571423089E-4</v>
          </cell>
          <cell r="BB49">
            <v>7.6729000000000003</v>
          </cell>
          <cell r="BC49">
            <v>7.6736857142857149</v>
          </cell>
        </row>
        <row r="50">
          <cell r="B50">
            <v>2</v>
          </cell>
          <cell r="C50">
            <v>2</v>
          </cell>
          <cell r="D50">
            <v>2.1559726431027662E-4</v>
          </cell>
          <cell r="E50">
            <v>1.2857142857143344E-2</v>
          </cell>
          <cell r="F50">
            <v>59.634999999999998</v>
          </cell>
          <cell r="G50">
            <v>59.647857142857141</v>
          </cell>
          <cell r="H50">
            <v>2.8141799741521987E-4</v>
          </cell>
          <cell r="I50">
            <v>2.0257142857141325E-2</v>
          </cell>
          <cell r="J50">
            <v>71.982399999999998</v>
          </cell>
          <cell r="K50">
            <v>72.002657142857146</v>
          </cell>
          <cell r="L50">
            <v>3.707823507601218E-4</v>
          </cell>
          <cell r="M50">
            <v>2.0000000000000969E-4</v>
          </cell>
          <cell r="N50">
            <v>0.53939999999999999</v>
          </cell>
          <cell r="O50">
            <v>0.53959999999999997</v>
          </cell>
          <cell r="P50">
            <v>1.3675386836173312E-4</v>
          </cell>
          <cell r="Q50">
            <v>1.4657142857142194E-2</v>
          </cell>
          <cell r="R50">
            <v>107.179</v>
          </cell>
          <cell r="S50">
            <v>107.19365714285715</v>
          </cell>
          <cell r="T50">
            <v>3.5924589120200597E-4</v>
          </cell>
          <cell r="U50">
            <v>1.6685714285713971E-2</v>
          </cell>
          <cell r="V50">
            <v>46.4465</v>
          </cell>
          <cell r="W50">
            <v>46.463185714285714</v>
          </cell>
          <cell r="X50">
            <v>9.2498584991869962E-5</v>
          </cell>
          <cell r="Y50">
            <v>4.1999999999993475E-3</v>
          </cell>
          <cell r="Z50">
            <v>45.406100000000002</v>
          </cell>
          <cell r="AA50">
            <v>45.410299999999999</v>
          </cell>
          <cell r="AB50">
            <v>2.6127153720848634E-4</v>
          </cell>
          <cell r="AC50">
            <v>1.2657142857142796E-2</v>
          </cell>
          <cell r="AD50">
            <v>48.444400000000002</v>
          </cell>
          <cell r="AE50">
            <v>48.457057142857145</v>
          </cell>
          <cell r="AF50">
            <v>2.146904585928974E-4</v>
          </cell>
          <cell r="AG50">
            <v>3.4857142857142825E-3</v>
          </cell>
          <cell r="AH50">
            <v>16.236000000000001</v>
          </cell>
          <cell r="AI50">
            <v>16.239485714285713</v>
          </cell>
          <cell r="AJ50">
            <v>2.0304842165790493E-4</v>
          </cell>
          <cell r="AK50">
            <v>3.2285714285715172E-3</v>
          </cell>
          <cell r="AL50">
            <v>15.900499999999999</v>
          </cell>
          <cell r="AM50">
            <v>15.903728571428571</v>
          </cell>
          <cell r="AN50">
            <v>3.142060406111294E-4</v>
          </cell>
          <cell r="AO50">
            <v>2.3999999999999894E-3</v>
          </cell>
          <cell r="AP50">
            <v>7.6383000000000001</v>
          </cell>
          <cell r="AQ50">
            <v>7.6406999999999998</v>
          </cell>
          <cell r="AR50">
            <v>1.5818872533919909E-5</v>
          </cell>
          <cell r="AS50">
            <v>6.5714285714234071E-4</v>
          </cell>
          <cell r="AT50">
            <v>41.541699999999999</v>
          </cell>
          <cell r="AU50">
            <v>41.542357142857142</v>
          </cell>
          <cell r="AV50">
            <v>2.8814373287379798E-4</v>
          </cell>
          <cell r="AW50">
            <v>1.0199999999999574E-2</v>
          </cell>
          <cell r="AX50">
            <v>35.399000000000001</v>
          </cell>
          <cell r="AY50">
            <v>35.409199999999998</v>
          </cell>
          <cell r="AZ50">
            <v>2.0480243081865548E-4</v>
          </cell>
          <cell r="BA50">
            <v>1.5714285714284618E-3</v>
          </cell>
          <cell r="BB50">
            <v>7.6729000000000003</v>
          </cell>
          <cell r="BC50">
            <v>7.6744714285714286</v>
          </cell>
        </row>
        <row r="51">
          <cell r="B51">
            <v>3</v>
          </cell>
          <cell r="C51">
            <v>3</v>
          </cell>
          <cell r="D51">
            <v>3.2339589646541495E-4</v>
          </cell>
          <cell r="E51">
            <v>1.9285714285715017E-2</v>
          </cell>
          <cell r="F51">
            <v>59.634999999999998</v>
          </cell>
          <cell r="G51">
            <v>59.654285714285713</v>
          </cell>
          <cell r="H51">
            <v>4.2212699612282977E-4</v>
          </cell>
          <cell r="I51">
            <v>3.0385714285711986E-2</v>
          </cell>
          <cell r="J51">
            <v>71.982399999999998</v>
          </cell>
          <cell r="K51">
            <v>72.012785714285712</v>
          </cell>
          <cell r="L51">
            <v>5.5617352614018261E-4</v>
          </cell>
          <cell r="M51">
            <v>3.0000000000001456E-4</v>
          </cell>
          <cell r="N51">
            <v>0.53939999999999999</v>
          </cell>
          <cell r="O51">
            <v>0.53969999999999996</v>
          </cell>
          <cell r="P51">
            <v>2.0513080254259969E-4</v>
          </cell>
          <cell r="Q51">
            <v>2.1985714285713293E-2</v>
          </cell>
          <cell r="R51">
            <v>107.179</v>
          </cell>
          <cell r="S51">
            <v>107.20098571428572</v>
          </cell>
          <cell r="T51">
            <v>5.3886883680300901E-4</v>
          </cell>
          <cell r="U51">
            <v>2.5028571428570956E-2</v>
          </cell>
          <cell r="V51">
            <v>46.4465</v>
          </cell>
          <cell r="W51">
            <v>46.471528571428571</v>
          </cell>
          <cell r="X51">
            <v>1.3874787748780496E-4</v>
          </cell>
          <cell r="Y51">
            <v>6.2999999999990208E-3</v>
          </cell>
          <cell r="Z51">
            <v>45.406100000000002</v>
          </cell>
          <cell r="AA51">
            <v>45.412399999999998</v>
          </cell>
          <cell r="AB51">
            <v>3.9190730581272951E-4</v>
          </cell>
          <cell r="AC51">
            <v>1.8985714285714193E-2</v>
          </cell>
          <cell r="AD51">
            <v>48.444400000000002</v>
          </cell>
          <cell r="AE51">
            <v>48.463385714285714</v>
          </cell>
          <cell r="AF51">
            <v>3.220356878893461E-4</v>
          </cell>
          <cell r="AG51">
            <v>5.2285714285714236E-3</v>
          </cell>
          <cell r="AH51">
            <v>16.236000000000001</v>
          </cell>
          <cell r="AI51">
            <v>16.241228571428572</v>
          </cell>
          <cell r="AJ51">
            <v>3.045726324868574E-4</v>
          </cell>
          <cell r="AK51">
            <v>4.8428571428572754E-3</v>
          </cell>
          <cell r="AL51">
            <v>15.900499999999999</v>
          </cell>
          <cell r="AM51">
            <v>15.905342857142857</v>
          </cell>
          <cell r="AN51">
            <v>4.7130906091669405E-4</v>
          </cell>
          <cell r="AO51">
            <v>3.5999999999999843E-3</v>
          </cell>
          <cell r="AP51">
            <v>7.6383000000000001</v>
          </cell>
          <cell r="AQ51">
            <v>7.6418999999999997</v>
          </cell>
          <cell r="AR51">
            <v>2.3728308800879867E-5</v>
          </cell>
          <cell r="AS51">
            <v>9.8571428571351096E-4</v>
          </cell>
          <cell r="AT51">
            <v>41.541699999999999</v>
          </cell>
          <cell r="AU51">
            <v>41.54268571428571</v>
          </cell>
          <cell r="AV51">
            <v>4.32215599310697E-4</v>
          </cell>
          <cell r="AW51">
            <v>1.5299999999999361E-2</v>
          </cell>
          <cell r="AX51">
            <v>35.399000000000001</v>
          </cell>
          <cell r="AY51">
            <v>35.414299999999997</v>
          </cell>
          <cell r="AZ51">
            <v>3.0720364622798321E-4</v>
          </cell>
          <cell r="BA51">
            <v>2.3571428571426928E-3</v>
          </cell>
          <cell r="BB51">
            <v>7.6729000000000003</v>
          </cell>
          <cell r="BC51">
            <v>7.6752571428571432</v>
          </cell>
        </row>
        <row r="52">
          <cell r="B52">
            <v>4</v>
          </cell>
          <cell r="C52">
            <v>4</v>
          </cell>
          <cell r="D52">
            <v>4.3119452862055323E-4</v>
          </cell>
          <cell r="E52">
            <v>2.5714285714286689E-2</v>
          </cell>
          <cell r="F52">
            <v>59.634999999999998</v>
          </cell>
          <cell r="G52">
            <v>59.660714285714285</v>
          </cell>
          <cell r="H52">
            <v>5.6283599483043973E-4</v>
          </cell>
          <cell r="I52">
            <v>4.0514285714282651E-2</v>
          </cell>
          <cell r="J52">
            <v>71.982399999999998</v>
          </cell>
          <cell r="K52">
            <v>72.022914285714279</v>
          </cell>
          <cell r="L52">
            <v>7.4156470152024359E-4</v>
          </cell>
          <cell r="M52">
            <v>4.0000000000001937E-4</v>
          </cell>
          <cell r="N52">
            <v>0.53939999999999999</v>
          </cell>
          <cell r="O52">
            <v>0.53980000000000006</v>
          </cell>
          <cell r="P52">
            <v>2.7350773672346623E-4</v>
          </cell>
          <cell r="Q52">
            <v>2.9314285714284388E-2</v>
          </cell>
          <cell r="R52">
            <v>107.179</v>
          </cell>
          <cell r="S52">
            <v>107.20831428571428</v>
          </cell>
          <cell r="T52">
            <v>7.1849178240401194E-4</v>
          </cell>
          <cell r="U52">
            <v>3.3371428571427941E-2</v>
          </cell>
          <cell r="V52">
            <v>46.4465</v>
          </cell>
          <cell r="W52">
            <v>46.479871428571428</v>
          </cell>
          <cell r="X52">
            <v>1.8499716998373992E-4</v>
          </cell>
          <cell r="Y52">
            <v>8.399999999998695E-3</v>
          </cell>
          <cell r="Z52">
            <v>45.406100000000002</v>
          </cell>
          <cell r="AA52">
            <v>45.414500000000004</v>
          </cell>
          <cell r="AB52">
            <v>5.2254307441697268E-4</v>
          </cell>
          <cell r="AC52">
            <v>2.5314285714285591E-2</v>
          </cell>
          <cell r="AD52">
            <v>48.444400000000002</v>
          </cell>
          <cell r="AE52">
            <v>48.469714285714289</v>
          </cell>
          <cell r="AF52">
            <v>4.293809171857948E-4</v>
          </cell>
          <cell r="AG52">
            <v>6.9714285714285651E-3</v>
          </cell>
          <cell r="AH52">
            <v>16.236000000000001</v>
          </cell>
          <cell r="AI52">
            <v>16.24297142857143</v>
          </cell>
          <cell r="AJ52">
            <v>4.0609684331580987E-4</v>
          </cell>
          <cell r="AK52">
            <v>6.4571428571430344E-3</v>
          </cell>
          <cell r="AL52">
            <v>15.900499999999999</v>
          </cell>
          <cell r="AM52">
            <v>15.906957142857141</v>
          </cell>
          <cell r="AN52">
            <v>6.284120812222588E-4</v>
          </cell>
          <cell r="AO52">
            <v>4.7999999999999788E-3</v>
          </cell>
          <cell r="AP52">
            <v>7.6383000000000001</v>
          </cell>
          <cell r="AQ52">
            <v>7.6431000000000004</v>
          </cell>
          <cell r="AR52">
            <v>3.1637745067839818E-5</v>
          </cell>
          <cell r="AS52">
            <v>1.3142857142846814E-3</v>
          </cell>
          <cell r="AT52">
            <v>41.541699999999999</v>
          </cell>
          <cell r="AU52">
            <v>41.543014285714285</v>
          </cell>
          <cell r="AV52">
            <v>5.7628746574759596E-4</v>
          </cell>
          <cell r="AW52">
            <v>2.0399999999999148E-2</v>
          </cell>
          <cell r="AX52">
            <v>35.399000000000001</v>
          </cell>
          <cell r="AY52">
            <v>35.419400000000003</v>
          </cell>
          <cell r="AZ52">
            <v>4.0960486163731097E-4</v>
          </cell>
          <cell r="BA52">
            <v>3.1428571428569235E-3</v>
          </cell>
          <cell r="BB52">
            <v>7.6729000000000003</v>
          </cell>
          <cell r="BC52">
            <v>7.6760428571428569</v>
          </cell>
        </row>
        <row r="53">
          <cell r="B53">
            <v>5</v>
          </cell>
          <cell r="C53">
            <v>5</v>
          </cell>
          <cell r="D53">
            <v>5.3899316077569146E-4</v>
          </cell>
          <cell r="E53">
            <v>3.2142857142858361E-2</v>
          </cell>
          <cell r="F53">
            <v>59.634999999999998</v>
          </cell>
          <cell r="G53">
            <v>59.667142857142856</v>
          </cell>
          <cell r="H53">
            <v>7.0354499353804975E-4</v>
          </cell>
          <cell r="I53">
            <v>5.0642857142853312E-2</v>
          </cell>
          <cell r="J53">
            <v>71.982399999999998</v>
          </cell>
          <cell r="K53">
            <v>72.033042857142846</v>
          </cell>
          <cell r="L53">
            <v>9.2695587690030446E-4</v>
          </cell>
          <cell r="M53">
            <v>5.0000000000002419E-4</v>
          </cell>
          <cell r="N53">
            <v>0.53939999999999999</v>
          </cell>
          <cell r="O53">
            <v>0.53990000000000005</v>
          </cell>
          <cell r="P53">
            <v>3.4188467090433278E-4</v>
          </cell>
          <cell r="Q53">
            <v>3.6642857142855485E-2</v>
          </cell>
          <cell r="R53">
            <v>107.179</v>
          </cell>
          <cell r="S53">
            <v>107.21564285714285</v>
          </cell>
          <cell r="T53">
            <v>8.9811472800501487E-4</v>
          </cell>
          <cell r="U53">
            <v>4.1714285714284927E-2</v>
          </cell>
          <cell r="V53">
            <v>46.4465</v>
          </cell>
          <cell r="W53">
            <v>46.488214285714285</v>
          </cell>
          <cell r="X53">
            <v>2.3124646247967489E-4</v>
          </cell>
          <cell r="Y53">
            <v>1.0499999999998368E-2</v>
          </cell>
          <cell r="Z53">
            <v>45.406100000000002</v>
          </cell>
          <cell r="AA53">
            <v>45.416600000000003</v>
          </cell>
          <cell r="AB53">
            <v>6.531788430212159E-4</v>
          </cell>
          <cell r="AC53">
            <v>3.1642857142856987E-2</v>
          </cell>
          <cell r="AD53">
            <v>48.444400000000002</v>
          </cell>
          <cell r="AE53">
            <v>48.476042857142858</v>
          </cell>
          <cell r="AF53">
            <v>5.367261464822435E-4</v>
          </cell>
          <cell r="AG53">
            <v>8.7142857142857057E-3</v>
          </cell>
          <cell r="AH53">
            <v>16.236000000000001</v>
          </cell>
          <cell r="AI53">
            <v>16.244714285714288</v>
          </cell>
          <cell r="AJ53">
            <v>5.0762105414476233E-4</v>
          </cell>
          <cell r="AK53">
            <v>8.0714285714287935E-3</v>
          </cell>
          <cell r="AL53">
            <v>15.900499999999999</v>
          </cell>
          <cell r="AM53">
            <v>15.908571428571427</v>
          </cell>
          <cell r="AN53">
            <v>7.8551510152782345E-4</v>
          </cell>
          <cell r="AO53">
            <v>5.9999999999999732E-3</v>
          </cell>
          <cell r="AP53">
            <v>7.6383000000000001</v>
          </cell>
          <cell r="AQ53">
            <v>7.6443000000000003</v>
          </cell>
          <cell r="AR53">
            <v>3.9547181334799775E-5</v>
          </cell>
          <cell r="AS53">
            <v>1.6428571428558517E-3</v>
          </cell>
          <cell r="AT53">
            <v>41.541699999999999</v>
          </cell>
          <cell r="AU53">
            <v>41.543342857142854</v>
          </cell>
          <cell r="AV53">
            <v>7.2035933218449492E-4</v>
          </cell>
          <cell r="AW53">
            <v>2.5499999999998937E-2</v>
          </cell>
          <cell r="AX53">
            <v>35.399000000000001</v>
          </cell>
          <cell r="AY53">
            <v>35.424500000000002</v>
          </cell>
          <cell r="AZ53">
            <v>5.1200607704663867E-4</v>
          </cell>
          <cell r="BA53">
            <v>3.9285714285711548E-3</v>
          </cell>
          <cell r="BB53">
            <v>7.6729000000000003</v>
          </cell>
          <cell r="BC53">
            <v>7.6768285714285716</v>
          </cell>
        </row>
        <row r="54">
          <cell r="B54">
            <v>6</v>
          </cell>
          <cell r="C54">
            <v>6</v>
          </cell>
          <cell r="D54">
            <v>6.467917929308299E-4</v>
          </cell>
          <cell r="E54">
            <v>3.8571428571430033E-2</v>
          </cell>
          <cell r="F54">
            <v>59.634999999999998</v>
          </cell>
          <cell r="G54">
            <v>59.673571428571428</v>
          </cell>
          <cell r="H54">
            <v>8.4425399224565955E-4</v>
          </cell>
          <cell r="I54">
            <v>6.0771428571423973E-2</v>
          </cell>
          <cell r="J54">
            <v>71.982399999999998</v>
          </cell>
          <cell r="K54">
            <v>72.043171428571426</v>
          </cell>
          <cell r="L54">
            <v>1.1123470522803652E-3</v>
          </cell>
          <cell r="M54">
            <v>6.0000000000002911E-4</v>
          </cell>
          <cell r="N54">
            <v>0.53939999999999999</v>
          </cell>
          <cell r="O54">
            <v>0.54</v>
          </cell>
          <cell r="P54">
            <v>4.1026160508519937E-4</v>
          </cell>
          <cell r="Q54">
            <v>4.3971428571426587E-2</v>
          </cell>
          <cell r="R54">
            <v>107.179</v>
          </cell>
          <cell r="S54">
            <v>107.22297142857143</v>
          </cell>
          <cell r="T54">
            <v>1.077737673606018E-3</v>
          </cell>
          <cell r="U54">
            <v>5.0057142857141912E-2</v>
          </cell>
          <cell r="V54">
            <v>46.4465</v>
          </cell>
          <cell r="W54">
            <v>46.496557142857142</v>
          </cell>
          <cell r="X54">
            <v>2.7749575497560991E-4</v>
          </cell>
          <cell r="Y54">
            <v>1.2599999999998042E-2</v>
          </cell>
          <cell r="Z54">
            <v>45.406100000000002</v>
          </cell>
          <cell r="AA54">
            <v>45.418700000000001</v>
          </cell>
          <cell r="AB54">
            <v>7.8381461162545902E-4</v>
          </cell>
          <cell r="AC54">
            <v>3.7971428571428385E-2</v>
          </cell>
          <cell r="AD54">
            <v>48.444400000000002</v>
          </cell>
          <cell r="AE54">
            <v>48.482371428571433</v>
          </cell>
          <cell r="AF54">
            <v>6.440713757786922E-4</v>
          </cell>
          <cell r="AG54">
            <v>1.0457142857142847E-2</v>
          </cell>
          <cell r="AH54">
            <v>16.236000000000001</v>
          </cell>
          <cell r="AI54">
            <v>16.246457142857142</v>
          </cell>
          <cell r="AJ54">
            <v>6.091452649737148E-4</v>
          </cell>
          <cell r="AK54">
            <v>9.6857142857145508E-3</v>
          </cell>
          <cell r="AL54">
            <v>15.900499999999999</v>
          </cell>
          <cell r="AM54">
            <v>15.910185714285713</v>
          </cell>
          <cell r="AN54">
            <v>9.426181218333881E-4</v>
          </cell>
          <cell r="AO54">
            <v>7.1999999999999686E-3</v>
          </cell>
          <cell r="AP54">
            <v>7.6383000000000001</v>
          </cell>
          <cell r="AQ54">
            <v>7.6455000000000002</v>
          </cell>
          <cell r="AR54">
            <v>4.7456617601759733E-5</v>
          </cell>
          <cell r="AS54">
            <v>1.9714285714270219E-3</v>
          </cell>
          <cell r="AT54">
            <v>41.541699999999999</v>
          </cell>
          <cell r="AU54">
            <v>41.543671428571429</v>
          </cell>
          <cell r="AV54">
            <v>8.6443119862139399E-4</v>
          </cell>
          <cell r="AW54">
            <v>3.0599999999998722E-2</v>
          </cell>
          <cell r="AX54">
            <v>35.399000000000001</v>
          </cell>
          <cell r="AY54">
            <v>35.429600000000001</v>
          </cell>
          <cell r="AZ54">
            <v>6.1440729245596643E-4</v>
          </cell>
          <cell r="BA54">
            <v>4.7142857142853855E-3</v>
          </cell>
          <cell r="BB54">
            <v>7.6729000000000003</v>
          </cell>
          <cell r="BC54">
            <v>7.6776142857142853</v>
          </cell>
        </row>
        <row r="55">
          <cell r="B55">
            <v>7</v>
          </cell>
          <cell r="C55">
            <v>7</v>
          </cell>
          <cell r="D55">
            <v>7.5459042508596813E-4</v>
          </cell>
          <cell r="E55">
            <v>4.5000000000001705E-2</v>
          </cell>
          <cell r="F55">
            <v>59.634999999999998</v>
          </cell>
          <cell r="G55">
            <v>59.68</v>
          </cell>
          <cell r="H55">
            <v>9.8496299095326956E-4</v>
          </cell>
          <cell r="I55">
            <v>7.0899999999994634E-2</v>
          </cell>
          <cell r="J55">
            <v>71.982399999999998</v>
          </cell>
          <cell r="K55">
            <v>72.053299999999993</v>
          </cell>
          <cell r="L55">
            <v>1.2977382276604262E-3</v>
          </cell>
          <cell r="M55">
            <v>7.0000000000003393E-4</v>
          </cell>
          <cell r="N55">
            <v>0.53939999999999999</v>
          </cell>
          <cell r="O55">
            <v>0.54010000000000002</v>
          </cell>
          <cell r="P55">
            <v>4.7863853926606592E-4</v>
          </cell>
          <cell r="Q55">
            <v>5.1299999999997681E-2</v>
          </cell>
          <cell r="R55">
            <v>107.179</v>
          </cell>
          <cell r="S55">
            <v>107.2303</v>
          </cell>
          <cell r="T55">
            <v>1.2573606192070208E-3</v>
          </cell>
          <cell r="U55">
            <v>5.8399999999998897E-2</v>
          </cell>
          <cell r="V55">
            <v>46.4465</v>
          </cell>
          <cell r="W55">
            <v>46.504899999999999</v>
          </cell>
          <cell r="X55">
            <v>3.2374504747154488E-4</v>
          </cell>
          <cell r="Y55">
            <v>1.4699999999997715E-2</v>
          </cell>
          <cell r="Z55">
            <v>45.406100000000002</v>
          </cell>
          <cell r="AA55">
            <v>45.4208</v>
          </cell>
          <cell r="AB55">
            <v>9.1445038022970203E-4</v>
          </cell>
          <cell r="AC55">
            <v>4.4299999999999784E-2</v>
          </cell>
          <cell r="AD55">
            <v>48.444400000000002</v>
          </cell>
          <cell r="AE55">
            <v>48.488700000000001</v>
          </cell>
          <cell r="AF55">
            <v>7.514166050751409E-4</v>
          </cell>
          <cell r="AG55">
            <v>1.2199999999999989E-2</v>
          </cell>
          <cell r="AH55">
            <v>16.236000000000001</v>
          </cell>
          <cell r="AI55">
            <v>16.248200000000001</v>
          </cell>
          <cell r="AJ55">
            <v>7.1066947580266727E-4</v>
          </cell>
          <cell r="AK55">
            <v>1.130000000000031E-2</v>
          </cell>
          <cell r="AL55">
            <v>15.900499999999999</v>
          </cell>
          <cell r="AM55">
            <v>15.911799999999999</v>
          </cell>
          <cell r="AN55">
            <v>1.0997211421389529E-3</v>
          </cell>
          <cell r="AO55">
            <v>8.3999999999999631E-3</v>
          </cell>
          <cell r="AP55">
            <v>7.6383000000000001</v>
          </cell>
          <cell r="AQ55">
            <v>7.6467000000000001</v>
          </cell>
          <cell r="AR55">
            <v>5.5366053868719684E-5</v>
          </cell>
          <cell r="AS55">
            <v>2.2999999999981924E-3</v>
          </cell>
          <cell r="AT55">
            <v>41.541699999999999</v>
          </cell>
          <cell r="AU55">
            <v>41.543999999999997</v>
          </cell>
          <cell r="AV55">
            <v>1.008503065058293E-3</v>
          </cell>
          <cell r="AW55">
            <v>3.5699999999998511E-2</v>
          </cell>
          <cell r="AX55">
            <v>35.399000000000001</v>
          </cell>
          <cell r="AY55">
            <v>35.434699999999999</v>
          </cell>
          <cell r="AZ55">
            <v>7.1680850786529418E-4</v>
          </cell>
          <cell r="BA55">
            <v>5.4999999999996163E-3</v>
          </cell>
          <cell r="BB55">
            <v>7.6729000000000003</v>
          </cell>
          <cell r="BC55">
            <v>7.6783999999999999</v>
          </cell>
        </row>
        <row r="56">
          <cell r="B56">
            <v>8</v>
          </cell>
          <cell r="C56">
            <v>1</v>
          </cell>
          <cell r="D56">
            <v>6.9816800714924036E-5</v>
          </cell>
          <cell r="E56">
            <v>5.434782608695652E-3</v>
          </cell>
          <cell r="F56">
            <v>59.68</v>
          </cell>
          <cell r="G56">
            <v>59.685434782608695</v>
          </cell>
          <cell r="H56">
            <v>1.2611436980317724E-4</v>
          </cell>
          <cell r="I56">
            <v>9.0869565217392683E-3</v>
          </cell>
          <cell r="J56">
            <v>72.053299999999993</v>
          </cell>
          <cell r="K56">
            <v>72.062386956521735</v>
          </cell>
          <cell r="L56">
            <v>1.851508979818527E-4</v>
          </cell>
          <cell r="M56">
            <v>9.9999999999998636E-5</v>
          </cell>
          <cell r="N56">
            <v>0.54010000000000002</v>
          </cell>
          <cell r="O56">
            <v>0.54020000000000001</v>
          </cell>
          <cell r="P56">
            <v>5.165639222106406E-5</v>
          </cell>
          <cell r="Q56">
            <v>5.5391304347823652E-3</v>
          </cell>
          <cell r="R56">
            <v>107.2303</v>
          </cell>
          <cell r="S56">
            <v>107.23583913043478</v>
          </cell>
          <cell r="T56">
            <v>1.6594791740973344E-4</v>
          </cell>
          <cell r="U56">
            <v>7.7173913043479129E-3</v>
          </cell>
          <cell r="V56">
            <v>46.504899999999999</v>
          </cell>
          <cell r="W56">
            <v>46.512617391304346</v>
          </cell>
          <cell r="X56">
            <v>2.6993953354446908E-5</v>
          </cell>
          <cell r="Y56">
            <v>1.2260869565216619E-3</v>
          </cell>
          <cell r="Z56">
            <v>45.4208</v>
          </cell>
          <cell r="AA56">
            <v>45.422026086956521</v>
          </cell>
          <cell r="AB56">
            <v>1.1306982236381294E-4</v>
          </cell>
          <cell r="AC56">
            <v>5.4826086956522172E-3</v>
          </cell>
          <cell r="AD56">
            <v>48.488700000000001</v>
          </cell>
          <cell r="AE56">
            <v>48.494182608695652</v>
          </cell>
          <cell r="AF56">
            <v>9.1247565616629328E-5</v>
          </cell>
          <cell r="AG56">
            <v>1.4826086956521169E-3</v>
          </cell>
          <cell r="AH56">
            <v>16.248200000000001</v>
          </cell>
          <cell r="AI56">
            <v>16.249682608695654</v>
          </cell>
          <cell r="AJ56">
            <v>1.0152421082895247E-4</v>
          </cell>
          <cell r="AK56">
            <v>1.6142857142857586E-3</v>
          </cell>
          <cell r="AL56">
            <v>15.900499999999999</v>
          </cell>
          <cell r="AM56">
            <v>15.902114285714285</v>
          </cell>
          <cell r="AN56">
            <v>1.571030203055647E-4</v>
          </cell>
          <cell r="AO56">
            <v>1.1999999999999947E-3</v>
          </cell>
          <cell r="AP56">
            <v>7.6383000000000001</v>
          </cell>
          <cell r="AQ56">
            <v>7.6395</v>
          </cell>
          <cell r="AR56">
            <v>-1.2977335711115636E-5</v>
          </cell>
          <cell r="AS56">
            <v>-5.3913043478258794E-4</v>
          </cell>
          <cell r="AT56">
            <v>41.543999999999997</v>
          </cell>
          <cell r="AU56">
            <v>41.543460869565216</v>
          </cell>
          <cell r="AV56">
            <v>1.4407186643689899E-4</v>
          </cell>
          <cell r="AW56">
            <v>5.099999999999787E-3</v>
          </cell>
          <cell r="AX56">
            <v>35.399000000000001</v>
          </cell>
          <cell r="AY56">
            <v>35.4041</v>
          </cell>
          <cell r="AZ56">
            <v>1.0240121540932774E-4</v>
          </cell>
          <cell r="BA56">
            <v>7.8571428571423089E-4</v>
          </cell>
          <cell r="BB56">
            <v>7.6729000000000003</v>
          </cell>
          <cell r="BC56">
            <v>7.6736857142857149</v>
          </cell>
        </row>
        <row r="57">
          <cell r="B57">
            <v>9</v>
          </cell>
          <cell r="C57">
            <v>2</v>
          </cell>
          <cell r="D57">
            <v>1.3963360142984807E-4</v>
          </cell>
          <cell r="E57">
            <v>1.0869565217391304E-2</v>
          </cell>
          <cell r="F57">
            <v>59.68</v>
          </cell>
          <cell r="G57">
            <v>59.69086956521739</v>
          </cell>
          <cell r="H57">
            <v>2.5222873960635447E-4</v>
          </cell>
          <cell r="I57">
            <v>1.8173913043478537E-2</v>
          </cell>
          <cell r="J57">
            <v>72.053299999999993</v>
          </cell>
          <cell r="K57">
            <v>72.071473913043477</v>
          </cell>
          <cell r="L57">
            <v>3.7030179596370539E-4</v>
          </cell>
          <cell r="M57">
            <v>1.9999999999999727E-4</v>
          </cell>
          <cell r="N57">
            <v>0.54010000000000002</v>
          </cell>
          <cell r="O57">
            <v>0.5403</v>
          </cell>
          <cell r="P57">
            <v>1.0331278444212812E-4</v>
          </cell>
          <cell r="Q57">
            <v>1.107826086956473E-2</v>
          </cell>
          <cell r="R57">
            <v>107.2303</v>
          </cell>
          <cell r="S57">
            <v>107.24137826086957</v>
          </cell>
          <cell r="T57">
            <v>3.3189583481946688E-4</v>
          </cell>
          <cell r="U57">
            <v>1.5434782608695826E-2</v>
          </cell>
          <cell r="V57">
            <v>46.504899999999999</v>
          </cell>
          <cell r="W57">
            <v>46.520334782608693</v>
          </cell>
          <cell r="X57">
            <v>5.3987906708893815E-5</v>
          </cell>
          <cell r="Y57">
            <v>2.4521739130433239E-3</v>
          </cell>
          <cell r="Z57">
            <v>45.4208</v>
          </cell>
          <cell r="AA57">
            <v>45.423252173913042</v>
          </cell>
          <cell r="AB57">
            <v>2.2613964472762587E-4</v>
          </cell>
          <cell r="AC57">
            <v>1.0965217391304434E-2</v>
          </cell>
          <cell r="AD57">
            <v>48.488700000000001</v>
          </cell>
          <cell r="AE57">
            <v>48.499665217391303</v>
          </cell>
          <cell r="AF57">
            <v>1.8249513123325866E-4</v>
          </cell>
          <cell r="AG57">
            <v>2.9652173913042338E-3</v>
          </cell>
          <cell r="AH57">
            <v>16.248200000000001</v>
          </cell>
          <cell r="AI57">
            <v>16.251165217391303</v>
          </cell>
          <cell r="AJ57">
            <v>2.0304842165790493E-4</v>
          </cell>
          <cell r="AK57">
            <v>3.2285714285715172E-3</v>
          </cell>
          <cell r="AL57">
            <v>15.900499999999999</v>
          </cell>
          <cell r="AM57">
            <v>15.903728571428571</v>
          </cell>
          <cell r="AN57">
            <v>3.142060406111294E-4</v>
          </cell>
          <cell r="AO57">
            <v>2.3999999999999894E-3</v>
          </cell>
          <cell r="AP57">
            <v>7.6383000000000001</v>
          </cell>
          <cell r="AQ57">
            <v>7.6406999999999998</v>
          </cell>
          <cell r="AR57">
            <v>-2.5954671422231272E-5</v>
          </cell>
          <cell r="AS57">
            <v>-1.0782608695651759E-3</v>
          </cell>
          <cell r="AT57">
            <v>41.543999999999997</v>
          </cell>
          <cell r="AU57">
            <v>41.542921739130435</v>
          </cell>
          <cell r="AV57">
            <v>2.8814373287379798E-4</v>
          </cell>
          <cell r="AW57">
            <v>1.0199999999999574E-2</v>
          </cell>
          <cell r="AX57">
            <v>35.399000000000001</v>
          </cell>
          <cell r="AY57">
            <v>35.409199999999998</v>
          </cell>
          <cell r="AZ57">
            <v>2.0480243081865548E-4</v>
          </cell>
          <cell r="BA57">
            <v>1.5714285714284618E-3</v>
          </cell>
          <cell r="BB57">
            <v>7.6729000000000003</v>
          </cell>
          <cell r="BC57">
            <v>7.6744714285714286</v>
          </cell>
        </row>
        <row r="58">
          <cell r="B58">
            <v>10</v>
          </cell>
          <cell r="C58">
            <v>3</v>
          </cell>
          <cell r="D58">
            <v>2.0945040214477215E-4</v>
          </cell>
          <cell r="E58">
            <v>1.6304347826086956E-2</v>
          </cell>
          <cell r="F58">
            <v>59.68</v>
          </cell>
          <cell r="G58">
            <v>59.696304347826086</v>
          </cell>
          <cell r="H58">
            <v>3.7834310940953168E-4</v>
          </cell>
          <cell r="I58">
            <v>2.7260869565217807E-2</v>
          </cell>
          <cell r="J58">
            <v>72.053299999999993</v>
          </cell>
          <cell r="K58">
            <v>72.080560869565204</v>
          </cell>
          <cell r="L58">
            <v>5.5545269394555803E-4</v>
          </cell>
          <cell r="M58">
            <v>2.9999999999999591E-4</v>
          </cell>
          <cell r="N58">
            <v>0.54010000000000002</v>
          </cell>
          <cell r="O58">
            <v>0.54039999999999999</v>
          </cell>
          <cell r="P58">
            <v>1.5496917666319216E-4</v>
          </cell>
          <cell r="Q58">
            <v>1.6617391304347095E-2</v>
          </cell>
          <cell r="R58">
            <v>107.2303</v>
          </cell>
          <cell r="S58">
            <v>107.24691739130435</v>
          </cell>
          <cell r="T58">
            <v>4.9784375222920035E-4</v>
          </cell>
          <cell r="U58">
            <v>2.3152173913043739E-2</v>
          </cell>
          <cell r="V58">
            <v>46.504899999999999</v>
          </cell>
          <cell r="W58">
            <v>46.528052173913046</v>
          </cell>
          <cell r="X58">
            <v>8.0981860063340712E-5</v>
          </cell>
          <cell r="Y58">
            <v>3.678260869564986E-3</v>
          </cell>
          <cell r="Z58">
            <v>45.4208</v>
          </cell>
          <cell r="AA58">
            <v>45.424478260869563</v>
          </cell>
          <cell r="AB58">
            <v>3.3920946709143881E-4</v>
          </cell>
          <cell r="AC58">
            <v>1.6447826086956652E-2</v>
          </cell>
          <cell r="AD58">
            <v>48.488700000000001</v>
          </cell>
          <cell r="AE58">
            <v>48.505147826086962</v>
          </cell>
          <cell r="AF58">
            <v>2.7374269684988801E-4</v>
          </cell>
          <cell r="AG58">
            <v>4.4478260869563503E-3</v>
          </cell>
          <cell r="AH58">
            <v>16.248200000000001</v>
          </cell>
          <cell r="AI58">
            <v>16.252647826086957</v>
          </cell>
          <cell r="AJ58">
            <v>3.045726324868574E-4</v>
          </cell>
          <cell r="AK58">
            <v>4.8428571428572754E-3</v>
          </cell>
          <cell r="AL58">
            <v>15.900499999999999</v>
          </cell>
          <cell r="AM58">
            <v>15.905342857142857</v>
          </cell>
          <cell r="AN58">
            <v>4.7130906091669405E-4</v>
          </cell>
          <cell r="AO58">
            <v>3.5999999999999843E-3</v>
          </cell>
          <cell r="AP58">
            <v>7.6383000000000001</v>
          </cell>
          <cell r="AQ58">
            <v>7.6418999999999997</v>
          </cell>
          <cell r="AR58">
            <v>-3.8932007133346905E-5</v>
          </cell>
          <cell r="AS58">
            <v>-1.6173913043477637E-3</v>
          </cell>
          <cell r="AT58">
            <v>41.543999999999997</v>
          </cell>
          <cell r="AU58">
            <v>41.542382608695647</v>
          </cell>
          <cell r="AV58">
            <v>4.32215599310697E-4</v>
          </cell>
          <cell r="AW58">
            <v>1.5299999999999361E-2</v>
          </cell>
          <cell r="AX58">
            <v>35.399000000000001</v>
          </cell>
          <cell r="AY58">
            <v>35.414299999999997</v>
          </cell>
          <cell r="AZ58">
            <v>3.0720364622798321E-4</v>
          </cell>
          <cell r="BA58">
            <v>2.3571428571426928E-3</v>
          </cell>
          <cell r="BB58">
            <v>7.6729000000000003</v>
          </cell>
          <cell r="BC58">
            <v>7.6752571428571432</v>
          </cell>
        </row>
        <row r="59">
          <cell r="B59">
            <v>11</v>
          </cell>
          <cell r="C59">
            <v>4</v>
          </cell>
          <cell r="D59">
            <v>2.7926720285969614E-4</v>
          </cell>
          <cell r="E59">
            <v>2.1739130434782608E-2</v>
          </cell>
          <cell r="F59">
            <v>59.68</v>
          </cell>
          <cell r="G59">
            <v>59.701739130434781</v>
          </cell>
          <cell r="H59">
            <v>5.0445747921270894E-4</v>
          </cell>
          <cell r="I59">
            <v>3.6347826086957073E-2</v>
          </cell>
          <cell r="J59">
            <v>72.053299999999993</v>
          </cell>
          <cell r="K59">
            <v>72.089647826086946</v>
          </cell>
          <cell r="L59">
            <v>7.4060359192741078E-4</v>
          </cell>
          <cell r="M59">
            <v>3.9999999999999454E-4</v>
          </cell>
          <cell r="N59">
            <v>0.54010000000000002</v>
          </cell>
          <cell r="O59">
            <v>0.54049999999999998</v>
          </cell>
          <cell r="P59">
            <v>2.0662556888425624E-4</v>
          </cell>
          <cell r="Q59">
            <v>2.2156521739129461E-2</v>
          </cell>
          <cell r="R59">
            <v>107.2303</v>
          </cell>
          <cell r="S59">
            <v>107.25245652173913</v>
          </cell>
          <cell r="T59">
            <v>6.6379166963893377E-4</v>
          </cell>
          <cell r="U59">
            <v>3.0869565217391651E-2</v>
          </cell>
          <cell r="V59">
            <v>46.504899999999999</v>
          </cell>
          <cell r="W59">
            <v>46.535769565217393</v>
          </cell>
          <cell r="X59">
            <v>1.0797581341778763E-4</v>
          </cell>
          <cell r="Y59">
            <v>4.9043478260866477E-3</v>
          </cell>
          <cell r="Z59">
            <v>45.4208</v>
          </cell>
          <cell r="AA59">
            <v>45.425704347826084</v>
          </cell>
          <cell r="AB59">
            <v>4.5227928945525174E-4</v>
          </cell>
          <cell r="AC59">
            <v>2.1930434782608869E-2</v>
          </cell>
          <cell r="AD59">
            <v>48.488700000000001</v>
          </cell>
          <cell r="AE59">
            <v>48.510630434782612</v>
          </cell>
          <cell r="AF59">
            <v>3.6499026246651731E-4</v>
          </cell>
          <cell r="AG59">
            <v>5.9304347826084677E-3</v>
          </cell>
          <cell r="AH59">
            <v>16.248200000000001</v>
          </cell>
          <cell r="AI59">
            <v>16.25413043478261</v>
          </cell>
          <cell r="AJ59">
            <v>4.0609684331580987E-4</v>
          </cell>
          <cell r="AK59">
            <v>6.4571428571430344E-3</v>
          </cell>
          <cell r="AL59">
            <v>15.900499999999999</v>
          </cell>
          <cell r="AM59">
            <v>15.906957142857141</v>
          </cell>
          <cell r="AN59">
            <v>6.284120812222588E-4</v>
          </cell>
          <cell r="AO59">
            <v>4.7999999999999788E-3</v>
          </cell>
          <cell r="AP59">
            <v>7.6383000000000001</v>
          </cell>
          <cell r="AQ59">
            <v>7.6431000000000004</v>
          </cell>
          <cell r="AR59">
            <v>-5.1909342844462544E-5</v>
          </cell>
          <cell r="AS59">
            <v>-2.1565217391303518E-3</v>
          </cell>
          <cell r="AT59">
            <v>41.543999999999997</v>
          </cell>
          <cell r="AU59">
            <v>41.541843478260866</v>
          </cell>
          <cell r="AV59">
            <v>5.7628746574759596E-4</v>
          </cell>
          <cell r="AW59">
            <v>2.0399999999999148E-2</v>
          </cell>
          <cell r="AX59">
            <v>35.399000000000001</v>
          </cell>
          <cell r="AY59">
            <v>35.419400000000003</v>
          </cell>
          <cell r="AZ59">
            <v>4.0960486163731097E-4</v>
          </cell>
          <cell r="BA59">
            <v>3.1428571428569235E-3</v>
          </cell>
          <cell r="BB59">
            <v>7.6729000000000003</v>
          </cell>
          <cell r="BC59">
            <v>7.6760428571428569</v>
          </cell>
        </row>
        <row r="60">
          <cell r="B60">
            <v>12</v>
          </cell>
          <cell r="C60">
            <v>5</v>
          </cell>
          <cell r="D60">
            <v>3.4908400357462019E-4</v>
          </cell>
          <cell r="E60">
            <v>2.717391304347826E-2</v>
          </cell>
          <cell r="F60">
            <v>59.68</v>
          </cell>
          <cell r="G60">
            <v>59.707173913043476</v>
          </cell>
          <cell r="H60">
            <v>6.3057184901588615E-4</v>
          </cell>
          <cell r="I60">
            <v>4.5434782608696343E-2</v>
          </cell>
          <cell r="J60">
            <v>72.053299999999993</v>
          </cell>
          <cell r="K60">
            <v>72.098734782608688</v>
          </cell>
          <cell r="L60">
            <v>9.2575448990926343E-4</v>
          </cell>
          <cell r="M60">
            <v>4.9999999999999318E-4</v>
          </cell>
          <cell r="N60">
            <v>0.54010000000000002</v>
          </cell>
          <cell r="O60">
            <v>0.54059999999999997</v>
          </cell>
          <cell r="P60">
            <v>2.5828196110532029E-4</v>
          </cell>
          <cell r="Q60">
            <v>2.7695652173911827E-2</v>
          </cell>
          <cell r="R60">
            <v>107.2303</v>
          </cell>
          <cell r="S60">
            <v>107.25799565217392</v>
          </cell>
          <cell r="T60">
            <v>8.2973958704866718E-4</v>
          </cell>
          <cell r="U60">
            <v>3.858695652173956E-2</v>
          </cell>
          <cell r="V60">
            <v>46.504899999999999</v>
          </cell>
          <cell r="W60">
            <v>46.54348695652174</v>
          </cell>
          <cell r="X60">
            <v>1.3496976677223455E-4</v>
          </cell>
          <cell r="Y60">
            <v>6.1304347826083103E-3</v>
          </cell>
          <cell r="Z60">
            <v>45.4208</v>
          </cell>
          <cell r="AA60">
            <v>45.426930434782605</v>
          </cell>
          <cell r="AB60">
            <v>5.6534911181906479E-4</v>
          </cell>
          <cell r="AC60">
            <v>2.7413043478261085E-2</v>
          </cell>
          <cell r="AD60">
            <v>48.488700000000001</v>
          </cell>
          <cell r="AE60">
            <v>48.516113043478263</v>
          </cell>
          <cell r="AF60">
            <v>4.5623782808314661E-4</v>
          </cell>
          <cell r="AG60">
            <v>7.4130434782605842E-3</v>
          </cell>
          <cell r="AH60">
            <v>16.248200000000001</v>
          </cell>
          <cell r="AI60">
            <v>16.25561304347826</v>
          </cell>
          <cell r="AJ60">
            <v>5.0762105414476233E-4</v>
          </cell>
          <cell r="AK60">
            <v>8.0714285714287935E-3</v>
          </cell>
          <cell r="AL60">
            <v>15.900499999999999</v>
          </cell>
          <cell r="AM60">
            <v>15.908571428571427</v>
          </cell>
          <cell r="AN60">
            <v>7.8551510152782345E-4</v>
          </cell>
          <cell r="AO60">
            <v>5.9999999999999732E-3</v>
          </cell>
          <cell r="AP60">
            <v>7.6383000000000001</v>
          </cell>
          <cell r="AQ60">
            <v>7.6443000000000003</v>
          </cell>
          <cell r="AR60">
            <v>-6.4886678555578183E-5</v>
          </cell>
          <cell r="AS60">
            <v>-2.6956521739129398E-3</v>
          </cell>
          <cell r="AT60">
            <v>41.543999999999997</v>
          </cell>
          <cell r="AU60">
            <v>41.541304347826085</v>
          </cell>
          <cell r="AV60">
            <v>7.2035933218449492E-4</v>
          </cell>
          <cell r="AW60">
            <v>2.5499999999998937E-2</v>
          </cell>
          <cell r="AX60">
            <v>35.399000000000001</v>
          </cell>
          <cell r="AY60">
            <v>35.424500000000002</v>
          </cell>
          <cell r="AZ60">
            <v>5.1200607704663867E-4</v>
          </cell>
          <cell r="BA60">
            <v>3.9285714285711548E-3</v>
          </cell>
          <cell r="BB60">
            <v>7.6729000000000003</v>
          </cell>
          <cell r="BC60">
            <v>7.6768285714285716</v>
          </cell>
        </row>
        <row r="61">
          <cell r="B61">
            <v>13</v>
          </cell>
          <cell r="C61">
            <v>6</v>
          </cell>
          <cell r="D61">
            <v>4.189008042895443E-4</v>
          </cell>
          <cell r="E61">
            <v>3.2608695652173912E-2</v>
          </cell>
          <cell r="F61">
            <v>59.68</v>
          </cell>
          <cell r="G61">
            <v>59.712608695652172</v>
          </cell>
          <cell r="H61">
            <v>7.5668621881906336E-4</v>
          </cell>
          <cell r="I61">
            <v>5.4521739130435613E-2</v>
          </cell>
          <cell r="J61">
            <v>72.053299999999993</v>
          </cell>
          <cell r="K61">
            <v>72.107821739130429</v>
          </cell>
          <cell r="L61">
            <v>1.1109053878911161E-3</v>
          </cell>
          <cell r="M61">
            <v>5.9999999999999182E-4</v>
          </cell>
          <cell r="N61">
            <v>0.54010000000000002</v>
          </cell>
          <cell r="O61">
            <v>0.54070000000000007</v>
          </cell>
          <cell r="P61">
            <v>3.0993835332638432E-4</v>
          </cell>
          <cell r="Q61">
            <v>3.323478260869419E-2</v>
          </cell>
          <cell r="R61">
            <v>107.2303</v>
          </cell>
          <cell r="S61">
            <v>107.26353478260869</v>
          </cell>
          <cell r="T61">
            <v>9.9568750445840071E-4</v>
          </cell>
          <cell r="U61">
            <v>4.6304347826087479E-2</v>
          </cell>
          <cell r="V61">
            <v>46.504899999999999</v>
          </cell>
          <cell r="W61">
            <v>46.551204347826086</v>
          </cell>
          <cell r="X61">
            <v>1.6196372012668142E-4</v>
          </cell>
          <cell r="Y61">
            <v>7.3565217391299721E-3</v>
          </cell>
          <cell r="Z61">
            <v>45.4208</v>
          </cell>
          <cell r="AA61">
            <v>45.428156521739133</v>
          </cell>
          <cell r="AB61">
            <v>6.7841893418287762E-4</v>
          </cell>
          <cell r="AC61">
            <v>3.2895652173913305E-2</v>
          </cell>
          <cell r="AD61">
            <v>48.488700000000001</v>
          </cell>
          <cell r="AE61">
            <v>48.521595652173914</v>
          </cell>
          <cell r="AF61">
            <v>5.4748539369977602E-4</v>
          </cell>
          <cell r="AG61">
            <v>8.8956521739127006E-3</v>
          </cell>
          <cell r="AH61">
            <v>16.248200000000001</v>
          </cell>
          <cell r="AI61">
            <v>16.257095652173913</v>
          </cell>
          <cell r="AJ61">
            <v>6.091452649737148E-4</v>
          </cell>
          <cell r="AK61">
            <v>9.6857142857145508E-3</v>
          </cell>
          <cell r="AL61">
            <v>15.900499999999999</v>
          </cell>
          <cell r="AM61">
            <v>15.910185714285713</v>
          </cell>
          <cell r="AN61">
            <v>9.426181218333881E-4</v>
          </cell>
          <cell r="AO61">
            <v>7.1999999999999686E-3</v>
          </cell>
          <cell r="AP61">
            <v>7.6383000000000001</v>
          </cell>
          <cell r="AQ61">
            <v>7.6455000000000002</v>
          </cell>
          <cell r="AR61">
            <v>-7.7864014266693809E-5</v>
          </cell>
          <cell r="AS61">
            <v>-3.2347826086955274E-3</v>
          </cell>
          <cell r="AT61">
            <v>41.543999999999997</v>
          </cell>
          <cell r="AU61">
            <v>41.540765217391304</v>
          </cell>
          <cell r="AV61">
            <v>8.6443119862139399E-4</v>
          </cell>
          <cell r="AW61">
            <v>3.0599999999998722E-2</v>
          </cell>
          <cell r="AX61">
            <v>35.399000000000001</v>
          </cell>
          <cell r="AY61">
            <v>35.429600000000001</v>
          </cell>
          <cell r="AZ61">
            <v>6.1440729245596643E-4</v>
          </cell>
          <cell r="BA61">
            <v>4.7142857142853855E-3</v>
          </cell>
          <cell r="BB61">
            <v>7.6729000000000003</v>
          </cell>
          <cell r="BC61">
            <v>7.6776142857142853</v>
          </cell>
        </row>
        <row r="62">
          <cell r="B62">
            <v>14</v>
          </cell>
          <cell r="C62">
            <v>7</v>
          </cell>
          <cell r="D62">
            <v>4.8871760500446835E-4</v>
          </cell>
          <cell r="E62">
            <v>3.8043478260869568E-2</v>
          </cell>
          <cell r="F62">
            <v>59.68</v>
          </cell>
          <cell r="G62">
            <v>59.718043478260867</v>
          </cell>
          <cell r="H62">
            <v>8.8280058862224068E-4</v>
          </cell>
          <cell r="I62">
            <v>6.3608695652174876E-2</v>
          </cell>
          <cell r="J62">
            <v>72.053299999999993</v>
          </cell>
          <cell r="K62">
            <v>72.116908695652171</v>
          </cell>
          <cell r="L62">
            <v>1.2960562858729688E-3</v>
          </cell>
          <cell r="M62">
            <v>6.9999999999999045E-4</v>
          </cell>
          <cell r="N62">
            <v>0.54010000000000002</v>
          </cell>
          <cell r="O62">
            <v>0.54080000000000006</v>
          </cell>
          <cell r="P62">
            <v>3.615947455474484E-4</v>
          </cell>
          <cell r="Q62">
            <v>3.8773913043476556E-2</v>
          </cell>
          <cell r="R62">
            <v>107.2303</v>
          </cell>
          <cell r="S62">
            <v>107.26907391304347</v>
          </cell>
          <cell r="T62">
            <v>1.161635421868134E-3</v>
          </cell>
          <cell r="U62">
            <v>5.4021739130435391E-2</v>
          </cell>
          <cell r="V62">
            <v>46.504899999999999</v>
          </cell>
          <cell r="W62">
            <v>46.558921739130433</v>
          </cell>
          <cell r="X62">
            <v>1.8895767348112836E-4</v>
          </cell>
          <cell r="Y62">
            <v>8.5826086956516338E-3</v>
          </cell>
          <cell r="Z62">
            <v>45.4208</v>
          </cell>
          <cell r="AA62">
            <v>45.429382608695654</v>
          </cell>
          <cell r="AB62">
            <v>7.9148875654669055E-4</v>
          </cell>
          <cell r="AC62">
            <v>3.8378260869565521E-2</v>
          </cell>
          <cell r="AD62">
            <v>48.488700000000001</v>
          </cell>
          <cell r="AE62">
            <v>48.527078260869565</v>
          </cell>
          <cell r="AF62">
            <v>6.3873295931640532E-4</v>
          </cell>
          <cell r="AG62">
            <v>1.0378260869564818E-2</v>
          </cell>
          <cell r="AH62">
            <v>16.248200000000001</v>
          </cell>
          <cell r="AI62">
            <v>16.258578260869566</v>
          </cell>
          <cell r="AJ62">
            <v>7.1066947580266727E-4</v>
          </cell>
          <cell r="AK62">
            <v>1.130000000000031E-2</v>
          </cell>
          <cell r="AL62">
            <v>15.900499999999999</v>
          </cell>
          <cell r="AM62">
            <v>15.911799999999999</v>
          </cell>
          <cell r="AN62">
            <v>1.0997211421389529E-3</v>
          </cell>
          <cell r="AO62">
            <v>8.3999999999999631E-3</v>
          </cell>
          <cell r="AP62">
            <v>7.6383000000000001</v>
          </cell>
          <cell r="AQ62">
            <v>7.6467000000000001</v>
          </cell>
          <cell r="AR62">
            <v>-9.0841349977809448E-5</v>
          </cell>
          <cell r="AS62">
            <v>-3.7739130434781155E-3</v>
          </cell>
          <cell r="AT62">
            <v>41.543999999999997</v>
          </cell>
          <cell r="AU62">
            <v>41.540226086956515</v>
          </cell>
          <cell r="AV62">
            <v>1.008503065058293E-3</v>
          </cell>
          <cell r="AW62">
            <v>3.5699999999998511E-2</v>
          </cell>
          <cell r="AX62">
            <v>35.399000000000001</v>
          </cell>
          <cell r="AY62">
            <v>35.434699999999999</v>
          </cell>
          <cell r="AZ62">
            <v>7.1680850786529418E-4</v>
          </cell>
          <cell r="BA62">
            <v>5.4999999999996163E-3</v>
          </cell>
          <cell r="BB62">
            <v>7.6729000000000003</v>
          </cell>
          <cell r="BC62">
            <v>7.6783999999999999</v>
          </cell>
        </row>
        <row r="63">
          <cell r="B63">
            <v>15</v>
          </cell>
          <cell r="C63">
            <v>8</v>
          </cell>
          <cell r="D63">
            <v>5.5853440571939229E-4</v>
          </cell>
          <cell r="E63">
            <v>4.3478260869565216E-2</v>
          </cell>
          <cell r="F63">
            <v>59.68</v>
          </cell>
          <cell r="G63">
            <v>59.723478260869562</v>
          </cell>
          <cell r="H63">
            <v>1.0089149584254179E-3</v>
          </cell>
          <cell r="I63">
            <v>7.2695652173914146E-2</v>
          </cell>
          <cell r="J63">
            <v>72.053299999999993</v>
          </cell>
          <cell r="K63">
            <v>72.125995652173913</v>
          </cell>
          <cell r="L63">
            <v>1.4812071838548216E-3</v>
          </cell>
          <cell r="M63">
            <v>7.9999999999998909E-4</v>
          </cell>
          <cell r="N63">
            <v>0.54010000000000002</v>
          </cell>
          <cell r="O63">
            <v>0.54090000000000005</v>
          </cell>
          <cell r="P63">
            <v>4.1325113776851248E-4</v>
          </cell>
          <cell r="Q63">
            <v>4.4313043478258922E-2</v>
          </cell>
          <cell r="R63">
            <v>107.2303</v>
          </cell>
          <cell r="S63">
            <v>107.27461304347825</v>
          </cell>
          <cell r="T63">
            <v>1.3275833392778675E-3</v>
          </cell>
          <cell r="U63">
            <v>6.1739130434783303E-2</v>
          </cell>
          <cell r="V63">
            <v>46.504899999999999</v>
          </cell>
          <cell r="W63">
            <v>46.56663913043478</v>
          </cell>
          <cell r="X63">
            <v>2.1595162683557526E-4</v>
          </cell>
          <cell r="Y63">
            <v>9.8086956521732955E-3</v>
          </cell>
          <cell r="Z63">
            <v>45.4208</v>
          </cell>
          <cell r="AA63">
            <v>45.430608695652175</v>
          </cell>
          <cell r="AB63">
            <v>9.0455857891050349E-4</v>
          </cell>
          <cell r="AC63">
            <v>4.3860869565217737E-2</v>
          </cell>
          <cell r="AD63">
            <v>48.488700000000001</v>
          </cell>
          <cell r="AE63">
            <v>48.532560869565216</v>
          </cell>
          <cell r="AF63">
            <v>7.2998052493303462E-4</v>
          </cell>
          <cell r="AG63">
            <v>1.1860869565216935E-2</v>
          </cell>
          <cell r="AH63">
            <v>16.248200000000001</v>
          </cell>
          <cell r="AI63">
            <v>16.260060869565219</v>
          </cell>
          <cell r="AJ63">
            <v>8.1219368663161973E-4</v>
          </cell>
          <cell r="AK63">
            <v>1.2914285714286069E-2</v>
          </cell>
          <cell r="AL63">
            <v>15.900499999999999</v>
          </cell>
          <cell r="AM63">
            <v>15.913414285714286</v>
          </cell>
          <cell r="AN63">
            <v>1.2568241624445176E-3</v>
          </cell>
          <cell r="AO63">
            <v>9.5999999999999575E-3</v>
          </cell>
          <cell r="AP63">
            <v>7.6383000000000001</v>
          </cell>
          <cell r="AQ63">
            <v>7.6478999999999999</v>
          </cell>
          <cell r="AR63">
            <v>-1.0381868568892509E-4</v>
          </cell>
          <cell r="AS63">
            <v>-4.3130434782607035E-3</v>
          </cell>
          <cell r="AT63">
            <v>41.543999999999997</v>
          </cell>
          <cell r="AU63">
            <v>41.539686956521734</v>
          </cell>
          <cell r="AV63">
            <v>1.1525749314951919E-3</v>
          </cell>
          <cell r="AW63">
            <v>4.0799999999998296E-2</v>
          </cell>
          <cell r="AX63">
            <v>35.399000000000001</v>
          </cell>
          <cell r="AY63">
            <v>35.439799999999998</v>
          </cell>
          <cell r="AZ63">
            <v>8.1920972327462194E-4</v>
          </cell>
          <cell r="BA63">
            <v>6.2857142857138471E-3</v>
          </cell>
          <cell r="BB63">
            <v>7.6729000000000003</v>
          </cell>
          <cell r="BC63">
            <v>7.6791857142857145</v>
          </cell>
        </row>
        <row r="64">
          <cell r="B64">
            <v>16</v>
          </cell>
          <cell r="C64">
            <v>9</v>
          </cell>
          <cell r="D64">
            <v>6.2835120643431645E-4</v>
          </cell>
          <cell r="E64">
            <v>4.8913043478260872E-2</v>
          </cell>
          <cell r="F64">
            <v>59.68</v>
          </cell>
          <cell r="G64">
            <v>59.728913043478258</v>
          </cell>
          <cell r="H64">
            <v>1.135029328228595E-3</v>
          </cell>
          <cell r="I64">
            <v>8.1782608695653417E-2</v>
          </cell>
          <cell r="J64">
            <v>72.053299999999993</v>
          </cell>
          <cell r="K64">
            <v>72.13508260869564</v>
          </cell>
          <cell r="L64">
            <v>1.6663580818366743E-3</v>
          </cell>
          <cell r="M64">
            <v>8.9999999999998772E-4</v>
          </cell>
          <cell r="N64">
            <v>0.54010000000000002</v>
          </cell>
          <cell r="O64">
            <v>0.54100000000000004</v>
          </cell>
          <cell r="P64">
            <v>4.649075299895765E-4</v>
          </cell>
          <cell r="Q64">
            <v>4.9852173913041288E-2</v>
          </cell>
          <cell r="R64">
            <v>107.2303</v>
          </cell>
          <cell r="S64">
            <v>107.28015217391304</v>
          </cell>
          <cell r="T64">
            <v>1.4935312566876011E-3</v>
          </cell>
          <cell r="U64">
            <v>6.9456521739131208E-2</v>
          </cell>
          <cell r="V64">
            <v>46.504899999999999</v>
          </cell>
          <cell r="W64">
            <v>46.574356521739134</v>
          </cell>
          <cell r="X64">
            <v>2.4294558019002216E-4</v>
          </cell>
          <cell r="Y64">
            <v>1.1034782608694959E-2</v>
          </cell>
          <cell r="Z64">
            <v>45.4208</v>
          </cell>
          <cell r="AA64">
            <v>45.431834782608696</v>
          </cell>
          <cell r="AB64">
            <v>1.0176284012743165E-3</v>
          </cell>
          <cell r="AC64">
            <v>4.9343478260869954E-2</v>
          </cell>
          <cell r="AD64">
            <v>48.488700000000001</v>
          </cell>
          <cell r="AE64">
            <v>48.538043478260875</v>
          </cell>
          <cell r="AF64">
            <v>8.2122809054966403E-4</v>
          </cell>
          <cell r="AG64">
            <v>1.3343478260869051E-2</v>
          </cell>
          <cell r="AH64">
            <v>16.248200000000001</v>
          </cell>
          <cell r="AI64">
            <v>16.261543478260869</v>
          </cell>
          <cell r="AJ64">
            <v>9.137178974605722E-4</v>
          </cell>
          <cell r="AK64">
            <v>1.4528571428571826E-2</v>
          </cell>
          <cell r="AL64">
            <v>15.900499999999999</v>
          </cell>
          <cell r="AM64">
            <v>15.915028571428572</v>
          </cell>
          <cell r="AN64">
            <v>1.4139271827500824E-3</v>
          </cell>
          <cell r="AO64">
            <v>1.0799999999999952E-2</v>
          </cell>
          <cell r="AP64">
            <v>7.6383000000000001</v>
          </cell>
          <cell r="AQ64">
            <v>7.6490999999999998</v>
          </cell>
          <cell r="AR64">
            <v>-1.1679602140004073E-4</v>
          </cell>
          <cell r="AS64">
            <v>-4.8521739130432916E-3</v>
          </cell>
          <cell r="AT64">
            <v>41.543999999999997</v>
          </cell>
          <cell r="AU64">
            <v>41.539147826086953</v>
          </cell>
          <cell r="AV64">
            <v>1.2966467979320909E-3</v>
          </cell>
          <cell r="AW64">
            <v>4.5899999999998088E-2</v>
          </cell>
          <cell r="AX64">
            <v>35.399000000000001</v>
          </cell>
          <cell r="AY64">
            <v>35.444899999999997</v>
          </cell>
          <cell r="AZ64">
            <v>9.216109386839497E-4</v>
          </cell>
          <cell r="BA64">
            <v>7.0714285714280779E-3</v>
          </cell>
          <cell r="BB64">
            <v>7.6729000000000003</v>
          </cell>
          <cell r="BC64">
            <v>7.6799714285714282</v>
          </cell>
        </row>
        <row r="65">
          <cell r="B65">
            <v>17</v>
          </cell>
          <cell r="C65">
            <v>10</v>
          </cell>
          <cell r="D65">
            <v>6.9816800714924039E-4</v>
          </cell>
          <cell r="E65">
            <v>5.434782608695652E-2</v>
          </cell>
          <cell r="F65">
            <v>59.68</v>
          </cell>
          <cell r="G65">
            <v>59.734347826086953</v>
          </cell>
          <cell r="H65">
            <v>1.2611436980317723E-3</v>
          </cell>
          <cell r="I65">
            <v>9.0869565217392687E-2</v>
          </cell>
          <cell r="J65">
            <v>72.053299999999993</v>
          </cell>
          <cell r="K65">
            <v>72.144169565217382</v>
          </cell>
          <cell r="L65">
            <v>1.8515089798185269E-3</v>
          </cell>
          <cell r="M65">
            <v>9.9999999999998636E-4</v>
          </cell>
          <cell r="N65">
            <v>0.54010000000000002</v>
          </cell>
          <cell r="O65">
            <v>0.54110000000000003</v>
          </cell>
          <cell r="P65">
            <v>5.1656392221064058E-4</v>
          </cell>
          <cell r="Q65">
            <v>5.5391304347823654E-2</v>
          </cell>
          <cell r="R65">
            <v>107.2303</v>
          </cell>
          <cell r="S65">
            <v>107.28569130434782</v>
          </cell>
          <cell r="T65">
            <v>1.6594791740973344E-3</v>
          </cell>
          <cell r="U65">
            <v>7.717391304347912E-2</v>
          </cell>
          <cell r="V65">
            <v>46.504899999999999</v>
          </cell>
          <cell r="W65">
            <v>46.58207391304348</v>
          </cell>
          <cell r="X65">
            <v>2.699395335444691E-4</v>
          </cell>
          <cell r="Y65">
            <v>1.2260869565216621E-2</v>
          </cell>
          <cell r="Z65">
            <v>45.4208</v>
          </cell>
          <cell r="AA65">
            <v>45.433060869565217</v>
          </cell>
          <cell r="AB65">
            <v>1.1306982236381296E-3</v>
          </cell>
          <cell r="AC65">
            <v>5.482608695652217E-2</v>
          </cell>
          <cell r="AD65">
            <v>48.488700000000001</v>
          </cell>
          <cell r="AE65">
            <v>48.543526086956525</v>
          </cell>
          <cell r="AF65">
            <v>9.1247565616629322E-4</v>
          </cell>
          <cell r="AG65">
            <v>1.4826086956521168E-2</v>
          </cell>
          <cell r="AH65">
            <v>16.248200000000001</v>
          </cell>
          <cell r="AI65">
            <v>16.263026086956522</v>
          </cell>
          <cell r="AJ65">
            <v>1.0152421082895247E-3</v>
          </cell>
          <cell r="AK65">
            <v>1.6142857142857587E-2</v>
          </cell>
          <cell r="AL65">
            <v>15.900499999999999</v>
          </cell>
          <cell r="AM65">
            <v>15.916642857142858</v>
          </cell>
          <cell r="AN65">
            <v>1.5710302030556469E-3</v>
          </cell>
          <cell r="AO65">
            <v>1.1999999999999946E-2</v>
          </cell>
          <cell r="AP65">
            <v>7.6383000000000001</v>
          </cell>
          <cell r="AQ65">
            <v>7.6502999999999997</v>
          </cell>
          <cell r="AR65">
            <v>-1.2977335711115637E-4</v>
          </cell>
          <cell r="AS65">
            <v>-5.3913043478258796E-3</v>
          </cell>
          <cell r="AT65">
            <v>41.543999999999997</v>
          </cell>
          <cell r="AU65">
            <v>41.538608695652172</v>
          </cell>
          <cell r="AV65">
            <v>1.4407186643689898E-3</v>
          </cell>
          <cell r="AW65">
            <v>5.0999999999997873E-2</v>
          </cell>
          <cell r="AX65">
            <v>35.399000000000001</v>
          </cell>
          <cell r="AY65">
            <v>35.449999999999996</v>
          </cell>
          <cell r="AZ65">
            <v>1.0240121540932773E-3</v>
          </cell>
          <cell r="BA65">
            <v>7.8571428571423095E-3</v>
          </cell>
          <cell r="BB65">
            <v>7.6729000000000003</v>
          </cell>
          <cell r="BC65">
            <v>7.6807571428571428</v>
          </cell>
        </row>
        <row r="66">
          <cell r="B66">
            <v>18</v>
          </cell>
          <cell r="C66">
            <v>11</v>
          </cell>
          <cell r="D66">
            <v>7.6798480786416444E-4</v>
          </cell>
          <cell r="E66">
            <v>5.9782608695652176E-2</v>
          </cell>
          <cell r="F66">
            <v>59.68</v>
          </cell>
          <cell r="G66">
            <v>59.739782608695648</v>
          </cell>
          <cell r="H66">
            <v>1.3872580678349496E-3</v>
          </cell>
          <cell r="I66">
            <v>9.9956521739131957E-2</v>
          </cell>
          <cell r="J66">
            <v>72.053299999999993</v>
          </cell>
          <cell r="K66">
            <v>72.153256521739124</v>
          </cell>
          <cell r="L66">
            <v>2.0366598778003798E-3</v>
          </cell>
          <cell r="M66">
            <v>1.0999999999999851E-3</v>
          </cell>
          <cell r="N66">
            <v>0.54010000000000002</v>
          </cell>
          <cell r="O66">
            <v>0.54120000000000001</v>
          </cell>
          <cell r="P66">
            <v>5.6822031443170466E-4</v>
          </cell>
          <cell r="Q66">
            <v>6.093043478260602E-2</v>
          </cell>
          <cell r="R66">
            <v>107.2303</v>
          </cell>
          <cell r="S66">
            <v>107.29123043478261</v>
          </cell>
          <cell r="T66">
            <v>1.8254270915070679E-3</v>
          </cell>
          <cell r="U66">
            <v>8.4891304347827032E-2</v>
          </cell>
          <cell r="V66">
            <v>46.504899999999999</v>
          </cell>
          <cell r="W66">
            <v>46.589791304347827</v>
          </cell>
          <cell r="X66">
            <v>2.9693348689891597E-4</v>
          </cell>
          <cell r="Y66">
            <v>1.3486956521738282E-2</v>
          </cell>
          <cell r="Z66">
            <v>45.4208</v>
          </cell>
          <cell r="AA66">
            <v>45.434286956521738</v>
          </cell>
          <cell r="AB66">
            <v>1.2437680460019424E-3</v>
          </cell>
          <cell r="AC66">
            <v>6.0308695652174386E-2</v>
          </cell>
          <cell r="AD66">
            <v>48.488700000000001</v>
          </cell>
          <cell r="AE66">
            <v>48.549008695652176</v>
          </cell>
          <cell r="AF66">
            <v>1.0037232217829227E-3</v>
          </cell>
          <cell r="AG66">
            <v>1.6308695652173286E-2</v>
          </cell>
          <cell r="AH66">
            <v>16.248200000000001</v>
          </cell>
          <cell r="AI66">
            <v>16.264508695652175</v>
          </cell>
          <cell r="AJ66">
            <v>1.116766319118477E-3</v>
          </cell>
          <cell r="AK66">
            <v>1.7757142857143342E-2</v>
          </cell>
          <cell r="AL66">
            <v>15.900499999999999</v>
          </cell>
          <cell r="AM66">
            <v>15.918257142857142</v>
          </cell>
          <cell r="AN66">
            <v>1.7281332233612117E-3</v>
          </cell>
          <cell r="AO66">
            <v>1.3199999999999943E-2</v>
          </cell>
          <cell r="AP66">
            <v>7.6383000000000001</v>
          </cell>
          <cell r="AQ66">
            <v>7.6515000000000004</v>
          </cell>
          <cell r="AR66">
            <v>-1.4275069282227202E-4</v>
          </cell>
          <cell r="AS66">
            <v>-5.9304347826084677E-3</v>
          </cell>
          <cell r="AT66">
            <v>41.543999999999997</v>
          </cell>
          <cell r="AU66">
            <v>41.538069565217391</v>
          </cell>
          <cell r="AV66">
            <v>1.584790530805889E-3</v>
          </cell>
          <cell r="AW66">
            <v>5.6099999999997659E-2</v>
          </cell>
          <cell r="AX66">
            <v>35.399000000000001</v>
          </cell>
          <cell r="AY66">
            <v>35.455100000000002</v>
          </cell>
          <cell r="AZ66">
            <v>1.1264133695026051E-3</v>
          </cell>
          <cell r="BA66">
            <v>8.6428571428565394E-3</v>
          </cell>
          <cell r="BB66">
            <v>7.6729000000000003</v>
          </cell>
          <cell r="BC66">
            <v>7.6815428571428566</v>
          </cell>
        </row>
        <row r="67">
          <cell r="B67">
            <v>19</v>
          </cell>
          <cell r="C67">
            <v>12</v>
          </cell>
          <cell r="D67">
            <v>8.378016085790886E-4</v>
          </cell>
          <cell r="E67">
            <v>6.5217391304347824E-2</v>
          </cell>
          <cell r="F67">
            <v>59.68</v>
          </cell>
          <cell r="G67">
            <v>59.745217391304351</v>
          </cell>
          <cell r="H67">
            <v>1.5133724376381267E-3</v>
          </cell>
          <cell r="I67">
            <v>0.10904347826087123</v>
          </cell>
          <cell r="J67">
            <v>72.053299999999993</v>
          </cell>
          <cell r="K67">
            <v>72.162343478260865</v>
          </cell>
          <cell r="L67">
            <v>2.2218107757822321E-3</v>
          </cell>
          <cell r="M67">
            <v>1.1999999999999836E-3</v>
          </cell>
          <cell r="N67">
            <v>0.54010000000000002</v>
          </cell>
          <cell r="O67">
            <v>0.5413</v>
          </cell>
          <cell r="P67">
            <v>6.1987670665276863E-4</v>
          </cell>
          <cell r="Q67">
            <v>6.6469565217388379E-2</v>
          </cell>
          <cell r="R67">
            <v>107.2303</v>
          </cell>
          <cell r="S67">
            <v>107.29676956521739</v>
          </cell>
          <cell r="T67">
            <v>1.9913750089168014E-3</v>
          </cell>
          <cell r="U67">
            <v>9.2608695652174958E-2</v>
          </cell>
          <cell r="V67">
            <v>46.504899999999999</v>
          </cell>
          <cell r="W67">
            <v>46.597508695652174</v>
          </cell>
          <cell r="X67">
            <v>3.2392744025336285E-4</v>
          </cell>
          <cell r="Y67">
            <v>1.4713043478259944E-2</v>
          </cell>
          <cell r="Z67">
            <v>45.4208</v>
          </cell>
          <cell r="AA67">
            <v>45.435513043478259</v>
          </cell>
          <cell r="AB67">
            <v>1.3568378683657552E-3</v>
          </cell>
          <cell r="AC67">
            <v>6.579130434782661E-2</v>
          </cell>
          <cell r="AD67">
            <v>48.488700000000001</v>
          </cell>
          <cell r="AE67">
            <v>48.554491304347827</v>
          </cell>
          <cell r="AF67">
            <v>1.094970787399552E-3</v>
          </cell>
          <cell r="AG67">
            <v>1.7791304347825401E-2</v>
          </cell>
          <cell r="AH67">
            <v>16.248200000000001</v>
          </cell>
          <cell r="AI67">
            <v>16.265991304347825</v>
          </cell>
          <cell r="AJ67">
            <v>1.2182905299474296E-3</v>
          </cell>
          <cell r="AK67">
            <v>1.9371428571429102E-2</v>
          </cell>
          <cell r="AL67">
            <v>15.900499999999999</v>
          </cell>
          <cell r="AM67">
            <v>15.919871428571428</v>
          </cell>
          <cell r="AN67">
            <v>1.8852362436667762E-3</v>
          </cell>
          <cell r="AO67">
            <v>1.4399999999999937E-2</v>
          </cell>
          <cell r="AP67">
            <v>7.6383000000000001</v>
          </cell>
          <cell r="AQ67">
            <v>7.6527000000000003</v>
          </cell>
          <cell r="AR67">
            <v>-1.5572802853338762E-4</v>
          </cell>
          <cell r="AS67">
            <v>-6.4695652173910548E-3</v>
          </cell>
          <cell r="AT67">
            <v>41.543999999999997</v>
          </cell>
          <cell r="AU67">
            <v>41.537530434782603</v>
          </cell>
          <cell r="AV67">
            <v>1.728862397242788E-3</v>
          </cell>
          <cell r="AW67">
            <v>6.1199999999997444E-2</v>
          </cell>
          <cell r="AX67">
            <v>35.399000000000001</v>
          </cell>
          <cell r="AY67">
            <v>35.4602</v>
          </cell>
          <cell r="AZ67">
            <v>1.2288145849119329E-3</v>
          </cell>
          <cell r="BA67">
            <v>9.4285714285707711E-3</v>
          </cell>
          <cell r="BB67">
            <v>7.6729000000000003</v>
          </cell>
          <cell r="BC67">
            <v>7.6823285714285712</v>
          </cell>
        </row>
        <row r="68">
          <cell r="B68">
            <v>20</v>
          </cell>
          <cell r="C68">
            <v>13</v>
          </cell>
          <cell r="D68">
            <v>9.0761840929401254E-4</v>
          </cell>
          <cell r="E68">
            <v>7.0652173913043473E-2</v>
          </cell>
          <cell r="F68">
            <v>59.68</v>
          </cell>
          <cell r="G68">
            <v>59.750652173913046</v>
          </cell>
          <cell r="H68">
            <v>1.6394868074413038E-3</v>
          </cell>
          <cell r="I68">
            <v>0.1181304347826105</v>
          </cell>
          <cell r="J68">
            <v>72.053299999999993</v>
          </cell>
          <cell r="K68">
            <v>72.171430434782607</v>
          </cell>
          <cell r="L68">
            <v>2.4069616737640849E-3</v>
          </cell>
          <cell r="M68">
            <v>1.2999999999999824E-3</v>
          </cell>
          <cell r="N68">
            <v>0.54010000000000002</v>
          </cell>
          <cell r="O68">
            <v>0.54139999999999999</v>
          </cell>
          <cell r="P68">
            <v>6.7153309887383271E-4</v>
          </cell>
          <cell r="Q68">
            <v>7.2008695652170746E-2</v>
          </cell>
          <cell r="R68">
            <v>107.2303</v>
          </cell>
          <cell r="S68">
            <v>107.30230869565217</v>
          </cell>
          <cell r="T68">
            <v>2.1573229263265347E-3</v>
          </cell>
          <cell r="U68">
            <v>0.10032608695652287</v>
          </cell>
          <cell r="V68">
            <v>46.504899999999999</v>
          </cell>
          <cell r="W68">
            <v>46.60522608695652</v>
          </cell>
          <cell r="X68">
            <v>3.5092139360780978E-4</v>
          </cell>
          <cell r="Y68">
            <v>1.5939130434781606E-2</v>
          </cell>
          <cell r="Z68">
            <v>45.4208</v>
          </cell>
          <cell r="AA68">
            <v>45.436739130434781</v>
          </cell>
          <cell r="AB68">
            <v>1.4699076907295681E-3</v>
          </cell>
          <cell r="AC68">
            <v>7.1273913043478826E-2</v>
          </cell>
          <cell r="AD68">
            <v>48.488700000000001</v>
          </cell>
          <cell r="AE68">
            <v>48.559973913043478</v>
          </cell>
          <cell r="AF68">
            <v>1.1862183530161813E-3</v>
          </cell>
          <cell r="AG68">
            <v>1.927391304347752E-2</v>
          </cell>
          <cell r="AH68">
            <v>16.248200000000001</v>
          </cell>
          <cell r="AI68">
            <v>16.267473913043478</v>
          </cell>
          <cell r="AJ68">
            <v>1.319814740776382E-3</v>
          </cell>
          <cell r="AK68">
            <v>2.0985714285714861E-2</v>
          </cell>
          <cell r="AL68">
            <v>15.900499999999999</v>
          </cell>
          <cell r="AM68">
            <v>15.921485714285714</v>
          </cell>
          <cell r="AN68">
            <v>2.0423392639723407E-3</v>
          </cell>
          <cell r="AO68">
            <v>1.5599999999999932E-2</v>
          </cell>
          <cell r="AP68">
            <v>7.6383000000000001</v>
          </cell>
          <cell r="AQ68">
            <v>7.6539000000000001</v>
          </cell>
          <cell r="AR68">
            <v>-1.6870536424450327E-4</v>
          </cell>
          <cell r="AS68">
            <v>-7.0086956521736429E-3</v>
          </cell>
          <cell r="AT68">
            <v>41.543999999999997</v>
          </cell>
          <cell r="AU68">
            <v>41.536991304347822</v>
          </cell>
          <cell r="AV68">
            <v>1.872934263679687E-3</v>
          </cell>
          <cell r="AW68">
            <v>6.6299999999997236E-2</v>
          </cell>
          <cell r="AX68">
            <v>35.399000000000001</v>
          </cell>
          <cell r="AY68">
            <v>35.465299999999999</v>
          </cell>
          <cell r="AZ68">
            <v>1.3312158003212606E-3</v>
          </cell>
          <cell r="BA68">
            <v>1.0214285714285001E-2</v>
          </cell>
          <cell r="BB68">
            <v>7.6729000000000003</v>
          </cell>
          <cell r="BC68">
            <v>7.6831142857142849</v>
          </cell>
        </row>
        <row r="69">
          <cell r="B69">
            <v>21</v>
          </cell>
          <cell r="C69">
            <v>14</v>
          </cell>
          <cell r="D69">
            <v>9.774352100089367E-4</v>
          </cell>
          <cell r="E69">
            <v>7.6086956521739135E-2</v>
          </cell>
          <cell r="F69">
            <v>59.68</v>
          </cell>
          <cell r="G69">
            <v>59.756086956521742</v>
          </cell>
          <cell r="H69">
            <v>1.7656011772444814E-3</v>
          </cell>
          <cell r="I69">
            <v>0.12721739130434975</v>
          </cell>
          <cell r="J69">
            <v>72.053299999999993</v>
          </cell>
          <cell r="K69">
            <v>72.180517391304349</v>
          </cell>
          <cell r="L69">
            <v>2.5921125717459376E-3</v>
          </cell>
          <cell r="M69">
            <v>1.3999999999999809E-3</v>
          </cell>
          <cell r="N69">
            <v>0.54010000000000002</v>
          </cell>
          <cell r="O69">
            <v>0.54149999999999998</v>
          </cell>
          <cell r="P69">
            <v>7.2318949109489679E-4</v>
          </cell>
          <cell r="Q69">
            <v>7.7547826086953112E-2</v>
          </cell>
          <cell r="R69">
            <v>107.2303</v>
          </cell>
          <cell r="S69">
            <v>107.30784782608696</v>
          </cell>
          <cell r="T69">
            <v>2.323270843736268E-3</v>
          </cell>
          <cell r="U69">
            <v>0.10804347826087078</v>
          </cell>
          <cell r="V69">
            <v>46.504899999999999</v>
          </cell>
          <cell r="W69">
            <v>46.612943478260867</v>
          </cell>
          <cell r="X69">
            <v>3.7791534696225671E-4</v>
          </cell>
          <cell r="Y69">
            <v>1.7165217391303268E-2</v>
          </cell>
          <cell r="Z69">
            <v>45.4208</v>
          </cell>
          <cell r="AA69">
            <v>45.437965217391302</v>
          </cell>
          <cell r="AB69">
            <v>1.5829775130933811E-3</v>
          </cell>
          <cell r="AC69">
            <v>7.6756521739131042E-2</v>
          </cell>
          <cell r="AD69">
            <v>48.488700000000001</v>
          </cell>
          <cell r="AE69">
            <v>48.565456521739129</v>
          </cell>
          <cell r="AF69">
            <v>1.2774659186328106E-3</v>
          </cell>
          <cell r="AG69">
            <v>2.0756521739129636E-2</v>
          </cell>
          <cell r="AH69">
            <v>16.248200000000001</v>
          </cell>
          <cell r="AI69">
            <v>16.268956521739131</v>
          </cell>
          <cell r="AJ69">
            <v>1.4213389516053345E-3</v>
          </cell>
          <cell r="AK69">
            <v>2.260000000000062E-2</v>
          </cell>
          <cell r="AL69">
            <v>15.900499999999999</v>
          </cell>
          <cell r="AM69">
            <v>15.9231</v>
          </cell>
          <cell r="AN69">
            <v>2.1994422842779057E-3</v>
          </cell>
          <cell r="AO69">
            <v>1.6799999999999926E-2</v>
          </cell>
          <cell r="AP69">
            <v>7.6383000000000001</v>
          </cell>
          <cell r="AQ69">
            <v>7.6551</v>
          </cell>
          <cell r="AR69">
            <v>-1.816826999556189E-4</v>
          </cell>
          <cell r="AS69">
            <v>-7.5478260869562309E-3</v>
          </cell>
          <cell r="AT69">
            <v>41.543999999999997</v>
          </cell>
          <cell r="AU69">
            <v>41.536452173913041</v>
          </cell>
          <cell r="AV69">
            <v>2.0170061301165859E-3</v>
          </cell>
          <cell r="AW69">
            <v>7.1399999999997021E-2</v>
          </cell>
          <cell r="AX69">
            <v>35.399000000000001</v>
          </cell>
          <cell r="AY69">
            <v>35.470399999999998</v>
          </cell>
          <cell r="AZ69">
            <v>1.4336170157305884E-3</v>
          </cell>
          <cell r="BA69">
            <v>1.0999999999999233E-2</v>
          </cell>
          <cell r="BB69">
            <v>7.6729000000000003</v>
          </cell>
          <cell r="BC69">
            <v>7.6838999999999995</v>
          </cell>
        </row>
        <row r="70">
          <cell r="B70">
            <v>22</v>
          </cell>
          <cell r="C70">
            <v>15</v>
          </cell>
          <cell r="D70">
            <v>1.0472520107238606E-3</v>
          </cell>
          <cell r="E70">
            <v>8.1521739130434784E-2</v>
          </cell>
          <cell r="F70">
            <v>59.68</v>
          </cell>
          <cell r="G70">
            <v>59.761521739130437</v>
          </cell>
          <cell r="H70">
            <v>1.8917155470476585E-3</v>
          </cell>
          <cell r="I70">
            <v>0.13630434782608902</v>
          </cell>
          <cell r="J70">
            <v>72.053299999999993</v>
          </cell>
          <cell r="K70">
            <v>72.189604347826076</v>
          </cell>
          <cell r="L70">
            <v>2.77726346972779E-3</v>
          </cell>
          <cell r="M70">
            <v>1.4999999999999796E-3</v>
          </cell>
          <cell r="N70">
            <v>0.54010000000000002</v>
          </cell>
          <cell r="O70">
            <v>0.54159999999999997</v>
          </cell>
          <cell r="P70">
            <v>7.7484588331596087E-4</v>
          </cell>
          <cell r="Q70">
            <v>8.3086956521735478E-2</v>
          </cell>
          <cell r="R70">
            <v>107.2303</v>
          </cell>
          <cell r="S70">
            <v>107.31338695652174</v>
          </cell>
          <cell r="T70">
            <v>2.4892187611460013E-3</v>
          </cell>
          <cell r="U70">
            <v>0.11576086956521869</v>
          </cell>
          <cell r="V70">
            <v>46.504899999999999</v>
          </cell>
          <cell r="W70">
            <v>46.620660869565221</v>
          </cell>
          <cell r="X70">
            <v>4.0490930031670359E-4</v>
          </cell>
          <cell r="Y70">
            <v>1.8391304347824929E-2</v>
          </cell>
          <cell r="Z70">
            <v>45.4208</v>
          </cell>
          <cell r="AA70">
            <v>45.439191304347823</v>
          </cell>
          <cell r="AB70">
            <v>1.6960473354571941E-3</v>
          </cell>
          <cell r="AC70">
            <v>8.2239130434783259E-2</v>
          </cell>
          <cell r="AD70">
            <v>48.488700000000001</v>
          </cell>
          <cell r="AE70">
            <v>48.570939130434788</v>
          </cell>
          <cell r="AF70">
            <v>1.3687134842494399E-3</v>
          </cell>
          <cell r="AG70">
            <v>2.2239130434781752E-2</v>
          </cell>
          <cell r="AH70">
            <v>16.248200000000001</v>
          </cell>
          <cell r="AI70">
            <v>16.270439130434781</v>
          </cell>
          <cell r="AJ70">
            <v>1.5228631624342871E-3</v>
          </cell>
          <cell r="AK70">
            <v>2.4214285714286379E-2</v>
          </cell>
          <cell r="AL70">
            <v>15.900499999999999</v>
          </cell>
          <cell r="AM70">
            <v>15.924714285714286</v>
          </cell>
          <cell r="AN70">
            <v>2.3565453045834707E-3</v>
          </cell>
          <cell r="AO70">
            <v>1.7999999999999922E-2</v>
          </cell>
          <cell r="AP70">
            <v>7.6383000000000001</v>
          </cell>
          <cell r="AQ70">
            <v>7.6562999999999999</v>
          </cell>
          <cell r="AR70">
            <v>-1.9466003566673455E-4</v>
          </cell>
          <cell r="AS70">
            <v>-8.0869565217388199E-3</v>
          </cell>
          <cell r="AT70">
            <v>41.543999999999997</v>
          </cell>
          <cell r="AU70">
            <v>41.53591304347826</v>
          </cell>
          <cell r="AV70">
            <v>2.1610779965534851E-3</v>
          </cell>
          <cell r="AW70">
            <v>7.6499999999996807E-2</v>
          </cell>
          <cell r="AX70">
            <v>35.399000000000001</v>
          </cell>
          <cell r="AY70">
            <v>35.475499999999997</v>
          </cell>
          <cell r="AZ70">
            <v>1.5360182311399161E-3</v>
          </cell>
          <cell r="BA70">
            <v>1.1785714285713464E-2</v>
          </cell>
          <cell r="BB70">
            <v>7.6729000000000003</v>
          </cell>
          <cell r="BC70">
            <v>7.6846857142857141</v>
          </cell>
        </row>
        <row r="71">
          <cell r="B71">
            <v>23</v>
          </cell>
          <cell r="C71">
            <v>16</v>
          </cell>
          <cell r="D71">
            <v>1.1170688114387846E-3</v>
          </cell>
          <cell r="E71">
            <v>8.6956521739130432E-2</v>
          </cell>
          <cell r="F71">
            <v>59.68</v>
          </cell>
          <cell r="G71">
            <v>59.766956521739132</v>
          </cell>
          <cell r="H71">
            <v>2.0178299168508358E-3</v>
          </cell>
          <cell r="I71">
            <v>0.14539130434782829</v>
          </cell>
          <cell r="J71">
            <v>72.053299999999993</v>
          </cell>
          <cell r="K71">
            <v>72.198691304347818</v>
          </cell>
          <cell r="L71">
            <v>2.9624143677096431E-3</v>
          </cell>
          <cell r="M71">
            <v>1.5999999999999782E-3</v>
          </cell>
          <cell r="N71">
            <v>0.54010000000000002</v>
          </cell>
          <cell r="O71">
            <v>0.54169999999999996</v>
          </cell>
          <cell r="P71">
            <v>8.2650227553702495E-4</v>
          </cell>
          <cell r="Q71">
            <v>8.8626086956517844E-2</v>
          </cell>
          <cell r="R71">
            <v>107.2303</v>
          </cell>
          <cell r="S71">
            <v>107.31892608695652</v>
          </cell>
          <cell r="T71">
            <v>2.6551666785557351E-3</v>
          </cell>
          <cell r="U71">
            <v>0.12347826086956661</v>
          </cell>
          <cell r="V71">
            <v>46.504899999999999</v>
          </cell>
          <cell r="W71">
            <v>46.628378260869567</v>
          </cell>
          <cell r="X71">
            <v>4.3190325367115052E-4</v>
          </cell>
          <cell r="Y71">
            <v>1.9617391304346591E-2</v>
          </cell>
          <cell r="Z71">
            <v>45.4208</v>
          </cell>
          <cell r="AA71">
            <v>45.440417391304344</v>
          </cell>
          <cell r="AB71">
            <v>1.809117157821007E-3</v>
          </cell>
          <cell r="AC71">
            <v>8.7721739130435475E-2</v>
          </cell>
          <cell r="AD71">
            <v>48.488700000000001</v>
          </cell>
          <cell r="AE71">
            <v>48.576421739130438</v>
          </cell>
          <cell r="AF71">
            <v>1.4599610498660692E-3</v>
          </cell>
          <cell r="AG71">
            <v>2.3721739130433871E-2</v>
          </cell>
          <cell r="AH71">
            <v>16.248200000000001</v>
          </cell>
          <cell r="AI71">
            <v>16.271921739130434</v>
          </cell>
          <cell r="AJ71">
            <v>1.6243873732632395E-3</v>
          </cell>
          <cell r="AK71">
            <v>2.5828571428572138E-2</v>
          </cell>
          <cell r="AL71">
            <v>15.900499999999999</v>
          </cell>
          <cell r="AM71">
            <v>15.926328571428572</v>
          </cell>
          <cell r="AN71">
            <v>2.5136483248890352E-3</v>
          </cell>
          <cell r="AO71">
            <v>1.9199999999999915E-2</v>
          </cell>
          <cell r="AP71">
            <v>7.6383000000000001</v>
          </cell>
          <cell r="AQ71">
            <v>7.6574999999999998</v>
          </cell>
          <cell r="AR71">
            <v>-2.0763737137785018E-4</v>
          </cell>
          <cell r="AS71">
            <v>-8.626086956521407E-3</v>
          </cell>
          <cell r="AT71">
            <v>41.543999999999997</v>
          </cell>
          <cell r="AU71">
            <v>41.535373913043479</v>
          </cell>
          <cell r="AV71">
            <v>2.3051498629903838E-3</v>
          </cell>
          <cell r="AW71">
            <v>8.1599999999996592E-2</v>
          </cell>
          <cell r="AX71">
            <v>35.399000000000001</v>
          </cell>
          <cell r="AY71">
            <v>35.480599999999995</v>
          </cell>
          <cell r="AZ71">
            <v>1.6384194465492439E-3</v>
          </cell>
          <cell r="BA71">
            <v>1.2571428571427694E-2</v>
          </cell>
          <cell r="BB71">
            <v>7.6729000000000003</v>
          </cell>
          <cell r="BC71">
            <v>7.6854714285714278</v>
          </cell>
        </row>
        <row r="72">
          <cell r="B72">
            <v>24</v>
          </cell>
          <cell r="C72">
            <v>17</v>
          </cell>
          <cell r="D72">
            <v>1.1868856121537087E-3</v>
          </cell>
          <cell r="E72">
            <v>9.2391304347826081E-2</v>
          </cell>
          <cell r="F72">
            <v>59.68</v>
          </cell>
          <cell r="G72">
            <v>59.772391304347828</v>
          </cell>
          <cell r="H72">
            <v>2.1439442866540127E-3</v>
          </cell>
          <cell r="I72">
            <v>0.15447826086956756</v>
          </cell>
          <cell r="J72">
            <v>72.053299999999993</v>
          </cell>
          <cell r="K72">
            <v>72.20777826086956</v>
          </cell>
          <cell r="L72">
            <v>3.1475652656914959E-3</v>
          </cell>
          <cell r="M72">
            <v>1.6999999999999769E-3</v>
          </cell>
          <cell r="N72">
            <v>0.54010000000000002</v>
          </cell>
          <cell r="O72">
            <v>0.54179999999999995</v>
          </cell>
          <cell r="P72">
            <v>8.7815866775808893E-4</v>
          </cell>
          <cell r="Q72">
            <v>9.416521739130021E-2</v>
          </cell>
          <cell r="R72">
            <v>107.2303</v>
          </cell>
          <cell r="S72">
            <v>107.32446521739131</v>
          </cell>
          <cell r="T72">
            <v>2.8211145959654684E-3</v>
          </cell>
          <cell r="U72">
            <v>0.13119565217391452</v>
          </cell>
          <cell r="V72">
            <v>46.504899999999999</v>
          </cell>
          <cell r="W72">
            <v>46.636095652173914</v>
          </cell>
          <cell r="X72">
            <v>4.5889720702559745E-4</v>
          </cell>
          <cell r="Y72">
            <v>2.0843478260868253E-2</v>
          </cell>
          <cell r="Z72">
            <v>45.4208</v>
          </cell>
          <cell r="AA72">
            <v>45.441643478260865</v>
          </cell>
          <cell r="AB72">
            <v>1.92218698018482E-3</v>
          </cell>
          <cell r="AC72">
            <v>9.3204347826087691E-2</v>
          </cell>
          <cell r="AD72">
            <v>48.488700000000001</v>
          </cell>
          <cell r="AE72">
            <v>48.581904347826089</v>
          </cell>
          <cell r="AF72">
            <v>1.5512086154826985E-3</v>
          </cell>
          <cell r="AG72">
            <v>2.5204347826085986E-2</v>
          </cell>
          <cell r="AH72">
            <v>16.248200000000001</v>
          </cell>
          <cell r="AI72">
            <v>16.273404347826087</v>
          </cell>
          <cell r="AJ72">
            <v>1.7259115840921918E-3</v>
          </cell>
          <cell r="AK72">
            <v>2.7442857142857897E-2</v>
          </cell>
          <cell r="AL72">
            <v>15.900499999999999</v>
          </cell>
          <cell r="AM72">
            <v>15.927942857142858</v>
          </cell>
          <cell r="AN72">
            <v>2.6707513451945998E-3</v>
          </cell>
          <cell r="AO72">
            <v>2.0399999999999911E-2</v>
          </cell>
          <cell r="AP72">
            <v>7.6383000000000001</v>
          </cell>
          <cell r="AQ72">
            <v>7.6586999999999996</v>
          </cell>
          <cell r="AR72">
            <v>-2.2061470708896583E-4</v>
          </cell>
          <cell r="AS72">
            <v>-9.1652173913039942E-3</v>
          </cell>
          <cell r="AT72">
            <v>41.543999999999997</v>
          </cell>
          <cell r="AU72">
            <v>41.534834782608691</v>
          </cell>
          <cell r="AV72">
            <v>2.449221729427283E-3</v>
          </cell>
          <cell r="AW72">
            <v>8.6699999999996377E-2</v>
          </cell>
          <cell r="AX72">
            <v>35.399000000000001</v>
          </cell>
          <cell r="AY72">
            <v>35.485699999999994</v>
          </cell>
          <cell r="AZ72">
            <v>1.7408206619585716E-3</v>
          </cell>
          <cell r="BA72">
            <v>1.3357142857141926E-2</v>
          </cell>
          <cell r="BB72">
            <v>7.6729000000000003</v>
          </cell>
          <cell r="BC72">
            <v>7.6862571428571425</v>
          </cell>
        </row>
        <row r="73">
          <cell r="B73">
            <v>25</v>
          </cell>
          <cell r="C73">
            <v>18</v>
          </cell>
          <cell r="D73">
            <v>1.2567024128686329E-3</v>
          </cell>
          <cell r="E73">
            <v>9.7826086956521743E-2</v>
          </cell>
          <cell r="F73">
            <v>59.68</v>
          </cell>
          <cell r="G73">
            <v>59.777826086956523</v>
          </cell>
          <cell r="H73">
            <v>2.27005865645719E-3</v>
          </cell>
          <cell r="I73">
            <v>0.16356521739130683</v>
          </cell>
          <cell r="J73">
            <v>72.053299999999993</v>
          </cell>
          <cell r="K73">
            <v>72.216865217391302</v>
          </cell>
          <cell r="L73">
            <v>3.3327161636733486E-3</v>
          </cell>
          <cell r="M73">
            <v>1.7999999999999754E-3</v>
          </cell>
          <cell r="N73">
            <v>0.54010000000000002</v>
          </cell>
          <cell r="O73">
            <v>0.54190000000000005</v>
          </cell>
          <cell r="P73">
            <v>9.2981505997915301E-4</v>
          </cell>
          <cell r="Q73">
            <v>9.9704347826082576E-2</v>
          </cell>
          <cell r="R73">
            <v>107.2303</v>
          </cell>
          <cell r="S73">
            <v>107.33000434782608</v>
          </cell>
          <cell r="T73">
            <v>2.9870625133752021E-3</v>
          </cell>
          <cell r="U73">
            <v>0.13891304347826242</v>
          </cell>
          <cell r="V73">
            <v>46.504899999999999</v>
          </cell>
          <cell r="W73">
            <v>46.643813043478261</v>
          </cell>
          <cell r="X73">
            <v>4.8589116038004433E-4</v>
          </cell>
          <cell r="Y73">
            <v>2.2069565217389918E-2</v>
          </cell>
          <cell r="Z73">
            <v>45.4208</v>
          </cell>
          <cell r="AA73">
            <v>45.442869565217393</v>
          </cell>
          <cell r="AB73">
            <v>2.0352568025486331E-3</v>
          </cell>
          <cell r="AC73">
            <v>9.8686956521739908E-2</v>
          </cell>
          <cell r="AD73">
            <v>48.488700000000001</v>
          </cell>
          <cell r="AE73">
            <v>48.58738695652174</v>
          </cell>
          <cell r="AF73">
            <v>1.6424561810993281E-3</v>
          </cell>
          <cell r="AG73">
            <v>2.6686956521738102E-2</v>
          </cell>
          <cell r="AH73">
            <v>16.248200000000001</v>
          </cell>
          <cell r="AI73">
            <v>16.27488695652174</v>
          </cell>
          <cell r="AJ73">
            <v>1.8274357949211444E-3</v>
          </cell>
          <cell r="AK73">
            <v>2.9057142857143652E-2</v>
          </cell>
          <cell r="AL73">
            <v>15.900499999999999</v>
          </cell>
          <cell r="AM73">
            <v>15.929557142857142</v>
          </cell>
          <cell r="AN73">
            <v>2.8278543655001647E-3</v>
          </cell>
          <cell r="AO73">
            <v>2.1599999999999904E-2</v>
          </cell>
          <cell r="AP73">
            <v>7.6383000000000001</v>
          </cell>
          <cell r="AQ73">
            <v>7.6599000000000004</v>
          </cell>
          <cell r="AR73">
            <v>-2.3359204280008145E-4</v>
          </cell>
          <cell r="AS73">
            <v>-9.7043478260865831E-3</v>
          </cell>
          <cell r="AT73">
            <v>41.543999999999997</v>
          </cell>
          <cell r="AU73">
            <v>41.53429565217391</v>
          </cell>
          <cell r="AV73">
            <v>2.5932935958641818E-3</v>
          </cell>
          <cell r="AW73">
            <v>9.1799999999996176E-2</v>
          </cell>
          <cell r="AX73">
            <v>35.399000000000001</v>
          </cell>
          <cell r="AY73">
            <v>35.4908</v>
          </cell>
          <cell r="AZ73">
            <v>1.8432218773678994E-3</v>
          </cell>
          <cell r="BA73">
            <v>1.4142857142856156E-2</v>
          </cell>
          <cell r="BB73">
            <v>7.6729000000000003</v>
          </cell>
          <cell r="BC73">
            <v>7.6870428571428562</v>
          </cell>
        </row>
        <row r="74">
          <cell r="B74">
            <v>26</v>
          </cell>
          <cell r="C74">
            <v>19</v>
          </cell>
          <cell r="D74">
            <v>1.3265192135835566E-3</v>
          </cell>
          <cell r="E74">
            <v>0.10326086956521739</v>
          </cell>
          <cell r="F74">
            <v>59.68</v>
          </cell>
          <cell r="G74">
            <v>59.783260869565218</v>
          </cell>
          <cell r="H74">
            <v>2.3961730262603673E-3</v>
          </cell>
          <cell r="I74">
            <v>0.1726521739130461</v>
          </cell>
          <cell r="J74">
            <v>72.053299999999993</v>
          </cell>
          <cell r="K74">
            <v>72.225952173913043</v>
          </cell>
          <cell r="L74">
            <v>3.517867061655201E-3</v>
          </cell>
          <cell r="M74">
            <v>1.8999999999999742E-3</v>
          </cell>
          <cell r="N74">
            <v>0.54010000000000002</v>
          </cell>
          <cell r="O74">
            <v>0.54200000000000004</v>
          </cell>
          <cell r="P74">
            <v>9.8147145220021719E-4</v>
          </cell>
          <cell r="Q74">
            <v>0.10524347826086494</v>
          </cell>
          <cell r="R74">
            <v>107.2303</v>
          </cell>
          <cell r="S74">
            <v>107.33554347826086</v>
          </cell>
          <cell r="T74">
            <v>3.153010430784935E-3</v>
          </cell>
          <cell r="U74">
            <v>0.14663043478261034</v>
          </cell>
          <cell r="V74">
            <v>46.504899999999999</v>
          </cell>
          <cell r="W74">
            <v>46.651530434782607</v>
          </cell>
          <cell r="X74">
            <v>5.1288511373449126E-4</v>
          </cell>
          <cell r="Y74">
            <v>2.329565217391158E-2</v>
          </cell>
          <cell r="Z74">
            <v>45.4208</v>
          </cell>
          <cell r="AA74">
            <v>45.444095652173914</v>
          </cell>
          <cell r="AB74">
            <v>2.1483266249124459E-3</v>
          </cell>
          <cell r="AC74">
            <v>0.10416956521739212</v>
          </cell>
          <cell r="AD74">
            <v>48.488700000000001</v>
          </cell>
          <cell r="AE74">
            <v>48.592869565217391</v>
          </cell>
          <cell r="AF74">
            <v>1.7337037467159574E-3</v>
          </cell>
          <cell r="AG74">
            <v>2.8169565217390221E-2</v>
          </cell>
          <cell r="AH74">
            <v>16.248200000000001</v>
          </cell>
          <cell r="AI74">
            <v>16.27636956521739</v>
          </cell>
          <cell r="AJ74">
            <v>1.928960005750097E-3</v>
          </cell>
          <cell r="AK74">
            <v>3.0671428571429411E-2</v>
          </cell>
          <cell r="AL74">
            <v>15.900499999999999</v>
          </cell>
          <cell r="AM74">
            <v>15.931171428571428</v>
          </cell>
          <cell r="AN74">
            <v>2.9849573858057288E-3</v>
          </cell>
          <cell r="AO74">
            <v>2.27999999999999E-2</v>
          </cell>
          <cell r="AP74">
            <v>7.6383000000000001</v>
          </cell>
          <cell r="AQ74">
            <v>7.6611000000000002</v>
          </cell>
          <cell r="AR74">
            <v>-2.4656937851119708E-4</v>
          </cell>
          <cell r="AS74">
            <v>-1.024347826086917E-2</v>
          </cell>
          <cell r="AT74">
            <v>41.543999999999997</v>
          </cell>
          <cell r="AU74">
            <v>41.533756521739129</v>
          </cell>
          <cell r="AV74">
            <v>2.7373654623010809E-3</v>
          </cell>
          <cell r="AW74">
            <v>9.6899999999995962E-2</v>
          </cell>
          <cell r="AX74">
            <v>35.399000000000001</v>
          </cell>
          <cell r="AY74">
            <v>35.495899999999999</v>
          </cell>
          <cell r="AZ74">
            <v>1.9456230927772271E-3</v>
          </cell>
          <cell r="BA74">
            <v>1.4928571428570387E-2</v>
          </cell>
          <cell r="BB74">
            <v>7.6729000000000003</v>
          </cell>
          <cell r="BC74">
            <v>7.6878285714285708</v>
          </cell>
        </row>
        <row r="75">
          <cell r="B75">
            <v>27</v>
          </cell>
          <cell r="C75">
            <v>20</v>
          </cell>
          <cell r="D75">
            <v>1.3963360142984808E-3</v>
          </cell>
          <cell r="E75">
            <v>0.10869565217391304</v>
          </cell>
          <cell r="F75">
            <v>59.68</v>
          </cell>
          <cell r="G75">
            <v>59.788695652173914</v>
          </cell>
          <cell r="H75">
            <v>2.5222873960635446E-3</v>
          </cell>
          <cell r="I75">
            <v>0.18173913043478537</v>
          </cell>
          <cell r="J75">
            <v>72.053299999999993</v>
          </cell>
          <cell r="K75">
            <v>72.235039130434785</v>
          </cell>
          <cell r="L75">
            <v>3.7030179596370537E-3</v>
          </cell>
          <cell r="M75">
            <v>1.9999999999999727E-3</v>
          </cell>
          <cell r="N75">
            <v>0.54010000000000002</v>
          </cell>
          <cell r="O75">
            <v>0.54210000000000003</v>
          </cell>
          <cell r="P75">
            <v>1.0331278444212812E-3</v>
          </cell>
          <cell r="Q75">
            <v>0.11078260869564731</v>
          </cell>
          <cell r="R75">
            <v>107.2303</v>
          </cell>
          <cell r="S75">
            <v>107.34108260869564</v>
          </cell>
          <cell r="T75">
            <v>3.3189583481946687E-3</v>
          </cell>
          <cell r="U75">
            <v>0.15434782608695824</v>
          </cell>
          <cell r="V75">
            <v>46.504899999999999</v>
          </cell>
          <cell r="W75">
            <v>46.659247826086954</v>
          </cell>
          <cell r="X75">
            <v>5.3987906708893819E-4</v>
          </cell>
          <cell r="Y75">
            <v>2.4521739130433241E-2</v>
          </cell>
          <cell r="Z75">
            <v>45.4208</v>
          </cell>
          <cell r="AA75">
            <v>45.445321739130435</v>
          </cell>
          <cell r="AB75">
            <v>2.2613964472762592E-3</v>
          </cell>
          <cell r="AC75">
            <v>0.10965217391304434</v>
          </cell>
          <cell r="AD75">
            <v>48.488700000000001</v>
          </cell>
          <cell r="AE75">
            <v>48.598352173913042</v>
          </cell>
          <cell r="AF75">
            <v>1.8249513123325864E-3</v>
          </cell>
          <cell r="AG75">
            <v>2.9652173913042337E-2</v>
          </cell>
          <cell r="AH75">
            <v>16.248200000000001</v>
          </cell>
          <cell r="AI75">
            <v>16.277852173913043</v>
          </cell>
          <cell r="AJ75">
            <v>2.0304842165790493E-3</v>
          </cell>
          <cell r="AK75">
            <v>3.2285714285715174E-2</v>
          </cell>
          <cell r="AL75">
            <v>15.900499999999999</v>
          </cell>
          <cell r="AM75">
            <v>15.932785714285714</v>
          </cell>
          <cell r="AN75">
            <v>3.1420604061112938E-3</v>
          </cell>
          <cell r="AO75">
            <v>2.3999999999999893E-2</v>
          </cell>
          <cell r="AP75">
            <v>7.6383000000000001</v>
          </cell>
          <cell r="AQ75">
            <v>7.6623000000000001</v>
          </cell>
          <cell r="AR75">
            <v>-2.5954671422231273E-4</v>
          </cell>
          <cell r="AS75">
            <v>-1.0782608695651759E-2</v>
          </cell>
          <cell r="AT75">
            <v>41.543999999999997</v>
          </cell>
          <cell r="AU75">
            <v>41.533217391304348</v>
          </cell>
          <cell r="AV75">
            <v>2.8814373287379797E-3</v>
          </cell>
          <cell r="AW75">
            <v>0.10199999999999575</v>
          </cell>
          <cell r="AX75">
            <v>35.399000000000001</v>
          </cell>
          <cell r="AY75">
            <v>35.500999999999998</v>
          </cell>
          <cell r="AZ75">
            <v>2.0480243081865547E-3</v>
          </cell>
          <cell r="BA75">
            <v>1.5714285714284619E-2</v>
          </cell>
          <cell r="BB75">
            <v>7.6729000000000003</v>
          </cell>
          <cell r="BC75">
            <v>7.6886142857142845</v>
          </cell>
        </row>
        <row r="76">
          <cell r="B76">
            <v>28</v>
          </cell>
          <cell r="C76">
            <v>21</v>
          </cell>
          <cell r="D76">
            <v>1.4661528150134049E-3</v>
          </cell>
          <cell r="E76">
            <v>0.11413043478260869</v>
          </cell>
          <cell r="F76">
            <v>59.68</v>
          </cell>
          <cell r="G76">
            <v>59.794130434782609</v>
          </cell>
          <cell r="H76">
            <v>2.6484017658667215E-3</v>
          </cell>
          <cell r="I76">
            <v>0.19082608695652464</v>
          </cell>
          <cell r="J76">
            <v>72.053299999999993</v>
          </cell>
          <cell r="K76">
            <v>72.244126086956513</v>
          </cell>
          <cell r="L76">
            <v>3.8881688576189069E-3</v>
          </cell>
          <cell r="M76">
            <v>2.0999999999999712E-3</v>
          </cell>
          <cell r="N76">
            <v>0.54010000000000002</v>
          </cell>
          <cell r="O76">
            <v>0.54220000000000002</v>
          </cell>
          <cell r="P76">
            <v>1.0847842366423451E-3</v>
          </cell>
          <cell r="Q76">
            <v>0.11632173913042967</v>
          </cell>
          <cell r="R76">
            <v>107.2303</v>
          </cell>
          <cell r="S76">
            <v>107.34662173913043</v>
          </cell>
          <cell r="T76">
            <v>3.484906265604402E-3</v>
          </cell>
          <cell r="U76">
            <v>0.16206521739130617</v>
          </cell>
          <cell r="V76">
            <v>46.504899999999999</v>
          </cell>
          <cell r="W76">
            <v>46.666965217391308</v>
          </cell>
          <cell r="X76">
            <v>5.6687302044338501E-4</v>
          </cell>
          <cell r="Y76">
            <v>2.5747826086954903E-2</v>
          </cell>
          <cell r="Z76">
            <v>45.4208</v>
          </cell>
          <cell r="AA76">
            <v>45.446547826086956</v>
          </cell>
          <cell r="AB76">
            <v>2.3744662696400715E-3</v>
          </cell>
          <cell r="AC76">
            <v>0.11513478260869656</v>
          </cell>
          <cell r="AD76">
            <v>48.488700000000001</v>
          </cell>
          <cell r="AE76">
            <v>48.6038347826087</v>
          </cell>
          <cell r="AF76">
            <v>1.916198877949216E-3</v>
          </cell>
          <cell r="AG76">
            <v>3.1134782608694452E-2</v>
          </cell>
          <cell r="AH76">
            <v>16.248200000000001</v>
          </cell>
          <cell r="AI76">
            <v>16.279334782608696</v>
          </cell>
          <cell r="AJ76">
            <v>2.1320084274080017E-3</v>
          </cell>
          <cell r="AK76">
            <v>3.3900000000000929E-2</v>
          </cell>
          <cell r="AL76">
            <v>15.900499999999999</v>
          </cell>
          <cell r="AM76">
            <v>15.9344</v>
          </cell>
          <cell r="AN76">
            <v>3.2991634264168583E-3</v>
          </cell>
          <cell r="AO76">
            <v>2.5199999999999889E-2</v>
          </cell>
          <cell r="AP76">
            <v>7.6383000000000001</v>
          </cell>
          <cell r="AQ76">
            <v>7.6635</v>
          </cell>
          <cell r="AR76">
            <v>-2.7252404993342839E-4</v>
          </cell>
          <cell r="AS76">
            <v>-1.1321739130434346E-2</v>
          </cell>
          <cell r="AT76">
            <v>41.543999999999997</v>
          </cell>
          <cell r="AU76">
            <v>41.532678260869559</v>
          </cell>
          <cell r="AV76">
            <v>3.0255091951748789E-3</v>
          </cell>
          <cell r="AW76">
            <v>0.10709999999999553</v>
          </cell>
          <cell r="AX76">
            <v>35.399000000000001</v>
          </cell>
          <cell r="AY76">
            <v>35.506099999999996</v>
          </cell>
          <cell r="AZ76">
            <v>2.1504255235958824E-3</v>
          </cell>
          <cell r="BA76">
            <v>1.6499999999998849E-2</v>
          </cell>
          <cell r="BB76">
            <v>7.6729000000000003</v>
          </cell>
          <cell r="BC76">
            <v>7.6893999999999991</v>
          </cell>
        </row>
        <row r="77">
          <cell r="B77">
            <v>29</v>
          </cell>
          <cell r="C77">
            <v>22</v>
          </cell>
          <cell r="D77">
            <v>1.5359696157283289E-3</v>
          </cell>
          <cell r="E77">
            <v>0.11956521739130435</v>
          </cell>
          <cell r="F77">
            <v>59.68</v>
          </cell>
          <cell r="G77">
            <v>59.799565217391304</v>
          </cell>
          <cell r="H77">
            <v>2.7745161356698992E-3</v>
          </cell>
          <cell r="I77">
            <v>0.19991304347826391</v>
          </cell>
          <cell r="J77">
            <v>72.053299999999993</v>
          </cell>
          <cell r="K77">
            <v>72.253213043478254</v>
          </cell>
          <cell r="L77">
            <v>4.0733197556007596E-3</v>
          </cell>
          <cell r="M77">
            <v>2.1999999999999702E-3</v>
          </cell>
          <cell r="N77">
            <v>0.54010000000000002</v>
          </cell>
          <cell r="O77">
            <v>0.5423</v>
          </cell>
          <cell r="P77">
            <v>1.1364406288634093E-3</v>
          </cell>
          <cell r="Q77">
            <v>0.12186086956521204</v>
          </cell>
          <cell r="R77">
            <v>107.2303</v>
          </cell>
          <cell r="S77">
            <v>107.35216086956521</v>
          </cell>
          <cell r="T77">
            <v>3.6508541830141358E-3</v>
          </cell>
          <cell r="U77">
            <v>0.16978260869565406</v>
          </cell>
          <cell r="V77">
            <v>46.504899999999999</v>
          </cell>
          <cell r="W77">
            <v>46.674682608695655</v>
          </cell>
          <cell r="X77">
            <v>5.9386697379783194E-4</v>
          </cell>
          <cell r="Y77">
            <v>2.6973913043476565E-2</v>
          </cell>
          <cell r="Z77">
            <v>45.4208</v>
          </cell>
          <cell r="AA77">
            <v>45.447773913043477</v>
          </cell>
          <cell r="AB77">
            <v>2.4875360920038848E-3</v>
          </cell>
          <cell r="AC77">
            <v>0.12061739130434877</v>
          </cell>
          <cell r="AD77">
            <v>48.488700000000001</v>
          </cell>
          <cell r="AE77">
            <v>48.609317391304351</v>
          </cell>
          <cell r="AF77">
            <v>2.0074464435658455E-3</v>
          </cell>
          <cell r="AG77">
            <v>3.2617391304346571E-2</v>
          </cell>
          <cell r="AH77">
            <v>16.248200000000001</v>
          </cell>
          <cell r="AI77">
            <v>16.280817391304346</v>
          </cell>
          <cell r="AJ77">
            <v>2.2335326382369541E-3</v>
          </cell>
          <cell r="AK77">
            <v>3.5514285714286685E-2</v>
          </cell>
          <cell r="AL77">
            <v>15.900499999999999</v>
          </cell>
          <cell r="AM77">
            <v>15.936014285714286</v>
          </cell>
          <cell r="AN77">
            <v>3.4562664467224233E-3</v>
          </cell>
          <cell r="AO77">
            <v>2.6399999999999885E-2</v>
          </cell>
          <cell r="AP77">
            <v>7.6383000000000001</v>
          </cell>
          <cell r="AQ77">
            <v>7.6646999999999998</v>
          </cell>
          <cell r="AR77">
            <v>-2.8550138564454404E-4</v>
          </cell>
          <cell r="AS77">
            <v>-1.1860869565216935E-2</v>
          </cell>
          <cell r="AT77">
            <v>41.543999999999997</v>
          </cell>
          <cell r="AU77">
            <v>41.532139130434778</v>
          </cell>
          <cell r="AV77">
            <v>3.1695810616117781E-3</v>
          </cell>
          <cell r="AW77">
            <v>0.11219999999999532</v>
          </cell>
          <cell r="AX77">
            <v>35.399000000000001</v>
          </cell>
          <cell r="AY77">
            <v>35.511199999999995</v>
          </cell>
          <cell r="AZ77">
            <v>2.2528267390052102E-3</v>
          </cell>
          <cell r="BA77">
            <v>1.7285714285713079E-2</v>
          </cell>
          <cell r="BB77">
            <v>7.6729000000000003</v>
          </cell>
          <cell r="BC77">
            <v>7.6901857142857137</v>
          </cell>
        </row>
        <row r="78">
          <cell r="B78">
            <v>30</v>
          </cell>
          <cell r="C78">
            <v>23</v>
          </cell>
          <cell r="D78">
            <v>1.605786416443253E-3</v>
          </cell>
          <cell r="E78">
            <v>0.125</v>
          </cell>
          <cell r="F78">
            <v>59.68</v>
          </cell>
          <cell r="G78">
            <v>59.805</v>
          </cell>
          <cell r="H78">
            <v>2.9006305054730757E-3</v>
          </cell>
          <cell r="I78">
            <v>0.20900000000000318</v>
          </cell>
          <cell r="J78">
            <v>72.053299999999993</v>
          </cell>
          <cell r="K78">
            <v>72.262299999999996</v>
          </cell>
          <cell r="L78">
            <v>4.258470653582612E-3</v>
          </cell>
          <cell r="M78">
            <v>2.2999999999999687E-3</v>
          </cell>
          <cell r="N78">
            <v>0.54010000000000002</v>
          </cell>
          <cell r="O78">
            <v>0.54239999999999999</v>
          </cell>
          <cell r="P78">
            <v>1.1880970210844733E-3</v>
          </cell>
          <cell r="Q78">
            <v>0.12739999999999441</v>
          </cell>
          <cell r="R78">
            <v>107.2303</v>
          </cell>
          <cell r="S78">
            <v>107.35769999999999</v>
          </cell>
          <cell r="T78">
            <v>3.8168021004238691E-3</v>
          </cell>
          <cell r="U78">
            <v>0.17750000000000199</v>
          </cell>
          <cell r="V78">
            <v>46.504899999999999</v>
          </cell>
          <cell r="W78">
            <v>46.682400000000001</v>
          </cell>
          <cell r="X78">
            <v>6.2086092715227888E-4</v>
          </cell>
          <cell r="Y78">
            <v>2.8199999999998226E-2</v>
          </cell>
          <cell r="Z78">
            <v>45.4208</v>
          </cell>
          <cell r="AA78">
            <v>45.448999999999998</v>
          </cell>
          <cell r="AB78">
            <v>2.6006059143676976E-3</v>
          </cell>
          <cell r="AC78">
            <v>0.12610000000000099</v>
          </cell>
          <cell r="AD78">
            <v>48.488700000000001</v>
          </cell>
          <cell r="AE78">
            <v>48.614800000000002</v>
          </cell>
          <cell r="AF78">
            <v>2.0986940091824746E-3</v>
          </cell>
          <cell r="AG78">
            <v>3.4099999999998687E-2</v>
          </cell>
          <cell r="AH78">
            <v>16.248200000000001</v>
          </cell>
          <cell r="AI78">
            <v>16.282299999999999</v>
          </cell>
          <cell r="AJ78">
            <v>2.3350568490659068E-3</v>
          </cell>
          <cell r="AK78">
            <v>3.7128571428572447E-2</v>
          </cell>
          <cell r="AL78">
            <v>15.900499999999999</v>
          </cell>
          <cell r="AM78">
            <v>15.937628571428572</v>
          </cell>
          <cell r="AN78">
            <v>3.6133694670279879E-3</v>
          </cell>
          <cell r="AO78">
            <v>2.7599999999999878E-2</v>
          </cell>
          <cell r="AP78">
            <v>7.6383000000000001</v>
          </cell>
          <cell r="AQ78">
            <v>7.6658999999999997</v>
          </cell>
          <cell r="AR78">
            <v>-2.9847872135565964E-4</v>
          </cell>
          <cell r="AS78">
            <v>-1.2399999999999523E-2</v>
          </cell>
          <cell r="AT78">
            <v>41.543999999999997</v>
          </cell>
          <cell r="AU78">
            <v>41.531599999999997</v>
          </cell>
          <cell r="AV78">
            <v>3.3136529280486768E-3</v>
          </cell>
          <cell r="AW78">
            <v>0.1172999999999951</v>
          </cell>
          <cell r="AX78">
            <v>35.399000000000001</v>
          </cell>
          <cell r="AY78">
            <v>35.516299999999994</v>
          </cell>
          <cell r="AZ78">
            <v>2.355227954414538E-3</v>
          </cell>
          <cell r="BA78">
            <v>1.8071428571427312E-2</v>
          </cell>
          <cell r="BB78">
            <v>7.6729000000000003</v>
          </cell>
          <cell r="BC78">
            <v>7.6909714285714275</v>
          </cell>
        </row>
        <row r="79">
          <cell r="B79">
            <v>31</v>
          </cell>
          <cell r="C79">
            <v>1</v>
          </cell>
          <cell r="D79">
            <v>9.4083549313043715E-5</v>
          </cell>
          <cell r="E79">
            <v>5.6266666666665802E-3</v>
          </cell>
          <cell r="F79">
            <v>59.805</v>
          </cell>
          <cell r="G79">
            <v>59.810626666666664</v>
          </cell>
          <cell r="H79">
            <v>1.3621671789208547E-4</v>
          </cell>
          <cell r="I79">
            <v>9.8433333333332491E-3</v>
          </cell>
          <cell r="J79">
            <v>72.262299999999996</v>
          </cell>
          <cell r="K79">
            <v>72.272143333333332</v>
          </cell>
          <cell r="L79">
            <v>2.0280235988200405E-4</v>
          </cell>
          <cell r="M79">
            <v>1.0999999999999899E-4</v>
          </cell>
          <cell r="N79">
            <v>0.54239999999999999</v>
          </cell>
          <cell r="O79">
            <v>0.54251000000000005</v>
          </cell>
          <cell r="P79">
            <v>6.2811827501274757E-5</v>
          </cell>
          <cell r="Q79">
            <v>6.7433333333336044E-3</v>
          </cell>
          <cell r="R79">
            <v>107.35769999999999</v>
          </cell>
          <cell r="S79">
            <v>107.36444333333333</v>
          </cell>
          <cell r="T79">
            <v>1.2722673668079563E-4</v>
          </cell>
          <cell r="U79">
            <v>8.2333333333333304E-3</v>
          </cell>
          <cell r="V79">
            <v>46.682400000000001</v>
          </cell>
          <cell r="W79">
            <v>46.690633333333338</v>
          </cell>
          <cell r="X79">
            <v>3.3664107021058887E-5</v>
          </cell>
          <cell r="Y79">
            <v>1.5300000000001053E-3</v>
          </cell>
          <cell r="Z79">
            <v>45.448999999999998</v>
          </cell>
          <cell r="AA79">
            <v>45.450530000000001</v>
          </cell>
          <cell r="AB79">
            <v>1.2019659308139359E-4</v>
          </cell>
          <cell r="AC79">
            <v>5.8433333333333341E-3</v>
          </cell>
          <cell r="AD79">
            <v>48.614800000000002</v>
          </cell>
          <cell r="AE79">
            <v>48.620643333333334</v>
          </cell>
          <cell r="AF79">
            <v>9.0896249301387712E-5</v>
          </cell>
          <cell r="AG79">
            <v>1.479999999999985E-3</v>
          </cell>
          <cell r="AH79">
            <v>16.282299999999999</v>
          </cell>
          <cell r="AI79">
            <v>16.28378</v>
          </cell>
          <cell r="AJ79">
            <v>1.0152421082895247E-4</v>
          </cell>
          <cell r="AK79">
            <v>1.6142857142857586E-3</v>
          </cell>
          <cell r="AL79">
            <v>15.900499999999999</v>
          </cell>
          <cell r="AM79">
            <v>15.902114285714285</v>
          </cell>
          <cell r="AN79">
            <v>1.571030203055647E-4</v>
          </cell>
          <cell r="AO79">
            <v>1.1999999999999947E-3</v>
          </cell>
          <cell r="AP79">
            <v>7.6383000000000001</v>
          </cell>
          <cell r="AQ79">
            <v>7.6395</v>
          </cell>
          <cell r="AR79">
            <v>-5.2971713105192424E-6</v>
          </cell>
          <cell r="AS79">
            <v>-2.1999999999996098E-4</v>
          </cell>
          <cell r="AT79">
            <v>41.531599999999997</v>
          </cell>
          <cell r="AU79">
            <v>41.531379999999999</v>
          </cell>
          <cell r="AV79">
            <v>1.4407186643689899E-4</v>
          </cell>
          <cell r="AW79">
            <v>5.099999999999787E-3</v>
          </cell>
          <cell r="AX79">
            <v>35.399000000000001</v>
          </cell>
          <cell r="AY79">
            <v>35.4041</v>
          </cell>
          <cell r="AZ79">
            <v>1.0240121540932774E-4</v>
          </cell>
          <cell r="BA79">
            <v>7.8571428571423089E-4</v>
          </cell>
          <cell r="BB79">
            <v>7.6729000000000003</v>
          </cell>
          <cell r="BC79">
            <v>7.6736857142857149</v>
          </cell>
        </row>
        <row r="80">
          <cell r="B80">
            <v>32</v>
          </cell>
          <cell r="C80">
            <v>2</v>
          </cell>
          <cell r="D80">
            <v>1.8816709862608743E-4</v>
          </cell>
          <cell r="E80">
            <v>1.125333333333316E-2</v>
          </cell>
          <cell r="F80">
            <v>59.805</v>
          </cell>
          <cell r="G80">
            <v>59.816253333333336</v>
          </cell>
          <cell r="H80">
            <v>2.7243343578417094E-4</v>
          </cell>
          <cell r="I80">
            <v>1.9686666666666498E-2</v>
          </cell>
          <cell r="J80">
            <v>72.262299999999996</v>
          </cell>
          <cell r="K80">
            <v>72.281986666666668</v>
          </cell>
          <cell r="L80">
            <v>4.0560471976400811E-4</v>
          </cell>
          <cell r="M80">
            <v>2.1999999999999797E-4</v>
          </cell>
          <cell r="N80">
            <v>0.54239999999999999</v>
          </cell>
          <cell r="O80">
            <v>0.54261999999999999</v>
          </cell>
          <cell r="P80">
            <v>1.2562365500254951E-4</v>
          </cell>
          <cell r="Q80">
            <v>1.3486666666667209E-2</v>
          </cell>
          <cell r="R80">
            <v>107.35769999999999</v>
          </cell>
          <cell r="S80">
            <v>107.37118666666666</v>
          </cell>
          <cell r="T80">
            <v>2.5445347336159127E-4</v>
          </cell>
          <cell r="U80">
            <v>1.6466666666666661E-2</v>
          </cell>
          <cell r="V80">
            <v>46.682400000000001</v>
          </cell>
          <cell r="W80">
            <v>46.698866666666667</v>
          </cell>
          <cell r="X80">
            <v>6.7328214042117773E-5</v>
          </cell>
          <cell r="Y80">
            <v>3.0600000000002106E-3</v>
          </cell>
          <cell r="Z80">
            <v>45.448999999999998</v>
          </cell>
          <cell r="AA80">
            <v>45.452059999999996</v>
          </cell>
          <cell r="AB80">
            <v>2.4039318616278719E-4</v>
          </cell>
          <cell r="AC80">
            <v>1.1686666666666668E-2</v>
          </cell>
          <cell r="AD80">
            <v>48.614800000000002</v>
          </cell>
          <cell r="AE80">
            <v>48.626486666666672</v>
          </cell>
          <cell r="AF80">
            <v>1.8179249860277542E-4</v>
          </cell>
          <cell r="AG80">
            <v>2.95999999999997E-3</v>
          </cell>
          <cell r="AH80">
            <v>16.282299999999999</v>
          </cell>
          <cell r="AI80">
            <v>16.285260000000001</v>
          </cell>
          <cell r="AJ80">
            <v>2.0304842165790493E-4</v>
          </cell>
          <cell r="AK80">
            <v>3.2285714285715172E-3</v>
          </cell>
          <cell r="AL80">
            <v>15.900499999999999</v>
          </cell>
          <cell r="AM80">
            <v>15.903728571428571</v>
          </cell>
          <cell r="AN80">
            <v>3.142060406111294E-4</v>
          </cell>
          <cell r="AO80">
            <v>2.3999999999999894E-3</v>
          </cell>
          <cell r="AP80">
            <v>7.6383000000000001</v>
          </cell>
          <cell r="AQ80">
            <v>7.6406999999999998</v>
          </cell>
          <cell r="AR80">
            <v>-1.0594342621038485E-5</v>
          </cell>
          <cell r="AS80">
            <v>-4.3999999999992195E-4</v>
          </cell>
          <cell r="AT80">
            <v>41.531599999999997</v>
          </cell>
          <cell r="AU80">
            <v>41.53116</v>
          </cell>
          <cell r="AV80">
            <v>2.8814373287379798E-4</v>
          </cell>
          <cell r="AW80">
            <v>1.0199999999999574E-2</v>
          </cell>
          <cell r="AX80">
            <v>35.399000000000001</v>
          </cell>
          <cell r="AY80">
            <v>35.409199999999998</v>
          </cell>
          <cell r="AZ80">
            <v>2.0480243081865548E-4</v>
          </cell>
          <cell r="BA80">
            <v>1.5714285714284618E-3</v>
          </cell>
          <cell r="BB80">
            <v>7.6729000000000003</v>
          </cell>
          <cell r="BC80">
            <v>7.6744714285714286</v>
          </cell>
        </row>
        <row r="81">
          <cell r="B81">
            <v>33</v>
          </cell>
          <cell r="C81">
            <v>3</v>
          </cell>
          <cell r="D81">
            <v>2.8225064793913117E-4</v>
          </cell>
          <cell r="E81">
            <v>1.6879999999999739E-2</v>
          </cell>
          <cell r="F81">
            <v>59.805</v>
          </cell>
          <cell r="G81">
            <v>59.82188</v>
          </cell>
          <cell r="H81">
            <v>4.0865015367625644E-4</v>
          </cell>
          <cell r="I81">
            <v>2.9529999999999744E-2</v>
          </cell>
          <cell r="J81">
            <v>72.262299999999996</v>
          </cell>
          <cell r="K81">
            <v>72.29182999999999</v>
          </cell>
          <cell r="L81">
            <v>6.0840707964601216E-4</v>
          </cell>
          <cell r="M81">
            <v>3.2999999999999696E-4</v>
          </cell>
          <cell r="N81">
            <v>0.54239999999999999</v>
          </cell>
          <cell r="O81">
            <v>0.54272999999999993</v>
          </cell>
          <cell r="P81">
            <v>1.8843548250382428E-4</v>
          </cell>
          <cell r="Q81">
            <v>2.0230000000000813E-2</v>
          </cell>
          <cell r="R81">
            <v>107.35769999999999</v>
          </cell>
          <cell r="S81">
            <v>107.37792999999999</v>
          </cell>
          <cell r="T81">
            <v>3.8168021004238693E-4</v>
          </cell>
          <cell r="U81">
            <v>2.4699999999999989E-2</v>
          </cell>
          <cell r="V81">
            <v>46.682400000000001</v>
          </cell>
          <cell r="W81">
            <v>46.707100000000004</v>
          </cell>
          <cell r="X81">
            <v>1.0099232106317667E-4</v>
          </cell>
          <cell r="Y81">
            <v>4.590000000000316E-3</v>
          </cell>
          <cell r="Z81">
            <v>45.448999999999998</v>
          </cell>
          <cell r="AA81">
            <v>45.453589999999998</v>
          </cell>
          <cell r="AB81">
            <v>3.6058977924418082E-4</v>
          </cell>
          <cell r="AC81">
            <v>1.753E-2</v>
          </cell>
          <cell r="AD81">
            <v>48.614800000000002</v>
          </cell>
          <cell r="AE81">
            <v>48.632330000000003</v>
          </cell>
          <cell r="AF81">
            <v>2.7268874790416312E-4</v>
          </cell>
          <cell r="AG81">
            <v>4.4399999999999553E-3</v>
          </cell>
          <cell r="AH81">
            <v>16.282299999999999</v>
          </cell>
          <cell r="AI81">
            <v>16.286739999999998</v>
          </cell>
          <cell r="AJ81">
            <v>3.045726324868574E-4</v>
          </cell>
          <cell r="AK81">
            <v>4.8428571428572754E-3</v>
          </cell>
          <cell r="AL81">
            <v>15.900499999999999</v>
          </cell>
          <cell r="AM81">
            <v>15.905342857142857</v>
          </cell>
          <cell r="AN81">
            <v>4.7130906091669405E-4</v>
          </cell>
          <cell r="AO81">
            <v>3.5999999999999843E-3</v>
          </cell>
          <cell r="AP81">
            <v>7.6383000000000001</v>
          </cell>
          <cell r="AQ81">
            <v>7.6418999999999997</v>
          </cell>
          <cell r="AR81">
            <v>-1.5891513931557729E-5</v>
          </cell>
          <cell r="AS81">
            <v>-6.599999999998829E-4</v>
          </cell>
          <cell r="AT81">
            <v>41.531599999999997</v>
          </cell>
          <cell r="AU81">
            <v>41.530940000000001</v>
          </cell>
          <cell r="AV81">
            <v>4.32215599310697E-4</v>
          </cell>
          <cell r="AW81">
            <v>1.5299999999999361E-2</v>
          </cell>
          <cell r="AX81">
            <v>35.399000000000001</v>
          </cell>
          <cell r="AY81">
            <v>35.414299999999997</v>
          </cell>
          <cell r="AZ81">
            <v>3.0720364622798321E-4</v>
          </cell>
          <cell r="BA81">
            <v>2.3571428571426928E-3</v>
          </cell>
          <cell r="BB81">
            <v>7.6729000000000003</v>
          </cell>
          <cell r="BC81">
            <v>7.6752571428571432</v>
          </cell>
        </row>
        <row r="82">
          <cell r="B82">
            <v>34</v>
          </cell>
          <cell r="C82">
            <v>4</v>
          </cell>
          <cell r="D82">
            <v>3.7633419725217486E-4</v>
          </cell>
          <cell r="E82">
            <v>2.2506666666666321E-2</v>
          </cell>
          <cell r="F82">
            <v>59.805</v>
          </cell>
          <cell r="G82">
            <v>59.827506666666665</v>
          </cell>
          <cell r="H82">
            <v>5.4486687156834188E-4</v>
          </cell>
          <cell r="I82">
            <v>3.9373333333332997E-2</v>
          </cell>
          <cell r="J82">
            <v>72.262299999999996</v>
          </cell>
          <cell r="K82">
            <v>72.301673333333326</v>
          </cell>
          <cell r="L82">
            <v>8.1120943952801621E-4</v>
          </cell>
          <cell r="M82">
            <v>4.3999999999999595E-4</v>
          </cell>
          <cell r="N82">
            <v>0.54239999999999999</v>
          </cell>
          <cell r="O82">
            <v>0.54283999999999999</v>
          </cell>
          <cell r="P82">
            <v>2.5124731000509903E-4</v>
          </cell>
          <cell r="Q82">
            <v>2.6973333333334418E-2</v>
          </cell>
          <cell r="R82">
            <v>107.35769999999999</v>
          </cell>
          <cell r="S82">
            <v>107.38467333333332</v>
          </cell>
          <cell r="T82">
            <v>5.0890694672318254E-4</v>
          </cell>
          <cell r="U82">
            <v>3.2933333333333321E-2</v>
          </cell>
          <cell r="V82">
            <v>46.682400000000001</v>
          </cell>
          <cell r="W82">
            <v>46.715333333333334</v>
          </cell>
          <cell r="X82">
            <v>1.3465642808423555E-4</v>
          </cell>
          <cell r="Y82">
            <v>6.1200000000004211E-3</v>
          </cell>
          <cell r="Z82">
            <v>45.448999999999998</v>
          </cell>
          <cell r="AA82">
            <v>45.455120000000001</v>
          </cell>
          <cell r="AB82">
            <v>4.8078637232557437E-4</v>
          </cell>
          <cell r="AC82">
            <v>2.3373333333333336E-2</v>
          </cell>
          <cell r="AD82">
            <v>48.614800000000002</v>
          </cell>
          <cell r="AE82">
            <v>48.638173333333334</v>
          </cell>
          <cell r="AF82">
            <v>3.6358499720555085E-4</v>
          </cell>
          <cell r="AG82">
            <v>5.9199999999999401E-3</v>
          </cell>
          <cell r="AH82">
            <v>16.282299999999999</v>
          </cell>
          <cell r="AI82">
            <v>16.288219999999999</v>
          </cell>
          <cell r="AJ82">
            <v>4.0609684331580987E-4</v>
          </cell>
          <cell r="AK82">
            <v>6.4571428571430344E-3</v>
          </cell>
          <cell r="AL82">
            <v>15.900499999999999</v>
          </cell>
          <cell r="AM82">
            <v>15.906957142857141</v>
          </cell>
          <cell r="AN82">
            <v>6.284120812222588E-4</v>
          </cell>
          <cell r="AO82">
            <v>4.7999999999999788E-3</v>
          </cell>
          <cell r="AP82">
            <v>7.6383000000000001</v>
          </cell>
          <cell r="AQ82">
            <v>7.6431000000000004</v>
          </cell>
          <cell r="AR82">
            <v>-2.118868524207697E-5</v>
          </cell>
          <cell r="AS82">
            <v>-8.7999999999984391E-4</v>
          </cell>
          <cell r="AT82">
            <v>41.531599999999997</v>
          </cell>
          <cell r="AU82">
            <v>41.530719999999995</v>
          </cell>
          <cell r="AV82">
            <v>5.7628746574759596E-4</v>
          </cell>
          <cell r="AW82">
            <v>2.0399999999999148E-2</v>
          </cell>
          <cell r="AX82">
            <v>35.399000000000001</v>
          </cell>
          <cell r="AY82">
            <v>35.419400000000003</v>
          </cell>
          <cell r="AZ82">
            <v>4.0960486163731097E-4</v>
          </cell>
          <cell r="BA82">
            <v>3.1428571428569235E-3</v>
          </cell>
          <cell r="BB82">
            <v>7.6729000000000003</v>
          </cell>
          <cell r="BC82">
            <v>7.6760428571428569</v>
          </cell>
        </row>
        <row r="83">
          <cell r="B83">
            <v>35</v>
          </cell>
          <cell r="C83">
            <v>5</v>
          </cell>
          <cell r="D83">
            <v>4.704177465652186E-4</v>
          </cell>
          <cell r="E83">
            <v>2.8133333333332899E-2</v>
          </cell>
          <cell r="F83">
            <v>59.805</v>
          </cell>
          <cell r="G83">
            <v>59.833133333333336</v>
          </cell>
          <cell r="H83">
            <v>6.8108358946042738E-4</v>
          </cell>
          <cell r="I83">
            <v>4.9216666666666242E-2</v>
          </cell>
          <cell r="J83">
            <v>72.262299999999996</v>
          </cell>
          <cell r="K83">
            <v>72.311516666666662</v>
          </cell>
          <cell r="L83">
            <v>1.0140117994100202E-3</v>
          </cell>
          <cell r="M83">
            <v>5.4999999999999494E-4</v>
          </cell>
          <cell r="N83">
            <v>0.54239999999999999</v>
          </cell>
          <cell r="O83">
            <v>0.54295000000000004</v>
          </cell>
          <cell r="P83">
            <v>3.140591375063738E-4</v>
          </cell>
          <cell r="Q83">
            <v>3.3716666666668026E-2</v>
          </cell>
          <cell r="R83">
            <v>107.35769999999999</v>
          </cell>
          <cell r="S83">
            <v>107.39141666666666</v>
          </cell>
          <cell r="T83">
            <v>6.3613368340397815E-4</v>
          </cell>
          <cell r="U83">
            <v>4.116666666666665E-2</v>
          </cell>
          <cell r="V83">
            <v>46.682400000000001</v>
          </cell>
          <cell r="W83">
            <v>46.72356666666667</v>
          </cell>
          <cell r="X83">
            <v>1.6832053510529443E-4</v>
          </cell>
          <cell r="Y83">
            <v>7.650000000000527E-3</v>
          </cell>
          <cell r="Z83">
            <v>45.448999999999998</v>
          </cell>
          <cell r="AA83">
            <v>45.456649999999996</v>
          </cell>
          <cell r="AB83">
            <v>6.0098296540696792E-4</v>
          </cell>
          <cell r="AC83">
            <v>2.9216666666666669E-2</v>
          </cell>
          <cell r="AD83">
            <v>48.614800000000002</v>
          </cell>
          <cell r="AE83">
            <v>48.644016666666673</v>
          </cell>
          <cell r="AF83">
            <v>4.5448124650693857E-4</v>
          </cell>
          <cell r="AG83">
            <v>7.3999999999999249E-3</v>
          </cell>
          <cell r="AH83">
            <v>16.282299999999999</v>
          </cell>
          <cell r="AI83">
            <v>16.2897</v>
          </cell>
          <cell r="AJ83">
            <v>5.0762105414476233E-4</v>
          </cell>
          <cell r="AK83">
            <v>8.0714285714287935E-3</v>
          </cell>
          <cell r="AL83">
            <v>15.900499999999999</v>
          </cell>
          <cell r="AM83">
            <v>15.908571428571427</v>
          </cell>
          <cell r="AN83">
            <v>7.8551510152782345E-4</v>
          </cell>
          <cell r="AO83">
            <v>5.9999999999999732E-3</v>
          </cell>
          <cell r="AP83">
            <v>7.6383000000000001</v>
          </cell>
          <cell r="AQ83">
            <v>7.6443000000000003</v>
          </cell>
          <cell r="AR83">
            <v>-2.648585655259621E-5</v>
          </cell>
          <cell r="AS83">
            <v>-1.0999999999998049E-3</v>
          </cell>
          <cell r="AT83">
            <v>41.531599999999997</v>
          </cell>
          <cell r="AU83">
            <v>41.530499999999996</v>
          </cell>
          <cell r="AV83">
            <v>7.2035933218449492E-4</v>
          </cell>
          <cell r="AW83">
            <v>2.5499999999998937E-2</v>
          </cell>
          <cell r="AX83">
            <v>35.399000000000001</v>
          </cell>
          <cell r="AY83">
            <v>35.424500000000002</v>
          </cell>
          <cell r="AZ83">
            <v>5.1200607704663867E-4</v>
          </cell>
          <cell r="BA83">
            <v>3.9285714285711548E-3</v>
          </cell>
          <cell r="BB83">
            <v>7.6729000000000003</v>
          </cell>
          <cell r="BC83">
            <v>7.6768285714285716</v>
          </cell>
        </row>
        <row r="84">
          <cell r="B84">
            <v>36</v>
          </cell>
          <cell r="C84">
            <v>6</v>
          </cell>
          <cell r="D84">
            <v>5.6450129587826234E-4</v>
          </cell>
          <cell r="E84">
            <v>3.3759999999999478E-2</v>
          </cell>
          <cell r="F84">
            <v>59.805</v>
          </cell>
          <cell r="G84">
            <v>59.838760000000001</v>
          </cell>
          <cell r="H84">
            <v>8.1730030735251288E-4</v>
          </cell>
          <cell r="I84">
            <v>5.9059999999999488E-2</v>
          </cell>
          <cell r="J84">
            <v>72.262299999999996</v>
          </cell>
          <cell r="K84">
            <v>72.321359999999999</v>
          </cell>
          <cell r="L84">
            <v>1.2168141592920243E-3</v>
          </cell>
          <cell r="M84">
            <v>6.5999999999999392E-4</v>
          </cell>
          <cell r="N84">
            <v>0.54239999999999999</v>
          </cell>
          <cell r="O84">
            <v>0.54305999999999999</v>
          </cell>
          <cell r="P84">
            <v>3.7687096500764857E-4</v>
          </cell>
          <cell r="Q84">
            <v>4.0460000000001627E-2</v>
          </cell>
          <cell r="R84">
            <v>107.35769999999999</v>
          </cell>
          <cell r="S84">
            <v>107.39815999999999</v>
          </cell>
          <cell r="T84">
            <v>7.6336042008477386E-4</v>
          </cell>
          <cell r="U84">
            <v>4.9399999999999979E-2</v>
          </cell>
          <cell r="V84">
            <v>46.682400000000001</v>
          </cell>
          <cell r="W84">
            <v>46.7318</v>
          </cell>
          <cell r="X84">
            <v>2.0198464212635333E-4</v>
          </cell>
          <cell r="Y84">
            <v>9.1800000000006321E-3</v>
          </cell>
          <cell r="Z84">
            <v>45.448999999999998</v>
          </cell>
          <cell r="AA84">
            <v>45.458179999999999</v>
          </cell>
          <cell r="AB84">
            <v>7.2117955848836164E-4</v>
          </cell>
          <cell r="AC84">
            <v>3.5060000000000001E-2</v>
          </cell>
          <cell r="AD84">
            <v>48.614800000000002</v>
          </cell>
          <cell r="AE84">
            <v>48.649860000000004</v>
          </cell>
          <cell r="AF84">
            <v>5.4537749580832625E-4</v>
          </cell>
          <cell r="AG84">
            <v>8.8799999999999105E-3</v>
          </cell>
          <cell r="AH84">
            <v>16.282299999999999</v>
          </cell>
          <cell r="AI84">
            <v>16.291180000000001</v>
          </cell>
          <cell r="AJ84">
            <v>6.091452649737148E-4</v>
          </cell>
          <cell r="AK84">
            <v>9.6857142857145508E-3</v>
          </cell>
          <cell r="AL84">
            <v>15.900499999999999</v>
          </cell>
          <cell r="AM84">
            <v>15.910185714285713</v>
          </cell>
          <cell r="AN84">
            <v>9.426181218333881E-4</v>
          </cell>
          <cell r="AO84">
            <v>7.1999999999999686E-3</v>
          </cell>
          <cell r="AP84">
            <v>7.6383000000000001</v>
          </cell>
          <cell r="AQ84">
            <v>7.6455000000000002</v>
          </cell>
          <cell r="AR84">
            <v>-3.1783027863115458E-5</v>
          </cell>
          <cell r="AS84">
            <v>-1.3199999999997658E-3</v>
          </cell>
          <cell r="AT84">
            <v>41.531599999999997</v>
          </cell>
          <cell r="AU84">
            <v>41.530279999999998</v>
          </cell>
          <cell r="AV84">
            <v>8.6443119862139399E-4</v>
          </cell>
          <cell r="AW84">
            <v>3.0599999999998722E-2</v>
          </cell>
          <cell r="AX84">
            <v>35.399000000000001</v>
          </cell>
          <cell r="AY84">
            <v>35.429600000000001</v>
          </cell>
          <cell r="AZ84">
            <v>6.1440729245596643E-4</v>
          </cell>
          <cell r="BA84">
            <v>4.7142857142853855E-3</v>
          </cell>
          <cell r="BB84">
            <v>7.6729000000000003</v>
          </cell>
          <cell r="BC84">
            <v>7.6776142857142853</v>
          </cell>
        </row>
        <row r="85">
          <cell r="B85">
            <v>37</v>
          </cell>
          <cell r="C85">
            <v>7</v>
          </cell>
          <cell r="D85">
            <v>6.5858484519130608E-4</v>
          </cell>
          <cell r="E85">
            <v>3.9386666666666056E-2</v>
          </cell>
          <cell r="F85">
            <v>59.805</v>
          </cell>
          <cell r="G85">
            <v>59.844386666666665</v>
          </cell>
          <cell r="H85">
            <v>9.5351702524459838E-4</v>
          </cell>
          <cell r="I85">
            <v>6.8903333333332734E-2</v>
          </cell>
          <cell r="J85">
            <v>72.262299999999996</v>
          </cell>
          <cell r="K85">
            <v>72.331203333333335</v>
          </cell>
          <cell r="L85">
            <v>1.4196165191740283E-3</v>
          </cell>
          <cell r="M85">
            <v>7.6999999999999291E-4</v>
          </cell>
          <cell r="N85">
            <v>0.54239999999999999</v>
          </cell>
          <cell r="O85">
            <v>0.54316999999999993</v>
          </cell>
          <cell r="P85">
            <v>4.3968279250892334E-4</v>
          </cell>
          <cell r="Q85">
            <v>4.7203333333335235E-2</v>
          </cell>
          <cell r="R85">
            <v>107.35769999999999</v>
          </cell>
          <cell r="S85">
            <v>107.40490333333332</v>
          </cell>
          <cell r="T85">
            <v>8.9058715676556947E-4</v>
          </cell>
          <cell r="U85">
            <v>5.7633333333333307E-2</v>
          </cell>
          <cell r="V85">
            <v>46.682400000000001</v>
          </cell>
          <cell r="W85">
            <v>46.740033333333336</v>
          </cell>
          <cell r="X85">
            <v>2.3564874914741221E-4</v>
          </cell>
          <cell r="Y85">
            <v>1.0710000000000738E-2</v>
          </cell>
          <cell r="Z85">
            <v>45.448999999999998</v>
          </cell>
          <cell r="AA85">
            <v>45.459710000000001</v>
          </cell>
          <cell r="AB85">
            <v>8.4137615156975514E-4</v>
          </cell>
          <cell r="AC85">
            <v>4.0903333333333333E-2</v>
          </cell>
          <cell r="AD85">
            <v>48.614800000000002</v>
          </cell>
          <cell r="AE85">
            <v>48.655703333333335</v>
          </cell>
          <cell r="AF85">
            <v>6.3627374510971397E-4</v>
          </cell>
          <cell r="AG85">
            <v>1.0359999999999895E-2</v>
          </cell>
          <cell r="AH85">
            <v>16.282299999999999</v>
          </cell>
          <cell r="AI85">
            <v>16.292659999999998</v>
          </cell>
          <cell r="AJ85">
            <v>7.1066947580266727E-4</v>
          </cell>
          <cell r="AK85">
            <v>1.130000000000031E-2</v>
          </cell>
          <cell r="AL85">
            <v>15.900499999999999</v>
          </cell>
          <cell r="AM85">
            <v>15.911799999999999</v>
          </cell>
          <cell r="AN85">
            <v>1.0997211421389529E-3</v>
          </cell>
          <cell r="AO85">
            <v>8.3999999999999631E-3</v>
          </cell>
          <cell r="AP85">
            <v>7.6383000000000001</v>
          </cell>
          <cell r="AQ85">
            <v>7.6467000000000001</v>
          </cell>
          <cell r="AR85">
            <v>-3.7080199173634702E-5</v>
          </cell>
          <cell r="AS85">
            <v>-1.5399999999997267E-3</v>
          </cell>
          <cell r="AT85">
            <v>41.531599999999997</v>
          </cell>
          <cell r="AU85">
            <v>41.530059999999999</v>
          </cell>
          <cell r="AV85">
            <v>1.008503065058293E-3</v>
          </cell>
          <cell r="AW85">
            <v>3.5699999999998511E-2</v>
          </cell>
          <cell r="AX85">
            <v>35.399000000000001</v>
          </cell>
          <cell r="AY85">
            <v>35.434699999999999</v>
          </cell>
          <cell r="AZ85">
            <v>7.1680850786529418E-4</v>
          </cell>
          <cell r="BA85">
            <v>5.4999999999996163E-3</v>
          </cell>
          <cell r="BB85">
            <v>7.6729000000000003</v>
          </cell>
          <cell r="BC85">
            <v>7.6783999999999999</v>
          </cell>
        </row>
        <row r="86">
          <cell r="B86">
            <v>38</v>
          </cell>
          <cell r="C86">
            <v>8</v>
          </cell>
          <cell r="D86">
            <v>7.5266839450434972E-4</v>
          </cell>
          <cell r="E86">
            <v>4.5013333333332642E-2</v>
          </cell>
          <cell r="F86">
            <v>59.805</v>
          </cell>
          <cell r="G86">
            <v>59.85001333333333</v>
          </cell>
          <cell r="H86">
            <v>1.0897337431366838E-3</v>
          </cell>
          <cell r="I86">
            <v>7.8746666666665993E-2</v>
          </cell>
          <cell r="J86">
            <v>72.262299999999996</v>
          </cell>
          <cell r="K86">
            <v>72.341046666666657</v>
          </cell>
          <cell r="L86">
            <v>1.6224188790560324E-3</v>
          </cell>
          <cell r="M86">
            <v>8.799999999999919E-4</v>
          </cell>
          <cell r="N86">
            <v>0.54239999999999999</v>
          </cell>
          <cell r="O86">
            <v>0.54327999999999999</v>
          </cell>
          <cell r="P86">
            <v>5.0249462001019805E-4</v>
          </cell>
          <cell r="Q86">
            <v>5.3946666666668835E-2</v>
          </cell>
          <cell r="R86">
            <v>107.35769999999999</v>
          </cell>
          <cell r="S86">
            <v>107.41164666666667</v>
          </cell>
          <cell r="T86">
            <v>1.0178138934463651E-3</v>
          </cell>
          <cell r="U86">
            <v>6.5866666666666643E-2</v>
          </cell>
          <cell r="V86">
            <v>46.682400000000001</v>
          </cell>
          <cell r="W86">
            <v>46.748266666666666</v>
          </cell>
          <cell r="X86">
            <v>2.6931285616847109E-4</v>
          </cell>
          <cell r="Y86">
            <v>1.2240000000000842E-2</v>
          </cell>
          <cell r="Z86">
            <v>45.448999999999998</v>
          </cell>
          <cell r="AA86">
            <v>45.461239999999997</v>
          </cell>
          <cell r="AB86">
            <v>9.6157274465114874E-4</v>
          </cell>
          <cell r="AC86">
            <v>4.6746666666666672E-2</v>
          </cell>
          <cell r="AD86">
            <v>48.614800000000002</v>
          </cell>
          <cell r="AE86">
            <v>48.661546666666666</v>
          </cell>
          <cell r="AF86">
            <v>7.271699944111017E-4</v>
          </cell>
          <cell r="AG86">
            <v>1.183999999999988E-2</v>
          </cell>
          <cell r="AH86">
            <v>16.282299999999999</v>
          </cell>
          <cell r="AI86">
            <v>16.294139999999999</v>
          </cell>
          <cell r="AJ86">
            <v>8.1219368663161973E-4</v>
          </cell>
          <cell r="AK86">
            <v>1.2914285714286069E-2</v>
          </cell>
          <cell r="AL86">
            <v>15.900499999999999</v>
          </cell>
          <cell r="AM86">
            <v>15.913414285714286</v>
          </cell>
          <cell r="AN86">
            <v>1.2568241624445176E-3</v>
          </cell>
          <cell r="AO86">
            <v>9.5999999999999575E-3</v>
          </cell>
          <cell r="AP86">
            <v>7.6383000000000001</v>
          </cell>
          <cell r="AQ86">
            <v>7.6478999999999999</v>
          </cell>
          <cell r="AR86">
            <v>-4.2377370484153939E-5</v>
          </cell>
          <cell r="AS86">
            <v>-1.7599999999996878E-3</v>
          </cell>
          <cell r="AT86">
            <v>41.531599999999997</v>
          </cell>
          <cell r="AU86">
            <v>41.52984</v>
          </cell>
          <cell r="AV86">
            <v>1.1525749314951919E-3</v>
          </cell>
          <cell r="AW86">
            <v>4.0799999999998296E-2</v>
          </cell>
          <cell r="AX86">
            <v>35.399000000000001</v>
          </cell>
          <cell r="AY86">
            <v>35.439799999999998</v>
          </cell>
          <cell r="AZ86">
            <v>8.1920972327462194E-4</v>
          </cell>
          <cell r="BA86">
            <v>6.2857142857138471E-3</v>
          </cell>
          <cell r="BB86">
            <v>7.6729000000000003</v>
          </cell>
          <cell r="BC86">
            <v>7.6791857142857145</v>
          </cell>
        </row>
        <row r="87">
          <cell r="B87">
            <v>39</v>
          </cell>
          <cell r="C87">
            <v>9</v>
          </cell>
          <cell r="D87">
            <v>8.4675194381739346E-4</v>
          </cell>
          <cell r="E87">
            <v>5.063999999999922E-2</v>
          </cell>
          <cell r="F87">
            <v>59.805</v>
          </cell>
          <cell r="G87">
            <v>59.855640000000001</v>
          </cell>
          <cell r="H87">
            <v>1.2259504610287694E-3</v>
          </cell>
          <cell r="I87">
            <v>8.8589999999999239E-2</v>
          </cell>
          <cell r="J87">
            <v>72.262299999999996</v>
          </cell>
          <cell r="K87">
            <v>72.350889999999993</v>
          </cell>
          <cell r="L87">
            <v>1.8252212389380366E-3</v>
          </cell>
          <cell r="M87">
            <v>9.8999999999999089E-4</v>
          </cell>
          <cell r="N87">
            <v>0.54239999999999999</v>
          </cell>
          <cell r="O87">
            <v>0.54339000000000004</v>
          </cell>
          <cell r="P87">
            <v>5.6530644751147277E-4</v>
          </cell>
          <cell r="Q87">
            <v>6.0690000000002443E-2</v>
          </cell>
          <cell r="R87">
            <v>107.35769999999999</v>
          </cell>
          <cell r="S87">
            <v>107.41839</v>
          </cell>
          <cell r="T87">
            <v>1.1450406301271609E-3</v>
          </cell>
          <cell r="U87">
            <v>7.4099999999999971E-2</v>
          </cell>
          <cell r="V87">
            <v>46.682400000000001</v>
          </cell>
          <cell r="W87">
            <v>46.756500000000003</v>
          </cell>
          <cell r="X87">
            <v>3.0297696318952997E-4</v>
          </cell>
          <cell r="Y87">
            <v>1.3770000000000948E-2</v>
          </cell>
          <cell r="Z87">
            <v>45.448999999999998</v>
          </cell>
          <cell r="AA87">
            <v>45.462769999999999</v>
          </cell>
          <cell r="AB87">
            <v>1.0817693377325425E-3</v>
          </cell>
          <cell r="AC87">
            <v>5.2590000000000005E-2</v>
          </cell>
          <cell r="AD87">
            <v>48.614800000000002</v>
          </cell>
          <cell r="AE87">
            <v>48.667390000000005</v>
          </cell>
          <cell r="AF87">
            <v>8.1806624371248931E-4</v>
          </cell>
          <cell r="AG87">
            <v>1.3319999999999865E-2</v>
          </cell>
          <cell r="AH87">
            <v>16.282299999999999</v>
          </cell>
          <cell r="AI87">
            <v>16.29562</v>
          </cell>
          <cell r="AJ87">
            <v>9.137178974605722E-4</v>
          </cell>
          <cell r="AK87">
            <v>1.4528571428571826E-2</v>
          </cell>
          <cell r="AL87">
            <v>15.900499999999999</v>
          </cell>
          <cell r="AM87">
            <v>15.915028571428572</v>
          </cell>
          <cell r="AN87">
            <v>1.4139271827500824E-3</v>
          </cell>
          <cell r="AO87">
            <v>1.0799999999999952E-2</v>
          </cell>
          <cell r="AP87">
            <v>7.6383000000000001</v>
          </cell>
          <cell r="AQ87">
            <v>7.6490999999999998</v>
          </cell>
          <cell r="AR87">
            <v>-4.7674541794673183E-5</v>
          </cell>
          <cell r="AS87">
            <v>-1.9799999999996487E-3</v>
          </cell>
          <cell r="AT87">
            <v>41.531599999999997</v>
          </cell>
          <cell r="AU87">
            <v>41.529619999999994</v>
          </cell>
          <cell r="AV87">
            <v>1.2966467979320909E-3</v>
          </cell>
          <cell r="AW87">
            <v>4.5899999999998088E-2</v>
          </cell>
          <cell r="AX87">
            <v>35.399000000000001</v>
          </cell>
          <cell r="AY87">
            <v>35.444899999999997</v>
          </cell>
          <cell r="AZ87">
            <v>9.216109386839497E-4</v>
          </cell>
          <cell r="BA87">
            <v>7.0714285714280779E-3</v>
          </cell>
          <cell r="BB87">
            <v>7.6729000000000003</v>
          </cell>
          <cell r="BC87">
            <v>7.6799714285714282</v>
          </cell>
        </row>
        <row r="88">
          <cell r="B88">
            <v>40</v>
          </cell>
          <cell r="C88">
            <v>10</v>
          </cell>
          <cell r="D88">
            <v>9.408354931304372E-4</v>
          </cell>
          <cell r="E88">
            <v>5.6266666666665799E-2</v>
          </cell>
          <cell r="F88">
            <v>59.805</v>
          </cell>
          <cell r="G88">
            <v>59.861266666666666</v>
          </cell>
          <cell r="H88">
            <v>1.3621671789208548E-3</v>
          </cell>
          <cell r="I88">
            <v>9.8433333333332484E-2</v>
          </cell>
          <cell r="J88">
            <v>72.262299999999996</v>
          </cell>
          <cell r="K88">
            <v>72.360733333333329</v>
          </cell>
          <cell r="L88">
            <v>2.0280235988200403E-3</v>
          </cell>
          <cell r="M88">
            <v>1.0999999999999899E-3</v>
          </cell>
          <cell r="N88">
            <v>0.54239999999999999</v>
          </cell>
          <cell r="O88">
            <v>0.54349999999999998</v>
          </cell>
          <cell r="P88">
            <v>6.2811827501274759E-4</v>
          </cell>
          <cell r="Q88">
            <v>6.7433333333336051E-2</v>
          </cell>
          <cell r="R88">
            <v>107.35769999999999</v>
          </cell>
          <cell r="S88">
            <v>107.42513333333333</v>
          </cell>
          <cell r="T88">
            <v>1.2722673668079563E-3</v>
          </cell>
          <cell r="U88">
            <v>8.23333333333333E-2</v>
          </cell>
          <cell r="V88">
            <v>46.682400000000001</v>
          </cell>
          <cell r="W88">
            <v>46.764733333333332</v>
          </cell>
          <cell r="X88">
            <v>3.3664107021058885E-4</v>
          </cell>
          <cell r="Y88">
            <v>1.5300000000001054E-2</v>
          </cell>
          <cell r="Z88">
            <v>45.448999999999998</v>
          </cell>
          <cell r="AA88">
            <v>45.464300000000001</v>
          </cell>
          <cell r="AB88">
            <v>1.2019659308139358E-3</v>
          </cell>
          <cell r="AC88">
            <v>5.8433333333333337E-2</v>
          </cell>
          <cell r="AD88">
            <v>48.614800000000002</v>
          </cell>
          <cell r="AE88">
            <v>48.673233333333336</v>
          </cell>
          <cell r="AF88">
            <v>9.0896249301387715E-4</v>
          </cell>
          <cell r="AG88">
            <v>1.479999999999985E-2</v>
          </cell>
          <cell r="AH88">
            <v>16.282299999999999</v>
          </cell>
          <cell r="AI88">
            <v>16.2971</v>
          </cell>
          <cell r="AJ88">
            <v>1.0152421082895247E-3</v>
          </cell>
          <cell r="AK88">
            <v>1.6142857142857587E-2</v>
          </cell>
          <cell r="AL88">
            <v>15.900499999999999</v>
          </cell>
          <cell r="AM88">
            <v>15.916642857142858</v>
          </cell>
          <cell r="AN88">
            <v>1.5710302030556469E-3</v>
          </cell>
          <cell r="AO88">
            <v>1.1999999999999946E-2</v>
          </cell>
          <cell r="AP88">
            <v>7.6383000000000001</v>
          </cell>
          <cell r="AQ88">
            <v>7.6502999999999997</v>
          </cell>
          <cell r="AR88">
            <v>-5.2971713105192421E-5</v>
          </cell>
          <cell r="AS88">
            <v>-2.1999999999996098E-3</v>
          </cell>
          <cell r="AT88">
            <v>41.531599999999997</v>
          </cell>
          <cell r="AU88">
            <v>41.529399999999995</v>
          </cell>
          <cell r="AV88">
            <v>1.4407186643689898E-3</v>
          </cell>
          <cell r="AW88">
            <v>5.0999999999997873E-2</v>
          </cell>
          <cell r="AX88">
            <v>35.399000000000001</v>
          </cell>
          <cell r="AY88">
            <v>35.449999999999996</v>
          </cell>
          <cell r="AZ88">
            <v>1.0240121540932773E-3</v>
          </cell>
          <cell r="BA88">
            <v>7.8571428571423095E-3</v>
          </cell>
          <cell r="BB88">
            <v>7.6729000000000003</v>
          </cell>
          <cell r="BC88">
            <v>7.6807571428571428</v>
          </cell>
        </row>
        <row r="89">
          <cell r="B89">
            <v>41</v>
          </cell>
          <cell r="C89">
            <v>11</v>
          </cell>
          <cell r="D89">
            <v>1.0349190424434808E-3</v>
          </cell>
          <cell r="E89">
            <v>6.1893333333332377E-2</v>
          </cell>
          <cell r="F89">
            <v>59.805</v>
          </cell>
          <cell r="G89">
            <v>59.86689333333333</v>
          </cell>
          <cell r="H89">
            <v>1.4983838968129401E-3</v>
          </cell>
          <cell r="I89">
            <v>0.10827666666666573</v>
          </cell>
          <cell r="J89">
            <v>72.262299999999996</v>
          </cell>
          <cell r="K89">
            <v>72.370576666666665</v>
          </cell>
          <cell r="L89">
            <v>2.2308259587020445E-3</v>
          </cell>
          <cell r="M89">
            <v>1.2099999999999889E-3</v>
          </cell>
          <cell r="N89">
            <v>0.54239999999999999</v>
          </cell>
          <cell r="O89">
            <v>0.54360999999999993</v>
          </cell>
          <cell r="P89">
            <v>6.9093010251402242E-4</v>
          </cell>
          <cell r="Q89">
            <v>7.4176666666669652E-2</v>
          </cell>
          <cell r="R89">
            <v>107.35769999999999</v>
          </cell>
          <cell r="S89">
            <v>107.43187666666667</v>
          </cell>
          <cell r="T89">
            <v>1.3994941034887521E-3</v>
          </cell>
          <cell r="U89">
            <v>9.0566666666666629E-2</v>
          </cell>
          <cell r="V89">
            <v>46.682400000000001</v>
          </cell>
          <cell r="W89">
            <v>46.772966666666669</v>
          </cell>
          <cell r="X89">
            <v>3.7030517723164773E-4</v>
          </cell>
          <cell r="Y89">
            <v>1.683000000000116E-2</v>
          </cell>
          <cell r="Z89">
            <v>45.448999999999998</v>
          </cell>
          <cell r="AA89">
            <v>45.465829999999997</v>
          </cell>
          <cell r="AB89">
            <v>1.3221625238953295E-3</v>
          </cell>
          <cell r="AC89">
            <v>6.4276666666666676E-2</v>
          </cell>
          <cell r="AD89">
            <v>48.614800000000002</v>
          </cell>
          <cell r="AE89">
            <v>48.679076666666667</v>
          </cell>
          <cell r="AF89">
            <v>9.9985874231526477E-4</v>
          </cell>
          <cell r="AG89">
            <v>1.6279999999999836E-2</v>
          </cell>
          <cell r="AH89">
            <v>16.282299999999999</v>
          </cell>
          <cell r="AI89">
            <v>16.298579999999998</v>
          </cell>
          <cell r="AJ89">
            <v>1.116766319118477E-3</v>
          </cell>
          <cell r="AK89">
            <v>1.7757142857143342E-2</v>
          </cell>
          <cell r="AL89">
            <v>15.900499999999999</v>
          </cell>
          <cell r="AM89">
            <v>15.918257142857142</v>
          </cell>
          <cell r="AN89">
            <v>1.7281332233612117E-3</v>
          </cell>
          <cell r="AO89">
            <v>1.3199999999999943E-2</v>
          </cell>
          <cell r="AP89">
            <v>7.6383000000000001</v>
          </cell>
          <cell r="AQ89">
            <v>7.6515000000000004</v>
          </cell>
          <cell r="AR89">
            <v>-5.8268884415711671E-5</v>
          </cell>
          <cell r="AS89">
            <v>-2.4199999999995705E-3</v>
          </cell>
          <cell r="AT89">
            <v>41.531599999999997</v>
          </cell>
          <cell r="AU89">
            <v>41.529179999999997</v>
          </cell>
          <cell r="AV89">
            <v>1.584790530805889E-3</v>
          </cell>
          <cell r="AW89">
            <v>5.6099999999997659E-2</v>
          </cell>
          <cell r="AX89">
            <v>35.399000000000001</v>
          </cell>
          <cell r="AY89">
            <v>35.455100000000002</v>
          </cell>
          <cell r="AZ89">
            <v>1.1264133695026051E-3</v>
          </cell>
          <cell r="BA89">
            <v>8.6428571428565394E-3</v>
          </cell>
          <cell r="BB89">
            <v>7.6729000000000003</v>
          </cell>
          <cell r="BC89">
            <v>7.6815428571428566</v>
          </cell>
        </row>
        <row r="90">
          <cell r="B90">
            <v>42</v>
          </cell>
          <cell r="C90">
            <v>12</v>
          </cell>
          <cell r="D90">
            <v>1.1290025917565247E-3</v>
          </cell>
          <cell r="E90">
            <v>6.7519999999998956E-2</v>
          </cell>
          <cell r="F90">
            <v>59.805</v>
          </cell>
          <cell r="G90">
            <v>59.872520000000002</v>
          </cell>
          <cell r="H90">
            <v>1.6346006147050258E-3</v>
          </cell>
          <cell r="I90">
            <v>0.11811999999999898</v>
          </cell>
          <cell r="J90">
            <v>72.262299999999996</v>
          </cell>
          <cell r="K90">
            <v>72.380420000000001</v>
          </cell>
          <cell r="L90">
            <v>2.4336283185840486E-3</v>
          </cell>
          <cell r="M90">
            <v>1.3199999999999878E-3</v>
          </cell>
          <cell r="N90">
            <v>0.54239999999999999</v>
          </cell>
          <cell r="O90">
            <v>0.54371999999999998</v>
          </cell>
          <cell r="P90">
            <v>7.5374193001529713E-4</v>
          </cell>
          <cell r="Q90">
            <v>8.0920000000003253E-2</v>
          </cell>
          <cell r="R90">
            <v>107.35769999999999</v>
          </cell>
          <cell r="S90">
            <v>107.43862</v>
          </cell>
          <cell r="T90">
            <v>1.5267208401695477E-3</v>
          </cell>
          <cell r="U90">
            <v>9.8799999999999957E-2</v>
          </cell>
          <cell r="V90">
            <v>46.682400000000001</v>
          </cell>
          <cell r="W90">
            <v>46.781199999999998</v>
          </cell>
          <cell r="X90">
            <v>4.0396928425270667E-4</v>
          </cell>
          <cell r="Y90">
            <v>1.8360000000001264E-2</v>
          </cell>
          <cell r="Z90">
            <v>45.448999999999998</v>
          </cell>
          <cell r="AA90">
            <v>45.467359999999999</v>
          </cell>
          <cell r="AB90">
            <v>1.4423591169767233E-3</v>
          </cell>
          <cell r="AC90">
            <v>7.0120000000000002E-2</v>
          </cell>
          <cell r="AD90">
            <v>48.614800000000002</v>
          </cell>
          <cell r="AE90">
            <v>48.684920000000005</v>
          </cell>
          <cell r="AF90">
            <v>1.0907549916166525E-3</v>
          </cell>
          <cell r="AG90">
            <v>1.7759999999999821E-2</v>
          </cell>
          <cell r="AH90">
            <v>16.282299999999999</v>
          </cell>
          <cell r="AI90">
            <v>16.300059999999998</v>
          </cell>
          <cell r="AJ90">
            <v>1.2182905299474296E-3</v>
          </cell>
          <cell r="AK90">
            <v>1.9371428571429102E-2</v>
          </cell>
          <cell r="AL90">
            <v>15.900499999999999</v>
          </cell>
          <cell r="AM90">
            <v>15.919871428571428</v>
          </cell>
          <cell r="AN90">
            <v>1.8852362436667762E-3</v>
          </cell>
          <cell r="AO90">
            <v>1.4399999999999937E-2</v>
          </cell>
          <cell r="AP90">
            <v>7.6383000000000001</v>
          </cell>
          <cell r="AQ90">
            <v>7.6527000000000003</v>
          </cell>
          <cell r="AR90">
            <v>-6.3566055726230916E-5</v>
          </cell>
          <cell r="AS90">
            <v>-2.6399999999995316E-3</v>
          </cell>
          <cell r="AT90">
            <v>41.531599999999997</v>
          </cell>
          <cell r="AU90">
            <v>41.528959999999998</v>
          </cell>
          <cell r="AV90">
            <v>1.728862397242788E-3</v>
          </cell>
          <cell r="AW90">
            <v>6.1199999999997444E-2</v>
          </cell>
          <cell r="AX90">
            <v>35.399000000000001</v>
          </cell>
          <cell r="AY90">
            <v>35.4602</v>
          </cell>
          <cell r="AZ90">
            <v>1.2288145849119329E-3</v>
          </cell>
          <cell r="BA90">
            <v>9.4285714285707711E-3</v>
          </cell>
          <cell r="BB90">
            <v>7.6729000000000003</v>
          </cell>
          <cell r="BC90">
            <v>7.6823285714285712</v>
          </cell>
        </row>
        <row r="91">
          <cell r="B91">
            <v>43</v>
          </cell>
          <cell r="C91">
            <v>13</v>
          </cell>
          <cell r="D91">
            <v>1.2230861410695683E-3</v>
          </cell>
          <cell r="E91">
            <v>7.3146666666665541E-2</v>
          </cell>
          <cell r="F91">
            <v>59.805</v>
          </cell>
          <cell r="G91">
            <v>59.878146666666666</v>
          </cell>
          <cell r="H91">
            <v>1.7708173325971111E-3</v>
          </cell>
          <cell r="I91">
            <v>0.12796333333333224</v>
          </cell>
          <cell r="J91">
            <v>72.262299999999996</v>
          </cell>
          <cell r="K91">
            <v>72.390263333333323</v>
          </cell>
          <cell r="L91">
            <v>2.6364306784660524E-3</v>
          </cell>
          <cell r="M91">
            <v>1.4299999999999868E-3</v>
          </cell>
          <cell r="N91">
            <v>0.54239999999999999</v>
          </cell>
          <cell r="O91">
            <v>0.54383000000000004</v>
          </cell>
          <cell r="P91">
            <v>8.1655375751657185E-4</v>
          </cell>
          <cell r="Q91">
            <v>8.7663333333336854E-2</v>
          </cell>
          <cell r="R91">
            <v>107.35769999999999</v>
          </cell>
          <cell r="S91">
            <v>107.44536333333333</v>
          </cell>
          <cell r="T91">
            <v>1.6539475768503433E-3</v>
          </cell>
          <cell r="U91">
            <v>0.10703333333333329</v>
          </cell>
          <cell r="V91">
            <v>46.682400000000001</v>
          </cell>
          <cell r="W91">
            <v>46.789433333333335</v>
          </cell>
          <cell r="X91">
            <v>4.3763339127376555E-4</v>
          </cell>
          <cell r="Y91">
            <v>1.9890000000001368E-2</v>
          </cell>
          <cell r="Z91">
            <v>45.448999999999998</v>
          </cell>
          <cell r="AA91">
            <v>45.468890000000002</v>
          </cell>
          <cell r="AB91">
            <v>1.5625557100581167E-3</v>
          </cell>
          <cell r="AC91">
            <v>7.5963333333333341E-2</v>
          </cell>
          <cell r="AD91">
            <v>48.614800000000002</v>
          </cell>
          <cell r="AE91">
            <v>48.690763333333337</v>
          </cell>
          <cell r="AF91">
            <v>1.1816512409180402E-3</v>
          </cell>
          <cell r="AG91">
            <v>1.9239999999999806E-2</v>
          </cell>
          <cell r="AH91">
            <v>16.282299999999999</v>
          </cell>
          <cell r="AI91">
            <v>16.301539999999999</v>
          </cell>
          <cell r="AJ91">
            <v>1.319814740776382E-3</v>
          </cell>
          <cell r="AK91">
            <v>2.0985714285714861E-2</v>
          </cell>
          <cell r="AL91">
            <v>15.900499999999999</v>
          </cell>
          <cell r="AM91">
            <v>15.921485714285714</v>
          </cell>
          <cell r="AN91">
            <v>2.0423392639723407E-3</v>
          </cell>
          <cell r="AO91">
            <v>1.5599999999999932E-2</v>
          </cell>
          <cell r="AP91">
            <v>7.6383000000000001</v>
          </cell>
          <cell r="AQ91">
            <v>7.6539000000000001</v>
          </cell>
          <cell r="AR91">
            <v>-6.8863227036750166E-5</v>
          </cell>
          <cell r="AS91">
            <v>-2.8599999999994927E-3</v>
          </cell>
          <cell r="AT91">
            <v>41.531599999999997</v>
          </cell>
          <cell r="AU91">
            <v>41.528739999999999</v>
          </cell>
          <cell r="AV91">
            <v>1.872934263679687E-3</v>
          </cell>
          <cell r="AW91">
            <v>6.6299999999997236E-2</v>
          </cell>
          <cell r="AX91">
            <v>35.399000000000001</v>
          </cell>
          <cell r="AY91">
            <v>35.465299999999999</v>
          </cell>
          <cell r="AZ91">
            <v>1.3312158003212606E-3</v>
          </cell>
          <cell r="BA91">
            <v>1.0214285714285001E-2</v>
          </cell>
          <cell r="BB91">
            <v>7.6729000000000003</v>
          </cell>
          <cell r="BC91">
            <v>7.6831142857142849</v>
          </cell>
        </row>
        <row r="92">
          <cell r="B92">
            <v>44</v>
          </cell>
          <cell r="C92">
            <v>14</v>
          </cell>
          <cell r="D92">
            <v>1.3171696903826122E-3</v>
          </cell>
          <cell r="E92">
            <v>7.8773333333332113E-2</v>
          </cell>
          <cell r="F92">
            <v>59.805</v>
          </cell>
          <cell r="G92">
            <v>59.88377333333333</v>
          </cell>
          <cell r="H92">
            <v>1.9070340504891968E-3</v>
          </cell>
          <cell r="I92">
            <v>0.13780666666666547</v>
          </cell>
          <cell r="J92">
            <v>72.262299999999996</v>
          </cell>
          <cell r="K92">
            <v>72.400106666666659</v>
          </cell>
          <cell r="L92">
            <v>2.8392330383480565E-3</v>
          </cell>
          <cell r="M92">
            <v>1.5399999999999858E-3</v>
          </cell>
          <cell r="N92">
            <v>0.54239999999999999</v>
          </cell>
          <cell r="O92">
            <v>0.54393999999999998</v>
          </cell>
          <cell r="P92">
            <v>8.7936558501784667E-4</v>
          </cell>
          <cell r="Q92">
            <v>9.4406666666670469E-2</v>
          </cell>
          <cell r="R92">
            <v>107.35769999999999</v>
          </cell>
          <cell r="S92">
            <v>107.45210666666667</v>
          </cell>
          <cell r="T92">
            <v>1.7811743135311389E-3</v>
          </cell>
          <cell r="U92">
            <v>0.11526666666666661</v>
          </cell>
          <cell r="V92">
            <v>46.682400000000001</v>
          </cell>
          <cell r="W92">
            <v>46.797666666666665</v>
          </cell>
          <cell r="X92">
            <v>4.7129749829482443E-4</v>
          </cell>
          <cell r="Y92">
            <v>2.1420000000001476E-2</v>
          </cell>
          <cell r="Z92">
            <v>45.448999999999998</v>
          </cell>
          <cell r="AA92">
            <v>45.470419999999997</v>
          </cell>
          <cell r="AB92">
            <v>1.6827523031395103E-3</v>
          </cell>
          <cell r="AC92">
            <v>8.1806666666666666E-2</v>
          </cell>
          <cell r="AD92">
            <v>48.614800000000002</v>
          </cell>
          <cell r="AE92">
            <v>48.696606666666668</v>
          </cell>
          <cell r="AF92">
            <v>1.2725474902194279E-3</v>
          </cell>
          <cell r="AG92">
            <v>2.0719999999999791E-2</v>
          </cell>
          <cell r="AH92">
            <v>16.282299999999999</v>
          </cell>
          <cell r="AI92">
            <v>16.30302</v>
          </cell>
          <cell r="AJ92">
            <v>1.4213389516053345E-3</v>
          </cell>
          <cell r="AK92">
            <v>2.260000000000062E-2</v>
          </cell>
          <cell r="AL92">
            <v>15.900499999999999</v>
          </cell>
          <cell r="AM92">
            <v>15.9231</v>
          </cell>
          <cell r="AN92">
            <v>2.1994422842779057E-3</v>
          </cell>
          <cell r="AO92">
            <v>1.6799999999999926E-2</v>
          </cell>
          <cell r="AP92">
            <v>7.6383000000000001</v>
          </cell>
          <cell r="AQ92">
            <v>7.6551</v>
          </cell>
          <cell r="AR92">
            <v>-7.4160398347269404E-5</v>
          </cell>
          <cell r="AS92">
            <v>-3.0799999999994534E-3</v>
          </cell>
          <cell r="AT92">
            <v>41.531599999999997</v>
          </cell>
          <cell r="AU92">
            <v>41.52852</v>
          </cell>
          <cell r="AV92">
            <v>2.0170061301165859E-3</v>
          </cell>
          <cell r="AW92">
            <v>7.1399999999997021E-2</v>
          </cell>
          <cell r="AX92">
            <v>35.399000000000001</v>
          </cell>
          <cell r="AY92">
            <v>35.470399999999998</v>
          </cell>
          <cell r="AZ92">
            <v>1.4336170157305884E-3</v>
          </cell>
          <cell r="BA92">
            <v>1.0999999999999233E-2</v>
          </cell>
          <cell r="BB92">
            <v>7.6729000000000003</v>
          </cell>
          <cell r="BC92">
            <v>7.6838999999999995</v>
          </cell>
        </row>
        <row r="93">
          <cell r="B93">
            <v>45</v>
          </cell>
          <cell r="C93">
            <v>15</v>
          </cell>
          <cell r="D93">
            <v>1.4112532396956558E-3</v>
          </cell>
          <cell r="E93">
            <v>8.4399999999998698E-2</v>
          </cell>
          <cell r="F93">
            <v>59.805</v>
          </cell>
          <cell r="G93">
            <v>59.889399999999995</v>
          </cell>
          <cell r="H93">
            <v>2.0432507683812821E-3</v>
          </cell>
          <cell r="I93">
            <v>0.14764999999999873</v>
          </cell>
          <cell r="J93">
            <v>72.262299999999996</v>
          </cell>
          <cell r="K93">
            <v>72.409949999999995</v>
          </cell>
          <cell r="L93">
            <v>3.0420353982300607E-3</v>
          </cell>
          <cell r="M93">
            <v>1.6499999999999848E-3</v>
          </cell>
          <cell r="N93">
            <v>0.54239999999999999</v>
          </cell>
          <cell r="O93">
            <v>0.54404999999999992</v>
          </cell>
          <cell r="P93">
            <v>9.4217741251912139E-4</v>
          </cell>
          <cell r="Q93">
            <v>0.10115000000000407</v>
          </cell>
          <cell r="R93">
            <v>107.35769999999999</v>
          </cell>
          <cell r="S93">
            <v>107.45885</v>
          </cell>
          <cell r="T93">
            <v>1.9084010502119345E-3</v>
          </cell>
          <cell r="U93">
            <v>0.12349999999999994</v>
          </cell>
          <cell r="V93">
            <v>46.682400000000001</v>
          </cell>
          <cell r="W93">
            <v>46.805900000000001</v>
          </cell>
          <cell r="X93">
            <v>5.0496160531588331E-4</v>
          </cell>
          <cell r="Y93">
            <v>2.295000000000158E-2</v>
          </cell>
          <cell r="Z93">
            <v>45.448999999999998</v>
          </cell>
          <cell r="AA93">
            <v>45.47195</v>
          </cell>
          <cell r="AB93">
            <v>1.8029488962209039E-3</v>
          </cell>
          <cell r="AC93">
            <v>8.7650000000000006E-2</v>
          </cell>
          <cell r="AD93">
            <v>48.614800000000002</v>
          </cell>
          <cell r="AE93">
            <v>48.702449999999999</v>
          </cell>
          <cell r="AF93">
            <v>1.3634437395208157E-3</v>
          </cell>
          <cell r="AG93">
            <v>2.2199999999999775E-2</v>
          </cell>
          <cell r="AH93">
            <v>16.282299999999999</v>
          </cell>
          <cell r="AI93">
            <v>16.304499999999997</v>
          </cell>
          <cell r="AJ93">
            <v>1.5228631624342871E-3</v>
          </cell>
          <cell r="AK93">
            <v>2.4214285714286379E-2</v>
          </cell>
          <cell r="AL93">
            <v>15.900499999999999</v>
          </cell>
          <cell r="AM93">
            <v>15.924714285714286</v>
          </cell>
          <cell r="AN93">
            <v>2.3565453045834707E-3</v>
          </cell>
          <cell r="AO93">
            <v>1.7999999999999922E-2</v>
          </cell>
          <cell r="AP93">
            <v>7.6383000000000001</v>
          </cell>
          <cell r="AQ93">
            <v>7.6562999999999999</v>
          </cell>
          <cell r="AR93">
            <v>-7.9457569657788641E-5</v>
          </cell>
          <cell r="AS93">
            <v>-3.2999999999994145E-3</v>
          </cell>
          <cell r="AT93">
            <v>41.531599999999997</v>
          </cell>
          <cell r="AU93">
            <v>41.528300000000002</v>
          </cell>
          <cell r="AV93">
            <v>2.1610779965534851E-3</v>
          </cell>
          <cell r="AW93">
            <v>7.6499999999996807E-2</v>
          </cell>
          <cell r="AX93">
            <v>35.399000000000001</v>
          </cell>
          <cell r="AY93">
            <v>35.475499999999997</v>
          </cell>
          <cell r="AZ93">
            <v>1.5360182311399161E-3</v>
          </cell>
          <cell r="BA93">
            <v>1.1785714285713464E-2</v>
          </cell>
          <cell r="BB93">
            <v>7.6729000000000003</v>
          </cell>
          <cell r="BC93">
            <v>7.6846857142857141</v>
          </cell>
        </row>
        <row r="94">
          <cell r="B94">
            <v>46</v>
          </cell>
          <cell r="C94">
            <v>16</v>
          </cell>
          <cell r="D94">
            <v>1.5053367890086994E-3</v>
          </cell>
          <cell r="E94">
            <v>9.0026666666665284E-2</v>
          </cell>
          <cell r="F94">
            <v>59.805</v>
          </cell>
          <cell r="G94">
            <v>59.895026666666666</v>
          </cell>
          <cell r="H94">
            <v>2.1794674862733675E-3</v>
          </cell>
          <cell r="I94">
            <v>0.15749333333333199</v>
          </cell>
          <cell r="J94">
            <v>72.262299999999996</v>
          </cell>
          <cell r="K94">
            <v>72.419793333333331</v>
          </cell>
          <cell r="L94">
            <v>3.2448377581120649E-3</v>
          </cell>
          <cell r="M94">
            <v>1.7599999999999838E-3</v>
          </cell>
          <cell r="N94">
            <v>0.54239999999999999</v>
          </cell>
          <cell r="O94">
            <v>0.54415999999999998</v>
          </cell>
          <cell r="P94">
            <v>1.0049892400203961E-3</v>
          </cell>
          <cell r="Q94">
            <v>0.10789333333333767</v>
          </cell>
          <cell r="R94">
            <v>107.35769999999999</v>
          </cell>
          <cell r="S94">
            <v>107.46559333333333</v>
          </cell>
          <cell r="T94">
            <v>2.0356277868927302E-3</v>
          </cell>
          <cell r="U94">
            <v>0.13173333333333329</v>
          </cell>
          <cell r="V94">
            <v>46.682400000000001</v>
          </cell>
          <cell r="W94">
            <v>46.814133333333338</v>
          </cell>
          <cell r="X94">
            <v>5.3862571233694219E-4</v>
          </cell>
          <cell r="Y94">
            <v>2.4480000000001684E-2</v>
          </cell>
          <cell r="Z94">
            <v>45.448999999999998</v>
          </cell>
          <cell r="AA94">
            <v>45.473480000000002</v>
          </cell>
          <cell r="AB94">
            <v>1.9231454893022975E-3</v>
          </cell>
          <cell r="AC94">
            <v>9.3493333333333345E-2</v>
          </cell>
          <cell r="AD94">
            <v>48.614800000000002</v>
          </cell>
          <cell r="AE94">
            <v>48.708293333333337</v>
          </cell>
          <cell r="AF94">
            <v>1.4543399888222034E-3</v>
          </cell>
          <cell r="AG94">
            <v>2.367999999999976E-2</v>
          </cell>
          <cell r="AH94">
            <v>16.282299999999999</v>
          </cell>
          <cell r="AI94">
            <v>16.305979999999998</v>
          </cell>
          <cell r="AJ94">
            <v>1.6243873732632395E-3</v>
          </cell>
          <cell r="AK94">
            <v>2.5828571428572138E-2</v>
          </cell>
          <cell r="AL94">
            <v>15.900499999999999</v>
          </cell>
          <cell r="AM94">
            <v>15.926328571428572</v>
          </cell>
          <cell r="AN94">
            <v>2.5136483248890352E-3</v>
          </cell>
          <cell r="AO94">
            <v>1.9199999999999915E-2</v>
          </cell>
          <cell r="AP94">
            <v>7.6383000000000001</v>
          </cell>
          <cell r="AQ94">
            <v>7.6574999999999998</v>
          </cell>
          <cell r="AR94">
            <v>-8.4754740968307878E-5</v>
          </cell>
          <cell r="AS94">
            <v>-3.5199999999993756E-3</v>
          </cell>
          <cell r="AT94">
            <v>41.531599999999997</v>
          </cell>
          <cell r="AU94">
            <v>41.528079999999996</v>
          </cell>
          <cell r="AV94">
            <v>2.3051498629903838E-3</v>
          </cell>
          <cell r="AW94">
            <v>8.1599999999996592E-2</v>
          </cell>
          <cell r="AX94">
            <v>35.399000000000001</v>
          </cell>
          <cell r="AY94">
            <v>35.480599999999995</v>
          </cell>
          <cell r="AZ94">
            <v>1.6384194465492439E-3</v>
          </cell>
          <cell r="BA94">
            <v>1.2571428571427694E-2</v>
          </cell>
          <cell r="BB94">
            <v>7.6729000000000003</v>
          </cell>
          <cell r="BC94">
            <v>7.6854714285714278</v>
          </cell>
        </row>
        <row r="95">
          <cell r="B95">
            <v>47</v>
          </cell>
          <cell r="C95">
            <v>17</v>
          </cell>
          <cell r="D95">
            <v>1.5994203383217433E-3</v>
          </cell>
          <cell r="E95">
            <v>9.5653333333331855E-2</v>
          </cell>
          <cell r="F95">
            <v>59.805</v>
          </cell>
          <cell r="G95">
            <v>59.900653333333331</v>
          </cell>
          <cell r="H95">
            <v>2.3156842041654534E-3</v>
          </cell>
          <cell r="I95">
            <v>0.16733666666666522</v>
          </cell>
          <cell r="J95">
            <v>72.262299999999996</v>
          </cell>
          <cell r="K95">
            <v>72.429636666666667</v>
          </cell>
          <cell r="L95">
            <v>3.4476401179940686E-3</v>
          </cell>
          <cell r="M95">
            <v>1.8699999999999828E-3</v>
          </cell>
          <cell r="N95">
            <v>0.54239999999999999</v>
          </cell>
          <cell r="O95">
            <v>0.54427000000000003</v>
          </cell>
          <cell r="P95">
            <v>1.0678010675216709E-3</v>
          </cell>
          <cell r="Q95">
            <v>0.11463666666667129</v>
          </cell>
          <cell r="R95">
            <v>107.35769999999999</v>
          </cell>
          <cell r="S95">
            <v>107.47233666666666</v>
          </cell>
          <cell r="T95">
            <v>2.1628545235735258E-3</v>
          </cell>
          <cell r="U95">
            <v>0.1399666666666666</v>
          </cell>
          <cell r="V95">
            <v>46.682400000000001</v>
          </cell>
          <cell r="W95">
            <v>46.822366666666667</v>
          </cell>
          <cell r="X95">
            <v>5.7228981935800107E-4</v>
          </cell>
          <cell r="Y95">
            <v>2.6010000000001792E-2</v>
          </cell>
          <cell r="Z95">
            <v>45.448999999999998</v>
          </cell>
          <cell r="AA95">
            <v>45.475009999999997</v>
          </cell>
          <cell r="AB95">
            <v>2.0433420823836911E-3</v>
          </cell>
          <cell r="AC95">
            <v>9.933666666666667E-2</v>
          </cell>
          <cell r="AD95">
            <v>48.614800000000002</v>
          </cell>
          <cell r="AE95">
            <v>48.714136666666668</v>
          </cell>
          <cell r="AF95">
            <v>1.5452362381235911E-3</v>
          </cell>
          <cell r="AG95">
            <v>2.5159999999999745E-2</v>
          </cell>
          <cell r="AH95">
            <v>16.282299999999999</v>
          </cell>
          <cell r="AI95">
            <v>16.307459999999999</v>
          </cell>
          <cell r="AJ95">
            <v>1.7259115840921918E-3</v>
          </cell>
          <cell r="AK95">
            <v>2.7442857142857897E-2</v>
          </cell>
          <cell r="AL95">
            <v>15.900499999999999</v>
          </cell>
          <cell r="AM95">
            <v>15.927942857142858</v>
          </cell>
          <cell r="AN95">
            <v>2.6707513451945998E-3</v>
          </cell>
          <cell r="AO95">
            <v>2.0399999999999911E-2</v>
          </cell>
          <cell r="AP95">
            <v>7.6383000000000001</v>
          </cell>
          <cell r="AQ95">
            <v>7.6586999999999996</v>
          </cell>
          <cell r="AR95">
            <v>-9.0051912278827129E-5</v>
          </cell>
          <cell r="AS95">
            <v>-3.7399999999993363E-3</v>
          </cell>
          <cell r="AT95">
            <v>41.531599999999997</v>
          </cell>
          <cell r="AU95">
            <v>41.527859999999997</v>
          </cell>
          <cell r="AV95">
            <v>2.449221729427283E-3</v>
          </cell>
          <cell r="AW95">
            <v>8.6699999999996377E-2</v>
          </cell>
          <cell r="AX95">
            <v>35.399000000000001</v>
          </cell>
          <cell r="AY95">
            <v>35.485699999999994</v>
          </cell>
          <cell r="AZ95">
            <v>1.7408206619585716E-3</v>
          </cell>
          <cell r="BA95">
            <v>1.3357142857141926E-2</v>
          </cell>
          <cell r="BB95">
            <v>7.6729000000000003</v>
          </cell>
          <cell r="BC95">
            <v>7.6862571428571425</v>
          </cell>
        </row>
        <row r="96">
          <cell r="B96">
            <v>48</v>
          </cell>
          <cell r="C96">
            <v>18</v>
          </cell>
          <cell r="D96">
            <v>1.6935038876347869E-3</v>
          </cell>
          <cell r="E96">
            <v>0.10127999999999844</v>
          </cell>
          <cell r="F96">
            <v>59.805</v>
          </cell>
          <cell r="G96">
            <v>59.906279999999995</v>
          </cell>
          <cell r="H96">
            <v>2.4519009220575387E-3</v>
          </cell>
          <cell r="I96">
            <v>0.17717999999999848</v>
          </cell>
          <cell r="J96">
            <v>72.262299999999996</v>
          </cell>
          <cell r="K96">
            <v>72.439479999999989</v>
          </cell>
          <cell r="L96">
            <v>3.6504424778760732E-3</v>
          </cell>
          <cell r="M96">
            <v>1.9799999999999818E-3</v>
          </cell>
          <cell r="N96">
            <v>0.54239999999999999</v>
          </cell>
          <cell r="O96">
            <v>0.54437999999999998</v>
          </cell>
          <cell r="P96">
            <v>1.1306128950229455E-3</v>
          </cell>
          <cell r="Q96">
            <v>0.12138000000000489</v>
          </cell>
          <cell r="R96">
            <v>107.35769999999999</v>
          </cell>
          <cell r="S96">
            <v>107.47908</v>
          </cell>
          <cell r="T96">
            <v>2.2900812602543218E-3</v>
          </cell>
          <cell r="U96">
            <v>0.14819999999999994</v>
          </cell>
          <cell r="V96">
            <v>46.682400000000001</v>
          </cell>
          <cell r="W96">
            <v>46.830600000000004</v>
          </cell>
          <cell r="X96">
            <v>6.0595392637905995E-4</v>
          </cell>
          <cell r="Y96">
            <v>2.7540000000001896E-2</v>
          </cell>
          <cell r="Z96">
            <v>45.448999999999998</v>
          </cell>
          <cell r="AA96">
            <v>45.47654</v>
          </cell>
          <cell r="AB96">
            <v>2.1635386754650849E-3</v>
          </cell>
          <cell r="AC96">
            <v>0.10518000000000001</v>
          </cell>
          <cell r="AD96">
            <v>48.614800000000002</v>
          </cell>
          <cell r="AE96">
            <v>48.71998</v>
          </cell>
          <cell r="AF96">
            <v>1.6361324874249786E-3</v>
          </cell>
          <cell r="AG96">
            <v>2.663999999999973E-2</v>
          </cell>
          <cell r="AH96">
            <v>16.282299999999999</v>
          </cell>
          <cell r="AI96">
            <v>16.30894</v>
          </cell>
          <cell r="AJ96">
            <v>1.8274357949211444E-3</v>
          </cell>
          <cell r="AK96">
            <v>2.9057142857143652E-2</v>
          </cell>
          <cell r="AL96">
            <v>15.900499999999999</v>
          </cell>
          <cell r="AM96">
            <v>15.929557142857142</v>
          </cell>
          <cell r="AN96">
            <v>2.8278543655001647E-3</v>
          </cell>
          <cell r="AO96">
            <v>2.1599999999999904E-2</v>
          </cell>
          <cell r="AP96">
            <v>7.6383000000000001</v>
          </cell>
          <cell r="AQ96">
            <v>7.6599000000000004</v>
          </cell>
          <cell r="AR96">
            <v>-9.5349083589346367E-5</v>
          </cell>
          <cell r="AS96">
            <v>-3.9599999999992974E-3</v>
          </cell>
          <cell r="AT96">
            <v>41.531599999999997</v>
          </cell>
          <cell r="AU96">
            <v>41.527639999999998</v>
          </cell>
          <cell r="AV96">
            <v>2.5932935958641818E-3</v>
          </cell>
          <cell r="AW96">
            <v>9.1799999999996176E-2</v>
          </cell>
          <cell r="AX96">
            <v>35.399000000000001</v>
          </cell>
          <cell r="AY96">
            <v>35.4908</v>
          </cell>
          <cell r="AZ96">
            <v>1.8432218773678994E-3</v>
          </cell>
          <cell r="BA96">
            <v>1.4142857142856156E-2</v>
          </cell>
          <cell r="BB96">
            <v>7.6729000000000003</v>
          </cell>
          <cell r="BC96">
            <v>7.6870428571428562</v>
          </cell>
        </row>
        <row r="97">
          <cell r="B97">
            <v>49</v>
          </cell>
          <cell r="C97">
            <v>19</v>
          </cell>
          <cell r="D97">
            <v>1.7875874369478308E-3</v>
          </cell>
          <cell r="E97">
            <v>0.10690666666666501</v>
          </cell>
          <cell r="F97">
            <v>59.805</v>
          </cell>
          <cell r="G97">
            <v>59.911906666666667</v>
          </cell>
          <cell r="H97">
            <v>2.5881176399496237E-3</v>
          </cell>
          <cell r="I97">
            <v>0.18702333333333171</v>
          </cell>
          <cell r="J97">
            <v>72.262299999999996</v>
          </cell>
          <cell r="K97">
            <v>72.449323333333325</v>
          </cell>
          <cell r="L97">
            <v>3.8532448377580769E-3</v>
          </cell>
          <cell r="M97">
            <v>2.0899999999999808E-3</v>
          </cell>
          <cell r="N97">
            <v>0.54239999999999999</v>
          </cell>
          <cell r="O97">
            <v>0.54448999999999992</v>
          </cell>
          <cell r="P97">
            <v>1.1934247225242204E-3</v>
          </cell>
          <cell r="Q97">
            <v>0.1281233333333385</v>
          </cell>
          <cell r="R97">
            <v>107.35769999999999</v>
          </cell>
          <cell r="S97">
            <v>107.48582333333333</v>
          </cell>
          <cell r="T97">
            <v>2.417307996935117E-3</v>
          </cell>
          <cell r="U97">
            <v>0.15643333333333326</v>
          </cell>
          <cell r="V97">
            <v>46.682400000000001</v>
          </cell>
          <cell r="W97">
            <v>46.838833333333334</v>
          </cell>
          <cell r="X97">
            <v>6.3961803340011893E-4</v>
          </cell>
          <cell r="Y97">
            <v>2.9070000000002E-2</v>
          </cell>
          <cell r="Z97">
            <v>45.448999999999998</v>
          </cell>
          <cell r="AA97">
            <v>45.478070000000002</v>
          </cell>
          <cell r="AB97">
            <v>2.2837352685464783E-3</v>
          </cell>
          <cell r="AC97">
            <v>0.11102333333333333</v>
          </cell>
          <cell r="AD97">
            <v>48.614800000000002</v>
          </cell>
          <cell r="AE97">
            <v>48.725823333333338</v>
          </cell>
          <cell r="AF97">
            <v>1.7270287367263666E-3</v>
          </cell>
          <cell r="AG97">
            <v>2.8119999999999715E-2</v>
          </cell>
          <cell r="AH97">
            <v>16.282299999999999</v>
          </cell>
          <cell r="AI97">
            <v>16.310420000000001</v>
          </cell>
          <cell r="AJ97">
            <v>1.928960005750097E-3</v>
          </cell>
          <cell r="AK97">
            <v>3.0671428571429411E-2</v>
          </cell>
          <cell r="AL97">
            <v>15.900499999999999</v>
          </cell>
          <cell r="AM97">
            <v>15.931171428571428</v>
          </cell>
          <cell r="AN97">
            <v>2.9849573858057288E-3</v>
          </cell>
          <cell r="AO97">
            <v>2.27999999999999E-2</v>
          </cell>
          <cell r="AP97">
            <v>7.6383000000000001</v>
          </cell>
          <cell r="AQ97">
            <v>7.6611000000000002</v>
          </cell>
          <cell r="AR97">
            <v>-1.006462548998656E-4</v>
          </cell>
          <cell r="AS97">
            <v>-4.1799999999992581E-3</v>
          </cell>
          <cell r="AT97">
            <v>41.531599999999997</v>
          </cell>
          <cell r="AU97">
            <v>41.527419999999999</v>
          </cell>
          <cell r="AV97">
            <v>2.7373654623010809E-3</v>
          </cell>
          <cell r="AW97">
            <v>9.6899999999995962E-2</v>
          </cell>
          <cell r="AX97">
            <v>35.399000000000001</v>
          </cell>
          <cell r="AY97">
            <v>35.495899999999999</v>
          </cell>
          <cell r="AZ97">
            <v>1.9456230927772271E-3</v>
          </cell>
          <cell r="BA97">
            <v>1.4928571428570387E-2</v>
          </cell>
          <cell r="BB97">
            <v>7.6729000000000003</v>
          </cell>
          <cell r="BC97">
            <v>7.6878285714285708</v>
          </cell>
        </row>
        <row r="98">
          <cell r="B98">
            <v>50</v>
          </cell>
          <cell r="C98">
            <v>20</v>
          </cell>
          <cell r="D98">
            <v>1.8816709862608744E-3</v>
          </cell>
          <cell r="E98">
            <v>0.1125333333333316</v>
          </cell>
          <cell r="F98">
            <v>59.805</v>
          </cell>
          <cell r="G98">
            <v>59.917533333333331</v>
          </cell>
          <cell r="H98">
            <v>2.7243343578417095E-3</v>
          </cell>
          <cell r="I98">
            <v>0.19686666666666497</v>
          </cell>
          <cell r="J98">
            <v>72.262299999999996</v>
          </cell>
          <cell r="K98">
            <v>72.459166666666661</v>
          </cell>
          <cell r="L98">
            <v>4.0560471976400806E-3</v>
          </cell>
          <cell r="M98">
            <v>2.1999999999999797E-3</v>
          </cell>
          <cell r="N98">
            <v>0.54239999999999999</v>
          </cell>
          <cell r="O98">
            <v>0.54459999999999997</v>
          </cell>
          <cell r="P98">
            <v>1.2562365500254952E-3</v>
          </cell>
          <cell r="Q98">
            <v>0.1348666666666721</v>
          </cell>
          <cell r="R98">
            <v>107.35769999999999</v>
          </cell>
          <cell r="S98">
            <v>107.49256666666666</v>
          </cell>
          <cell r="T98">
            <v>2.5445347336159126E-3</v>
          </cell>
          <cell r="U98">
            <v>0.1646666666666666</v>
          </cell>
          <cell r="V98">
            <v>46.682400000000001</v>
          </cell>
          <cell r="W98">
            <v>46.84706666666667</v>
          </cell>
          <cell r="X98">
            <v>6.7328214042117771E-4</v>
          </cell>
          <cell r="Y98">
            <v>3.0600000000002108E-2</v>
          </cell>
          <cell r="Z98">
            <v>45.448999999999998</v>
          </cell>
          <cell r="AA98">
            <v>45.479599999999998</v>
          </cell>
          <cell r="AB98">
            <v>2.4039318616278717E-3</v>
          </cell>
          <cell r="AC98">
            <v>0.11686666666666667</v>
          </cell>
          <cell r="AD98">
            <v>48.614800000000002</v>
          </cell>
          <cell r="AE98">
            <v>48.731666666666669</v>
          </cell>
          <cell r="AF98">
            <v>1.8179249860277543E-3</v>
          </cell>
          <cell r="AG98">
            <v>2.9599999999999699E-2</v>
          </cell>
          <cell r="AH98">
            <v>16.282299999999999</v>
          </cell>
          <cell r="AI98">
            <v>16.311899999999998</v>
          </cell>
          <cell r="AJ98">
            <v>2.0304842165790493E-3</v>
          </cell>
          <cell r="AK98">
            <v>3.2285714285715174E-2</v>
          </cell>
          <cell r="AL98">
            <v>15.900499999999999</v>
          </cell>
          <cell r="AM98">
            <v>15.932785714285714</v>
          </cell>
          <cell r="AN98">
            <v>3.1420604061112938E-3</v>
          </cell>
          <cell r="AO98">
            <v>2.3999999999999893E-2</v>
          </cell>
          <cell r="AP98">
            <v>7.6383000000000001</v>
          </cell>
          <cell r="AQ98">
            <v>7.6623000000000001</v>
          </cell>
          <cell r="AR98">
            <v>-1.0594342621038484E-4</v>
          </cell>
          <cell r="AS98">
            <v>-4.3999999999992196E-3</v>
          </cell>
          <cell r="AT98">
            <v>41.531599999999997</v>
          </cell>
          <cell r="AU98">
            <v>41.527200000000001</v>
          </cell>
          <cell r="AV98">
            <v>2.8814373287379797E-3</v>
          </cell>
          <cell r="AW98">
            <v>0.10199999999999575</v>
          </cell>
          <cell r="AX98">
            <v>35.399000000000001</v>
          </cell>
          <cell r="AY98">
            <v>35.500999999999998</v>
          </cell>
          <cell r="AZ98">
            <v>2.0480243081865547E-3</v>
          </cell>
          <cell r="BA98">
            <v>1.5714285714284619E-2</v>
          </cell>
          <cell r="BB98">
            <v>7.6729000000000003</v>
          </cell>
          <cell r="BC98">
            <v>7.6886142857142845</v>
          </cell>
        </row>
        <row r="99">
          <cell r="B99">
            <v>51</v>
          </cell>
          <cell r="C99">
            <v>21</v>
          </cell>
          <cell r="D99">
            <v>1.9757545355739178E-3</v>
          </cell>
          <cell r="E99">
            <v>0.11815999999999818</v>
          </cell>
          <cell r="F99">
            <v>59.805</v>
          </cell>
          <cell r="G99">
            <v>59.923159999999996</v>
          </cell>
          <cell r="H99">
            <v>2.8605510757337953E-3</v>
          </cell>
          <cell r="I99">
            <v>0.20670999999999823</v>
          </cell>
          <cell r="J99">
            <v>72.262299999999996</v>
          </cell>
          <cell r="K99">
            <v>72.469009999999997</v>
          </cell>
          <cell r="L99">
            <v>4.2588495575220844E-3</v>
          </cell>
          <cell r="M99">
            <v>2.3099999999999787E-3</v>
          </cell>
          <cell r="N99">
            <v>0.54239999999999999</v>
          </cell>
          <cell r="O99">
            <v>0.54471000000000003</v>
          </cell>
          <cell r="P99">
            <v>1.31904837752677E-3</v>
          </cell>
          <cell r="Q99">
            <v>0.1416100000000057</v>
          </cell>
          <cell r="R99">
            <v>107.35769999999999</v>
          </cell>
          <cell r="S99">
            <v>107.49930999999999</v>
          </cell>
          <cell r="T99">
            <v>2.6717614702967082E-3</v>
          </cell>
          <cell r="U99">
            <v>0.17289999999999991</v>
          </cell>
          <cell r="V99">
            <v>46.682400000000001</v>
          </cell>
          <cell r="W99">
            <v>46.8553</v>
          </cell>
          <cell r="X99">
            <v>7.0694624744223659E-4</v>
          </cell>
          <cell r="Y99">
            <v>3.2130000000002212E-2</v>
          </cell>
          <cell r="Z99">
            <v>45.448999999999998</v>
          </cell>
          <cell r="AA99">
            <v>45.48113</v>
          </cell>
          <cell r="AB99">
            <v>2.5241284547092655E-3</v>
          </cell>
          <cell r="AC99">
            <v>0.12271000000000001</v>
          </cell>
          <cell r="AD99">
            <v>48.614800000000002</v>
          </cell>
          <cell r="AE99">
            <v>48.73751</v>
          </cell>
          <cell r="AF99">
            <v>1.908821235329142E-3</v>
          </cell>
          <cell r="AG99">
            <v>3.1079999999999684E-2</v>
          </cell>
          <cell r="AH99">
            <v>16.282299999999999</v>
          </cell>
          <cell r="AI99">
            <v>16.313379999999999</v>
          </cell>
          <cell r="AJ99">
            <v>2.1320084274080017E-3</v>
          </cell>
          <cell r="AK99">
            <v>3.3900000000000929E-2</v>
          </cell>
          <cell r="AL99">
            <v>15.900499999999999</v>
          </cell>
          <cell r="AM99">
            <v>15.9344</v>
          </cell>
          <cell r="AN99">
            <v>3.2991634264168583E-3</v>
          </cell>
          <cell r="AO99">
            <v>2.5199999999999889E-2</v>
          </cell>
          <cell r="AP99">
            <v>7.6383000000000001</v>
          </cell>
          <cell r="AQ99">
            <v>7.6635</v>
          </cell>
          <cell r="AR99">
            <v>-1.1124059752090411E-4</v>
          </cell>
          <cell r="AS99">
            <v>-4.6199999999991803E-3</v>
          </cell>
          <cell r="AT99">
            <v>41.531599999999997</v>
          </cell>
          <cell r="AU99">
            <v>41.526979999999995</v>
          </cell>
          <cell r="AV99">
            <v>3.0255091951748789E-3</v>
          </cell>
          <cell r="AW99">
            <v>0.10709999999999553</v>
          </cell>
          <cell r="AX99">
            <v>35.399000000000001</v>
          </cell>
          <cell r="AY99">
            <v>35.506099999999996</v>
          </cell>
          <cell r="AZ99">
            <v>2.1504255235958824E-3</v>
          </cell>
          <cell r="BA99">
            <v>1.6499999999998849E-2</v>
          </cell>
          <cell r="BB99">
            <v>7.6729000000000003</v>
          </cell>
          <cell r="BC99">
            <v>7.6893999999999991</v>
          </cell>
        </row>
        <row r="100">
          <cell r="B100">
            <v>52</v>
          </cell>
          <cell r="C100">
            <v>22</v>
          </cell>
          <cell r="D100">
            <v>2.0698380848869617E-3</v>
          </cell>
          <cell r="E100">
            <v>0.12378666666666475</v>
          </cell>
          <cell r="F100">
            <v>59.805</v>
          </cell>
          <cell r="G100">
            <v>59.928786666666667</v>
          </cell>
          <cell r="H100">
            <v>2.9967677936258803E-3</v>
          </cell>
          <cell r="I100">
            <v>0.21655333333333146</v>
          </cell>
          <cell r="J100">
            <v>72.262299999999996</v>
          </cell>
          <cell r="K100">
            <v>72.478853333333333</v>
          </cell>
          <cell r="L100">
            <v>4.461651917404089E-3</v>
          </cell>
          <cell r="M100">
            <v>2.4199999999999777E-3</v>
          </cell>
          <cell r="N100">
            <v>0.54239999999999999</v>
          </cell>
          <cell r="O100">
            <v>0.54481999999999997</v>
          </cell>
          <cell r="P100">
            <v>1.3818602050280448E-3</v>
          </cell>
          <cell r="Q100">
            <v>0.1483533333333393</v>
          </cell>
          <cell r="R100">
            <v>107.35769999999999</v>
          </cell>
          <cell r="S100">
            <v>107.50605333333333</v>
          </cell>
          <cell r="T100">
            <v>2.7989882069775042E-3</v>
          </cell>
          <cell r="U100">
            <v>0.18113333333333326</v>
          </cell>
          <cell r="V100">
            <v>46.682400000000001</v>
          </cell>
          <cell r="W100">
            <v>46.863533333333336</v>
          </cell>
          <cell r="X100">
            <v>7.4061035446329547E-4</v>
          </cell>
          <cell r="Y100">
            <v>3.366000000000232E-2</v>
          </cell>
          <cell r="Z100">
            <v>45.448999999999998</v>
          </cell>
          <cell r="AA100">
            <v>45.482660000000003</v>
          </cell>
          <cell r="AB100">
            <v>2.6443250477906589E-3</v>
          </cell>
          <cell r="AC100">
            <v>0.12855333333333335</v>
          </cell>
          <cell r="AD100">
            <v>48.614800000000002</v>
          </cell>
          <cell r="AE100">
            <v>48.743353333333339</v>
          </cell>
          <cell r="AF100">
            <v>1.9997174846305295E-3</v>
          </cell>
          <cell r="AG100">
            <v>3.2559999999999673E-2</v>
          </cell>
          <cell r="AH100">
            <v>16.282299999999999</v>
          </cell>
          <cell r="AI100">
            <v>16.314859999999999</v>
          </cell>
          <cell r="AJ100">
            <v>2.2335326382369541E-3</v>
          </cell>
          <cell r="AK100">
            <v>3.5514285714286685E-2</v>
          </cell>
          <cell r="AL100">
            <v>15.900499999999999</v>
          </cell>
          <cell r="AM100">
            <v>15.936014285714286</v>
          </cell>
          <cell r="AN100">
            <v>3.4562664467224233E-3</v>
          </cell>
          <cell r="AO100">
            <v>2.6399999999999885E-2</v>
          </cell>
          <cell r="AP100">
            <v>7.6383000000000001</v>
          </cell>
          <cell r="AQ100">
            <v>7.6646999999999998</v>
          </cell>
          <cell r="AR100">
            <v>-1.1653776883142334E-4</v>
          </cell>
          <cell r="AS100">
            <v>-4.839999999999141E-3</v>
          </cell>
          <cell r="AT100">
            <v>41.531599999999997</v>
          </cell>
          <cell r="AU100">
            <v>41.526759999999996</v>
          </cell>
          <cell r="AV100">
            <v>3.1695810616117781E-3</v>
          </cell>
          <cell r="AW100">
            <v>0.11219999999999532</v>
          </cell>
          <cell r="AX100">
            <v>35.399000000000001</v>
          </cell>
          <cell r="AY100">
            <v>35.511199999999995</v>
          </cell>
          <cell r="AZ100">
            <v>2.2528267390052102E-3</v>
          </cell>
          <cell r="BA100">
            <v>1.7285714285713079E-2</v>
          </cell>
          <cell r="BB100">
            <v>7.6729000000000003</v>
          </cell>
          <cell r="BC100">
            <v>7.6901857142857137</v>
          </cell>
        </row>
        <row r="101">
          <cell r="B101">
            <v>53</v>
          </cell>
          <cell r="C101">
            <v>23</v>
          </cell>
          <cell r="D101">
            <v>2.1639216342000055E-3</v>
          </cell>
          <cell r="E101">
            <v>0.12941333333333133</v>
          </cell>
          <cell r="F101">
            <v>59.805</v>
          </cell>
          <cell r="G101">
            <v>59.934413333333332</v>
          </cell>
          <cell r="H101">
            <v>3.1329845115179657E-3</v>
          </cell>
          <cell r="I101">
            <v>0.22639666666666472</v>
          </cell>
          <cell r="J101">
            <v>72.262299999999996</v>
          </cell>
          <cell r="K101">
            <v>72.488696666666655</v>
          </cell>
          <cell r="L101">
            <v>4.6644542772860936E-3</v>
          </cell>
          <cell r="M101">
            <v>2.5299999999999767E-3</v>
          </cell>
          <cell r="N101">
            <v>0.54239999999999999</v>
          </cell>
          <cell r="O101">
            <v>0.54492999999999991</v>
          </cell>
          <cell r="P101">
            <v>1.4446720325293194E-3</v>
          </cell>
          <cell r="Q101">
            <v>0.15509666666667291</v>
          </cell>
          <cell r="R101">
            <v>107.35769999999999</v>
          </cell>
          <cell r="S101">
            <v>107.51279666666667</v>
          </cell>
          <cell r="T101">
            <v>2.9262149436582998E-3</v>
          </cell>
          <cell r="U101">
            <v>0.18936666666666657</v>
          </cell>
          <cell r="V101">
            <v>46.682400000000001</v>
          </cell>
          <cell r="W101">
            <v>46.871766666666666</v>
          </cell>
          <cell r="X101">
            <v>7.7427446148435445E-4</v>
          </cell>
          <cell r="Y101">
            <v>3.5190000000002421E-2</v>
          </cell>
          <cell r="Z101">
            <v>45.448999999999998</v>
          </cell>
          <cell r="AA101">
            <v>45.484189999999998</v>
          </cell>
          <cell r="AB101">
            <v>2.7645216408720527E-3</v>
          </cell>
          <cell r="AC101">
            <v>0.13439666666666666</v>
          </cell>
          <cell r="AD101">
            <v>48.614800000000002</v>
          </cell>
          <cell r="AE101">
            <v>48.74919666666667</v>
          </cell>
          <cell r="AF101">
            <v>2.0906137339319177E-3</v>
          </cell>
          <cell r="AG101">
            <v>3.4039999999999654E-2</v>
          </cell>
          <cell r="AH101">
            <v>16.282299999999999</v>
          </cell>
          <cell r="AI101">
            <v>16.31634</v>
          </cell>
          <cell r="AJ101">
            <v>2.3350568490659068E-3</v>
          </cell>
          <cell r="AK101">
            <v>3.7128571428572447E-2</v>
          </cell>
          <cell r="AL101">
            <v>15.900499999999999</v>
          </cell>
          <cell r="AM101">
            <v>15.937628571428572</v>
          </cell>
          <cell r="AN101">
            <v>3.6133694670279879E-3</v>
          </cell>
          <cell r="AO101">
            <v>2.7599999999999878E-2</v>
          </cell>
          <cell r="AP101">
            <v>7.6383000000000001</v>
          </cell>
          <cell r="AQ101">
            <v>7.6658999999999997</v>
          </cell>
          <cell r="AR101">
            <v>-1.2183494014194258E-4</v>
          </cell>
          <cell r="AS101">
            <v>-5.0599999999991025E-3</v>
          </cell>
          <cell r="AT101">
            <v>41.531599999999997</v>
          </cell>
          <cell r="AU101">
            <v>41.526539999999997</v>
          </cell>
          <cell r="AV101">
            <v>3.3136529280486768E-3</v>
          </cell>
          <cell r="AW101">
            <v>0.1172999999999951</v>
          </cell>
          <cell r="AX101">
            <v>35.399000000000001</v>
          </cell>
          <cell r="AY101">
            <v>35.516299999999994</v>
          </cell>
          <cell r="AZ101">
            <v>2.355227954414538E-3</v>
          </cell>
          <cell r="BA101">
            <v>1.8071428571427312E-2</v>
          </cell>
          <cell r="BB101">
            <v>7.6729000000000003</v>
          </cell>
          <cell r="BC101">
            <v>7.6909714285714275</v>
          </cell>
        </row>
        <row r="102">
          <cell r="B102">
            <v>54</v>
          </cell>
          <cell r="C102">
            <v>24</v>
          </cell>
          <cell r="D102">
            <v>2.2580051835130494E-3</v>
          </cell>
          <cell r="E102">
            <v>0.13503999999999791</v>
          </cell>
          <cell r="F102">
            <v>59.805</v>
          </cell>
          <cell r="G102">
            <v>59.940039999999996</v>
          </cell>
          <cell r="H102">
            <v>3.2692012294100515E-3</v>
          </cell>
          <cell r="I102">
            <v>0.23623999999999795</v>
          </cell>
          <cell r="J102">
            <v>72.262299999999996</v>
          </cell>
          <cell r="K102">
            <v>72.498539999999991</v>
          </cell>
          <cell r="L102">
            <v>4.8672566371680973E-3</v>
          </cell>
          <cell r="M102">
            <v>2.6399999999999757E-3</v>
          </cell>
          <cell r="N102">
            <v>0.54239999999999999</v>
          </cell>
          <cell r="O102">
            <v>0.54503999999999997</v>
          </cell>
          <cell r="P102">
            <v>1.5074838600305943E-3</v>
          </cell>
          <cell r="Q102">
            <v>0.16184000000000651</v>
          </cell>
          <cell r="R102">
            <v>107.35769999999999</v>
          </cell>
          <cell r="S102">
            <v>107.51954000000001</v>
          </cell>
          <cell r="T102">
            <v>3.0534416803390954E-3</v>
          </cell>
          <cell r="U102">
            <v>0.19759999999999991</v>
          </cell>
          <cell r="V102">
            <v>46.682400000000001</v>
          </cell>
          <cell r="W102">
            <v>46.88</v>
          </cell>
          <cell r="X102">
            <v>8.0793856850541333E-4</v>
          </cell>
          <cell r="Y102">
            <v>3.6720000000002528E-2</v>
          </cell>
          <cell r="Z102">
            <v>45.448999999999998</v>
          </cell>
          <cell r="AA102">
            <v>45.485720000000001</v>
          </cell>
          <cell r="AB102">
            <v>2.8847182339534466E-3</v>
          </cell>
          <cell r="AC102">
            <v>0.14024</v>
          </cell>
          <cell r="AD102">
            <v>48.614800000000002</v>
          </cell>
          <cell r="AE102">
            <v>48.755040000000001</v>
          </cell>
          <cell r="AF102">
            <v>2.181509983233305E-3</v>
          </cell>
          <cell r="AG102">
            <v>3.5519999999999642E-2</v>
          </cell>
          <cell r="AH102">
            <v>16.282299999999999</v>
          </cell>
          <cell r="AI102">
            <v>16.317819999999998</v>
          </cell>
          <cell r="AJ102">
            <v>2.4365810598948592E-3</v>
          </cell>
          <cell r="AK102">
            <v>3.8742857142858203E-2</v>
          </cell>
          <cell r="AL102">
            <v>15.900499999999999</v>
          </cell>
          <cell r="AM102">
            <v>15.939242857142858</v>
          </cell>
          <cell r="AN102">
            <v>3.7704724873335524E-3</v>
          </cell>
          <cell r="AO102">
            <v>2.8799999999999874E-2</v>
          </cell>
          <cell r="AP102">
            <v>7.6383000000000001</v>
          </cell>
          <cell r="AQ102">
            <v>7.6670999999999996</v>
          </cell>
          <cell r="AR102">
            <v>-1.2713211145246183E-4</v>
          </cell>
          <cell r="AS102">
            <v>-5.2799999999990632E-3</v>
          </cell>
          <cell r="AT102">
            <v>41.531599999999997</v>
          </cell>
          <cell r="AU102">
            <v>41.526319999999998</v>
          </cell>
          <cell r="AV102">
            <v>3.457724794485576E-3</v>
          </cell>
          <cell r="AW102">
            <v>0.12239999999999489</v>
          </cell>
          <cell r="AX102">
            <v>35.399000000000001</v>
          </cell>
          <cell r="AY102">
            <v>35.521399999999993</v>
          </cell>
          <cell r="AZ102">
            <v>2.4576291698238657E-3</v>
          </cell>
          <cell r="BA102">
            <v>1.8857142857141542E-2</v>
          </cell>
          <cell r="BB102">
            <v>7.6729000000000003</v>
          </cell>
          <cell r="BC102">
            <v>7.6917571428571421</v>
          </cell>
        </row>
        <row r="103">
          <cell r="B103">
            <v>55</v>
          </cell>
          <cell r="C103">
            <v>25</v>
          </cell>
          <cell r="D103">
            <v>2.3520887328260932E-3</v>
          </cell>
          <cell r="E103">
            <v>0.1406666666666645</v>
          </cell>
          <cell r="F103">
            <v>59.805</v>
          </cell>
          <cell r="G103">
            <v>59.945666666666668</v>
          </cell>
          <cell r="H103">
            <v>3.4054179473021373E-3</v>
          </cell>
          <cell r="I103">
            <v>0.24608333333333121</v>
          </cell>
          <cell r="J103">
            <v>72.262299999999996</v>
          </cell>
          <cell r="K103">
            <v>72.508383333333327</v>
          </cell>
          <cell r="L103">
            <v>5.070058997050101E-3</v>
          </cell>
          <cell r="M103">
            <v>2.7499999999999747E-3</v>
          </cell>
          <cell r="N103">
            <v>0.54239999999999999</v>
          </cell>
          <cell r="O103">
            <v>0.54515000000000002</v>
          </cell>
          <cell r="P103">
            <v>1.5702956875318689E-3</v>
          </cell>
          <cell r="Q103">
            <v>0.16858333333334011</v>
          </cell>
          <cell r="R103">
            <v>107.35769999999999</v>
          </cell>
          <cell r="S103">
            <v>107.52628333333334</v>
          </cell>
          <cell r="T103">
            <v>3.1806684170198906E-3</v>
          </cell>
          <cell r="U103">
            <v>0.20583333333333323</v>
          </cell>
          <cell r="V103">
            <v>46.682400000000001</v>
          </cell>
          <cell r="W103">
            <v>46.888233333333332</v>
          </cell>
          <cell r="X103">
            <v>8.4160267552647211E-4</v>
          </cell>
          <cell r="Y103">
            <v>3.8250000000002636E-2</v>
          </cell>
          <cell r="Z103">
            <v>45.448999999999998</v>
          </cell>
          <cell r="AA103">
            <v>45.487250000000003</v>
          </cell>
          <cell r="AB103">
            <v>3.0049148270348399E-3</v>
          </cell>
          <cell r="AC103">
            <v>0.14608333333333334</v>
          </cell>
          <cell r="AD103">
            <v>48.614800000000002</v>
          </cell>
          <cell r="AE103">
            <v>48.760883333333339</v>
          </cell>
          <cell r="AF103">
            <v>2.2724062325346927E-3</v>
          </cell>
          <cell r="AG103">
            <v>3.6999999999999623E-2</v>
          </cell>
          <cell r="AH103">
            <v>16.282299999999999</v>
          </cell>
          <cell r="AI103">
            <v>16.319299999999998</v>
          </cell>
          <cell r="AJ103">
            <v>2.5381052707238116E-3</v>
          </cell>
          <cell r="AK103">
            <v>4.0357142857143966E-2</v>
          </cell>
          <cell r="AL103">
            <v>15.900499999999999</v>
          </cell>
          <cell r="AM103">
            <v>15.940857142857142</v>
          </cell>
          <cell r="AN103">
            <v>3.9275755076391174E-3</v>
          </cell>
          <cell r="AO103">
            <v>2.9999999999999867E-2</v>
          </cell>
          <cell r="AP103">
            <v>7.6383000000000001</v>
          </cell>
          <cell r="AQ103">
            <v>7.6683000000000003</v>
          </cell>
          <cell r="AR103">
            <v>-1.3242928276298107E-4</v>
          </cell>
          <cell r="AS103">
            <v>-5.4999999999990239E-3</v>
          </cell>
          <cell r="AT103">
            <v>41.531599999999997</v>
          </cell>
          <cell r="AU103">
            <v>41.5261</v>
          </cell>
          <cell r="AV103">
            <v>3.6017966609224747E-3</v>
          </cell>
          <cell r="AW103">
            <v>0.12749999999999467</v>
          </cell>
          <cell r="AX103">
            <v>35.399000000000001</v>
          </cell>
          <cell r="AY103">
            <v>35.526499999999999</v>
          </cell>
          <cell r="AZ103">
            <v>2.5600303852331935E-3</v>
          </cell>
          <cell r="BA103">
            <v>1.9642857142855772E-2</v>
          </cell>
          <cell r="BB103">
            <v>7.6729000000000003</v>
          </cell>
          <cell r="BC103">
            <v>7.6925428571428558</v>
          </cell>
        </row>
        <row r="104">
          <cell r="B104">
            <v>56</v>
          </cell>
          <cell r="C104">
            <v>26</v>
          </cell>
          <cell r="D104">
            <v>2.4461722821391366E-3</v>
          </cell>
          <cell r="E104">
            <v>0.14629333333333108</v>
          </cell>
          <cell r="F104">
            <v>59.805</v>
          </cell>
          <cell r="G104">
            <v>59.951293333333332</v>
          </cell>
          <cell r="H104">
            <v>3.5416346651942223E-3</v>
          </cell>
          <cell r="I104">
            <v>0.25592666666666447</v>
          </cell>
          <cell r="J104">
            <v>72.262299999999996</v>
          </cell>
          <cell r="K104">
            <v>72.518226666666664</v>
          </cell>
          <cell r="L104">
            <v>5.2728613569321047E-3</v>
          </cell>
          <cell r="M104">
            <v>2.8599999999999737E-3</v>
          </cell>
          <cell r="N104">
            <v>0.54239999999999999</v>
          </cell>
          <cell r="O104">
            <v>0.54525999999999997</v>
          </cell>
          <cell r="P104">
            <v>1.6331075150331437E-3</v>
          </cell>
          <cell r="Q104">
            <v>0.17532666666667371</v>
          </cell>
          <cell r="R104">
            <v>107.35769999999999</v>
          </cell>
          <cell r="S104">
            <v>107.53302666666667</v>
          </cell>
          <cell r="T104">
            <v>3.3078951537006867E-3</v>
          </cell>
          <cell r="U104">
            <v>0.21406666666666657</v>
          </cell>
          <cell r="V104">
            <v>46.682400000000001</v>
          </cell>
          <cell r="W104">
            <v>46.896466666666669</v>
          </cell>
          <cell r="X104">
            <v>8.7526678254753109E-4</v>
          </cell>
          <cell r="Y104">
            <v>3.9780000000002737E-2</v>
          </cell>
          <cell r="Z104">
            <v>45.448999999999998</v>
          </cell>
          <cell r="AA104">
            <v>45.488779999999998</v>
          </cell>
          <cell r="AB104">
            <v>3.1251114201162333E-3</v>
          </cell>
          <cell r="AC104">
            <v>0.15192666666666668</v>
          </cell>
          <cell r="AD104">
            <v>48.614800000000002</v>
          </cell>
          <cell r="AE104">
            <v>48.766726666666671</v>
          </cell>
          <cell r="AF104">
            <v>2.3633024818360804E-3</v>
          </cell>
          <cell r="AG104">
            <v>3.8479999999999612E-2</v>
          </cell>
          <cell r="AH104">
            <v>16.282299999999999</v>
          </cell>
          <cell r="AI104">
            <v>16.320779999999999</v>
          </cell>
          <cell r="AJ104">
            <v>2.6396294815527639E-3</v>
          </cell>
          <cell r="AK104">
            <v>4.1971428571429721E-2</v>
          </cell>
          <cell r="AL104">
            <v>15.900499999999999</v>
          </cell>
          <cell r="AM104">
            <v>15.942471428571428</v>
          </cell>
          <cell r="AN104">
            <v>4.0846785279446815E-3</v>
          </cell>
          <cell r="AO104">
            <v>3.1199999999999863E-2</v>
          </cell>
          <cell r="AP104">
            <v>7.6383000000000001</v>
          </cell>
          <cell r="AQ104">
            <v>7.6695000000000002</v>
          </cell>
          <cell r="AR104">
            <v>-1.3772645407350033E-4</v>
          </cell>
          <cell r="AS104">
            <v>-5.7199999999989854E-3</v>
          </cell>
          <cell r="AT104">
            <v>41.531599999999997</v>
          </cell>
          <cell r="AU104">
            <v>41.525880000000001</v>
          </cell>
          <cell r="AV104">
            <v>3.7458685273593739E-3</v>
          </cell>
          <cell r="AW104">
            <v>0.13259999999999447</v>
          </cell>
          <cell r="AX104">
            <v>35.399000000000001</v>
          </cell>
          <cell r="AY104">
            <v>35.531599999999997</v>
          </cell>
          <cell r="AZ104">
            <v>2.6624316006425212E-3</v>
          </cell>
          <cell r="BA104">
            <v>2.0428571428570002E-2</v>
          </cell>
          <cell r="BB104">
            <v>7.6729000000000003</v>
          </cell>
          <cell r="BC104">
            <v>7.6933285714285704</v>
          </cell>
        </row>
        <row r="105">
          <cell r="B105">
            <v>57</v>
          </cell>
          <cell r="C105">
            <v>27</v>
          </cell>
          <cell r="D105">
            <v>2.5402558314521805E-3</v>
          </cell>
          <cell r="E105">
            <v>0.15191999999999767</v>
          </cell>
          <cell r="F105">
            <v>59.805</v>
          </cell>
          <cell r="G105">
            <v>59.956919999999997</v>
          </cell>
          <cell r="H105">
            <v>3.6778513830863077E-3</v>
          </cell>
          <cell r="I105">
            <v>0.26576999999999773</v>
          </cell>
          <cell r="J105">
            <v>72.262299999999996</v>
          </cell>
          <cell r="K105">
            <v>72.52807</v>
          </cell>
          <cell r="L105">
            <v>5.4756637168141093E-3</v>
          </cell>
          <cell r="M105">
            <v>2.9699999999999727E-3</v>
          </cell>
          <cell r="N105">
            <v>0.54239999999999999</v>
          </cell>
          <cell r="O105">
            <v>0.54536999999999991</v>
          </cell>
          <cell r="P105">
            <v>1.6959193425344185E-3</v>
          </cell>
          <cell r="Q105">
            <v>0.18207000000000734</v>
          </cell>
          <cell r="R105">
            <v>107.35769999999999</v>
          </cell>
          <cell r="S105">
            <v>107.53977</v>
          </cell>
          <cell r="T105">
            <v>3.4351218903814823E-3</v>
          </cell>
          <cell r="U105">
            <v>0.22229999999999989</v>
          </cell>
          <cell r="V105">
            <v>46.682400000000001</v>
          </cell>
          <cell r="W105">
            <v>46.904699999999998</v>
          </cell>
          <cell r="X105">
            <v>9.0893088956858997E-4</v>
          </cell>
          <cell r="Y105">
            <v>4.1310000000002844E-2</v>
          </cell>
          <cell r="Z105">
            <v>45.448999999999998</v>
          </cell>
          <cell r="AA105">
            <v>45.490310000000001</v>
          </cell>
          <cell r="AB105">
            <v>3.2453080131976267E-3</v>
          </cell>
          <cell r="AC105">
            <v>0.15777000000000002</v>
          </cell>
          <cell r="AD105">
            <v>48.614800000000002</v>
          </cell>
          <cell r="AE105">
            <v>48.772570000000002</v>
          </cell>
          <cell r="AF105">
            <v>2.4541987311374682E-3</v>
          </cell>
          <cell r="AG105">
            <v>3.9959999999999593E-2</v>
          </cell>
          <cell r="AH105">
            <v>16.282299999999999</v>
          </cell>
          <cell r="AI105">
            <v>16.32226</v>
          </cell>
          <cell r="AJ105">
            <v>2.7411536923817167E-3</v>
          </cell>
          <cell r="AK105">
            <v>4.3585714285715484E-2</v>
          </cell>
          <cell r="AL105">
            <v>15.900499999999999</v>
          </cell>
          <cell r="AM105">
            <v>15.944085714285714</v>
          </cell>
          <cell r="AN105">
            <v>4.2417815482502464E-3</v>
          </cell>
          <cell r="AO105">
            <v>3.2399999999999859E-2</v>
          </cell>
          <cell r="AP105">
            <v>7.6383000000000001</v>
          </cell>
          <cell r="AQ105">
            <v>7.6707000000000001</v>
          </cell>
          <cell r="AR105">
            <v>-1.4302362538401957E-4</v>
          </cell>
          <cell r="AS105">
            <v>-5.9399999999989461E-3</v>
          </cell>
          <cell r="AT105">
            <v>41.531599999999997</v>
          </cell>
          <cell r="AU105">
            <v>41.525660000000002</v>
          </cell>
          <cell r="AV105">
            <v>3.8899403937962727E-3</v>
          </cell>
          <cell r="AW105">
            <v>0.13769999999999424</v>
          </cell>
          <cell r="AX105">
            <v>35.399000000000001</v>
          </cell>
          <cell r="AY105">
            <v>35.536699999999996</v>
          </cell>
          <cell r="AZ105">
            <v>2.764832816051849E-3</v>
          </cell>
          <cell r="BA105">
            <v>2.1214285714284235E-2</v>
          </cell>
          <cell r="BB105">
            <v>7.6729000000000003</v>
          </cell>
          <cell r="BC105">
            <v>7.6941142857142841</v>
          </cell>
        </row>
        <row r="106">
          <cell r="B106">
            <v>58</v>
          </cell>
          <cell r="C106">
            <v>28</v>
          </cell>
          <cell r="D106">
            <v>2.6343393807652243E-3</v>
          </cell>
          <cell r="E106">
            <v>0.15754666666666423</v>
          </cell>
          <cell r="F106">
            <v>59.805</v>
          </cell>
          <cell r="G106">
            <v>59.962546666666661</v>
          </cell>
          <cell r="H106">
            <v>3.8140681009783935E-3</v>
          </cell>
          <cell r="I106">
            <v>0.27561333333333093</v>
          </cell>
          <cell r="J106">
            <v>72.262299999999996</v>
          </cell>
          <cell r="K106">
            <v>72.537913333333321</v>
          </cell>
          <cell r="L106">
            <v>5.6784660766961131E-3</v>
          </cell>
          <cell r="M106">
            <v>3.0799999999999716E-3</v>
          </cell>
          <cell r="N106">
            <v>0.54239999999999999</v>
          </cell>
          <cell r="O106">
            <v>0.54547999999999996</v>
          </cell>
          <cell r="P106">
            <v>1.7587311700356933E-3</v>
          </cell>
          <cell r="Q106">
            <v>0.18881333333334094</v>
          </cell>
          <cell r="R106">
            <v>107.35769999999999</v>
          </cell>
          <cell r="S106">
            <v>107.54651333333334</v>
          </cell>
          <cell r="T106">
            <v>3.5623486270622779E-3</v>
          </cell>
          <cell r="U106">
            <v>0.23053333333333323</v>
          </cell>
          <cell r="V106">
            <v>46.682400000000001</v>
          </cell>
          <cell r="W106">
            <v>46.912933333333335</v>
          </cell>
          <cell r="X106">
            <v>9.4259499658964885E-4</v>
          </cell>
          <cell r="Y106">
            <v>4.2840000000002952E-2</v>
          </cell>
          <cell r="Z106">
            <v>45.448999999999998</v>
          </cell>
          <cell r="AA106">
            <v>45.491840000000003</v>
          </cell>
          <cell r="AB106">
            <v>3.3655046062790205E-3</v>
          </cell>
          <cell r="AC106">
            <v>0.16361333333333333</v>
          </cell>
          <cell r="AD106">
            <v>48.614800000000002</v>
          </cell>
          <cell r="AE106">
            <v>48.778413333333333</v>
          </cell>
          <cell r="AF106">
            <v>2.5450949804388559E-3</v>
          </cell>
          <cell r="AG106">
            <v>4.1439999999999581E-2</v>
          </cell>
          <cell r="AH106">
            <v>16.282299999999999</v>
          </cell>
          <cell r="AI106">
            <v>16.323739999999997</v>
          </cell>
          <cell r="AJ106">
            <v>2.8426779032106691E-3</v>
          </cell>
          <cell r="AK106">
            <v>4.5200000000001239E-2</v>
          </cell>
          <cell r="AL106">
            <v>15.900499999999999</v>
          </cell>
          <cell r="AM106">
            <v>15.9457</v>
          </cell>
          <cell r="AN106">
            <v>4.3988845685558114E-3</v>
          </cell>
          <cell r="AO106">
            <v>3.3599999999999852E-2</v>
          </cell>
          <cell r="AP106">
            <v>7.6383000000000001</v>
          </cell>
          <cell r="AQ106">
            <v>7.6718999999999999</v>
          </cell>
          <cell r="AR106">
            <v>-1.4832079669453881E-4</v>
          </cell>
          <cell r="AS106">
            <v>-6.1599999999989068E-3</v>
          </cell>
          <cell r="AT106">
            <v>41.531599999999997</v>
          </cell>
          <cell r="AU106">
            <v>41.525439999999996</v>
          </cell>
          <cell r="AV106">
            <v>4.0340122602331718E-3</v>
          </cell>
          <cell r="AW106">
            <v>0.14279999999999404</v>
          </cell>
          <cell r="AX106">
            <v>35.399000000000001</v>
          </cell>
          <cell r="AY106">
            <v>35.541799999999995</v>
          </cell>
          <cell r="AZ106">
            <v>2.8672340314611767E-3</v>
          </cell>
          <cell r="BA106">
            <v>2.1999999999998465E-2</v>
          </cell>
          <cell r="BB106">
            <v>7.6729000000000003</v>
          </cell>
          <cell r="BC106">
            <v>7.6948999999999987</v>
          </cell>
        </row>
        <row r="107">
          <cell r="B107">
            <v>59</v>
          </cell>
          <cell r="C107">
            <v>29</v>
          </cell>
          <cell r="D107">
            <v>2.7284229300782678E-3</v>
          </cell>
          <cell r="E107">
            <v>0.16317333333333081</v>
          </cell>
          <cell r="F107">
            <v>59.805</v>
          </cell>
          <cell r="G107">
            <v>59.968173333333333</v>
          </cell>
          <cell r="H107">
            <v>3.9502848188704793E-3</v>
          </cell>
          <cell r="I107">
            <v>0.28545666666666419</v>
          </cell>
          <cell r="J107">
            <v>72.262299999999996</v>
          </cell>
          <cell r="K107">
            <v>72.547756666666658</v>
          </cell>
          <cell r="L107">
            <v>5.8812684365781177E-3</v>
          </cell>
          <cell r="M107">
            <v>3.1899999999999706E-3</v>
          </cell>
          <cell r="N107">
            <v>0.54239999999999999</v>
          </cell>
          <cell r="O107">
            <v>0.54559000000000002</v>
          </cell>
          <cell r="P107">
            <v>1.821542997536968E-3</v>
          </cell>
          <cell r="Q107">
            <v>0.19555666666667454</v>
          </cell>
          <cell r="R107">
            <v>107.35769999999999</v>
          </cell>
          <cell r="S107">
            <v>107.55325666666667</v>
          </cell>
          <cell r="T107">
            <v>3.6895753637430735E-3</v>
          </cell>
          <cell r="U107">
            <v>0.23876666666666654</v>
          </cell>
          <cell r="V107">
            <v>46.682400000000001</v>
          </cell>
          <cell r="W107">
            <v>46.921166666666664</v>
          </cell>
          <cell r="X107">
            <v>9.7625910361070762E-4</v>
          </cell>
          <cell r="Y107">
            <v>4.4370000000003053E-2</v>
          </cell>
          <cell r="Z107">
            <v>45.448999999999998</v>
          </cell>
          <cell r="AA107">
            <v>45.493369999999999</v>
          </cell>
          <cell r="AB107">
            <v>3.4857011993604139E-3</v>
          </cell>
          <cell r="AC107">
            <v>0.16945666666666667</v>
          </cell>
          <cell r="AD107">
            <v>48.614800000000002</v>
          </cell>
          <cell r="AE107">
            <v>48.784256666666671</v>
          </cell>
          <cell r="AF107">
            <v>2.6359912297402436E-3</v>
          </cell>
          <cell r="AG107">
            <v>4.2919999999999563E-2</v>
          </cell>
          <cell r="AH107">
            <v>16.282299999999999</v>
          </cell>
          <cell r="AI107">
            <v>16.325219999999998</v>
          </cell>
          <cell r="AJ107">
            <v>2.9442021140396214E-3</v>
          </cell>
          <cell r="AK107">
            <v>4.6814285714286995E-2</v>
          </cell>
          <cell r="AL107">
            <v>15.900499999999999</v>
          </cell>
          <cell r="AM107">
            <v>15.947314285714286</v>
          </cell>
          <cell r="AN107">
            <v>4.5559875888613755E-3</v>
          </cell>
          <cell r="AO107">
            <v>3.4799999999999845E-2</v>
          </cell>
          <cell r="AP107">
            <v>7.6383000000000001</v>
          </cell>
          <cell r="AQ107">
            <v>7.6730999999999998</v>
          </cell>
          <cell r="AR107">
            <v>-1.5361796800505804E-4</v>
          </cell>
          <cell r="AS107">
            <v>-6.3799999999988683E-3</v>
          </cell>
          <cell r="AT107">
            <v>41.531599999999997</v>
          </cell>
          <cell r="AU107">
            <v>41.525219999999997</v>
          </cell>
          <cell r="AV107">
            <v>4.1780841266700706E-3</v>
          </cell>
          <cell r="AW107">
            <v>0.14789999999999384</v>
          </cell>
          <cell r="AX107">
            <v>35.399000000000001</v>
          </cell>
          <cell r="AY107">
            <v>35.546899999999994</v>
          </cell>
          <cell r="AZ107">
            <v>2.9696352468705045E-3</v>
          </cell>
          <cell r="BA107">
            <v>2.2785714285712695E-2</v>
          </cell>
          <cell r="BB107">
            <v>7.6729000000000003</v>
          </cell>
          <cell r="BC107">
            <v>7.6956857142857134</v>
          </cell>
        </row>
        <row r="108">
          <cell r="B108">
            <v>60</v>
          </cell>
          <cell r="C108">
            <v>30</v>
          </cell>
          <cell r="D108">
            <v>2.8225064793913116E-3</v>
          </cell>
          <cell r="E108">
            <v>0.1687999999999974</v>
          </cell>
          <cell r="F108">
            <v>59.805</v>
          </cell>
          <cell r="G108">
            <v>59.973799999999997</v>
          </cell>
          <cell r="H108">
            <v>4.0865015367625643E-3</v>
          </cell>
          <cell r="I108">
            <v>0.29529999999999745</v>
          </cell>
          <cell r="J108">
            <v>72.262299999999996</v>
          </cell>
          <cell r="K108">
            <v>72.557599999999994</v>
          </cell>
          <cell r="L108">
            <v>6.0840707964601214E-3</v>
          </cell>
          <cell r="M108">
            <v>3.2999999999999696E-3</v>
          </cell>
          <cell r="N108">
            <v>0.54239999999999999</v>
          </cell>
          <cell r="O108">
            <v>0.54569999999999996</v>
          </cell>
          <cell r="P108">
            <v>1.8843548250382428E-3</v>
          </cell>
          <cell r="Q108">
            <v>0.20230000000000814</v>
          </cell>
          <cell r="R108">
            <v>107.35769999999999</v>
          </cell>
          <cell r="S108">
            <v>107.56</v>
          </cell>
          <cell r="T108">
            <v>3.8168021004238691E-3</v>
          </cell>
          <cell r="U108">
            <v>0.24699999999999989</v>
          </cell>
          <cell r="V108">
            <v>46.682400000000001</v>
          </cell>
          <cell r="W108">
            <v>46.929400000000001</v>
          </cell>
          <cell r="X108">
            <v>1.0099232106317666E-3</v>
          </cell>
          <cell r="Y108">
            <v>4.590000000000316E-2</v>
          </cell>
          <cell r="Z108">
            <v>45.448999999999998</v>
          </cell>
          <cell r="AA108">
            <v>45.494900000000001</v>
          </cell>
          <cell r="AB108">
            <v>3.6058977924418078E-3</v>
          </cell>
          <cell r="AC108">
            <v>0.17530000000000001</v>
          </cell>
          <cell r="AD108">
            <v>48.614800000000002</v>
          </cell>
          <cell r="AE108">
            <v>48.790100000000002</v>
          </cell>
          <cell r="AF108">
            <v>2.7268874790416313E-3</v>
          </cell>
          <cell r="AG108">
            <v>4.4399999999999551E-2</v>
          </cell>
          <cell r="AH108">
            <v>16.282299999999999</v>
          </cell>
          <cell r="AI108">
            <v>16.326699999999999</v>
          </cell>
          <cell r="AJ108">
            <v>3.0457263248685742E-3</v>
          </cell>
          <cell r="AK108">
            <v>4.8428571428572757E-2</v>
          </cell>
          <cell r="AL108">
            <v>15.900499999999999</v>
          </cell>
          <cell r="AM108">
            <v>15.948928571428572</v>
          </cell>
          <cell r="AN108">
            <v>4.7130906091669414E-3</v>
          </cell>
          <cell r="AO108">
            <v>3.5999999999999845E-2</v>
          </cell>
          <cell r="AP108">
            <v>7.6383000000000001</v>
          </cell>
          <cell r="AQ108">
            <v>7.6742999999999997</v>
          </cell>
          <cell r="AR108">
            <v>-1.5891513931557728E-4</v>
          </cell>
          <cell r="AS108">
            <v>-6.599999999998829E-3</v>
          </cell>
          <cell r="AT108">
            <v>41.531599999999997</v>
          </cell>
          <cell r="AU108">
            <v>41.524999999999999</v>
          </cell>
          <cell r="AV108">
            <v>4.3221559931069702E-3</v>
          </cell>
          <cell r="AW108">
            <v>0.15299999999999361</v>
          </cell>
          <cell r="AX108">
            <v>35.399000000000001</v>
          </cell>
          <cell r="AY108">
            <v>35.551999999999992</v>
          </cell>
          <cell r="AZ108">
            <v>3.0720364622798322E-3</v>
          </cell>
          <cell r="BA108">
            <v>2.3571428571426929E-2</v>
          </cell>
          <cell r="BB108">
            <v>7.6729000000000003</v>
          </cell>
          <cell r="BC108">
            <v>7.6964714285714271</v>
          </cell>
        </row>
        <row r="109">
          <cell r="B109">
            <v>61</v>
          </cell>
          <cell r="C109">
            <v>1</v>
          </cell>
          <cell r="D109">
            <v>1.1321610436557568E-4</v>
          </cell>
          <cell r="E109">
            <v>6.7900000000001622E-3</v>
          </cell>
          <cell r="F109">
            <v>59.973799999999997</v>
          </cell>
          <cell r="G109">
            <v>59.980589999999999</v>
          </cell>
          <cell r="H109">
            <v>1.5491140831560489E-4</v>
          </cell>
          <cell r="I109">
            <v>1.1240000000000331E-2</v>
          </cell>
          <cell r="J109">
            <v>72.557599999999994</v>
          </cell>
          <cell r="K109">
            <v>72.568839999999994</v>
          </cell>
          <cell r="L109">
            <v>2.0768431983385683E-4</v>
          </cell>
          <cell r="M109">
            <v>1.1333333333333566E-4</v>
          </cell>
          <cell r="N109">
            <v>0.54569999999999996</v>
          </cell>
          <cell r="O109">
            <v>0.54581333333333326</v>
          </cell>
          <cell r="P109">
            <v>9.030618569480472E-5</v>
          </cell>
          <cell r="Q109">
            <v>9.7133333333331955E-3</v>
          </cell>
          <cell r="R109">
            <v>107.56</v>
          </cell>
          <cell r="S109">
            <v>107.56971333333334</v>
          </cell>
          <cell r="T109">
            <v>1.9149332117322117E-4</v>
          </cell>
          <cell r="U109">
            <v>8.9866666666665648E-3</v>
          </cell>
          <cell r="V109">
            <v>46.929400000000001</v>
          </cell>
          <cell r="W109">
            <v>46.938386666666666</v>
          </cell>
          <cell r="X109">
            <v>6.1179018600620289E-5</v>
          </cell>
          <cell r="Y109">
            <v>2.7833333333333599E-3</v>
          </cell>
          <cell r="Z109">
            <v>45.494900000000001</v>
          </cell>
          <cell r="AA109">
            <v>45.497683333333335</v>
          </cell>
          <cell r="AB109">
            <v>1.4019237509248653E-4</v>
          </cell>
          <cell r="AC109">
            <v>6.8399999999999277E-3</v>
          </cell>
          <cell r="AD109">
            <v>48.790100000000002</v>
          </cell>
          <cell r="AE109">
            <v>48.796939999999999</v>
          </cell>
          <cell r="AF109">
            <v>1.1106551436195744E-4</v>
          </cell>
          <cell r="AG109">
            <v>1.8133333333333705E-3</v>
          </cell>
          <cell r="AH109">
            <v>16.326699999999999</v>
          </cell>
          <cell r="AI109">
            <v>16.328513333333333</v>
          </cell>
          <cell r="AJ109">
            <v>1.0152421082895247E-4</v>
          </cell>
          <cell r="AK109">
            <v>1.6142857142857586E-3</v>
          </cell>
          <cell r="AL109">
            <v>15.900499999999999</v>
          </cell>
          <cell r="AM109">
            <v>15.902114285714285</v>
          </cell>
          <cell r="AN109">
            <v>1.571030203055647E-4</v>
          </cell>
          <cell r="AO109">
            <v>1.1999999999999947E-3</v>
          </cell>
          <cell r="AP109">
            <v>7.6383000000000001</v>
          </cell>
          <cell r="AQ109">
            <v>7.6395</v>
          </cell>
          <cell r="AR109">
            <v>2.5366245233798526E-5</v>
          </cell>
          <cell r="AS109">
            <v>1.0533333333334837E-3</v>
          </cell>
          <cell r="AT109">
            <v>41.524999999999999</v>
          </cell>
          <cell r="AU109">
            <v>41.52605333333333</v>
          </cell>
          <cell r="AV109">
            <v>1.4407186643689899E-4</v>
          </cell>
          <cell r="AW109">
            <v>5.099999999999787E-3</v>
          </cell>
          <cell r="AX109">
            <v>35.399000000000001</v>
          </cell>
          <cell r="AY109">
            <v>35.4041</v>
          </cell>
          <cell r="AZ109">
            <v>1.0240121540932774E-4</v>
          </cell>
          <cell r="BA109">
            <v>7.8571428571423089E-4</v>
          </cell>
          <cell r="BB109">
            <v>7.6729000000000003</v>
          </cell>
          <cell r="BC109">
            <v>7.6736857142857149</v>
          </cell>
        </row>
        <row r="110">
          <cell r="B110">
            <v>62</v>
          </cell>
          <cell r="C110">
            <v>2</v>
          </cell>
          <cell r="D110">
            <v>2.2643220873115136E-4</v>
          </cell>
          <cell r="E110">
            <v>1.3580000000000324E-2</v>
          </cell>
          <cell r="F110">
            <v>59.973799999999997</v>
          </cell>
          <cell r="G110">
            <v>59.987379999999995</v>
          </cell>
          <cell r="H110">
            <v>3.0982281663120977E-4</v>
          </cell>
          <cell r="I110">
            <v>2.2480000000000663E-2</v>
          </cell>
          <cell r="J110">
            <v>72.557599999999994</v>
          </cell>
          <cell r="K110">
            <v>72.580079999999995</v>
          </cell>
          <cell r="L110">
            <v>4.1536863966771365E-4</v>
          </cell>
          <cell r="M110">
            <v>2.2666666666667132E-4</v>
          </cell>
          <cell r="N110">
            <v>0.54569999999999996</v>
          </cell>
          <cell r="O110">
            <v>0.54592666666666667</v>
          </cell>
          <cell r="P110">
            <v>1.8061237138960944E-4</v>
          </cell>
          <cell r="Q110">
            <v>1.9426666666666391E-2</v>
          </cell>
          <cell r="R110">
            <v>107.56</v>
          </cell>
          <cell r="S110">
            <v>107.57942666666666</v>
          </cell>
          <cell r="T110">
            <v>3.8298664234644235E-4</v>
          </cell>
          <cell r="U110">
            <v>1.797333333333313E-2</v>
          </cell>
          <cell r="V110">
            <v>46.929400000000001</v>
          </cell>
          <cell r="W110">
            <v>46.947373333333331</v>
          </cell>
          <cell r="X110">
            <v>1.2235803720124058E-4</v>
          </cell>
          <cell r="Y110">
            <v>5.5666666666667197E-3</v>
          </cell>
          <cell r="Z110">
            <v>45.494900000000001</v>
          </cell>
          <cell r="AA110">
            <v>45.500466666666668</v>
          </cell>
          <cell r="AB110">
            <v>2.8038475018497307E-4</v>
          </cell>
          <cell r="AC110">
            <v>1.3679999999999855E-2</v>
          </cell>
          <cell r="AD110">
            <v>48.790100000000002</v>
          </cell>
          <cell r="AE110">
            <v>48.803780000000003</v>
          </cell>
          <cell r="AF110">
            <v>2.2213102872391488E-4</v>
          </cell>
          <cell r="AG110">
            <v>3.6266666666667411E-3</v>
          </cell>
          <cell r="AH110">
            <v>16.326699999999999</v>
          </cell>
          <cell r="AI110">
            <v>16.330326666666664</v>
          </cell>
          <cell r="AJ110">
            <v>2.0304842165790493E-4</v>
          </cell>
          <cell r="AK110">
            <v>3.2285714285715172E-3</v>
          </cell>
          <cell r="AL110">
            <v>15.900499999999999</v>
          </cell>
          <cell r="AM110">
            <v>15.903728571428571</v>
          </cell>
          <cell r="AN110">
            <v>3.142060406111294E-4</v>
          </cell>
          <cell r="AO110">
            <v>2.3999999999999894E-3</v>
          </cell>
          <cell r="AP110">
            <v>7.6383000000000001</v>
          </cell>
          <cell r="AQ110">
            <v>7.6406999999999998</v>
          </cell>
          <cell r="AR110">
            <v>5.0732490467597053E-5</v>
          </cell>
          <cell r="AS110">
            <v>2.1066666666669674E-3</v>
          </cell>
          <cell r="AT110">
            <v>41.524999999999999</v>
          </cell>
          <cell r="AU110">
            <v>41.527106666666668</v>
          </cell>
          <cell r="AV110">
            <v>2.8814373287379798E-4</v>
          </cell>
          <cell r="AW110">
            <v>1.0199999999999574E-2</v>
          </cell>
          <cell r="AX110">
            <v>35.399000000000001</v>
          </cell>
          <cell r="AY110">
            <v>35.409199999999998</v>
          </cell>
          <cell r="AZ110">
            <v>2.0480243081865548E-4</v>
          </cell>
          <cell r="BA110">
            <v>1.5714285714284618E-3</v>
          </cell>
          <cell r="BB110">
            <v>7.6729000000000003</v>
          </cell>
          <cell r="BC110">
            <v>7.6744714285714286</v>
          </cell>
        </row>
        <row r="111">
          <cell r="B111">
            <v>63</v>
          </cell>
          <cell r="C111">
            <v>3</v>
          </cell>
          <cell r="D111">
            <v>3.3964831309672705E-4</v>
          </cell>
          <cell r="E111">
            <v>2.0370000000000488E-2</v>
          </cell>
          <cell r="F111">
            <v>59.973799999999997</v>
          </cell>
          <cell r="G111">
            <v>59.994169999999997</v>
          </cell>
          <cell r="H111">
            <v>4.6473422494681461E-4</v>
          </cell>
          <cell r="I111">
            <v>3.3720000000000992E-2</v>
          </cell>
          <cell r="J111">
            <v>72.557599999999994</v>
          </cell>
          <cell r="K111">
            <v>72.591319999999996</v>
          </cell>
          <cell r="L111">
            <v>6.2305295950157045E-4</v>
          </cell>
          <cell r="M111">
            <v>3.4000000000000696E-4</v>
          </cell>
          <cell r="N111">
            <v>0.54569999999999996</v>
          </cell>
          <cell r="O111">
            <v>0.54603999999999997</v>
          </cell>
          <cell r="P111">
            <v>2.7091855708441417E-4</v>
          </cell>
          <cell r="Q111">
            <v>2.913999999999959E-2</v>
          </cell>
          <cell r="R111">
            <v>107.56</v>
          </cell>
          <cell r="S111">
            <v>107.58914</v>
          </cell>
          <cell r="T111">
            <v>5.744799635196636E-4</v>
          </cell>
          <cell r="U111">
            <v>2.6959999999999696E-2</v>
          </cell>
          <cell r="V111">
            <v>46.929400000000001</v>
          </cell>
          <cell r="W111">
            <v>46.956360000000004</v>
          </cell>
          <cell r="X111">
            <v>1.8353705580186088E-4</v>
          </cell>
          <cell r="Y111">
            <v>8.3500000000000796E-3</v>
          </cell>
          <cell r="Z111">
            <v>45.494900000000001</v>
          </cell>
          <cell r="AA111">
            <v>45.503250000000001</v>
          </cell>
          <cell r="AB111">
            <v>4.2057712527745957E-4</v>
          </cell>
          <cell r="AC111">
            <v>2.0519999999999781E-2</v>
          </cell>
          <cell r="AD111">
            <v>48.790100000000002</v>
          </cell>
          <cell r="AE111">
            <v>48.81062</v>
          </cell>
          <cell r="AF111">
            <v>3.3319654308587235E-4</v>
          </cell>
          <cell r="AG111">
            <v>5.4400000000001114E-3</v>
          </cell>
          <cell r="AH111">
            <v>16.326699999999999</v>
          </cell>
          <cell r="AI111">
            <v>16.332139999999999</v>
          </cell>
          <cell r="AJ111">
            <v>3.045726324868574E-4</v>
          </cell>
          <cell r="AK111">
            <v>4.8428571428572754E-3</v>
          </cell>
          <cell r="AL111">
            <v>15.900499999999999</v>
          </cell>
          <cell r="AM111">
            <v>15.905342857142857</v>
          </cell>
          <cell r="AN111">
            <v>4.7130906091669405E-4</v>
          </cell>
          <cell r="AO111">
            <v>3.5999999999999843E-3</v>
          </cell>
          <cell r="AP111">
            <v>7.6383000000000001</v>
          </cell>
          <cell r="AQ111">
            <v>7.6418999999999997</v>
          </cell>
          <cell r="AR111">
            <v>7.6098735701395572E-5</v>
          </cell>
          <cell r="AS111">
            <v>3.1600000000004515E-3</v>
          </cell>
          <cell r="AT111">
            <v>41.524999999999999</v>
          </cell>
          <cell r="AU111">
            <v>41.52816</v>
          </cell>
          <cell r="AV111">
            <v>4.32215599310697E-4</v>
          </cell>
          <cell r="AW111">
            <v>1.5299999999999361E-2</v>
          </cell>
          <cell r="AX111">
            <v>35.399000000000001</v>
          </cell>
          <cell r="AY111">
            <v>35.414299999999997</v>
          </cell>
          <cell r="AZ111">
            <v>3.0720364622798321E-4</v>
          </cell>
          <cell r="BA111">
            <v>2.3571428571426928E-3</v>
          </cell>
          <cell r="BB111">
            <v>7.6729000000000003</v>
          </cell>
          <cell r="BC111">
            <v>7.6752571428571432</v>
          </cell>
        </row>
        <row r="112">
          <cell r="B112">
            <v>64</v>
          </cell>
          <cell r="C112">
            <v>4</v>
          </cell>
          <cell r="D112">
            <v>4.5286441746230272E-4</v>
          </cell>
          <cell r="E112">
            <v>2.7160000000000649E-2</v>
          </cell>
          <cell r="F112">
            <v>59.973799999999997</v>
          </cell>
          <cell r="G112">
            <v>60.000959999999999</v>
          </cell>
          <cell r="H112">
            <v>6.1964563326241955E-4</v>
          </cell>
          <cell r="I112">
            <v>4.4960000000001325E-2</v>
          </cell>
          <cell r="J112">
            <v>72.557599999999994</v>
          </cell>
          <cell r="K112">
            <v>72.602559999999997</v>
          </cell>
          <cell r="L112">
            <v>8.3073727933542731E-4</v>
          </cell>
          <cell r="M112">
            <v>4.5333333333334264E-4</v>
          </cell>
          <cell r="N112">
            <v>0.54569999999999996</v>
          </cell>
          <cell r="O112">
            <v>0.54615333333333327</v>
          </cell>
          <cell r="P112">
            <v>3.6122474277921888E-4</v>
          </cell>
          <cell r="Q112">
            <v>3.8853333333332782E-2</v>
          </cell>
          <cell r="R112">
            <v>107.56</v>
          </cell>
          <cell r="S112">
            <v>107.59885333333334</v>
          </cell>
          <cell r="T112">
            <v>7.659732846928847E-4</v>
          </cell>
          <cell r="U112">
            <v>3.5946666666666259E-2</v>
          </cell>
          <cell r="V112">
            <v>46.929400000000001</v>
          </cell>
          <cell r="W112">
            <v>46.965346666666669</v>
          </cell>
          <cell r="X112">
            <v>2.4471607440248116E-4</v>
          </cell>
          <cell r="Y112">
            <v>1.1133333333333439E-2</v>
          </cell>
          <cell r="Z112">
            <v>45.494900000000001</v>
          </cell>
          <cell r="AA112">
            <v>45.506033333333335</v>
          </cell>
          <cell r="AB112">
            <v>5.6076950036994613E-4</v>
          </cell>
          <cell r="AC112">
            <v>2.7359999999999711E-2</v>
          </cell>
          <cell r="AD112">
            <v>48.790100000000002</v>
          </cell>
          <cell r="AE112">
            <v>48.817460000000004</v>
          </cell>
          <cell r="AF112">
            <v>4.4426205744782976E-4</v>
          </cell>
          <cell r="AG112">
            <v>7.2533333333334822E-3</v>
          </cell>
          <cell r="AH112">
            <v>16.326699999999999</v>
          </cell>
          <cell r="AI112">
            <v>16.333953333333334</v>
          </cell>
          <cell r="AJ112">
            <v>4.0609684331580987E-4</v>
          </cell>
          <cell r="AK112">
            <v>6.4571428571430344E-3</v>
          </cell>
          <cell r="AL112">
            <v>15.900499999999999</v>
          </cell>
          <cell r="AM112">
            <v>15.906957142857141</v>
          </cell>
          <cell r="AN112">
            <v>6.284120812222588E-4</v>
          </cell>
          <cell r="AO112">
            <v>4.7999999999999788E-3</v>
          </cell>
          <cell r="AP112">
            <v>7.6383000000000001</v>
          </cell>
          <cell r="AQ112">
            <v>7.6431000000000004</v>
          </cell>
          <cell r="AR112">
            <v>1.0146498093519411E-4</v>
          </cell>
          <cell r="AS112">
            <v>4.2133333333339348E-3</v>
          </cell>
          <cell r="AT112">
            <v>41.524999999999999</v>
          </cell>
          <cell r="AU112">
            <v>41.529213333333331</v>
          </cell>
          <cell r="AV112">
            <v>5.7628746574759596E-4</v>
          </cell>
          <cell r="AW112">
            <v>2.0399999999999148E-2</v>
          </cell>
          <cell r="AX112">
            <v>35.399000000000001</v>
          </cell>
          <cell r="AY112">
            <v>35.419400000000003</v>
          </cell>
          <cell r="AZ112">
            <v>4.0960486163731097E-4</v>
          </cell>
          <cell r="BA112">
            <v>3.1428571428569235E-3</v>
          </cell>
          <cell r="BB112">
            <v>7.6729000000000003</v>
          </cell>
          <cell r="BC112">
            <v>7.6760428571428569</v>
          </cell>
        </row>
        <row r="113">
          <cell r="B113">
            <v>65</v>
          </cell>
          <cell r="C113">
            <v>5</v>
          </cell>
          <cell r="D113">
            <v>5.6608052182787838E-4</v>
          </cell>
          <cell r="E113">
            <v>3.3950000000000813E-2</v>
          </cell>
          <cell r="F113">
            <v>59.973799999999997</v>
          </cell>
          <cell r="G113">
            <v>60.007750000000001</v>
          </cell>
          <cell r="H113">
            <v>7.7455704157802438E-4</v>
          </cell>
          <cell r="I113">
            <v>5.6200000000001658E-2</v>
          </cell>
          <cell r="J113">
            <v>72.557599999999994</v>
          </cell>
          <cell r="K113">
            <v>72.613799999999998</v>
          </cell>
          <cell r="L113">
            <v>1.0384215991692842E-3</v>
          </cell>
          <cell r="M113">
            <v>5.6666666666667831E-4</v>
          </cell>
          <cell r="N113">
            <v>0.54569999999999996</v>
          </cell>
          <cell r="O113">
            <v>0.54626666666666668</v>
          </cell>
          <cell r="P113">
            <v>4.5153092847402364E-4</v>
          </cell>
          <cell r="Q113">
            <v>4.8566666666665981E-2</v>
          </cell>
          <cell r="R113">
            <v>107.56</v>
          </cell>
          <cell r="S113">
            <v>107.60856666666666</v>
          </cell>
          <cell r="T113">
            <v>9.5746660586610579E-4</v>
          </cell>
          <cell r="U113">
            <v>4.4933333333332826E-2</v>
          </cell>
          <cell r="V113">
            <v>46.929400000000001</v>
          </cell>
          <cell r="W113">
            <v>46.974333333333334</v>
          </cell>
          <cell r="X113">
            <v>3.0589509300310141E-4</v>
          </cell>
          <cell r="Y113">
            <v>1.3916666666666799E-2</v>
          </cell>
          <cell r="Z113">
            <v>45.494900000000001</v>
          </cell>
          <cell r="AA113">
            <v>45.508816666666668</v>
          </cell>
          <cell r="AB113">
            <v>7.0096187546243274E-4</v>
          </cell>
          <cell r="AC113">
            <v>3.419999999999964E-2</v>
          </cell>
          <cell r="AD113">
            <v>48.790100000000002</v>
          </cell>
          <cell r="AE113">
            <v>48.824300000000001</v>
          </cell>
          <cell r="AF113">
            <v>5.5532757180978723E-4</v>
          </cell>
          <cell r="AG113">
            <v>9.0666666666668529E-3</v>
          </cell>
          <cell r="AH113">
            <v>16.326699999999999</v>
          </cell>
          <cell r="AI113">
            <v>16.335766666666665</v>
          </cell>
          <cell r="AJ113">
            <v>5.0762105414476233E-4</v>
          </cell>
          <cell r="AK113">
            <v>8.0714285714287935E-3</v>
          </cell>
          <cell r="AL113">
            <v>15.900499999999999</v>
          </cell>
          <cell r="AM113">
            <v>15.908571428571427</v>
          </cell>
          <cell r="AN113">
            <v>7.8551510152782345E-4</v>
          </cell>
          <cell r="AO113">
            <v>5.9999999999999732E-3</v>
          </cell>
          <cell r="AP113">
            <v>7.6383000000000001</v>
          </cell>
          <cell r="AQ113">
            <v>7.6443000000000003</v>
          </cell>
          <cell r="AR113">
            <v>1.2683122616899265E-4</v>
          </cell>
          <cell r="AS113">
            <v>5.2666666666674189E-3</v>
          </cell>
          <cell r="AT113">
            <v>41.524999999999999</v>
          </cell>
          <cell r="AU113">
            <v>41.530266666666662</v>
          </cell>
          <cell r="AV113">
            <v>7.2035933218449492E-4</v>
          </cell>
          <cell r="AW113">
            <v>2.5499999999998937E-2</v>
          </cell>
          <cell r="AX113">
            <v>35.399000000000001</v>
          </cell>
          <cell r="AY113">
            <v>35.424500000000002</v>
          </cell>
          <cell r="AZ113">
            <v>5.1200607704663867E-4</v>
          </cell>
          <cell r="BA113">
            <v>3.9285714285711548E-3</v>
          </cell>
          <cell r="BB113">
            <v>7.6729000000000003</v>
          </cell>
          <cell r="BC113">
            <v>7.6768285714285716</v>
          </cell>
        </row>
        <row r="114">
          <cell r="B114">
            <v>66</v>
          </cell>
          <cell r="C114">
            <v>6</v>
          </cell>
          <cell r="D114">
            <v>6.792966261934541E-4</v>
          </cell>
          <cell r="E114">
            <v>4.0740000000000977E-2</v>
          </cell>
          <cell r="F114">
            <v>59.973799999999997</v>
          </cell>
          <cell r="G114">
            <v>60.014539999999997</v>
          </cell>
          <cell r="H114">
            <v>9.2946844989362921E-4</v>
          </cell>
          <cell r="I114">
            <v>6.7440000000001984E-2</v>
          </cell>
          <cell r="J114">
            <v>72.557599999999994</v>
          </cell>
          <cell r="K114">
            <v>72.625039999999998</v>
          </cell>
          <cell r="L114">
            <v>1.2461059190031409E-3</v>
          </cell>
          <cell r="M114">
            <v>6.8000000000001393E-4</v>
          </cell>
          <cell r="N114">
            <v>0.54569999999999996</v>
          </cell>
          <cell r="O114">
            <v>0.54637999999999998</v>
          </cell>
          <cell r="P114">
            <v>5.4183711416882835E-4</v>
          </cell>
          <cell r="Q114">
            <v>5.827999999999918E-2</v>
          </cell>
          <cell r="R114">
            <v>107.56</v>
          </cell>
          <cell r="S114">
            <v>107.61828</v>
          </cell>
          <cell r="T114">
            <v>1.1489599270393272E-3</v>
          </cell>
          <cell r="U114">
            <v>5.3919999999999392E-2</v>
          </cell>
          <cell r="V114">
            <v>46.929400000000001</v>
          </cell>
          <cell r="W114">
            <v>46.983319999999999</v>
          </cell>
          <cell r="X114">
            <v>3.6707411160372176E-4</v>
          </cell>
          <cell r="Y114">
            <v>1.6700000000000159E-2</v>
          </cell>
          <cell r="Z114">
            <v>45.494900000000001</v>
          </cell>
          <cell r="AA114">
            <v>45.511600000000001</v>
          </cell>
          <cell r="AB114">
            <v>8.4115425055491914E-4</v>
          </cell>
          <cell r="AC114">
            <v>4.1039999999999563E-2</v>
          </cell>
          <cell r="AD114">
            <v>48.790100000000002</v>
          </cell>
          <cell r="AE114">
            <v>48.831140000000005</v>
          </cell>
          <cell r="AF114">
            <v>6.6639308617174469E-4</v>
          </cell>
          <cell r="AG114">
            <v>1.0880000000000223E-2</v>
          </cell>
          <cell r="AH114">
            <v>16.326699999999999</v>
          </cell>
          <cell r="AI114">
            <v>16.337579999999999</v>
          </cell>
          <cell r="AJ114">
            <v>6.091452649737148E-4</v>
          </cell>
          <cell r="AK114">
            <v>9.6857142857145508E-3</v>
          </cell>
          <cell r="AL114">
            <v>15.900499999999999</v>
          </cell>
          <cell r="AM114">
            <v>15.910185714285713</v>
          </cell>
          <cell r="AN114">
            <v>9.426181218333881E-4</v>
          </cell>
          <cell r="AO114">
            <v>7.1999999999999686E-3</v>
          </cell>
          <cell r="AP114">
            <v>7.6383000000000001</v>
          </cell>
          <cell r="AQ114">
            <v>7.6455000000000002</v>
          </cell>
          <cell r="AR114">
            <v>1.5219747140279114E-4</v>
          </cell>
          <cell r="AS114">
            <v>6.320000000000903E-3</v>
          </cell>
          <cell r="AT114">
            <v>41.524999999999999</v>
          </cell>
          <cell r="AU114">
            <v>41.531320000000001</v>
          </cell>
          <cell r="AV114">
            <v>8.6443119862139399E-4</v>
          </cell>
          <cell r="AW114">
            <v>3.0599999999998722E-2</v>
          </cell>
          <cell r="AX114">
            <v>35.399000000000001</v>
          </cell>
          <cell r="AY114">
            <v>35.429600000000001</v>
          </cell>
          <cell r="AZ114">
            <v>6.1440729245596643E-4</v>
          </cell>
          <cell r="BA114">
            <v>4.7142857142853855E-3</v>
          </cell>
          <cell r="BB114">
            <v>7.6729000000000003</v>
          </cell>
          <cell r="BC114">
            <v>7.6776142857142853</v>
          </cell>
        </row>
        <row r="115">
          <cell r="B115">
            <v>67</v>
          </cell>
          <cell r="C115">
            <v>7</v>
          </cell>
          <cell r="D115">
            <v>7.9251273055902982E-4</v>
          </cell>
          <cell r="E115">
            <v>4.7530000000001141E-2</v>
          </cell>
          <cell r="F115">
            <v>59.973799999999997</v>
          </cell>
          <cell r="G115">
            <v>60.021329999999999</v>
          </cell>
          <cell r="H115">
            <v>1.084379858209234E-3</v>
          </cell>
          <cell r="I115">
            <v>7.8680000000002318E-2</v>
          </cell>
          <cell r="J115">
            <v>72.557599999999994</v>
          </cell>
          <cell r="K115">
            <v>72.636279999999999</v>
          </cell>
          <cell r="L115">
            <v>1.4537902388369979E-3</v>
          </cell>
          <cell r="M115">
            <v>7.9333333333334954E-4</v>
          </cell>
          <cell r="N115">
            <v>0.54569999999999996</v>
          </cell>
          <cell r="O115">
            <v>0.54649333333333328</v>
          </cell>
          <cell r="P115">
            <v>6.3214329986363311E-4</v>
          </cell>
          <cell r="Q115">
            <v>6.7993333333332379E-2</v>
          </cell>
          <cell r="R115">
            <v>107.56</v>
          </cell>
          <cell r="S115">
            <v>107.62799333333334</v>
          </cell>
          <cell r="T115">
            <v>1.3404532482125483E-3</v>
          </cell>
          <cell r="U115">
            <v>6.2906666666665959E-2</v>
          </cell>
          <cell r="V115">
            <v>46.929400000000001</v>
          </cell>
          <cell r="W115">
            <v>46.992306666666664</v>
          </cell>
          <cell r="X115">
            <v>4.2825313020434201E-4</v>
          </cell>
          <cell r="Y115">
            <v>1.9483333333333519E-2</v>
          </cell>
          <cell r="Z115">
            <v>45.494900000000001</v>
          </cell>
          <cell r="AA115">
            <v>45.514383333333335</v>
          </cell>
          <cell r="AB115">
            <v>9.8134662564740576E-4</v>
          </cell>
          <cell r="AC115">
            <v>4.7879999999999492E-2</v>
          </cell>
          <cell r="AD115">
            <v>48.790100000000002</v>
          </cell>
          <cell r="AE115">
            <v>48.837980000000002</v>
          </cell>
          <cell r="AF115">
            <v>7.7745860053370216E-4</v>
          </cell>
          <cell r="AG115">
            <v>1.2693333333333593E-2</v>
          </cell>
          <cell r="AH115">
            <v>16.326699999999999</v>
          </cell>
          <cell r="AI115">
            <v>16.339393333333334</v>
          </cell>
          <cell r="AJ115">
            <v>7.1066947580266727E-4</v>
          </cell>
          <cell r="AK115">
            <v>1.130000000000031E-2</v>
          </cell>
          <cell r="AL115">
            <v>15.900499999999999</v>
          </cell>
          <cell r="AM115">
            <v>15.911799999999999</v>
          </cell>
          <cell r="AN115">
            <v>1.0997211421389529E-3</v>
          </cell>
          <cell r="AO115">
            <v>8.3999999999999631E-3</v>
          </cell>
          <cell r="AP115">
            <v>7.6383000000000001</v>
          </cell>
          <cell r="AQ115">
            <v>7.6467000000000001</v>
          </cell>
          <cell r="AR115">
            <v>1.7756371663658969E-4</v>
          </cell>
          <cell r="AS115">
            <v>7.3733333333343863E-3</v>
          </cell>
          <cell r="AT115">
            <v>41.524999999999999</v>
          </cell>
          <cell r="AU115">
            <v>41.532373333333332</v>
          </cell>
          <cell r="AV115">
            <v>1.008503065058293E-3</v>
          </cell>
          <cell r="AW115">
            <v>3.5699999999998511E-2</v>
          </cell>
          <cell r="AX115">
            <v>35.399000000000001</v>
          </cell>
          <cell r="AY115">
            <v>35.434699999999999</v>
          </cell>
          <cell r="AZ115">
            <v>7.1680850786529418E-4</v>
          </cell>
          <cell r="BA115">
            <v>5.4999999999996163E-3</v>
          </cell>
          <cell r="BB115">
            <v>7.6729000000000003</v>
          </cell>
          <cell r="BC115">
            <v>7.6783999999999999</v>
          </cell>
        </row>
        <row r="116">
          <cell r="B116">
            <v>68</v>
          </cell>
          <cell r="C116">
            <v>8</v>
          </cell>
          <cell r="D116">
            <v>9.0572883492460543E-4</v>
          </cell>
          <cell r="E116">
            <v>5.4320000000001298E-2</v>
          </cell>
          <cell r="F116">
            <v>59.973799999999997</v>
          </cell>
          <cell r="G116">
            <v>60.028120000000001</v>
          </cell>
          <cell r="H116">
            <v>1.2392912665248391E-3</v>
          </cell>
          <cell r="I116">
            <v>8.9920000000002651E-2</v>
          </cell>
          <cell r="J116">
            <v>72.557599999999994</v>
          </cell>
          <cell r="K116">
            <v>72.64752</v>
          </cell>
          <cell r="L116">
            <v>1.6614745586708546E-3</v>
          </cell>
          <cell r="M116">
            <v>9.0666666666668527E-4</v>
          </cell>
          <cell r="N116">
            <v>0.54569999999999996</v>
          </cell>
          <cell r="O116">
            <v>0.54660666666666669</v>
          </cell>
          <cell r="P116">
            <v>7.2244948555843776E-4</v>
          </cell>
          <cell r="Q116">
            <v>7.7706666666665564E-2</v>
          </cell>
          <cell r="R116">
            <v>107.56</v>
          </cell>
          <cell r="S116">
            <v>107.63770666666667</v>
          </cell>
          <cell r="T116">
            <v>1.5319465693857694E-3</v>
          </cell>
          <cell r="U116">
            <v>7.1893333333332518E-2</v>
          </cell>
          <cell r="V116">
            <v>46.929400000000001</v>
          </cell>
          <cell r="W116">
            <v>47.001293333333336</v>
          </cell>
          <cell r="X116">
            <v>4.8943214880496232E-4</v>
          </cell>
          <cell r="Y116">
            <v>2.2266666666666879E-2</v>
          </cell>
          <cell r="Z116">
            <v>45.494900000000001</v>
          </cell>
          <cell r="AA116">
            <v>45.517166666666668</v>
          </cell>
          <cell r="AB116">
            <v>1.1215390007398923E-3</v>
          </cell>
          <cell r="AC116">
            <v>5.4719999999999422E-2</v>
          </cell>
          <cell r="AD116">
            <v>48.790100000000002</v>
          </cell>
          <cell r="AE116">
            <v>48.844819999999999</v>
          </cell>
          <cell r="AF116">
            <v>8.8852411489565952E-4</v>
          </cell>
          <cell r="AG116">
            <v>1.4506666666666964E-2</v>
          </cell>
          <cell r="AH116">
            <v>16.326699999999999</v>
          </cell>
          <cell r="AI116">
            <v>16.341206666666665</v>
          </cell>
          <cell r="AJ116">
            <v>8.1219368663161973E-4</v>
          </cell>
          <cell r="AK116">
            <v>1.2914285714286069E-2</v>
          </cell>
          <cell r="AL116">
            <v>15.900499999999999</v>
          </cell>
          <cell r="AM116">
            <v>15.913414285714286</v>
          </cell>
          <cell r="AN116">
            <v>1.2568241624445176E-3</v>
          </cell>
          <cell r="AO116">
            <v>9.5999999999999575E-3</v>
          </cell>
          <cell r="AP116">
            <v>7.6383000000000001</v>
          </cell>
          <cell r="AQ116">
            <v>7.6478999999999999</v>
          </cell>
          <cell r="AR116">
            <v>2.0292996187038821E-4</v>
          </cell>
          <cell r="AS116">
            <v>8.4266666666678695E-3</v>
          </cell>
          <cell r="AT116">
            <v>41.524999999999999</v>
          </cell>
          <cell r="AU116">
            <v>41.533426666666664</v>
          </cell>
          <cell r="AV116">
            <v>1.1525749314951919E-3</v>
          </cell>
          <cell r="AW116">
            <v>4.0799999999998296E-2</v>
          </cell>
          <cell r="AX116">
            <v>35.399000000000001</v>
          </cell>
          <cell r="AY116">
            <v>35.439799999999998</v>
          </cell>
          <cell r="AZ116">
            <v>8.1920972327462194E-4</v>
          </cell>
          <cell r="BA116">
            <v>6.2857142857138471E-3</v>
          </cell>
          <cell r="BB116">
            <v>7.6729000000000003</v>
          </cell>
          <cell r="BC116">
            <v>7.6791857142857145</v>
          </cell>
        </row>
        <row r="117">
          <cell r="B117">
            <v>69</v>
          </cell>
          <cell r="C117">
            <v>9</v>
          </cell>
          <cell r="D117">
            <v>1.0189449392901812E-3</v>
          </cell>
          <cell r="E117">
            <v>6.1110000000001462E-2</v>
          </cell>
          <cell r="F117">
            <v>59.973799999999997</v>
          </cell>
          <cell r="G117">
            <v>60.034909999999996</v>
          </cell>
          <cell r="H117">
            <v>1.3942026748404439E-3</v>
          </cell>
          <cell r="I117">
            <v>0.10116000000000298</v>
          </cell>
          <cell r="J117">
            <v>72.557599999999994</v>
          </cell>
          <cell r="K117">
            <v>72.658760000000001</v>
          </cell>
          <cell r="L117">
            <v>1.8691588785047114E-3</v>
          </cell>
          <cell r="M117">
            <v>1.0200000000000209E-3</v>
          </cell>
          <cell r="N117">
            <v>0.54569999999999996</v>
          </cell>
          <cell r="O117">
            <v>0.54671999999999998</v>
          </cell>
          <cell r="P117">
            <v>8.1275567125324252E-4</v>
          </cell>
          <cell r="Q117">
            <v>8.7419999999998763E-2</v>
          </cell>
          <cell r="R117">
            <v>107.56</v>
          </cell>
          <cell r="S117">
            <v>107.64742</v>
          </cell>
          <cell r="T117">
            <v>1.7234398905589905E-3</v>
          </cell>
          <cell r="U117">
            <v>8.0879999999999092E-2</v>
          </cell>
          <cell r="V117">
            <v>46.929400000000001</v>
          </cell>
          <cell r="W117">
            <v>47.010280000000002</v>
          </cell>
          <cell r="X117">
            <v>5.5061116740558256E-4</v>
          </cell>
          <cell r="Y117">
            <v>2.5050000000000239E-2</v>
          </cell>
          <cell r="Z117">
            <v>45.494900000000001</v>
          </cell>
          <cell r="AA117">
            <v>45.519950000000001</v>
          </cell>
          <cell r="AB117">
            <v>1.2617313758323788E-3</v>
          </cell>
          <cell r="AC117">
            <v>6.1559999999999351E-2</v>
          </cell>
          <cell r="AD117">
            <v>48.790100000000002</v>
          </cell>
          <cell r="AE117">
            <v>48.851660000000003</v>
          </cell>
          <cell r="AF117">
            <v>9.995896292576171E-4</v>
          </cell>
          <cell r="AG117">
            <v>1.6320000000000334E-2</v>
          </cell>
          <cell r="AH117">
            <v>16.326699999999999</v>
          </cell>
          <cell r="AI117">
            <v>16.343019999999999</v>
          </cell>
          <cell r="AJ117">
            <v>9.137178974605722E-4</v>
          </cell>
          <cell r="AK117">
            <v>1.4528571428571826E-2</v>
          </cell>
          <cell r="AL117">
            <v>15.900499999999999</v>
          </cell>
          <cell r="AM117">
            <v>15.915028571428572</v>
          </cell>
          <cell r="AN117">
            <v>1.4139271827500824E-3</v>
          </cell>
          <cell r="AO117">
            <v>1.0799999999999952E-2</v>
          </cell>
          <cell r="AP117">
            <v>7.6383000000000001</v>
          </cell>
          <cell r="AQ117">
            <v>7.6490999999999998</v>
          </cell>
          <cell r="AR117">
            <v>2.2829620710418676E-4</v>
          </cell>
          <cell r="AS117">
            <v>9.4800000000013537E-3</v>
          </cell>
          <cell r="AT117">
            <v>41.524999999999999</v>
          </cell>
          <cell r="AU117">
            <v>41.534480000000002</v>
          </cell>
          <cell r="AV117">
            <v>1.2966467979320909E-3</v>
          </cell>
          <cell r="AW117">
            <v>4.5899999999998088E-2</v>
          </cell>
          <cell r="AX117">
            <v>35.399000000000001</v>
          </cell>
          <cell r="AY117">
            <v>35.444899999999997</v>
          </cell>
          <cell r="AZ117">
            <v>9.216109386839497E-4</v>
          </cell>
          <cell r="BA117">
            <v>7.0714285714280779E-3</v>
          </cell>
          <cell r="BB117">
            <v>7.6729000000000003</v>
          </cell>
          <cell r="BC117">
            <v>7.6799714285714282</v>
          </cell>
        </row>
        <row r="118">
          <cell r="B118">
            <v>70</v>
          </cell>
          <cell r="C118">
            <v>10</v>
          </cell>
          <cell r="D118">
            <v>1.1321610436557568E-3</v>
          </cell>
          <cell r="E118">
            <v>6.7900000000001626E-2</v>
          </cell>
          <cell r="F118">
            <v>59.973799999999997</v>
          </cell>
          <cell r="G118">
            <v>60.041699999999999</v>
          </cell>
          <cell r="H118">
            <v>1.5491140831560488E-3</v>
          </cell>
          <cell r="I118">
            <v>0.11240000000000332</v>
          </cell>
          <cell r="J118">
            <v>72.557599999999994</v>
          </cell>
          <cell r="K118">
            <v>72.67</v>
          </cell>
          <cell r="L118">
            <v>2.0768431983385683E-3</v>
          </cell>
          <cell r="M118">
            <v>1.1333333333333566E-3</v>
          </cell>
          <cell r="N118">
            <v>0.54569999999999996</v>
          </cell>
          <cell r="O118">
            <v>0.54683333333333328</v>
          </cell>
          <cell r="P118">
            <v>9.0306185694804728E-4</v>
          </cell>
          <cell r="Q118">
            <v>9.7133333333331962E-2</v>
          </cell>
          <cell r="R118">
            <v>107.56</v>
          </cell>
          <cell r="S118">
            <v>107.65713333333333</v>
          </cell>
          <cell r="T118">
            <v>1.9149332117322116E-3</v>
          </cell>
          <cell r="U118">
            <v>8.9866666666665651E-2</v>
          </cell>
          <cell r="V118">
            <v>46.929400000000001</v>
          </cell>
          <cell r="W118">
            <v>47.019266666666667</v>
          </cell>
          <cell r="X118">
            <v>6.1179018600620281E-4</v>
          </cell>
          <cell r="Y118">
            <v>2.7833333333333599E-2</v>
          </cell>
          <cell r="Z118">
            <v>45.494900000000001</v>
          </cell>
          <cell r="AA118">
            <v>45.522733333333335</v>
          </cell>
          <cell r="AB118">
            <v>1.4019237509248655E-3</v>
          </cell>
          <cell r="AC118">
            <v>6.8399999999999281E-2</v>
          </cell>
          <cell r="AD118">
            <v>48.790100000000002</v>
          </cell>
          <cell r="AE118">
            <v>48.858499999999999</v>
          </cell>
          <cell r="AF118">
            <v>1.1106551436195745E-3</v>
          </cell>
          <cell r="AG118">
            <v>1.8133333333333706E-2</v>
          </cell>
          <cell r="AH118">
            <v>16.326699999999999</v>
          </cell>
          <cell r="AI118">
            <v>16.344833333333334</v>
          </cell>
          <cell r="AJ118">
            <v>1.0152421082895247E-3</v>
          </cell>
          <cell r="AK118">
            <v>1.6142857142857587E-2</v>
          </cell>
          <cell r="AL118">
            <v>15.900499999999999</v>
          </cell>
          <cell r="AM118">
            <v>15.916642857142858</v>
          </cell>
          <cell r="AN118">
            <v>1.5710302030556469E-3</v>
          </cell>
          <cell r="AO118">
            <v>1.1999999999999946E-2</v>
          </cell>
          <cell r="AP118">
            <v>7.6383000000000001</v>
          </cell>
          <cell r="AQ118">
            <v>7.6502999999999997</v>
          </cell>
          <cell r="AR118">
            <v>2.536624523379853E-4</v>
          </cell>
          <cell r="AS118">
            <v>1.0533333333334838E-2</v>
          </cell>
          <cell r="AT118">
            <v>41.524999999999999</v>
          </cell>
          <cell r="AU118">
            <v>41.535533333333333</v>
          </cell>
          <cell r="AV118">
            <v>1.4407186643689898E-3</v>
          </cell>
          <cell r="AW118">
            <v>5.0999999999997873E-2</v>
          </cell>
          <cell r="AX118">
            <v>35.399000000000001</v>
          </cell>
          <cell r="AY118">
            <v>35.449999999999996</v>
          </cell>
          <cell r="AZ118">
            <v>1.0240121540932773E-3</v>
          </cell>
          <cell r="BA118">
            <v>7.8571428571423095E-3</v>
          </cell>
          <cell r="BB118">
            <v>7.6729000000000003</v>
          </cell>
          <cell r="BC118">
            <v>7.6807571428571428</v>
          </cell>
        </row>
        <row r="119">
          <cell r="B119">
            <v>71</v>
          </cell>
          <cell r="C119">
            <v>11</v>
          </cell>
          <cell r="D119">
            <v>1.2453771480213326E-3</v>
          </cell>
          <cell r="E119">
            <v>7.4690000000001783E-2</v>
          </cell>
          <cell r="F119">
            <v>59.973799999999997</v>
          </cell>
          <cell r="G119">
            <v>60.048490000000001</v>
          </cell>
          <cell r="H119">
            <v>1.7040254914716536E-3</v>
          </cell>
          <cell r="I119">
            <v>0.12364000000000365</v>
          </cell>
          <cell r="J119">
            <v>72.557599999999994</v>
          </cell>
          <cell r="K119">
            <v>72.681240000000003</v>
          </cell>
          <cell r="L119">
            <v>2.2845275181724248E-3</v>
          </cell>
          <cell r="M119">
            <v>1.2466666666666921E-3</v>
          </cell>
          <cell r="N119">
            <v>0.54569999999999996</v>
          </cell>
          <cell r="O119">
            <v>0.54694666666666669</v>
          </cell>
          <cell r="P119">
            <v>9.9336804264285204E-4</v>
          </cell>
          <cell r="Q119">
            <v>0.10684666666666516</v>
          </cell>
          <cell r="R119">
            <v>107.56</v>
          </cell>
          <cell r="S119">
            <v>107.66684666666667</v>
          </cell>
          <cell r="T119">
            <v>2.1064265329054327E-3</v>
          </cell>
          <cell r="U119">
            <v>9.8853333333332211E-2</v>
          </cell>
          <cell r="V119">
            <v>46.929400000000001</v>
          </cell>
          <cell r="W119">
            <v>47.028253333333332</v>
          </cell>
          <cell r="X119">
            <v>6.7296920460682317E-4</v>
          </cell>
          <cell r="Y119">
            <v>3.0616666666666958E-2</v>
          </cell>
          <cell r="Z119">
            <v>45.494900000000001</v>
          </cell>
          <cell r="AA119">
            <v>45.525516666666668</v>
          </cell>
          <cell r="AB119">
            <v>1.542116126017352E-3</v>
          </cell>
          <cell r="AC119">
            <v>7.523999999999921E-2</v>
          </cell>
          <cell r="AD119">
            <v>48.790100000000002</v>
          </cell>
          <cell r="AE119">
            <v>48.865340000000003</v>
          </cell>
          <cell r="AF119">
            <v>1.221720657981532E-3</v>
          </cell>
          <cell r="AG119">
            <v>1.9946666666667074E-2</v>
          </cell>
          <cell r="AH119">
            <v>16.326699999999999</v>
          </cell>
          <cell r="AI119">
            <v>16.346646666666665</v>
          </cell>
          <cell r="AJ119">
            <v>1.116766319118477E-3</v>
          </cell>
          <cell r="AK119">
            <v>1.7757142857143342E-2</v>
          </cell>
          <cell r="AL119">
            <v>15.900499999999999</v>
          </cell>
          <cell r="AM119">
            <v>15.918257142857142</v>
          </cell>
          <cell r="AN119">
            <v>1.7281332233612117E-3</v>
          </cell>
          <cell r="AO119">
            <v>1.3199999999999943E-2</v>
          </cell>
          <cell r="AP119">
            <v>7.6383000000000001</v>
          </cell>
          <cell r="AQ119">
            <v>7.6515000000000004</v>
          </cell>
          <cell r="AR119">
            <v>2.7902869757178382E-4</v>
          </cell>
          <cell r="AS119">
            <v>1.1586666666668322E-2</v>
          </cell>
          <cell r="AT119">
            <v>41.524999999999999</v>
          </cell>
          <cell r="AU119">
            <v>41.536586666666665</v>
          </cell>
          <cell r="AV119">
            <v>1.584790530805889E-3</v>
          </cell>
          <cell r="AW119">
            <v>5.6099999999997659E-2</v>
          </cell>
          <cell r="AX119">
            <v>35.399000000000001</v>
          </cell>
          <cell r="AY119">
            <v>35.455100000000002</v>
          </cell>
          <cell r="AZ119">
            <v>1.1264133695026051E-3</v>
          </cell>
          <cell r="BA119">
            <v>8.6428571428565394E-3</v>
          </cell>
          <cell r="BB119">
            <v>7.6729000000000003</v>
          </cell>
          <cell r="BC119">
            <v>7.6815428571428566</v>
          </cell>
        </row>
        <row r="120">
          <cell r="B120">
            <v>72</v>
          </cell>
          <cell r="C120">
            <v>12</v>
          </cell>
          <cell r="D120">
            <v>1.3585932523869082E-3</v>
          </cell>
          <cell r="E120">
            <v>8.1480000000001954E-2</v>
          </cell>
          <cell r="F120">
            <v>59.973799999999997</v>
          </cell>
          <cell r="G120">
            <v>60.055279999999996</v>
          </cell>
          <cell r="H120">
            <v>1.8589368997872584E-3</v>
          </cell>
          <cell r="I120">
            <v>0.13488000000000397</v>
          </cell>
          <cell r="J120">
            <v>72.557599999999994</v>
          </cell>
          <cell r="K120">
            <v>72.692480000000003</v>
          </cell>
          <cell r="L120">
            <v>2.4922118380062818E-3</v>
          </cell>
          <cell r="M120">
            <v>1.3600000000000279E-3</v>
          </cell>
          <cell r="N120">
            <v>0.54569999999999996</v>
          </cell>
          <cell r="O120">
            <v>0.54705999999999999</v>
          </cell>
          <cell r="P120">
            <v>1.0836742283376567E-3</v>
          </cell>
          <cell r="Q120">
            <v>0.11655999999999836</v>
          </cell>
          <cell r="R120">
            <v>107.56</v>
          </cell>
          <cell r="S120">
            <v>107.67655999999999</v>
          </cell>
          <cell r="T120">
            <v>2.2979198540786544E-3</v>
          </cell>
          <cell r="U120">
            <v>0.10783999999999878</v>
          </cell>
          <cell r="V120">
            <v>46.929400000000001</v>
          </cell>
          <cell r="W120">
            <v>47.037239999999997</v>
          </cell>
          <cell r="X120">
            <v>7.3414822320744353E-4</v>
          </cell>
          <cell r="Y120">
            <v>3.3400000000000318E-2</v>
          </cell>
          <cell r="Z120">
            <v>45.494900000000001</v>
          </cell>
          <cell r="AA120">
            <v>45.528300000000002</v>
          </cell>
          <cell r="AB120">
            <v>1.6823085011098383E-3</v>
          </cell>
          <cell r="AC120">
            <v>8.2079999999999126E-2</v>
          </cell>
          <cell r="AD120">
            <v>48.790100000000002</v>
          </cell>
          <cell r="AE120">
            <v>48.87218</v>
          </cell>
          <cell r="AF120">
            <v>1.3327861723434894E-3</v>
          </cell>
          <cell r="AG120">
            <v>2.1760000000000446E-2</v>
          </cell>
          <cell r="AH120">
            <v>16.326699999999999</v>
          </cell>
          <cell r="AI120">
            <v>16.348459999999999</v>
          </cell>
          <cell r="AJ120">
            <v>1.2182905299474296E-3</v>
          </cell>
          <cell r="AK120">
            <v>1.9371428571429102E-2</v>
          </cell>
          <cell r="AL120">
            <v>15.900499999999999</v>
          </cell>
          <cell r="AM120">
            <v>15.919871428571428</v>
          </cell>
          <cell r="AN120">
            <v>1.8852362436667762E-3</v>
          </cell>
          <cell r="AO120">
            <v>1.4399999999999937E-2</v>
          </cell>
          <cell r="AP120">
            <v>7.6383000000000001</v>
          </cell>
          <cell r="AQ120">
            <v>7.6527000000000003</v>
          </cell>
          <cell r="AR120">
            <v>3.0439494280558229E-4</v>
          </cell>
          <cell r="AS120">
            <v>1.2640000000001806E-2</v>
          </cell>
          <cell r="AT120">
            <v>41.524999999999999</v>
          </cell>
          <cell r="AU120">
            <v>41.537640000000003</v>
          </cell>
          <cell r="AV120">
            <v>1.728862397242788E-3</v>
          </cell>
          <cell r="AW120">
            <v>6.1199999999997444E-2</v>
          </cell>
          <cell r="AX120">
            <v>35.399000000000001</v>
          </cell>
          <cell r="AY120">
            <v>35.4602</v>
          </cell>
          <cell r="AZ120">
            <v>1.2288145849119329E-3</v>
          </cell>
          <cell r="BA120">
            <v>9.4285714285707711E-3</v>
          </cell>
          <cell r="BB120">
            <v>7.6729000000000003</v>
          </cell>
          <cell r="BC120">
            <v>7.6823285714285712</v>
          </cell>
        </row>
        <row r="121">
          <cell r="B121">
            <v>73</v>
          </cell>
          <cell r="C121">
            <v>13</v>
          </cell>
          <cell r="D121">
            <v>1.4718093567524838E-3</v>
          </cell>
          <cell r="E121">
            <v>8.8270000000002111E-2</v>
          </cell>
          <cell r="F121">
            <v>59.973799999999997</v>
          </cell>
          <cell r="G121">
            <v>60.062069999999999</v>
          </cell>
          <cell r="H121">
            <v>2.0138483081028635E-3</v>
          </cell>
          <cell r="I121">
            <v>0.1461200000000043</v>
          </cell>
          <cell r="J121">
            <v>72.557599999999994</v>
          </cell>
          <cell r="K121">
            <v>72.703720000000004</v>
          </cell>
          <cell r="L121">
            <v>2.6998961578401383E-3</v>
          </cell>
          <cell r="M121">
            <v>1.4733333333333636E-3</v>
          </cell>
          <cell r="N121">
            <v>0.54569999999999996</v>
          </cell>
          <cell r="O121">
            <v>0.54717333333333329</v>
          </cell>
          <cell r="P121">
            <v>1.1739804140324616E-3</v>
          </cell>
          <cell r="Q121">
            <v>0.12627333333333154</v>
          </cell>
          <cell r="R121">
            <v>107.56</v>
          </cell>
          <cell r="S121">
            <v>107.68627333333333</v>
          </cell>
          <cell r="T121">
            <v>2.4894131752518753E-3</v>
          </cell>
          <cell r="U121">
            <v>0.11682666666666534</v>
          </cell>
          <cell r="V121">
            <v>46.929400000000001</v>
          </cell>
          <cell r="W121">
            <v>47.046226666666669</v>
          </cell>
          <cell r="X121">
            <v>7.9532724180806367E-4</v>
          </cell>
          <cell r="Y121">
            <v>3.6183333333333678E-2</v>
          </cell>
          <cell r="Z121">
            <v>45.494900000000001</v>
          </cell>
          <cell r="AA121">
            <v>45.531083333333335</v>
          </cell>
          <cell r="AB121">
            <v>1.8225008762023248E-3</v>
          </cell>
          <cell r="AC121">
            <v>8.8919999999999055E-2</v>
          </cell>
          <cell r="AD121">
            <v>48.790100000000002</v>
          </cell>
          <cell r="AE121">
            <v>48.879020000000004</v>
          </cell>
          <cell r="AF121">
            <v>1.4438516867054467E-3</v>
          </cell>
          <cell r="AG121">
            <v>2.3573333333333817E-2</v>
          </cell>
          <cell r="AH121">
            <v>16.326699999999999</v>
          </cell>
          <cell r="AI121">
            <v>16.350273333333334</v>
          </cell>
          <cell r="AJ121">
            <v>1.319814740776382E-3</v>
          </cell>
          <cell r="AK121">
            <v>2.0985714285714861E-2</v>
          </cell>
          <cell r="AL121">
            <v>15.900499999999999</v>
          </cell>
          <cell r="AM121">
            <v>15.921485714285714</v>
          </cell>
          <cell r="AN121">
            <v>2.0423392639723407E-3</v>
          </cell>
          <cell r="AO121">
            <v>1.5599999999999932E-2</v>
          </cell>
          <cell r="AP121">
            <v>7.6383000000000001</v>
          </cell>
          <cell r="AQ121">
            <v>7.6539000000000001</v>
          </cell>
          <cell r="AR121">
            <v>3.2976118803938081E-4</v>
          </cell>
          <cell r="AS121">
            <v>1.3693333333335288E-2</v>
          </cell>
          <cell r="AT121">
            <v>41.524999999999999</v>
          </cell>
          <cell r="AU121">
            <v>41.538693333333335</v>
          </cell>
          <cell r="AV121">
            <v>1.872934263679687E-3</v>
          </cell>
          <cell r="AW121">
            <v>6.6299999999997236E-2</v>
          </cell>
          <cell r="AX121">
            <v>35.399000000000001</v>
          </cell>
          <cell r="AY121">
            <v>35.465299999999999</v>
          </cell>
          <cell r="AZ121">
            <v>1.3312158003212606E-3</v>
          </cell>
          <cell r="BA121">
            <v>1.0214285714285001E-2</v>
          </cell>
          <cell r="BB121">
            <v>7.6729000000000003</v>
          </cell>
          <cell r="BC121">
            <v>7.6831142857142849</v>
          </cell>
        </row>
        <row r="122">
          <cell r="B122">
            <v>74</v>
          </cell>
          <cell r="C122">
            <v>14</v>
          </cell>
          <cell r="D122">
            <v>1.5850254611180596E-3</v>
          </cell>
          <cell r="E122">
            <v>9.5060000000002282E-2</v>
          </cell>
          <cell r="F122">
            <v>59.973799999999997</v>
          </cell>
          <cell r="G122">
            <v>60.068860000000001</v>
          </cell>
          <cell r="H122">
            <v>2.1687597164184681E-3</v>
          </cell>
          <cell r="I122">
            <v>0.15736000000000464</v>
          </cell>
          <cell r="J122">
            <v>72.557599999999994</v>
          </cell>
          <cell r="K122">
            <v>72.714960000000005</v>
          </cell>
          <cell r="L122">
            <v>2.9075804776739957E-3</v>
          </cell>
          <cell r="M122">
            <v>1.5866666666666991E-3</v>
          </cell>
          <cell r="N122">
            <v>0.54569999999999996</v>
          </cell>
          <cell r="O122">
            <v>0.5472866666666667</v>
          </cell>
          <cell r="P122">
            <v>1.2642865997272662E-3</v>
          </cell>
          <cell r="Q122">
            <v>0.13598666666666476</v>
          </cell>
          <cell r="R122">
            <v>107.56</v>
          </cell>
          <cell r="S122">
            <v>107.69598666666667</v>
          </cell>
          <cell r="T122">
            <v>2.6809064964250966E-3</v>
          </cell>
          <cell r="U122">
            <v>0.12581333333333192</v>
          </cell>
          <cell r="V122">
            <v>46.929400000000001</v>
          </cell>
          <cell r="W122">
            <v>47.055213333333334</v>
          </cell>
          <cell r="X122">
            <v>8.5650626040868403E-4</v>
          </cell>
          <cell r="Y122">
            <v>3.8966666666667038E-2</v>
          </cell>
          <cell r="Z122">
            <v>45.494900000000001</v>
          </cell>
          <cell r="AA122">
            <v>45.533866666666668</v>
          </cell>
          <cell r="AB122">
            <v>1.9626932512948115E-3</v>
          </cell>
          <cell r="AC122">
            <v>9.5759999999998985E-2</v>
          </cell>
          <cell r="AD122">
            <v>48.790100000000002</v>
          </cell>
          <cell r="AE122">
            <v>48.885860000000001</v>
          </cell>
          <cell r="AF122">
            <v>1.5549172010674043E-3</v>
          </cell>
          <cell r="AG122">
            <v>2.5386666666667185E-2</v>
          </cell>
          <cell r="AH122">
            <v>16.326699999999999</v>
          </cell>
          <cell r="AI122">
            <v>16.352086666666665</v>
          </cell>
          <cell r="AJ122">
            <v>1.4213389516053345E-3</v>
          </cell>
          <cell r="AK122">
            <v>2.260000000000062E-2</v>
          </cell>
          <cell r="AL122">
            <v>15.900499999999999</v>
          </cell>
          <cell r="AM122">
            <v>15.9231</v>
          </cell>
          <cell r="AN122">
            <v>2.1994422842779057E-3</v>
          </cell>
          <cell r="AO122">
            <v>1.6799999999999926E-2</v>
          </cell>
          <cell r="AP122">
            <v>7.6383000000000001</v>
          </cell>
          <cell r="AQ122">
            <v>7.6551</v>
          </cell>
          <cell r="AR122">
            <v>3.5512743327317938E-4</v>
          </cell>
          <cell r="AS122">
            <v>1.4746666666668773E-2</v>
          </cell>
          <cell r="AT122">
            <v>41.524999999999999</v>
          </cell>
          <cell r="AU122">
            <v>41.539746666666666</v>
          </cell>
          <cell r="AV122">
            <v>2.0170061301165859E-3</v>
          </cell>
          <cell r="AW122">
            <v>7.1399999999997021E-2</v>
          </cell>
          <cell r="AX122">
            <v>35.399000000000001</v>
          </cell>
          <cell r="AY122">
            <v>35.470399999999998</v>
          </cell>
          <cell r="AZ122">
            <v>1.4336170157305884E-3</v>
          </cell>
          <cell r="BA122">
            <v>1.0999999999999233E-2</v>
          </cell>
          <cell r="BB122">
            <v>7.6729000000000003</v>
          </cell>
          <cell r="BC122">
            <v>7.6838999999999995</v>
          </cell>
        </row>
        <row r="123">
          <cell r="B123">
            <v>75</v>
          </cell>
          <cell r="C123">
            <v>15</v>
          </cell>
          <cell r="D123">
            <v>1.6982415654836353E-3</v>
          </cell>
          <cell r="E123">
            <v>0.10185000000000244</v>
          </cell>
          <cell r="F123">
            <v>59.973799999999997</v>
          </cell>
          <cell r="G123">
            <v>60.075649999999996</v>
          </cell>
          <cell r="H123">
            <v>2.3236711247340736E-3</v>
          </cell>
          <cell r="I123">
            <v>0.16860000000000497</v>
          </cell>
          <cell r="J123">
            <v>72.557599999999994</v>
          </cell>
          <cell r="K123">
            <v>72.726200000000006</v>
          </cell>
          <cell r="L123">
            <v>3.1152647975078523E-3</v>
          </cell>
          <cell r="M123">
            <v>1.7000000000000348E-3</v>
          </cell>
          <cell r="N123">
            <v>0.54569999999999996</v>
          </cell>
          <cell r="O123">
            <v>0.5474</v>
          </cell>
          <cell r="P123">
            <v>1.3545927854220709E-3</v>
          </cell>
          <cell r="Q123">
            <v>0.14569999999999794</v>
          </cell>
          <cell r="R123">
            <v>107.56</v>
          </cell>
          <cell r="S123">
            <v>107.70570000000001</v>
          </cell>
          <cell r="T123">
            <v>2.8723998175983175E-3</v>
          </cell>
          <cell r="U123">
            <v>0.13479999999999848</v>
          </cell>
          <cell r="V123">
            <v>46.929400000000001</v>
          </cell>
          <cell r="W123">
            <v>47.0642</v>
          </cell>
          <cell r="X123">
            <v>9.1768527900930427E-4</v>
          </cell>
          <cell r="Y123">
            <v>4.1750000000000398E-2</v>
          </cell>
          <cell r="Z123">
            <v>45.494900000000001</v>
          </cell>
          <cell r="AA123">
            <v>45.536650000000002</v>
          </cell>
          <cell r="AB123">
            <v>2.102885626387298E-3</v>
          </cell>
          <cell r="AC123">
            <v>0.10259999999999891</v>
          </cell>
          <cell r="AD123">
            <v>48.790100000000002</v>
          </cell>
          <cell r="AE123">
            <v>48.892700000000005</v>
          </cell>
          <cell r="AF123">
            <v>1.6659827154293617E-3</v>
          </cell>
          <cell r="AG123">
            <v>2.7200000000000557E-2</v>
          </cell>
          <cell r="AH123">
            <v>16.326699999999999</v>
          </cell>
          <cell r="AI123">
            <v>16.353899999999999</v>
          </cell>
          <cell r="AJ123">
            <v>1.5228631624342871E-3</v>
          </cell>
          <cell r="AK123">
            <v>2.4214285714286379E-2</v>
          </cell>
          <cell r="AL123">
            <v>15.900499999999999</v>
          </cell>
          <cell r="AM123">
            <v>15.924714285714286</v>
          </cell>
          <cell r="AN123">
            <v>2.3565453045834707E-3</v>
          </cell>
          <cell r="AO123">
            <v>1.7999999999999922E-2</v>
          </cell>
          <cell r="AP123">
            <v>7.6383000000000001</v>
          </cell>
          <cell r="AQ123">
            <v>7.6562999999999999</v>
          </cell>
          <cell r="AR123">
            <v>3.804936785069779E-4</v>
          </cell>
          <cell r="AS123">
            <v>1.5800000000002257E-2</v>
          </cell>
          <cell r="AT123">
            <v>41.524999999999999</v>
          </cell>
          <cell r="AU123">
            <v>41.540800000000004</v>
          </cell>
          <cell r="AV123">
            <v>2.1610779965534851E-3</v>
          </cell>
          <cell r="AW123">
            <v>7.6499999999996807E-2</v>
          </cell>
          <cell r="AX123">
            <v>35.399000000000001</v>
          </cell>
          <cell r="AY123">
            <v>35.475499999999997</v>
          </cell>
          <cell r="AZ123">
            <v>1.5360182311399161E-3</v>
          </cell>
          <cell r="BA123">
            <v>1.1785714285713464E-2</v>
          </cell>
          <cell r="BB123">
            <v>7.6729000000000003</v>
          </cell>
          <cell r="BC123">
            <v>7.6846857142857141</v>
          </cell>
        </row>
        <row r="124">
          <cell r="B124">
            <v>76</v>
          </cell>
          <cell r="C124">
            <v>16</v>
          </cell>
          <cell r="D124">
            <v>1.8114576698492109E-3</v>
          </cell>
          <cell r="E124">
            <v>0.1086400000000026</v>
          </cell>
          <cell r="F124">
            <v>59.973799999999997</v>
          </cell>
          <cell r="G124">
            <v>60.082439999999998</v>
          </cell>
          <cell r="H124">
            <v>2.4785825330496782E-3</v>
          </cell>
          <cell r="I124">
            <v>0.1798400000000053</v>
          </cell>
          <cell r="J124">
            <v>72.557599999999994</v>
          </cell>
          <cell r="K124">
            <v>72.737439999999992</v>
          </cell>
          <cell r="L124">
            <v>3.3229491173417092E-3</v>
          </cell>
          <cell r="M124">
            <v>1.8133333333333705E-3</v>
          </cell>
          <cell r="N124">
            <v>0.54569999999999996</v>
          </cell>
          <cell r="O124">
            <v>0.5475133333333333</v>
          </cell>
          <cell r="P124">
            <v>1.4448989711168755E-3</v>
          </cell>
          <cell r="Q124">
            <v>0.15541333333333113</v>
          </cell>
          <cell r="R124">
            <v>107.56</v>
          </cell>
          <cell r="S124">
            <v>107.71541333333333</v>
          </cell>
          <cell r="T124">
            <v>3.0638931387715388E-3</v>
          </cell>
          <cell r="U124">
            <v>0.14378666666666504</v>
          </cell>
          <cell r="V124">
            <v>46.929400000000001</v>
          </cell>
          <cell r="W124">
            <v>47.073186666666665</v>
          </cell>
          <cell r="X124">
            <v>9.7886429760992463E-4</v>
          </cell>
          <cell r="Y124">
            <v>4.4533333333333758E-2</v>
          </cell>
          <cell r="Z124">
            <v>45.494900000000001</v>
          </cell>
          <cell r="AA124">
            <v>45.539433333333335</v>
          </cell>
          <cell r="AB124">
            <v>2.2430780014797845E-3</v>
          </cell>
          <cell r="AC124">
            <v>0.10943999999999884</v>
          </cell>
          <cell r="AD124">
            <v>48.790100000000002</v>
          </cell>
          <cell r="AE124">
            <v>48.899540000000002</v>
          </cell>
          <cell r="AF124">
            <v>1.777048229791319E-3</v>
          </cell>
          <cell r="AG124">
            <v>2.9013333333333929E-2</v>
          </cell>
          <cell r="AH124">
            <v>16.326699999999999</v>
          </cell>
          <cell r="AI124">
            <v>16.355713333333334</v>
          </cell>
          <cell r="AJ124">
            <v>1.6243873732632395E-3</v>
          </cell>
          <cell r="AK124">
            <v>2.5828571428572138E-2</v>
          </cell>
          <cell r="AL124">
            <v>15.900499999999999</v>
          </cell>
          <cell r="AM124">
            <v>15.926328571428572</v>
          </cell>
          <cell r="AN124">
            <v>2.5136483248890352E-3</v>
          </cell>
          <cell r="AO124">
            <v>1.9199999999999915E-2</v>
          </cell>
          <cell r="AP124">
            <v>7.6383000000000001</v>
          </cell>
          <cell r="AQ124">
            <v>7.6574999999999998</v>
          </cell>
          <cell r="AR124">
            <v>4.0585992374077642E-4</v>
          </cell>
          <cell r="AS124">
            <v>1.6853333333335739E-2</v>
          </cell>
          <cell r="AT124">
            <v>41.524999999999999</v>
          </cell>
          <cell r="AU124">
            <v>41.541853333333336</v>
          </cell>
          <cell r="AV124">
            <v>2.3051498629903838E-3</v>
          </cell>
          <cell r="AW124">
            <v>8.1599999999996592E-2</v>
          </cell>
          <cell r="AX124">
            <v>35.399000000000001</v>
          </cell>
          <cell r="AY124">
            <v>35.480599999999995</v>
          </cell>
          <cell r="AZ124">
            <v>1.6384194465492439E-3</v>
          </cell>
          <cell r="BA124">
            <v>1.2571428571427694E-2</v>
          </cell>
          <cell r="BB124">
            <v>7.6729000000000003</v>
          </cell>
          <cell r="BC124">
            <v>7.6854714285714278</v>
          </cell>
        </row>
        <row r="125">
          <cell r="B125">
            <v>77</v>
          </cell>
          <cell r="C125">
            <v>17</v>
          </cell>
          <cell r="D125">
            <v>1.9246737742147867E-3</v>
          </cell>
          <cell r="E125">
            <v>0.11543000000000277</v>
          </cell>
          <cell r="F125">
            <v>59.973799999999997</v>
          </cell>
          <cell r="G125">
            <v>60.089230000000001</v>
          </cell>
          <cell r="H125">
            <v>2.6334939413652828E-3</v>
          </cell>
          <cell r="I125">
            <v>0.19108000000000563</v>
          </cell>
          <cell r="J125">
            <v>72.557599999999994</v>
          </cell>
          <cell r="K125">
            <v>72.748679999999993</v>
          </cell>
          <cell r="L125">
            <v>3.5306334371755657E-3</v>
          </cell>
          <cell r="M125">
            <v>1.9266666666667061E-3</v>
          </cell>
          <cell r="N125">
            <v>0.54569999999999996</v>
          </cell>
          <cell r="O125">
            <v>0.54762666666666671</v>
          </cell>
          <cell r="P125">
            <v>1.5352051568116802E-3</v>
          </cell>
          <cell r="Q125">
            <v>0.16512666666666434</v>
          </cell>
          <cell r="R125">
            <v>107.56</v>
          </cell>
          <cell r="S125">
            <v>107.72512666666667</v>
          </cell>
          <cell r="T125">
            <v>3.2553864599447601E-3</v>
          </cell>
          <cell r="U125">
            <v>0.1527733333333316</v>
          </cell>
          <cell r="V125">
            <v>46.929400000000001</v>
          </cell>
          <cell r="W125">
            <v>47.08217333333333</v>
          </cell>
          <cell r="X125">
            <v>1.040043316210545E-3</v>
          </cell>
          <cell r="Y125">
            <v>4.7316666666667118E-2</v>
          </cell>
          <cell r="Z125">
            <v>45.494900000000001</v>
          </cell>
          <cell r="AA125">
            <v>45.542216666666668</v>
          </cell>
          <cell r="AB125">
            <v>2.383270376572271E-3</v>
          </cell>
          <cell r="AC125">
            <v>0.11627999999999877</v>
          </cell>
          <cell r="AD125">
            <v>48.790100000000002</v>
          </cell>
          <cell r="AE125">
            <v>48.906379999999999</v>
          </cell>
          <cell r="AF125">
            <v>1.8881137441532766E-3</v>
          </cell>
          <cell r="AG125">
            <v>3.0826666666667297E-2</v>
          </cell>
          <cell r="AH125">
            <v>16.326699999999999</v>
          </cell>
          <cell r="AI125">
            <v>16.357526666666665</v>
          </cell>
          <cell r="AJ125">
            <v>1.7259115840921918E-3</v>
          </cell>
          <cell r="AK125">
            <v>2.7442857142857897E-2</v>
          </cell>
          <cell r="AL125">
            <v>15.900499999999999</v>
          </cell>
          <cell r="AM125">
            <v>15.927942857142858</v>
          </cell>
          <cell r="AN125">
            <v>2.6707513451945998E-3</v>
          </cell>
          <cell r="AO125">
            <v>2.0399999999999911E-2</v>
          </cell>
          <cell r="AP125">
            <v>7.6383000000000001</v>
          </cell>
          <cell r="AQ125">
            <v>7.6586999999999996</v>
          </cell>
          <cell r="AR125">
            <v>4.3122616897457494E-4</v>
          </cell>
          <cell r="AS125">
            <v>1.7906666666669225E-2</v>
          </cell>
          <cell r="AT125">
            <v>41.524999999999999</v>
          </cell>
          <cell r="AU125">
            <v>41.542906666666667</v>
          </cell>
          <cell r="AV125">
            <v>2.449221729427283E-3</v>
          </cell>
          <cell r="AW125">
            <v>8.6699999999996377E-2</v>
          </cell>
          <cell r="AX125">
            <v>35.399000000000001</v>
          </cell>
          <cell r="AY125">
            <v>35.485699999999994</v>
          </cell>
          <cell r="AZ125">
            <v>1.7408206619585716E-3</v>
          </cell>
          <cell r="BA125">
            <v>1.3357142857141926E-2</v>
          </cell>
          <cell r="BB125">
            <v>7.6729000000000003</v>
          </cell>
          <cell r="BC125">
            <v>7.6862571428571425</v>
          </cell>
        </row>
        <row r="126">
          <cell r="B126">
            <v>78</v>
          </cell>
          <cell r="C126">
            <v>18</v>
          </cell>
          <cell r="D126">
            <v>2.0378898785803623E-3</v>
          </cell>
          <cell r="E126">
            <v>0.12222000000000292</v>
          </cell>
          <cell r="F126">
            <v>59.973799999999997</v>
          </cell>
          <cell r="G126">
            <v>60.096020000000003</v>
          </cell>
          <cell r="H126">
            <v>2.7884053496808879E-3</v>
          </cell>
          <cell r="I126">
            <v>0.20232000000000597</v>
          </cell>
          <cell r="J126">
            <v>72.557599999999994</v>
          </cell>
          <cell r="K126">
            <v>72.759919999999994</v>
          </cell>
          <cell r="L126">
            <v>3.7383177570094227E-3</v>
          </cell>
          <cell r="M126">
            <v>2.0400000000000418E-3</v>
          </cell>
          <cell r="N126">
            <v>0.54569999999999996</v>
          </cell>
          <cell r="O126">
            <v>0.54774</v>
          </cell>
          <cell r="P126">
            <v>1.625511342506485E-3</v>
          </cell>
          <cell r="Q126">
            <v>0.17483999999999753</v>
          </cell>
          <cell r="R126">
            <v>107.56</v>
          </cell>
          <cell r="S126">
            <v>107.73484000000001</v>
          </cell>
          <cell r="T126">
            <v>3.446879781117981E-3</v>
          </cell>
          <cell r="U126">
            <v>0.16175999999999818</v>
          </cell>
          <cell r="V126">
            <v>46.929400000000001</v>
          </cell>
          <cell r="W126">
            <v>47.091160000000002</v>
          </cell>
          <cell r="X126">
            <v>1.1012223348111651E-3</v>
          </cell>
          <cell r="Y126">
            <v>5.0100000000000477E-2</v>
          </cell>
          <cell r="Z126">
            <v>45.494900000000001</v>
          </cell>
          <cell r="AA126">
            <v>45.545000000000002</v>
          </cell>
          <cell r="AB126">
            <v>2.5234627516647575E-3</v>
          </cell>
          <cell r="AC126">
            <v>0.1231199999999987</v>
          </cell>
          <cell r="AD126">
            <v>48.790100000000002</v>
          </cell>
          <cell r="AE126">
            <v>48.913220000000003</v>
          </cell>
          <cell r="AF126">
            <v>1.9991792585152342E-3</v>
          </cell>
          <cell r="AG126">
            <v>3.2640000000000668E-2</v>
          </cell>
          <cell r="AH126">
            <v>16.326699999999999</v>
          </cell>
          <cell r="AI126">
            <v>16.35934</v>
          </cell>
          <cell r="AJ126">
            <v>1.8274357949211444E-3</v>
          </cell>
          <cell r="AK126">
            <v>2.9057142857143652E-2</v>
          </cell>
          <cell r="AL126">
            <v>15.900499999999999</v>
          </cell>
          <cell r="AM126">
            <v>15.929557142857142</v>
          </cell>
          <cell r="AN126">
            <v>2.8278543655001647E-3</v>
          </cell>
          <cell r="AO126">
            <v>2.1599999999999904E-2</v>
          </cell>
          <cell r="AP126">
            <v>7.6383000000000001</v>
          </cell>
          <cell r="AQ126">
            <v>7.6599000000000004</v>
          </cell>
          <cell r="AR126">
            <v>4.5659241420837351E-4</v>
          </cell>
          <cell r="AS126">
            <v>1.8960000000002707E-2</v>
          </cell>
          <cell r="AT126">
            <v>41.524999999999999</v>
          </cell>
          <cell r="AU126">
            <v>41.543959999999998</v>
          </cell>
          <cell r="AV126">
            <v>2.5932935958641818E-3</v>
          </cell>
          <cell r="AW126">
            <v>9.1799999999996176E-2</v>
          </cell>
          <cell r="AX126">
            <v>35.399000000000001</v>
          </cell>
          <cell r="AY126">
            <v>35.4908</v>
          </cell>
          <cell r="AZ126">
            <v>1.8432218773678994E-3</v>
          </cell>
          <cell r="BA126">
            <v>1.4142857142856156E-2</v>
          </cell>
          <cell r="BB126">
            <v>7.6729000000000003</v>
          </cell>
          <cell r="BC126">
            <v>7.6870428571428562</v>
          </cell>
        </row>
        <row r="127">
          <cell r="B127">
            <v>79</v>
          </cell>
          <cell r="C127">
            <v>19</v>
          </cell>
          <cell r="D127">
            <v>2.1511059829459381E-3</v>
          </cell>
          <cell r="E127">
            <v>0.12901000000000309</v>
          </cell>
          <cell r="F127">
            <v>59.973799999999997</v>
          </cell>
          <cell r="G127">
            <v>60.102809999999998</v>
          </cell>
          <cell r="H127">
            <v>2.9433167579964929E-3</v>
          </cell>
          <cell r="I127">
            <v>0.2135600000000063</v>
          </cell>
          <cell r="J127">
            <v>72.557599999999994</v>
          </cell>
          <cell r="K127">
            <v>72.771159999999995</v>
          </cell>
          <cell r="L127">
            <v>3.9460020768432797E-3</v>
          </cell>
          <cell r="M127">
            <v>2.1533333333333773E-3</v>
          </cell>
          <cell r="N127">
            <v>0.54569999999999996</v>
          </cell>
          <cell r="O127">
            <v>0.5478533333333333</v>
          </cell>
          <cell r="P127">
            <v>1.7158175282012897E-3</v>
          </cell>
          <cell r="Q127">
            <v>0.18455333333333074</v>
          </cell>
          <cell r="R127">
            <v>107.56</v>
          </cell>
          <cell r="S127">
            <v>107.74455333333333</v>
          </cell>
          <cell r="T127">
            <v>3.6383731022912023E-3</v>
          </cell>
          <cell r="U127">
            <v>0.17074666666666474</v>
          </cell>
          <cell r="V127">
            <v>46.929400000000001</v>
          </cell>
          <cell r="W127">
            <v>47.100146666666667</v>
          </cell>
          <cell r="X127">
            <v>1.1624013534117855E-3</v>
          </cell>
          <cell r="Y127">
            <v>5.2883333333333837E-2</v>
          </cell>
          <cell r="Z127">
            <v>45.494900000000001</v>
          </cell>
          <cell r="AA127">
            <v>45.547783333333335</v>
          </cell>
          <cell r="AB127">
            <v>2.663655126757244E-3</v>
          </cell>
          <cell r="AC127">
            <v>0.12995999999999863</v>
          </cell>
          <cell r="AD127">
            <v>48.790100000000002</v>
          </cell>
          <cell r="AE127">
            <v>48.920059999999999</v>
          </cell>
          <cell r="AF127">
            <v>2.1102447728771913E-3</v>
          </cell>
          <cell r="AG127">
            <v>3.4453333333334037E-2</v>
          </cell>
          <cell r="AH127">
            <v>16.326699999999999</v>
          </cell>
          <cell r="AI127">
            <v>16.361153333333334</v>
          </cell>
          <cell r="AJ127">
            <v>1.928960005750097E-3</v>
          </cell>
          <cell r="AK127">
            <v>3.0671428571429411E-2</v>
          </cell>
          <cell r="AL127">
            <v>15.900499999999999</v>
          </cell>
          <cell r="AM127">
            <v>15.931171428571428</v>
          </cell>
          <cell r="AN127">
            <v>2.9849573858057288E-3</v>
          </cell>
          <cell r="AO127">
            <v>2.27999999999999E-2</v>
          </cell>
          <cell r="AP127">
            <v>7.6383000000000001</v>
          </cell>
          <cell r="AQ127">
            <v>7.6611000000000002</v>
          </cell>
          <cell r="AR127">
            <v>4.8195865944217203E-4</v>
          </cell>
          <cell r="AS127">
            <v>2.0013333333336193E-2</v>
          </cell>
          <cell r="AT127">
            <v>41.524999999999999</v>
          </cell>
          <cell r="AU127">
            <v>41.545013333333337</v>
          </cell>
          <cell r="AV127">
            <v>2.7373654623010809E-3</v>
          </cell>
          <cell r="AW127">
            <v>9.6899999999995962E-2</v>
          </cell>
          <cell r="AX127">
            <v>35.399000000000001</v>
          </cell>
          <cell r="AY127">
            <v>35.495899999999999</v>
          </cell>
          <cell r="AZ127">
            <v>1.9456230927772271E-3</v>
          </cell>
          <cell r="BA127">
            <v>1.4928571428570387E-2</v>
          </cell>
          <cell r="BB127">
            <v>7.6729000000000003</v>
          </cell>
          <cell r="BC127">
            <v>7.6878285714285708</v>
          </cell>
        </row>
        <row r="128">
          <cell r="B128">
            <v>80</v>
          </cell>
          <cell r="C128">
            <v>20</v>
          </cell>
          <cell r="D128">
            <v>2.2643220873115135E-3</v>
          </cell>
          <cell r="E128">
            <v>0.13580000000000325</v>
          </cell>
          <cell r="F128">
            <v>59.973799999999997</v>
          </cell>
          <cell r="G128">
            <v>60.1096</v>
          </cell>
          <cell r="H128">
            <v>3.0982281663120975E-3</v>
          </cell>
          <cell r="I128">
            <v>0.22480000000000663</v>
          </cell>
          <cell r="J128">
            <v>72.557599999999994</v>
          </cell>
          <cell r="K128">
            <v>72.782399999999996</v>
          </cell>
          <cell r="L128">
            <v>4.1536863966771366E-3</v>
          </cell>
          <cell r="M128">
            <v>2.2666666666667132E-3</v>
          </cell>
          <cell r="N128">
            <v>0.54569999999999996</v>
          </cell>
          <cell r="O128">
            <v>0.54796666666666671</v>
          </cell>
          <cell r="P128">
            <v>1.8061237138960946E-3</v>
          </cell>
          <cell r="Q128">
            <v>0.19426666666666392</v>
          </cell>
          <cell r="R128">
            <v>107.56</v>
          </cell>
          <cell r="S128">
            <v>107.75426666666667</v>
          </cell>
          <cell r="T128">
            <v>3.8298664234644232E-3</v>
          </cell>
          <cell r="U128">
            <v>0.1797333333333313</v>
          </cell>
          <cell r="V128">
            <v>46.929400000000001</v>
          </cell>
          <cell r="W128">
            <v>47.109133333333332</v>
          </cell>
          <cell r="X128">
            <v>1.2235803720124056E-3</v>
          </cell>
          <cell r="Y128">
            <v>5.5666666666667197E-2</v>
          </cell>
          <cell r="Z128">
            <v>45.494900000000001</v>
          </cell>
          <cell r="AA128">
            <v>45.550566666666668</v>
          </cell>
          <cell r="AB128">
            <v>2.803847501849731E-3</v>
          </cell>
          <cell r="AC128">
            <v>0.13679999999999856</v>
          </cell>
          <cell r="AD128">
            <v>48.790100000000002</v>
          </cell>
          <cell r="AE128">
            <v>48.926900000000003</v>
          </cell>
          <cell r="AF128">
            <v>2.2213102872391489E-3</v>
          </cell>
          <cell r="AG128">
            <v>3.6266666666667412E-2</v>
          </cell>
          <cell r="AH128">
            <v>16.326699999999999</v>
          </cell>
          <cell r="AI128">
            <v>16.362966666666665</v>
          </cell>
          <cell r="AJ128">
            <v>2.0304842165790493E-3</v>
          </cell>
          <cell r="AK128">
            <v>3.2285714285715174E-2</v>
          </cell>
          <cell r="AL128">
            <v>15.900499999999999</v>
          </cell>
          <cell r="AM128">
            <v>15.932785714285714</v>
          </cell>
          <cell r="AN128">
            <v>3.1420604061112938E-3</v>
          </cell>
          <cell r="AO128">
            <v>2.3999999999999893E-2</v>
          </cell>
          <cell r="AP128">
            <v>7.6383000000000001</v>
          </cell>
          <cell r="AQ128">
            <v>7.6623000000000001</v>
          </cell>
          <cell r="AR128">
            <v>5.0732490467597061E-4</v>
          </cell>
          <cell r="AS128">
            <v>2.1066666666669676E-2</v>
          </cell>
          <cell r="AT128">
            <v>41.524999999999999</v>
          </cell>
          <cell r="AU128">
            <v>41.546066666666668</v>
          </cell>
          <cell r="AV128">
            <v>2.8814373287379797E-3</v>
          </cell>
          <cell r="AW128">
            <v>0.10199999999999575</v>
          </cell>
          <cell r="AX128">
            <v>35.399000000000001</v>
          </cell>
          <cell r="AY128">
            <v>35.500999999999998</v>
          </cell>
          <cell r="AZ128">
            <v>2.0480243081865547E-3</v>
          </cell>
          <cell r="BA128">
            <v>1.5714285714284619E-2</v>
          </cell>
          <cell r="BB128">
            <v>7.6729000000000003</v>
          </cell>
          <cell r="BC128">
            <v>7.6886142857142845</v>
          </cell>
        </row>
        <row r="129">
          <cell r="B129">
            <v>81</v>
          </cell>
          <cell r="C129">
            <v>21</v>
          </cell>
          <cell r="D129">
            <v>2.3775381916770894E-3</v>
          </cell>
          <cell r="E129">
            <v>0.14259000000000341</v>
          </cell>
          <cell r="F129">
            <v>59.973799999999997</v>
          </cell>
          <cell r="G129">
            <v>60.116390000000003</v>
          </cell>
          <cell r="H129">
            <v>3.2531395746277021E-3</v>
          </cell>
          <cell r="I129">
            <v>0.23604000000000697</v>
          </cell>
          <cell r="J129">
            <v>72.557599999999994</v>
          </cell>
          <cell r="K129">
            <v>72.793639999999996</v>
          </cell>
          <cell r="L129">
            <v>4.3613707165109927E-3</v>
          </cell>
          <cell r="M129">
            <v>2.3800000000000487E-3</v>
          </cell>
          <cell r="N129">
            <v>0.54569999999999996</v>
          </cell>
          <cell r="O129">
            <v>0.54808000000000001</v>
          </cell>
          <cell r="P129">
            <v>1.8964298995908992E-3</v>
          </cell>
          <cell r="Q129">
            <v>0.20397999999999711</v>
          </cell>
          <cell r="R129">
            <v>107.56</v>
          </cell>
          <cell r="S129">
            <v>107.76398</v>
          </cell>
          <cell r="T129">
            <v>4.0213597446376445E-3</v>
          </cell>
          <cell r="U129">
            <v>0.18871999999999786</v>
          </cell>
          <cell r="V129">
            <v>46.929400000000001</v>
          </cell>
          <cell r="W129">
            <v>47.118119999999998</v>
          </cell>
          <cell r="X129">
            <v>1.284759390613026E-3</v>
          </cell>
          <cell r="Y129">
            <v>5.8450000000000557E-2</v>
          </cell>
          <cell r="Z129">
            <v>45.494900000000001</v>
          </cell>
          <cell r="AA129">
            <v>45.553350000000002</v>
          </cell>
          <cell r="AB129">
            <v>2.9440398769422171E-3</v>
          </cell>
          <cell r="AC129">
            <v>0.14363999999999849</v>
          </cell>
          <cell r="AD129">
            <v>48.790100000000002</v>
          </cell>
          <cell r="AE129">
            <v>48.93374</v>
          </cell>
          <cell r="AF129">
            <v>2.3323758016011065E-3</v>
          </cell>
          <cell r="AG129">
            <v>3.808000000000078E-2</v>
          </cell>
          <cell r="AH129">
            <v>16.326699999999999</v>
          </cell>
          <cell r="AI129">
            <v>16.36478</v>
          </cell>
          <cell r="AJ129">
            <v>2.1320084274080017E-3</v>
          </cell>
          <cell r="AK129">
            <v>3.3900000000000929E-2</v>
          </cell>
          <cell r="AL129">
            <v>15.900499999999999</v>
          </cell>
          <cell r="AM129">
            <v>15.9344</v>
          </cell>
          <cell r="AN129">
            <v>3.2991634264168583E-3</v>
          </cell>
          <cell r="AO129">
            <v>2.5199999999999889E-2</v>
          </cell>
          <cell r="AP129">
            <v>7.6383000000000001</v>
          </cell>
          <cell r="AQ129">
            <v>7.6635</v>
          </cell>
          <cell r="AR129">
            <v>5.3269114990976902E-4</v>
          </cell>
          <cell r="AS129">
            <v>2.2120000000003158E-2</v>
          </cell>
          <cell r="AT129">
            <v>41.524999999999999</v>
          </cell>
          <cell r="AU129">
            <v>41.54712</v>
          </cell>
          <cell r="AV129">
            <v>3.0255091951748789E-3</v>
          </cell>
          <cell r="AW129">
            <v>0.10709999999999553</v>
          </cell>
          <cell r="AX129">
            <v>35.399000000000001</v>
          </cell>
          <cell r="AY129">
            <v>35.506099999999996</v>
          </cell>
          <cell r="AZ129">
            <v>2.1504255235958824E-3</v>
          </cell>
          <cell r="BA129">
            <v>1.6499999999998849E-2</v>
          </cell>
          <cell r="BB129">
            <v>7.6729000000000003</v>
          </cell>
          <cell r="BC129">
            <v>7.6893999999999991</v>
          </cell>
        </row>
        <row r="130">
          <cell r="B130">
            <v>82</v>
          </cell>
          <cell r="C130">
            <v>22</v>
          </cell>
          <cell r="D130">
            <v>2.4907542960426652E-3</v>
          </cell>
          <cell r="E130">
            <v>0.14938000000000357</v>
          </cell>
          <cell r="F130">
            <v>59.973799999999997</v>
          </cell>
          <cell r="G130">
            <v>60.123179999999998</v>
          </cell>
          <cell r="H130">
            <v>3.4080509829433072E-3</v>
          </cell>
          <cell r="I130">
            <v>0.2472800000000073</v>
          </cell>
          <cell r="J130">
            <v>72.557599999999994</v>
          </cell>
          <cell r="K130">
            <v>72.804879999999997</v>
          </cell>
          <cell r="L130">
            <v>4.5690550363448497E-3</v>
          </cell>
          <cell r="M130">
            <v>2.4933333333333843E-3</v>
          </cell>
          <cell r="N130">
            <v>0.54569999999999996</v>
          </cell>
          <cell r="O130">
            <v>0.54819333333333331</v>
          </cell>
          <cell r="P130">
            <v>1.9867360852857041E-3</v>
          </cell>
          <cell r="Q130">
            <v>0.21369333333333032</v>
          </cell>
          <cell r="R130">
            <v>107.56</v>
          </cell>
          <cell r="S130">
            <v>107.77369333333333</v>
          </cell>
          <cell r="T130">
            <v>4.2128530658108653E-3</v>
          </cell>
          <cell r="U130">
            <v>0.19770666666666442</v>
          </cell>
          <cell r="V130">
            <v>46.929400000000001</v>
          </cell>
          <cell r="W130">
            <v>47.127106666666663</v>
          </cell>
          <cell r="X130">
            <v>1.3459384092136463E-3</v>
          </cell>
          <cell r="Y130">
            <v>6.1233333333333917E-2</v>
          </cell>
          <cell r="Z130">
            <v>45.494900000000001</v>
          </cell>
          <cell r="AA130">
            <v>45.556133333333335</v>
          </cell>
          <cell r="AB130">
            <v>3.084232252034704E-3</v>
          </cell>
          <cell r="AC130">
            <v>0.15047999999999842</v>
          </cell>
          <cell r="AD130">
            <v>48.790100000000002</v>
          </cell>
          <cell r="AE130">
            <v>48.940580000000004</v>
          </cell>
          <cell r="AF130">
            <v>2.4434413159630641E-3</v>
          </cell>
          <cell r="AG130">
            <v>3.9893333333334148E-2</v>
          </cell>
          <cell r="AH130">
            <v>16.326699999999999</v>
          </cell>
          <cell r="AI130">
            <v>16.366593333333334</v>
          </cell>
          <cell r="AJ130">
            <v>2.2335326382369541E-3</v>
          </cell>
          <cell r="AK130">
            <v>3.5514285714286685E-2</v>
          </cell>
          <cell r="AL130">
            <v>15.900499999999999</v>
          </cell>
          <cell r="AM130">
            <v>15.936014285714286</v>
          </cell>
          <cell r="AN130">
            <v>3.4562664467224233E-3</v>
          </cell>
          <cell r="AO130">
            <v>2.6399999999999885E-2</v>
          </cell>
          <cell r="AP130">
            <v>7.6383000000000001</v>
          </cell>
          <cell r="AQ130">
            <v>7.6646999999999998</v>
          </cell>
          <cell r="AR130">
            <v>5.5805739514356765E-4</v>
          </cell>
          <cell r="AS130">
            <v>2.3173333333336644E-2</v>
          </cell>
          <cell r="AT130">
            <v>41.524999999999999</v>
          </cell>
          <cell r="AU130">
            <v>41.548173333333338</v>
          </cell>
          <cell r="AV130">
            <v>3.1695810616117781E-3</v>
          </cell>
          <cell r="AW130">
            <v>0.11219999999999532</v>
          </cell>
          <cell r="AX130">
            <v>35.399000000000001</v>
          </cell>
          <cell r="AY130">
            <v>35.511199999999995</v>
          </cell>
          <cell r="AZ130">
            <v>2.2528267390052102E-3</v>
          </cell>
          <cell r="BA130">
            <v>1.7285714285713079E-2</v>
          </cell>
          <cell r="BB130">
            <v>7.6729000000000003</v>
          </cell>
          <cell r="BC130">
            <v>7.6901857142857137</v>
          </cell>
        </row>
        <row r="131">
          <cell r="B131">
            <v>83</v>
          </cell>
          <cell r="C131">
            <v>23</v>
          </cell>
          <cell r="D131">
            <v>2.6039704004082406E-3</v>
          </cell>
          <cell r="E131">
            <v>0.15617000000000375</v>
          </cell>
          <cell r="F131">
            <v>59.973799999999997</v>
          </cell>
          <cell r="G131">
            <v>60.12997</v>
          </cell>
          <cell r="H131">
            <v>3.5629623912589122E-3</v>
          </cell>
          <cell r="I131">
            <v>0.25852000000000763</v>
          </cell>
          <cell r="J131">
            <v>72.557599999999994</v>
          </cell>
          <cell r="K131">
            <v>72.816119999999998</v>
          </cell>
          <cell r="L131">
            <v>4.7767393561787075E-3</v>
          </cell>
          <cell r="M131">
            <v>2.6066666666667202E-3</v>
          </cell>
          <cell r="N131">
            <v>0.54569999999999996</v>
          </cell>
          <cell r="O131">
            <v>0.54830666666666672</v>
          </cell>
          <cell r="P131">
            <v>2.0770422709805087E-3</v>
          </cell>
          <cell r="Q131">
            <v>0.22340666666666351</v>
          </cell>
          <cell r="R131">
            <v>107.56</v>
          </cell>
          <cell r="S131">
            <v>107.78340666666666</v>
          </cell>
          <cell r="T131">
            <v>4.4043463869840871E-3</v>
          </cell>
          <cell r="U131">
            <v>0.20669333333333101</v>
          </cell>
          <cell r="V131">
            <v>46.929400000000001</v>
          </cell>
          <cell r="W131">
            <v>47.136093333333335</v>
          </cell>
          <cell r="X131">
            <v>1.4071174278142665E-3</v>
          </cell>
          <cell r="Y131">
            <v>6.4016666666667277E-2</v>
          </cell>
          <cell r="Z131">
            <v>45.494900000000001</v>
          </cell>
          <cell r="AA131">
            <v>45.558916666666669</v>
          </cell>
          <cell r="AB131">
            <v>3.2244246271271901E-3</v>
          </cell>
          <cell r="AC131">
            <v>0.15731999999999832</v>
          </cell>
          <cell r="AD131">
            <v>48.790100000000002</v>
          </cell>
          <cell r="AE131">
            <v>48.947420000000001</v>
          </cell>
          <cell r="AF131">
            <v>2.5545068303250212E-3</v>
          </cell>
          <cell r="AG131">
            <v>4.1706666666667523E-2</v>
          </cell>
          <cell r="AH131">
            <v>16.326699999999999</v>
          </cell>
          <cell r="AI131">
            <v>16.368406666666665</v>
          </cell>
          <cell r="AJ131">
            <v>2.3350568490659068E-3</v>
          </cell>
          <cell r="AK131">
            <v>3.7128571428572447E-2</v>
          </cell>
          <cell r="AL131">
            <v>15.900499999999999</v>
          </cell>
          <cell r="AM131">
            <v>15.937628571428572</v>
          </cell>
          <cell r="AN131">
            <v>3.6133694670279879E-3</v>
          </cell>
          <cell r="AO131">
            <v>2.7599999999999878E-2</v>
          </cell>
          <cell r="AP131">
            <v>7.6383000000000001</v>
          </cell>
          <cell r="AQ131">
            <v>7.6658999999999997</v>
          </cell>
          <cell r="AR131">
            <v>5.8342364037736606E-4</v>
          </cell>
          <cell r="AS131">
            <v>2.4226666666670126E-2</v>
          </cell>
          <cell r="AT131">
            <v>41.524999999999999</v>
          </cell>
          <cell r="AU131">
            <v>41.549226666666669</v>
          </cell>
          <cell r="AV131">
            <v>3.3136529280486768E-3</v>
          </cell>
          <cell r="AW131">
            <v>0.1172999999999951</v>
          </cell>
          <cell r="AX131">
            <v>35.399000000000001</v>
          </cell>
          <cell r="AY131">
            <v>35.516299999999994</v>
          </cell>
          <cell r="AZ131">
            <v>2.355227954414538E-3</v>
          </cell>
          <cell r="BA131">
            <v>1.8071428571427312E-2</v>
          </cell>
          <cell r="BB131">
            <v>7.6729000000000003</v>
          </cell>
          <cell r="BC131">
            <v>7.6909714285714275</v>
          </cell>
        </row>
        <row r="132">
          <cell r="B132">
            <v>84</v>
          </cell>
          <cell r="C132">
            <v>24</v>
          </cell>
          <cell r="D132">
            <v>2.7171865047738164E-3</v>
          </cell>
          <cell r="E132">
            <v>0.16296000000000391</v>
          </cell>
          <cell r="F132">
            <v>59.973799999999997</v>
          </cell>
          <cell r="G132">
            <v>60.136760000000002</v>
          </cell>
          <cell r="H132">
            <v>3.7178737995745169E-3</v>
          </cell>
          <cell r="I132">
            <v>0.26976000000000794</v>
          </cell>
          <cell r="J132">
            <v>72.557599999999994</v>
          </cell>
          <cell r="K132">
            <v>72.827359999999999</v>
          </cell>
          <cell r="L132">
            <v>4.9844236760125636E-3</v>
          </cell>
          <cell r="M132">
            <v>2.7200000000000557E-3</v>
          </cell>
          <cell r="N132">
            <v>0.54569999999999996</v>
          </cell>
          <cell r="O132">
            <v>0.54842000000000002</v>
          </cell>
          <cell r="P132">
            <v>2.1673484566753134E-3</v>
          </cell>
          <cell r="Q132">
            <v>0.23311999999999672</v>
          </cell>
          <cell r="R132">
            <v>107.56</v>
          </cell>
          <cell r="S132">
            <v>107.79312</v>
          </cell>
          <cell r="T132">
            <v>4.5958397081573088E-3</v>
          </cell>
          <cell r="U132">
            <v>0.21567999999999757</v>
          </cell>
          <cell r="V132">
            <v>46.929400000000001</v>
          </cell>
          <cell r="W132">
            <v>47.14508</v>
          </cell>
          <cell r="X132">
            <v>1.4682964464148871E-3</v>
          </cell>
          <cell r="Y132">
            <v>6.6800000000000637E-2</v>
          </cell>
          <cell r="Z132">
            <v>45.494900000000001</v>
          </cell>
          <cell r="AA132">
            <v>45.561700000000002</v>
          </cell>
          <cell r="AB132">
            <v>3.3646170022196766E-3</v>
          </cell>
          <cell r="AC132">
            <v>0.16415999999999825</v>
          </cell>
          <cell r="AD132">
            <v>48.790100000000002</v>
          </cell>
          <cell r="AE132">
            <v>48.954259999999998</v>
          </cell>
          <cell r="AF132">
            <v>2.6655723446869788E-3</v>
          </cell>
          <cell r="AG132">
            <v>4.3520000000000891E-2</v>
          </cell>
          <cell r="AH132">
            <v>16.326699999999999</v>
          </cell>
          <cell r="AI132">
            <v>16.37022</v>
          </cell>
          <cell r="AJ132">
            <v>2.4365810598948592E-3</v>
          </cell>
          <cell r="AK132">
            <v>3.8742857142858203E-2</v>
          </cell>
          <cell r="AL132">
            <v>15.900499999999999</v>
          </cell>
          <cell r="AM132">
            <v>15.939242857142858</v>
          </cell>
          <cell r="AN132">
            <v>3.7704724873335524E-3</v>
          </cell>
          <cell r="AO132">
            <v>2.8799999999999874E-2</v>
          </cell>
          <cell r="AP132">
            <v>7.6383000000000001</v>
          </cell>
          <cell r="AQ132">
            <v>7.6670999999999996</v>
          </cell>
          <cell r="AR132">
            <v>6.0878988561116458E-4</v>
          </cell>
          <cell r="AS132">
            <v>2.5280000000003612E-2</v>
          </cell>
          <cell r="AT132">
            <v>41.524999999999999</v>
          </cell>
          <cell r="AU132">
            <v>41.550280000000001</v>
          </cell>
          <cell r="AV132">
            <v>3.457724794485576E-3</v>
          </cell>
          <cell r="AW132">
            <v>0.12239999999999489</v>
          </cell>
          <cell r="AX132">
            <v>35.399000000000001</v>
          </cell>
          <cell r="AY132">
            <v>35.521399999999993</v>
          </cell>
          <cell r="AZ132">
            <v>2.4576291698238657E-3</v>
          </cell>
          <cell r="BA132">
            <v>1.8857142857141542E-2</v>
          </cell>
          <cell r="BB132">
            <v>7.6729000000000003</v>
          </cell>
          <cell r="BC132">
            <v>7.6917571428571421</v>
          </cell>
        </row>
        <row r="133">
          <cell r="B133">
            <v>85</v>
          </cell>
          <cell r="C133">
            <v>25</v>
          </cell>
          <cell r="D133">
            <v>2.8304026091393922E-3</v>
          </cell>
          <cell r="E133">
            <v>0.16975000000000406</v>
          </cell>
          <cell r="F133">
            <v>59.973799999999997</v>
          </cell>
          <cell r="G133">
            <v>60.143550000000005</v>
          </cell>
          <cell r="H133">
            <v>3.8727852078901215E-3</v>
          </cell>
          <cell r="I133">
            <v>0.2810000000000083</v>
          </cell>
          <cell r="J133">
            <v>72.557599999999994</v>
          </cell>
          <cell r="K133">
            <v>72.8386</v>
          </cell>
          <cell r="L133">
            <v>5.1921079958464206E-3</v>
          </cell>
          <cell r="M133">
            <v>2.8333333333333912E-3</v>
          </cell>
          <cell r="N133">
            <v>0.54569999999999996</v>
          </cell>
          <cell r="O133">
            <v>0.54853333333333332</v>
          </cell>
          <cell r="P133">
            <v>2.257654642370118E-3</v>
          </cell>
          <cell r="Q133">
            <v>0.2428333333333299</v>
          </cell>
          <cell r="R133">
            <v>107.56</v>
          </cell>
          <cell r="S133">
            <v>107.80283333333333</v>
          </cell>
          <cell r="T133">
            <v>4.7873330293305288E-3</v>
          </cell>
          <cell r="U133">
            <v>0.22466666666666413</v>
          </cell>
          <cell r="V133">
            <v>46.929400000000001</v>
          </cell>
          <cell r="W133">
            <v>47.154066666666665</v>
          </cell>
          <cell r="X133">
            <v>1.5294754650155072E-3</v>
          </cell>
          <cell r="Y133">
            <v>6.9583333333333997E-2</v>
          </cell>
          <cell r="Z133">
            <v>45.494900000000001</v>
          </cell>
          <cell r="AA133">
            <v>45.564483333333335</v>
          </cell>
          <cell r="AB133">
            <v>3.5048093773121635E-3</v>
          </cell>
          <cell r="AC133">
            <v>0.17099999999999818</v>
          </cell>
          <cell r="AD133">
            <v>48.790100000000002</v>
          </cell>
          <cell r="AE133">
            <v>48.961100000000002</v>
          </cell>
          <cell r="AF133">
            <v>2.7766378590489359E-3</v>
          </cell>
          <cell r="AG133">
            <v>4.5333333333334259E-2</v>
          </cell>
          <cell r="AH133">
            <v>16.326699999999999</v>
          </cell>
          <cell r="AI133">
            <v>16.372033333333334</v>
          </cell>
          <cell r="AJ133">
            <v>2.5381052707238116E-3</v>
          </cell>
          <cell r="AK133">
            <v>4.0357142857143966E-2</v>
          </cell>
          <cell r="AL133">
            <v>15.900499999999999</v>
          </cell>
          <cell r="AM133">
            <v>15.940857142857142</v>
          </cell>
          <cell r="AN133">
            <v>3.9275755076391174E-3</v>
          </cell>
          <cell r="AO133">
            <v>2.9999999999999867E-2</v>
          </cell>
          <cell r="AP133">
            <v>7.6383000000000001</v>
          </cell>
          <cell r="AQ133">
            <v>7.6683000000000003</v>
          </cell>
          <cell r="AR133">
            <v>6.3415613084496321E-4</v>
          </cell>
          <cell r="AS133">
            <v>2.6333333333337094E-2</v>
          </cell>
          <cell r="AT133">
            <v>41.524999999999999</v>
          </cell>
          <cell r="AU133">
            <v>41.551333333333332</v>
          </cell>
          <cell r="AV133">
            <v>3.6017966609224747E-3</v>
          </cell>
          <cell r="AW133">
            <v>0.12749999999999467</v>
          </cell>
          <cell r="AX133">
            <v>35.399000000000001</v>
          </cell>
          <cell r="AY133">
            <v>35.526499999999999</v>
          </cell>
          <cell r="AZ133">
            <v>2.5600303852331935E-3</v>
          </cell>
          <cell r="BA133">
            <v>1.9642857142855772E-2</v>
          </cell>
          <cell r="BB133">
            <v>7.6729000000000003</v>
          </cell>
          <cell r="BC133">
            <v>7.6925428571428558</v>
          </cell>
        </row>
        <row r="134">
          <cell r="B134">
            <v>86</v>
          </cell>
          <cell r="C134">
            <v>26</v>
          </cell>
          <cell r="D134">
            <v>2.9436187135049676E-3</v>
          </cell>
          <cell r="E134">
            <v>0.17654000000000422</v>
          </cell>
          <cell r="F134">
            <v>59.973799999999997</v>
          </cell>
          <cell r="G134">
            <v>60.15034</v>
          </cell>
          <cell r="H134">
            <v>4.0276966162057269E-3</v>
          </cell>
          <cell r="I134">
            <v>0.2922400000000086</v>
          </cell>
          <cell r="J134">
            <v>72.557599999999994</v>
          </cell>
          <cell r="K134">
            <v>72.84984</v>
          </cell>
          <cell r="L134">
            <v>5.3997923156802767E-3</v>
          </cell>
          <cell r="M134">
            <v>2.9466666666667272E-3</v>
          </cell>
          <cell r="N134">
            <v>0.54569999999999996</v>
          </cell>
          <cell r="O134">
            <v>0.54864666666666673</v>
          </cell>
          <cell r="P134">
            <v>2.3479608280649231E-3</v>
          </cell>
          <cell r="Q134">
            <v>0.25254666666666309</v>
          </cell>
          <cell r="R134">
            <v>107.56</v>
          </cell>
          <cell r="S134">
            <v>107.81254666666666</v>
          </cell>
          <cell r="T134">
            <v>4.9788263505037506E-3</v>
          </cell>
          <cell r="U134">
            <v>0.23365333333333069</v>
          </cell>
          <cell r="V134">
            <v>46.929400000000001</v>
          </cell>
          <cell r="W134">
            <v>47.16305333333333</v>
          </cell>
          <cell r="X134">
            <v>1.5906544836161273E-3</v>
          </cell>
          <cell r="Y134">
            <v>7.2366666666667356E-2</v>
          </cell>
          <cell r="Z134">
            <v>45.494900000000001</v>
          </cell>
          <cell r="AA134">
            <v>45.567266666666669</v>
          </cell>
          <cell r="AB134">
            <v>3.6450017524046496E-3</v>
          </cell>
          <cell r="AC134">
            <v>0.17783999999999811</v>
          </cell>
          <cell r="AD134">
            <v>48.790100000000002</v>
          </cell>
          <cell r="AE134">
            <v>48.967939999999999</v>
          </cell>
          <cell r="AF134">
            <v>2.8877033734108935E-3</v>
          </cell>
          <cell r="AG134">
            <v>4.7146666666667635E-2</v>
          </cell>
          <cell r="AH134">
            <v>16.326699999999999</v>
          </cell>
          <cell r="AI134">
            <v>16.373846666666665</v>
          </cell>
          <cell r="AJ134">
            <v>2.6396294815527639E-3</v>
          </cell>
          <cell r="AK134">
            <v>4.1971428571429721E-2</v>
          </cell>
          <cell r="AL134">
            <v>15.900499999999999</v>
          </cell>
          <cell r="AM134">
            <v>15.942471428571428</v>
          </cell>
          <cell r="AN134">
            <v>4.0846785279446815E-3</v>
          </cell>
          <cell r="AO134">
            <v>3.1199999999999863E-2</v>
          </cell>
          <cell r="AP134">
            <v>7.6383000000000001</v>
          </cell>
          <cell r="AQ134">
            <v>7.6695000000000002</v>
          </cell>
          <cell r="AR134">
            <v>6.5952237607876162E-4</v>
          </cell>
          <cell r="AS134">
            <v>2.7386666666670577E-2</v>
          </cell>
          <cell r="AT134">
            <v>41.524999999999999</v>
          </cell>
          <cell r="AU134">
            <v>41.552386666666671</v>
          </cell>
          <cell r="AV134">
            <v>3.7458685273593739E-3</v>
          </cell>
          <cell r="AW134">
            <v>0.13259999999999447</v>
          </cell>
          <cell r="AX134">
            <v>35.399000000000001</v>
          </cell>
          <cell r="AY134">
            <v>35.531599999999997</v>
          </cell>
          <cell r="AZ134">
            <v>2.6624316006425212E-3</v>
          </cell>
          <cell r="BA134">
            <v>2.0428571428570002E-2</v>
          </cell>
          <cell r="BB134">
            <v>7.6729000000000003</v>
          </cell>
          <cell r="BC134">
            <v>7.6933285714285704</v>
          </cell>
        </row>
        <row r="135">
          <cell r="B135">
            <v>87</v>
          </cell>
          <cell r="C135">
            <v>27</v>
          </cell>
          <cell r="D135">
            <v>3.0568348178705435E-3</v>
          </cell>
          <cell r="E135">
            <v>0.18333000000000438</v>
          </cell>
          <cell r="F135">
            <v>59.973799999999997</v>
          </cell>
          <cell r="G135">
            <v>60.157130000000002</v>
          </cell>
          <cell r="H135">
            <v>4.182608024521332E-3</v>
          </cell>
          <cell r="I135">
            <v>0.30348000000000896</v>
          </cell>
          <cell r="J135">
            <v>72.557599999999994</v>
          </cell>
          <cell r="K135">
            <v>72.861080000000001</v>
          </cell>
          <cell r="L135">
            <v>5.6074766355141336E-3</v>
          </cell>
          <cell r="M135">
            <v>3.0600000000000627E-3</v>
          </cell>
          <cell r="N135">
            <v>0.54569999999999996</v>
          </cell>
          <cell r="O135">
            <v>0.54876000000000003</v>
          </cell>
          <cell r="P135">
            <v>2.4382670137597278E-3</v>
          </cell>
          <cell r="Q135">
            <v>0.26225999999999627</v>
          </cell>
          <cell r="R135">
            <v>107.56</v>
          </cell>
          <cell r="S135">
            <v>107.82226</v>
          </cell>
          <cell r="T135">
            <v>5.1703196716769715E-3</v>
          </cell>
          <cell r="U135">
            <v>0.24263999999999725</v>
          </cell>
          <cell r="V135">
            <v>46.929400000000001</v>
          </cell>
          <cell r="W135">
            <v>47.172039999999996</v>
          </cell>
          <cell r="X135">
            <v>1.6518335022167477E-3</v>
          </cell>
          <cell r="Y135">
            <v>7.5150000000000716E-2</v>
          </cell>
          <cell r="Z135">
            <v>45.494900000000001</v>
          </cell>
          <cell r="AA135">
            <v>45.570050000000002</v>
          </cell>
          <cell r="AB135">
            <v>3.7851941274971365E-3</v>
          </cell>
          <cell r="AC135">
            <v>0.18467999999999804</v>
          </cell>
          <cell r="AD135">
            <v>48.790100000000002</v>
          </cell>
          <cell r="AE135">
            <v>48.974780000000003</v>
          </cell>
          <cell r="AF135">
            <v>2.9987688877728511E-3</v>
          </cell>
          <cell r="AG135">
            <v>4.8960000000001003E-2</v>
          </cell>
          <cell r="AH135">
            <v>16.326699999999999</v>
          </cell>
          <cell r="AI135">
            <v>16.37566</v>
          </cell>
          <cell r="AJ135">
            <v>2.7411536923817167E-3</v>
          </cell>
          <cell r="AK135">
            <v>4.3585714285715484E-2</v>
          </cell>
          <cell r="AL135">
            <v>15.900499999999999</v>
          </cell>
          <cell r="AM135">
            <v>15.944085714285714</v>
          </cell>
          <cell r="AN135">
            <v>4.2417815482502464E-3</v>
          </cell>
          <cell r="AO135">
            <v>3.2399999999999859E-2</v>
          </cell>
          <cell r="AP135">
            <v>7.6383000000000001</v>
          </cell>
          <cell r="AQ135">
            <v>7.6707000000000001</v>
          </cell>
          <cell r="AR135">
            <v>6.8488862131256024E-4</v>
          </cell>
          <cell r="AS135">
            <v>2.8440000000004063E-2</v>
          </cell>
          <cell r="AT135">
            <v>41.524999999999999</v>
          </cell>
          <cell r="AU135">
            <v>41.553440000000002</v>
          </cell>
          <cell r="AV135">
            <v>3.8899403937962727E-3</v>
          </cell>
          <cell r="AW135">
            <v>0.13769999999999424</v>
          </cell>
          <cell r="AX135">
            <v>35.399000000000001</v>
          </cell>
          <cell r="AY135">
            <v>35.536699999999996</v>
          </cell>
          <cell r="AZ135">
            <v>2.764832816051849E-3</v>
          </cell>
          <cell r="BA135">
            <v>2.1214285714284235E-2</v>
          </cell>
          <cell r="BB135">
            <v>7.6729000000000003</v>
          </cell>
          <cell r="BC135">
            <v>7.6941142857142841</v>
          </cell>
        </row>
        <row r="136">
          <cell r="B136">
            <v>88</v>
          </cell>
          <cell r="C136">
            <v>28</v>
          </cell>
          <cell r="D136">
            <v>3.1700509222361193E-3</v>
          </cell>
          <cell r="E136">
            <v>0.19012000000000456</v>
          </cell>
          <cell r="F136">
            <v>59.973799999999997</v>
          </cell>
          <cell r="G136">
            <v>60.163920000000005</v>
          </cell>
          <cell r="H136">
            <v>4.3375194328369362E-3</v>
          </cell>
          <cell r="I136">
            <v>0.31472000000000927</v>
          </cell>
          <cell r="J136">
            <v>72.557599999999994</v>
          </cell>
          <cell r="K136">
            <v>72.872320000000002</v>
          </cell>
          <cell r="L136">
            <v>5.8151609553479915E-3</v>
          </cell>
          <cell r="M136">
            <v>3.1733333333333982E-3</v>
          </cell>
          <cell r="N136">
            <v>0.54569999999999996</v>
          </cell>
          <cell r="O136">
            <v>0.54887333333333332</v>
          </cell>
          <cell r="P136">
            <v>2.5285731994545324E-3</v>
          </cell>
          <cell r="Q136">
            <v>0.27197333333332951</v>
          </cell>
          <cell r="R136">
            <v>107.56</v>
          </cell>
          <cell r="S136">
            <v>107.83197333333334</v>
          </cell>
          <cell r="T136">
            <v>5.3618129928501932E-3</v>
          </cell>
          <cell r="U136">
            <v>0.25162666666666383</v>
          </cell>
          <cell r="V136">
            <v>46.929400000000001</v>
          </cell>
          <cell r="W136">
            <v>47.181026666666668</v>
          </cell>
          <cell r="X136">
            <v>1.7130125208173681E-3</v>
          </cell>
          <cell r="Y136">
            <v>7.7933333333334076E-2</v>
          </cell>
          <cell r="Z136">
            <v>45.494900000000001</v>
          </cell>
          <cell r="AA136">
            <v>45.572833333333335</v>
          </cell>
          <cell r="AB136">
            <v>3.925386502589623E-3</v>
          </cell>
          <cell r="AC136">
            <v>0.19151999999999797</v>
          </cell>
          <cell r="AD136">
            <v>48.790100000000002</v>
          </cell>
          <cell r="AE136">
            <v>48.981619999999999</v>
          </cell>
          <cell r="AF136">
            <v>3.1098344021348086E-3</v>
          </cell>
          <cell r="AG136">
            <v>5.0773333333334371E-2</v>
          </cell>
          <cell r="AH136">
            <v>16.326699999999999</v>
          </cell>
          <cell r="AI136">
            <v>16.377473333333334</v>
          </cell>
          <cell r="AJ136">
            <v>2.8426779032106691E-3</v>
          </cell>
          <cell r="AK136">
            <v>4.5200000000001239E-2</v>
          </cell>
          <cell r="AL136">
            <v>15.900499999999999</v>
          </cell>
          <cell r="AM136">
            <v>15.9457</v>
          </cell>
          <cell r="AN136">
            <v>4.3988845685558114E-3</v>
          </cell>
          <cell r="AO136">
            <v>3.3599999999999852E-2</v>
          </cell>
          <cell r="AP136">
            <v>7.6383000000000001</v>
          </cell>
          <cell r="AQ136">
            <v>7.6718999999999999</v>
          </cell>
          <cell r="AR136">
            <v>7.1025486654635876E-4</v>
          </cell>
          <cell r="AS136">
            <v>2.9493333333337545E-2</v>
          </cell>
          <cell r="AT136">
            <v>41.524999999999999</v>
          </cell>
          <cell r="AU136">
            <v>41.554493333333333</v>
          </cell>
          <cell r="AV136">
            <v>4.0340122602331718E-3</v>
          </cell>
          <cell r="AW136">
            <v>0.14279999999999404</v>
          </cell>
          <cell r="AX136">
            <v>35.399000000000001</v>
          </cell>
          <cell r="AY136">
            <v>35.541799999999995</v>
          </cell>
          <cell r="AZ136">
            <v>2.8672340314611767E-3</v>
          </cell>
          <cell r="BA136">
            <v>2.1999999999998465E-2</v>
          </cell>
          <cell r="BB136">
            <v>7.6729000000000003</v>
          </cell>
          <cell r="BC136">
            <v>7.6948999999999987</v>
          </cell>
        </row>
        <row r="137">
          <cell r="B137">
            <v>89</v>
          </cell>
          <cell r="C137">
            <v>29</v>
          </cell>
          <cell r="D137">
            <v>3.2832670266016947E-3</v>
          </cell>
          <cell r="E137">
            <v>0.19691000000000472</v>
          </cell>
          <cell r="F137">
            <v>59.973799999999997</v>
          </cell>
          <cell r="G137">
            <v>60.17071</v>
          </cell>
          <cell r="H137">
            <v>4.4924308411525412E-3</v>
          </cell>
          <cell r="I137">
            <v>0.32596000000000963</v>
          </cell>
          <cell r="J137">
            <v>72.557599999999994</v>
          </cell>
          <cell r="K137">
            <v>72.883560000000003</v>
          </cell>
          <cell r="L137">
            <v>6.0228452751818476E-3</v>
          </cell>
          <cell r="M137">
            <v>3.2866666666667341E-3</v>
          </cell>
          <cell r="N137">
            <v>0.54569999999999996</v>
          </cell>
          <cell r="O137">
            <v>0.54898666666666673</v>
          </cell>
          <cell r="P137">
            <v>2.6188793851493366E-3</v>
          </cell>
          <cell r="Q137">
            <v>0.2816866666666627</v>
          </cell>
          <cell r="R137">
            <v>107.56</v>
          </cell>
          <cell r="S137">
            <v>107.84168666666666</v>
          </cell>
          <cell r="T137">
            <v>5.5533063140234141E-3</v>
          </cell>
          <cell r="U137">
            <v>0.26061333333333037</v>
          </cell>
          <cell r="V137">
            <v>46.929400000000001</v>
          </cell>
          <cell r="W137">
            <v>47.190013333333333</v>
          </cell>
          <cell r="X137">
            <v>1.7741915394179882E-3</v>
          </cell>
          <cell r="Y137">
            <v>8.0716666666667436E-2</v>
          </cell>
          <cell r="Z137">
            <v>45.494900000000001</v>
          </cell>
          <cell r="AA137">
            <v>45.575616666666669</v>
          </cell>
          <cell r="AB137">
            <v>4.0655788776821095E-3</v>
          </cell>
          <cell r="AC137">
            <v>0.1983599999999979</v>
          </cell>
          <cell r="AD137">
            <v>48.790100000000002</v>
          </cell>
          <cell r="AE137">
            <v>48.988460000000003</v>
          </cell>
          <cell r="AF137">
            <v>3.2208999164967658E-3</v>
          </cell>
          <cell r="AG137">
            <v>5.2586666666667746E-2</v>
          </cell>
          <cell r="AH137">
            <v>16.326699999999999</v>
          </cell>
          <cell r="AI137">
            <v>16.379286666666665</v>
          </cell>
          <cell r="AJ137">
            <v>2.9442021140396214E-3</v>
          </cell>
          <cell r="AK137">
            <v>4.6814285714286995E-2</v>
          </cell>
          <cell r="AL137">
            <v>15.900499999999999</v>
          </cell>
          <cell r="AM137">
            <v>15.947314285714286</v>
          </cell>
          <cell r="AN137">
            <v>4.5559875888613755E-3</v>
          </cell>
          <cell r="AO137">
            <v>3.4799999999999845E-2</v>
          </cell>
          <cell r="AP137">
            <v>7.6383000000000001</v>
          </cell>
          <cell r="AQ137">
            <v>7.6730999999999998</v>
          </cell>
          <cell r="AR137">
            <v>7.3562111178015728E-4</v>
          </cell>
          <cell r="AS137">
            <v>3.0546666666671031E-2</v>
          </cell>
          <cell r="AT137">
            <v>41.524999999999999</v>
          </cell>
          <cell r="AU137">
            <v>41.555546666666672</v>
          </cell>
          <cell r="AV137">
            <v>4.1780841266700706E-3</v>
          </cell>
          <cell r="AW137">
            <v>0.14789999999999384</v>
          </cell>
          <cell r="AX137">
            <v>35.399000000000001</v>
          </cell>
          <cell r="AY137">
            <v>35.546899999999994</v>
          </cell>
          <cell r="AZ137">
            <v>2.9696352468705045E-3</v>
          </cell>
          <cell r="BA137">
            <v>2.2785714285712695E-2</v>
          </cell>
          <cell r="BB137">
            <v>7.6729000000000003</v>
          </cell>
          <cell r="BC137">
            <v>7.6956857142857134</v>
          </cell>
        </row>
        <row r="138">
          <cell r="B138">
            <v>90</v>
          </cell>
          <cell r="C138">
            <v>30</v>
          </cell>
          <cell r="D138">
            <v>3.3964831309672705E-3</v>
          </cell>
          <cell r="E138">
            <v>0.20370000000000488</v>
          </cell>
          <cell r="F138">
            <v>59.973799999999997</v>
          </cell>
          <cell r="G138">
            <v>60.177500000000002</v>
          </cell>
          <cell r="H138">
            <v>4.6473422494681471E-3</v>
          </cell>
          <cell r="I138">
            <v>0.33720000000000994</v>
          </cell>
          <cell r="J138">
            <v>72.557599999999994</v>
          </cell>
          <cell r="K138">
            <v>72.894800000000004</v>
          </cell>
          <cell r="L138">
            <v>6.2305295950157045E-3</v>
          </cell>
          <cell r="M138">
            <v>3.4000000000000696E-3</v>
          </cell>
          <cell r="N138">
            <v>0.54569999999999996</v>
          </cell>
          <cell r="O138">
            <v>0.54910000000000003</v>
          </cell>
          <cell r="P138">
            <v>2.7091855708441417E-3</v>
          </cell>
          <cell r="Q138">
            <v>0.29139999999999588</v>
          </cell>
          <cell r="R138">
            <v>107.56</v>
          </cell>
          <cell r="S138">
            <v>107.8514</v>
          </cell>
          <cell r="T138">
            <v>5.744799635196635E-3</v>
          </cell>
          <cell r="U138">
            <v>0.26959999999999695</v>
          </cell>
          <cell r="V138">
            <v>46.929400000000001</v>
          </cell>
          <cell r="W138">
            <v>47.198999999999998</v>
          </cell>
          <cell r="X138">
            <v>1.8353705580186085E-3</v>
          </cell>
          <cell r="Y138">
            <v>8.3500000000000796E-2</v>
          </cell>
          <cell r="Z138">
            <v>45.494900000000001</v>
          </cell>
          <cell r="AA138">
            <v>45.578400000000002</v>
          </cell>
          <cell r="AB138">
            <v>4.205771252774596E-3</v>
          </cell>
          <cell r="AC138">
            <v>0.20519999999999783</v>
          </cell>
          <cell r="AD138">
            <v>48.790100000000002</v>
          </cell>
          <cell r="AE138">
            <v>48.9953</v>
          </cell>
          <cell r="AF138">
            <v>3.3319654308587234E-3</v>
          </cell>
          <cell r="AG138">
            <v>5.4400000000001114E-2</v>
          </cell>
          <cell r="AH138">
            <v>16.326699999999999</v>
          </cell>
          <cell r="AI138">
            <v>16.3811</v>
          </cell>
          <cell r="AJ138">
            <v>3.0457263248685742E-3</v>
          </cell>
          <cell r="AK138">
            <v>4.8428571428572757E-2</v>
          </cell>
          <cell r="AL138">
            <v>15.900499999999999</v>
          </cell>
          <cell r="AM138">
            <v>15.948928571428572</v>
          </cell>
          <cell r="AN138">
            <v>4.7130906091669414E-3</v>
          </cell>
          <cell r="AO138">
            <v>3.5999999999999845E-2</v>
          </cell>
          <cell r="AP138">
            <v>7.6383000000000001</v>
          </cell>
          <cell r="AQ138">
            <v>7.6742999999999997</v>
          </cell>
          <cell r="AR138">
            <v>7.609873570139558E-4</v>
          </cell>
          <cell r="AS138">
            <v>3.1600000000004513E-2</v>
          </cell>
          <cell r="AT138">
            <v>41.524999999999999</v>
          </cell>
          <cell r="AU138">
            <v>41.556600000000003</v>
          </cell>
          <cell r="AV138">
            <v>4.3221559931069702E-3</v>
          </cell>
          <cell r="AW138">
            <v>0.15299999999999361</v>
          </cell>
          <cell r="AX138">
            <v>35.399000000000001</v>
          </cell>
          <cell r="AY138">
            <v>35.551999999999992</v>
          </cell>
          <cell r="AZ138">
            <v>3.0720364622798322E-3</v>
          </cell>
          <cell r="BA138">
            <v>2.3571428571426929E-2</v>
          </cell>
          <cell r="BB138">
            <v>7.6729000000000003</v>
          </cell>
          <cell r="BC138">
            <v>7.6964714285714271</v>
          </cell>
        </row>
        <row r="139">
          <cell r="B139">
            <v>91</v>
          </cell>
          <cell r="C139">
            <v>1</v>
          </cell>
          <cell r="D139">
            <v>1.1011867669256147E-4</v>
          </cell>
          <cell r="E139">
            <v>6.6266666666666176E-3</v>
          </cell>
          <cell r="F139">
            <v>60.177500000000002</v>
          </cell>
          <cell r="G139">
            <v>60.184126666666671</v>
          </cell>
          <cell r="H139">
            <v>1.6146556407315644E-4</v>
          </cell>
          <cell r="I139">
            <v>1.1769999999999925E-2</v>
          </cell>
          <cell r="J139">
            <v>72.894800000000004</v>
          </cell>
          <cell r="K139">
            <v>72.906570000000002</v>
          </cell>
          <cell r="L139">
            <v>2.2460996782613522E-4</v>
          </cell>
          <cell r="M139">
            <v>1.2333333333333085E-4</v>
          </cell>
          <cell r="N139">
            <v>0.54910000000000003</v>
          </cell>
          <cell r="O139">
            <v>0.5492233333333334</v>
          </cell>
          <cell r="P139">
            <v>8.8053253519814441E-5</v>
          </cell>
          <cell r="Q139">
            <v>9.4966666666669152E-3</v>
          </cell>
          <cell r="R139">
            <v>107.8514</v>
          </cell>
          <cell r="S139">
            <v>107.86089666666666</v>
          </cell>
          <cell r="T139">
            <v>2.0212292633318567E-4</v>
          </cell>
          <cell r="U139">
            <v>9.5400000000000294E-3</v>
          </cell>
          <cell r="V139">
            <v>47.198999999999998</v>
          </cell>
          <cell r="W139">
            <v>47.208539999999999</v>
          </cell>
          <cell r="X139">
            <v>5.4923677297432592E-5</v>
          </cell>
          <cell r="Y139">
            <v>2.5033333333333019E-3</v>
          </cell>
          <cell r="Z139">
            <v>45.578400000000002</v>
          </cell>
          <cell r="AA139">
            <v>45.580903333333339</v>
          </cell>
          <cell r="AB139">
            <v>1.4191837448353686E-4</v>
          </cell>
          <cell r="AC139">
            <v>6.9533333333332333E-3</v>
          </cell>
          <cell r="AD139">
            <v>48.9953</v>
          </cell>
          <cell r="AE139">
            <v>49.002253333333336</v>
          </cell>
          <cell r="AF139">
            <v>1.0947575763125178E-4</v>
          </cell>
          <cell r="AG139">
            <v>1.7933333333332987E-3</v>
          </cell>
          <cell r="AH139">
            <v>16.3811</v>
          </cell>
          <cell r="AI139">
            <v>16.382893333333332</v>
          </cell>
          <cell r="AJ139">
            <v>1.0152421082895247E-4</v>
          </cell>
          <cell r="AK139">
            <v>1.6142857142857586E-3</v>
          </cell>
          <cell r="AL139">
            <v>15.900499999999999</v>
          </cell>
          <cell r="AM139">
            <v>15.902114285714285</v>
          </cell>
          <cell r="AN139">
            <v>1.571030203055647E-4</v>
          </cell>
          <cell r="AO139">
            <v>1.1999999999999947E-3</v>
          </cell>
          <cell r="AP139">
            <v>7.6383000000000001</v>
          </cell>
          <cell r="AQ139">
            <v>7.6395</v>
          </cell>
          <cell r="AR139">
            <v>1.5079834891849361E-5</v>
          </cell>
          <cell r="AS139">
            <v>6.2666666666662729E-4</v>
          </cell>
          <cell r="AT139">
            <v>41.556600000000003</v>
          </cell>
          <cell r="AU139">
            <v>41.557226666666672</v>
          </cell>
          <cell r="AV139">
            <v>1.4407186643689899E-4</v>
          </cell>
          <cell r="AW139">
            <v>5.099999999999787E-3</v>
          </cell>
          <cell r="AX139">
            <v>35.399000000000001</v>
          </cell>
          <cell r="AY139">
            <v>35.4041</v>
          </cell>
          <cell r="AZ139">
            <v>1.0240121540932774E-4</v>
          </cell>
          <cell r="BA139">
            <v>7.8571428571423089E-4</v>
          </cell>
          <cell r="BB139">
            <v>7.6729000000000003</v>
          </cell>
          <cell r="BC139">
            <v>7.6736857142857149</v>
          </cell>
        </row>
        <row r="140">
          <cell r="B140">
            <v>92</v>
          </cell>
          <cell r="C140">
            <v>2</v>
          </cell>
          <cell r="D140">
            <v>2.2023735338512295E-4</v>
          </cell>
          <cell r="E140">
            <v>1.3253333333333235E-2</v>
          </cell>
          <cell r="F140">
            <v>60.177500000000002</v>
          </cell>
          <cell r="G140">
            <v>60.190753333333333</v>
          </cell>
          <cell r="H140">
            <v>3.2293112814631289E-4</v>
          </cell>
          <cell r="I140">
            <v>2.3539999999999849E-2</v>
          </cell>
          <cell r="J140">
            <v>72.894800000000004</v>
          </cell>
          <cell r="K140">
            <v>72.918340000000001</v>
          </cell>
          <cell r="L140">
            <v>4.4921993565227045E-4</v>
          </cell>
          <cell r="M140">
            <v>2.4666666666666169E-4</v>
          </cell>
          <cell r="N140">
            <v>0.54910000000000003</v>
          </cell>
          <cell r="O140">
            <v>0.54934666666666665</v>
          </cell>
          <cell r="P140">
            <v>1.7610650703962888E-4</v>
          </cell>
          <cell r="Q140">
            <v>1.899333333333383E-2</v>
          </cell>
          <cell r="R140">
            <v>107.8514</v>
          </cell>
          <cell r="S140">
            <v>107.87039333333333</v>
          </cell>
          <cell r="T140">
            <v>4.0424585266637134E-4</v>
          </cell>
          <cell r="U140">
            <v>1.9080000000000059E-2</v>
          </cell>
          <cell r="V140">
            <v>47.198999999999998</v>
          </cell>
          <cell r="W140">
            <v>47.21808</v>
          </cell>
          <cell r="X140">
            <v>1.0984735459486518E-4</v>
          </cell>
          <cell r="Y140">
            <v>5.0066666666666038E-3</v>
          </cell>
          <cell r="Z140">
            <v>45.578400000000002</v>
          </cell>
          <cell r="AA140">
            <v>45.583406666666669</v>
          </cell>
          <cell r="AB140">
            <v>2.8383674896707373E-4</v>
          </cell>
          <cell r="AC140">
            <v>1.3906666666666467E-2</v>
          </cell>
          <cell r="AD140">
            <v>48.9953</v>
          </cell>
          <cell r="AE140">
            <v>49.009206666666664</v>
          </cell>
          <cell r="AF140">
            <v>2.1895151526250356E-4</v>
          </cell>
          <cell r="AG140">
            <v>3.5866666666665974E-3</v>
          </cell>
          <cell r="AH140">
            <v>16.3811</v>
          </cell>
          <cell r="AI140">
            <v>16.384686666666667</v>
          </cell>
          <cell r="AJ140">
            <v>2.0304842165790493E-4</v>
          </cell>
          <cell r="AK140">
            <v>3.2285714285715172E-3</v>
          </cell>
          <cell r="AL140">
            <v>15.900499999999999</v>
          </cell>
          <cell r="AM140">
            <v>15.903728571428571</v>
          </cell>
          <cell r="AN140">
            <v>3.142060406111294E-4</v>
          </cell>
          <cell r="AO140">
            <v>2.3999999999999894E-3</v>
          </cell>
          <cell r="AP140">
            <v>7.6383000000000001</v>
          </cell>
          <cell r="AQ140">
            <v>7.6406999999999998</v>
          </cell>
          <cell r="AR140">
            <v>3.0159669783698722E-5</v>
          </cell>
          <cell r="AS140">
            <v>1.2533333333332546E-3</v>
          </cell>
          <cell r="AT140">
            <v>41.556600000000003</v>
          </cell>
          <cell r="AU140">
            <v>41.557853333333334</v>
          </cell>
          <cell r="AV140">
            <v>2.8814373287379798E-4</v>
          </cell>
          <cell r="AW140">
            <v>1.0199999999999574E-2</v>
          </cell>
          <cell r="AX140">
            <v>35.399000000000001</v>
          </cell>
          <cell r="AY140">
            <v>35.409199999999998</v>
          </cell>
          <cell r="AZ140">
            <v>2.0480243081865548E-4</v>
          </cell>
          <cell r="BA140">
            <v>1.5714285714284618E-3</v>
          </cell>
          <cell r="BB140">
            <v>7.6729000000000003</v>
          </cell>
          <cell r="BC140">
            <v>7.6744714285714286</v>
          </cell>
        </row>
        <row r="141">
          <cell r="B141">
            <v>93</v>
          </cell>
          <cell r="C141">
            <v>3</v>
          </cell>
          <cell r="D141">
            <v>3.303560300776844E-4</v>
          </cell>
          <cell r="E141">
            <v>1.9879999999999853E-2</v>
          </cell>
          <cell r="F141">
            <v>60.177500000000002</v>
          </cell>
          <cell r="G141">
            <v>60.197380000000003</v>
          </cell>
          <cell r="H141">
            <v>4.8439669221946925E-4</v>
          </cell>
          <cell r="I141">
            <v>3.5309999999999772E-2</v>
          </cell>
          <cell r="J141">
            <v>72.894800000000004</v>
          </cell>
          <cell r="K141">
            <v>72.930109999999999</v>
          </cell>
          <cell r="L141">
            <v>6.7382990347840562E-4</v>
          </cell>
          <cell r="M141">
            <v>3.6999999999999257E-4</v>
          </cell>
          <cell r="N141">
            <v>0.54910000000000003</v>
          </cell>
          <cell r="O141">
            <v>0.54947000000000001</v>
          </cell>
          <cell r="P141">
            <v>2.6415976055944336E-4</v>
          </cell>
          <cell r="Q141">
            <v>2.8490000000000747E-2</v>
          </cell>
          <cell r="R141">
            <v>107.8514</v>
          </cell>
          <cell r="S141">
            <v>107.87989</v>
          </cell>
          <cell r="T141">
            <v>6.0636877899955695E-4</v>
          </cell>
          <cell r="U141">
            <v>2.862000000000009E-2</v>
          </cell>
          <cell r="V141">
            <v>47.198999999999998</v>
          </cell>
          <cell r="W141">
            <v>47.227620000000002</v>
          </cell>
          <cell r="X141">
            <v>1.6477103189229777E-4</v>
          </cell>
          <cell r="Y141">
            <v>7.5099999999999056E-3</v>
          </cell>
          <cell r="Z141">
            <v>45.578400000000002</v>
          </cell>
          <cell r="AA141">
            <v>45.585909999999998</v>
          </cell>
          <cell r="AB141">
            <v>4.2575512345061057E-4</v>
          </cell>
          <cell r="AC141">
            <v>2.0859999999999702E-2</v>
          </cell>
          <cell r="AD141">
            <v>48.9953</v>
          </cell>
          <cell r="AE141">
            <v>49.016159999999999</v>
          </cell>
          <cell r="AF141">
            <v>3.2842727289375534E-4</v>
          </cell>
          <cell r="AG141">
            <v>5.3799999999998962E-3</v>
          </cell>
          <cell r="AH141">
            <v>16.3811</v>
          </cell>
          <cell r="AI141">
            <v>16.386479999999999</v>
          </cell>
          <cell r="AJ141">
            <v>3.045726324868574E-4</v>
          </cell>
          <cell r="AK141">
            <v>4.8428571428572754E-3</v>
          </cell>
          <cell r="AL141">
            <v>15.900499999999999</v>
          </cell>
          <cell r="AM141">
            <v>15.905342857142857</v>
          </cell>
          <cell r="AN141">
            <v>4.7130906091669405E-4</v>
          </cell>
          <cell r="AO141">
            <v>3.5999999999999843E-3</v>
          </cell>
          <cell r="AP141">
            <v>7.6383000000000001</v>
          </cell>
          <cell r="AQ141">
            <v>7.6418999999999997</v>
          </cell>
          <cell r="AR141">
            <v>4.5239504675548082E-5</v>
          </cell>
          <cell r="AS141">
            <v>1.8799999999998818E-3</v>
          </cell>
          <cell r="AT141">
            <v>41.556600000000003</v>
          </cell>
          <cell r="AU141">
            <v>41.558480000000003</v>
          </cell>
          <cell r="AV141">
            <v>4.32215599310697E-4</v>
          </cell>
          <cell r="AW141">
            <v>1.5299999999999361E-2</v>
          </cell>
          <cell r="AX141">
            <v>35.399000000000001</v>
          </cell>
          <cell r="AY141">
            <v>35.414299999999997</v>
          </cell>
          <cell r="AZ141">
            <v>3.0720364622798321E-4</v>
          </cell>
          <cell r="BA141">
            <v>2.3571428571426928E-3</v>
          </cell>
          <cell r="BB141">
            <v>7.6729000000000003</v>
          </cell>
          <cell r="BC141">
            <v>7.6752571428571432</v>
          </cell>
        </row>
        <row r="142">
          <cell r="B142">
            <v>94</v>
          </cell>
          <cell r="C142">
            <v>4</v>
          </cell>
          <cell r="D142">
            <v>4.404747067702459E-4</v>
          </cell>
          <cell r="E142">
            <v>2.650666666666647E-2</v>
          </cell>
          <cell r="F142">
            <v>60.177500000000002</v>
          </cell>
          <cell r="G142">
            <v>60.204006666666672</v>
          </cell>
          <cell r="H142">
            <v>6.4586225629262577E-4</v>
          </cell>
          <cell r="I142">
            <v>4.7079999999999698E-2</v>
          </cell>
          <cell r="J142">
            <v>72.894800000000004</v>
          </cell>
          <cell r="K142">
            <v>72.941879999999998</v>
          </cell>
          <cell r="L142">
            <v>8.984398713045409E-4</v>
          </cell>
          <cell r="M142">
            <v>4.9333333333332339E-4</v>
          </cell>
          <cell r="N142">
            <v>0.54910000000000003</v>
          </cell>
          <cell r="O142">
            <v>0.54959333333333338</v>
          </cell>
          <cell r="P142">
            <v>3.5221301407925776E-4</v>
          </cell>
          <cell r="Q142">
            <v>3.7986666666667661E-2</v>
          </cell>
          <cell r="R142">
            <v>107.8514</v>
          </cell>
          <cell r="S142">
            <v>107.88938666666667</v>
          </cell>
          <cell r="T142">
            <v>8.0849170533274267E-4</v>
          </cell>
          <cell r="U142">
            <v>3.8160000000000117E-2</v>
          </cell>
          <cell r="V142">
            <v>47.198999999999998</v>
          </cell>
          <cell r="W142">
            <v>47.237159999999996</v>
          </cell>
          <cell r="X142">
            <v>2.1969470918973037E-4</v>
          </cell>
          <cell r="Y142">
            <v>1.0013333333333208E-2</v>
          </cell>
          <cell r="Z142">
            <v>45.578400000000002</v>
          </cell>
          <cell r="AA142">
            <v>45.588413333333335</v>
          </cell>
          <cell r="AB142">
            <v>5.6767349793414746E-4</v>
          </cell>
          <cell r="AC142">
            <v>2.7813333333332933E-2</v>
          </cell>
          <cell r="AD142">
            <v>48.9953</v>
          </cell>
          <cell r="AE142">
            <v>49.023113333333335</v>
          </cell>
          <cell r="AF142">
            <v>4.3790303052500712E-4</v>
          </cell>
          <cell r="AG142">
            <v>7.1733333333331949E-3</v>
          </cell>
          <cell r="AH142">
            <v>16.3811</v>
          </cell>
          <cell r="AI142">
            <v>16.388273333333334</v>
          </cell>
          <cell r="AJ142">
            <v>4.0609684331580987E-4</v>
          </cell>
          <cell r="AK142">
            <v>6.4571428571430344E-3</v>
          </cell>
          <cell r="AL142">
            <v>15.900499999999999</v>
          </cell>
          <cell r="AM142">
            <v>15.906957142857141</v>
          </cell>
          <cell r="AN142">
            <v>6.284120812222588E-4</v>
          </cell>
          <cell r="AO142">
            <v>4.7999999999999788E-3</v>
          </cell>
          <cell r="AP142">
            <v>7.6383000000000001</v>
          </cell>
          <cell r="AQ142">
            <v>7.6431000000000004</v>
          </cell>
          <cell r="AR142">
            <v>6.0319339567397444E-5</v>
          </cell>
          <cell r="AS142">
            <v>2.5066666666665092E-3</v>
          </cell>
          <cell r="AT142">
            <v>41.556600000000003</v>
          </cell>
          <cell r="AU142">
            <v>41.559106666666672</v>
          </cell>
          <cell r="AV142">
            <v>5.7628746574759596E-4</v>
          </cell>
          <cell r="AW142">
            <v>2.0399999999999148E-2</v>
          </cell>
          <cell r="AX142">
            <v>35.399000000000001</v>
          </cell>
          <cell r="AY142">
            <v>35.419400000000003</v>
          </cell>
          <cell r="AZ142">
            <v>4.0960486163731097E-4</v>
          </cell>
          <cell r="BA142">
            <v>3.1428571428569235E-3</v>
          </cell>
          <cell r="BB142">
            <v>7.6729000000000003</v>
          </cell>
          <cell r="BC142">
            <v>7.6760428571428569</v>
          </cell>
        </row>
        <row r="143">
          <cell r="B143">
            <v>95</v>
          </cell>
          <cell r="C143">
            <v>5</v>
          </cell>
          <cell r="D143">
            <v>5.5059338346280734E-4</v>
          </cell>
          <cell r="E143">
            <v>3.3133333333333091E-2</v>
          </cell>
          <cell r="F143">
            <v>60.177500000000002</v>
          </cell>
          <cell r="G143">
            <v>60.210633333333334</v>
          </cell>
          <cell r="H143">
            <v>8.0732782036578219E-4</v>
          </cell>
          <cell r="I143">
            <v>5.8849999999999625E-2</v>
          </cell>
          <cell r="J143">
            <v>72.894800000000004</v>
          </cell>
          <cell r="K143">
            <v>72.95365000000001</v>
          </cell>
          <cell r="L143">
            <v>1.1230498391306761E-3</v>
          </cell>
          <cell r="M143">
            <v>6.1666666666665426E-4</v>
          </cell>
          <cell r="N143">
            <v>0.54910000000000003</v>
          </cell>
          <cell r="O143">
            <v>0.54971666666666663</v>
          </cell>
          <cell r="P143">
            <v>4.4026626759907222E-4</v>
          </cell>
          <cell r="Q143">
            <v>4.7483333333334578E-2</v>
          </cell>
          <cell r="R143">
            <v>107.8514</v>
          </cell>
          <cell r="S143">
            <v>107.89888333333333</v>
          </cell>
          <cell r="T143">
            <v>1.0106146316659283E-3</v>
          </cell>
          <cell r="U143">
            <v>4.7700000000000152E-2</v>
          </cell>
          <cell r="V143">
            <v>47.198999999999998</v>
          </cell>
          <cell r="W143">
            <v>47.246699999999997</v>
          </cell>
          <cell r="X143">
            <v>2.7461838648716298E-4</v>
          </cell>
          <cell r="Y143">
            <v>1.2516666666666509E-2</v>
          </cell>
          <cell r="Z143">
            <v>45.578400000000002</v>
          </cell>
          <cell r="AA143">
            <v>45.590916666666672</v>
          </cell>
          <cell r="AB143">
            <v>7.0959187241768429E-4</v>
          </cell>
          <cell r="AC143">
            <v>3.4766666666666168E-2</v>
          </cell>
          <cell r="AD143">
            <v>48.9953</v>
          </cell>
          <cell r="AE143">
            <v>49.03006666666667</v>
          </cell>
          <cell r="AF143">
            <v>5.4737878815625885E-4</v>
          </cell>
          <cell r="AG143">
            <v>8.9666666666664927E-3</v>
          </cell>
          <cell r="AH143">
            <v>16.3811</v>
          </cell>
          <cell r="AI143">
            <v>16.390066666666666</v>
          </cell>
          <cell r="AJ143">
            <v>5.0762105414476233E-4</v>
          </cell>
          <cell r="AK143">
            <v>8.0714285714287935E-3</v>
          </cell>
          <cell r="AL143">
            <v>15.900499999999999</v>
          </cell>
          <cell r="AM143">
            <v>15.908571428571427</v>
          </cell>
          <cell r="AN143">
            <v>7.8551510152782345E-4</v>
          </cell>
          <cell r="AO143">
            <v>5.9999999999999732E-3</v>
          </cell>
          <cell r="AP143">
            <v>7.6383000000000001</v>
          </cell>
          <cell r="AQ143">
            <v>7.6443000000000003</v>
          </cell>
          <cell r="AR143">
            <v>7.5399174459246814E-5</v>
          </cell>
          <cell r="AS143">
            <v>3.1333333333331361E-3</v>
          </cell>
          <cell r="AT143">
            <v>41.556600000000003</v>
          </cell>
          <cell r="AU143">
            <v>41.559733333333334</v>
          </cell>
          <cell r="AV143">
            <v>7.2035933218449492E-4</v>
          </cell>
          <cell r="AW143">
            <v>2.5499999999998937E-2</v>
          </cell>
          <cell r="AX143">
            <v>35.399000000000001</v>
          </cell>
          <cell r="AY143">
            <v>35.424500000000002</v>
          </cell>
          <cell r="AZ143">
            <v>5.1200607704663867E-4</v>
          </cell>
          <cell r="BA143">
            <v>3.9285714285711548E-3</v>
          </cell>
          <cell r="BB143">
            <v>7.6729000000000003</v>
          </cell>
          <cell r="BC143">
            <v>7.6768285714285716</v>
          </cell>
        </row>
        <row r="144">
          <cell r="B144">
            <v>96</v>
          </cell>
          <cell r="C144">
            <v>6</v>
          </cell>
          <cell r="D144">
            <v>6.6071206015536879E-4</v>
          </cell>
          <cell r="E144">
            <v>3.9759999999999705E-2</v>
          </cell>
          <cell r="F144">
            <v>60.177500000000002</v>
          </cell>
          <cell r="G144">
            <v>60.217260000000003</v>
          </cell>
          <cell r="H144">
            <v>9.6879338443893849E-4</v>
          </cell>
          <cell r="I144">
            <v>7.0619999999999544E-2</v>
          </cell>
          <cell r="J144">
            <v>72.894800000000004</v>
          </cell>
          <cell r="K144">
            <v>72.965420000000009</v>
          </cell>
          <cell r="L144">
            <v>1.3476598069568112E-3</v>
          </cell>
          <cell r="M144">
            <v>7.3999999999998514E-4</v>
          </cell>
          <cell r="N144">
            <v>0.54910000000000003</v>
          </cell>
          <cell r="O144">
            <v>0.54984</v>
          </cell>
          <cell r="P144">
            <v>5.2831952111888673E-4</v>
          </cell>
          <cell r="Q144">
            <v>5.6980000000001495E-2</v>
          </cell>
          <cell r="R144">
            <v>107.8514</v>
          </cell>
          <cell r="S144">
            <v>107.90837999999999</v>
          </cell>
          <cell r="T144">
            <v>1.2127375579991139E-3</v>
          </cell>
          <cell r="U144">
            <v>5.724000000000018E-2</v>
          </cell>
          <cell r="V144">
            <v>47.198999999999998</v>
          </cell>
          <cell r="W144">
            <v>47.256239999999998</v>
          </cell>
          <cell r="X144">
            <v>3.2954206378459555E-4</v>
          </cell>
          <cell r="Y144">
            <v>1.5019999999999811E-2</v>
          </cell>
          <cell r="Z144">
            <v>45.578400000000002</v>
          </cell>
          <cell r="AA144">
            <v>45.593420000000002</v>
          </cell>
          <cell r="AB144">
            <v>8.5151024690122113E-4</v>
          </cell>
          <cell r="AC144">
            <v>4.1719999999999403E-2</v>
          </cell>
          <cell r="AD144">
            <v>48.9953</v>
          </cell>
          <cell r="AE144">
            <v>49.037019999999998</v>
          </cell>
          <cell r="AF144">
            <v>6.5685454578751068E-4</v>
          </cell>
          <cell r="AG144">
            <v>1.0759999999999792E-2</v>
          </cell>
          <cell r="AH144">
            <v>16.3811</v>
          </cell>
          <cell r="AI144">
            <v>16.391860000000001</v>
          </cell>
          <cell r="AJ144">
            <v>6.091452649737148E-4</v>
          </cell>
          <cell r="AK144">
            <v>9.6857142857145508E-3</v>
          </cell>
          <cell r="AL144">
            <v>15.900499999999999</v>
          </cell>
          <cell r="AM144">
            <v>15.910185714285713</v>
          </cell>
          <cell r="AN144">
            <v>9.426181218333881E-4</v>
          </cell>
          <cell r="AO144">
            <v>7.1999999999999686E-3</v>
          </cell>
          <cell r="AP144">
            <v>7.6383000000000001</v>
          </cell>
          <cell r="AQ144">
            <v>7.6455000000000002</v>
          </cell>
          <cell r="AR144">
            <v>9.0479009351096163E-5</v>
          </cell>
          <cell r="AS144">
            <v>3.7599999999997635E-3</v>
          </cell>
          <cell r="AT144">
            <v>41.556600000000003</v>
          </cell>
          <cell r="AU144">
            <v>41.560360000000003</v>
          </cell>
          <cell r="AV144">
            <v>8.6443119862139399E-4</v>
          </cell>
          <cell r="AW144">
            <v>3.0599999999998722E-2</v>
          </cell>
          <cell r="AX144">
            <v>35.399000000000001</v>
          </cell>
          <cell r="AY144">
            <v>35.429600000000001</v>
          </cell>
          <cell r="AZ144">
            <v>6.1440729245596643E-4</v>
          </cell>
          <cell r="BA144">
            <v>4.7142857142853855E-3</v>
          </cell>
          <cell r="BB144">
            <v>7.6729000000000003</v>
          </cell>
          <cell r="BC144">
            <v>7.6776142857142853</v>
          </cell>
        </row>
        <row r="145">
          <cell r="B145">
            <v>97</v>
          </cell>
          <cell r="C145">
            <v>7</v>
          </cell>
          <cell r="D145">
            <v>7.7083073684793024E-4</v>
          </cell>
          <cell r="E145">
            <v>4.6386666666666326E-2</v>
          </cell>
          <cell r="F145">
            <v>60.177500000000002</v>
          </cell>
          <cell r="G145">
            <v>60.223886666666665</v>
          </cell>
          <cell r="H145">
            <v>1.1302589485120949E-3</v>
          </cell>
          <cell r="I145">
            <v>8.2389999999999478E-2</v>
          </cell>
          <cell r="J145">
            <v>72.894800000000004</v>
          </cell>
          <cell r="K145">
            <v>72.977190000000007</v>
          </cell>
          <cell r="L145">
            <v>1.5722697747829466E-3</v>
          </cell>
          <cell r="M145">
            <v>8.6333333333331601E-4</v>
          </cell>
          <cell r="N145">
            <v>0.54910000000000003</v>
          </cell>
          <cell r="O145">
            <v>0.54996333333333336</v>
          </cell>
          <cell r="P145">
            <v>6.1637277463870107E-4</v>
          </cell>
          <cell r="Q145">
            <v>6.6476666666668419E-2</v>
          </cell>
          <cell r="R145">
            <v>107.8514</v>
          </cell>
          <cell r="S145">
            <v>107.91787666666667</v>
          </cell>
          <cell r="T145">
            <v>1.4148604843322997E-3</v>
          </cell>
          <cell r="U145">
            <v>6.6780000000000214E-2</v>
          </cell>
          <cell r="V145">
            <v>47.198999999999998</v>
          </cell>
          <cell r="W145">
            <v>47.265779999999999</v>
          </cell>
          <cell r="X145">
            <v>3.8446574108202811E-4</v>
          </cell>
          <cell r="Y145">
            <v>1.7523333333333113E-2</v>
          </cell>
          <cell r="Z145">
            <v>45.578400000000002</v>
          </cell>
          <cell r="AA145">
            <v>45.595923333333332</v>
          </cell>
          <cell r="AB145">
            <v>9.9342862138475786E-4</v>
          </cell>
          <cell r="AC145">
            <v>4.8673333333332638E-2</v>
          </cell>
          <cell r="AD145">
            <v>48.9953</v>
          </cell>
          <cell r="AE145">
            <v>49.043973333333334</v>
          </cell>
          <cell r="AF145">
            <v>7.6633030341876252E-4</v>
          </cell>
          <cell r="AG145">
            <v>1.255333333333309E-2</v>
          </cell>
          <cell r="AH145">
            <v>16.3811</v>
          </cell>
          <cell r="AI145">
            <v>16.393653333333333</v>
          </cell>
          <cell r="AJ145">
            <v>7.1066947580266727E-4</v>
          </cell>
          <cell r="AK145">
            <v>1.130000000000031E-2</v>
          </cell>
          <cell r="AL145">
            <v>15.900499999999999</v>
          </cell>
          <cell r="AM145">
            <v>15.911799999999999</v>
          </cell>
          <cell r="AN145">
            <v>1.0997211421389529E-3</v>
          </cell>
          <cell r="AO145">
            <v>8.3999999999999631E-3</v>
          </cell>
          <cell r="AP145">
            <v>7.6383000000000001</v>
          </cell>
          <cell r="AQ145">
            <v>7.6467000000000001</v>
          </cell>
          <cell r="AR145">
            <v>1.0555884424294553E-4</v>
          </cell>
          <cell r="AS145">
            <v>4.3866666666663905E-3</v>
          </cell>
          <cell r="AT145">
            <v>41.556600000000003</v>
          </cell>
          <cell r="AU145">
            <v>41.560986666666672</v>
          </cell>
          <cell r="AV145">
            <v>1.008503065058293E-3</v>
          </cell>
          <cell r="AW145">
            <v>3.5699999999998511E-2</v>
          </cell>
          <cell r="AX145">
            <v>35.399000000000001</v>
          </cell>
          <cell r="AY145">
            <v>35.434699999999999</v>
          </cell>
          <cell r="AZ145">
            <v>7.1680850786529418E-4</v>
          </cell>
          <cell r="BA145">
            <v>5.4999999999996163E-3</v>
          </cell>
          <cell r="BB145">
            <v>7.6729000000000003</v>
          </cell>
          <cell r="BC145">
            <v>7.6783999999999999</v>
          </cell>
        </row>
        <row r="146">
          <cell r="B146">
            <v>98</v>
          </cell>
          <cell r="C146">
            <v>8</v>
          </cell>
          <cell r="D146">
            <v>8.8094941354049179E-4</v>
          </cell>
          <cell r="E146">
            <v>5.301333333333294E-2</v>
          </cell>
          <cell r="F146">
            <v>60.177500000000002</v>
          </cell>
          <cell r="G146">
            <v>60.230513333333334</v>
          </cell>
          <cell r="H146">
            <v>1.2917245125852515E-3</v>
          </cell>
          <cell r="I146">
            <v>9.4159999999999397E-2</v>
          </cell>
          <cell r="J146">
            <v>72.894800000000004</v>
          </cell>
          <cell r="K146">
            <v>72.988960000000006</v>
          </cell>
          <cell r="L146">
            <v>1.7968797426090818E-3</v>
          </cell>
          <cell r="M146">
            <v>9.8666666666664678E-4</v>
          </cell>
          <cell r="N146">
            <v>0.54910000000000003</v>
          </cell>
          <cell r="O146">
            <v>0.55008666666666672</v>
          </cell>
          <cell r="P146">
            <v>7.0442602815851553E-4</v>
          </cell>
          <cell r="Q146">
            <v>7.5973333333335322E-2</v>
          </cell>
          <cell r="R146">
            <v>107.8514</v>
          </cell>
          <cell r="S146">
            <v>107.92737333333334</v>
          </cell>
          <cell r="T146">
            <v>1.6169834106654853E-3</v>
          </cell>
          <cell r="U146">
            <v>7.6320000000000235E-2</v>
          </cell>
          <cell r="V146">
            <v>47.198999999999998</v>
          </cell>
          <cell r="W146">
            <v>47.275320000000001</v>
          </cell>
          <cell r="X146">
            <v>4.3938941837946073E-4</v>
          </cell>
          <cell r="Y146">
            <v>2.0026666666666415E-2</v>
          </cell>
          <cell r="Z146">
            <v>45.578400000000002</v>
          </cell>
          <cell r="AA146">
            <v>45.598426666666668</v>
          </cell>
          <cell r="AB146">
            <v>1.1353469958682949E-3</v>
          </cell>
          <cell r="AC146">
            <v>5.5626666666665867E-2</v>
          </cell>
          <cell r="AD146">
            <v>48.9953</v>
          </cell>
          <cell r="AE146">
            <v>49.050926666666669</v>
          </cell>
          <cell r="AF146">
            <v>8.7580606105001424E-4</v>
          </cell>
          <cell r="AG146">
            <v>1.434666666666639E-2</v>
          </cell>
          <cell r="AH146">
            <v>16.3811</v>
          </cell>
          <cell r="AI146">
            <v>16.395446666666665</v>
          </cell>
          <cell r="AJ146">
            <v>8.1219368663161973E-4</v>
          </cell>
          <cell r="AK146">
            <v>1.2914285714286069E-2</v>
          </cell>
          <cell r="AL146">
            <v>15.900499999999999</v>
          </cell>
          <cell r="AM146">
            <v>15.913414285714286</v>
          </cell>
          <cell r="AN146">
            <v>1.2568241624445176E-3</v>
          </cell>
          <cell r="AO146">
            <v>9.5999999999999575E-3</v>
          </cell>
          <cell r="AP146">
            <v>7.6383000000000001</v>
          </cell>
          <cell r="AQ146">
            <v>7.6478999999999999</v>
          </cell>
          <cell r="AR146">
            <v>1.2063867913479489E-4</v>
          </cell>
          <cell r="AS146">
            <v>5.0133333333330183E-3</v>
          </cell>
          <cell r="AT146">
            <v>41.556600000000003</v>
          </cell>
          <cell r="AU146">
            <v>41.561613333333334</v>
          </cell>
          <cell r="AV146">
            <v>1.1525749314951919E-3</v>
          </cell>
          <cell r="AW146">
            <v>4.0799999999998296E-2</v>
          </cell>
          <cell r="AX146">
            <v>35.399000000000001</v>
          </cell>
          <cell r="AY146">
            <v>35.439799999999998</v>
          </cell>
          <cell r="AZ146">
            <v>8.1920972327462194E-4</v>
          </cell>
          <cell r="BA146">
            <v>6.2857142857138471E-3</v>
          </cell>
          <cell r="BB146">
            <v>7.6729000000000003</v>
          </cell>
          <cell r="BC146">
            <v>7.6791857142857145</v>
          </cell>
        </row>
        <row r="147">
          <cell r="B147">
            <v>99</v>
          </cell>
          <cell r="C147">
            <v>9</v>
          </cell>
          <cell r="D147">
            <v>9.9106809023305335E-4</v>
          </cell>
          <cell r="E147">
            <v>5.9639999999999561E-2</v>
          </cell>
          <cell r="F147">
            <v>60.177500000000002</v>
          </cell>
          <cell r="G147">
            <v>60.237140000000004</v>
          </cell>
          <cell r="H147">
            <v>1.453190076658408E-3</v>
          </cell>
          <cell r="I147">
            <v>0.10592999999999933</v>
          </cell>
          <cell r="J147">
            <v>72.894800000000004</v>
          </cell>
          <cell r="K147">
            <v>73.000730000000004</v>
          </cell>
          <cell r="L147">
            <v>2.0214897104352167E-3</v>
          </cell>
          <cell r="M147">
            <v>1.1099999999999778E-3</v>
          </cell>
          <cell r="N147">
            <v>0.54910000000000003</v>
          </cell>
          <cell r="O147">
            <v>0.55020999999999998</v>
          </cell>
          <cell r="P147">
            <v>7.9247928167833009E-4</v>
          </cell>
          <cell r="Q147">
            <v>8.5470000000002239E-2</v>
          </cell>
          <cell r="R147">
            <v>107.8514</v>
          </cell>
          <cell r="S147">
            <v>107.93687</v>
          </cell>
          <cell r="T147">
            <v>1.8191063369986707E-3</v>
          </cell>
          <cell r="U147">
            <v>8.5860000000000269E-2</v>
          </cell>
          <cell r="V147">
            <v>47.198999999999998</v>
          </cell>
          <cell r="W147">
            <v>47.284859999999995</v>
          </cell>
          <cell r="X147">
            <v>4.9431309567689341E-4</v>
          </cell>
          <cell r="Y147">
            <v>2.2529999999999717E-2</v>
          </cell>
          <cell r="Z147">
            <v>45.578400000000002</v>
          </cell>
          <cell r="AA147">
            <v>45.600930000000005</v>
          </cell>
          <cell r="AB147">
            <v>1.2772653703518318E-3</v>
          </cell>
          <cell r="AC147">
            <v>6.2579999999999109E-2</v>
          </cell>
          <cell r="AD147">
            <v>48.9953</v>
          </cell>
          <cell r="AE147">
            <v>49.057879999999997</v>
          </cell>
          <cell r="AF147">
            <v>9.8528181868126597E-4</v>
          </cell>
          <cell r="AG147">
            <v>1.6139999999999689E-2</v>
          </cell>
          <cell r="AH147">
            <v>16.3811</v>
          </cell>
          <cell r="AI147">
            <v>16.39724</v>
          </cell>
          <cell r="AJ147">
            <v>9.137178974605722E-4</v>
          </cell>
          <cell r="AK147">
            <v>1.4528571428571826E-2</v>
          </cell>
          <cell r="AL147">
            <v>15.900499999999999</v>
          </cell>
          <cell r="AM147">
            <v>15.915028571428572</v>
          </cell>
          <cell r="AN147">
            <v>1.4139271827500824E-3</v>
          </cell>
          <cell r="AO147">
            <v>1.0799999999999952E-2</v>
          </cell>
          <cell r="AP147">
            <v>7.6383000000000001</v>
          </cell>
          <cell r="AQ147">
            <v>7.6490999999999998</v>
          </cell>
          <cell r="AR147">
            <v>1.3571851402664425E-4</v>
          </cell>
          <cell r="AS147">
            <v>5.6399999999996453E-3</v>
          </cell>
          <cell r="AT147">
            <v>41.556600000000003</v>
          </cell>
          <cell r="AU147">
            <v>41.562240000000003</v>
          </cell>
          <cell r="AV147">
            <v>1.2966467979320909E-3</v>
          </cell>
          <cell r="AW147">
            <v>4.5899999999998088E-2</v>
          </cell>
          <cell r="AX147">
            <v>35.399000000000001</v>
          </cell>
          <cell r="AY147">
            <v>35.444899999999997</v>
          </cell>
          <cell r="AZ147">
            <v>9.216109386839497E-4</v>
          </cell>
          <cell r="BA147">
            <v>7.0714285714280779E-3</v>
          </cell>
          <cell r="BB147">
            <v>7.6729000000000003</v>
          </cell>
          <cell r="BC147">
            <v>7.6799714285714282</v>
          </cell>
        </row>
        <row r="148">
          <cell r="B148">
            <v>100</v>
          </cell>
          <cell r="C148">
            <v>10</v>
          </cell>
          <cell r="D148">
            <v>1.1011867669256147E-3</v>
          </cell>
          <cell r="E148">
            <v>6.6266666666666182E-2</v>
          </cell>
          <cell r="F148">
            <v>60.177500000000002</v>
          </cell>
          <cell r="G148">
            <v>60.243766666666666</v>
          </cell>
          <cell r="H148">
            <v>1.6146556407315644E-3</v>
          </cell>
          <cell r="I148">
            <v>0.11769999999999925</v>
          </cell>
          <cell r="J148">
            <v>72.894800000000004</v>
          </cell>
          <cell r="K148">
            <v>73.012500000000003</v>
          </cell>
          <cell r="L148">
            <v>2.2460996782613521E-3</v>
          </cell>
          <cell r="M148">
            <v>1.2333333333333085E-3</v>
          </cell>
          <cell r="N148">
            <v>0.54910000000000003</v>
          </cell>
          <cell r="O148">
            <v>0.55033333333333334</v>
          </cell>
          <cell r="P148">
            <v>8.8053253519814443E-4</v>
          </cell>
          <cell r="Q148">
            <v>9.4966666666669156E-2</v>
          </cell>
          <cell r="R148">
            <v>107.8514</v>
          </cell>
          <cell r="S148">
            <v>107.94636666666666</v>
          </cell>
          <cell r="T148">
            <v>2.0212292633318566E-3</v>
          </cell>
          <cell r="U148">
            <v>9.5400000000000304E-2</v>
          </cell>
          <cell r="V148">
            <v>47.198999999999998</v>
          </cell>
          <cell r="W148">
            <v>47.294399999999996</v>
          </cell>
          <cell r="X148">
            <v>5.4923677297432597E-4</v>
          </cell>
          <cell r="Y148">
            <v>2.5033333333333019E-2</v>
          </cell>
          <cell r="Z148">
            <v>45.578400000000002</v>
          </cell>
          <cell r="AA148">
            <v>45.603433333333335</v>
          </cell>
          <cell r="AB148">
            <v>1.4191837448353686E-3</v>
          </cell>
          <cell r="AC148">
            <v>6.9533333333332337E-2</v>
          </cell>
          <cell r="AD148">
            <v>48.9953</v>
          </cell>
          <cell r="AE148">
            <v>49.064833333333333</v>
          </cell>
          <cell r="AF148">
            <v>1.0947575763125177E-3</v>
          </cell>
          <cell r="AG148">
            <v>1.7933333333332985E-2</v>
          </cell>
          <cell r="AH148">
            <v>16.3811</v>
          </cell>
          <cell r="AI148">
            <v>16.399033333333332</v>
          </cell>
          <cell r="AJ148">
            <v>1.0152421082895247E-3</v>
          </cell>
          <cell r="AK148">
            <v>1.6142857142857587E-2</v>
          </cell>
          <cell r="AL148">
            <v>15.900499999999999</v>
          </cell>
          <cell r="AM148">
            <v>15.916642857142858</v>
          </cell>
          <cell r="AN148">
            <v>1.5710302030556469E-3</v>
          </cell>
          <cell r="AO148">
            <v>1.1999999999999946E-2</v>
          </cell>
          <cell r="AP148">
            <v>7.6383000000000001</v>
          </cell>
          <cell r="AQ148">
            <v>7.6502999999999997</v>
          </cell>
          <cell r="AR148">
            <v>1.5079834891849363E-4</v>
          </cell>
          <cell r="AS148">
            <v>6.2666666666662723E-3</v>
          </cell>
          <cell r="AT148">
            <v>41.556600000000003</v>
          </cell>
          <cell r="AU148">
            <v>41.562866666666672</v>
          </cell>
          <cell r="AV148">
            <v>1.4407186643689898E-3</v>
          </cell>
          <cell r="AW148">
            <v>5.0999999999997873E-2</v>
          </cell>
          <cell r="AX148">
            <v>35.399000000000001</v>
          </cell>
          <cell r="AY148">
            <v>35.449999999999996</v>
          </cell>
          <cell r="AZ148">
            <v>1.0240121540932773E-3</v>
          </cell>
          <cell r="BA148">
            <v>7.8571428571423095E-3</v>
          </cell>
          <cell r="BB148">
            <v>7.6729000000000003</v>
          </cell>
          <cell r="BC148">
            <v>7.6807571428571428</v>
          </cell>
        </row>
        <row r="149">
          <cell r="B149">
            <v>101</v>
          </cell>
          <cell r="C149">
            <v>11</v>
          </cell>
          <cell r="D149">
            <v>1.2113054436181762E-3</v>
          </cell>
          <cell r="E149">
            <v>7.2893333333332797E-2</v>
          </cell>
          <cell r="F149">
            <v>60.177500000000002</v>
          </cell>
          <cell r="G149">
            <v>60.250393333333335</v>
          </cell>
          <cell r="H149">
            <v>1.7761212048047208E-3</v>
          </cell>
          <cell r="I149">
            <v>0.12946999999999917</v>
          </cell>
          <cell r="J149">
            <v>72.894800000000004</v>
          </cell>
          <cell r="K149">
            <v>73.024270000000001</v>
          </cell>
          <cell r="L149">
            <v>2.4707096460874875E-3</v>
          </cell>
          <cell r="M149">
            <v>1.3566666666666393E-3</v>
          </cell>
          <cell r="N149">
            <v>0.54910000000000003</v>
          </cell>
          <cell r="O149">
            <v>0.55045666666666671</v>
          </cell>
          <cell r="P149">
            <v>9.6858578871795889E-4</v>
          </cell>
          <cell r="Q149">
            <v>0.10446333333333607</v>
          </cell>
          <cell r="R149">
            <v>107.8514</v>
          </cell>
          <cell r="S149">
            <v>107.95586333333334</v>
          </cell>
          <cell r="T149">
            <v>2.2233521896650424E-3</v>
          </cell>
          <cell r="U149">
            <v>0.10494000000000032</v>
          </cell>
          <cell r="V149">
            <v>47.198999999999998</v>
          </cell>
          <cell r="W149">
            <v>47.303939999999997</v>
          </cell>
          <cell r="X149">
            <v>6.0416045027175853E-4</v>
          </cell>
          <cell r="Y149">
            <v>2.7536666666666321E-2</v>
          </cell>
          <cell r="Z149">
            <v>45.578400000000002</v>
          </cell>
          <cell r="AA149">
            <v>45.605936666666665</v>
          </cell>
          <cell r="AB149">
            <v>1.5611021193189052E-3</v>
          </cell>
          <cell r="AC149">
            <v>7.6486666666665565E-2</v>
          </cell>
          <cell r="AD149">
            <v>48.9953</v>
          </cell>
          <cell r="AE149">
            <v>49.071786666666668</v>
          </cell>
          <cell r="AF149">
            <v>1.2042333339437696E-3</v>
          </cell>
          <cell r="AG149">
            <v>1.9726666666666285E-2</v>
          </cell>
          <cell r="AH149">
            <v>16.3811</v>
          </cell>
          <cell r="AI149">
            <v>16.400826666666667</v>
          </cell>
          <cell r="AJ149">
            <v>1.116766319118477E-3</v>
          </cell>
          <cell r="AK149">
            <v>1.7757142857143342E-2</v>
          </cell>
          <cell r="AL149">
            <v>15.900499999999999</v>
          </cell>
          <cell r="AM149">
            <v>15.918257142857142</v>
          </cell>
          <cell r="AN149">
            <v>1.7281332233612117E-3</v>
          </cell>
          <cell r="AO149">
            <v>1.3199999999999943E-2</v>
          </cell>
          <cell r="AP149">
            <v>7.6383000000000001</v>
          </cell>
          <cell r="AQ149">
            <v>7.6515000000000004</v>
          </cell>
          <cell r="AR149">
            <v>1.65878183810343E-4</v>
          </cell>
          <cell r="AS149">
            <v>6.8933333333329001E-3</v>
          </cell>
          <cell r="AT149">
            <v>41.556600000000003</v>
          </cell>
          <cell r="AU149">
            <v>41.563493333333334</v>
          </cell>
          <cell r="AV149">
            <v>1.584790530805889E-3</v>
          </cell>
          <cell r="AW149">
            <v>5.6099999999997659E-2</v>
          </cell>
          <cell r="AX149">
            <v>35.399000000000001</v>
          </cell>
          <cell r="AY149">
            <v>35.455100000000002</v>
          </cell>
          <cell r="AZ149">
            <v>1.1264133695026051E-3</v>
          </cell>
          <cell r="BA149">
            <v>8.6428571428565394E-3</v>
          </cell>
          <cell r="BB149">
            <v>7.6729000000000003</v>
          </cell>
          <cell r="BC149">
            <v>7.6815428571428566</v>
          </cell>
        </row>
        <row r="150">
          <cell r="B150">
            <v>102</v>
          </cell>
          <cell r="C150">
            <v>12</v>
          </cell>
          <cell r="D150">
            <v>1.3214241203107376E-3</v>
          </cell>
          <cell r="E150">
            <v>7.9519999999999411E-2</v>
          </cell>
          <cell r="F150">
            <v>60.177500000000002</v>
          </cell>
          <cell r="G150">
            <v>60.257020000000004</v>
          </cell>
          <cell r="H150">
            <v>1.937586768877877E-3</v>
          </cell>
          <cell r="I150">
            <v>0.14123999999999909</v>
          </cell>
          <cell r="J150">
            <v>72.894800000000004</v>
          </cell>
          <cell r="K150">
            <v>73.03604</v>
          </cell>
          <cell r="L150">
            <v>2.6953196139136225E-3</v>
          </cell>
          <cell r="M150">
            <v>1.4799999999999703E-3</v>
          </cell>
          <cell r="N150">
            <v>0.54910000000000003</v>
          </cell>
          <cell r="O150">
            <v>0.55057999999999996</v>
          </cell>
          <cell r="P150">
            <v>1.0566390422377735E-3</v>
          </cell>
          <cell r="Q150">
            <v>0.11396000000000299</v>
          </cell>
          <cell r="R150">
            <v>107.8514</v>
          </cell>
          <cell r="S150">
            <v>107.96536</v>
          </cell>
          <cell r="T150">
            <v>2.4254751159982278E-3</v>
          </cell>
          <cell r="U150">
            <v>0.11448000000000036</v>
          </cell>
          <cell r="V150">
            <v>47.198999999999998</v>
          </cell>
          <cell r="W150">
            <v>47.313479999999998</v>
          </cell>
          <cell r="X150">
            <v>6.590841275691911E-4</v>
          </cell>
          <cell r="Y150">
            <v>3.0039999999999623E-2</v>
          </cell>
          <cell r="Z150">
            <v>45.578400000000002</v>
          </cell>
          <cell r="AA150">
            <v>45.608440000000002</v>
          </cell>
          <cell r="AB150">
            <v>1.7030204938024423E-3</v>
          </cell>
          <cell r="AC150">
            <v>8.3439999999998807E-2</v>
          </cell>
          <cell r="AD150">
            <v>48.9953</v>
          </cell>
          <cell r="AE150">
            <v>49.078739999999996</v>
          </cell>
          <cell r="AF150">
            <v>1.3137090915750214E-3</v>
          </cell>
          <cell r="AG150">
            <v>2.1519999999999585E-2</v>
          </cell>
          <cell r="AH150">
            <v>16.3811</v>
          </cell>
          <cell r="AI150">
            <v>16.402619999999999</v>
          </cell>
          <cell r="AJ150">
            <v>1.2182905299474296E-3</v>
          </cell>
          <cell r="AK150">
            <v>1.9371428571429102E-2</v>
          </cell>
          <cell r="AL150">
            <v>15.900499999999999</v>
          </cell>
          <cell r="AM150">
            <v>15.919871428571428</v>
          </cell>
          <cell r="AN150">
            <v>1.8852362436667762E-3</v>
          </cell>
          <cell r="AO150">
            <v>1.4399999999999937E-2</v>
          </cell>
          <cell r="AP150">
            <v>7.6383000000000001</v>
          </cell>
          <cell r="AQ150">
            <v>7.6527000000000003</v>
          </cell>
          <cell r="AR150">
            <v>1.8095801870219233E-4</v>
          </cell>
          <cell r="AS150">
            <v>7.5199999999995271E-3</v>
          </cell>
          <cell r="AT150">
            <v>41.556600000000003</v>
          </cell>
          <cell r="AU150">
            <v>41.564120000000003</v>
          </cell>
          <cell r="AV150">
            <v>1.728862397242788E-3</v>
          </cell>
          <cell r="AW150">
            <v>6.1199999999997444E-2</v>
          </cell>
          <cell r="AX150">
            <v>35.399000000000001</v>
          </cell>
          <cell r="AY150">
            <v>35.4602</v>
          </cell>
          <cell r="AZ150">
            <v>1.2288145849119329E-3</v>
          </cell>
          <cell r="BA150">
            <v>9.4285714285707711E-3</v>
          </cell>
          <cell r="BB150">
            <v>7.6729000000000003</v>
          </cell>
          <cell r="BC150">
            <v>7.6823285714285712</v>
          </cell>
        </row>
        <row r="151">
          <cell r="B151">
            <v>103</v>
          </cell>
          <cell r="C151">
            <v>13</v>
          </cell>
          <cell r="D151">
            <v>1.4315427970032989E-3</v>
          </cell>
          <cell r="E151">
            <v>8.6146666666666025E-2</v>
          </cell>
          <cell r="F151">
            <v>60.177500000000002</v>
          </cell>
          <cell r="G151">
            <v>60.263646666666666</v>
          </cell>
          <cell r="H151">
            <v>2.0990523329510336E-3</v>
          </cell>
          <cell r="I151">
            <v>0.15300999999999904</v>
          </cell>
          <cell r="J151">
            <v>72.894800000000004</v>
          </cell>
          <cell r="K151">
            <v>73.047809999999998</v>
          </cell>
          <cell r="L151">
            <v>2.9199295817397574E-3</v>
          </cell>
          <cell r="M151">
            <v>1.603333333333301E-3</v>
          </cell>
          <cell r="N151">
            <v>0.54910000000000003</v>
          </cell>
          <cell r="O151">
            <v>0.55070333333333332</v>
          </cell>
          <cell r="P151">
            <v>1.1446922957575878E-3</v>
          </cell>
          <cell r="Q151">
            <v>0.12345666666666991</v>
          </cell>
          <cell r="R151">
            <v>107.8514</v>
          </cell>
          <cell r="S151">
            <v>107.97485666666667</v>
          </cell>
          <cell r="T151">
            <v>2.6275980423314132E-3</v>
          </cell>
          <cell r="U151">
            <v>0.12402000000000039</v>
          </cell>
          <cell r="V151">
            <v>47.198999999999998</v>
          </cell>
          <cell r="W151">
            <v>47.32302</v>
          </cell>
          <cell r="X151">
            <v>7.1400780486662377E-4</v>
          </cell>
          <cell r="Y151">
            <v>3.2543333333332924E-2</v>
          </cell>
          <cell r="Z151">
            <v>45.578400000000002</v>
          </cell>
          <cell r="AA151">
            <v>45.610943333333339</v>
          </cell>
          <cell r="AB151">
            <v>1.8449388682859791E-3</v>
          </cell>
          <cell r="AC151">
            <v>9.0393333333332035E-2</v>
          </cell>
          <cell r="AD151">
            <v>48.9953</v>
          </cell>
          <cell r="AE151">
            <v>49.085693333333332</v>
          </cell>
          <cell r="AF151">
            <v>1.4231848492062731E-3</v>
          </cell>
          <cell r="AG151">
            <v>2.3313333333332884E-2</v>
          </cell>
          <cell r="AH151">
            <v>16.3811</v>
          </cell>
          <cell r="AI151">
            <v>16.404413333333334</v>
          </cell>
          <cell r="AJ151">
            <v>1.319814740776382E-3</v>
          </cell>
          <cell r="AK151">
            <v>2.0985714285714861E-2</v>
          </cell>
          <cell r="AL151">
            <v>15.900499999999999</v>
          </cell>
          <cell r="AM151">
            <v>15.921485714285714</v>
          </cell>
          <cell r="AN151">
            <v>2.0423392639723407E-3</v>
          </cell>
          <cell r="AO151">
            <v>1.5599999999999932E-2</v>
          </cell>
          <cell r="AP151">
            <v>7.6383000000000001</v>
          </cell>
          <cell r="AQ151">
            <v>7.6539000000000001</v>
          </cell>
          <cell r="AR151">
            <v>1.960378535940417E-4</v>
          </cell>
          <cell r="AS151">
            <v>8.1466666666661549E-3</v>
          </cell>
          <cell r="AT151">
            <v>41.556600000000003</v>
          </cell>
          <cell r="AU151">
            <v>41.564746666666672</v>
          </cell>
          <cell r="AV151">
            <v>1.872934263679687E-3</v>
          </cell>
          <cell r="AW151">
            <v>6.6299999999997236E-2</v>
          </cell>
          <cell r="AX151">
            <v>35.399000000000001</v>
          </cell>
          <cell r="AY151">
            <v>35.465299999999999</v>
          </cell>
          <cell r="AZ151">
            <v>1.3312158003212606E-3</v>
          </cell>
          <cell r="BA151">
            <v>1.0214285714285001E-2</v>
          </cell>
          <cell r="BB151">
            <v>7.6729000000000003</v>
          </cell>
          <cell r="BC151">
            <v>7.6831142857142849</v>
          </cell>
        </row>
        <row r="152">
          <cell r="B152">
            <v>104</v>
          </cell>
          <cell r="C152">
            <v>14</v>
          </cell>
          <cell r="D152">
            <v>1.5416614736958605E-3</v>
          </cell>
          <cell r="E152">
            <v>9.2773333333332653E-2</v>
          </cell>
          <cell r="F152">
            <v>60.177500000000002</v>
          </cell>
          <cell r="G152">
            <v>60.270273333333336</v>
          </cell>
          <cell r="H152">
            <v>2.2605178970241898E-3</v>
          </cell>
          <cell r="I152">
            <v>0.16477999999999896</v>
          </cell>
          <cell r="J152">
            <v>72.894800000000004</v>
          </cell>
          <cell r="K152">
            <v>73.059579999999997</v>
          </cell>
          <cell r="L152">
            <v>3.1445395495658932E-3</v>
          </cell>
          <cell r="M152">
            <v>1.726666666666632E-3</v>
          </cell>
          <cell r="N152">
            <v>0.54910000000000003</v>
          </cell>
          <cell r="O152">
            <v>0.55082666666666669</v>
          </cell>
          <cell r="P152">
            <v>1.2327455492774021E-3</v>
          </cell>
          <cell r="Q152">
            <v>0.13295333333333684</v>
          </cell>
          <cell r="R152">
            <v>107.8514</v>
          </cell>
          <cell r="S152">
            <v>107.98435333333333</v>
          </cell>
          <cell r="T152">
            <v>2.8297209686645995E-3</v>
          </cell>
          <cell r="U152">
            <v>0.13356000000000043</v>
          </cell>
          <cell r="V152">
            <v>47.198999999999998</v>
          </cell>
          <cell r="W152">
            <v>47.332560000000001</v>
          </cell>
          <cell r="X152">
            <v>7.6893148216405623E-4</v>
          </cell>
          <cell r="Y152">
            <v>3.5046666666666226E-2</v>
          </cell>
          <cell r="Z152">
            <v>45.578400000000002</v>
          </cell>
          <cell r="AA152">
            <v>45.613446666666668</v>
          </cell>
          <cell r="AB152">
            <v>1.9868572427695157E-3</v>
          </cell>
          <cell r="AC152">
            <v>9.7346666666665277E-2</v>
          </cell>
          <cell r="AD152">
            <v>48.9953</v>
          </cell>
          <cell r="AE152">
            <v>49.092646666666667</v>
          </cell>
          <cell r="AF152">
            <v>1.532660606837525E-3</v>
          </cell>
          <cell r="AG152">
            <v>2.510666666666618E-2</v>
          </cell>
          <cell r="AH152">
            <v>16.3811</v>
          </cell>
          <cell r="AI152">
            <v>16.406206666666666</v>
          </cell>
          <cell r="AJ152">
            <v>1.4213389516053345E-3</v>
          </cell>
          <cell r="AK152">
            <v>2.260000000000062E-2</v>
          </cell>
          <cell r="AL152">
            <v>15.900499999999999</v>
          </cell>
          <cell r="AM152">
            <v>15.9231</v>
          </cell>
          <cell r="AN152">
            <v>2.1994422842779057E-3</v>
          </cell>
          <cell r="AO152">
            <v>1.6799999999999926E-2</v>
          </cell>
          <cell r="AP152">
            <v>7.6383000000000001</v>
          </cell>
          <cell r="AQ152">
            <v>7.6551</v>
          </cell>
          <cell r="AR152">
            <v>2.1111768848589105E-4</v>
          </cell>
          <cell r="AS152">
            <v>8.773333333332781E-3</v>
          </cell>
          <cell r="AT152">
            <v>41.556600000000003</v>
          </cell>
          <cell r="AU152">
            <v>41.565373333333334</v>
          </cell>
          <cell r="AV152">
            <v>2.0170061301165859E-3</v>
          </cell>
          <cell r="AW152">
            <v>7.1399999999997021E-2</v>
          </cell>
          <cell r="AX152">
            <v>35.399000000000001</v>
          </cell>
          <cell r="AY152">
            <v>35.470399999999998</v>
          </cell>
          <cell r="AZ152">
            <v>1.4336170157305884E-3</v>
          </cell>
          <cell r="BA152">
            <v>1.0999999999999233E-2</v>
          </cell>
          <cell r="BB152">
            <v>7.6729000000000003</v>
          </cell>
          <cell r="BC152">
            <v>7.6838999999999995</v>
          </cell>
        </row>
        <row r="153">
          <cell r="B153">
            <v>105</v>
          </cell>
          <cell r="C153">
            <v>15</v>
          </cell>
          <cell r="D153">
            <v>1.651780150388422E-3</v>
          </cell>
          <cell r="E153">
            <v>9.9399999999999267E-2</v>
          </cell>
          <cell r="F153">
            <v>60.177500000000002</v>
          </cell>
          <cell r="G153">
            <v>60.276899999999998</v>
          </cell>
          <cell r="H153">
            <v>2.4219834610973465E-3</v>
          </cell>
          <cell r="I153">
            <v>0.17654999999999887</v>
          </cell>
          <cell r="J153">
            <v>72.894800000000004</v>
          </cell>
          <cell r="K153">
            <v>73.071349999999995</v>
          </cell>
          <cell r="L153">
            <v>3.3691495173920282E-3</v>
          </cell>
          <cell r="M153">
            <v>1.8499999999999628E-3</v>
          </cell>
          <cell r="N153">
            <v>0.54910000000000003</v>
          </cell>
          <cell r="O153">
            <v>0.55095000000000005</v>
          </cell>
          <cell r="P153">
            <v>1.3207988027972167E-3</v>
          </cell>
          <cell r="Q153">
            <v>0.14245000000000374</v>
          </cell>
          <cell r="R153">
            <v>107.8514</v>
          </cell>
          <cell r="S153">
            <v>107.99385000000001</v>
          </cell>
          <cell r="T153">
            <v>3.0318438949977849E-3</v>
          </cell>
          <cell r="U153">
            <v>0.14310000000000045</v>
          </cell>
          <cell r="V153">
            <v>47.198999999999998</v>
          </cell>
          <cell r="W153">
            <v>47.342100000000002</v>
          </cell>
          <cell r="X153">
            <v>8.238551594614889E-4</v>
          </cell>
          <cell r="Y153">
            <v>3.7549999999999528E-2</v>
          </cell>
          <cell r="Z153">
            <v>45.578400000000002</v>
          </cell>
          <cell r="AA153">
            <v>45.615949999999998</v>
          </cell>
          <cell r="AB153">
            <v>2.1287756172530528E-3</v>
          </cell>
          <cell r="AC153">
            <v>0.10429999999999851</v>
          </cell>
          <cell r="AD153">
            <v>48.9953</v>
          </cell>
          <cell r="AE153">
            <v>49.099599999999995</v>
          </cell>
          <cell r="AF153">
            <v>1.6421363644687768E-3</v>
          </cell>
          <cell r="AG153">
            <v>2.689999999999948E-2</v>
          </cell>
          <cell r="AH153">
            <v>16.3811</v>
          </cell>
          <cell r="AI153">
            <v>16.408000000000001</v>
          </cell>
          <cell r="AJ153">
            <v>1.5228631624342871E-3</v>
          </cell>
          <cell r="AK153">
            <v>2.4214285714286379E-2</v>
          </cell>
          <cell r="AL153">
            <v>15.900499999999999</v>
          </cell>
          <cell r="AM153">
            <v>15.924714285714286</v>
          </cell>
          <cell r="AN153">
            <v>2.3565453045834707E-3</v>
          </cell>
          <cell r="AO153">
            <v>1.7999999999999922E-2</v>
          </cell>
          <cell r="AP153">
            <v>7.6383000000000001</v>
          </cell>
          <cell r="AQ153">
            <v>7.6562999999999999</v>
          </cell>
          <cell r="AR153">
            <v>2.2619752337774043E-4</v>
          </cell>
          <cell r="AS153">
            <v>9.3999999999994088E-3</v>
          </cell>
          <cell r="AT153">
            <v>41.556600000000003</v>
          </cell>
          <cell r="AU153">
            <v>41.566000000000003</v>
          </cell>
          <cell r="AV153">
            <v>2.1610779965534851E-3</v>
          </cell>
          <cell r="AW153">
            <v>7.6499999999996807E-2</v>
          </cell>
          <cell r="AX153">
            <v>35.399000000000001</v>
          </cell>
          <cell r="AY153">
            <v>35.475499999999997</v>
          </cell>
          <cell r="AZ153">
            <v>1.5360182311399161E-3</v>
          </cell>
          <cell r="BA153">
            <v>1.1785714285713464E-2</v>
          </cell>
          <cell r="BB153">
            <v>7.6729000000000003</v>
          </cell>
          <cell r="BC153">
            <v>7.6846857142857141</v>
          </cell>
        </row>
        <row r="154">
          <cell r="B154">
            <v>106</v>
          </cell>
          <cell r="C154">
            <v>16</v>
          </cell>
          <cell r="D154">
            <v>1.7618988270809836E-3</v>
          </cell>
          <cell r="E154">
            <v>0.10602666666666588</v>
          </cell>
          <cell r="F154">
            <v>60.177500000000002</v>
          </cell>
          <cell r="G154">
            <v>60.283526666666667</v>
          </cell>
          <cell r="H154">
            <v>2.5834490251705031E-3</v>
          </cell>
          <cell r="I154">
            <v>0.18831999999999879</v>
          </cell>
          <cell r="J154">
            <v>72.894800000000004</v>
          </cell>
          <cell r="K154">
            <v>73.083120000000008</v>
          </cell>
          <cell r="L154">
            <v>3.5937594852181636E-3</v>
          </cell>
          <cell r="M154">
            <v>1.9733333333332936E-3</v>
          </cell>
          <cell r="N154">
            <v>0.54910000000000003</v>
          </cell>
          <cell r="O154">
            <v>0.5510733333333333</v>
          </cell>
          <cell r="P154">
            <v>1.4088520563170311E-3</v>
          </cell>
          <cell r="Q154">
            <v>0.15194666666667064</v>
          </cell>
          <cell r="R154">
            <v>107.8514</v>
          </cell>
          <cell r="S154">
            <v>108.00334666666667</v>
          </cell>
          <cell r="T154">
            <v>3.2339668213309707E-3</v>
          </cell>
          <cell r="U154">
            <v>0.15264000000000047</v>
          </cell>
          <cell r="V154">
            <v>47.198999999999998</v>
          </cell>
          <cell r="W154">
            <v>47.351639999999996</v>
          </cell>
          <cell r="X154">
            <v>8.7877883675892146E-4</v>
          </cell>
          <cell r="Y154">
            <v>4.005333333333283E-2</v>
          </cell>
          <cell r="Z154">
            <v>45.578400000000002</v>
          </cell>
          <cell r="AA154">
            <v>45.618453333333335</v>
          </cell>
          <cell r="AB154">
            <v>2.2706939917365898E-3</v>
          </cell>
          <cell r="AC154">
            <v>0.11125333333333173</v>
          </cell>
          <cell r="AD154">
            <v>48.9953</v>
          </cell>
          <cell r="AE154">
            <v>49.106553333333331</v>
          </cell>
          <cell r="AF154">
            <v>1.7516121221000285E-3</v>
          </cell>
          <cell r="AG154">
            <v>2.8693333333332779E-2</v>
          </cell>
          <cell r="AH154">
            <v>16.3811</v>
          </cell>
          <cell r="AI154">
            <v>16.409793333333333</v>
          </cell>
          <cell r="AJ154">
            <v>1.6243873732632395E-3</v>
          </cell>
          <cell r="AK154">
            <v>2.5828571428572138E-2</v>
          </cell>
          <cell r="AL154">
            <v>15.900499999999999</v>
          </cell>
          <cell r="AM154">
            <v>15.926328571428572</v>
          </cell>
          <cell r="AN154">
            <v>2.5136483248890352E-3</v>
          </cell>
          <cell r="AO154">
            <v>1.9199999999999915E-2</v>
          </cell>
          <cell r="AP154">
            <v>7.6383000000000001</v>
          </cell>
          <cell r="AQ154">
            <v>7.6574999999999998</v>
          </cell>
          <cell r="AR154">
            <v>2.4127735826958978E-4</v>
          </cell>
          <cell r="AS154">
            <v>1.0026666666666037E-2</v>
          </cell>
          <cell r="AT154">
            <v>41.556600000000003</v>
          </cell>
          <cell r="AU154">
            <v>41.566626666666671</v>
          </cell>
          <cell r="AV154">
            <v>2.3051498629903838E-3</v>
          </cell>
          <cell r="AW154">
            <v>8.1599999999996592E-2</v>
          </cell>
          <cell r="AX154">
            <v>35.399000000000001</v>
          </cell>
          <cell r="AY154">
            <v>35.480599999999995</v>
          </cell>
          <cell r="AZ154">
            <v>1.6384194465492439E-3</v>
          </cell>
          <cell r="BA154">
            <v>1.2571428571427694E-2</v>
          </cell>
          <cell r="BB154">
            <v>7.6729000000000003</v>
          </cell>
          <cell r="BC154">
            <v>7.6854714285714278</v>
          </cell>
        </row>
        <row r="155">
          <cell r="B155">
            <v>107</v>
          </cell>
          <cell r="C155">
            <v>17</v>
          </cell>
          <cell r="D155">
            <v>1.8720175037735449E-3</v>
          </cell>
          <cell r="E155">
            <v>0.11265333333333251</v>
          </cell>
          <cell r="F155">
            <v>60.177500000000002</v>
          </cell>
          <cell r="G155">
            <v>60.290153333333336</v>
          </cell>
          <cell r="H155">
            <v>2.7449145892436593E-3</v>
          </cell>
          <cell r="I155">
            <v>0.20008999999999871</v>
          </cell>
          <cell r="J155">
            <v>72.894800000000004</v>
          </cell>
          <cell r="K155">
            <v>73.094890000000007</v>
          </cell>
          <cell r="L155">
            <v>3.8183694530442985E-3</v>
          </cell>
          <cell r="M155">
            <v>2.0966666666666243E-3</v>
          </cell>
          <cell r="N155">
            <v>0.54910000000000003</v>
          </cell>
          <cell r="O155">
            <v>0.55119666666666667</v>
          </cell>
          <cell r="P155">
            <v>1.4969053098368456E-3</v>
          </cell>
          <cell r="Q155">
            <v>0.16144333333333757</v>
          </cell>
          <cell r="R155">
            <v>107.8514</v>
          </cell>
          <cell r="S155">
            <v>108.01284333333334</v>
          </cell>
          <cell r="T155">
            <v>3.4360897476641561E-3</v>
          </cell>
          <cell r="U155">
            <v>0.16218000000000052</v>
          </cell>
          <cell r="V155">
            <v>47.198999999999998</v>
          </cell>
          <cell r="W155">
            <v>47.361179999999997</v>
          </cell>
          <cell r="X155">
            <v>9.3370251405635414E-4</v>
          </cell>
          <cell r="Y155">
            <v>4.2556666666666132E-2</v>
          </cell>
          <cell r="Z155">
            <v>45.578400000000002</v>
          </cell>
          <cell r="AA155">
            <v>45.620956666666672</v>
          </cell>
          <cell r="AB155">
            <v>2.4126123662201264E-3</v>
          </cell>
          <cell r="AC155">
            <v>0.11820666666666498</v>
          </cell>
          <cell r="AD155">
            <v>48.9953</v>
          </cell>
          <cell r="AE155">
            <v>49.113506666666666</v>
          </cell>
          <cell r="AF155">
            <v>1.8610878797312804E-3</v>
          </cell>
          <cell r="AG155">
            <v>3.0486666666666076E-2</v>
          </cell>
          <cell r="AH155">
            <v>16.3811</v>
          </cell>
          <cell r="AI155">
            <v>16.411586666666665</v>
          </cell>
          <cell r="AJ155">
            <v>1.7259115840921918E-3</v>
          </cell>
          <cell r="AK155">
            <v>2.7442857142857897E-2</v>
          </cell>
          <cell r="AL155">
            <v>15.900499999999999</v>
          </cell>
          <cell r="AM155">
            <v>15.927942857142858</v>
          </cell>
          <cell r="AN155">
            <v>2.6707513451945998E-3</v>
          </cell>
          <cell r="AO155">
            <v>2.0399999999999911E-2</v>
          </cell>
          <cell r="AP155">
            <v>7.6383000000000001</v>
          </cell>
          <cell r="AQ155">
            <v>7.6586999999999996</v>
          </cell>
          <cell r="AR155">
            <v>2.5635719316143918E-4</v>
          </cell>
          <cell r="AS155">
            <v>1.0653333333332663E-2</v>
          </cell>
          <cell r="AT155">
            <v>41.556600000000003</v>
          </cell>
          <cell r="AU155">
            <v>41.567253333333333</v>
          </cell>
          <cell r="AV155">
            <v>2.449221729427283E-3</v>
          </cell>
          <cell r="AW155">
            <v>8.6699999999996377E-2</v>
          </cell>
          <cell r="AX155">
            <v>35.399000000000001</v>
          </cell>
          <cell r="AY155">
            <v>35.485699999999994</v>
          </cell>
          <cell r="AZ155">
            <v>1.7408206619585716E-3</v>
          </cell>
          <cell r="BA155">
            <v>1.3357142857141926E-2</v>
          </cell>
          <cell r="BB155">
            <v>7.6729000000000003</v>
          </cell>
          <cell r="BC155">
            <v>7.6862571428571425</v>
          </cell>
        </row>
        <row r="156">
          <cell r="B156">
            <v>108</v>
          </cell>
          <cell r="C156">
            <v>18</v>
          </cell>
          <cell r="D156">
            <v>1.9821361804661067E-3</v>
          </cell>
          <cell r="E156">
            <v>0.11927999999999912</v>
          </cell>
          <cell r="F156">
            <v>60.177500000000002</v>
          </cell>
          <cell r="G156">
            <v>60.296779999999998</v>
          </cell>
          <cell r="H156">
            <v>2.9063801533168159E-3</v>
          </cell>
          <cell r="I156">
            <v>0.21185999999999866</v>
          </cell>
          <cell r="J156">
            <v>72.894800000000004</v>
          </cell>
          <cell r="K156">
            <v>73.106660000000005</v>
          </cell>
          <cell r="L156">
            <v>4.0429794208704335E-3</v>
          </cell>
          <cell r="M156">
            <v>2.2199999999999555E-3</v>
          </cell>
          <cell r="N156">
            <v>0.54910000000000003</v>
          </cell>
          <cell r="O156">
            <v>0.55132000000000003</v>
          </cell>
          <cell r="P156">
            <v>1.5849585633566602E-3</v>
          </cell>
          <cell r="Q156">
            <v>0.17094000000000448</v>
          </cell>
          <cell r="R156">
            <v>107.8514</v>
          </cell>
          <cell r="S156">
            <v>108.02234</v>
          </cell>
          <cell r="T156">
            <v>3.6382126739973415E-3</v>
          </cell>
          <cell r="U156">
            <v>0.17172000000000054</v>
          </cell>
          <cell r="V156">
            <v>47.198999999999998</v>
          </cell>
          <cell r="W156">
            <v>47.370719999999999</v>
          </cell>
          <cell r="X156">
            <v>9.8862619135378681E-4</v>
          </cell>
          <cell r="Y156">
            <v>4.5059999999999434E-2</v>
          </cell>
          <cell r="Z156">
            <v>45.578400000000002</v>
          </cell>
          <cell r="AA156">
            <v>45.623460000000001</v>
          </cell>
          <cell r="AB156">
            <v>2.5545307407036635E-3</v>
          </cell>
          <cell r="AC156">
            <v>0.12515999999999822</v>
          </cell>
          <cell r="AD156">
            <v>48.9953</v>
          </cell>
          <cell r="AE156">
            <v>49.120460000000001</v>
          </cell>
          <cell r="AF156">
            <v>1.9705636373625319E-3</v>
          </cell>
          <cell r="AG156">
            <v>3.2279999999999379E-2</v>
          </cell>
          <cell r="AH156">
            <v>16.3811</v>
          </cell>
          <cell r="AI156">
            <v>16.41338</v>
          </cell>
          <cell r="AJ156">
            <v>1.8274357949211444E-3</v>
          </cell>
          <cell r="AK156">
            <v>2.9057142857143652E-2</v>
          </cell>
          <cell r="AL156">
            <v>15.900499999999999</v>
          </cell>
          <cell r="AM156">
            <v>15.929557142857142</v>
          </cell>
          <cell r="AN156">
            <v>2.8278543655001647E-3</v>
          </cell>
          <cell r="AO156">
            <v>2.1599999999999904E-2</v>
          </cell>
          <cell r="AP156">
            <v>7.6383000000000001</v>
          </cell>
          <cell r="AQ156">
            <v>7.6599000000000004</v>
          </cell>
          <cell r="AR156">
            <v>2.714370280532885E-4</v>
          </cell>
          <cell r="AS156">
            <v>1.1279999999999291E-2</v>
          </cell>
          <cell r="AT156">
            <v>41.556600000000003</v>
          </cell>
          <cell r="AU156">
            <v>41.567880000000002</v>
          </cell>
          <cell r="AV156">
            <v>2.5932935958641818E-3</v>
          </cell>
          <cell r="AW156">
            <v>9.1799999999996176E-2</v>
          </cell>
          <cell r="AX156">
            <v>35.399000000000001</v>
          </cell>
          <cell r="AY156">
            <v>35.4908</v>
          </cell>
          <cell r="AZ156">
            <v>1.8432218773678994E-3</v>
          </cell>
          <cell r="BA156">
            <v>1.4142857142856156E-2</v>
          </cell>
          <cell r="BB156">
            <v>7.6729000000000003</v>
          </cell>
          <cell r="BC156">
            <v>7.6870428571428562</v>
          </cell>
        </row>
        <row r="157">
          <cell r="B157">
            <v>109</v>
          </cell>
          <cell r="C157">
            <v>19</v>
          </cell>
          <cell r="D157">
            <v>2.0922548571586678E-3</v>
          </cell>
          <cell r="E157">
            <v>0.12590666666666575</v>
          </cell>
          <cell r="F157">
            <v>60.177500000000002</v>
          </cell>
          <cell r="G157">
            <v>60.303406666666667</v>
          </cell>
          <cell r="H157">
            <v>3.0678457173899721E-3</v>
          </cell>
          <cell r="I157">
            <v>0.22362999999999858</v>
          </cell>
          <cell r="J157">
            <v>72.894800000000004</v>
          </cell>
          <cell r="K157">
            <v>73.118430000000004</v>
          </cell>
          <cell r="L157">
            <v>4.2675893886965684E-3</v>
          </cell>
          <cell r="M157">
            <v>2.3433333333332863E-3</v>
          </cell>
          <cell r="N157">
            <v>0.54910000000000003</v>
          </cell>
          <cell r="O157">
            <v>0.55144333333333329</v>
          </cell>
          <cell r="P157">
            <v>1.6730118168764745E-3</v>
          </cell>
          <cell r="Q157">
            <v>0.18043666666667141</v>
          </cell>
          <cell r="R157">
            <v>107.8514</v>
          </cell>
          <cell r="S157">
            <v>108.03183666666666</v>
          </cell>
          <cell r="T157">
            <v>3.8403356003305278E-3</v>
          </cell>
          <cell r="U157">
            <v>0.18126000000000056</v>
          </cell>
          <cell r="V157">
            <v>47.198999999999998</v>
          </cell>
          <cell r="W157">
            <v>47.38026</v>
          </cell>
          <cell r="X157">
            <v>1.0435498686512193E-3</v>
          </cell>
          <cell r="Y157">
            <v>4.7563333333332736E-2</v>
          </cell>
          <cell r="Z157">
            <v>45.578400000000002</v>
          </cell>
          <cell r="AA157">
            <v>45.625963333333331</v>
          </cell>
          <cell r="AB157">
            <v>2.6964491151872006E-3</v>
          </cell>
          <cell r="AC157">
            <v>0.13211333333333145</v>
          </cell>
          <cell r="AD157">
            <v>48.9953</v>
          </cell>
          <cell r="AE157">
            <v>49.12741333333333</v>
          </cell>
          <cell r="AF157">
            <v>2.0800393949937839E-3</v>
          </cell>
          <cell r="AG157">
            <v>3.4073333333332671E-2</v>
          </cell>
          <cell r="AH157">
            <v>16.3811</v>
          </cell>
          <cell r="AI157">
            <v>16.415173333333332</v>
          </cell>
          <cell r="AJ157">
            <v>1.928960005750097E-3</v>
          </cell>
          <cell r="AK157">
            <v>3.0671428571429411E-2</v>
          </cell>
          <cell r="AL157">
            <v>15.900499999999999</v>
          </cell>
          <cell r="AM157">
            <v>15.931171428571428</v>
          </cell>
          <cell r="AN157">
            <v>2.9849573858057288E-3</v>
          </cell>
          <cell r="AO157">
            <v>2.27999999999999E-2</v>
          </cell>
          <cell r="AP157">
            <v>7.6383000000000001</v>
          </cell>
          <cell r="AQ157">
            <v>7.6611000000000002</v>
          </cell>
          <cell r="AR157">
            <v>2.8651686294513788E-4</v>
          </cell>
          <cell r="AS157">
            <v>1.1906666666665918E-2</v>
          </cell>
          <cell r="AT157">
            <v>41.556600000000003</v>
          </cell>
          <cell r="AU157">
            <v>41.568506666666671</v>
          </cell>
          <cell r="AV157">
            <v>2.7373654623010809E-3</v>
          </cell>
          <cell r="AW157">
            <v>9.6899999999995962E-2</v>
          </cell>
          <cell r="AX157">
            <v>35.399000000000001</v>
          </cell>
          <cell r="AY157">
            <v>35.495899999999999</v>
          </cell>
          <cell r="AZ157">
            <v>1.9456230927772271E-3</v>
          </cell>
          <cell r="BA157">
            <v>1.4928571428570387E-2</v>
          </cell>
          <cell r="BB157">
            <v>7.6729000000000003</v>
          </cell>
          <cell r="BC157">
            <v>7.6878285714285708</v>
          </cell>
        </row>
        <row r="158">
          <cell r="B158">
            <v>110</v>
          </cell>
          <cell r="C158">
            <v>20</v>
          </cell>
          <cell r="D158">
            <v>2.2023735338512294E-3</v>
          </cell>
          <cell r="E158">
            <v>0.13253333333333236</v>
          </cell>
          <cell r="F158">
            <v>60.177500000000002</v>
          </cell>
          <cell r="G158">
            <v>60.310033333333337</v>
          </cell>
          <cell r="H158">
            <v>3.2293112814631287E-3</v>
          </cell>
          <cell r="I158">
            <v>0.2353999999999985</v>
          </cell>
          <cell r="J158">
            <v>72.894800000000004</v>
          </cell>
          <cell r="K158">
            <v>73.130200000000002</v>
          </cell>
          <cell r="L158">
            <v>4.4921993565227043E-3</v>
          </cell>
          <cell r="M158">
            <v>2.466666666666617E-3</v>
          </cell>
          <cell r="N158">
            <v>0.54910000000000003</v>
          </cell>
          <cell r="O158">
            <v>0.55156666666666665</v>
          </cell>
          <cell r="P158">
            <v>1.7610650703962889E-3</v>
          </cell>
          <cell r="Q158">
            <v>0.18993333333333831</v>
          </cell>
          <cell r="R158">
            <v>107.8514</v>
          </cell>
          <cell r="S158">
            <v>108.04133333333334</v>
          </cell>
          <cell r="T158">
            <v>4.0424585266637132E-3</v>
          </cell>
          <cell r="U158">
            <v>0.19080000000000061</v>
          </cell>
          <cell r="V158">
            <v>47.198999999999998</v>
          </cell>
          <cell r="W158">
            <v>47.389800000000001</v>
          </cell>
          <cell r="X158">
            <v>1.0984735459486519E-3</v>
          </cell>
          <cell r="Y158">
            <v>5.0066666666666038E-2</v>
          </cell>
          <cell r="Z158">
            <v>45.578400000000002</v>
          </cell>
          <cell r="AA158">
            <v>45.628466666666668</v>
          </cell>
          <cell r="AB158">
            <v>2.8383674896707372E-3</v>
          </cell>
          <cell r="AC158">
            <v>0.13906666666666467</v>
          </cell>
          <cell r="AD158">
            <v>48.9953</v>
          </cell>
          <cell r="AE158">
            <v>49.134366666666665</v>
          </cell>
          <cell r="AF158">
            <v>2.1895151526250354E-3</v>
          </cell>
          <cell r="AG158">
            <v>3.5866666666665971E-2</v>
          </cell>
          <cell r="AH158">
            <v>16.3811</v>
          </cell>
          <cell r="AI158">
            <v>16.416966666666667</v>
          </cell>
          <cell r="AJ158">
            <v>2.0304842165790493E-3</v>
          </cell>
          <cell r="AK158">
            <v>3.2285714285715174E-2</v>
          </cell>
          <cell r="AL158">
            <v>15.900499999999999</v>
          </cell>
          <cell r="AM158">
            <v>15.932785714285714</v>
          </cell>
          <cell r="AN158">
            <v>3.1420604061112938E-3</v>
          </cell>
          <cell r="AO158">
            <v>2.3999999999999893E-2</v>
          </cell>
          <cell r="AP158">
            <v>7.6383000000000001</v>
          </cell>
          <cell r="AQ158">
            <v>7.6623000000000001</v>
          </cell>
          <cell r="AR158">
            <v>3.0159669783698726E-4</v>
          </cell>
          <cell r="AS158">
            <v>1.2533333333332545E-2</v>
          </cell>
          <cell r="AT158">
            <v>41.556600000000003</v>
          </cell>
          <cell r="AU158">
            <v>41.569133333333333</v>
          </cell>
          <cell r="AV158">
            <v>2.8814373287379797E-3</v>
          </cell>
          <cell r="AW158">
            <v>0.10199999999999575</v>
          </cell>
          <cell r="AX158">
            <v>35.399000000000001</v>
          </cell>
          <cell r="AY158">
            <v>35.500999999999998</v>
          </cell>
          <cell r="AZ158">
            <v>2.0480243081865547E-3</v>
          </cell>
          <cell r="BA158">
            <v>1.5714285714284619E-2</v>
          </cell>
          <cell r="BB158">
            <v>7.6729000000000003</v>
          </cell>
          <cell r="BC158">
            <v>7.6886142857142845</v>
          </cell>
        </row>
        <row r="159">
          <cell r="B159">
            <v>111</v>
          </cell>
          <cell r="C159">
            <v>21</v>
          </cell>
          <cell r="D159">
            <v>2.3124922105437909E-3</v>
          </cell>
          <cell r="E159">
            <v>0.13915999999999898</v>
          </cell>
          <cell r="F159">
            <v>60.177500000000002</v>
          </cell>
          <cell r="G159">
            <v>60.316659999999999</v>
          </cell>
          <cell r="H159">
            <v>3.3907768455362849E-3</v>
          </cell>
          <cell r="I159">
            <v>0.24716999999999842</v>
          </cell>
          <cell r="J159">
            <v>72.894800000000004</v>
          </cell>
          <cell r="K159">
            <v>73.141970000000001</v>
          </cell>
          <cell r="L159">
            <v>4.7168093243488392E-3</v>
          </cell>
          <cell r="M159">
            <v>2.5899999999999478E-3</v>
          </cell>
          <cell r="N159">
            <v>0.54910000000000003</v>
          </cell>
          <cell r="O159">
            <v>0.55169000000000001</v>
          </cell>
          <cell r="P159">
            <v>1.8491183239161034E-3</v>
          </cell>
          <cell r="Q159">
            <v>0.19943000000000524</v>
          </cell>
          <cell r="R159">
            <v>107.8514</v>
          </cell>
          <cell r="S159">
            <v>108.05083</v>
          </cell>
          <cell r="T159">
            <v>4.2445814529968985E-3</v>
          </cell>
          <cell r="U159">
            <v>0.20034000000000063</v>
          </cell>
          <cell r="V159">
            <v>47.198999999999998</v>
          </cell>
          <cell r="W159">
            <v>47.399339999999995</v>
          </cell>
          <cell r="X159">
            <v>1.1533972232460846E-3</v>
          </cell>
          <cell r="Y159">
            <v>5.2569999999999339E-2</v>
          </cell>
          <cell r="Z159">
            <v>45.578400000000002</v>
          </cell>
          <cell r="AA159">
            <v>45.630970000000005</v>
          </cell>
          <cell r="AB159">
            <v>2.9802858641542738E-3</v>
          </cell>
          <cell r="AC159">
            <v>0.1460199999999979</v>
          </cell>
          <cell r="AD159">
            <v>48.9953</v>
          </cell>
          <cell r="AE159">
            <v>49.14132</v>
          </cell>
          <cell r="AF159">
            <v>2.2989909102562873E-3</v>
          </cell>
          <cell r="AG159">
            <v>3.765999999999927E-2</v>
          </cell>
          <cell r="AH159">
            <v>16.3811</v>
          </cell>
          <cell r="AI159">
            <v>16.418759999999999</v>
          </cell>
          <cell r="AJ159">
            <v>2.1320084274080017E-3</v>
          </cell>
          <cell r="AK159">
            <v>3.3900000000000929E-2</v>
          </cell>
          <cell r="AL159">
            <v>15.900499999999999</v>
          </cell>
          <cell r="AM159">
            <v>15.9344</v>
          </cell>
          <cell r="AN159">
            <v>3.2991634264168583E-3</v>
          </cell>
          <cell r="AO159">
            <v>2.5199999999999889E-2</v>
          </cell>
          <cell r="AP159">
            <v>7.6383000000000001</v>
          </cell>
          <cell r="AQ159">
            <v>7.6635</v>
          </cell>
          <cell r="AR159">
            <v>3.1667653272883663E-4</v>
          </cell>
          <cell r="AS159">
            <v>1.3159999999999172E-2</v>
          </cell>
          <cell r="AT159">
            <v>41.556600000000003</v>
          </cell>
          <cell r="AU159">
            <v>41.569760000000002</v>
          </cell>
          <cell r="AV159">
            <v>3.0255091951748789E-3</v>
          </cell>
          <cell r="AW159">
            <v>0.10709999999999553</v>
          </cell>
          <cell r="AX159">
            <v>35.399000000000001</v>
          </cell>
          <cell r="AY159">
            <v>35.506099999999996</v>
          </cell>
          <cell r="AZ159">
            <v>2.1504255235958824E-3</v>
          </cell>
          <cell r="BA159">
            <v>1.6499999999998849E-2</v>
          </cell>
          <cell r="BB159">
            <v>7.6729000000000003</v>
          </cell>
          <cell r="BC159">
            <v>7.6893999999999991</v>
          </cell>
        </row>
        <row r="160">
          <cell r="B160">
            <v>112</v>
          </cell>
          <cell r="C160">
            <v>22</v>
          </cell>
          <cell r="D160">
            <v>2.4226108872363525E-3</v>
          </cell>
          <cell r="E160">
            <v>0.14578666666666559</v>
          </cell>
          <cell r="F160">
            <v>60.177500000000002</v>
          </cell>
          <cell r="G160">
            <v>60.323286666666668</v>
          </cell>
          <cell r="H160">
            <v>3.5522424096094416E-3</v>
          </cell>
          <cell r="I160">
            <v>0.25893999999999834</v>
          </cell>
          <cell r="J160">
            <v>72.894800000000004</v>
          </cell>
          <cell r="K160">
            <v>73.153739999999999</v>
          </cell>
          <cell r="L160">
            <v>4.941419292174975E-3</v>
          </cell>
          <cell r="M160">
            <v>2.7133333333332786E-3</v>
          </cell>
          <cell r="N160">
            <v>0.54910000000000003</v>
          </cell>
          <cell r="O160">
            <v>0.55181333333333327</v>
          </cell>
          <cell r="P160">
            <v>1.9371715774359178E-3</v>
          </cell>
          <cell r="Q160">
            <v>0.20892666666667215</v>
          </cell>
          <cell r="R160">
            <v>107.8514</v>
          </cell>
          <cell r="S160">
            <v>108.06032666666667</v>
          </cell>
          <cell r="T160">
            <v>4.4467043793300848E-3</v>
          </cell>
          <cell r="U160">
            <v>0.20988000000000065</v>
          </cell>
          <cell r="V160">
            <v>47.198999999999998</v>
          </cell>
          <cell r="W160">
            <v>47.408879999999996</v>
          </cell>
          <cell r="X160">
            <v>1.2083209005435171E-3</v>
          </cell>
          <cell r="Y160">
            <v>5.5073333333332641E-2</v>
          </cell>
          <cell r="Z160">
            <v>45.578400000000002</v>
          </cell>
          <cell r="AA160">
            <v>45.633473333333335</v>
          </cell>
          <cell r="AB160">
            <v>3.1222042386378104E-3</v>
          </cell>
          <cell r="AC160">
            <v>0.15297333333333113</v>
          </cell>
          <cell r="AD160">
            <v>48.9953</v>
          </cell>
          <cell r="AE160">
            <v>49.148273333333329</v>
          </cell>
          <cell r="AF160">
            <v>2.4084666678875393E-3</v>
          </cell>
          <cell r="AG160">
            <v>3.945333333333257E-2</v>
          </cell>
          <cell r="AH160">
            <v>16.3811</v>
          </cell>
          <cell r="AI160">
            <v>16.420553333333334</v>
          </cell>
          <cell r="AJ160">
            <v>2.2335326382369541E-3</v>
          </cell>
          <cell r="AK160">
            <v>3.5514285714286685E-2</v>
          </cell>
          <cell r="AL160">
            <v>15.900499999999999</v>
          </cell>
          <cell r="AM160">
            <v>15.936014285714286</v>
          </cell>
          <cell r="AN160">
            <v>3.4562664467224233E-3</v>
          </cell>
          <cell r="AO160">
            <v>2.6399999999999885E-2</v>
          </cell>
          <cell r="AP160">
            <v>7.6383000000000001</v>
          </cell>
          <cell r="AQ160">
            <v>7.6646999999999998</v>
          </cell>
          <cell r="AR160">
            <v>3.3175636762068601E-4</v>
          </cell>
          <cell r="AS160">
            <v>1.37866666666658E-2</v>
          </cell>
          <cell r="AT160">
            <v>41.556600000000003</v>
          </cell>
          <cell r="AU160">
            <v>41.570386666666671</v>
          </cell>
          <cell r="AV160">
            <v>3.1695810616117781E-3</v>
          </cell>
          <cell r="AW160">
            <v>0.11219999999999532</v>
          </cell>
          <cell r="AX160">
            <v>35.399000000000001</v>
          </cell>
          <cell r="AY160">
            <v>35.511199999999995</v>
          </cell>
          <cell r="AZ160">
            <v>2.2528267390052102E-3</v>
          </cell>
          <cell r="BA160">
            <v>1.7285714285713079E-2</v>
          </cell>
          <cell r="BB160">
            <v>7.6729000000000003</v>
          </cell>
          <cell r="BC160">
            <v>7.6901857142857137</v>
          </cell>
        </row>
        <row r="161">
          <cell r="B161">
            <v>113</v>
          </cell>
          <cell r="C161">
            <v>23</v>
          </cell>
          <cell r="D161">
            <v>2.532729563928914E-3</v>
          </cell>
          <cell r="E161">
            <v>0.15241333333333221</v>
          </cell>
          <cell r="F161">
            <v>60.177500000000002</v>
          </cell>
          <cell r="G161">
            <v>60.329913333333337</v>
          </cell>
          <cell r="H161">
            <v>3.7137079736825978E-3</v>
          </cell>
          <cell r="I161">
            <v>0.27070999999999829</v>
          </cell>
          <cell r="J161">
            <v>72.894800000000004</v>
          </cell>
          <cell r="K161">
            <v>73.165509999999998</v>
          </cell>
          <cell r="L161">
            <v>5.16602926000111E-3</v>
          </cell>
          <cell r="M161">
            <v>2.8366666666666098E-3</v>
          </cell>
          <cell r="N161">
            <v>0.54910000000000003</v>
          </cell>
          <cell r="O161">
            <v>0.55193666666666663</v>
          </cell>
          <cell r="P161">
            <v>2.0252248309557321E-3</v>
          </cell>
          <cell r="Q161">
            <v>0.21842333333333908</v>
          </cell>
          <cell r="R161">
            <v>107.8514</v>
          </cell>
          <cell r="S161">
            <v>108.06982333333333</v>
          </cell>
          <cell r="T161">
            <v>4.6488273056632702E-3</v>
          </cell>
          <cell r="U161">
            <v>0.2194200000000007</v>
          </cell>
          <cell r="V161">
            <v>47.198999999999998</v>
          </cell>
          <cell r="W161">
            <v>47.418419999999998</v>
          </cell>
          <cell r="X161">
            <v>1.2632445778409495E-3</v>
          </cell>
          <cell r="Y161">
            <v>5.7576666666665943E-2</v>
          </cell>
          <cell r="Z161">
            <v>45.578400000000002</v>
          </cell>
          <cell r="AA161">
            <v>45.635976666666664</v>
          </cell>
          <cell r="AB161">
            <v>3.2641226131213475E-3</v>
          </cell>
          <cell r="AC161">
            <v>0.15992666666666439</v>
          </cell>
          <cell r="AD161">
            <v>48.9953</v>
          </cell>
          <cell r="AE161">
            <v>49.155226666666664</v>
          </cell>
          <cell r="AF161">
            <v>2.5179424255187908E-3</v>
          </cell>
          <cell r="AG161">
            <v>4.124666666666587E-2</v>
          </cell>
          <cell r="AH161">
            <v>16.3811</v>
          </cell>
          <cell r="AI161">
            <v>16.422346666666666</v>
          </cell>
          <cell r="AJ161">
            <v>2.3350568490659068E-3</v>
          </cell>
          <cell r="AK161">
            <v>3.7128571428572447E-2</v>
          </cell>
          <cell r="AL161">
            <v>15.900499999999999</v>
          </cell>
          <cell r="AM161">
            <v>15.937628571428572</v>
          </cell>
          <cell r="AN161">
            <v>3.6133694670279879E-3</v>
          </cell>
          <cell r="AO161">
            <v>2.7599999999999878E-2</v>
          </cell>
          <cell r="AP161">
            <v>7.6383000000000001</v>
          </cell>
          <cell r="AQ161">
            <v>7.6658999999999997</v>
          </cell>
          <cell r="AR161">
            <v>3.4683620251253533E-4</v>
          </cell>
          <cell r="AS161">
            <v>1.4413333333332426E-2</v>
          </cell>
          <cell r="AT161">
            <v>41.556600000000003</v>
          </cell>
          <cell r="AU161">
            <v>41.571013333333333</v>
          </cell>
          <cell r="AV161">
            <v>3.3136529280486768E-3</v>
          </cell>
          <cell r="AW161">
            <v>0.1172999999999951</v>
          </cell>
          <cell r="AX161">
            <v>35.399000000000001</v>
          </cell>
          <cell r="AY161">
            <v>35.516299999999994</v>
          </cell>
          <cell r="AZ161">
            <v>2.355227954414538E-3</v>
          </cell>
          <cell r="BA161">
            <v>1.8071428571427312E-2</v>
          </cell>
          <cell r="BB161">
            <v>7.6729000000000003</v>
          </cell>
          <cell r="BC161">
            <v>7.6909714285714275</v>
          </cell>
        </row>
        <row r="162">
          <cell r="B162">
            <v>114</v>
          </cell>
          <cell r="C162">
            <v>24</v>
          </cell>
          <cell r="D162">
            <v>2.6428482406214752E-3</v>
          </cell>
          <cell r="E162">
            <v>0.15903999999999882</v>
          </cell>
          <cell r="F162">
            <v>60.177500000000002</v>
          </cell>
          <cell r="G162">
            <v>60.336539999999999</v>
          </cell>
          <cell r="H162">
            <v>3.875173537755754E-3</v>
          </cell>
          <cell r="I162">
            <v>0.28247999999999818</v>
          </cell>
          <cell r="J162">
            <v>72.894800000000004</v>
          </cell>
          <cell r="K162">
            <v>73.177279999999996</v>
          </cell>
          <cell r="L162">
            <v>5.3906392278272449E-3</v>
          </cell>
          <cell r="M162">
            <v>2.9599999999999405E-3</v>
          </cell>
          <cell r="N162">
            <v>0.54910000000000003</v>
          </cell>
          <cell r="O162">
            <v>0.55206</v>
          </cell>
          <cell r="P162">
            <v>2.1132780844755469E-3</v>
          </cell>
          <cell r="Q162">
            <v>0.22792000000000598</v>
          </cell>
          <cell r="R162">
            <v>107.8514</v>
          </cell>
          <cell r="S162">
            <v>108.07932000000001</v>
          </cell>
          <cell r="T162">
            <v>4.8509502319964556E-3</v>
          </cell>
          <cell r="U162">
            <v>0.22896000000000072</v>
          </cell>
          <cell r="V162">
            <v>47.198999999999998</v>
          </cell>
          <cell r="W162">
            <v>47.427959999999999</v>
          </cell>
          <cell r="X162">
            <v>1.3181682551383822E-3</v>
          </cell>
          <cell r="Y162">
            <v>6.0079999999999245E-2</v>
          </cell>
          <cell r="Z162">
            <v>45.578400000000002</v>
          </cell>
          <cell r="AA162">
            <v>45.638480000000001</v>
          </cell>
          <cell r="AB162">
            <v>3.4060409876048845E-3</v>
          </cell>
          <cell r="AC162">
            <v>0.16687999999999761</v>
          </cell>
          <cell r="AD162">
            <v>48.9953</v>
          </cell>
          <cell r="AE162">
            <v>49.162179999999999</v>
          </cell>
          <cell r="AF162">
            <v>2.6274181831500427E-3</v>
          </cell>
          <cell r="AG162">
            <v>4.3039999999999169E-2</v>
          </cell>
          <cell r="AH162">
            <v>16.3811</v>
          </cell>
          <cell r="AI162">
            <v>16.424139999999998</v>
          </cell>
          <cell r="AJ162">
            <v>2.4365810598948592E-3</v>
          </cell>
          <cell r="AK162">
            <v>3.8742857142858203E-2</v>
          </cell>
          <cell r="AL162">
            <v>15.900499999999999</v>
          </cell>
          <cell r="AM162">
            <v>15.939242857142858</v>
          </cell>
          <cell r="AN162">
            <v>3.7704724873335524E-3</v>
          </cell>
          <cell r="AO162">
            <v>2.8799999999999874E-2</v>
          </cell>
          <cell r="AP162">
            <v>7.6383000000000001</v>
          </cell>
          <cell r="AQ162">
            <v>7.6670999999999996</v>
          </cell>
          <cell r="AR162">
            <v>3.6191603740438465E-4</v>
          </cell>
          <cell r="AS162">
            <v>1.5039999999999054E-2</v>
          </cell>
          <cell r="AT162">
            <v>41.556600000000003</v>
          </cell>
          <cell r="AU162">
            <v>41.571640000000002</v>
          </cell>
          <cell r="AV162">
            <v>3.457724794485576E-3</v>
          </cell>
          <cell r="AW162">
            <v>0.12239999999999489</v>
          </cell>
          <cell r="AX162">
            <v>35.399000000000001</v>
          </cell>
          <cell r="AY162">
            <v>35.521399999999993</v>
          </cell>
          <cell r="AZ162">
            <v>2.4576291698238657E-3</v>
          </cell>
          <cell r="BA162">
            <v>1.8857142857141542E-2</v>
          </cell>
          <cell r="BB162">
            <v>7.6729000000000003</v>
          </cell>
          <cell r="BC162">
            <v>7.6917571428571421</v>
          </cell>
        </row>
        <row r="163">
          <cell r="B163">
            <v>115</v>
          </cell>
          <cell r="C163">
            <v>25</v>
          </cell>
          <cell r="D163">
            <v>2.7529669173140367E-3</v>
          </cell>
          <cell r="E163">
            <v>0.16566666666666544</v>
          </cell>
          <cell r="F163">
            <v>60.177500000000002</v>
          </cell>
          <cell r="G163">
            <v>60.343166666666669</v>
          </cell>
          <cell r="H163">
            <v>4.0366391018289106E-3</v>
          </cell>
          <cell r="I163">
            <v>0.29424999999999812</v>
          </cell>
          <cell r="J163">
            <v>72.894800000000004</v>
          </cell>
          <cell r="K163">
            <v>73.189050000000009</v>
          </cell>
          <cell r="L163">
            <v>5.6152491956533808E-3</v>
          </cell>
          <cell r="M163">
            <v>3.0833333333332713E-3</v>
          </cell>
          <cell r="N163">
            <v>0.54910000000000003</v>
          </cell>
          <cell r="O163">
            <v>0.55218333333333325</v>
          </cell>
          <cell r="P163">
            <v>2.2013313379953612E-3</v>
          </cell>
          <cell r="Q163">
            <v>0.23741666666667291</v>
          </cell>
          <cell r="R163">
            <v>107.8514</v>
          </cell>
          <cell r="S163">
            <v>108.08881666666667</v>
          </cell>
          <cell r="T163">
            <v>5.0530731583296419E-3</v>
          </cell>
          <cell r="U163">
            <v>0.23850000000000074</v>
          </cell>
          <cell r="V163">
            <v>47.198999999999998</v>
          </cell>
          <cell r="W163">
            <v>47.4375</v>
          </cell>
          <cell r="X163">
            <v>1.3730919324358149E-3</v>
          </cell>
          <cell r="Y163">
            <v>6.2583333333332547E-2</v>
          </cell>
          <cell r="Z163">
            <v>45.578400000000002</v>
          </cell>
          <cell r="AA163">
            <v>45.640983333333338</v>
          </cell>
          <cell r="AB163">
            <v>3.5479593620884211E-3</v>
          </cell>
          <cell r="AC163">
            <v>0.17383333333333084</v>
          </cell>
          <cell r="AD163">
            <v>48.9953</v>
          </cell>
          <cell r="AE163">
            <v>49.169133333333335</v>
          </cell>
          <cell r="AF163">
            <v>2.7368939407812947E-3</v>
          </cell>
          <cell r="AG163">
            <v>4.4833333333332469E-2</v>
          </cell>
          <cell r="AH163">
            <v>16.3811</v>
          </cell>
          <cell r="AI163">
            <v>16.425933333333333</v>
          </cell>
          <cell r="AJ163">
            <v>2.5381052707238116E-3</v>
          </cell>
          <cell r="AK163">
            <v>4.0357142857143966E-2</v>
          </cell>
          <cell r="AL163">
            <v>15.900499999999999</v>
          </cell>
          <cell r="AM163">
            <v>15.940857142857142</v>
          </cell>
          <cell r="AN163">
            <v>3.9275755076391174E-3</v>
          </cell>
          <cell r="AO163">
            <v>2.9999999999999867E-2</v>
          </cell>
          <cell r="AP163">
            <v>7.6383000000000001</v>
          </cell>
          <cell r="AQ163">
            <v>7.6683000000000003</v>
          </cell>
          <cell r="AR163">
            <v>3.7699587229623403E-4</v>
          </cell>
          <cell r="AS163">
            <v>1.566666666666568E-2</v>
          </cell>
          <cell r="AT163">
            <v>41.556600000000003</v>
          </cell>
          <cell r="AU163">
            <v>41.572266666666671</v>
          </cell>
          <cell r="AV163">
            <v>3.6017966609224747E-3</v>
          </cell>
          <cell r="AW163">
            <v>0.12749999999999467</v>
          </cell>
          <cell r="AX163">
            <v>35.399000000000001</v>
          </cell>
          <cell r="AY163">
            <v>35.526499999999999</v>
          </cell>
          <cell r="AZ163">
            <v>2.5600303852331935E-3</v>
          </cell>
          <cell r="BA163">
            <v>1.9642857142855772E-2</v>
          </cell>
          <cell r="BB163">
            <v>7.6729000000000003</v>
          </cell>
          <cell r="BC163">
            <v>7.6925428571428558</v>
          </cell>
        </row>
        <row r="164">
          <cell r="B164">
            <v>116</v>
          </cell>
          <cell r="C164">
            <v>26</v>
          </cell>
          <cell r="D164">
            <v>2.8630855940065978E-3</v>
          </cell>
          <cell r="E164">
            <v>0.17229333333333205</v>
          </cell>
          <cell r="F164">
            <v>60.177500000000002</v>
          </cell>
          <cell r="G164">
            <v>60.349793333333331</v>
          </cell>
          <cell r="H164">
            <v>4.1981046659020672E-3</v>
          </cell>
          <cell r="I164">
            <v>0.30601999999999807</v>
          </cell>
          <cell r="J164">
            <v>72.894800000000004</v>
          </cell>
          <cell r="K164">
            <v>73.200820000000007</v>
          </cell>
          <cell r="L164">
            <v>5.8398591634795148E-3</v>
          </cell>
          <cell r="M164">
            <v>3.2066666666666021E-3</v>
          </cell>
          <cell r="N164">
            <v>0.54910000000000003</v>
          </cell>
          <cell r="O164">
            <v>0.55230666666666661</v>
          </cell>
          <cell r="P164">
            <v>2.2893845915151756E-3</v>
          </cell>
          <cell r="Q164">
            <v>0.24691333333333981</v>
          </cell>
          <cell r="R164">
            <v>107.8514</v>
          </cell>
          <cell r="S164">
            <v>108.09831333333334</v>
          </cell>
          <cell r="T164">
            <v>5.2551960846628264E-3</v>
          </cell>
          <cell r="U164">
            <v>0.24804000000000079</v>
          </cell>
          <cell r="V164">
            <v>47.198999999999998</v>
          </cell>
          <cell r="W164">
            <v>47.447040000000001</v>
          </cell>
          <cell r="X164">
            <v>1.4280156097332475E-3</v>
          </cell>
          <cell r="Y164">
            <v>6.5086666666665849E-2</v>
          </cell>
          <cell r="Z164">
            <v>45.578400000000002</v>
          </cell>
          <cell r="AA164">
            <v>45.643486666666668</v>
          </cell>
          <cell r="AB164">
            <v>3.6898777365719582E-3</v>
          </cell>
          <cell r="AC164">
            <v>0.18078666666666407</v>
          </cell>
          <cell r="AD164">
            <v>48.9953</v>
          </cell>
          <cell r="AE164">
            <v>49.176086666666663</v>
          </cell>
          <cell r="AF164">
            <v>2.8463696984125462E-3</v>
          </cell>
          <cell r="AG164">
            <v>4.6626666666665768E-2</v>
          </cell>
          <cell r="AH164">
            <v>16.3811</v>
          </cell>
          <cell r="AI164">
            <v>16.427726666666665</v>
          </cell>
          <cell r="AJ164">
            <v>2.6396294815527639E-3</v>
          </cell>
          <cell r="AK164">
            <v>4.1971428571429721E-2</v>
          </cell>
          <cell r="AL164">
            <v>15.900499999999999</v>
          </cell>
          <cell r="AM164">
            <v>15.942471428571428</v>
          </cell>
          <cell r="AN164">
            <v>4.0846785279446815E-3</v>
          </cell>
          <cell r="AO164">
            <v>3.1199999999999863E-2</v>
          </cell>
          <cell r="AP164">
            <v>7.6383000000000001</v>
          </cell>
          <cell r="AQ164">
            <v>7.6695000000000002</v>
          </cell>
          <cell r="AR164">
            <v>3.9207570718808341E-4</v>
          </cell>
          <cell r="AS164">
            <v>1.629333333333231E-2</v>
          </cell>
          <cell r="AT164">
            <v>41.556600000000003</v>
          </cell>
          <cell r="AU164">
            <v>41.572893333333333</v>
          </cell>
          <cell r="AV164">
            <v>3.7458685273593739E-3</v>
          </cell>
          <cell r="AW164">
            <v>0.13259999999999447</v>
          </cell>
          <cell r="AX164">
            <v>35.399000000000001</v>
          </cell>
          <cell r="AY164">
            <v>35.531599999999997</v>
          </cell>
          <cell r="AZ164">
            <v>2.6624316006425212E-3</v>
          </cell>
          <cell r="BA164">
            <v>2.0428571428570002E-2</v>
          </cell>
          <cell r="BB164">
            <v>7.6729000000000003</v>
          </cell>
          <cell r="BC164">
            <v>7.6933285714285704</v>
          </cell>
        </row>
        <row r="165">
          <cell r="B165">
            <v>117</v>
          </cell>
          <cell r="C165">
            <v>27</v>
          </cell>
          <cell r="D165">
            <v>2.9732042706991594E-3</v>
          </cell>
          <cell r="E165">
            <v>0.17891999999999869</v>
          </cell>
          <cell r="F165">
            <v>60.177500000000002</v>
          </cell>
          <cell r="G165">
            <v>60.35642</v>
          </cell>
          <cell r="H165">
            <v>4.3595702299752239E-3</v>
          </cell>
          <cell r="I165">
            <v>0.31778999999999796</v>
          </cell>
          <cell r="J165">
            <v>72.894800000000004</v>
          </cell>
          <cell r="K165">
            <v>73.212590000000006</v>
          </cell>
          <cell r="L165">
            <v>6.0644691313056507E-3</v>
          </cell>
          <cell r="M165">
            <v>3.3299999999999328E-3</v>
          </cell>
          <cell r="N165">
            <v>0.54910000000000003</v>
          </cell>
          <cell r="O165">
            <v>0.55242999999999998</v>
          </cell>
          <cell r="P165">
            <v>2.3774378450349899E-3</v>
          </cell>
          <cell r="Q165">
            <v>0.25641000000000674</v>
          </cell>
          <cell r="R165">
            <v>107.8514</v>
          </cell>
          <cell r="S165">
            <v>108.10781</v>
          </cell>
          <cell r="T165">
            <v>5.4573190109960127E-3</v>
          </cell>
          <cell r="U165">
            <v>0.25758000000000081</v>
          </cell>
          <cell r="V165">
            <v>47.198999999999998</v>
          </cell>
          <cell r="W165">
            <v>47.456580000000002</v>
          </cell>
          <cell r="X165">
            <v>1.48293928703068E-3</v>
          </cell>
          <cell r="Y165">
            <v>6.7589999999999151E-2</v>
          </cell>
          <cell r="Z165">
            <v>45.578400000000002</v>
          </cell>
          <cell r="AA165">
            <v>45.645989999999998</v>
          </cell>
          <cell r="AB165">
            <v>3.8317961110554953E-3</v>
          </cell>
          <cell r="AC165">
            <v>0.1877399999999973</v>
          </cell>
          <cell r="AD165">
            <v>48.9953</v>
          </cell>
          <cell r="AE165">
            <v>49.183039999999998</v>
          </cell>
          <cell r="AF165">
            <v>2.9558454560437981E-3</v>
          </cell>
          <cell r="AG165">
            <v>4.8419999999999061E-2</v>
          </cell>
          <cell r="AH165">
            <v>16.3811</v>
          </cell>
          <cell r="AI165">
            <v>16.42952</v>
          </cell>
          <cell r="AJ165">
            <v>2.7411536923817167E-3</v>
          </cell>
          <cell r="AK165">
            <v>4.3585714285715484E-2</v>
          </cell>
          <cell r="AL165">
            <v>15.900499999999999</v>
          </cell>
          <cell r="AM165">
            <v>15.944085714285714</v>
          </cell>
          <cell r="AN165">
            <v>4.2417815482502464E-3</v>
          </cell>
          <cell r="AO165">
            <v>3.2399999999999859E-2</v>
          </cell>
          <cell r="AP165">
            <v>7.6383000000000001</v>
          </cell>
          <cell r="AQ165">
            <v>7.6707000000000001</v>
          </cell>
          <cell r="AR165">
            <v>4.0715554207993273E-4</v>
          </cell>
          <cell r="AS165">
            <v>1.6919999999998936E-2</v>
          </cell>
          <cell r="AT165">
            <v>41.556600000000003</v>
          </cell>
          <cell r="AU165">
            <v>41.573520000000002</v>
          </cell>
          <cell r="AV165">
            <v>3.8899403937962727E-3</v>
          </cell>
          <cell r="AW165">
            <v>0.13769999999999424</v>
          </cell>
          <cell r="AX165">
            <v>35.399000000000001</v>
          </cell>
          <cell r="AY165">
            <v>35.536699999999996</v>
          </cell>
          <cell r="AZ165">
            <v>2.764832816051849E-3</v>
          </cell>
          <cell r="BA165">
            <v>2.1214285714284235E-2</v>
          </cell>
          <cell r="BB165">
            <v>7.6729000000000003</v>
          </cell>
          <cell r="BC165">
            <v>7.6941142857142841</v>
          </cell>
        </row>
        <row r="166">
          <cell r="B166">
            <v>118</v>
          </cell>
          <cell r="C166">
            <v>28</v>
          </cell>
          <cell r="D166">
            <v>3.0833229473917209E-3</v>
          </cell>
          <cell r="E166">
            <v>0.18554666666666531</v>
          </cell>
          <cell r="F166">
            <v>60.177500000000002</v>
          </cell>
          <cell r="G166">
            <v>60.363046666666669</v>
          </cell>
          <cell r="H166">
            <v>4.5210357940483796E-3</v>
          </cell>
          <cell r="I166">
            <v>0.32955999999999791</v>
          </cell>
          <cell r="J166">
            <v>72.894800000000004</v>
          </cell>
          <cell r="K166">
            <v>73.224360000000004</v>
          </cell>
          <cell r="L166">
            <v>6.2890790991317865E-3</v>
          </cell>
          <cell r="M166">
            <v>3.453333333333264E-3</v>
          </cell>
          <cell r="N166">
            <v>0.54910000000000003</v>
          </cell>
          <cell r="O166">
            <v>0.55255333333333334</v>
          </cell>
          <cell r="P166">
            <v>2.4654910985548043E-3</v>
          </cell>
          <cell r="Q166">
            <v>0.26590666666667367</v>
          </cell>
          <cell r="R166">
            <v>107.8514</v>
          </cell>
          <cell r="S166">
            <v>108.11730666666668</v>
          </cell>
          <cell r="T166">
            <v>5.6594419373291989E-3</v>
          </cell>
          <cell r="U166">
            <v>0.26712000000000086</v>
          </cell>
          <cell r="V166">
            <v>47.198999999999998</v>
          </cell>
          <cell r="W166">
            <v>47.466119999999997</v>
          </cell>
          <cell r="X166">
            <v>1.5378629643281125E-3</v>
          </cell>
          <cell r="Y166">
            <v>7.0093333333332453E-2</v>
          </cell>
          <cell r="Z166">
            <v>45.578400000000002</v>
          </cell>
          <cell r="AA166">
            <v>45.648493333333334</v>
          </cell>
          <cell r="AB166">
            <v>3.9737144855390314E-3</v>
          </cell>
          <cell r="AC166">
            <v>0.19469333333333055</v>
          </cell>
          <cell r="AD166">
            <v>48.9953</v>
          </cell>
          <cell r="AE166">
            <v>49.189993333333334</v>
          </cell>
          <cell r="AF166">
            <v>3.0653212136750501E-3</v>
          </cell>
          <cell r="AG166">
            <v>5.0213333333332361E-2</v>
          </cell>
          <cell r="AH166">
            <v>16.3811</v>
          </cell>
          <cell r="AI166">
            <v>16.431313333333332</v>
          </cell>
          <cell r="AJ166">
            <v>2.8426779032106691E-3</v>
          </cell>
          <cell r="AK166">
            <v>4.5200000000001239E-2</v>
          </cell>
          <cell r="AL166">
            <v>15.900499999999999</v>
          </cell>
          <cell r="AM166">
            <v>15.9457</v>
          </cell>
          <cell r="AN166">
            <v>4.3988845685558114E-3</v>
          </cell>
          <cell r="AO166">
            <v>3.3599999999999852E-2</v>
          </cell>
          <cell r="AP166">
            <v>7.6383000000000001</v>
          </cell>
          <cell r="AQ166">
            <v>7.6718999999999999</v>
          </cell>
          <cell r="AR166">
            <v>4.222353769717821E-4</v>
          </cell>
          <cell r="AS166">
            <v>1.7546666666665562E-2</v>
          </cell>
          <cell r="AT166">
            <v>41.556600000000003</v>
          </cell>
          <cell r="AU166">
            <v>41.574146666666671</v>
          </cell>
          <cell r="AV166">
            <v>4.0340122602331718E-3</v>
          </cell>
          <cell r="AW166">
            <v>0.14279999999999404</v>
          </cell>
          <cell r="AX166">
            <v>35.399000000000001</v>
          </cell>
          <cell r="AY166">
            <v>35.541799999999995</v>
          </cell>
          <cell r="AZ166">
            <v>2.8672340314611767E-3</v>
          </cell>
          <cell r="BA166">
            <v>2.1999999999998465E-2</v>
          </cell>
          <cell r="BB166">
            <v>7.6729000000000003</v>
          </cell>
          <cell r="BC166">
            <v>7.6948999999999987</v>
          </cell>
        </row>
        <row r="167">
          <cell r="B167">
            <v>119</v>
          </cell>
          <cell r="C167">
            <v>29</v>
          </cell>
          <cell r="D167">
            <v>3.1934416240842825E-3</v>
          </cell>
          <cell r="E167">
            <v>0.19217333333333192</v>
          </cell>
          <cell r="F167">
            <v>60.177500000000002</v>
          </cell>
          <cell r="G167">
            <v>60.369673333333331</v>
          </cell>
          <cell r="H167">
            <v>4.6825013581215363E-3</v>
          </cell>
          <cell r="I167">
            <v>0.3413299999999978</v>
          </cell>
          <cell r="J167">
            <v>72.894800000000004</v>
          </cell>
          <cell r="K167">
            <v>73.236130000000003</v>
          </cell>
          <cell r="L167">
            <v>6.5136890669579206E-3</v>
          </cell>
          <cell r="M167">
            <v>3.5766666666665948E-3</v>
          </cell>
          <cell r="N167">
            <v>0.54910000000000003</v>
          </cell>
          <cell r="O167">
            <v>0.55267666666666659</v>
          </cell>
          <cell r="P167">
            <v>2.5535443520746191E-3</v>
          </cell>
          <cell r="Q167">
            <v>0.27540333333334055</v>
          </cell>
          <cell r="R167">
            <v>107.8514</v>
          </cell>
          <cell r="S167">
            <v>108.12680333333334</v>
          </cell>
          <cell r="T167">
            <v>5.8615648636623835E-3</v>
          </cell>
          <cell r="U167">
            <v>0.27666000000000085</v>
          </cell>
          <cell r="V167">
            <v>47.198999999999998</v>
          </cell>
          <cell r="W167">
            <v>47.475659999999998</v>
          </cell>
          <cell r="X167">
            <v>1.5927866416255453E-3</v>
          </cell>
          <cell r="Y167">
            <v>7.2596666666665755E-2</v>
          </cell>
          <cell r="Z167">
            <v>45.578400000000002</v>
          </cell>
          <cell r="AA167">
            <v>45.650996666666671</v>
          </cell>
          <cell r="AB167">
            <v>4.1156328600225689E-3</v>
          </cell>
          <cell r="AC167">
            <v>0.20164666666666378</v>
          </cell>
          <cell r="AD167">
            <v>48.9953</v>
          </cell>
          <cell r="AE167">
            <v>49.196946666666662</v>
          </cell>
          <cell r="AF167">
            <v>3.1747969713063016E-3</v>
          </cell>
          <cell r="AG167">
            <v>5.200666666666566E-2</v>
          </cell>
          <cell r="AH167">
            <v>16.3811</v>
          </cell>
          <cell r="AI167">
            <v>16.433106666666667</v>
          </cell>
          <cell r="AJ167">
            <v>2.9442021140396214E-3</v>
          </cell>
          <cell r="AK167">
            <v>4.6814285714286995E-2</v>
          </cell>
          <cell r="AL167">
            <v>15.900499999999999</v>
          </cell>
          <cell r="AM167">
            <v>15.947314285714286</v>
          </cell>
          <cell r="AN167">
            <v>4.5559875888613755E-3</v>
          </cell>
          <cell r="AO167">
            <v>3.4799999999999845E-2</v>
          </cell>
          <cell r="AP167">
            <v>7.6383000000000001</v>
          </cell>
          <cell r="AQ167">
            <v>7.6730999999999998</v>
          </cell>
          <cell r="AR167">
            <v>4.3731521186363148E-4</v>
          </cell>
          <cell r="AS167">
            <v>1.8173333333332192E-2</v>
          </cell>
          <cell r="AT167">
            <v>41.556600000000003</v>
          </cell>
          <cell r="AU167">
            <v>41.574773333333333</v>
          </cell>
          <cell r="AV167">
            <v>4.1780841266700706E-3</v>
          </cell>
          <cell r="AW167">
            <v>0.14789999999999384</v>
          </cell>
          <cell r="AX167">
            <v>35.399000000000001</v>
          </cell>
          <cell r="AY167">
            <v>35.546899999999994</v>
          </cell>
          <cell r="AZ167">
            <v>2.9696352468705045E-3</v>
          </cell>
          <cell r="BA167">
            <v>2.2785714285712695E-2</v>
          </cell>
          <cell r="BB167">
            <v>7.6729000000000003</v>
          </cell>
          <cell r="BC167">
            <v>7.6956857142857134</v>
          </cell>
        </row>
        <row r="168">
          <cell r="B168">
            <v>120</v>
          </cell>
          <cell r="C168">
            <v>30</v>
          </cell>
          <cell r="D168">
            <v>3.3035603007768441E-3</v>
          </cell>
          <cell r="E168">
            <v>0.19879999999999853</v>
          </cell>
          <cell r="F168">
            <v>60.177500000000002</v>
          </cell>
          <cell r="G168">
            <v>60.376300000000001</v>
          </cell>
          <cell r="H168">
            <v>4.8439669221946929E-3</v>
          </cell>
          <cell r="I168">
            <v>0.35309999999999775</v>
          </cell>
          <cell r="J168">
            <v>72.894800000000004</v>
          </cell>
          <cell r="K168">
            <v>73.247900000000001</v>
          </cell>
          <cell r="L168">
            <v>6.7382990347840564E-3</v>
          </cell>
          <cell r="M168">
            <v>3.6999999999999256E-3</v>
          </cell>
          <cell r="N168">
            <v>0.54910000000000003</v>
          </cell>
          <cell r="O168">
            <v>0.55279999999999996</v>
          </cell>
          <cell r="P168">
            <v>2.6415976055944334E-3</v>
          </cell>
          <cell r="Q168">
            <v>0.28490000000000748</v>
          </cell>
          <cell r="R168">
            <v>107.8514</v>
          </cell>
          <cell r="S168">
            <v>108.13630000000001</v>
          </cell>
          <cell r="T168">
            <v>6.0636877899955697E-3</v>
          </cell>
          <cell r="U168">
            <v>0.2862000000000009</v>
          </cell>
          <cell r="V168">
            <v>47.198999999999998</v>
          </cell>
          <cell r="W168">
            <v>47.485199999999999</v>
          </cell>
          <cell r="X168">
            <v>1.6477103189229778E-3</v>
          </cell>
          <cell r="Y168">
            <v>7.5099999999999056E-2</v>
          </cell>
          <cell r="Z168">
            <v>45.578400000000002</v>
          </cell>
          <cell r="AA168">
            <v>45.653500000000001</v>
          </cell>
          <cell r="AB168">
            <v>4.2575512345061056E-3</v>
          </cell>
          <cell r="AC168">
            <v>0.20859999999999701</v>
          </cell>
          <cell r="AD168">
            <v>48.9953</v>
          </cell>
          <cell r="AE168">
            <v>49.203899999999997</v>
          </cell>
          <cell r="AF168">
            <v>3.2842727289375535E-3</v>
          </cell>
          <cell r="AG168">
            <v>5.379999999999896E-2</v>
          </cell>
          <cell r="AH168">
            <v>16.3811</v>
          </cell>
          <cell r="AI168">
            <v>16.434899999999999</v>
          </cell>
          <cell r="AJ168">
            <v>3.0457263248685742E-3</v>
          </cell>
          <cell r="AK168">
            <v>4.8428571428572757E-2</v>
          </cell>
          <cell r="AL168">
            <v>15.900499999999999</v>
          </cell>
          <cell r="AM168">
            <v>15.948928571428572</v>
          </cell>
          <cell r="AN168">
            <v>4.7130906091669414E-3</v>
          </cell>
          <cell r="AO168">
            <v>3.5999999999999845E-2</v>
          </cell>
          <cell r="AP168">
            <v>7.6383000000000001</v>
          </cell>
          <cell r="AQ168">
            <v>7.6742999999999997</v>
          </cell>
          <cell r="AR168">
            <v>4.5239504675548086E-4</v>
          </cell>
          <cell r="AS168">
            <v>1.8799999999998818E-2</v>
          </cell>
          <cell r="AT168">
            <v>41.556600000000003</v>
          </cell>
          <cell r="AU168">
            <v>41.575400000000002</v>
          </cell>
          <cell r="AV168">
            <v>4.3221559931069702E-3</v>
          </cell>
          <cell r="AW168">
            <v>0.15299999999999361</v>
          </cell>
          <cell r="AX168">
            <v>35.399000000000001</v>
          </cell>
          <cell r="AY168">
            <v>35.551999999999992</v>
          </cell>
          <cell r="AZ168">
            <v>3.0720364622798322E-3</v>
          </cell>
          <cell r="BA168">
            <v>2.3571428571426929E-2</v>
          </cell>
          <cell r="BB168">
            <v>7.6729000000000003</v>
          </cell>
          <cell r="BC168">
            <v>7.6964714285714271</v>
          </cell>
        </row>
        <row r="169">
          <cell r="B169">
            <v>121</v>
          </cell>
          <cell r="C169">
            <v>1</v>
          </cell>
          <cell r="D169">
            <v>1.1936250924065713E-4</v>
          </cell>
          <cell r="E169">
            <v>7.2066666666666867E-3</v>
          </cell>
          <cell r="F169">
            <v>60.376300000000001</v>
          </cell>
          <cell r="G169">
            <v>60.383506666666669</v>
          </cell>
          <cell r="H169">
            <v>1.6541998701214274E-4</v>
          </cell>
          <cell r="I169">
            <v>1.211666666666673E-2</v>
          </cell>
          <cell r="J169">
            <v>73.247900000000001</v>
          </cell>
          <cell r="K169">
            <v>73.260016666666672</v>
          </cell>
          <cell r="L169">
            <v>2.1707670043415631E-4</v>
          </cell>
          <cell r="M169">
            <v>1.2000000000000159E-4</v>
          </cell>
          <cell r="N169">
            <v>0.55279999999999996</v>
          </cell>
          <cell r="O169">
            <v>0.55291999999999997</v>
          </cell>
          <cell r="P169">
            <v>1.0351134016359966E-4</v>
          </cell>
          <cell r="Q169">
            <v>1.1193333333333062E-2</v>
          </cell>
          <cell r="R169">
            <v>108.13630000000001</v>
          </cell>
          <cell r="S169">
            <v>108.14749333333334</v>
          </cell>
          <cell r="T169">
            <v>2.0034312445421784E-4</v>
          </cell>
          <cell r="U169">
            <v>9.5133333333334257E-3</v>
          </cell>
          <cell r="V169">
            <v>47.485199999999999</v>
          </cell>
          <cell r="W169">
            <v>47.49471333333333</v>
          </cell>
          <cell r="X169">
            <v>7.5131150952280565E-5</v>
          </cell>
          <cell r="Y169">
            <v>3.4299999999999405E-3</v>
          </cell>
          <cell r="Z169">
            <v>45.653500000000001</v>
          </cell>
          <cell r="AA169">
            <v>45.656930000000003</v>
          </cell>
          <cell r="AB169">
            <v>1.4680408124830417E-4</v>
          </cell>
          <cell r="AC169">
            <v>7.2233333333334331E-3</v>
          </cell>
          <cell r="AD169">
            <v>49.203899999999997</v>
          </cell>
          <cell r="AE169">
            <v>49.211123333333333</v>
          </cell>
          <cell r="AF169">
            <v>1.1783866446809249E-4</v>
          </cell>
          <cell r="AG169">
            <v>1.9366666666666532E-3</v>
          </cell>
          <cell r="AH169">
            <v>16.434899999999999</v>
          </cell>
          <cell r="AI169">
            <v>16.436836666666665</v>
          </cell>
          <cell r="AJ169">
            <v>1.0152421082895247E-4</v>
          </cell>
          <cell r="AK169">
            <v>1.6142857142857586E-3</v>
          </cell>
          <cell r="AL169">
            <v>15.900499999999999</v>
          </cell>
          <cell r="AM169">
            <v>15.902114285714285</v>
          </cell>
          <cell r="AN169">
            <v>1.571030203055647E-4</v>
          </cell>
          <cell r="AO169">
            <v>1.1999999999999947E-3</v>
          </cell>
          <cell r="AP169">
            <v>7.6383000000000001</v>
          </cell>
          <cell r="AQ169">
            <v>7.6395</v>
          </cell>
          <cell r="AR169">
            <v>4.1691320668792604E-5</v>
          </cell>
          <cell r="AS169">
            <v>1.73333333333332E-3</v>
          </cell>
          <cell r="AT169">
            <v>41.575400000000002</v>
          </cell>
          <cell r="AU169">
            <v>41.577133333333336</v>
          </cell>
          <cell r="AV169">
            <v>1.4407186643689899E-4</v>
          </cell>
          <cell r="AW169">
            <v>5.099999999999787E-3</v>
          </cell>
          <cell r="AX169">
            <v>35.399000000000001</v>
          </cell>
          <cell r="AY169">
            <v>35.4041</v>
          </cell>
          <cell r="AZ169">
            <v>1.0240121540932774E-4</v>
          </cell>
          <cell r="BA169">
            <v>7.8571428571423089E-4</v>
          </cell>
          <cell r="BB169">
            <v>7.6729000000000003</v>
          </cell>
          <cell r="BC169">
            <v>7.6736857142857149</v>
          </cell>
        </row>
        <row r="170">
          <cell r="B170">
            <v>122</v>
          </cell>
          <cell r="C170">
            <v>2</v>
          </cell>
          <cell r="D170">
            <v>2.3872501848131426E-4</v>
          </cell>
          <cell r="E170">
            <v>1.4413333333333373E-2</v>
          </cell>
          <cell r="F170">
            <v>60.376300000000001</v>
          </cell>
          <cell r="G170">
            <v>60.390713333333331</v>
          </cell>
          <cell r="H170">
            <v>3.3083997402428547E-4</v>
          </cell>
          <cell r="I170">
            <v>2.4233333333333461E-2</v>
          </cell>
          <cell r="J170">
            <v>73.247900000000001</v>
          </cell>
          <cell r="K170">
            <v>73.272133333333329</v>
          </cell>
          <cell r="L170">
            <v>4.3415340086831261E-4</v>
          </cell>
          <cell r="M170">
            <v>2.4000000000000318E-4</v>
          </cell>
          <cell r="N170">
            <v>0.55279999999999996</v>
          </cell>
          <cell r="O170">
            <v>0.55303999999999998</v>
          </cell>
          <cell r="P170">
            <v>2.0702268032719932E-4</v>
          </cell>
          <cell r="Q170">
            <v>2.2386666666666125E-2</v>
          </cell>
          <cell r="R170">
            <v>108.13630000000001</v>
          </cell>
          <cell r="S170">
            <v>108.15868666666667</v>
          </cell>
          <cell r="T170">
            <v>4.0068624890843567E-4</v>
          </cell>
          <cell r="U170">
            <v>1.9026666666666851E-2</v>
          </cell>
          <cell r="V170">
            <v>47.485199999999999</v>
          </cell>
          <cell r="W170">
            <v>47.504226666666668</v>
          </cell>
          <cell r="X170">
            <v>1.5026230190456113E-4</v>
          </cell>
          <cell r="Y170">
            <v>6.8599999999998809E-3</v>
          </cell>
          <cell r="Z170">
            <v>45.653500000000001</v>
          </cell>
          <cell r="AA170">
            <v>45.660360000000004</v>
          </cell>
          <cell r="AB170">
            <v>2.9360816249660834E-4</v>
          </cell>
          <cell r="AC170">
            <v>1.4446666666666866E-2</v>
          </cell>
          <cell r="AD170">
            <v>49.203899999999997</v>
          </cell>
          <cell r="AE170">
            <v>49.218346666666662</v>
          </cell>
          <cell r="AF170">
            <v>2.3567732893618499E-4</v>
          </cell>
          <cell r="AG170">
            <v>3.8733333333333063E-3</v>
          </cell>
          <cell r="AH170">
            <v>16.434899999999999</v>
          </cell>
          <cell r="AI170">
            <v>16.438773333333334</v>
          </cell>
          <cell r="AJ170">
            <v>2.0304842165790493E-4</v>
          </cell>
          <cell r="AK170">
            <v>3.2285714285715172E-3</v>
          </cell>
          <cell r="AL170">
            <v>15.900499999999999</v>
          </cell>
          <cell r="AM170">
            <v>15.903728571428571</v>
          </cell>
          <cell r="AN170">
            <v>3.142060406111294E-4</v>
          </cell>
          <cell r="AO170">
            <v>2.3999999999999894E-3</v>
          </cell>
          <cell r="AP170">
            <v>7.6383000000000001</v>
          </cell>
          <cell r="AQ170">
            <v>7.6406999999999998</v>
          </cell>
          <cell r="AR170">
            <v>8.3382641337585207E-5</v>
          </cell>
          <cell r="AS170">
            <v>3.4666666666666401E-3</v>
          </cell>
          <cell r="AT170">
            <v>41.575400000000002</v>
          </cell>
          <cell r="AU170">
            <v>41.57886666666667</v>
          </cell>
          <cell r="AV170">
            <v>2.8814373287379798E-4</v>
          </cell>
          <cell r="AW170">
            <v>1.0199999999999574E-2</v>
          </cell>
          <cell r="AX170">
            <v>35.399000000000001</v>
          </cell>
          <cell r="AY170">
            <v>35.409199999999998</v>
          </cell>
          <cell r="AZ170">
            <v>2.0480243081865548E-4</v>
          </cell>
          <cell r="BA170">
            <v>1.5714285714284618E-3</v>
          </cell>
          <cell r="BB170">
            <v>7.6729000000000003</v>
          </cell>
          <cell r="BC170">
            <v>7.6744714285714286</v>
          </cell>
        </row>
        <row r="171">
          <cell r="B171">
            <v>123</v>
          </cell>
          <cell r="C171">
            <v>3</v>
          </cell>
          <cell r="D171">
            <v>3.5808752772197142E-4</v>
          </cell>
          <cell r="E171">
            <v>2.1620000000000063E-2</v>
          </cell>
          <cell r="F171">
            <v>60.376300000000001</v>
          </cell>
          <cell r="G171">
            <v>60.397919999999999</v>
          </cell>
          <cell r="H171">
            <v>4.9625996103642826E-4</v>
          </cell>
          <cell r="I171">
            <v>3.6350000000000195E-2</v>
          </cell>
          <cell r="J171">
            <v>73.247900000000001</v>
          </cell>
          <cell r="K171">
            <v>73.28425</v>
          </cell>
          <cell r="L171">
            <v>6.5123010130246884E-4</v>
          </cell>
          <cell r="M171">
            <v>3.6000000000000474E-4</v>
          </cell>
          <cell r="N171">
            <v>0.55279999999999996</v>
          </cell>
          <cell r="O171">
            <v>0.55315999999999999</v>
          </cell>
          <cell r="P171">
            <v>3.1053402049079895E-4</v>
          </cell>
          <cell r="Q171">
            <v>3.3579999999999187E-2</v>
          </cell>
          <cell r="R171">
            <v>108.13630000000001</v>
          </cell>
          <cell r="S171">
            <v>108.16988000000001</v>
          </cell>
          <cell r="T171">
            <v>6.0102937336265351E-4</v>
          </cell>
          <cell r="U171">
            <v>2.8540000000000277E-2</v>
          </cell>
          <cell r="V171">
            <v>47.485199999999999</v>
          </cell>
          <cell r="W171">
            <v>47.513739999999999</v>
          </cell>
          <cell r="X171">
            <v>2.2539345285684168E-4</v>
          </cell>
          <cell r="Y171">
            <v>1.0289999999999822E-2</v>
          </cell>
          <cell r="Z171">
            <v>45.653500000000001</v>
          </cell>
          <cell r="AA171">
            <v>45.663789999999999</v>
          </cell>
          <cell r="AB171">
            <v>4.4041224374491254E-4</v>
          </cell>
          <cell r="AC171">
            <v>2.16700000000003E-2</v>
          </cell>
          <cell r="AD171">
            <v>49.203899999999997</v>
          </cell>
          <cell r="AE171">
            <v>49.225569999999998</v>
          </cell>
          <cell r="AF171">
            <v>3.535159934042775E-4</v>
          </cell>
          <cell r="AG171">
            <v>5.8099999999999593E-3</v>
          </cell>
          <cell r="AH171">
            <v>16.434899999999999</v>
          </cell>
          <cell r="AI171">
            <v>16.440709999999999</v>
          </cell>
          <cell r="AJ171">
            <v>3.045726324868574E-4</v>
          </cell>
          <cell r="AK171">
            <v>4.8428571428572754E-3</v>
          </cell>
          <cell r="AL171">
            <v>15.900499999999999</v>
          </cell>
          <cell r="AM171">
            <v>15.905342857142857</v>
          </cell>
          <cell r="AN171">
            <v>4.7130906091669405E-4</v>
          </cell>
          <cell r="AO171">
            <v>3.5999999999999843E-3</v>
          </cell>
          <cell r="AP171">
            <v>7.6383000000000001</v>
          </cell>
          <cell r="AQ171">
            <v>7.6418999999999997</v>
          </cell>
          <cell r="AR171">
            <v>1.2507396200637781E-4</v>
          </cell>
          <cell r="AS171">
            <v>5.1999999999999599E-3</v>
          </cell>
          <cell r="AT171">
            <v>41.575400000000002</v>
          </cell>
          <cell r="AU171">
            <v>41.580600000000004</v>
          </cell>
          <cell r="AV171">
            <v>4.32215599310697E-4</v>
          </cell>
          <cell r="AW171">
            <v>1.5299999999999361E-2</v>
          </cell>
          <cell r="AX171">
            <v>35.399000000000001</v>
          </cell>
          <cell r="AY171">
            <v>35.414299999999997</v>
          </cell>
          <cell r="AZ171">
            <v>3.0720364622798321E-4</v>
          </cell>
          <cell r="BA171">
            <v>2.3571428571426928E-3</v>
          </cell>
          <cell r="BB171">
            <v>7.6729000000000003</v>
          </cell>
          <cell r="BC171">
            <v>7.6752571428571432</v>
          </cell>
        </row>
        <row r="172">
          <cell r="B172">
            <v>124</v>
          </cell>
          <cell r="C172">
            <v>4</v>
          </cell>
          <cell r="D172">
            <v>4.7745003696262852E-4</v>
          </cell>
          <cell r="E172">
            <v>2.8826666666666747E-2</v>
          </cell>
          <cell r="F172">
            <v>60.376300000000001</v>
          </cell>
          <cell r="G172">
            <v>60.405126666666668</v>
          </cell>
          <cell r="H172">
            <v>6.6167994804857094E-4</v>
          </cell>
          <cell r="I172">
            <v>4.8466666666666922E-2</v>
          </cell>
          <cell r="J172">
            <v>73.247900000000001</v>
          </cell>
          <cell r="K172">
            <v>73.296366666666671</v>
          </cell>
          <cell r="L172">
            <v>8.6830680173662523E-4</v>
          </cell>
          <cell r="M172">
            <v>4.8000000000000635E-4</v>
          </cell>
          <cell r="N172">
            <v>0.55279999999999996</v>
          </cell>
          <cell r="O172">
            <v>0.55327999999999999</v>
          </cell>
          <cell r="P172">
            <v>4.1404536065439864E-4</v>
          </cell>
          <cell r="Q172">
            <v>4.4773333333332249E-2</v>
          </cell>
          <cell r="R172">
            <v>108.13630000000001</v>
          </cell>
          <cell r="S172">
            <v>108.18107333333334</v>
          </cell>
          <cell r="T172">
            <v>8.0137249781687134E-4</v>
          </cell>
          <cell r="U172">
            <v>3.8053333333333703E-2</v>
          </cell>
          <cell r="V172">
            <v>47.485199999999999</v>
          </cell>
          <cell r="W172">
            <v>47.523253333333329</v>
          </cell>
          <cell r="X172">
            <v>3.0052460380912226E-4</v>
          </cell>
          <cell r="Y172">
            <v>1.3719999999999762E-2</v>
          </cell>
          <cell r="Z172">
            <v>45.653500000000001</v>
          </cell>
          <cell r="AA172">
            <v>45.66722</v>
          </cell>
          <cell r="AB172">
            <v>5.8721632499321669E-4</v>
          </cell>
          <cell r="AC172">
            <v>2.8893333333333732E-2</v>
          </cell>
          <cell r="AD172">
            <v>49.203899999999997</v>
          </cell>
          <cell r="AE172">
            <v>49.232793333333333</v>
          </cell>
          <cell r="AF172">
            <v>4.7135465787236997E-4</v>
          </cell>
          <cell r="AG172">
            <v>7.7466666666666127E-3</v>
          </cell>
          <cell r="AH172">
            <v>16.434899999999999</v>
          </cell>
          <cell r="AI172">
            <v>16.442646666666665</v>
          </cell>
          <cell r="AJ172">
            <v>4.0609684331580987E-4</v>
          </cell>
          <cell r="AK172">
            <v>6.4571428571430344E-3</v>
          </cell>
          <cell r="AL172">
            <v>15.900499999999999</v>
          </cell>
          <cell r="AM172">
            <v>15.906957142857141</v>
          </cell>
          <cell r="AN172">
            <v>6.284120812222588E-4</v>
          </cell>
          <cell r="AO172">
            <v>4.7999999999999788E-3</v>
          </cell>
          <cell r="AP172">
            <v>7.6383000000000001</v>
          </cell>
          <cell r="AQ172">
            <v>7.6431000000000004</v>
          </cell>
          <cell r="AR172">
            <v>1.6676528267517041E-4</v>
          </cell>
          <cell r="AS172">
            <v>6.9333333333332801E-3</v>
          </cell>
          <cell r="AT172">
            <v>41.575400000000002</v>
          </cell>
          <cell r="AU172">
            <v>41.582333333333338</v>
          </cell>
          <cell r="AV172">
            <v>5.7628746574759596E-4</v>
          </cell>
          <cell r="AW172">
            <v>2.0399999999999148E-2</v>
          </cell>
          <cell r="AX172">
            <v>35.399000000000001</v>
          </cell>
          <cell r="AY172">
            <v>35.419400000000003</v>
          </cell>
          <cell r="AZ172">
            <v>4.0960486163731097E-4</v>
          </cell>
          <cell r="BA172">
            <v>3.1428571428569235E-3</v>
          </cell>
          <cell r="BB172">
            <v>7.6729000000000003</v>
          </cell>
          <cell r="BC172">
            <v>7.6760428571428569</v>
          </cell>
        </row>
        <row r="173">
          <cell r="B173">
            <v>125</v>
          </cell>
          <cell r="C173">
            <v>5</v>
          </cell>
          <cell r="D173">
            <v>5.9681254620328568E-4</v>
          </cell>
          <cell r="E173">
            <v>3.6033333333333438E-2</v>
          </cell>
          <cell r="F173">
            <v>60.376300000000001</v>
          </cell>
          <cell r="G173">
            <v>60.412333333333336</v>
          </cell>
          <cell r="H173">
            <v>8.2709993506071373E-4</v>
          </cell>
          <cell r="I173">
            <v>6.0583333333333655E-2</v>
          </cell>
          <cell r="J173">
            <v>73.247900000000001</v>
          </cell>
          <cell r="K173">
            <v>73.308483333333328</v>
          </cell>
          <cell r="L173">
            <v>1.0853835021707816E-3</v>
          </cell>
          <cell r="M173">
            <v>6.0000000000000797E-4</v>
          </cell>
          <cell r="N173">
            <v>0.55279999999999996</v>
          </cell>
          <cell r="O173">
            <v>0.5534</v>
          </cell>
          <cell r="P173">
            <v>5.1755670081799832E-4</v>
          </cell>
          <cell r="Q173">
            <v>5.5966666666665311E-2</v>
          </cell>
          <cell r="R173">
            <v>108.13630000000001</v>
          </cell>
          <cell r="S173">
            <v>108.19226666666667</v>
          </cell>
          <cell r="T173">
            <v>1.0017156222710893E-3</v>
          </cell>
          <cell r="U173">
            <v>4.7566666666667125E-2</v>
          </cell>
          <cell r="V173">
            <v>47.485199999999999</v>
          </cell>
          <cell r="W173">
            <v>47.532766666666667</v>
          </cell>
          <cell r="X173">
            <v>3.7565575476140281E-4</v>
          </cell>
          <cell r="Y173">
            <v>1.7149999999999704E-2</v>
          </cell>
          <cell r="Z173">
            <v>45.653500000000001</v>
          </cell>
          <cell r="AA173">
            <v>45.670650000000002</v>
          </cell>
          <cell r="AB173">
            <v>7.3402040624152094E-4</v>
          </cell>
          <cell r="AC173">
            <v>3.6116666666667165E-2</v>
          </cell>
          <cell r="AD173">
            <v>49.203899999999997</v>
          </cell>
          <cell r="AE173">
            <v>49.240016666666662</v>
          </cell>
          <cell r="AF173">
            <v>5.891933223404626E-4</v>
          </cell>
          <cell r="AG173">
            <v>9.6833333333332661E-3</v>
          </cell>
          <cell r="AH173">
            <v>16.434899999999999</v>
          </cell>
          <cell r="AI173">
            <v>16.444583333333334</v>
          </cell>
          <cell r="AJ173">
            <v>5.0762105414476233E-4</v>
          </cell>
          <cell r="AK173">
            <v>8.0714285714287935E-3</v>
          </cell>
          <cell r="AL173">
            <v>15.900499999999999</v>
          </cell>
          <cell r="AM173">
            <v>15.908571428571427</v>
          </cell>
          <cell r="AN173">
            <v>7.8551510152782345E-4</v>
          </cell>
          <cell r="AO173">
            <v>5.9999999999999732E-3</v>
          </cell>
          <cell r="AP173">
            <v>7.6383000000000001</v>
          </cell>
          <cell r="AQ173">
            <v>7.6443000000000003</v>
          </cell>
          <cell r="AR173">
            <v>2.0845660334396302E-4</v>
          </cell>
          <cell r="AS173">
            <v>8.6666666666666003E-3</v>
          </cell>
          <cell r="AT173">
            <v>41.575400000000002</v>
          </cell>
          <cell r="AU173">
            <v>41.584066666666672</v>
          </cell>
          <cell r="AV173">
            <v>7.2035933218449492E-4</v>
          </cell>
          <cell r="AW173">
            <v>2.5499999999998937E-2</v>
          </cell>
          <cell r="AX173">
            <v>35.399000000000001</v>
          </cell>
          <cell r="AY173">
            <v>35.424500000000002</v>
          </cell>
          <cell r="AZ173">
            <v>5.1200607704663867E-4</v>
          </cell>
          <cell r="BA173">
            <v>3.9285714285711548E-3</v>
          </cell>
          <cell r="BB173">
            <v>7.6729000000000003</v>
          </cell>
          <cell r="BC173">
            <v>7.6768285714285716</v>
          </cell>
        </row>
        <row r="174">
          <cell r="B174">
            <v>126</v>
          </cell>
          <cell r="C174">
            <v>6</v>
          </cell>
          <cell r="D174">
            <v>7.1617505544394283E-4</v>
          </cell>
          <cell r="E174">
            <v>4.3240000000000126E-2</v>
          </cell>
          <cell r="F174">
            <v>60.376300000000001</v>
          </cell>
          <cell r="G174">
            <v>60.419539999999998</v>
          </cell>
          <cell r="H174">
            <v>9.9251992207285652E-4</v>
          </cell>
          <cell r="I174">
            <v>7.2700000000000389E-2</v>
          </cell>
          <cell r="J174">
            <v>73.247900000000001</v>
          </cell>
          <cell r="K174">
            <v>73.320599999999999</v>
          </cell>
          <cell r="L174">
            <v>1.3024602026049377E-3</v>
          </cell>
          <cell r="M174">
            <v>7.2000000000000948E-4</v>
          </cell>
          <cell r="N174">
            <v>0.55279999999999996</v>
          </cell>
          <cell r="O174">
            <v>0.55352000000000001</v>
          </cell>
          <cell r="P174">
            <v>6.210680409815979E-4</v>
          </cell>
          <cell r="Q174">
            <v>6.7159999999998374E-2</v>
          </cell>
          <cell r="R174">
            <v>108.13630000000001</v>
          </cell>
          <cell r="S174">
            <v>108.20346000000001</v>
          </cell>
          <cell r="T174">
            <v>1.202058746725307E-3</v>
          </cell>
          <cell r="U174">
            <v>5.7080000000000554E-2</v>
          </cell>
          <cell r="V174">
            <v>47.485199999999999</v>
          </cell>
          <cell r="W174">
            <v>47.542279999999998</v>
          </cell>
          <cell r="X174">
            <v>4.5078690571368336E-4</v>
          </cell>
          <cell r="Y174">
            <v>2.0579999999999644E-2</v>
          </cell>
          <cell r="Z174">
            <v>45.653500000000001</v>
          </cell>
          <cell r="AA174">
            <v>45.674080000000004</v>
          </cell>
          <cell r="AB174">
            <v>8.8082448748982509E-4</v>
          </cell>
          <cell r="AC174">
            <v>4.33400000000006E-2</v>
          </cell>
          <cell r="AD174">
            <v>49.203899999999997</v>
          </cell>
          <cell r="AE174">
            <v>49.247239999999998</v>
          </cell>
          <cell r="AF174">
            <v>7.0703198680855501E-4</v>
          </cell>
          <cell r="AG174">
            <v>1.1619999999999919E-2</v>
          </cell>
          <cell r="AH174">
            <v>16.434899999999999</v>
          </cell>
          <cell r="AI174">
            <v>16.44652</v>
          </cell>
          <cell r="AJ174">
            <v>6.091452649737148E-4</v>
          </cell>
          <cell r="AK174">
            <v>9.6857142857145508E-3</v>
          </cell>
          <cell r="AL174">
            <v>15.900499999999999</v>
          </cell>
          <cell r="AM174">
            <v>15.910185714285713</v>
          </cell>
          <cell r="AN174">
            <v>9.426181218333881E-4</v>
          </cell>
          <cell r="AO174">
            <v>7.1999999999999686E-3</v>
          </cell>
          <cell r="AP174">
            <v>7.6383000000000001</v>
          </cell>
          <cell r="AQ174">
            <v>7.6455000000000002</v>
          </cell>
          <cell r="AR174">
            <v>2.5014792401275562E-4</v>
          </cell>
          <cell r="AS174">
            <v>1.039999999999992E-2</v>
          </cell>
          <cell r="AT174">
            <v>41.575400000000002</v>
          </cell>
          <cell r="AU174">
            <v>41.585799999999999</v>
          </cell>
          <cell r="AV174">
            <v>8.6443119862139399E-4</v>
          </cell>
          <cell r="AW174">
            <v>3.0599999999998722E-2</v>
          </cell>
          <cell r="AX174">
            <v>35.399000000000001</v>
          </cell>
          <cell r="AY174">
            <v>35.429600000000001</v>
          </cell>
          <cell r="AZ174">
            <v>6.1440729245596643E-4</v>
          </cell>
          <cell r="BA174">
            <v>4.7142857142853855E-3</v>
          </cell>
          <cell r="BB174">
            <v>7.6729000000000003</v>
          </cell>
          <cell r="BC174">
            <v>7.6776142857142853</v>
          </cell>
        </row>
        <row r="175">
          <cell r="B175">
            <v>127</v>
          </cell>
          <cell r="C175">
            <v>7</v>
          </cell>
          <cell r="D175">
            <v>8.3553756468459999E-4</v>
          </cell>
          <cell r="E175">
            <v>5.0446666666666813E-2</v>
          </cell>
          <cell r="F175">
            <v>60.376300000000001</v>
          </cell>
          <cell r="G175">
            <v>60.426746666666666</v>
          </cell>
          <cell r="H175">
            <v>1.1579399090849991E-3</v>
          </cell>
          <cell r="I175">
            <v>8.4816666666667123E-2</v>
          </cell>
          <cell r="J175">
            <v>73.247900000000001</v>
          </cell>
          <cell r="K175">
            <v>73.33271666666667</v>
          </cell>
          <cell r="L175">
            <v>1.519536903039094E-3</v>
          </cell>
          <cell r="M175">
            <v>8.4000000000001109E-4</v>
          </cell>
          <cell r="N175">
            <v>0.55279999999999996</v>
          </cell>
          <cell r="O175">
            <v>0.55364000000000002</v>
          </cell>
          <cell r="P175">
            <v>7.2457938114519759E-4</v>
          </cell>
          <cell r="Q175">
            <v>7.8353333333331443E-2</v>
          </cell>
          <cell r="R175">
            <v>108.13630000000001</v>
          </cell>
          <cell r="S175">
            <v>108.21465333333333</v>
          </cell>
          <cell r="T175">
            <v>1.402401871179525E-3</v>
          </cell>
          <cell r="U175">
            <v>6.6593333333333976E-2</v>
          </cell>
          <cell r="V175">
            <v>47.485199999999999</v>
          </cell>
          <cell r="W175">
            <v>47.551793333333336</v>
          </cell>
          <cell r="X175">
            <v>5.2591805666596392E-4</v>
          </cell>
          <cell r="Y175">
            <v>2.4009999999999584E-2</v>
          </cell>
          <cell r="Z175">
            <v>45.653500000000001</v>
          </cell>
          <cell r="AA175">
            <v>45.677509999999998</v>
          </cell>
          <cell r="AB175">
            <v>1.0276285687381293E-3</v>
          </cell>
          <cell r="AC175">
            <v>5.0563333333334036E-2</v>
          </cell>
          <cell r="AD175">
            <v>49.203899999999997</v>
          </cell>
          <cell r="AE175">
            <v>49.254463333333334</v>
          </cell>
          <cell r="AF175">
            <v>8.2487065127664742E-4</v>
          </cell>
          <cell r="AG175">
            <v>1.3556666666666573E-2</v>
          </cell>
          <cell r="AH175">
            <v>16.434899999999999</v>
          </cell>
          <cell r="AI175">
            <v>16.448456666666665</v>
          </cell>
          <cell r="AJ175">
            <v>7.1066947580266727E-4</v>
          </cell>
          <cell r="AK175">
            <v>1.130000000000031E-2</v>
          </cell>
          <cell r="AL175">
            <v>15.900499999999999</v>
          </cell>
          <cell r="AM175">
            <v>15.911799999999999</v>
          </cell>
          <cell r="AN175">
            <v>1.0997211421389529E-3</v>
          </cell>
          <cell r="AO175">
            <v>8.3999999999999631E-3</v>
          </cell>
          <cell r="AP175">
            <v>7.6383000000000001</v>
          </cell>
          <cell r="AQ175">
            <v>7.6467000000000001</v>
          </cell>
          <cell r="AR175">
            <v>2.918392446815482E-4</v>
          </cell>
          <cell r="AS175">
            <v>1.2133333333333241E-2</v>
          </cell>
          <cell r="AT175">
            <v>41.575400000000002</v>
          </cell>
          <cell r="AU175">
            <v>41.587533333333333</v>
          </cell>
          <cell r="AV175">
            <v>1.008503065058293E-3</v>
          </cell>
          <cell r="AW175">
            <v>3.5699999999998511E-2</v>
          </cell>
          <cell r="AX175">
            <v>35.399000000000001</v>
          </cell>
          <cell r="AY175">
            <v>35.434699999999999</v>
          </cell>
          <cell r="AZ175">
            <v>7.1680850786529418E-4</v>
          </cell>
          <cell r="BA175">
            <v>5.4999999999996163E-3</v>
          </cell>
          <cell r="BB175">
            <v>7.6729000000000003</v>
          </cell>
          <cell r="BC175">
            <v>7.6783999999999999</v>
          </cell>
        </row>
        <row r="176">
          <cell r="B176">
            <v>128</v>
          </cell>
          <cell r="C176">
            <v>8</v>
          </cell>
          <cell r="D176">
            <v>9.5490007392525704E-4</v>
          </cell>
          <cell r="E176">
            <v>5.7653333333333494E-2</v>
          </cell>
          <cell r="F176">
            <v>60.376300000000001</v>
          </cell>
          <cell r="G176">
            <v>60.433953333333335</v>
          </cell>
          <cell r="H176">
            <v>1.3233598960971419E-3</v>
          </cell>
          <cell r="I176">
            <v>9.6933333333333843E-2</v>
          </cell>
          <cell r="J176">
            <v>73.247900000000001</v>
          </cell>
          <cell r="K176">
            <v>73.344833333333341</v>
          </cell>
          <cell r="L176">
            <v>1.7366136034732505E-3</v>
          </cell>
          <cell r="M176">
            <v>9.6000000000001271E-4</v>
          </cell>
          <cell r="N176">
            <v>0.55279999999999996</v>
          </cell>
          <cell r="O176">
            <v>0.55375999999999992</v>
          </cell>
          <cell r="P176">
            <v>8.2809072130879727E-4</v>
          </cell>
          <cell r="Q176">
            <v>8.9546666666664498E-2</v>
          </cell>
          <cell r="R176">
            <v>108.13630000000001</v>
          </cell>
          <cell r="S176">
            <v>108.22584666666667</v>
          </cell>
          <cell r="T176">
            <v>1.6027449956337427E-3</v>
          </cell>
          <cell r="U176">
            <v>7.6106666666667405E-2</v>
          </cell>
          <cell r="V176">
            <v>47.485199999999999</v>
          </cell>
          <cell r="W176">
            <v>47.561306666666667</v>
          </cell>
          <cell r="X176">
            <v>6.0104920761824452E-4</v>
          </cell>
          <cell r="Y176">
            <v>2.7439999999999524E-2</v>
          </cell>
          <cell r="Z176">
            <v>45.653500000000001</v>
          </cell>
          <cell r="AA176">
            <v>45.68094</v>
          </cell>
          <cell r="AB176">
            <v>1.1744326499864334E-3</v>
          </cell>
          <cell r="AC176">
            <v>5.7786666666667465E-2</v>
          </cell>
          <cell r="AD176">
            <v>49.203899999999997</v>
          </cell>
          <cell r="AE176">
            <v>49.261686666666662</v>
          </cell>
          <cell r="AF176">
            <v>9.4270931574473994E-4</v>
          </cell>
          <cell r="AG176">
            <v>1.5493333333333225E-2</v>
          </cell>
          <cell r="AH176">
            <v>16.434899999999999</v>
          </cell>
          <cell r="AI176">
            <v>16.450393333333331</v>
          </cell>
          <cell r="AJ176">
            <v>8.1219368663161973E-4</v>
          </cell>
          <cell r="AK176">
            <v>1.2914285714286069E-2</v>
          </cell>
          <cell r="AL176">
            <v>15.900499999999999</v>
          </cell>
          <cell r="AM176">
            <v>15.913414285714286</v>
          </cell>
          <cell r="AN176">
            <v>1.2568241624445176E-3</v>
          </cell>
          <cell r="AO176">
            <v>9.5999999999999575E-3</v>
          </cell>
          <cell r="AP176">
            <v>7.6383000000000001</v>
          </cell>
          <cell r="AQ176">
            <v>7.6478999999999999</v>
          </cell>
          <cell r="AR176">
            <v>3.3353056535034083E-4</v>
          </cell>
          <cell r="AS176">
            <v>1.386666666666656E-2</v>
          </cell>
          <cell r="AT176">
            <v>41.575400000000002</v>
          </cell>
          <cell r="AU176">
            <v>41.589266666666667</v>
          </cell>
          <cell r="AV176">
            <v>1.1525749314951919E-3</v>
          </cell>
          <cell r="AW176">
            <v>4.0799999999998296E-2</v>
          </cell>
          <cell r="AX176">
            <v>35.399000000000001</v>
          </cell>
          <cell r="AY176">
            <v>35.439799999999998</v>
          </cell>
          <cell r="AZ176">
            <v>8.1920972327462194E-4</v>
          </cell>
          <cell r="BA176">
            <v>6.2857142857138471E-3</v>
          </cell>
          <cell r="BB176">
            <v>7.6729000000000003</v>
          </cell>
          <cell r="BC176">
            <v>7.6791857142857145</v>
          </cell>
        </row>
        <row r="177">
          <cell r="B177">
            <v>129</v>
          </cell>
          <cell r="C177">
            <v>9</v>
          </cell>
          <cell r="D177">
            <v>1.0742625831659143E-3</v>
          </cell>
          <cell r="E177">
            <v>6.4860000000000181E-2</v>
          </cell>
          <cell r="F177">
            <v>60.376300000000001</v>
          </cell>
          <cell r="G177">
            <v>60.441160000000004</v>
          </cell>
          <cell r="H177">
            <v>1.4887798831092849E-3</v>
          </cell>
          <cell r="I177">
            <v>0.10905000000000058</v>
          </cell>
          <cell r="J177">
            <v>73.247900000000001</v>
          </cell>
          <cell r="K177">
            <v>73.356949999999998</v>
          </cell>
          <cell r="L177">
            <v>1.9536903039074067E-3</v>
          </cell>
          <cell r="M177">
            <v>1.0800000000000143E-3</v>
          </cell>
          <cell r="N177">
            <v>0.55279999999999996</v>
          </cell>
          <cell r="O177">
            <v>0.55387999999999993</v>
          </cell>
          <cell r="P177">
            <v>9.3160206147239696E-4</v>
          </cell>
          <cell r="Q177">
            <v>0.10073999999999757</v>
          </cell>
          <cell r="R177">
            <v>108.13630000000001</v>
          </cell>
          <cell r="S177">
            <v>108.23704000000001</v>
          </cell>
          <cell r="T177">
            <v>1.8030881200879606E-3</v>
          </cell>
          <cell r="U177">
            <v>8.5620000000000834E-2</v>
          </cell>
          <cell r="V177">
            <v>47.485199999999999</v>
          </cell>
          <cell r="W177">
            <v>47.570819999999998</v>
          </cell>
          <cell r="X177">
            <v>6.7618035857052513E-4</v>
          </cell>
          <cell r="Y177">
            <v>3.0869999999999464E-2</v>
          </cell>
          <cell r="Z177">
            <v>45.653500000000001</v>
          </cell>
          <cell r="AA177">
            <v>45.684370000000001</v>
          </cell>
          <cell r="AB177">
            <v>1.3212367312347378E-3</v>
          </cell>
          <cell r="AC177">
            <v>6.50100000000009E-2</v>
          </cell>
          <cell r="AD177">
            <v>49.203899999999997</v>
          </cell>
          <cell r="AE177">
            <v>49.268909999999998</v>
          </cell>
          <cell r="AF177">
            <v>1.0605479802128326E-3</v>
          </cell>
          <cell r="AG177">
            <v>1.742999999999988E-2</v>
          </cell>
          <cell r="AH177">
            <v>16.434899999999999</v>
          </cell>
          <cell r="AI177">
            <v>16.45233</v>
          </cell>
          <cell r="AJ177">
            <v>9.137178974605722E-4</v>
          </cell>
          <cell r="AK177">
            <v>1.4528571428571826E-2</v>
          </cell>
          <cell r="AL177">
            <v>15.900499999999999</v>
          </cell>
          <cell r="AM177">
            <v>15.915028571428572</v>
          </cell>
          <cell r="AN177">
            <v>1.4139271827500824E-3</v>
          </cell>
          <cell r="AO177">
            <v>1.0799999999999952E-2</v>
          </cell>
          <cell r="AP177">
            <v>7.6383000000000001</v>
          </cell>
          <cell r="AQ177">
            <v>7.6490999999999998</v>
          </cell>
          <cell r="AR177">
            <v>3.7522188601913346E-4</v>
          </cell>
          <cell r="AS177">
            <v>1.5599999999999881E-2</v>
          </cell>
          <cell r="AT177">
            <v>41.575400000000002</v>
          </cell>
          <cell r="AU177">
            <v>41.591000000000001</v>
          </cell>
          <cell r="AV177">
            <v>1.2966467979320909E-3</v>
          </cell>
          <cell r="AW177">
            <v>4.5899999999998088E-2</v>
          </cell>
          <cell r="AX177">
            <v>35.399000000000001</v>
          </cell>
          <cell r="AY177">
            <v>35.444899999999997</v>
          </cell>
          <cell r="AZ177">
            <v>9.216109386839497E-4</v>
          </cell>
          <cell r="BA177">
            <v>7.0714285714280779E-3</v>
          </cell>
          <cell r="BB177">
            <v>7.6729000000000003</v>
          </cell>
          <cell r="BC177">
            <v>7.6799714285714282</v>
          </cell>
        </row>
        <row r="178">
          <cell r="B178">
            <v>130</v>
          </cell>
          <cell r="C178">
            <v>10</v>
          </cell>
          <cell r="D178">
            <v>1.1936250924065714E-3</v>
          </cell>
          <cell r="E178">
            <v>7.2066666666666876E-2</v>
          </cell>
          <cell r="F178">
            <v>60.376300000000001</v>
          </cell>
          <cell r="G178">
            <v>60.448366666666665</v>
          </cell>
          <cell r="H178">
            <v>1.6541998701214275E-3</v>
          </cell>
          <cell r="I178">
            <v>0.12116666666666731</v>
          </cell>
          <cell r="J178">
            <v>73.247900000000001</v>
          </cell>
          <cell r="K178">
            <v>73.369066666666669</v>
          </cell>
          <cell r="L178">
            <v>2.1707670043415632E-3</v>
          </cell>
          <cell r="M178">
            <v>1.2000000000000159E-3</v>
          </cell>
          <cell r="N178">
            <v>0.55279999999999996</v>
          </cell>
          <cell r="O178">
            <v>0.55399999999999994</v>
          </cell>
          <cell r="P178">
            <v>1.0351134016359966E-3</v>
          </cell>
          <cell r="Q178">
            <v>0.11193333333333062</v>
          </cell>
          <cell r="R178">
            <v>108.13630000000001</v>
          </cell>
          <cell r="S178">
            <v>108.24823333333333</v>
          </cell>
          <cell r="T178">
            <v>2.0034312445421786E-3</v>
          </cell>
          <cell r="U178">
            <v>9.513333333333425E-2</v>
          </cell>
          <cell r="V178">
            <v>47.485199999999999</v>
          </cell>
          <cell r="W178">
            <v>47.580333333333336</v>
          </cell>
          <cell r="X178">
            <v>7.5131150952280562E-4</v>
          </cell>
          <cell r="Y178">
            <v>3.4299999999999407E-2</v>
          </cell>
          <cell r="Z178">
            <v>45.653500000000001</v>
          </cell>
          <cell r="AA178">
            <v>45.687800000000003</v>
          </cell>
          <cell r="AB178">
            <v>1.4680408124830419E-3</v>
          </cell>
          <cell r="AC178">
            <v>7.2233333333334329E-2</v>
          </cell>
          <cell r="AD178">
            <v>49.203899999999997</v>
          </cell>
          <cell r="AE178">
            <v>49.276133333333334</v>
          </cell>
          <cell r="AF178">
            <v>1.1783866446809252E-3</v>
          </cell>
          <cell r="AG178">
            <v>1.9366666666666532E-2</v>
          </cell>
          <cell r="AH178">
            <v>16.434899999999999</v>
          </cell>
          <cell r="AI178">
            <v>16.454266666666665</v>
          </cell>
          <cell r="AJ178">
            <v>1.0152421082895247E-3</v>
          </cell>
          <cell r="AK178">
            <v>1.6142857142857587E-2</v>
          </cell>
          <cell r="AL178">
            <v>15.900499999999999</v>
          </cell>
          <cell r="AM178">
            <v>15.916642857142858</v>
          </cell>
          <cell r="AN178">
            <v>1.5710302030556469E-3</v>
          </cell>
          <cell r="AO178">
            <v>1.1999999999999946E-2</v>
          </cell>
          <cell r="AP178">
            <v>7.6383000000000001</v>
          </cell>
          <cell r="AQ178">
            <v>7.6502999999999997</v>
          </cell>
          <cell r="AR178">
            <v>4.1691320668792604E-4</v>
          </cell>
          <cell r="AS178">
            <v>1.7333333333333201E-2</v>
          </cell>
          <cell r="AT178">
            <v>41.575400000000002</v>
          </cell>
          <cell r="AU178">
            <v>41.592733333333335</v>
          </cell>
          <cell r="AV178">
            <v>1.4407186643689898E-3</v>
          </cell>
          <cell r="AW178">
            <v>5.0999999999997873E-2</v>
          </cell>
          <cell r="AX178">
            <v>35.399000000000001</v>
          </cell>
          <cell r="AY178">
            <v>35.449999999999996</v>
          </cell>
          <cell r="AZ178">
            <v>1.0240121540932773E-3</v>
          </cell>
          <cell r="BA178">
            <v>7.8571428571423095E-3</v>
          </cell>
          <cell r="BB178">
            <v>7.6729000000000003</v>
          </cell>
          <cell r="BC178">
            <v>7.6807571428571428</v>
          </cell>
        </row>
        <row r="179">
          <cell r="B179">
            <v>131</v>
          </cell>
          <cell r="C179">
            <v>11</v>
          </cell>
          <cell r="D179">
            <v>1.3129876016472286E-3</v>
          </cell>
          <cell r="E179">
            <v>7.9273333333333557E-2</v>
          </cell>
          <cell r="F179">
            <v>60.376300000000001</v>
          </cell>
          <cell r="G179">
            <v>60.455573333333334</v>
          </cell>
          <cell r="H179">
            <v>1.8196198571335703E-3</v>
          </cell>
          <cell r="I179">
            <v>0.13328333333333403</v>
          </cell>
          <cell r="J179">
            <v>73.247900000000001</v>
          </cell>
          <cell r="K179">
            <v>73.38118333333334</v>
          </cell>
          <cell r="L179">
            <v>2.3878437047757193E-3</v>
          </cell>
          <cell r="M179">
            <v>1.3200000000000176E-3</v>
          </cell>
          <cell r="N179">
            <v>0.55279999999999996</v>
          </cell>
          <cell r="O179">
            <v>0.55411999999999995</v>
          </cell>
          <cell r="P179">
            <v>1.1386247417995961E-3</v>
          </cell>
          <cell r="Q179">
            <v>0.12312666666666369</v>
          </cell>
          <cell r="R179">
            <v>108.13630000000001</v>
          </cell>
          <cell r="S179">
            <v>108.25942666666667</v>
          </cell>
          <cell r="T179">
            <v>2.2037743689963963E-3</v>
          </cell>
          <cell r="U179">
            <v>0.10464666666666768</v>
          </cell>
          <cell r="V179">
            <v>47.485199999999999</v>
          </cell>
          <cell r="W179">
            <v>47.589846666666666</v>
          </cell>
          <cell r="X179">
            <v>8.2644266047508623E-4</v>
          </cell>
          <cell r="Y179">
            <v>3.7729999999999347E-2</v>
          </cell>
          <cell r="Z179">
            <v>45.653500000000001</v>
          </cell>
          <cell r="AA179">
            <v>45.691229999999997</v>
          </cell>
          <cell r="AB179">
            <v>1.6148448937313459E-3</v>
          </cell>
          <cell r="AC179">
            <v>7.9456666666667772E-2</v>
          </cell>
          <cell r="AD179">
            <v>49.203899999999997</v>
          </cell>
          <cell r="AE179">
            <v>49.283356666666663</v>
          </cell>
          <cell r="AF179">
            <v>1.2962253091490174E-3</v>
          </cell>
          <cell r="AG179">
            <v>2.1303333333333185E-2</v>
          </cell>
          <cell r="AH179">
            <v>16.434899999999999</v>
          </cell>
          <cell r="AI179">
            <v>16.456203333333331</v>
          </cell>
          <cell r="AJ179">
            <v>1.116766319118477E-3</v>
          </cell>
          <cell r="AK179">
            <v>1.7757142857143342E-2</v>
          </cell>
          <cell r="AL179">
            <v>15.900499999999999</v>
          </cell>
          <cell r="AM179">
            <v>15.918257142857142</v>
          </cell>
          <cell r="AN179">
            <v>1.7281332233612117E-3</v>
          </cell>
          <cell r="AO179">
            <v>1.3199999999999943E-2</v>
          </cell>
          <cell r="AP179">
            <v>7.6383000000000001</v>
          </cell>
          <cell r="AQ179">
            <v>7.6515000000000004</v>
          </cell>
          <cell r="AR179">
            <v>4.5860452735671867E-4</v>
          </cell>
          <cell r="AS179">
            <v>1.906666666666652E-2</v>
          </cell>
          <cell r="AT179">
            <v>41.575400000000002</v>
          </cell>
          <cell r="AU179">
            <v>41.594466666666669</v>
          </cell>
          <cell r="AV179">
            <v>1.584790530805889E-3</v>
          </cell>
          <cell r="AW179">
            <v>5.6099999999997659E-2</v>
          </cell>
          <cell r="AX179">
            <v>35.399000000000001</v>
          </cell>
          <cell r="AY179">
            <v>35.455100000000002</v>
          </cell>
          <cell r="AZ179">
            <v>1.1264133695026051E-3</v>
          </cell>
          <cell r="BA179">
            <v>8.6428571428565394E-3</v>
          </cell>
          <cell r="BB179">
            <v>7.6729000000000003</v>
          </cell>
          <cell r="BC179">
            <v>7.6815428571428566</v>
          </cell>
        </row>
        <row r="180">
          <cell r="B180">
            <v>132</v>
          </cell>
          <cell r="C180">
            <v>12</v>
          </cell>
          <cell r="D180">
            <v>1.4323501108878857E-3</v>
          </cell>
          <cell r="E180">
            <v>8.6480000000000251E-2</v>
          </cell>
          <cell r="F180">
            <v>60.376300000000001</v>
          </cell>
          <cell r="G180">
            <v>60.462780000000002</v>
          </cell>
          <cell r="H180">
            <v>1.985039844145713E-3</v>
          </cell>
          <cell r="I180">
            <v>0.14540000000000078</v>
          </cell>
          <cell r="J180">
            <v>73.247900000000001</v>
          </cell>
          <cell r="K180">
            <v>73.393299999999996</v>
          </cell>
          <cell r="L180">
            <v>2.6049204052098754E-3</v>
          </cell>
          <cell r="M180">
            <v>1.440000000000019E-3</v>
          </cell>
          <cell r="N180">
            <v>0.55279999999999996</v>
          </cell>
          <cell r="O180">
            <v>0.55423999999999995</v>
          </cell>
          <cell r="P180">
            <v>1.2421360819631958E-3</v>
          </cell>
          <cell r="Q180">
            <v>0.13431999999999675</v>
          </cell>
          <cell r="R180">
            <v>108.13630000000001</v>
          </cell>
          <cell r="S180">
            <v>108.27062000000001</v>
          </cell>
          <cell r="T180">
            <v>2.404117493450614E-3</v>
          </cell>
          <cell r="U180">
            <v>0.11416000000000111</v>
          </cell>
          <cell r="V180">
            <v>47.485199999999999</v>
          </cell>
          <cell r="W180">
            <v>47.599359999999997</v>
          </cell>
          <cell r="X180">
            <v>9.0157381142736673E-4</v>
          </cell>
          <cell r="Y180">
            <v>4.1159999999999287E-2</v>
          </cell>
          <cell r="Z180">
            <v>45.653500000000001</v>
          </cell>
          <cell r="AA180">
            <v>45.694659999999999</v>
          </cell>
          <cell r="AB180">
            <v>1.7616489749796502E-3</v>
          </cell>
          <cell r="AC180">
            <v>8.6680000000001201E-2</v>
          </cell>
          <cell r="AD180">
            <v>49.203899999999997</v>
          </cell>
          <cell r="AE180">
            <v>49.290579999999999</v>
          </cell>
          <cell r="AF180">
            <v>1.41406397361711E-3</v>
          </cell>
          <cell r="AG180">
            <v>2.3239999999999837E-2</v>
          </cell>
          <cell r="AH180">
            <v>16.434899999999999</v>
          </cell>
          <cell r="AI180">
            <v>16.45814</v>
          </cell>
          <cell r="AJ180">
            <v>1.2182905299474296E-3</v>
          </cell>
          <cell r="AK180">
            <v>1.9371428571429102E-2</v>
          </cell>
          <cell r="AL180">
            <v>15.900499999999999</v>
          </cell>
          <cell r="AM180">
            <v>15.919871428571428</v>
          </cell>
          <cell r="AN180">
            <v>1.8852362436667762E-3</v>
          </cell>
          <cell r="AO180">
            <v>1.4399999999999937E-2</v>
          </cell>
          <cell r="AP180">
            <v>7.6383000000000001</v>
          </cell>
          <cell r="AQ180">
            <v>7.6527000000000003</v>
          </cell>
          <cell r="AR180">
            <v>5.0029584802551124E-4</v>
          </cell>
          <cell r="AS180">
            <v>2.0799999999999839E-2</v>
          </cell>
          <cell r="AT180">
            <v>41.575400000000002</v>
          </cell>
          <cell r="AU180">
            <v>41.596200000000003</v>
          </cell>
          <cell r="AV180">
            <v>1.728862397242788E-3</v>
          </cell>
          <cell r="AW180">
            <v>6.1199999999997444E-2</v>
          </cell>
          <cell r="AX180">
            <v>35.399000000000001</v>
          </cell>
          <cell r="AY180">
            <v>35.4602</v>
          </cell>
          <cell r="AZ180">
            <v>1.2288145849119329E-3</v>
          </cell>
          <cell r="BA180">
            <v>9.4285714285707711E-3</v>
          </cell>
          <cell r="BB180">
            <v>7.6729000000000003</v>
          </cell>
          <cell r="BC180">
            <v>7.6823285714285712</v>
          </cell>
        </row>
        <row r="181">
          <cell r="B181">
            <v>133</v>
          </cell>
          <cell r="C181">
            <v>13</v>
          </cell>
          <cell r="D181">
            <v>1.5517126201285427E-3</v>
          </cell>
          <cell r="E181">
            <v>9.3686666666666932E-2</v>
          </cell>
          <cell r="F181">
            <v>60.376300000000001</v>
          </cell>
          <cell r="G181">
            <v>60.469986666666671</v>
          </cell>
          <cell r="H181">
            <v>2.150459831157856E-3</v>
          </cell>
          <cell r="I181">
            <v>0.1575166666666675</v>
          </cell>
          <cell r="J181">
            <v>73.247900000000001</v>
          </cell>
          <cell r="K181">
            <v>73.405416666666667</v>
          </cell>
          <cell r="L181">
            <v>2.8219971056440319E-3</v>
          </cell>
          <cell r="M181">
            <v>1.5600000000000206E-3</v>
          </cell>
          <cell r="N181">
            <v>0.55279999999999996</v>
          </cell>
          <cell r="O181">
            <v>0.55435999999999996</v>
          </cell>
          <cell r="P181">
            <v>1.3456474221267957E-3</v>
          </cell>
          <cell r="Q181">
            <v>0.1455133333333298</v>
          </cell>
          <cell r="R181">
            <v>108.13630000000001</v>
          </cell>
          <cell r="S181">
            <v>108.28181333333333</v>
          </cell>
          <cell r="T181">
            <v>2.6044606179048322E-3</v>
          </cell>
          <cell r="U181">
            <v>0.12367333333333454</v>
          </cell>
          <cell r="V181">
            <v>47.485199999999999</v>
          </cell>
          <cell r="W181">
            <v>47.608873333333335</v>
          </cell>
          <cell r="X181">
            <v>9.7670496237964722E-4</v>
          </cell>
          <cell r="Y181">
            <v>4.4589999999999227E-2</v>
          </cell>
          <cell r="Z181">
            <v>45.653500000000001</v>
          </cell>
          <cell r="AA181">
            <v>45.698090000000001</v>
          </cell>
          <cell r="AB181">
            <v>1.9084530562279544E-3</v>
          </cell>
          <cell r="AC181">
            <v>9.3903333333334629E-2</v>
          </cell>
          <cell r="AD181">
            <v>49.203899999999997</v>
          </cell>
          <cell r="AE181">
            <v>49.297803333333334</v>
          </cell>
          <cell r="AF181">
            <v>1.5319026380852024E-3</v>
          </cell>
          <cell r="AG181">
            <v>2.5176666666666493E-2</v>
          </cell>
          <cell r="AH181">
            <v>16.434899999999999</v>
          </cell>
          <cell r="AI181">
            <v>16.460076666666666</v>
          </cell>
          <cell r="AJ181">
            <v>1.319814740776382E-3</v>
          </cell>
          <cell r="AK181">
            <v>2.0985714285714861E-2</v>
          </cell>
          <cell r="AL181">
            <v>15.900499999999999</v>
          </cell>
          <cell r="AM181">
            <v>15.921485714285714</v>
          </cell>
          <cell r="AN181">
            <v>2.0423392639723407E-3</v>
          </cell>
          <cell r="AO181">
            <v>1.5599999999999932E-2</v>
          </cell>
          <cell r="AP181">
            <v>7.6383000000000001</v>
          </cell>
          <cell r="AQ181">
            <v>7.6539000000000001</v>
          </cell>
          <cell r="AR181">
            <v>5.4198716869430393E-4</v>
          </cell>
          <cell r="AS181">
            <v>2.2533333333333162E-2</v>
          </cell>
          <cell r="AT181">
            <v>41.575400000000002</v>
          </cell>
          <cell r="AU181">
            <v>41.597933333333337</v>
          </cell>
          <cell r="AV181">
            <v>1.872934263679687E-3</v>
          </cell>
          <cell r="AW181">
            <v>6.6299999999997236E-2</v>
          </cell>
          <cell r="AX181">
            <v>35.399000000000001</v>
          </cell>
          <cell r="AY181">
            <v>35.465299999999999</v>
          </cell>
          <cell r="AZ181">
            <v>1.3312158003212606E-3</v>
          </cell>
          <cell r="BA181">
            <v>1.0214285714285001E-2</v>
          </cell>
          <cell r="BB181">
            <v>7.6729000000000003</v>
          </cell>
          <cell r="BC181">
            <v>7.6831142857142849</v>
          </cell>
        </row>
        <row r="182">
          <cell r="B182">
            <v>134</v>
          </cell>
          <cell r="C182">
            <v>14</v>
          </cell>
          <cell r="D182">
            <v>1.6710751293692E-3</v>
          </cell>
          <cell r="E182">
            <v>0.10089333333333363</v>
          </cell>
          <cell r="F182">
            <v>60.376300000000001</v>
          </cell>
          <cell r="G182">
            <v>60.477193333333332</v>
          </cell>
          <cell r="H182">
            <v>2.3158798181699982E-3</v>
          </cell>
          <cell r="I182">
            <v>0.16963333333333425</v>
          </cell>
          <cell r="J182">
            <v>73.247900000000001</v>
          </cell>
          <cell r="K182">
            <v>73.417533333333338</v>
          </cell>
          <cell r="L182">
            <v>3.0390738060781879E-3</v>
          </cell>
          <cell r="M182">
            <v>1.6800000000000222E-3</v>
          </cell>
          <cell r="N182">
            <v>0.55279999999999996</v>
          </cell>
          <cell r="O182">
            <v>0.55447999999999997</v>
          </cell>
          <cell r="P182">
            <v>1.4491587622903952E-3</v>
          </cell>
          <cell r="Q182">
            <v>0.15670666666666289</v>
          </cell>
          <cell r="R182">
            <v>108.13630000000001</v>
          </cell>
          <cell r="S182">
            <v>108.29300666666667</v>
          </cell>
          <cell r="T182">
            <v>2.8048037423590499E-3</v>
          </cell>
          <cell r="U182">
            <v>0.13318666666666795</v>
          </cell>
          <cell r="V182">
            <v>47.485199999999999</v>
          </cell>
          <cell r="W182">
            <v>47.618386666666666</v>
          </cell>
          <cell r="X182">
            <v>1.0518361133319278E-3</v>
          </cell>
          <cell r="Y182">
            <v>4.8019999999999168E-2</v>
          </cell>
          <cell r="Z182">
            <v>45.653500000000001</v>
          </cell>
          <cell r="AA182">
            <v>45.701520000000002</v>
          </cell>
          <cell r="AB182">
            <v>2.0552571374762587E-3</v>
          </cell>
          <cell r="AC182">
            <v>0.10112666666666807</v>
          </cell>
          <cell r="AD182">
            <v>49.203899999999997</v>
          </cell>
          <cell r="AE182">
            <v>49.305026666666663</v>
          </cell>
          <cell r="AF182">
            <v>1.6497413025532948E-3</v>
          </cell>
          <cell r="AG182">
            <v>2.7113333333333146E-2</v>
          </cell>
          <cell r="AH182">
            <v>16.434899999999999</v>
          </cell>
          <cell r="AI182">
            <v>16.462013333333331</v>
          </cell>
          <cell r="AJ182">
            <v>1.4213389516053345E-3</v>
          </cell>
          <cell r="AK182">
            <v>2.260000000000062E-2</v>
          </cell>
          <cell r="AL182">
            <v>15.900499999999999</v>
          </cell>
          <cell r="AM182">
            <v>15.9231</v>
          </cell>
          <cell r="AN182">
            <v>2.1994422842779057E-3</v>
          </cell>
          <cell r="AO182">
            <v>1.6799999999999926E-2</v>
          </cell>
          <cell r="AP182">
            <v>7.6383000000000001</v>
          </cell>
          <cell r="AQ182">
            <v>7.6551</v>
          </cell>
          <cell r="AR182">
            <v>5.836784893630964E-4</v>
          </cell>
          <cell r="AS182">
            <v>2.4266666666666482E-2</v>
          </cell>
          <cell r="AT182">
            <v>41.575400000000002</v>
          </cell>
          <cell r="AU182">
            <v>41.599666666666671</v>
          </cell>
          <cell r="AV182">
            <v>2.0170061301165859E-3</v>
          </cell>
          <cell r="AW182">
            <v>7.1399999999997021E-2</v>
          </cell>
          <cell r="AX182">
            <v>35.399000000000001</v>
          </cell>
          <cell r="AY182">
            <v>35.470399999999998</v>
          </cell>
          <cell r="AZ182">
            <v>1.4336170157305884E-3</v>
          </cell>
          <cell r="BA182">
            <v>1.0999999999999233E-2</v>
          </cell>
          <cell r="BB182">
            <v>7.6729000000000003</v>
          </cell>
          <cell r="BC182">
            <v>7.6838999999999995</v>
          </cell>
        </row>
        <row r="183">
          <cell r="B183">
            <v>135</v>
          </cell>
          <cell r="C183">
            <v>15</v>
          </cell>
          <cell r="D183">
            <v>1.790437638609857E-3</v>
          </cell>
          <cell r="E183">
            <v>0.10810000000000031</v>
          </cell>
          <cell r="F183">
            <v>60.376300000000001</v>
          </cell>
          <cell r="G183">
            <v>60.484400000000001</v>
          </cell>
          <cell r="H183">
            <v>2.4812998051821412E-3</v>
          </cell>
          <cell r="I183">
            <v>0.18175000000000097</v>
          </cell>
          <cell r="J183">
            <v>73.247900000000001</v>
          </cell>
          <cell r="K183">
            <v>73.429650000000009</v>
          </cell>
          <cell r="L183">
            <v>3.2561505065123444E-3</v>
          </cell>
          <cell r="M183">
            <v>1.8000000000000238E-3</v>
          </cell>
          <cell r="N183">
            <v>0.55279999999999996</v>
          </cell>
          <cell r="O183">
            <v>0.55459999999999998</v>
          </cell>
          <cell r="P183">
            <v>1.5526701024539949E-3</v>
          </cell>
          <cell r="Q183">
            <v>0.16789999999999594</v>
          </cell>
          <cell r="R183">
            <v>108.13630000000001</v>
          </cell>
          <cell r="S183">
            <v>108.30420000000001</v>
          </cell>
          <cell r="T183">
            <v>3.0051468668132676E-3</v>
          </cell>
          <cell r="U183">
            <v>0.14270000000000138</v>
          </cell>
          <cell r="V183">
            <v>47.485199999999999</v>
          </cell>
          <cell r="W183">
            <v>47.627899999999997</v>
          </cell>
          <cell r="X183">
            <v>1.1269672642842084E-3</v>
          </cell>
          <cell r="Y183">
            <v>5.1449999999999108E-2</v>
          </cell>
          <cell r="Z183">
            <v>45.653500000000001</v>
          </cell>
          <cell r="AA183">
            <v>45.704949999999997</v>
          </cell>
          <cell r="AB183">
            <v>2.2020612187245627E-3</v>
          </cell>
          <cell r="AC183">
            <v>0.1083500000000015</v>
          </cell>
          <cell r="AD183">
            <v>49.203899999999997</v>
          </cell>
          <cell r="AE183">
            <v>49.312249999999999</v>
          </cell>
          <cell r="AF183">
            <v>1.7675799670213875E-3</v>
          </cell>
          <cell r="AG183">
            <v>2.9049999999999798E-2</v>
          </cell>
          <cell r="AH183">
            <v>16.434899999999999</v>
          </cell>
          <cell r="AI183">
            <v>16.463949999999997</v>
          </cell>
          <cell r="AJ183">
            <v>1.5228631624342871E-3</v>
          </cell>
          <cell r="AK183">
            <v>2.4214285714286379E-2</v>
          </cell>
          <cell r="AL183">
            <v>15.900499999999999</v>
          </cell>
          <cell r="AM183">
            <v>15.924714285714286</v>
          </cell>
          <cell r="AN183">
            <v>2.3565453045834707E-3</v>
          </cell>
          <cell r="AO183">
            <v>1.7999999999999922E-2</v>
          </cell>
          <cell r="AP183">
            <v>7.6383000000000001</v>
          </cell>
          <cell r="AQ183">
            <v>7.6562999999999999</v>
          </cell>
          <cell r="AR183">
            <v>6.2536981003188908E-4</v>
          </cell>
          <cell r="AS183">
            <v>2.5999999999999801E-2</v>
          </cell>
          <cell r="AT183">
            <v>41.575400000000002</v>
          </cell>
          <cell r="AU183">
            <v>41.601399999999998</v>
          </cell>
          <cell r="AV183">
            <v>2.1610779965534851E-3</v>
          </cell>
          <cell r="AW183">
            <v>7.6499999999996807E-2</v>
          </cell>
          <cell r="AX183">
            <v>35.399000000000001</v>
          </cell>
          <cell r="AY183">
            <v>35.475499999999997</v>
          </cell>
          <cell r="AZ183">
            <v>1.5360182311399161E-3</v>
          </cell>
          <cell r="BA183">
            <v>1.1785714285713464E-2</v>
          </cell>
          <cell r="BB183">
            <v>7.6729000000000003</v>
          </cell>
          <cell r="BC183">
            <v>7.6846857142857141</v>
          </cell>
        </row>
        <row r="184">
          <cell r="B184">
            <v>136</v>
          </cell>
          <cell r="C184">
            <v>16</v>
          </cell>
          <cell r="D184">
            <v>1.9098001478505141E-3</v>
          </cell>
          <cell r="E184">
            <v>0.11530666666666699</v>
          </cell>
          <cell r="F184">
            <v>60.376300000000001</v>
          </cell>
          <cell r="G184">
            <v>60.491606666666669</v>
          </cell>
          <cell r="H184">
            <v>2.6467197921942838E-3</v>
          </cell>
          <cell r="I184">
            <v>0.19386666666666769</v>
          </cell>
          <cell r="J184">
            <v>73.247900000000001</v>
          </cell>
          <cell r="K184">
            <v>73.441766666666666</v>
          </cell>
          <cell r="L184">
            <v>3.4732272069465009E-3</v>
          </cell>
          <cell r="M184">
            <v>1.9200000000000254E-3</v>
          </cell>
          <cell r="N184">
            <v>0.55279999999999996</v>
          </cell>
          <cell r="O184">
            <v>0.55471999999999999</v>
          </cell>
          <cell r="P184">
            <v>1.6561814426175945E-3</v>
          </cell>
          <cell r="Q184">
            <v>0.179093333333329</v>
          </cell>
          <cell r="R184">
            <v>108.13630000000001</v>
          </cell>
          <cell r="S184">
            <v>108.31539333333333</v>
          </cell>
          <cell r="T184">
            <v>3.2054899912674854E-3</v>
          </cell>
          <cell r="U184">
            <v>0.15221333333333481</v>
          </cell>
          <cell r="V184">
            <v>47.485199999999999</v>
          </cell>
          <cell r="W184">
            <v>47.637413333333335</v>
          </cell>
          <cell r="X184">
            <v>1.202098415236489E-3</v>
          </cell>
          <cell r="Y184">
            <v>5.4879999999999048E-2</v>
          </cell>
          <cell r="Z184">
            <v>45.653500000000001</v>
          </cell>
          <cell r="AA184">
            <v>45.708379999999998</v>
          </cell>
          <cell r="AB184">
            <v>2.3488652999728668E-3</v>
          </cell>
          <cell r="AC184">
            <v>0.11557333333333493</v>
          </cell>
          <cell r="AD184">
            <v>49.203899999999997</v>
          </cell>
          <cell r="AE184">
            <v>49.319473333333335</v>
          </cell>
          <cell r="AF184">
            <v>1.8854186314894799E-3</v>
          </cell>
          <cell r="AG184">
            <v>3.0986666666666451E-2</v>
          </cell>
          <cell r="AH184">
            <v>16.434899999999999</v>
          </cell>
          <cell r="AI184">
            <v>16.465886666666666</v>
          </cell>
          <cell r="AJ184">
            <v>1.6243873732632395E-3</v>
          </cell>
          <cell r="AK184">
            <v>2.5828571428572138E-2</v>
          </cell>
          <cell r="AL184">
            <v>15.900499999999999</v>
          </cell>
          <cell r="AM184">
            <v>15.926328571428572</v>
          </cell>
          <cell r="AN184">
            <v>2.5136483248890352E-3</v>
          </cell>
          <cell r="AO184">
            <v>1.9199999999999915E-2</v>
          </cell>
          <cell r="AP184">
            <v>7.6383000000000001</v>
          </cell>
          <cell r="AQ184">
            <v>7.6574999999999998</v>
          </cell>
          <cell r="AR184">
            <v>6.6706113070068166E-4</v>
          </cell>
          <cell r="AS184">
            <v>2.773333333333312E-2</v>
          </cell>
          <cell r="AT184">
            <v>41.575400000000002</v>
          </cell>
          <cell r="AU184">
            <v>41.603133333333332</v>
          </cell>
          <cell r="AV184">
            <v>2.3051498629903838E-3</v>
          </cell>
          <cell r="AW184">
            <v>8.1599999999996592E-2</v>
          </cell>
          <cell r="AX184">
            <v>35.399000000000001</v>
          </cell>
          <cell r="AY184">
            <v>35.480599999999995</v>
          </cell>
          <cell r="AZ184">
            <v>1.6384194465492439E-3</v>
          </cell>
          <cell r="BA184">
            <v>1.2571428571427694E-2</v>
          </cell>
          <cell r="BB184">
            <v>7.6729000000000003</v>
          </cell>
          <cell r="BC184">
            <v>7.6854714285714278</v>
          </cell>
        </row>
        <row r="185">
          <cell r="B185">
            <v>137</v>
          </cell>
          <cell r="C185">
            <v>17</v>
          </cell>
          <cell r="D185">
            <v>2.0291626570911716E-3</v>
          </cell>
          <cell r="E185">
            <v>0.12251333333333368</v>
          </cell>
          <cell r="F185">
            <v>60.376300000000001</v>
          </cell>
          <cell r="G185">
            <v>60.498813333333331</v>
          </cell>
          <cell r="H185">
            <v>2.8121397792064268E-3</v>
          </cell>
          <cell r="I185">
            <v>0.20598333333333443</v>
          </cell>
          <cell r="J185">
            <v>73.247900000000001</v>
          </cell>
          <cell r="K185">
            <v>73.453883333333337</v>
          </cell>
          <cell r="L185">
            <v>3.690303907380657E-3</v>
          </cell>
          <cell r="M185">
            <v>2.040000000000027E-3</v>
          </cell>
          <cell r="N185">
            <v>0.55279999999999996</v>
          </cell>
          <cell r="O185">
            <v>0.55484</v>
          </cell>
          <cell r="P185">
            <v>1.7596927827811942E-3</v>
          </cell>
          <cell r="Q185">
            <v>0.19028666666666208</v>
          </cell>
          <cell r="R185">
            <v>108.13630000000001</v>
          </cell>
          <cell r="S185">
            <v>108.32658666666667</v>
          </cell>
          <cell r="T185">
            <v>3.4058331157217031E-3</v>
          </cell>
          <cell r="U185">
            <v>0.16172666666666824</v>
          </cell>
          <cell r="V185">
            <v>47.485199999999999</v>
          </cell>
          <cell r="W185">
            <v>47.646926666666666</v>
          </cell>
          <cell r="X185">
            <v>1.2772295661887696E-3</v>
          </cell>
          <cell r="Y185">
            <v>5.8309999999998988E-2</v>
          </cell>
          <cell r="Z185">
            <v>45.653500000000001</v>
          </cell>
          <cell r="AA185">
            <v>45.71181</v>
          </cell>
          <cell r="AB185">
            <v>2.4956693812211712E-3</v>
          </cell>
          <cell r="AC185">
            <v>0.12279666666666837</v>
          </cell>
          <cell r="AD185">
            <v>49.203899999999997</v>
          </cell>
          <cell r="AE185">
            <v>49.326696666666663</v>
          </cell>
          <cell r="AF185">
            <v>2.0032572959575727E-3</v>
          </cell>
          <cell r="AG185">
            <v>3.2923333333333103E-2</v>
          </cell>
          <cell r="AH185">
            <v>16.434899999999999</v>
          </cell>
          <cell r="AI185">
            <v>16.467823333333332</v>
          </cell>
          <cell r="AJ185">
            <v>1.7259115840921918E-3</v>
          </cell>
          <cell r="AK185">
            <v>2.7442857142857897E-2</v>
          </cell>
          <cell r="AL185">
            <v>15.900499999999999</v>
          </cell>
          <cell r="AM185">
            <v>15.927942857142858</v>
          </cell>
          <cell r="AN185">
            <v>2.6707513451945998E-3</v>
          </cell>
          <cell r="AO185">
            <v>2.0399999999999911E-2</v>
          </cell>
          <cell r="AP185">
            <v>7.6383000000000001</v>
          </cell>
          <cell r="AQ185">
            <v>7.6586999999999996</v>
          </cell>
          <cell r="AR185">
            <v>7.0875245136947434E-4</v>
          </cell>
          <cell r="AS185">
            <v>2.946666666666644E-2</v>
          </cell>
          <cell r="AT185">
            <v>41.575400000000002</v>
          </cell>
          <cell r="AU185">
            <v>41.604866666666666</v>
          </cell>
          <cell r="AV185">
            <v>2.449221729427283E-3</v>
          </cell>
          <cell r="AW185">
            <v>8.6699999999996377E-2</v>
          </cell>
          <cell r="AX185">
            <v>35.399000000000001</v>
          </cell>
          <cell r="AY185">
            <v>35.485699999999994</v>
          </cell>
          <cell r="AZ185">
            <v>1.7408206619585716E-3</v>
          </cell>
          <cell r="BA185">
            <v>1.3357142857141926E-2</v>
          </cell>
          <cell r="BB185">
            <v>7.6729000000000003</v>
          </cell>
          <cell r="BC185">
            <v>7.6862571428571425</v>
          </cell>
        </row>
        <row r="186">
          <cell r="B186">
            <v>138</v>
          </cell>
          <cell r="C186">
            <v>18</v>
          </cell>
          <cell r="D186">
            <v>2.1485251663318286E-3</v>
          </cell>
          <cell r="E186">
            <v>0.12972000000000036</v>
          </cell>
          <cell r="F186">
            <v>60.376300000000001</v>
          </cell>
          <cell r="G186">
            <v>60.506019999999999</v>
          </cell>
          <cell r="H186">
            <v>2.9775597662185698E-3</v>
          </cell>
          <cell r="I186">
            <v>0.21810000000000115</v>
          </cell>
          <cell r="J186">
            <v>73.247900000000001</v>
          </cell>
          <cell r="K186">
            <v>73.466000000000008</v>
          </cell>
          <cell r="L186">
            <v>3.9073806078148135E-3</v>
          </cell>
          <cell r="M186">
            <v>2.1600000000000287E-3</v>
          </cell>
          <cell r="N186">
            <v>0.55279999999999996</v>
          </cell>
          <cell r="O186">
            <v>0.55496000000000001</v>
          </cell>
          <cell r="P186">
            <v>1.8632041229447939E-3</v>
          </cell>
          <cell r="Q186">
            <v>0.20147999999999514</v>
          </cell>
          <cell r="R186">
            <v>108.13630000000001</v>
          </cell>
          <cell r="S186">
            <v>108.33778</v>
          </cell>
          <cell r="T186">
            <v>3.6061762401759213E-3</v>
          </cell>
          <cell r="U186">
            <v>0.17124000000000167</v>
          </cell>
          <cell r="V186">
            <v>47.485199999999999</v>
          </cell>
          <cell r="W186">
            <v>47.656440000000003</v>
          </cell>
          <cell r="X186">
            <v>1.3523607171410503E-3</v>
          </cell>
          <cell r="Y186">
            <v>6.1739999999998928E-2</v>
          </cell>
          <cell r="Z186">
            <v>45.653500000000001</v>
          </cell>
          <cell r="AA186">
            <v>45.715240000000001</v>
          </cell>
          <cell r="AB186">
            <v>2.6424734624694757E-3</v>
          </cell>
          <cell r="AC186">
            <v>0.1300200000000018</v>
          </cell>
          <cell r="AD186">
            <v>49.203899999999997</v>
          </cell>
          <cell r="AE186">
            <v>49.333919999999999</v>
          </cell>
          <cell r="AF186">
            <v>2.1210959604256651E-3</v>
          </cell>
          <cell r="AG186">
            <v>3.4859999999999759E-2</v>
          </cell>
          <cell r="AH186">
            <v>16.434899999999999</v>
          </cell>
          <cell r="AI186">
            <v>16.469759999999997</v>
          </cell>
          <cell r="AJ186">
            <v>1.8274357949211444E-3</v>
          </cell>
          <cell r="AK186">
            <v>2.9057142857143652E-2</v>
          </cell>
          <cell r="AL186">
            <v>15.900499999999999</v>
          </cell>
          <cell r="AM186">
            <v>15.929557142857142</v>
          </cell>
          <cell r="AN186">
            <v>2.8278543655001647E-3</v>
          </cell>
          <cell r="AO186">
            <v>2.1599999999999904E-2</v>
          </cell>
          <cell r="AP186">
            <v>7.6383000000000001</v>
          </cell>
          <cell r="AQ186">
            <v>7.6599000000000004</v>
          </cell>
          <cell r="AR186">
            <v>7.5044377203826692E-4</v>
          </cell>
          <cell r="AS186">
            <v>3.1199999999999763E-2</v>
          </cell>
          <cell r="AT186">
            <v>41.575400000000002</v>
          </cell>
          <cell r="AU186">
            <v>41.6066</v>
          </cell>
          <cell r="AV186">
            <v>2.5932935958641818E-3</v>
          </cell>
          <cell r="AW186">
            <v>9.1799999999996176E-2</v>
          </cell>
          <cell r="AX186">
            <v>35.399000000000001</v>
          </cell>
          <cell r="AY186">
            <v>35.4908</v>
          </cell>
          <cell r="AZ186">
            <v>1.8432218773678994E-3</v>
          </cell>
          <cell r="BA186">
            <v>1.4142857142856156E-2</v>
          </cell>
          <cell r="BB186">
            <v>7.6729000000000003</v>
          </cell>
          <cell r="BC186">
            <v>7.6870428571428562</v>
          </cell>
        </row>
        <row r="187">
          <cell r="B187">
            <v>139</v>
          </cell>
          <cell r="C187">
            <v>19</v>
          </cell>
          <cell r="D187">
            <v>2.2678876755724852E-3</v>
          </cell>
          <cell r="E187">
            <v>0.13692666666666706</v>
          </cell>
          <cell r="F187">
            <v>60.376300000000001</v>
          </cell>
          <cell r="G187">
            <v>60.513226666666668</v>
          </cell>
          <cell r="H187">
            <v>3.1429797532307119E-3</v>
          </cell>
          <cell r="I187">
            <v>0.2302166666666679</v>
          </cell>
          <cell r="J187">
            <v>73.247900000000001</v>
          </cell>
          <cell r="K187">
            <v>73.478116666666665</v>
          </cell>
          <cell r="L187">
            <v>4.1244573082489695E-3</v>
          </cell>
          <cell r="M187">
            <v>2.2800000000000303E-3</v>
          </cell>
          <cell r="N187">
            <v>0.55279999999999996</v>
          </cell>
          <cell r="O187">
            <v>0.55508000000000002</v>
          </cell>
          <cell r="P187">
            <v>1.9667154631083936E-3</v>
          </cell>
          <cell r="Q187">
            <v>0.21267333333332819</v>
          </cell>
          <cell r="R187">
            <v>108.13630000000001</v>
          </cell>
          <cell r="S187">
            <v>108.34897333333333</v>
          </cell>
          <cell r="T187">
            <v>3.806519364630139E-3</v>
          </cell>
          <cell r="U187">
            <v>0.18075333333333507</v>
          </cell>
          <cell r="V187">
            <v>47.485199999999999</v>
          </cell>
          <cell r="W187">
            <v>47.665953333333334</v>
          </cell>
          <cell r="X187">
            <v>1.4274918680933306E-3</v>
          </cell>
          <cell r="Y187">
            <v>6.5169999999998868E-2</v>
          </cell>
          <cell r="Z187">
            <v>45.653500000000001</v>
          </cell>
          <cell r="AA187">
            <v>45.718670000000003</v>
          </cell>
          <cell r="AB187">
            <v>2.7892775437177793E-3</v>
          </cell>
          <cell r="AC187">
            <v>0.13724333333333524</v>
          </cell>
          <cell r="AD187">
            <v>49.203899999999997</v>
          </cell>
          <cell r="AE187">
            <v>49.341143333333335</v>
          </cell>
          <cell r="AF187">
            <v>2.2389346248937575E-3</v>
          </cell>
          <cell r="AG187">
            <v>3.6796666666666408E-2</v>
          </cell>
          <cell r="AH187">
            <v>16.434899999999999</v>
          </cell>
          <cell r="AI187">
            <v>16.471696666666666</v>
          </cell>
          <cell r="AJ187">
            <v>1.928960005750097E-3</v>
          </cell>
          <cell r="AK187">
            <v>3.0671428571429411E-2</v>
          </cell>
          <cell r="AL187">
            <v>15.900499999999999</v>
          </cell>
          <cell r="AM187">
            <v>15.931171428571428</v>
          </cell>
          <cell r="AN187">
            <v>2.9849573858057288E-3</v>
          </cell>
          <cell r="AO187">
            <v>2.27999999999999E-2</v>
          </cell>
          <cell r="AP187">
            <v>7.6383000000000001</v>
          </cell>
          <cell r="AQ187">
            <v>7.6611000000000002</v>
          </cell>
          <cell r="AR187">
            <v>7.921350927070595E-4</v>
          </cell>
          <cell r="AS187">
            <v>3.2933333333333079E-2</v>
          </cell>
          <cell r="AT187">
            <v>41.575400000000002</v>
          </cell>
          <cell r="AU187">
            <v>41.608333333333334</v>
          </cell>
          <cell r="AV187">
            <v>2.7373654623010809E-3</v>
          </cell>
          <cell r="AW187">
            <v>9.6899999999995962E-2</v>
          </cell>
          <cell r="AX187">
            <v>35.399000000000001</v>
          </cell>
          <cell r="AY187">
            <v>35.495899999999999</v>
          </cell>
          <cell r="AZ187">
            <v>1.9456230927772271E-3</v>
          </cell>
          <cell r="BA187">
            <v>1.4928571428570387E-2</v>
          </cell>
          <cell r="BB187">
            <v>7.6729000000000003</v>
          </cell>
          <cell r="BC187">
            <v>7.6878285714285708</v>
          </cell>
        </row>
        <row r="188">
          <cell r="B188">
            <v>140</v>
          </cell>
          <cell r="C188">
            <v>20</v>
          </cell>
          <cell r="D188">
            <v>2.3872501848131427E-3</v>
          </cell>
          <cell r="E188">
            <v>0.14413333333333375</v>
          </cell>
          <cell r="F188">
            <v>60.376300000000001</v>
          </cell>
          <cell r="G188">
            <v>60.520433333333337</v>
          </cell>
          <cell r="H188">
            <v>3.3083997402428549E-3</v>
          </cell>
          <cell r="I188">
            <v>0.24233333333333462</v>
          </cell>
          <cell r="J188">
            <v>73.247900000000001</v>
          </cell>
          <cell r="K188">
            <v>73.490233333333336</v>
          </cell>
          <cell r="L188">
            <v>4.3415340086831265E-3</v>
          </cell>
          <cell r="M188">
            <v>2.4000000000000319E-3</v>
          </cell>
          <cell r="N188">
            <v>0.55279999999999996</v>
          </cell>
          <cell r="O188">
            <v>0.55520000000000003</v>
          </cell>
          <cell r="P188">
            <v>2.0702268032719933E-3</v>
          </cell>
          <cell r="Q188">
            <v>0.22386666666666125</v>
          </cell>
          <cell r="R188">
            <v>108.13630000000001</v>
          </cell>
          <cell r="S188">
            <v>108.36016666666667</v>
          </cell>
          <cell r="T188">
            <v>4.0068624890843571E-3</v>
          </cell>
          <cell r="U188">
            <v>0.1902666666666685</v>
          </cell>
          <cell r="V188">
            <v>47.485199999999999</v>
          </cell>
          <cell r="W188">
            <v>47.675466666666665</v>
          </cell>
          <cell r="X188">
            <v>1.5026230190456112E-3</v>
          </cell>
          <cell r="Y188">
            <v>6.8599999999998815E-2</v>
          </cell>
          <cell r="Z188">
            <v>45.653500000000001</v>
          </cell>
          <cell r="AA188">
            <v>45.722099999999998</v>
          </cell>
          <cell r="AB188">
            <v>2.9360816249660838E-3</v>
          </cell>
          <cell r="AC188">
            <v>0.14446666666666866</v>
          </cell>
          <cell r="AD188">
            <v>49.203899999999997</v>
          </cell>
          <cell r="AE188">
            <v>49.348366666666664</v>
          </cell>
          <cell r="AF188">
            <v>2.3567732893618504E-3</v>
          </cell>
          <cell r="AG188">
            <v>3.8733333333333064E-2</v>
          </cell>
          <cell r="AH188">
            <v>16.434899999999999</v>
          </cell>
          <cell r="AI188">
            <v>16.473633333333332</v>
          </cell>
          <cell r="AJ188">
            <v>2.0304842165790493E-3</v>
          </cell>
          <cell r="AK188">
            <v>3.2285714285715174E-2</v>
          </cell>
          <cell r="AL188">
            <v>15.900499999999999</v>
          </cell>
          <cell r="AM188">
            <v>15.932785714285714</v>
          </cell>
          <cell r="AN188">
            <v>3.1420604061112938E-3</v>
          </cell>
          <cell r="AO188">
            <v>2.3999999999999893E-2</v>
          </cell>
          <cell r="AP188">
            <v>7.6383000000000001</v>
          </cell>
          <cell r="AQ188">
            <v>7.6623000000000001</v>
          </cell>
          <cell r="AR188">
            <v>8.3382641337585207E-4</v>
          </cell>
          <cell r="AS188">
            <v>3.4666666666666401E-2</v>
          </cell>
          <cell r="AT188">
            <v>41.575400000000002</v>
          </cell>
          <cell r="AU188">
            <v>41.610066666666668</v>
          </cell>
          <cell r="AV188">
            <v>2.8814373287379797E-3</v>
          </cell>
          <cell r="AW188">
            <v>0.10199999999999575</v>
          </cell>
          <cell r="AX188">
            <v>35.399000000000001</v>
          </cell>
          <cell r="AY188">
            <v>35.500999999999998</v>
          </cell>
          <cell r="AZ188">
            <v>2.0480243081865547E-3</v>
          </cell>
          <cell r="BA188">
            <v>1.5714285714284619E-2</v>
          </cell>
          <cell r="BB188">
            <v>7.6729000000000003</v>
          </cell>
          <cell r="BC188">
            <v>7.6886142857142845</v>
          </cell>
        </row>
        <row r="189">
          <cell r="B189">
            <v>141</v>
          </cell>
          <cell r="C189">
            <v>21</v>
          </cell>
          <cell r="D189">
            <v>2.5066126940537998E-3</v>
          </cell>
          <cell r="E189">
            <v>0.15134000000000042</v>
          </cell>
          <cell r="F189">
            <v>60.376300000000001</v>
          </cell>
          <cell r="G189">
            <v>60.527639999999998</v>
          </cell>
          <cell r="H189">
            <v>3.4738197272549975E-3</v>
          </cell>
          <cell r="I189">
            <v>0.25445000000000134</v>
          </cell>
          <cell r="J189">
            <v>73.247900000000001</v>
          </cell>
          <cell r="K189">
            <v>73.502350000000007</v>
          </cell>
          <cell r="L189">
            <v>4.5586107091172825E-3</v>
          </cell>
          <cell r="M189">
            <v>2.5200000000000335E-3</v>
          </cell>
          <cell r="N189">
            <v>0.55279999999999996</v>
          </cell>
          <cell r="O189">
            <v>0.55532000000000004</v>
          </cell>
          <cell r="P189">
            <v>2.1737381434355925E-3</v>
          </cell>
          <cell r="Q189">
            <v>0.23505999999999433</v>
          </cell>
          <cell r="R189">
            <v>108.13630000000001</v>
          </cell>
          <cell r="S189">
            <v>108.37136</v>
          </cell>
          <cell r="T189">
            <v>4.2072056135385744E-3</v>
          </cell>
          <cell r="U189">
            <v>0.19978000000000193</v>
          </cell>
          <cell r="V189">
            <v>47.485199999999999</v>
          </cell>
          <cell r="W189">
            <v>47.684980000000003</v>
          </cell>
          <cell r="X189">
            <v>1.5777541699978919E-3</v>
          </cell>
          <cell r="Y189">
            <v>7.2029999999998748E-2</v>
          </cell>
          <cell r="Z189">
            <v>45.653500000000001</v>
          </cell>
          <cell r="AA189">
            <v>45.725529999999999</v>
          </cell>
          <cell r="AB189">
            <v>3.0828857062143878E-3</v>
          </cell>
          <cell r="AC189">
            <v>0.1516900000000021</v>
          </cell>
          <cell r="AD189">
            <v>49.203899999999997</v>
          </cell>
          <cell r="AE189">
            <v>49.355589999999999</v>
          </cell>
          <cell r="AF189">
            <v>2.4746119538299424E-3</v>
          </cell>
          <cell r="AG189">
            <v>4.066999999999972E-2</v>
          </cell>
          <cell r="AH189">
            <v>16.434899999999999</v>
          </cell>
          <cell r="AI189">
            <v>16.475569999999998</v>
          </cell>
          <cell r="AJ189">
            <v>2.1320084274080017E-3</v>
          </cell>
          <cell r="AK189">
            <v>3.3900000000000929E-2</v>
          </cell>
          <cell r="AL189">
            <v>15.900499999999999</v>
          </cell>
          <cell r="AM189">
            <v>15.9344</v>
          </cell>
          <cell r="AN189">
            <v>3.2991634264168583E-3</v>
          </cell>
          <cell r="AO189">
            <v>2.5199999999999889E-2</v>
          </cell>
          <cell r="AP189">
            <v>7.6383000000000001</v>
          </cell>
          <cell r="AQ189">
            <v>7.6635</v>
          </cell>
          <cell r="AR189">
            <v>8.7551773404464476E-4</v>
          </cell>
          <cell r="AS189">
            <v>3.6399999999999724E-2</v>
          </cell>
          <cell r="AT189">
            <v>41.575400000000002</v>
          </cell>
          <cell r="AU189">
            <v>41.611800000000002</v>
          </cell>
          <cell r="AV189">
            <v>3.0255091951748789E-3</v>
          </cell>
          <cell r="AW189">
            <v>0.10709999999999553</v>
          </cell>
          <cell r="AX189">
            <v>35.399000000000001</v>
          </cell>
          <cell r="AY189">
            <v>35.506099999999996</v>
          </cell>
          <cell r="AZ189">
            <v>2.1504255235958824E-3</v>
          </cell>
          <cell r="BA189">
            <v>1.6499999999998849E-2</v>
          </cell>
          <cell r="BB189">
            <v>7.6729000000000003</v>
          </cell>
          <cell r="BC189">
            <v>7.6893999999999991</v>
          </cell>
        </row>
        <row r="190">
          <cell r="B190">
            <v>142</v>
          </cell>
          <cell r="C190">
            <v>22</v>
          </cell>
          <cell r="D190">
            <v>2.6259752032944572E-3</v>
          </cell>
          <cell r="E190">
            <v>0.15854666666666711</v>
          </cell>
          <cell r="F190">
            <v>60.376300000000001</v>
          </cell>
          <cell r="G190">
            <v>60.534846666666667</v>
          </cell>
          <cell r="H190">
            <v>3.6392397142671405E-3</v>
          </cell>
          <cell r="I190">
            <v>0.26656666666666806</v>
          </cell>
          <cell r="J190">
            <v>73.247900000000001</v>
          </cell>
          <cell r="K190">
            <v>73.514466666666664</v>
          </cell>
          <cell r="L190">
            <v>4.7756874095514386E-3</v>
          </cell>
          <cell r="M190">
            <v>2.6400000000000351E-3</v>
          </cell>
          <cell r="N190">
            <v>0.55279999999999996</v>
          </cell>
          <cell r="O190">
            <v>0.55544000000000004</v>
          </cell>
          <cell r="P190">
            <v>2.2772494835991922E-3</v>
          </cell>
          <cell r="Q190">
            <v>0.24625333333332738</v>
          </cell>
          <cell r="R190">
            <v>108.13630000000001</v>
          </cell>
          <cell r="S190">
            <v>108.38255333333333</v>
          </cell>
          <cell r="T190">
            <v>4.4075487379927926E-3</v>
          </cell>
          <cell r="U190">
            <v>0.20929333333333536</v>
          </cell>
          <cell r="V190">
            <v>47.485199999999999</v>
          </cell>
          <cell r="W190">
            <v>47.694493333333334</v>
          </cell>
          <cell r="X190">
            <v>1.6528853209501725E-3</v>
          </cell>
          <cell r="Y190">
            <v>7.5459999999998695E-2</v>
          </cell>
          <cell r="Z190">
            <v>45.653500000000001</v>
          </cell>
          <cell r="AA190">
            <v>45.728960000000001</v>
          </cell>
          <cell r="AB190">
            <v>3.2296897874626918E-3</v>
          </cell>
          <cell r="AC190">
            <v>0.15891333333333554</v>
          </cell>
          <cell r="AD190">
            <v>49.203899999999997</v>
          </cell>
          <cell r="AE190">
            <v>49.362813333333335</v>
          </cell>
          <cell r="AF190">
            <v>2.5924506182980348E-3</v>
          </cell>
          <cell r="AG190">
            <v>4.2606666666666369E-2</v>
          </cell>
          <cell r="AH190">
            <v>16.434899999999999</v>
          </cell>
          <cell r="AI190">
            <v>16.477506666666667</v>
          </cell>
          <cell r="AJ190">
            <v>2.2335326382369541E-3</v>
          </cell>
          <cell r="AK190">
            <v>3.5514285714286685E-2</v>
          </cell>
          <cell r="AL190">
            <v>15.900499999999999</v>
          </cell>
          <cell r="AM190">
            <v>15.936014285714286</v>
          </cell>
          <cell r="AN190">
            <v>3.4562664467224233E-3</v>
          </cell>
          <cell r="AO190">
            <v>2.6399999999999885E-2</v>
          </cell>
          <cell r="AP190">
            <v>7.6383000000000001</v>
          </cell>
          <cell r="AQ190">
            <v>7.6646999999999998</v>
          </cell>
          <cell r="AR190">
            <v>9.1720905471343733E-4</v>
          </cell>
          <cell r="AS190">
            <v>3.813333333333304E-2</v>
          </cell>
          <cell r="AT190">
            <v>41.575400000000002</v>
          </cell>
          <cell r="AU190">
            <v>41.613533333333336</v>
          </cell>
          <cell r="AV190">
            <v>3.1695810616117781E-3</v>
          </cell>
          <cell r="AW190">
            <v>0.11219999999999532</v>
          </cell>
          <cell r="AX190">
            <v>35.399000000000001</v>
          </cell>
          <cell r="AY190">
            <v>35.511199999999995</v>
          </cell>
          <cell r="AZ190">
            <v>2.2528267390052102E-3</v>
          </cell>
          <cell r="BA190">
            <v>1.7285714285713079E-2</v>
          </cell>
          <cell r="BB190">
            <v>7.6729000000000003</v>
          </cell>
          <cell r="BC190">
            <v>7.6901857142857137</v>
          </cell>
        </row>
        <row r="191">
          <cell r="B191">
            <v>143</v>
          </cell>
          <cell r="C191">
            <v>23</v>
          </cell>
          <cell r="D191">
            <v>2.7453377125351143E-3</v>
          </cell>
          <cell r="E191">
            <v>0.16575333333333381</v>
          </cell>
          <cell r="F191">
            <v>60.376300000000001</v>
          </cell>
          <cell r="G191">
            <v>60.542053333333335</v>
          </cell>
          <cell r="H191">
            <v>3.8046597012792835E-3</v>
          </cell>
          <cell r="I191">
            <v>0.27868333333333484</v>
          </cell>
          <cell r="J191">
            <v>73.247900000000001</v>
          </cell>
          <cell r="K191">
            <v>73.526583333333335</v>
          </cell>
          <cell r="L191">
            <v>4.9927641099855955E-3</v>
          </cell>
          <cell r="M191">
            <v>2.7600000000000363E-3</v>
          </cell>
          <cell r="N191">
            <v>0.55279999999999996</v>
          </cell>
          <cell r="O191">
            <v>0.55555999999999994</v>
          </cell>
          <cell r="P191">
            <v>2.3807608237627919E-3</v>
          </cell>
          <cell r="Q191">
            <v>0.25744666666666044</v>
          </cell>
          <cell r="R191">
            <v>108.13630000000001</v>
          </cell>
          <cell r="S191">
            <v>108.39374666666667</v>
          </cell>
          <cell r="T191">
            <v>4.6078918624470099E-3</v>
          </cell>
          <cell r="U191">
            <v>0.21880666666666879</v>
          </cell>
          <cell r="V191">
            <v>47.485199999999999</v>
          </cell>
          <cell r="W191">
            <v>47.704006666666665</v>
          </cell>
          <cell r="X191">
            <v>1.7280164719024531E-3</v>
          </cell>
          <cell r="Y191">
            <v>7.8889999999998628E-2</v>
          </cell>
          <cell r="Z191">
            <v>45.653500000000001</v>
          </cell>
          <cell r="AA191">
            <v>45.732390000000002</v>
          </cell>
          <cell r="AB191">
            <v>3.3764938687109959E-3</v>
          </cell>
          <cell r="AC191">
            <v>0.16613666666666896</v>
          </cell>
          <cell r="AD191">
            <v>49.203899999999997</v>
          </cell>
          <cell r="AE191">
            <v>49.370036666666664</v>
          </cell>
          <cell r="AF191">
            <v>2.7102892827661276E-3</v>
          </cell>
          <cell r="AG191">
            <v>4.4543333333333025E-2</v>
          </cell>
          <cell r="AH191">
            <v>16.434899999999999</v>
          </cell>
          <cell r="AI191">
            <v>16.479443333333332</v>
          </cell>
          <cell r="AJ191">
            <v>2.3350568490659068E-3</v>
          </cell>
          <cell r="AK191">
            <v>3.7128571428572447E-2</v>
          </cell>
          <cell r="AL191">
            <v>15.900499999999999</v>
          </cell>
          <cell r="AM191">
            <v>15.937628571428572</v>
          </cell>
          <cell r="AN191">
            <v>3.6133694670279879E-3</v>
          </cell>
          <cell r="AO191">
            <v>2.7599999999999878E-2</v>
          </cell>
          <cell r="AP191">
            <v>7.6383000000000001</v>
          </cell>
          <cell r="AQ191">
            <v>7.6658999999999997</v>
          </cell>
          <cell r="AR191">
            <v>9.5890037538222991E-4</v>
          </cell>
          <cell r="AS191">
            <v>3.9866666666666363E-2</v>
          </cell>
          <cell r="AT191">
            <v>41.575400000000002</v>
          </cell>
          <cell r="AU191">
            <v>41.61526666666667</v>
          </cell>
          <cell r="AV191">
            <v>3.3136529280486768E-3</v>
          </cell>
          <cell r="AW191">
            <v>0.1172999999999951</v>
          </cell>
          <cell r="AX191">
            <v>35.399000000000001</v>
          </cell>
          <cell r="AY191">
            <v>35.516299999999994</v>
          </cell>
          <cell r="AZ191">
            <v>2.355227954414538E-3</v>
          </cell>
          <cell r="BA191">
            <v>1.8071428571427312E-2</v>
          </cell>
          <cell r="BB191">
            <v>7.6729000000000003</v>
          </cell>
          <cell r="BC191">
            <v>7.6909714285714275</v>
          </cell>
        </row>
        <row r="192">
          <cell r="B192">
            <v>144</v>
          </cell>
          <cell r="C192">
            <v>24</v>
          </cell>
          <cell r="D192">
            <v>2.8647002217757713E-3</v>
          </cell>
          <cell r="E192">
            <v>0.1729600000000005</v>
          </cell>
          <cell r="F192">
            <v>60.376300000000001</v>
          </cell>
          <cell r="G192">
            <v>60.549260000000004</v>
          </cell>
          <cell r="H192">
            <v>3.9700796882914261E-3</v>
          </cell>
          <cell r="I192">
            <v>0.29080000000000156</v>
          </cell>
          <cell r="J192">
            <v>73.247900000000001</v>
          </cell>
          <cell r="K192">
            <v>73.538700000000006</v>
          </cell>
          <cell r="L192">
            <v>5.2098408104197507E-3</v>
          </cell>
          <cell r="M192">
            <v>2.8800000000000379E-3</v>
          </cell>
          <cell r="N192">
            <v>0.55279999999999996</v>
          </cell>
          <cell r="O192">
            <v>0.55567999999999995</v>
          </cell>
          <cell r="P192">
            <v>2.4842721639263916E-3</v>
          </cell>
          <cell r="Q192">
            <v>0.2686399999999935</v>
          </cell>
          <cell r="R192">
            <v>108.13630000000001</v>
          </cell>
          <cell r="S192">
            <v>108.40494</v>
          </cell>
          <cell r="T192">
            <v>4.808234986901228E-3</v>
          </cell>
          <cell r="U192">
            <v>0.22832000000000222</v>
          </cell>
          <cell r="V192">
            <v>47.485199999999999</v>
          </cell>
          <cell r="W192">
            <v>47.713520000000003</v>
          </cell>
          <cell r="X192">
            <v>1.8031476228547335E-3</v>
          </cell>
          <cell r="Y192">
            <v>8.2319999999998575E-2</v>
          </cell>
          <cell r="Z192">
            <v>45.653500000000001</v>
          </cell>
          <cell r="AA192">
            <v>45.735819999999997</v>
          </cell>
          <cell r="AB192">
            <v>3.5232979499593003E-3</v>
          </cell>
          <cell r="AC192">
            <v>0.1733600000000024</v>
          </cell>
          <cell r="AD192">
            <v>49.203899999999997</v>
          </cell>
          <cell r="AE192">
            <v>49.37726</v>
          </cell>
          <cell r="AF192">
            <v>2.82812794723422E-3</v>
          </cell>
          <cell r="AG192">
            <v>4.6479999999999674E-2</v>
          </cell>
          <cell r="AH192">
            <v>16.434899999999999</v>
          </cell>
          <cell r="AI192">
            <v>16.481379999999998</v>
          </cell>
          <cell r="AJ192">
            <v>2.4365810598948592E-3</v>
          </cell>
          <cell r="AK192">
            <v>3.8742857142858203E-2</v>
          </cell>
          <cell r="AL192">
            <v>15.900499999999999</v>
          </cell>
          <cell r="AM192">
            <v>15.939242857142858</v>
          </cell>
          <cell r="AN192">
            <v>3.7704724873335524E-3</v>
          </cell>
          <cell r="AO192">
            <v>2.8799999999999874E-2</v>
          </cell>
          <cell r="AP192">
            <v>7.6383000000000001</v>
          </cell>
          <cell r="AQ192">
            <v>7.6670999999999996</v>
          </cell>
          <cell r="AR192">
            <v>1.0005916960510225E-3</v>
          </cell>
          <cell r="AS192">
            <v>4.1599999999999679E-2</v>
          </cell>
          <cell r="AT192">
            <v>41.575400000000002</v>
          </cell>
          <cell r="AU192">
            <v>41.617000000000004</v>
          </cell>
          <cell r="AV192">
            <v>3.457724794485576E-3</v>
          </cell>
          <cell r="AW192">
            <v>0.12239999999999489</v>
          </cell>
          <cell r="AX192">
            <v>35.399000000000001</v>
          </cell>
          <cell r="AY192">
            <v>35.521399999999993</v>
          </cell>
          <cell r="AZ192">
            <v>2.4576291698238657E-3</v>
          </cell>
          <cell r="BA192">
            <v>1.8857142857141542E-2</v>
          </cell>
          <cell r="BB192">
            <v>7.6729000000000003</v>
          </cell>
          <cell r="BC192">
            <v>7.6917571428571421</v>
          </cell>
        </row>
        <row r="193">
          <cell r="B193">
            <v>145</v>
          </cell>
          <cell r="C193">
            <v>25</v>
          </cell>
          <cell r="D193">
            <v>2.9840627310164284E-3</v>
          </cell>
          <cell r="E193">
            <v>0.18016666666666717</v>
          </cell>
          <cell r="F193">
            <v>60.376300000000001</v>
          </cell>
          <cell r="G193">
            <v>60.556466666666665</v>
          </cell>
          <cell r="H193">
            <v>4.1354996753035682E-3</v>
          </cell>
          <cell r="I193">
            <v>0.30291666666666828</v>
          </cell>
          <cell r="J193">
            <v>73.247900000000001</v>
          </cell>
          <cell r="K193">
            <v>73.550816666666663</v>
          </cell>
          <cell r="L193">
            <v>5.4269175108539068E-3</v>
          </cell>
          <cell r="M193">
            <v>3.0000000000000395E-3</v>
          </cell>
          <cell r="N193">
            <v>0.55279999999999996</v>
          </cell>
          <cell r="O193">
            <v>0.55579999999999996</v>
          </cell>
          <cell r="P193">
            <v>2.5877835040899913E-3</v>
          </cell>
          <cell r="Q193">
            <v>0.27983333333332655</v>
          </cell>
          <cell r="R193">
            <v>108.13630000000001</v>
          </cell>
          <cell r="S193">
            <v>108.41613333333333</v>
          </cell>
          <cell r="T193">
            <v>5.0085781113554462E-3</v>
          </cell>
          <cell r="U193">
            <v>0.23783333333333564</v>
          </cell>
          <cell r="V193">
            <v>47.485199999999999</v>
          </cell>
          <cell r="W193">
            <v>47.723033333333333</v>
          </cell>
          <cell r="X193">
            <v>1.8782787738070141E-3</v>
          </cell>
          <cell r="Y193">
            <v>8.5749999999998508E-2</v>
          </cell>
          <cell r="Z193">
            <v>45.653500000000001</v>
          </cell>
          <cell r="AA193">
            <v>45.739249999999998</v>
          </cell>
          <cell r="AB193">
            <v>3.6701020312076048E-3</v>
          </cell>
          <cell r="AC193">
            <v>0.18058333333333584</v>
          </cell>
          <cell r="AD193">
            <v>49.203899999999997</v>
          </cell>
          <cell r="AE193">
            <v>49.384483333333336</v>
          </cell>
          <cell r="AF193">
            <v>2.9459666117023125E-3</v>
          </cell>
          <cell r="AG193">
            <v>4.841666666666633E-2</v>
          </cell>
          <cell r="AH193">
            <v>16.434899999999999</v>
          </cell>
          <cell r="AI193">
            <v>16.483316666666667</v>
          </cell>
          <cell r="AJ193">
            <v>2.5381052707238116E-3</v>
          </cell>
          <cell r="AK193">
            <v>4.0357142857143966E-2</v>
          </cell>
          <cell r="AL193">
            <v>15.900499999999999</v>
          </cell>
          <cell r="AM193">
            <v>15.940857142857142</v>
          </cell>
          <cell r="AN193">
            <v>3.9275755076391174E-3</v>
          </cell>
          <cell r="AO193">
            <v>2.9999999999999867E-2</v>
          </cell>
          <cell r="AP193">
            <v>7.6383000000000001</v>
          </cell>
          <cell r="AQ193">
            <v>7.6683000000000003</v>
          </cell>
          <cell r="AR193">
            <v>1.0422830167198152E-3</v>
          </cell>
          <cell r="AS193">
            <v>4.3333333333333002E-2</v>
          </cell>
          <cell r="AT193">
            <v>41.575400000000002</v>
          </cell>
          <cell r="AU193">
            <v>41.618733333333338</v>
          </cell>
          <cell r="AV193">
            <v>3.6017966609224747E-3</v>
          </cell>
          <cell r="AW193">
            <v>0.12749999999999467</v>
          </cell>
          <cell r="AX193">
            <v>35.399000000000001</v>
          </cell>
          <cell r="AY193">
            <v>35.526499999999999</v>
          </cell>
          <cell r="AZ193">
            <v>2.5600303852331935E-3</v>
          </cell>
          <cell r="BA193">
            <v>1.9642857142855772E-2</v>
          </cell>
          <cell r="BB193">
            <v>7.6729000000000003</v>
          </cell>
          <cell r="BC193">
            <v>7.6925428571428558</v>
          </cell>
        </row>
        <row r="194">
          <cell r="B194">
            <v>146</v>
          </cell>
          <cell r="C194">
            <v>26</v>
          </cell>
          <cell r="D194">
            <v>3.1034252402570854E-3</v>
          </cell>
          <cell r="E194">
            <v>0.18737333333333386</v>
          </cell>
          <cell r="F194">
            <v>60.376300000000001</v>
          </cell>
          <cell r="G194">
            <v>60.563673333333334</v>
          </cell>
          <cell r="H194">
            <v>4.3009196623157121E-3</v>
          </cell>
          <cell r="I194">
            <v>0.315033333333335</v>
          </cell>
          <cell r="J194">
            <v>73.247900000000001</v>
          </cell>
          <cell r="K194">
            <v>73.562933333333334</v>
          </cell>
          <cell r="L194">
            <v>5.6439942112880637E-3</v>
          </cell>
          <cell r="M194">
            <v>3.1200000000000411E-3</v>
          </cell>
          <cell r="N194">
            <v>0.55279999999999996</v>
          </cell>
          <cell r="O194">
            <v>0.55591999999999997</v>
          </cell>
          <cell r="P194">
            <v>2.6912948442535914E-3</v>
          </cell>
          <cell r="Q194">
            <v>0.29102666666665961</v>
          </cell>
          <cell r="R194">
            <v>108.13630000000001</v>
          </cell>
          <cell r="S194">
            <v>108.42732666666666</v>
          </cell>
          <cell r="T194">
            <v>5.2089212358096644E-3</v>
          </cell>
          <cell r="U194">
            <v>0.24734666666666907</v>
          </cell>
          <cell r="V194">
            <v>47.485199999999999</v>
          </cell>
          <cell r="W194">
            <v>47.732546666666671</v>
          </cell>
          <cell r="X194">
            <v>1.9534099247592944E-3</v>
          </cell>
          <cell r="Y194">
            <v>8.9179999999998455E-2</v>
          </cell>
          <cell r="Z194">
            <v>45.653500000000001</v>
          </cell>
          <cell r="AA194">
            <v>45.74268</v>
          </cell>
          <cell r="AB194">
            <v>3.8169061124559089E-3</v>
          </cell>
          <cell r="AC194">
            <v>0.18780666666666926</v>
          </cell>
          <cell r="AD194">
            <v>49.203899999999997</v>
          </cell>
          <cell r="AE194">
            <v>49.391706666666664</v>
          </cell>
          <cell r="AF194">
            <v>3.0638052761704049E-3</v>
          </cell>
          <cell r="AG194">
            <v>5.0353333333332986E-2</v>
          </cell>
          <cell r="AH194">
            <v>16.434899999999999</v>
          </cell>
          <cell r="AI194">
            <v>16.485253333333333</v>
          </cell>
          <cell r="AJ194">
            <v>2.6396294815527639E-3</v>
          </cell>
          <cell r="AK194">
            <v>4.1971428571429721E-2</v>
          </cell>
          <cell r="AL194">
            <v>15.900499999999999</v>
          </cell>
          <cell r="AM194">
            <v>15.942471428571428</v>
          </cell>
          <cell r="AN194">
            <v>4.0846785279446815E-3</v>
          </cell>
          <cell r="AO194">
            <v>3.1199999999999863E-2</v>
          </cell>
          <cell r="AP194">
            <v>7.6383000000000001</v>
          </cell>
          <cell r="AQ194">
            <v>7.6695000000000002</v>
          </cell>
          <cell r="AR194">
            <v>1.0839743373886079E-3</v>
          </cell>
          <cell r="AS194">
            <v>4.5066666666666325E-2</v>
          </cell>
          <cell r="AT194">
            <v>41.575400000000002</v>
          </cell>
          <cell r="AU194">
            <v>41.620466666666665</v>
          </cell>
          <cell r="AV194">
            <v>3.7458685273593739E-3</v>
          </cell>
          <cell r="AW194">
            <v>0.13259999999999447</v>
          </cell>
          <cell r="AX194">
            <v>35.399000000000001</v>
          </cell>
          <cell r="AY194">
            <v>35.531599999999997</v>
          </cell>
          <cell r="AZ194">
            <v>2.6624316006425212E-3</v>
          </cell>
          <cell r="BA194">
            <v>2.0428571428570002E-2</v>
          </cell>
          <cell r="BB194">
            <v>7.6729000000000003</v>
          </cell>
          <cell r="BC194">
            <v>7.6933285714285704</v>
          </cell>
        </row>
        <row r="195">
          <cell r="B195">
            <v>147</v>
          </cell>
          <cell r="C195">
            <v>27</v>
          </cell>
          <cell r="D195">
            <v>3.2227877494977425E-3</v>
          </cell>
          <cell r="E195">
            <v>0.19458000000000056</v>
          </cell>
          <cell r="F195">
            <v>60.376300000000001</v>
          </cell>
          <cell r="G195">
            <v>60.570880000000002</v>
          </cell>
          <cell r="H195">
            <v>4.4663396493278542E-3</v>
          </cell>
          <cell r="I195">
            <v>0.32715000000000172</v>
          </cell>
          <cell r="J195">
            <v>73.247900000000001</v>
          </cell>
          <cell r="K195">
            <v>73.575050000000005</v>
          </cell>
          <cell r="L195">
            <v>5.8610709117222198E-3</v>
          </cell>
          <cell r="M195">
            <v>3.2400000000000428E-3</v>
          </cell>
          <cell r="N195">
            <v>0.55279999999999996</v>
          </cell>
          <cell r="O195">
            <v>0.55603999999999998</v>
          </cell>
          <cell r="P195">
            <v>2.7948061844171911E-3</v>
          </cell>
          <cell r="Q195">
            <v>0.30221999999999272</v>
          </cell>
          <cell r="R195">
            <v>108.13630000000001</v>
          </cell>
          <cell r="S195">
            <v>108.43852</v>
          </cell>
          <cell r="T195">
            <v>5.4092643602638817E-3</v>
          </cell>
          <cell r="U195">
            <v>0.25686000000000248</v>
          </cell>
          <cell r="V195">
            <v>47.485199999999999</v>
          </cell>
          <cell r="W195">
            <v>47.742060000000002</v>
          </cell>
          <cell r="X195">
            <v>2.0285410757115751E-3</v>
          </cell>
          <cell r="Y195">
            <v>9.2609999999998388E-2</v>
          </cell>
          <cell r="Z195">
            <v>45.653500000000001</v>
          </cell>
          <cell r="AA195">
            <v>45.746110000000002</v>
          </cell>
          <cell r="AB195">
            <v>3.9637101937042129E-3</v>
          </cell>
          <cell r="AC195">
            <v>0.1950300000000027</v>
          </cell>
          <cell r="AD195">
            <v>49.203899999999997</v>
          </cell>
          <cell r="AE195">
            <v>49.39893</v>
          </cell>
          <cell r="AF195">
            <v>3.1816439406384973E-3</v>
          </cell>
          <cell r="AG195">
            <v>5.2289999999999635E-2</v>
          </cell>
          <cell r="AH195">
            <v>16.434899999999999</v>
          </cell>
          <cell r="AI195">
            <v>16.487189999999998</v>
          </cell>
          <cell r="AJ195">
            <v>2.7411536923817167E-3</v>
          </cell>
          <cell r="AK195">
            <v>4.3585714285715484E-2</v>
          </cell>
          <cell r="AL195">
            <v>15.900499999999999</v>
          </cell>
          <cell r="AM195">
            <v>15.944085714285714</v>
          </cell>
          <cell r="AN195">
            <v>4.2417815482502464E-3</v>
          </cell>
          <cell r="AO195">
            <v>3.2399999999999859E-2</v>
          </cell>
          <cell r="AP195">
            <v>7.6383000000000001</v>
          </cell>
          <cell r="AQ195">
            <v>7.6707000000000001</v>
          </cell>
          <cell r="AR195">
            <v>1.1256656580574003E-3</v>
          </cell>
          <cell r="AS195">
            <v>4.679999999999964E-2</v>
          </cell>
          <cell r="AT195">
            <v>41.575400000000002</v>
          </cell>
          <cell r="AU195">
            <v>41.622199999999999</v>
          </cell>
          <cell r="AV195">
            <v>3.8899403937962727E-3</v>
          </cell>
          <cell r="AW195">
            <v>0.13769999999999424</v>
          </cell>
          <cell r="AX195">
            <v>35.399000000000001</v>
          </cell>
          <cell r="AY195">
            <v>35.536699999999996</v>
          </cell>
          <cell r="AZ195">
            <v>2.764832816051849E-3</v>
          </cell>
          <cell r="BA195">
            <v>2.1214285714284235E-2</v>
          </cell>
          <cell r="BB195">
            <v>7.6729000000000003</v>
          </cell>
          <cell r="BC195">
            <v>7.6941142857142841</v>
          </cell>
        </row>
        <row r="196">
          <cell r="B196">
            <v>148</v>
          </cell>
          <cell r="C196">
            <v>28</v>
          </cell>
          <cell r="D196">
            <v>3.3421502587384E-3</v>
          </cell>
          <cell r="E196">
            <v>0.20178666666666725</v>
          </cell>
          <cell r="F196">
            <v>60.376300000000001</v>
          </cell>
          <cell r="G196">
            <v>60.578086666666671</v>
          </cell>
          <cell r="H196">
            <v>4.6317596363399964E-3</v>
          </cell>
          <cell r="I196">
            <v>0.33926666666666849</v>
          </cell>
          <cell r="J196">
            <v>73.247900000000001</v>
          </cell>
          <cell r="K196">
            <v>73.587166666666675</v>
          </cell>
          <cell r="L196">
            <v>6.0781476121563758E-3</v>
          </cell>
          <cell r="M196">
            <v>3.3600000000000444E-3</v>
          </cell>
          <cell r="N196">
            <v>0.55279999999999996</v>
          </cell>
          <cell r="O196">
            <v>0.55615999999999999</v>
          </cell>
          <cell r="P196">
            <v>2.8983175245807903E-3</v>
          </cell>
          <cell r="Q196">
            <v>0.31341333333332577</v>
          </cell>
          <cell r="R196">
            <v>108.13630000000001</v>
          </cell>
          <cell r="S196">
            <v>108.44971333333334</v>
          </cell>
          <cell r="T196">
            <v>5.6096074847180998E-3</v>
          </cell>
          <cell r="U196">
            <v>0.2663733333333359</v>
          </cell>
          <cell r="V196">
            <v>47.485199999999999</v>
          </cell>
          <cell r="W196">
            <v>47.751573333333333</v>
          </cell>
          <cell r="X196">
            <v>2.1036722266638557E-3</v>
          </cell>
          <cell r="Y196">
            <v>9.6039999999998335E-2</v>
          </cell>
          <cell r="Z196">
            <v>45.653500000000001</v>
          </cell>
          <cell r="AA196">
            <v>45.749539999999996</v>
          </cell>
          <cell r="AB196">
            <v>4.1105142749525174E-3</v>
          </cell>
          <cell r="AC196">
            <v>0.20225333333333614</v>
          </cell>
          <cell r="AD196">
            <v>49.203899999999997</v>
          </cell>
          <cell r="AE196">
            <v>49.406153333333336</v>
          </cell>
          <cell r="AF196">
            <v>3.2994826051065897E-3</v>
          </cell>
          <cell r="AG196">
            <v>5.4226666666666291E-2</v>
          </cell>
          <cell r="AH196">
            <v>16.434899999999999</v>
          </cell>
          <cell r="AI196">
            <v>16.489126666666664</v>
          </cell>
          <cell r="AJ196">
            <v>2.8426779032106691E-3</v>
          </cell>
          <cell r="AK196">
            <v>4.5200000000001239E-2</v>
          </cell>
          <cell r="AL196">
            <v>15.900499999999999</v>
          </cell>
          <cell r="AM196">
            <v>15.9457</v>
          </cell>
          <cell r="AN196">
            <v>4.3988845685558114E-3</v>
          </cell>
          <cell r="AO196">
            <v>3.3599999999999852E-2</v>
          </cell>
          <cell r="AP196">
            <v>7.6383000000000001</v>
          </cell>
          <cell r="AQ196">
            <v>7.6718999999999999</v>
          </cell>
          <cell r="AR196">
            <v>1.1673569787261928E-3</v>
          </cell>
          <cell r="AS196">
            <v>4.8533333333332963E-2</v>
          </cell>
          <cell r="AT196">
            <v>41.575400000000002</v>
          </cell>
          <cell r="AU196">
            <v>41.623933333333333</v>
          </cell>
          <cell r="AV196">
            <v>4.0340122602331718E-3</v>
          </cell>
          <cell r="AW196">
            <v>0.14279999999999404</v>
          </cell>
          <cell r="AX196">
            <v>35.399000000000001</v>
          </cell>
          <cell r="AY196">
            <v>35.541799999999995</v>
          </cell>
          <cell r="AZ196">
            <v>2.8672340314611767E-3</v>
          </cell>
          <cell r="BA196">
            <v>2.1999999999998465E-2</v>
          </cell>
          <cell r="BB196">
            <v>7.6729000000000003</v>
          </cell>
          <cell r="BC196">
            <v>7.6948999999999987</v>
          </cell>
        </row>
        <row r="197">
          <cell r="B197">
            <v>149</v>
          </cell>
          <cell r="C197">
            <v>29</v>
          </cell>
          <cell r="D197">
            <v>3.461512767979057E-3</v>
          </cell>
          <cell r="E197">
            <v>0.20899333333333392</v>
          </cell>
          <cell r="F197">
            <v>60.376300000000001</v>
          </cell>
          <cell r="G197">
            <v>60.585293333333333</v>
          </cell>
          <cell r="H197">
            <v>4.7971796233521402E-3</v>
          </cell>
          <cell r="I197">
            <v>0.35138333333333521</v>
          </cell>
          <cell r="J197">
            <v>73.247900000000001</v>
          </cell>
          <cell r="K197">
            <v>73.599283333333332</v>
          </cell>
          <cell r="L197">
            <v>6.2952243125905328E-3</v>
          </cell>
          <cell r="M197">
            <v>3.480000000000046E-3</v>
          </cell>
          <cell r="N197">
            <v>0.55279999999999996</v>
          </cell>
          <cell r="O197">
            <v>0.55628</v>
          </cell>
          <cell r="P197">
            <v>3.00182886474439E-3</v>
          </cell>
          <cell r="Q197">
            <v>0.32460666666665883</v>
          </cell>
          <cell r="R197">
            <v>108.13630000000001</v>
          </cell>
          <cell r="S197">
            <v>108.46090666666666</v>
          </cell>
          <cell r="T197">
            <v>5.8099506091723171E-3</v>
          </cell>
          <cell r="U197">
            <v>0.27588666666666933</v>
          </cell>
          <cell r="V197">
            <v>47.485199999999999</v>
          </cell>
          <cell r="W197">
            <v>47.761086666666671</v>
          </cell>
          <cell r="X197">
            <v>2.1788033776161367E-3</v>
          </cell>
          <cell r="Y197">
            <v>9.9469999999998268E-2</v>
          </cell>
          <cell r="Z197">
            <v>45.653500000000001</v>
          </cell>
          <cell r="AA197">
            <v>45.752969999999998</v>
          </cell>
          <cell r="AB197">
            <v>4.257318356200821E-3</v>
          </cell>
          <cell r="AC197">
            <v>0.20947666666666956</v>
          </cell>
          <cell r="AD197">
            <v>49.203899999999997</v>
          </cell>
          <cell r="AE197">
            <v>49.413376666666665</v>
          </cell>
          <cell r="AF197">
            <v>3.4173212695746825E-3</v>
          </cell>
          <cell r="AG197">
            <v>5.616333333333294E-2</v>
          </cell>
          <cell r="AH197">
            <v>16.434899999999999</v>
          </cell>
          <cell r="AI197">
            <v>16.491063333333333</v>
          </cell>
          <cell r="AJ197">
            <v>2.9442021140396214E-3</v>
          </cell>
          <cell r="AK197">
            <v>4.6814285714286995E-2</v>
          </cell>
          <cell r="AL197">
            <v>15.900499999999999</v>
          </cell>
          <cell r="AM197">
            <v>15.947314285714286</v>
          </cell>
          <cell r="AN197">
            <v>4.5559875888613755E-3</v>
          </cell>
          <cell r="AO197">
            <v>3.4799999999999845E-2</v>
          </cell>
          <cell r="AP197">
            <v>7.6383000000000001</v>
          </cell>
          <cell r="AQ197">
            <v>7.6730999999999998</v>
          </cell>
          <cell r="AR197">
            <v>1.2090482993949855E-3</v>
          </cell>
          <cell r="AS197">
            <v>5.0266666666666279E-2</v>
          </cell>
          <cell r="AT197">
            <v>41.575400000000002</v>
          </cell>
          <cell r="AU197">
            <v>41.625666666666667</v>
          </cell>
          <cell r="AV197">
            <v>4.1780841266700706E-3</v>
          </cell>
          <cell r="AW197">
            <v>0.14789999999999384</v>
          </cell>
          <cell r="AX197">
            <v>35.399000000000001</v>
          </cell>
          <cell r="AY197">
            <v>35.546899999999994</v>
          </cell>
          <cell r="AZ197">
            <v>2.9696352468705045E-3</v>
          </cell>
          <cell r="BA197">
            <v>2.2785714285712695E-2</v>
          </cell>
          <cell r="BB197">
            <v>7.6729000000000003</v>
          </cell>
          <cell r="BC197">
            <v>7.6956857142857134</v>
          </cell>
        </row>
        <row r="198">
          <cell r="B198">
            <v>150</v>
          </cell>
          <cell r="C198">
            <v>30</v>
          </cell>
          <cell r="D198">
            <v>3.5808752772197141E-3</v>
          </cell>
          <cell r="E198">
            <v>0.21620000000000061</v>
          </cell>
          <cell r="F198">
            <v>60.376300000000001</v>
          </cell>
          <cell r="G198">
            <v>60.592500000000001</v>
          </cell>
          <cell r="H198">
            <v>4.9625996103642824E-3</v>
          </cell>
          <cell r="I198">
            <v>0.36350000000000193</v>
          </cell>
          <cell r="J198">
            <v>73.247900000000001</v>
          </cell>
          <cell r="K198">
            <v>73.611400000000003</v>
          </cell>
          <cell r="L198">
            <v>6.5123010130246888E-3</v>
          </cell>
          <cell r="M198">
            <v>3.6000000000000476E-3</v>
          </cell>
          <cell r="N198">
            <v>0.55279999999999996</v>
          </cell>
          <cell r="O198">
            <v>0.55640000000000001</v>
          </cell>
          <cell r="P198">
            <v>3.1053402049079897E-3</v>
          </cell>
          <cell r="Q198">
            <v>0.33579999999999188</v>
          </cell>
          <cell r="R198">
            <v>108.13630000000001</v>
          </cell>
          <cell r="S198">
            <v>108.4721</v>
          </cell>
          <cell r="T198">
            <v>6.0102937336265353E-3</v>
          </cell>
          <cell r="U198">
            <v>0.28540000000000276</v>
          </cell>
          <cell r="V198">
            <v>47.485199999999999</v>
          </cell>
          <cell r="W198">
            <v>47.770600000000002</v>
          </cell>
          <cell r="X198">
            <v>2.2539345285684169E-3</v>
          </cell>
          <cell r="Y198">
            <v>0.10289999999999822</v>
          </cell>
          <cell r="Z198">
            <v>45.653500000000001</v>
          </cell>
          <cell r="AA198">
            <v>45.756399999999999</v>
          </cell>
          <cell r="AB198">
            <v>4.4041224374491254E-3</v>
          </cell>
          <cell r="AC198">
            <v>0.216700000000003</v>
          </cell>
          <cell r="AD198">
            <v>49.203899999999997</v>
          </cell>
          <cell r="AE198">
            <v>49.4206</v>
          </cell>
          <cell r="AF198">
            <v>3.5351599340427749E-3</v>
          </cell>
          <cell r="AG198">
            <v>5.8099999999999596E-2</v>
          </cell>
          <cell r="AH198">
            <v>16.434899999999999</v>
          </cell>
          <cell r="AI198">
            <v>16.492999999999999</v>
          </cell>
          <cell r="AJ198">
            <v>3.0457263248685742E-3</v>
          </cell>
          <cell r="AK198">
            <v>4.8428571428572757E-2</v>
          </cell>
          <cell r="AL198">
            <v>15.900499999999999</v>
          </cell>
          <cell r="AM198">
            <v>15.948928571428572</v>
          </cell>
          <cell r="AN198">
            <v>4.7130906091669414E-3</v>
          </cell>
          <cell r="AO198">
            <v>3.5999999999999845E-2</v>
          </cell>
          <cell r="AP198">
            <v>7.6383000000000001</v>
          </cell>
          <cell r="AQ198">
            <v>7.6742999999999997</v>
          </cell>
          <cell r="AR198">
            <v>1.2507396200637782E-3</v>
          </cell>
          <cell r="AS198">
            <v>5.1999999999999602E-2</v>
          </cell>
          <cell r="AT198">
            <v>41.575400000000002</v>
          </cell>
          <cell r="AU198">
            <v>41.627400000000002</v>
          </cell>
          <cell r="AV198">
            <v>4.3221559931069702E-3</v>
          </cell>
          <cell r="AW198">
            <v>0.15299999999999361</v>
          </cell>
          <cell r="AX198">
            <v>35.399000000000001</v>
          </cell>
          <cell r="AY198">
            <v>35.551999999999992</v>
          </cell>
          <cell r="AZ198">
            <v>3.0720364622798322E-3</v>
          </cell>
          <cell r="BA198">
            <v>2.3571428571426929E-2</v>
          </cell>
          <cell r="BB198">
            <v>7.6729000000000003</v>
          </cell>
          <cell r="BC198">
            <v>7.6964714285714271</v>
          </cell>
        </row>
        <row r="199">
          <cell r="B199">
            <v>151</v>
          </cell>
          <cell r="C199">
            <v>1</v>
          </cell>
          <cell r="D199">
            <v>1.1552584890869379E-4</v>
          </cell>
          <cell r="E199">
            <v>7.0000000000000288E-3</v>
          </cell>
          <cell r="F199">
            <v>60.592500000000001</v>
          </cell>
          <cell r="G199">
            <v>60.599499999999999</v>
          </cell>
          <cell r="H199">
            <v>1.6840688625221844E-4</v>
          </cell>
          <cell r="I199">
            <v>1.2396666666666552E-2</v>
          </cell>
          <cell r="J199">
            <v>73.611400000000003</v>
          </cell>
          <cell r="K199">
            <v>73.623796666666664</v>
          </cell>
          <cell r="L199">
            <v>2.2765396597172451E-4</v>
          </cell>
          <cell r="M199">
            <v>1.2666666666666753E-4</v>
          </cell>
          <cell r="N199">
            <v>0.55640000000000001</v>
          </cell>
          <cell r="O199">
            <v>0.55652666666666673</v>
          </cell>
          <cell r="P199">
            <v>1.0263775969427567E-4</v>
          </cell>
          <cell r="Q199">
            <v>1.1133333333333439E-2</v>
          </cell>
          <cell r="R199">
            <v>108.4721</v>
          </cell>
          <cell r="S199">
            <v>108.48323333333333</v>
          </cell>
          <cell r="T199">
            <v>2.0556576639187808E-4</v>
          </cell>
          <cell r="U199">
            <v>9.8199999999998514E-3</v>
          </cell>
          <cell r="V199">
            <v>47.770600000000002</v>
          </cell>
          <cell r="W199">
            <v>47.780419999999999</v>
          </cell>
          <cell r="X199">
            <v>6.8405731220111919E-5</v>
          </cell>
          <cell r="Y199">
            <v>3.1299999999999293E-3</v>
          </cell>
          <cell r="Z199">
            <v>45.756399999999999</v>
          </cell>
          <cell r="AA199">
            <v>45.759529999999998</v>
          </cell>
          <cell r="AB199">
            <v>1.4710464866877357E-4</v>
          </cell>
          <cell r="AC199">
            <v>7.2699999999999909E-3</v>
          </cell>
          <cell r="AD199">
            <v>49.4206</v>
          </cell>
          <cell r="AE199">
            <v>49.427869999999999</v>
          </cell>
          <cell r="AF199">
            <v>1.1257301077225014E-4</v>
          </cell>
          <cell r="AG199">
            <v>1.8566666666667213E-3</v>
          </cell>
          <cell r="AH199">
            <v>16.492999999999999</v>
          </cell>
          <cell r="AI199">
            <v>16.494856666666664</v>
          </cell>
          <cell r="AJ199">
            <v>1.0152421082895247E-4</v>
          </cell>
          <cell r="AK199">
            <v>1.6142857142857586E-3</v>
          </cell>
          <cell r="AL199">
            <v>15.900499999999999</v>
          </cell>
          <cell r="AM199">
            <v>15.902114285714285</v>
          </cell>
          <cell r="AN199">
            <v>1.571030203055647E-4</v>
          </cell>
          <cell r="AO199">
            <v>1.1999999999999947E-3</v>
          </cell>
          <cell r="AP199">
            <v>7.6383000000000001</v>
          </cell>
          <cell r="AQ199">
            <v>7.6395</v>
          </cell>
          <cell r="AR199">
            <v>3.1389581541645657E-5</v>
          </cell>
          <cell r="AS199">
            <v>1.3066666666667003E-3</v>
          </cell>
          <cell r="AT199">
            <v>41.627400000000002</v>
          </cell>
          <cell r="AU199">
            <v>41.628706666666666</v>
          </cell>
          <cell r="AV199">
            <v>1.4407186643689899E-4</v>
          </cell>
          <cell r="AW199">
            <v>5.099999999999787E-3</v>
          </cell>
          <cell r="AX199">
            <v>35.399000000000001</v>
          </cell>
          <cell r="AY199">
            <v>35.4041</v>
          </cell>
          <cell r="AZ199">
            <v>1.0240121540932774E-4</v>
          </cell>
          <cell r="BA199">
            <v>7.8571428571423089E-4</v>
          </cell>
          <cell r="BB199">
            <v>7.6729000000000003</v>
          </cell>
          <cell r="BC199">
            <v>7.6736857142857149</v>
          </cell>
        </row>
        <row r="200">
          <cell r="B200">
            <v>152</v>
          </cell>
          <cell r="C200">
            <v>2</v>
          </cell>
          <cell r="D200">
            <v>2.3105169781738758E-4</v>
          </cell>
          <cell r="E200">
            <v>1.4000000000000058E-2</v>
          </cell>
          <cell r="F200">
            <v>60.592500000000001</v>
          </cell>
          <cell r="G200">
            <v>60.606500000000004</v>
          </cell>
          <cell r="H200">
            <v>3.3681377250443687E-4</v>
          </cell>
          <cell r="I200">
            <v>2.4793333333333105E-2</v>
          </cell>
          <cell r="J200">
            <v>73.611400000000003</v>
          </cell>
          <cell r="K200">
            <v>73.636193333333338</v>
          </cell>
          <cell r="L200">
            <v>4.5530793194344902E-4</v>
          </cell>
          <cell r="M200">
            <v>2.5333333333333506E-4</v>
          </cell>
          <cell r="N200">
            <v>0.55640000000000001</v>
          </cell>
          <cell r="O200">
            <v>0.55665333333333333</v>
          </cell>
          <cell r="P200">
            <v>2.0527551938855134E-4</v>
          </cell>
          <cell r="Q200">
            <v>2.2266666666666879E-2</v>
          </cell>
          <cell r="R200">
            <v>108.4721</v>
          </cell>
          <cell r="S200">
            <v>108.49436666666666</v>
          </cell>
          <cell r="T200">
            <v>4.1113153278375615E-4</v>
          </cell>
          <cell r="U200">
            <v>1.9639999999999703E-2</v>
          </cell>
          <cell r="V200">
            <v>47.770600000000002</v>
          </cell>
          <cell r="W200">
            <v>47.790240000000004</v>
          </cell>
          <cell r="X200">
            <v>1.3681146244022384E-4</v>
          </cell>
          <cell r="Y200">
            <v>6.2599999999998586E-3</v>
          </cell>
          <cell r="Z200">
            <v>45.756399999999999</v>
          </cell>
          <cell r="AA200">
            <v>45.762659999999997</v>
          </cell>
          <cell r="AB200">
            <v>2.9420929733754714E-4</v>
          </cell>
          <cell r="AC200">
            <v>1.4539999999999982E-2</v>
          </cell>
          <cell r="AD200">
            <v>49.4206</v>
          </cell>
          <cell r="AE200">
            <v>49.435139999999997</v>
          </cell>
          <cell r="AF200">
            <v>2.2514602154450028E-4</v>
          </cell>
          <cell r="AG200">
            <v>3.7133333333334425E-3</v>
          </cell>
          <cell r="AH200">
            <v>16.492999999999999</v>
          </cell>
          <cell r="AI200">
            <v>16.496713333333332</v>
          </cell>
          <cell r="AJ200">
            <v>2.0304842165790493E-4</v>
          </cell>
          <cell r="AK200">
            <v>3.2285714285715172E-3</v>
          </cell>
          <cell r="AL200">
            <v>15.900499999999999</v>
          </cell>
          <cell r="AM200">
            <v>15.903728571428571</v>
          </cell>
          <cell r="AN200">
            <v>3.142060406111294E-4</v>
          </cell>
          <cell r="AO200">
            <v>2.3999999999999894E-3</v>
          </cell>
          <cell r="AP200">
            <v>7.6383000000000001</v>
          </cell>
          <cell r="AQ200">
            <v>7.6406999999999998</v>
          </cell>
          <cell r="AR200">
            <v>6.2779163083291314E-5</v>
          </cell>
          <cell r="AS200">
            <v>2.6133333333334006E-3</v>
          </cell>
          <cell r="AT200">
            <v>41.627400000000002</v>
          </cell>
          <cell r="AU200">
            <v>41.630013333333338</v>
          </cell>
          <cell r="AV200">
            <v>2.8814373287379798E-4</v>
          </cell>
          <cell r="AW200">
            <v>1.0199999999999574E-2</v>
          </cell>
          <cell r="AX200">
            <v>35.399000000000001</v>
          </cell>
          <cell r="AY200">
            <v>35.409199999999998</v>
          </cell>
          <cell r="AZ200">
            <v>2.0480243081865548E-4</v>
          </cell>
          <cell r="BA200">
            <v>1.5714285714284618E-3</v>
          </cell>
          <cell r="BB200">
            <v>7.6729000000000003</v>
          </cell>
          <cell r="BC200">
            <v>7.6744714285714286</v>
          </cell>
        </row>
        <row r="201">
          <cell r="B201">
            <v>153</v>
          </cell>
          <cell r="C201">
            <v>3</v>
          </cell>
          <cell r="D201">
            <v>3.4657754672608138E-4</v>
          </cell>
          <cell r="E201">
            <v>2.1000000000000085E-2</v>
          </cell>
          <cell r="F201">
            <v>60.592500000000001</v>
          </cell>
          <cell r="G201">
            <v>60.613500000000002</v>
          </cell>
          <cell r="H201">
            <v>5.0522065875665525E-4</v>
          </cell>
          <cell r="I201">
            <v>3.7189999999999654E-2</v>
          </cell>
          <cell r="J201">
            <v>73.611400000000003</v>
          </cell>
          <cell r="K201">
            <v>73.648589999999999</v>
          </cell>
          <cell r="L201">
            <v>6.8296189791517358E-4</v>
          </cell>
          <cell r="M201">
            <v>3.8000000000000257E-4</v>
          </cell>
          <cell r="N201">
            <v>0.55640000000000001</v>
          </cell>
          <cell r="O201">
            <v>0.55678000000000005</v>
          </cell>
          <cell r="P201">
            <v>3.0791327908282704E-4</v>
          </cell>
          <cell r="Q201">
            <v>3.3400000000000318E-2</v>
          </cell>
          <cell r="R201">
            <v>108.4721</v>
          </cell>
          <cell r="S201">
            <v>108.5055</v>
          </cell>
          <cell r="T201">
            <v>6.1669729917563428E-4</v>
          </cell>
          <cell r="U201">
            <v>2.9459999999999553E-2</v>
          </cell>
          <cell r="V201">
            <v>47.770600000000002</v>
          </cell>
          <cell r="W201">
            <v>47.800060000000002</v>
          </cell>
          <cell r="X201">
            <v>2.0521719366033576E-4</v>
          </cell>
          <cell r="Y201">
            <v>9.3899999999997874E-3</v>
          </cell>
          <cell r="Z201">
            <v>45.756399999999999</v>
          </cell>
          <cell r="AA201">
            <v>45.765789999999996</v>
          </cell>
          <cell r="AB201">
            <v>4.4131394600632073E-4</v>
          </cell>
          <cell r="AC201">
            <v>2.1809999999999975E-2</v>
          </cell>
          <cell r="AD201">
            <v>49.4206</v>
          </cell>
          <cell r="AE201">
            <v>49.442410000000002</v>
          </cell>
          <cell r="AF201">
            <v>3.377190323167504E-4</v>
          </cell>
          <cell r="AG201">
            <v>5.5700000000001634E-3</v>
          </cell>
          <cell r="AH201">
            <v>16.492999999999999</v>
          </cell>
          <cell r="AI201">
            <v>16.498569999999997</v>
          </cell>
          <cell r="AJ201">
            <v>3.045726324868574E-4</v>
          </cell>
          <cell r="AK201">
            <v>4.8428571428572754E-3</v>
          </cell>
          <cell r="AL201">
            <v>15.900499999999999</v>
          </cell>
          <cell r="AM201">
            <v>15.905342857142857</v>
          </cell>
          <cell r="AN201">
            <v>4.7130906091669405E-4</v>
          </cell>
          <cell r="AO201">
            <v>3.5999999999999843E-3</v>
          </cell>
          <cell r="AP201">
            <v>7.6383000000000001</v>
          </cell>
          <cell r="AQ201">
            <v>7.6418999999999997</v>
          </cell>
          <cell r="AR201">
            <v>9.416874462493697E-5</v>
          </cell>
          <cell r="AS201">
            <v>3.9200000000001014E-3</v>
          </cell>
          <cell r="AT201">
            <v>41.627400000000002</v>
          </cell>
          <cell r="AU201">
            <v>41.631320000000002</v>
          </cell>
          <cell r="AV201">
            <v>4.32215599310697E-4</v>
          </cell>
          <cell r="AW201">
            <v>1.5299999999999361E-2</v>
          </cell>
          <cell r="AX201">
            <v>35.399000000000001</v>
          </cell>
          <cell r="AY201">
            <v>35.414299999999997</v>
          </cell>
          <cell r="AZ201">
            <v>3.0720364622798321E-4</v>
          </cell>
          <cell r="BA201">
            <v>2.3571428571426928E-3</v>
          </cell>
          <cell r="BB201">
            <v>7.6729000000000003</v>
          </cell>
          <cell r="BC201">
            <v>7.6752571428571432</v>
          </cell>
        </row>
        <row r="202">
          <cell r="B202">
            <v>154</v>
          </cell>
          <cell r="C202">
            <v>4</v>
          </cell>
          <cell r="D202">
            <v>4.6210339563477516E-4</v>
          </cell>
          <cell r="E202">
            <v>2.8000000000000115E-2</v>
          </cell>
          <cell r="F202">
            <v>60.592500000000001</v>
          </cell>
          <cell r="G202">
            <v>60.6205</v>
          </cell>
          <cell r="H202">
            <v>6.7362754500887374E-4</v>
          </cell>
          <cell r="I202">
            <v>4.958666666666621E-2</v>
          </cell>
          <cell r="J202">
            <v>73.611400000000003</v>
          </cell>
          <cell r="K202">
            <v>73.660986666666673</v>
          </cell>
          <cell r="L202">
            <v>9.1061586388689803E-4</v>
          </cell>
          <cell r="M202">
            <v>5.0666666666667013E-4</v>
          </cell>
          <cell r="N202">
            <v>0.55640000000000001</v>
          </cell>
          <cell r="O202">
            <v>0.55690666666666666</v>
          </cell>
          <cell r="P202">
            <v>4.1055103877710267E-4</v>
          </cell>
          <cell r="Q202">
            <v>4.4533333333333758E-2</v>
          </cell>
          <cell r="R202">
            <v>108.4721</v>
          </cell>
          <cell r="S202">
            <v>108.51663333333333</v>
          </cell>
          <cell r="T202">
            <v>8.222630655675123E-4</v>
          </cell>
          <cell r="U202">
            <v>3.9279999999999406E-2</v>
          </cell>
          <cell r="V202">
            <v>47.770600000000002</v>
          </cell>
          <cell r="W202">
            <v>47.80988</v>
          </cell>
          <cell r="X202">
            <v>2.7362292488044768E-4</v>
          </cell>
          <cell r="Y202">
            <v>1.2519999999999717E-2</v>
          </cell>
          <cell r="Z202">
            <v>45.756399999999999</v>
          </cell>
          <cell r="AA202">
            <v>45.768920000000001</v>
          </cell>
          <cell r="AB202">
            <v>5.8841859467509427E-4</v>
          </cell>
          <cell r="AC202">
            <v>2.9079999999999964E-2</v>
          </cell>
          <cell r="AD202">
            <v>49.4206</v>
          </cell>
          <cell r="AE202">
            <v>49.449680000000001</v>
          </cell>
          <cell r="AF202">
            <v>4.5029204308900055E-4</v>
          </cell>
          <cell r="AG202">
            <v>7.4266666666668851E-3</v>
          </cell>
          <cell r="AH202">
            <v>16.492999999999999</v>
          </cell>
          <cell r="AI202">
            <v>16.500426666666666</v>
          </cell>
          <cell r="AJ202">
            <v>4.0609684331580987E-4</v>
          </cell>
          <cell r="AK202">
            <v>6.4571428571430344E-3</v>
          </cell>
          <cell r="AL202">
            <v>15.900499999999999</v>
          </cell>
          <cell r="AM202">
            <v>15.906957142857141</v>
          </cell>
          <cell r="AN202">
            <v>6.284120812222588E-4</v>
          </cell>
          <cell r="AO202">
            <v>4.7999999999999788E-3</v>
          </cell>
          <cell r="AP202">
            <v>7.6383000000000001</v>
          </cell>
          <cell r="AQ202">
            <v>7.6431000000000004</v>
          </cell>
          <cell r="AR202">
            <v>1.2555832616658263E-4</v>
          </cell>
          <cell r="AS202">
            <v>5.2266666666668012E-3</v>
          </cell>
          <cell r="AT202">
            <v>41.627400000000002</v>
          </cell>
          <cell r="AU202">
            <v>41.632626666666667</v>
          </cell>
          <cell r="AV202">
            <v>5.7628746574759596E-4</v>
          </cell>
          <cell r="AW202">
            <v>2.0399999999999148E-2</v>
          </cell>
          <cell r="AX202">
            <v>35.399000000000001</v>
          </cell>
          <cell r="AY202">
            <v>35.419400000000003</v>
          </cell>
          <cell r="AZ202">
            <v>4.0960486163731097E-4</v>
          </cell>
          <cell r="BA202">
            <v>3.1428571428569235E-3</v>
          </cell>
          <cell r="BB202">
            <v>7.6729000000000003</v>
          </cell>
          <cell r="BC202">
            <v>7.6760428571428569</v>
          </cell>
        </row>
        <row r="203">
          <cell r="B203">
            <v>155</v>
          </cell>
          <cell r="C203">
            <v>5</v>
          </cell>
          <cell r="D203">
            <v>5.7762924454346888E-4</v>
          </cell>
          <cell r="E203">
            <v>3.5000000000000142E-2</v>
          </cell>
          <cell r="F203">
            <v>60.592500000000001</v>
          </cell>
          <cell r="G203">
            <v>60.627499999999998</v>
          </cell>
          <cell r="H203">
            <v>8.4203443126109224E-4</v>
          </cell>
          <cell r="I203">
            <v>6.1983333333332759E-2</v>
          </cell>
          <cell r="J203">
            <v>73.611400000000003</v>
          </cell>
          <cell r="K203">
            <v>73.673383333333334</v>
          </cell>
          <cell r="L203">
            <v>1.1382698298586227E-3</v>
          </cell>
          <cell r="M203">
            <v>6.3333333333333763E-4</v>
          </cell>
          <cell r="N203">
            <v>0.55640000000000001</v>
          </cell>
          <cell r="O203">
            <v>0.55703333333333338</v>
          </cell>
          <cell r="P203">
            <v>5.1318879847137835E-4</v>
          </cell>
          <cell r="Q203">
            <v>5.5666666666667197E-2</v>
          </cell>
          <cell r="R203">
            <v>108.4721</v>
          </cell>
          <cell r="S203">
            <v>108.52776666666666</v>
          </cell>
          <cell r="T203">
            <v>1.0278288319593904E-3</v>
          </cell>
          <cell r="U203">
            <v>4.9099999999999255E-2</v>
          </cell>
          <cell r="V203">
            <v>47.770600000000002</v>
          </cell>
          <cell r="W203">
            <v>47.819699999999997</v>
          </cell>
          <cell r="X203">
            <v>3.420286561005596E-4</v>
          </cell>
          <cell r="Y203">
            <v>1.5649999999999647E-2</v>
          </cell>
          <cell r="Z203">
            <v>45.756399999999999</v>
          </cell>
          <cell r="AA203">
            <v>45.77205</v>
          </cell>
          <cell r="AB203">
            <v>7.3552324334386781E-4</v>
          </cell>
          <cell r="AC203">
            <v>3.6349999999999959E-2</v>
          </cell>
          <cell r="AD203">
            <v>49.4206</v>
          </cell>
          <cell r="AE203">
            <v>49.456949999999999</v>
          </cell>
          <cell r="AF203">
            <v>5.628650538612507E-4</v>
          </cell>
          <cell r="AG203">
            <v>9.2833333333336068E-3</v>
          </cell>
          <cell r="AH203">
            <v>16.492999999999999</v>
          </cell>
          <cell r="AI203">
            <v>16.502283333333331</v>
          </cell>
          <cell r="AJ203">
            <v>5.0762105414476233E-4</v>
          </cell>
          <cell r="AK203">
            <v>8.0714285714287935E-3</v>
          </cell>
          <cell r="AL203">
            <v>15.900499999999999</v>
          </cell>
          <cell r="AM203">
            <v>15.908571428571427</v>
          </cell>
          <cell r="AN203">
            <v>7.8551510152782345E-4</v>
          </cell>
          <cell r="AO203">
            <v>5.9999999999999732E-3</v>
          </cell>
          <cell r="AP203">
            <v>7.6383000000000001</v>
          </cell>
          <cell r="AQ203">
            <v>7.6443000000000003</v>
          </cell>
          <cell r="AR203">
            <v>1.5694790770822827E-4</v>
          </cell>
          <cell r="AS203">
            <v>6.533333333333502E-3</v>
          </cell>
          <cell r="AT203">
            <v>41.627400000000002</v>
          </cell>
          <cell r="AU203">
            <v>41.633933333333331</v>
          </cell>
          <cell r="AV203">
            <v>7.2035933218449492E-4</v>
          </cell>
          <cell r="AW203">
            <v>2.5499999999998937E-2</v>
          </cell>
          <cell r="AX203">
            <v>35.399000000000001</v>
          </cell>
          <cell r="AY203">
            <v>35.424500000000002</v>
          </cell>
          <cell r="AZ203">
            <v>5.1200607704663867E-4</v>
          </cell>
          <cell r="BA203">
            <v>3.9285714285711548E-3</v>
          </cell>
          <cell r="BB203">
            <v>7.6729000000000003</v>
          </cell>
          <cell r="BC203">
            <v>7.6768285714285716</v>
          </cell>
        </row>
        <row r="204">
          <cell r="B204">
            <v>156</v>
          </cell>
          <cell r="C204">
            <v>6</v>
          </cell>
          <cell r="D204">
            <v>6.9315509345216277E-4</v>
          </cell>
          <cell r="E204">
            <v>4.2000000000000169E-2</v>
          </cell>
          <cell r="F204">
            <v>60.592500000000001</v>
          </cell>
          <cell r="G204">
            <v>60.634500000000003</v>
          </cell>
          <cell r="H204">
            <v>1.0104413175133105E-3</v>
          </cell>
          <cell r="I204">
            <v>7.4379999999999308E-2</v>
          </cell>
          <cell r="J204">
            <v>73.611400000000003</v>
          </cell>
          <cell r="K204">
            <v>73.685780000000008</v>
          </cell>
          <cell r="L204">
            <v>1.3659237958303472E-3</v>
          </cell>
          <cell r="M204">
            <v>7.6000000000000514E-4</v>
          </cell>
          <cell r="N204">
            <v>0.55640000000000001</v>
          </cell>
          <cell r="O204">
            <v>0.55715999999999999</v>
          </cell>
          <cell r="P204">
            <v>6.1582655816565409E-4</v>
          </cell>
          <cell r="Q204">
            <v>6.6800000000000637E-2</v>
          </cell>
          <cell r="R204">
            <v>108.4721</v>
          </cell>
          <cell r="S204">
            <v>108.5389</v>
          </cell>
          <cell r="T204">
            <v>1.2333945983512686E-3</v>
          </cell>
          <cell r="U204">
            <v>5.8919999999999105E-2</v>
          </cell>
          <cell r="V204">
            <v>47.770600000000002</v>
          </cell>
          <cell r="W204">
            <v>47.829520000000002</v>
          </cell>
          <cell r="X204">
            <v>4.1043438732067151E-4</v>
          </cell>
          <cell r="Y204">
            <v>1.8779999999999575E-2</v>
          </cell>
          <cell r="Z204">
            <v>45.756399999999999</v>
          </cell>
          <cell r="AA204">
            <v>45.775179999999999</v>
          </cell>
          <cell r="AB204">
            <v>8.8262789201264146E-4</v>
          </cell>
          <cell r="AC204">
            <v>4.361999999999995E-2</v>
          </cell>
          <cell r="AD204">
            <v>49.4206</v>
          </cell>
          <cell r="AE204">
            <v>49.464219999999997</v>
          </cell>
          <cell r="AF204">
            <v>6.754380646335008E-4</v>
          </cell>
          <cell r="AG204">
            <v>1.1140000000000327E-2</v>
          </cell>
          <cell r="AH204">
            <v>16.492999999999999</v>
          </cell>
          <cell r="AI204">
            <v>16.50414</v>
          </cell>
          <cell r="AJ204">
            <v>6.091452649737148E-4</v>
          </cell>
          <cell r="AK204">
            <v>9.6857142857145508E-3</v>
          </cell>
          <cell r="AL204">
            <v>15.900499999999999</v>
          </cell>
          <cell r="AM204">
            <v>15.910185714285713</v>
          </cell>
          <cell r="AN204">
            <v>9.426181218333881E-4</v>
          </cell>
          <cell r="AO204">
            <v>7.1999999999999686E-3</v>
          </cell>
          <cell r="AP204">
            <v>7.6383000000000001</v>
          </cell>
          <cell r="AQ204">
            <v>7.6455000000000002</v>
          </cell>
          <cell r="AR204">
            <v>1.8833748924987394E-4</v>
          </cell>
          <cell r="AS204">
            <v>7.8400000000002027E-3</v>
          </cell>
          <cell r="AT204">
            <v>41.627400000000002</v>
          </cell>
          <cell r="AU204">
            <v>41.635240000000003</v>
          </cell>
          <cell r="AV204">
            <v>8.6443119862139399E-4</v>
          </cell>
          <cell r="AW204">
            <v>3.0599999999998722E-2</v>
          </cell>
          <cell r="AX204">
            <v>35.399000000000001</v>
          </cell>
          <cell r="AY204">
            <v>35.429600000000001</v>
          </cell>
          <cell r="AZ204">
            <v>6.1440729245596643E-4</v>
          </cell>
          <cell r="BA204">
            <v>4.7142857142853855E-3</v>
          </cell>
          <cell r="BB204">
            <v>7.6729000000000003</v>
          </cell>
          <cell r="BC204">
            <v>7.6776142857142853</v>
          </cell>
        </row>
        <row r="205">
          <cell r="B205">
            <v>157</v>
          </cell>
          <cell r="C205">
            <v>7</v>
          </cell>
          <cell r="D205">
            <v>8.0868094236085655E-4</v>
          </cell>
          <cell r="E205">
            <v>4.9000000000000196E-2</v>
          </cell>
          <cell r="F205">
            <v>60.592500000000001</v>
          </cell>
          <cell r="G205">
            <v>60.641500000000001</v>
          </cell>
          <cell r="H205">
            <v>1.1788482037655289E-3</v>
          </cell>
          <cell r="I205">
            <v>8.6776666666665864E-2</v>
          </cell>
          <cell r="J205">
            <v>73.611400000000003</v>
          </cell>
          <cell r="K205">
            <v>73.698176666666669</v>
          </cell>
          <cell r="L205">
            <v>1.5935777618020716E-3</v>
          </cell>
          <cell r="M205">
            <v>8.8666666666667264E-4</v>
          </cell>
          <cell r="N205">
            <v>0.55640000000000001</v>
          </cell>
          <cell r="O205">
            <v>0.55728666666666671</v>
          </cell>
          <cell r="P205">
            <v>7.1846431785992971E-4</v>
          </cell>
          <cell r="Q205">
            <v>7.7933333333334076E-2</v>
          </cell>
          <cell r="R205">
            <v>108.4721</v>
          </cell>
          <cell r="S205">
            <v>108.55003333333333</v>
          </cell>
          <cell r="T205">
            <v>1.4389603647431465E-3</v>
          </cell>
          <cell r="U205">
            <v>6.8739999999998955E-2</v>
          </cell>
          <cell r="V205">
            <v>47.770600000000002</v>
          </cell>
          <cell r="W205">
            <v>47.83934</v>
          </cell>
          <cell r="X205">
            <v>4.7884011854078343E-4</v>
          </cell>
          <cell r="Y205">
            <v>2.1909999999999503E-2</v>
          </cell>
          <cell r="Z205">
            <v>45.756399999999999</v>
          </cell>
          <cell r="AA205">
            <v>45.778309999999998</v>
          </cell>
          <cell r="AB205">
            <v>1.029732540681415E-3</v>
          </cell>
          <cell r="AC205">
            <v>5.0889999999999942E-2</v>
          </cell>
          <cell r="AD205">
            <v>49.4206</v>
          </cell>
          <cell r="AE205">
            <v>49.471490000000003</v>
          </cell>
          <cell r="AF205">
            <v>7.880110754057509E-4</v>
          </cell>
          <cell r="AG205">
            <v>1.2996666666667048E-2</v>
          </cell>
          <cell r="AH205">
            <v>16.492999999999999</v>
          </cell>
          <cell r="AI205">
            <v>16.505996666666665</v>
          </cell>
          <cell r="AJ205">
            <v>7.1066947580266727E-4</v>
          </cell>
          <cell r="AK205">
            <v>1.130000000000031E-2</v>
          </cell>
          <cell r="AL205">
            <v>15.900499999999999</v>
          </cell>
          <cell r="AM205">
            <v>15.911799999999999</v>
          </cell>
          <cell r="AN205">
            <v>1.0997211421389529E-3</v>
          </cell>
          <cell r="AO205">
            <v>8.3999999999999631E-3</v>
          </cell>
          <cell r="AP205">
            <v>7.6383000000000001</v>
          </cell>
          <cell r="AQ205">
            <v>7.6467000000000001</v>
          </cell>
          <cell r="AR205">
            <v>2.1972707079151958E-4</v>
          </cell>
          <cell r="AS205">
            <v>9.1466666666669035E-3</v>
          </cell>
          <cell r="AT205">
            <v>41.627400000000002</v>
          </cell>
          <cell r="AU205">
            <v>41.636546666666668</v>
          </cell>
          <cell r="AV205">
            <v>1.008503065058293E-3</v>
          </cell>
          <cell r="AW205">
            <v>3.5699999999998511E-2</v>
          </cell>
          <cell r="AX205">
            <v>35.399000000000001</v>
          </cell>
          <cell r="AY205">
            <v>35.434699999999999</v>
          </cell>
          <cell r="AZ205">
            <v>7.1680850786529418E-4</v>
          </cell>
          <cell r="BA205">
            <v>5.4999999999996163E-3</v>
          </cell>
          <cell r="BB205">
            <v>7.6729000000000003</v>
          </cell>
          <cell r="BC205">
            <v>7.6783999999999999</v>
          </cell>
        </row>
        <row r="206">
          <cell r="B206">
            <v>158</v>
          </cell>
          <cell r="C206">
            <v>8</v>
          </cell>
          <cell r="D206">
            <v>9.2420679126955032E-4</v>
          </cell>
          <cell r="E206">
            <v>5.600000000000023E-2</v>
          </cell>
          <cell r="F206">
            <v>60.592500000000001</v>
          </cell>
          <cell r="G206">
            <v>60.648499999999999</v>
          </cell>
          <cell r="H206">
            <v>1.3472550900177475E-3</v>
          </cell>
          <cell r="I206">
            <v>9.917333333333242E-2</v>
          </cell>
          <cell r="J206">
            <v>73.611400000000003</v>
          </cell>
          <cell r="K206">
            <v>73.710573333333329</v>
          </cell>
          <cell r="L206">
            <v>1.8212317277737961E-3</v>
          </cell>
          <cell r="M206">
            <v>1.0133333333333403E-3</v>
          </cell>
          <cell r="N206">
            <v>0.55640000000000001</v>
          </cell>
          <cell r="O206">
            <v>0.55741333333333332</v>
          </cell>
          <cell r="P206">
            <v>8.2110207755420534E-4</v>
          </cell>
          <cell r="Q206">
            <v>8.9066666666667516E-2</v>
          </cell>
          <cell r="R206">
            <v>108.4721</v>
          </cell>
          <cell r="S206">
            <v>108.56116666666667</v>
          </cell>
          <cell r="T206">
            <v>1.6445261311350246E-3</v>
          </cell>
          <cell r="U206">
            <v>7.8559999999998811E-2</v>
          </cell>
          <cell r="V206">
            <v>47.770600000000002</v>
          </cell>
          <cell r="W206">
            <v>47.849159999999998</v>
          </cell>
          <cell r="X206">
            <v>5.4724584976089535E-4</v>
          </cell>
          <cell r="Y206">
            <v>2.5039999999999434E-2</v>
          </cell>
          <cell r="Z206">
            <v>45.756399999999999</v>
          </cell>
          <cell r="AA206">
            <v>45.781439999999996</v>
          </cell>
          <cell r="AB206">
            <v>1.1768371893501885E-3</v>
          </cell>
          <cell r="AC206">
            <v>5.8159999999999927E-2</v>
          </cell>
          <cell r="AD206">
            <v>49.4206</v>
          </cell>
          <cell r="AE206">
            <v>49.478760000000001</v>
          </cell>
          <cell r="AF206">
            <v>9.005840861780011E-4</v>
          </cell>
          <cell r="AG206">
            <v>1.485333333333377E-2</v>
          </cell>
          <cell r="AH206">
            <v>16.492999999999999</v>
          </cell>
          <cell r="AI206">
            <v>16.507853333333333</v>
          </cell>
          <cell r="AJ206">
            <v>8.1219368663161973E-4</v>
          </cell>
          <cell r="AK206">
            <v>1.2914285714286069E-2</v>
          </cell>
          <cell r="AL206">
            <v>15.900499999999999</v>
          </cell>
          <cell r="AM206">
            <v>15.913414285714286</v>
          </cell>
          <cell r="AN206">
            <v>1.2568241624445176E-3</v>
          </cell>
          <cell r="AO206">
            <v>9.5999999999999575E-3</v>
          </cell>
          <cell r="AP206">
            <v>7.6383000000000001</v>
          </cell>
          <cell r="AQ206">
            <v>7.6478999999999999</v>
          </cell>
          <cell r="AR206">
            <v>2.5111665233316525E-4</v>
          </cell>
          <cell r="AS206">
            <v>1.0453333333333602E-2</v>
          </cell>
          <cell r="AT206">
            <v>41.627400000000002</v>
          </cell>
          <cell r="AU206">
            <v>41.637853333333332</v>
          </cell>
          <cell r="AV206">
            <v>1.1525749314951919E-3</v>
          </cell>
          <cell r="AW206">
            <v>4.0799999999998296E-2</v>
          </cell>
          <cell r="AX206">
            <v>35.399000000000001</v>
          </cell>
          <cell r="AY206">
            <v>35.439799999999998</v>
          </cell>
          <cell r="AZ206">
            <v>8.1920972327462194E-4</v>
          </cell>
          <cell r="BA206">
            <v>6.2857142857138471E-3</v>
          </cell>
          <cell r="BB206">
            <v>7.6729000000000003</v>
          </cell>
          <cell r="BC206">
            <v>7.6791857142857145</v>
          </cell>
        </row>
        <row r="207">
          <cell r="B207">
            <v>159</v>
          </cell>
          <cell r="C207">
            <v>9</v>
          </cell>
          <cell r="D207">
            <v>1.0397326401782442E-3</v>
          </cell>
          <cell r="E207">
            <v>6.300000000000025E-2</v>
          </cell>
          <cell r="F207">
            <v>60.592500000000001</v>
          </cell>
          <cell r="G207">
            <v>60.655500000000004</v>
          </cell>
          <cell r="H207">
            <v>1.5156619762699659E-3</v>
          </cell>
          <cell r="I207">
            <v>0.11156999999999898</v>
          </cell>
          <cell r="J207">
            <v>73.611400000000003</v>
          </cell>
          <cell r="K207">
            <v>73.722970000000004</v>
          </cell>
          <cell r="L207">
            <v>2.0488856937455205E-3</v>
          </cell>
          <cell r="M207">
            <v>1.1400000000000078E-3</v>
          </cell>
          <cell r="N207">
            <v>0.55640000000000001</v>
          </cell>
          <cell r="O207">
            <v>0.55754000000000004</v>
          </cell>
          <cell r="P207">
            <v>9.2373983724848097E-4</v>
          </cell>
          <cell r="Q207">
            <v>0.10020000000000095</v>
          </cell>
          <cell r="R207">
            <v>108.4721</v>
          </cell>
          <cell r="S207">
            <v>108.5723</v>
          </cell>
          <cell r="T207">
            <v>1.8500918975269027E-3</v>
          </cell>
          <cell r="U207">
            <v>8.8379999999998654E-2</v>
          </cell>
          <cell r="V207">
            <v>47.770600000000002</v>
          </cell>
          <cell r="W207">
            <v>47.858980000000003</v>
          </cell>
          <cell r="X207">
            <v>6.1565158098100716E-4</v>
          </cell>
          <cell r="Y207">
            <v>2.8169999999999362E-2</v>
          </cell>
          <cell r="Z207">
            <v>45.756399999999999</v>
          </cell>
          <cell r="AA207">
            <v>45.784570000000002</v>
          </cell>
          <cell r="AB207">
            <v>1.3239418380189621E-3</v>
          </cell>
          <cell r="AC207">
            <v>6.5429999999999919E-2</v>
          </cell>
          <cell r="AD207">
            <v>49.4206</v>
          </cell>
          <cell r="AE207">
            <v>49.48603</v>
          </cell>
          <cell r="AF207">
            <v>1.0131570969502512E-3</v>
          </cell>
          <cell r="AG207">
            <v>1.6710000000000492E-2</v>
          </cell>
          <cell r="AH207">
            <v>16.492999999999999</v>
          </cell>
          <cell r="AI207">
            <v>16.509709999999998</v>
          </cell>
          <cell r="AJ207">
            <v>9.137178974605722E-4</v>
          </cell>
          <cell r="AK207">
            <v>1.4528571428571826E-2</v>
          </cell>
          <cell r="AL207">
            <v>15.900499999999999</v>
          </cell>
          <cell r="AM207">
            <v>15.915028571428572</v>
          </cell>
          <cell r="AN207">
            <v>1.4139271827500824E-3</v>
          </cell>
          <cell r="AO207">
            <v>1.0799999999999952E-2</v>
          </cell>
          <cell r="AP207">
            <v>7.6383000000000001</v>
          </cell>
          <cell r="AQ207">
            <v>7.6490999999999998</v>
          </cell>
          <cell r="AR207">
            <v>2.8250623387481092E-4</v>
          </cell>
          <cell r="AS207">
            <v>1.1760000000000303E-2</v>
          </cell>
          <cell r="AT207">
            <v>41.627400000000002</v>
          </cell>
          <cell r="AU207">
            <v>41.639160000000004</v>
          </cell>
          <cell r="AV207">
            <v>1.2966467979320909E-3</v>
          </cell>
          <cell r="AW207">
            <v>4.5899999999998088E-2</v>
          </cell>
          <cell r="AX207">
            <v>35.399000000000001</v>
          </cell>
          <cell r="AY207">
            <v>35.444899999999997</v>
          </cell>
          <cell r="AZ207">
            <v>9.216109386839497E-4</v>
          </cell>
          <cell r="BA207">
            <v>7.0714285714280779E-3</v>
          </cell>
          <cell r="BB207">
            <v>7.6729000000000003</v>
          </cell>
          <cell r="BC207">
            <v>7.6799714285714282</v>
          </cell>
        </row>
        <row r="208">
          <cell r="B208">
            <v>160</v>
          </cell>
          <cell r="C208">
            <v>10</v>
          </cell>
          <cell r="D208">
            <v>1.1552584890869378E-3</v>
          </cell>
          <cell r="E208">
            <v>7.0000000000000284E-2</v>
          </cell>
          <cell r="F208">
            <v>60.592500000000001</v>
          </cell>
          <cell r="G208">
            <v>60.662500000000001</v>
          </cell>
          <cell r="H208">
            <v>1.6840688625221845E-3</v>
          </cell>
          <cell r="I208">
            <v>0.12396666666666552</v>
          </cell>
          <cell r="J208">
            <v>73.611400000000003</v>
          </cell>
          <cell r="K208">
            <v>73.735366666666664</v>
          </cell>
          <cell r="L208">
            <v>2.2765396597172454E-3</v>
          </cell>
          <cell r="M208">
            <v>1.2666666666666753E-3</v>
          </cell>
          <cell r="N208">
            <v>0.55640000000000001</v>
          </cell>
          <cell r="O208">
            <v>0.55766666666666664</v>
          </cell>
          <cell r="P208">
            <v>1.0263775969427567E-3</v>
          </cell>
          <cell r="Q208">
            <v>0.11133333333333439</v>
          </cell>
          <cell r="R208">
            <v>108.4721</v>
          </cell>
          <cell r="S208">
            <v>108.58343333333333</v>
          </cell>
          <cell r="T208">
            <v>2.0556576639187809E-3</v>
          </cell>
          <cell r="U208">
            <v>9.8199999999998511E-2</v>
          </cell>
          <cell r="V208">
            <v>47.770600000000002</v>
          </cell>
          <cell r="W208">
            <v>47.8688</v>
          </cell>
          <cell r="X208">
            <v>6.8405731220111919E-4</v>
          </cell>
          <cell r="Y208">
            <v>3.1299999999999294E-2</v>
          </cell>
          <cell r="Z208">
            <v>45.756399999999999</v>
          </cell>
          <cell r="AA208">
            <v>45.787700000000001</v>
          </cell>
          <cell r="AB208">
            <v>1.4710464866877356E-3</v>
          </cell>
          <cell r="AC208">
            <v>7.2699999999999917E-2</v>
          </cell>
          <cell r="AD208">
            <v>49.4206</v>
          </cell>
          <cell r="AE208">
            <v>49.493299999999998</v>
          </cell>
          <cell r="AF208">
            <v>1.1257301077225014E-3</v>
          </cell>
          <cell r="AG208">
            <v>1.8566666666667214E-2</v>
          </cell>
          <cell r="AH208">
            <v>16.492999999999999</v>
          </cell>
          <cell r="AI208">
            <v>16.511566666666667</v>
          </cell>
          <cell r="AJ208">
            <v>1.0152421082895247E-3</v>
          </cell>
          <cell r="AK208">
            <v>1.6142857142857587E-2</v>
          </cell>
          <cell r="AL208">
            <v>15.900499999999999</v>
          </cell>
          <cell r="AM208">
            <v>15.916642857142858</v>
          </cell>
          <cell r="AN208">
            <v>1.5710302030556469E-3</v>
          </cell>
          <cell r="AO208">
            <v>1.1999999999999946E-2</v>
          </cell>
          <cell r="AP208">
            <v>7.6383000000000001</v>
          </cell>
          <cell r="AQ208">
            <v>7.6502999999999997</v>
          </cell>
          <cell r="AR208">
            <v>3.1389581541645654E-4</v>
          </cell>
          <cell r="AS208">
            <v>1.3066666666667004E-2</v>
          </cell>
          <cell r="AT208">
            <v>41.627400000000002</v>
          </cell>
          <cell r="AU208">
            <v>41.640466666666669</v>
          </cell>
          <cell r="AV208">
            <v>1.4407186643689898E-3</v>
          </cell>
          <cell r="AW208">
            <v>5.0999999999997873E-2</v>
          </cell>
          <cell r="AX208">
            <v>35.399000000000001</v>
          </cell>
          <cell r="AY208">
            <v>35.449999999999996</v>
          </cell>
          <cell r="AZ208">
            <v>1.0240121540932773E-3</v>
          </cell>
          <cell r="BA208">
            <v>7.8571428571423095E-3</v>
          </cell>
          <cell r="BB208">
            <v>7.6729000000000003</v>
          </cell>
          <cell r="BC208">
            <v>7.6807571428571428</v>
          </cell>
        </row>
        <row r="209">
          <cell r="B209">
            <v>161</v>
          </cell>
          <cell r="C209">
            <v>11</v>
          </cell>
          <cell r="D209">
            <v>1.2707843379956318E-3</v>
          </cell>
          <cell r="E209">
            <v>7.7000000000000318E-2</v>
          </cell>
          <cell r="F209">
            <v>60.592500000000001</v>
          </cell>
          <cell r="G209">
            <v>60.669499999999999</v>
          </cell>
          <cell r="H209">
            <v>1.8524757487744026E-3</v>
          </cell>
          <cell r="I209">
            <v>0.13636333333333209</v>
          </cell>
          <cell r="J209">
            <v>73.611400000000003</v>
          </cell>
          <cell r="K209">
            <v>73.747763333333339</v>
          </cell>
          <cell r="L209">
            <v>2.5041936256889694E-3</v>
          </cell>
          <cell r="M209">
            <v>1.3933333333333428E-3</v>
          </cell>
          <cell r="N209">
            <v>0.55640000000000001</v>
          </cell>
          <cell r="O209">
            <v>0.55779333333333336</v>
          </cell>
          <cell r="P209">
            <v>1.1290153566370323E-3</v>
          </cell>
          <cell r="Q209">
            <v>0.12246666666666783</v>
          </cell>
          <cell r="R209">
            <v>108.4721</v>
          </cell>
          <cell r="S209">
            <v>108.59456666666667</v>
          </cell>
          <cell r="T209">
            <v>2.2612234303106592E-3</v>
          </cell>
          <cell r="U209">
            <v>0.10801999999999837</v>
          </cell>
          <cell r="V209">
            <v>47.770600000000002</v>
          </cell>
          <cell r="W209">
            <v>47.878619999999998</v>
          </cell>
          <cell r="X209">
            <v>7.5246304342123122E-4</v>
          </cell>
          <cell r="Y209">
            <v>3.4429999999999218E-2</v>
          </cell>
          <cell r="Z209">
            <v>45.756399999999999</v>
          </cell>
          <cell r="AA209">
            <v>45.79083</v>
          </cell>
          <cell r="AB209">
            <v>1.6181511353565092E-3</v>
          </cell>
          <cell r="AC209">
            <v>7.9969999999999902E-2</v>
          </cell>
          <cell r="AD209">
            <v>49.4206</v>
          </cell>
          <cell r="AE209">
            <v>49.500570000000003</v>
          </cell>
          <cell r="AF209">
            <v>1.2383031184947514E-3</v>
          </cell>
          <cell r="AG209">
            <v>2.0423333333333935E-2</v>
          </cell>
          <cell r="AH209">
            <v>16.492999999999999</v>
          </cell>
          <cell r="AI209">
            <v>16.513423333333332</v>
          </cell>
          <cell r="AJ209">
            <v>1.116766319118477E-3</v>
          </cell>
          <cell r="AK209">
            <v>1.7757142857143342E-2</v>
          </cell>
          <cell r="AL209">
            <v>15.900499999999999</v>
          </cell>
          <cell r="AM209">
            <v>15.918257142857142</v>
          </cell>
          <cell r="AN209">
            <v>1.7281332233612117E-3</v>
          </cell>
          <cell r="AO209">
            <v>1.3199999999999943E-2</v>
          </cell>
          <cell r="AP209">
            <v>7.6383000000000001</v>
          </cell>
          <cell r="AQ209">
            <v>7.6515000000000004</v>
          </cell>
          <cell r="AR209">
            <v>3.4528539695810221E-4</v>
          </cell>
          <cell r="AS209">
            <v>1.4373333333333705E-2</v>
          </cell>
          <cell r="AT209">
            <v>41.627400000000002</v>
          </cell>
          <cell r="AU209">
            <v>41.641773333333333</v>
          </cell>
          <cell r="AV209">
            <v>1.584790530805889E-3</v>
          </cell>
          <cell r="AW209">
            <v>5.6099999999997659E-2</v>
          </cell>
          <cell r="AX209">
            <v>35.399000000000001</v>
          </cell>
          <cell r="AY209">
            <v>35.455100000000002</v>
          </cell>
          <cell r="AZ209">
            <v>1.1264133695026051E-3</v>
          </cell>
          <cell r="BA209">
            <v>8.6428571428565394E-3</v>
          </cell>
          <cell r="BB209">
            <v>7.6729000000000003</v>
          </cell>
          <cell r="BC209">
            <v>7.6815428571428566</v>
          </cell>
        </row>
        <row r="210">
          <cell r="B210">
            <v>162</v>
          </cell>
          <cell r="C210">
            <v>12</v>
          </cell>
          <cell r="D210">
            <v>1.3863101869043255E-3</v>
          </cell>
          <cell r="E210">
            <v>8.4000000000000338E-2</v>
          </cell>
          <cell r="F210">
            <v>60.592500000000001</v>
          </cell>
          <cell r="G210">
            <v>60.676500000000004</v>
          </cell>
          <cell r="H210">
            <v>2.020882635026621E-3</v>
          </cell>
          <cell r="I210">
            <v>0.14875999999999862</v>
          </cell>
          <cell r="J210">
            <v>73.611400000000003</v>
          </cell>
          <cell r="K210">
            <v>73.760159999999999</v>
          </cell>
          <cell r="L210">
            <v>2.7318475916606943E-3</v>
          </cell>
          <cell r="M210">
            <v>1.5200000000000103E-3</v>
          </cell>
          <cell r="N210">
            <v>0.55640000000000001</v>
          </cell>
          <cell r="O210">
            <v>0.55791999999999997</v>
          </cell>
          <cell r="P210">
            <v>1.2316531163313082E-3</v>
          </cell>
          <cell r="Q210">
            <v>0.13360000000000127</v>
          </cell>
          <cell r="R210">
            <v>108.4721</v>
          </cell>
          <cell r="S210">
            <v>108.6057</v>
          </cell>
          <cell r="T210">
            <v>2.4667891967025371E-3</v>
          </cell>
          <cell r="U210">
            <v>0.11783999999999821</v>
          </cell>
          <cell r="V210">
            <v>47.770600000000002</v>
          </cell>
          <cell r="W210">
            <v>47.888440000000003</v>
          </cell>
          <cell r="X210">
            <v>8.2086877464134303E-4</v>
          </cell>
          <cell r="Y210">
            <v>3.755999999999915E-2</v>
          </cell>
          <cell r="Z210">
            <v>45.756399999999999</v>
          </cell>
          <cell r="AA210">
            <v>45.793959999999998</v>
          </cell>
          <cell r="AB210">
            <v>1.7652557840252829E-3</v>
          </cell>
          <cell r="AC210">
            <v>8.7239999999999901E-2</v>
          </cell>
          <cell r="AD210">
            <v>49.4206</v>
          </cell>
          <cell r="AE210">
            <v>49.507840000000002</v>
          </cell>
          <cell r="AF210">
            <v>1.3508761292670016E-3</v>
          </cell>
          <cell r="AG210">
            <v>2.2280000000000653E-2</v>
          </cell>
          <cell r="AH210">
            <v>16.492999999999999</v>
          </cell>
          <cell r="AI210">
            <v>16.515280000000001</v>
          </cell>
          <cell r="AJ210">
            <v>1.2182905299474296E-3</v>
          </cell>
          <cell r="AK210">
            <v>1.9371428571429102E-2</v>
          </cell>
          <cell r="AL210">
            <v>15.900499999999999</v>
          </cell>
          <cell r="AM210">
            <v>15.919871428571428</v>
          </cell>
          <cell r="AN210">
            <v>1.8852362436667762E-3</v>
          </cell>
          <cell r="AO210">
            <v>1.4399999999999937E-2</v>
          </cell>
          <cell r="AP210">
            <v>7.6383000000000001</v>
          </cell>
          <cell r="AQ210">
            <v>7.6527000000000003</v>
          </cell>
          <cell r="AR210">
            <v>3.7667497849974788E-4</v>
          </cell>
          <cell r="AS210">
            <v>1.5680000000000405E-2</v>
          </cell>
          <cell r="AT210">
            <v>41.627400000000002</v>
          </cell>
          <cell r="AU210">
            <v>41.643080000000005</v>
          </cell>
          <cell r="AV210">
            <v>1.728862397242788E-3</v>
          </cell>
          <cell r="AW210">
            <v>6.1199999999997444E-2</v>
          </cell>
          <cell r="AX210">
            <v>35.399000000000001</v>
          </cell>
          <cell r="AY210">
            <v>35.4602</v>
          </cell>
          <cell r="AZ210">
            <v>1.2288145849119329E-3</v>
          </cell>
          <cell r="BA210">
            <v>9.4285714285707711E-3</v>
          </cell>
          <cell r="BB210">
            <v>7.6729000000000003</v>
          </cell>
          <cell r="BC210">
            <v>7.6823285714285712</v>
          </cell>
        </row>
        <row r="211">
          <cell r="B211">
            <v>163</v>
          </cell>
          <cell r="C211">
            <v>13</v>
          </cell>
          <cell r="D211">
            <v>1.5018360358130193E-3</v>
          </cell>
          <cell r="E211">
            <v>9.1000000000000372E-2</v>
          </cell>
          <cell r="F211">
            <v>60.592500000000001</v>
          </cell>
          <cell r="G211">
            <v>60.683500000000002</v>
          </cell>
          <cell r="H211">
            <v>2.1892895212788392E-3</v>
          </cell>
          <cell r="I211">
            <v>0.16115666666666517</v>
          </cell>
          <cell r="J211">
            <v>73.611400000000003</v>
          </cell>
          <cell r="K211">
            <v>73.772556666666674</v>
          </cell>
          <cell r="L211">
            <v>2.9595015576324183E-3</v>
          </cell>
          <cell r="M211">
            <v>1.6466666666666778E-3</v>
          </cell>
          <cell r="N211">
            <v>0.55640000000000001</v>
          </cell>
          <cell r="O211">
            <v>0.55804666666666669</v>
          </cell>
          <cell r="P211">
            <v>1.3342908760255838E-3</v>
          </cell>
          <cell r="Q211">
            <v>0.14473333333333471</v>
          </cell>
          <cell r="R211">
            <v>108.4721</v>
          </cell>
          <cell r="S211">
            <v>108.61683333333333</v>
          </cell>
          <cell r="T211">
            <v>2.6723549630944155E-3</v>
          </cell>
          <cell r="U211">
            <v>0.12765999999999805</v>
          </cell>
          <cell r="V211">
            <v>47.770600000000002</v>
          </cell>
          <cell r="W211">
            <v>47.898260000000001</v>
          </cell>
          <cell r="X211">
            <v>8.8927450586145484E-4</v>
          </cell>
          <cell r="Y211">
            <v>4.0689999999999081E-2</v>
          </cell>
          <cell r="Z211">
            <v>45.756399999999999</v>
          </cell>
          <cell r="AA211">
            <v>45.797089999999997</v>
          </cell>
          <cell r="AB211">
            <v>1.9123604326940565E-3</v>
          </cell>
          <cell r="AC211">
            <v>9.4509999999999886E-2</v>
          </cell>
          <cell r="AD211">
            <v>49.4206</v>
          </cell>
          <cell r="AE211">
            <v>49.51511</v>
          </cell>
          <cell r="AF211">
            <v>1.4634491400392518E-3</v>
          </cell>
          <cell r="AG211">
            <v>2.4136666666667375E-2</v>
          </cell>
          <cell r="AH211">
            <v>16.492999999999999</v>
          </cell>
          <cell r="AI211">
            <v>16.517136666666666</v>
          </cell>
          <cell r="AJ211">
            <v>1.319814740776382E-3</v>
          </cell>
          <cell r="AK211">
            <v>2.0985714285714861E-2</v>
          </cell>
          <cell r="AL211">
            <v>15.900499999999999</v>
          </cell>
          <cell r="AM211">
            <v>15.921485714285714</v>
          </cell>
          <cell r="AN211">
            <v>2.0423392639723407E-3</v>
          </cell>
          <cell r="AO211">
            <v>1.5599999999999932E-2</v>
          </cell>
          <cell r="AP211">
            <v>7.6383000000000001</v>
          </cell>
          <cell r="AQ211">
            <v>7.6539000000000001</v>
          </cell>
          <cell r="AR211">
            <v>4.080645600413935E-4</v>
          </cell>
          <cell r="AS211">
            <v>1.6986666666667104E-2</v>
          </cell>
          <cell r="AT211">
            <v>41.627400000000002</v>
          </cell>
          <cell r="AU211">
            <v>41.644386666666669</v>
          </cell>
          <cell r="AV211">
            <v>1.872934263679687E-3</v>
          </cell>
          <cell r="AW211">
            <v>6.6299999999997236E-2</v>
          </cell>
          <cell r="AX211">
            <v>35.399000000000001</v>
          </cell>
          <cell r="AY211">
            <v>35.465299999999999</v>
          </cell>
          <cell r="AZ211">
            <v>1.3312158003212606E-3</v>
          </cell>
          <cell r="BA211">
            <v>1.0214285714285001E-2</v>
          </cell>
          <cell r="BB211">
            <v>7.6729000000000003</v>
          </cell>
          <cell r="BC211">
            <v>7.6831142857142849</v>
          </cell>
        </row>
        <row r="212">
          <cell r="B212">
            <v>164</v>
          </cell>
          <cell r="C212">
            <v>14</v>
          </cell>
          <cell r="D212">
            <v>1.6173618847217131E-3</v>
          </cell>
          <cell r="E212">
            <v>9.8000000000000392E-2</v>
          </cell>
          <cell r="F212">
            <v>60.592500000000001</v>
          </cell>
          <cell r="G212">
            <v>60.6905</v>
          </cell>
          <cell r="H212">
            <v>2.3576964075310578E-3</v>
          </cell>
          <cell r="I212">
            <v>0.17355333333333173</v>
          </cell>
          <cell r="J212">
            <v>73.611400000000003</v>
          </cell>
          <cell r="K212">
            <v>73.784953333333334</v>
          </cell>
          <cell r="L212">
            <v>3.1871555236041432E-3</v>
          </cell>
          <cell r="M212">
            <v>1.7733333333333453E-3</v>
          </cell>
          <cell r="N212">
            <v>0.55640000000000001</v>
          </cell>
          <cell r="O212">
            <v>0.5581733333333333</v>
          </cell>
          <cell r="P212">
            <v>1.4369286357198594E-3</v>
          </cell>
          <cell r="Q212">
            <v>0.15586666666666815</v>
          </cell>
          <cell r="R212">
            <v>108.4721</v>
          </cell>
          <cell r="S212">
            <v>108.62796666666667</v>
          </cell>
          <cell r="T212">
            <v>2.8779207294862929E-3</v>
          </cell>
          <cell r="U212">
            <v>0.13747999999999791</v>
          </cell>
          <cell r="V212">
            <v>47.770600000000002</v>
          </cell>
          <cell r="W212">
            <v>47.908079999999998</v>
          </cell>
          <cell r="X212">
            <v>9.5768023708156687E-4</v>
          </cell>
          <cell r="Y212">
            <v>4.3819999999999006E-2</v>
          </cell>
          <cell r="Z212">
            <v>45.756399999999999</v>
          </cell>
          <cell r="AA212">
            <v>45.800219999999996</v>
          </cell>
          <cell r="AB212">
            <v>2.05946508136283E-3</v>
          </cell>
          <cell r="AC212">
            <v>0.10177999999999988</v>
          </cell>
          <cell r="AD212">
            <v>49.4206</v>
          </cell>
          <cell r="AE212">
            <v>49.522379999999998</v>
          </cell>
          <cell r="AF212">
            <v>1.5760221508115018E-3</v>
          </cell>
          <cell r="AG212">
            <v>2.5993333333334097E-2</v>
          </cell>
          <cell r="AH212">
            <v>16.492999999999999</v>
          </cell>
          <cell r="AI212">
            <v>16.518993333333334</v>
          </cell>
          <cell r="AJ212">
            <v>1.4213389516053345E-3</v>
          </cell>
          <cell r="AK212">
            <v>2.260000000000062E-2</v>
          </cell>
          <cell r="AL212">
            <v>15.900499999999999</v>
          </cell>
          <cell r="AM212">
            <v>15.9231</v>
          </cell>
          <cell r="AN212">
            <v>2.1994422842779057E-3</v>
          </cell>
          <cell r="AO212">
            <v>1.6799999999999926E-2</v>
          </cell>
          <cell r="AP212">
            <v>7.6383000000000001</v>
          </cell>
          <cell r="AQ212">
            <v>7.6551</v>
          </cell>
          <cell r="AR212">
            <v>4.3945414158303917E-4</v>
          </cell>
          <cell r="AS212">
            <v>1.8293333333333807E-2</v>
          </cell>
          <cell r="AT212">
            <v>41.627400000000002</v>
          </cell>
          <cell r="AU212">
            <v>41.645693333333334</v>
          </cell>
          <cell r="AV212">
            <v>2.0170061301165859E-3</v>
          </cell>
          <cell r="AW212">
            <v>7.1399999999997021E-2</v>
          </cell>
          <cell r="AX212">
            <v>35.399000000000001</v>
          </cell>
          <cell r="AY212">
            <v>35.470399999999998</v>
          </cell>
          <cell r="AZ212">
            <v>1.4336170157305884E-3</v>
          </cell>
          <cell r="BA212">
            <v>1.0999999999999233E-2</v>
          </cell>
          <cell r="BB212">
            <v>7.6729000000000003</v>
          </cell>
          <cell r="BC212">
            <v>7.6838999999999995</v>
          </cell>
        </row>
        <row r="213">
          <cell r="B213">
            <v>165</v>
          </cell>
          <cell r="C213">
            <v>15</v>
          </cell>
          <cell r="D213">
            <v>1.7328877336304069E-3</v>
          </cell>
          <cell r="E213">
            <v>0.10500000000000043</v>
          </cell>
          <cell r="F213">
            <v>60.592500000000001</v>
          </cell>
          <cell r="G213">
            <v>60.697500000000005</v>
          </cell>
          <cell r="H213">
            <v>2.5261032937832764E-3</v>
          </cell>
          <cell r="I213">
            <v>0.18594999999999828</v>
          </cell>
          <cell r="J213">
            <v>73.611400000000003</v>
          </cell>
          <cell r="K213">
            <v>73.797349999999994</v>
          </cell>
          <cell r="L213">
            <v>3.4148094895758677E-3</v>
          </cell>
          <cell r="M213">
            <v>1.9000000000000128E-3</v>
          </cell>
          <cell r="N213">
            <v>0.55640000000000001</v>
          </cell>
          <cell r="O213">
            <v>0.55830000000000002</v>
          </cell>
          <cell r="P213">
            <v>1.5395663954141351E-3</v>
          </cell>
          <cell r="Q213">
            <v>0.16700000000000159</v>
          </cell>
          <cell r="R213">
            <v>108.4721</v>
          </cell>
          <cell r="S213">
            <v>108.6391</v>
          </cell>
          <cell r="T213">
            <v>3.0834864958781713E-3</v>
          </cell>
          <cell r="U213">
            <v>0.14729999999999777</v>
          </cell>
          <cell r="V213">
            <v>47.770600000000002</v>
          </cell>
          <cell r="W213">
            <v>47.917900000000003</v>
          </cell>
          <cell r="X213">
            <v>1.0260859683016788E-3</v>
          </cell>
          <cell r="Y213">
            <v>4.6949999999998937E-2</v>
          </cell>
          <cell r="Z213">
            <v>45.756399999999999</v>
          </cell>
          <cell r="AA213">
            <v>45.803349999999995</v>
          </cell>
          <cell r="AB213">
            <v>2.2065697300316035E-3</v>
          </cell>
          <cell r="AC213">
            <v>0.10904999999999987</v>
          </cell>
          <cell r="AD213">
            <v>49.4206</v>
          </cell>
          <cell r="AE213">
            <v>49.529650000000004</v>
          </cell>
          <cell r="AF213">
            <v>1.688595161583752E-3</v>
          </cell>
          <cell r="AG213">
            <v>2.7850000000000819E-2</v>
          </cell>
          <cell r="AH213">
            <v>16.492999999999999</v>
          </cell>
          <cell r="AI213">
            <v>16.520849999999999</v>
          </cell>
          <cell r="AJ213">
            <v>1.5228631624342871E-3</v>
          </cell>
          <cell r="AK213">
            <v>2.4214285714286379E-2</v>
          </cell>
          <cell r="AL213">
            <v>15.900499999999999</v>
          </cell>
          <cell r="AM213">
            <v>15.924714285714286</v>
          </cell>
          <cell r="AN213">
            <v>2.3565453045834707E-3</v>
          </cell>
          <cell r="AO213">
            <v>1.7999999999999922E-2</v>
          </cell>
          <cell r="AP213">
            <v>7.6383000000000001</v>
          </cell>
          <cell r="AQ213">
            <v>7.6562999999999999</v>
          </cell>
          <cell r="AR213">
            <v>4.7084372312468484E-4</v>
          </cell>
          <cell r="AS213">
            <v>1.9600000000000506E-2</v>
          </cell>
          <cell r="AT213">
            <v>41.627400000000002</v>
          </cell>
          <cell r="AU213">
            <v>41.647000000000006</v>
          </cell>
          <cell r="AV213">
            <v>2.1610779965534851E-3</v>
          </cell>
          <cell r="AW213">
            <v>7.6499999999996807E-2</v>
          </cell>
          <cell r="AX213">
            <v>35.399000000000001</v>
          </cell>
          <cell r="AY213">
            <v>35.475499999999997</v>
          </cell>
          <cell r="AZ213">
            <v>1.5360182311399161E-3</v>
          </cell>
          <cell r="BA213">
            <v>1.1785714285713464E-2</v>
          </cell>
          <cell r="BB213">
            <v>7.6729000000000003</v>
          </cell>
          <cell r="BC213">
            <v>7.6846857142857141</v>
          </cell>
        </row>
        <row r="214">
          <cell r="B214">
            <v>166</v>
          </cell>
          <cell r="C214">
            <v>16</v>
          </cell>
          <cell r="D214">
            <v>1.8484135825391006E-3</v>
          </cell>
          <cell r="E214">
            <v>0.11200000000000046</v>
          </cell>
          <cell r="F214">
            <v>60.592500000000001</v>
          </cell>
          <cell r="G214">
            <v>60.704500000000003</v>
          </cell>
          <cell r="H214">
            <v>2.694510180035495E-3</v>
          </cell>
          <cell r="I214">
            <v>0.19834666666666484</v>
          </cell>
          <cell r="J214">
            <v>73.611400000000003</v>
          </cell>
          <cell r="K214">
            <v>73.809746666666669</v>
          </cell>
          <cell r="L214">
            <v>3.6424634555475921E-3</v>
          </cell>
          <cell r="M214">
            <v>2.0266666666666805E-3</v>
          </cell>
          <cell r="N214">
            <v>0.55640000000000001</v>
          </cell>
          <cell r="O214">
            <v>0.55842666666666674</v>
          </cell>
          <cell r="P214">
            <v>1.6422041551084107E-3</v>
          </cell>
          <cell r="Q214">
            <v>0.17813333333333503</v>
          </cell>
          <cell r="R214">
            <v>108.4721</v>
          </cell>
          <cell r="S214">
            <v>108.65023333333333</v>
          </cell>
          <cell r="T214">
            <v>3.2890522622700492E-3</v>
          </cell>
          <cell r="U214">
            <v>0.15711999999999762</v>
          </cell>
          <cell r="V214">
            <v>47.770600000000002</v>
          </cell>
          <cell r="W214">
            <v>47.927720000000001</v>
          </cell>
          <cell r="X214">
            <v>1.0944916995217907E-3</v>
          </cell>
          <cell r="Y214">
            <v>5.0079999999998868E-2</v>
          </cell>
          <cell r="Z214">
            <v>45.756399999999999</v>
          </cell>
          <cell r="AA214">
            <v>45.806480000000001</v>
          </cell>
          <cell r="AB214">
            <v>2.3536743787003771E-3</v>
          </cell>
          <cell r="AC214">
            <v>0.11631999999999985</v>
          </cell>
          <cell r="AD214">
            <v>49.4206</v>
          </cell>
          <cell r="AE214">
            <v>49.536920000000002</v>
          </cell>
          <cell r="AF214">
            <v>1.8011681723560022E-3</v>
          </cell>
          <cell r="AG214">
            <v>2.970666666666754E-2</v>
          </cell>
          <cell r="AH214">
            <v>16.492999999999999</v>
          </cell>
          <cell r="AI214">
            <v>16.522706666666664</v>
          </cell>
          <cell r="AJ214">
            <v>1.6243873732632395E-3</v>
          </cell>
          <cell r="AK214">
            <v>2.5828571428572138E-2</v>
          </cell>
          <cell r="AL214">
            <v>15.900499999999999</v>
          </cell>
          <cell r="AM214">
            <v>15.926328571428572</v>
          </cell>
          <cell r="AN214">
            <v>2.5136483248890352E-3</v>
          </cell>
          <cell r="AO214">
            <v>1.9199999999999915E-2</v>
          </cell>
          <cell r="AP214">
            <v>7.6383000000000001</v>
          </cell>
          <cell r="AQ214">
            <v>7.6574999999999998</v>
          </cell>
          <cell r="AR214">
            <v>5.0223330466633051E-4</v>
          </cell>
          <cell r="AS214">
            <v>2.0906666666667205E-2</v>
          </cell>
          <cell r="AT214">
            <v>41.627400000000002</v>
          </cell>
          <cell r="AU214">
            <v>41.64830666666667</v>
          </cell>
          <cell r="AV214">
            <v>2.3051498629903838E-3</v>
          </cell>
          <cell r="AW214">
            <v>8.1599999999996592E-2</v>
          </cell>
          <cell r="AX214">
            <v>35.399000000000001</v>
          </cell>
          <cell r="AY214">
            <v>35.480599999999995</v>
          </cell>
          <cell r="AZ214">
            <v>1.6384194465492439E-3</v>
          </cell>
          <cell r="BA214">
            <v>1.2571428571427694E-2</v>
          </cell>
          <cell r="BB214">
            <v>7.6729000000000003</v>
          </cell>
          <cell r="BC214">
            <v>7.6854714285714278</v>
          </cell>
        </row>
        <row r="215">
          <cell r="B215">
            <v>167</v>
          </cell>
          <cell r="C215">
            <v>17</v>
          </cell>
          <cell r="D215">
            <v>1.9639394314477942E-3</v>
          </cell>
          <cell r="E215">
            <v>0.11900000000000048</v>
          </cell>
          <cell r="F215">
            <v>60.592500000000001</v>
          </cell>
          <cell r="G215">
            <v>60.711500000000001</v>
          </cell>
          <cell r="H215">
            <v>2.8629170662877131E-3</v>
          </cell>
          <cell r="I215">
            <v>0.2107433333333314</v>
          </cell>
          <cell r="J215">
            <v>73.611400000000003</v>
          </cell>
          <cell r="K215">
            <v>73.822143333333329</v>
          </cell>
          <cell r="L215">
            <v>3.870117421519317E-3</v>
          </cell>
          <cell r="M215">
            <v>2.1533333333333478E-3</v>
          </cell>
          <cell r="N215">
            <v>0.55640000000000001</v>
          </cell>
          <cell r="O215">
            <v>0.55855333333333335</v>
          </cell>
          <cell r="P215">
            <v>1.7448419148026863E-3</v>
          </cell>
          <cell r="Q215">
            <v>0.18926666666666847</v>
          </cell>
          <cell r="R215">
            <v>108.4721</v>
          </cell>
          <cell r="S215">
            <v>108.66136666666667</v>
          </cell>
          <cell r="T215">
            <v>3.4946180286619271E-3</v>
          </cell>
          <cell r="U215">
            <v>0.16693999999999748</v>
          </cell>
          <cell r="V215">
            <v>47.770600000000002</v>
          </cell>
          <cell r="W215">
            <v>47.937539999999998</v>
          </cell>
          <cell r="X215">
            <v>1.1628974307419026E-3</v>
          </cell>
          <cell r="Y215">
            <v>5.3209999999998793E-2</v>
          </cell>
          <cell r="Z215">
            <v>45.756399999999999</v>
          </cell>
          <cell r="AA215">
            <v>45.809609999999999</v>
          </cell>
          <cell r="AB215">
            <v>2.5007790273691506E-3</v>
          </cell>
          <cell r="AC215">
            <v>0.12358999999999985</v>
          </cell>
          <cell r="AD215">
            <v>49.4206</v>
          </cell>
          <cell r="AE215">
            <v>49.54419</v>
          </cell>
          <cell r="AF215">
            <v>1.9137411831282522E-3</v>
          </cell>
          <cell r="AG215">
            <v>3.1563333333334262E-2</v>
          </cell>
          <cell r="AH215">
            <v>16.492999999999999</v>
          </cell>
          <cell r="AI215">
            <v>16.524563333333333</v>
          </cell>
          <cell r="AJ215">
            <v>1.7259115840921918E-3</v>
          </cell>
          <cell r="AK215">
            <v>2.7442857142857897E-2</v>
          </cell>
          <cell r="AL215">
            <v>15.900499999999999</v>
          </cell>
          <cell r="AM215">
            <v>15.927942857142858</v>
          </cell>
          <cell r="AN215">
            <v>2.6707513451945998E-3</v>
          </cell>
          <cell r="AO215">
            <v>2.0399999999999911E-2</v>
          </cell>
          <cell r="AP215">
            <v>7.6383000000000001</v>
          </cell>
          <cell r="AQ215">
            <v>7.6586999999999996</v>
          </cell>
          <cell r="AR215">
            <v>5.3362288620797612E-4</v>
          </cell>
          <cell r="AS215">
            <v>2.2213333333333907E-2</v>
          </cell>
          <cell r="AT215">
            <v>41.627400000000002</v>
          </cell>
          <cell r="AU215">
            <v>41.649613333333335</v>
          </cell>
          <cell r="AV215">
            <v>2.449221729427283E-3</v>
          </cell>
          <cell r="AW215">
            <v>8.6699999999996377E-2</v>
          </cell>
          <cell r="AX215">
            <v>35.399000000000001</v>
          </cell>
          <cell r="AY215">
            <v>35.485699999999994</v>
          </cell>
          <cell r="AZ215">
            <v>1.7408206619585716E-3</v>
          </cell>
          <cell r="BA215">
            <v>1.3357142857141926E-2</v>
          </cell>
          <cell r="BB215">
            <v>7.6729000000000003</v>
          </cell>
          <cell r="BC215">
            <v>7.6862571428571425</v>
          </cell>
        </row>
        <row r="216">
          <cell r="B216">
            <v>168</v>
          </cell>
          <cell r="C216">
            <v>18</v>
          </cell>
          <cell r="D216">
            <v>2.0794652803564884E-3</v>
          </cell>
          <cell r="E216">
            <v>0.1260000000000005</v>
          </cell>
          <cell r="F216">
            <v>60.592500000000001</v>
          </cell>
          <cell r="G216">
            <v>60.718499999999999</v>
          </cell>
          <cell r="H216">
            <v>3.0313239525399317E-3</v>
          </cell>
          <cell r="I216">
            <v>0.22313999999999795</v>
          </cell>
          <cell r="J216">
            <v>73.611400000000003</v>
          </cell>
          <cell r="K216">
            <v>73.834540000000004</v>
          </cell>
          <cell r="L216">
            <v>4.097771387491041E-3</v>
          </cell>
          <cell r="M216">
            <v>2.2800000000000155E-3</v>
          </cell>
          <cell r="N216">
            <v>0.55640000000000001</v>
          </cell>
          <cell r="O216">
            <v>0.55868000000000007</v>
          </cell>
          <cell r="P216">
            <v>1.8474796744969619E-3</v>
          </cell>
          <cell r="Q216">
            <v>0.20040000000000191</v>
          </cell>
          <cell r="R216">
            <v>108.4721</v>
          </cell>
          <cell r="S216">
            <v>108.6725</v>
          </cell>
          <cell r="T216">
            <v>3.7001837950538055E-3</v>
          </cell>
          <cell r="U216">
            <v>0.17675999999999731</v>
          </cell>
          <cell r="V216">
            <v>47.770600000000002</v>
          </cell>
          <cell r="W216">
            <v>47.947359999999996</v>
          </cell>
          <cell r="X216">
            <v>1.2313031619620143E-3</v>
          </cell>
          <cell r="Y216">
            <v>5.6339999999998724E-2</v>
          </cell>
          <cell r="Z216">
            <v>45.756399999999999</v>
          </cell>
          <cell r="AA216">
            <v>45.812739999999998</v>
          </cell>
          <cell r="AB216">
            <v>2.6478836760379242E-3</v>
          </cell>
          <cell r="AC216">
            <v>0.13085999999999984</v>
          </cell>
          <cell r="AD216">
            <v>49.4206</v>
          </cell>
          <cell r="AE216">
            <v>49.551459999999999</v>
          </cell>
          <cell r="AF216">
            <v>2.0263141939005024E-3</v>
          </cell>
          <cell r="AG216">
            <v>3.3420000000000984E-2</v>
          </cell>
          <cell r="AH216">
            <v>16.492999999999999</v>
          </cell>
          <cell r="AI216">
            <v>16.526419999999998</v>
          </cell>
          <cell r="AJ216">
            <v>1.8274357949211444E-3</v>
          </cell>
          <cell r="AK216">
            <v>2.9057142857143652E-2</v>
          </cell>
          <cell r="AL216">
            <v>15.900499999999999</v>
          </cell>
          <cell r="AM216">
            <v>15.929557142857142</v>
          </cell>
          <cell r="AN216">
            <v>2.8278543655001647E-3</v>
          </cell>
          <cell r="AO216">
            <v>2.1599999999999904E-2</v>
          </cell>
          <cell r="AP216">
            <v>7.6383000000000001</v>
          </cell>
          <cell r="AQ216">
            <v>7.6599000000000004</v>
          </cell>
          <cell r="AR216">
            <v>5.6501246774962185E-4</v>
          </cell>
          <cell r="AS216">
            <v>2.3520000000000606E-2</v>
          </cell>
          <cell r="AT216">
            <v>41.627400000000002</v>
          </cell>
          <cell r="AU216">
            <v>41.650919999999999</v>
          </cell>
          <cell r="AV216">
            <v>2.5932935958641818E-3</v>
          </cell>
          <cell r="AW216">
            <v>9.1799999999996176E-2</v>
          </cell>
          <cell r="AX216">
            <v>35.399000000000001</v>
          </cell>
          <cell r="AY216">
            <v>35.4908</v>
          </cell>
          <cell r="AZ216">
            <v>1.8432218773678994E-3</v>
          </cell>
          <cell r="BA216">
            <v>1.4142857142856156E-2</v>
          </cell>
          <cell r="BB216">
            <v>7.6729000000000003</v>
          </cell>
          <cell r="BC216">
            <v>7.6870428571428562</v>
          </cell>
        </row>
        <row r="217">
          <cell r="B217">
            <v>169</v>
          </cell>
          <cell r="C217">
            <v>19</v>
          </cell>
          <cell r="D217">
            <v>2.1949911292651822E-3</v>
          </cell>
          <cell r="E217">
            <v>0.13300000000000053</v>
          </cell>
          <cell r="F217">
            <v>60.592500000000001</v>
          </cell>
          <cell r="G217">
            <v>60.725500000000004</v>
          </cell>
          <cell r="H217">
            <v>3.1997308387921503E-3</v>
          </cell>
          <cell r="I217">
            <v>0.23553666666666448</v>
          </cell>
          <cell r="J217">
            <v>73.611400000000003</v>
          </cell>
          <cell r="K217">
            <v>73.846936666666664</v>
          </cell>
          <cell r="L217">
            <v>4.3254253534627659E-3</v>
          </cell>
          <cell r="M217">
            <v>2.4066666666666828E-3</v>
          </cell>
          <cell r="N217">
            <v>0.55640000000000001</v>
          </cell>
          <cell r="O217">
            <v>0.55880666666666667</v>
          </cell>
          <cell r="P217">
            <v>1.9501174341912376E-3</v>
          </cell>
          <cell r="Q217">
            <v>0.21153333333333535</v>
          </cell>
          <cell r="R217">
            <v>108.4721</v>
          </cell>
          <cell r="S217">
            <v>108.68363333333333</v>
          </cell>
          <cell r="T217">
            <v>3.9057495614456834E-3</v>
          </cell>
          <cell r="U217">
            <v>0.18657999999999716</v>
          </cell>
          <cell r="V217">
            <v>47.770600000000002</v>
          </cell>
          <cell r="W217">
            <v>47.957180000000001</v>
          </cell>
          <cell r="X217">
            <v>1.2997088931821265E-3</v>
          </cell>
          <cell r="Y217">
            <v>5.9469999999998656E-2</v>
          </cell>
          <cell r="Z217">
            <v>45.756399999999999</v>
          </cell>
          <cell r="AA217">
            <v>45.815869999999997</v>
          </cell>
          <cell r="AB217">
            <v>2.7949883247066977E-3</v>
          </cell>
          <cell r="AC217">
            <v>0.13812999999999984</v>
          </cell>
          <cell r="AD217">
            <v>49.4206</v>
          </cell>
          <cell r="AE217">
            <v>49.558729999999997</v>
          </cell>
          <cell r="AF217">
            <v>2.1388872046727522E-3</v>
          </cell>
          <cell r="AG217">
            <v>3.5276666666667705E-2</v>
          </cell>
          <cell r="AH217">
            <v>16.492999999999999</v>
          </cell>
          <cell r="AI217">
            <v>16.528276666666667</v>
          </cell>
          <cell r="AJ217">
            <v>1.928960005750097E-3</v>
          </cell>
          <cell r="AK217">
            <v>3.0671428571429411E-2</v>
          </cell>
          <cell r="AL217">
            <v>15.900499999999999</v>
          </cell>
          <cell r="AM217">
            <v>15.931171428571428</v>
          </cell>
          <cell r="AN217">
            <v>2.9849573858057288E-3</v>
          </cell>
          <cell r="AO217">
            <v>2.27999999999999E-2</v>
          </cell>
          <cell r="AP217">
            <v>7.6383000000000001</v>
          </cell>
          <cell r="AQ217">
            <v>7.6611000000000002</v>
          </cell>
          <cell r="AR217">
            <v>5.9640204929126736E-4</v>
          </cell>
          <cell r="AS217">
            <v>2.4826666666667309E-2</v>
          </cell>
          <cell r="AT217">
            <v>41.627400000000002</v>
          </cell>
          <cell r="AU217">
            <v>41.652226666666671</v>
          </cell>
          <cell r="AV217">
            <v>2.7373654623010809E-3</v>
          </cell>
          <cell r="AW217">
            <v>9.6899999999995962E-2</v>
          </cell>
          <cell r="AX217">
            <v>35.399000000000001</v>
          </cell>
          <cell r="AY217">
            <v>35.495899999999999</v>
          </cell>
          <cell r="AZ217">
            <v>1.9456230927772271E-3</v>
          </cell>
          <cell r="BA217">
            <v>1.4928571428570387E-2</v>
          </cell>
          <cell r="BB217">
            <v>7.6729000000000003</v>
          </cell>
          <cell r="BC217">
            <v>7.6878285714285708</v>
          </cell>
        </row>
        <row r="218">
          <cell r="B218">
            <v>170</v>
          </cell>
          <cell r="C218">
            <v>20</v>
          </cell>
          <cell r="D218">
            <v>2.3105169781738755E-3</v>
          </cell>
          <cell r="E218">
            <v>0.14000000000000057</v>
          </cell>
          <cell r="F218">
            <v>60.592500000000001</v>
          </cell>
          <cell r="G218">
            <v>60.732500000000002</v>
          </cell>
          <cell r="H218">
            <v>3.3681377250443689E-3</v>
          </cell>
          <cell r="I218">
            <v>0.24793333333333104</v>
          </cell>
          <cell r="J218">
            <v>73.611400000000003</v>
          </cell>
          <cell r="K218">
            <v>73.859333333333339</v>
          </cell>
          <cell r="L218">
            <v>4.5530793194344908E-3</v>
          </cell>
          <cell r="M218">
            <v>2.5333333333333505E-3</v>
          </cell>
          <cell r="N218">
            <v>0.55640000000000001</v>
          </cell>
          <cell r="O218">
            <v>0.55893333333333339</v>
          </cell>
          <cell r="P218">
            <v>2.0527551938855134E-3</v>
          </cell>
          <cell r="Q218">
            <v>0.22266666666666879</v>
          </cell>
          <cell r="R218">
            <v>108.4721</v>
          </cell>
          <cell r="S218">
            <v>108.69476666666667</v>
          </cell>
          <cell r="T218">
            <v>4.1113153278375617E-3</v>
          </cell>
          <cell r="U218">
            <v>0.19639999999999702</v>
          </cell>
          <cell r="V218">
            <v>47.770600000000002</v>
          </cell>
          <cell r="W218">
            <v>47.966999999999999</v>
          </cell>
          <cell r="X218">
            <v>1.3681146244022384E-3</v>
          </cell>
          <cell r="Y218">
            <v>6.2599999999998587E-2</v>
          </cell>
          <cell r="Z218">
            <v>45.756399999999999</v>
          </cell>
          <cell r="AA218">
            <v>45.818999999999996</v>
          </cell>
          <cell r="AB218">
            <v>2.9420929733754713E-3</v>
          </cell>
          <cell r="AC218">
            <v>0.14539999999999983</v>
          </cell>
          <cell r="AD218">
            <v>49.4206</v>
          </cell>
          <cell r="AE218">
            <v>49.566000000000003</v>
          </cell>
          <cell r="AF218">
            <v>2.2514602154450028E-3</v>
          </cell>
          <cell r="AG218">
            <v>3.7133333333334427E-2</v>
          </cell>
          <cell r="AH218">
            <v>16.492999999999999</v>
          </cell>
          <cell r="AI218">
            <v>16.530133333333332</v>
          </cell>
          <cell r="AJ218">
            <v>2.0304842165790493E-3</v>
          </cell>
          <cell r="AK218">
            <v>3.2285714285715174E-2</v>
          </cell>
          <cell r="AL218">
            <v>15.900499999999999</v>
          </cell>
          <cell r="AM218">
            <v>15.932785714285714</v>
          </cell>
          <cell r="AN218">
            <v>3.1420604061112938E-3</v>
          </cell>
          <cell r="AO218">
            <v>2.3999999999999893E-2</v>
          </cell>
          <cell r="AP218">
            <v>7.6383000000000001</v>
          </cell>
          <cell r="AQ218">
            <v>7.6623000000000001</v>
          </cell>
          <cell r="AR218">
            <v>6.2779163083291308E-4</v>
          </cell>
          <cell r="AS218">
            <v>2.6133333333334008E-2</v>
          </cell>
          <cell r="AT218">
            <v>41.627400000000002</v>
          </cell>
          <cell r="AU218">
            <v>41.653533333333336</v>
          </cell>
          <cell r="AV218">
            <v>2.8814373287379797E-3</v>
          </cell>
          <cell r="AW218">
            <v>0.10199999999999575</v>
          </cell>
          <cell r="AX218">
            <v>35.399000000000001</v>
          </cell>
          <cell r="AY218">
            <v>35.500999999999998</v>
          </cell>
          <cell r="AZ218">
            <v>2.0480243081865547E-3</v>
          </cell>
          <cell r="BA218">
            <v>1.5714285714284619E-2</v>
          </cell>
          <cell r="BB218">
            <v>7.6729000000000003</v>
          </cell>
          <cell r="BC218">
            <v>7.6886142857142845</v>
          </cell>
        </row>
        <row r="219">
          <cell r="B219">
            <v>171</v>
          </cell>
          <cell r="C219">
            <v>21</v>
          </cell>
          <cell r="D219">
            <v>2.4260428270825697E-3</v>
          </cell>
          <cell r="E219">
            <v>0.1470000000000006</v>
          </cell>
          <cell r="F219">
            <v>60.592500000000001</v>
          </cell>
          <cell r="G219">
            <v>60.7395</v>
          </cell>
          <cell r="H219">
            <v>3.5365446112965867E-3</v>
          </cell>
          <cell r="I219">
            <v>0.26032999999999762</v>
          </cell>
          <cell r="J219">
            <v>73.611400000000003</v>
          </cell>
          <cell r="K219">
            <v>73.871729999999999</v>
          </cell>
          <cell r="L219">
            <v>4.780733285406214E-3</v>
          </cell>
          <cell r="M219">
            <v>2.6600000000000178E-3</v>
          </cell>
          <cell r="N219">
            <v>0.55640000000000001</v>
          </cell>
          <cell r="O219">
            <v>0.55906</v>
          </cell>
          <cell r="P219">
            <v>2.1553929535797892E-3</v>
          </cell>
          <cell r="Q219">
            <v>0.23380000000000223</v>
          </cell>
          <cell r="R219">
            <v>108.4721</v>
          </cell>
          <cell r="S219">
            <v>108.7059</v>
          </cell>
          <cell r="T219">
            <v>4.3168810942294401E-3</v>
          </cell>
          <cell r="U219">
            <v>0.20621999999999688</v>
          </cell>
          <cell r="V219">
            <v>47.770600000000002</v>
          </cell>
          <cell r="W219">
            <v>47.976819999999996</v>
          </cell>
          <cell r="X219">
            <v>1.4365203556223503E-3</v>
          </cell>
          <cell r="Y219">
            <v>6.5729999999998512E-2</v>
          </cell>
          <cell r="Z219">
            <v>45.756399999999999</v>
          </cell>
          <cell r="AA219">
            <v>45.822130000000001</v>
          </cell>
          <cell r="AB219">
            <v>3.0891976220442448E-3</v>
          </cell>
          <cell r="AC219">
            <v>0.15266999999999981</v>
          </cell>
          <cell r="AD219">
            <v>49.4206</v>
          </cell>
          <cell r="AE219">
            <v>49.573270000000001</v>
          </cell>
          <cell r="AF219">
            <v>2.364033226217253E-3</v>
          </cell>
          <cell r="AG219">
            <v>3.8990000000001149E-2</v>
          </cell>
          <cell r="AH219">
            <v>16.492999999999999</v>
          </cell>
          <cell r="AI219">
            <v>16.53199</v>
          </cell>
          <cell r="AJ219">
            <v>2.1320084274080017E-3</v>
          </cell>
          <cell r="AK219">
            <v>3.3900000000000929E-2</v>
          </cell>
          <cell r="AL219">
            <v>15.900499999999999</v>
          </cell>
          <cell r="AM219">
            <v>15.9344</v>
          </cell>
          <cell r="AN219">
            <v>3.2991634264168583E-3</v>
          </cell>
          <cell r="AO219">
            <v>2.5199999999999889E-2</v>
          </cell>
          <cell r="AP219">
            <v>7.6383000000000001</v>
          </cell>
          <cell r="AQ219">
            <v>7.6635</v>
          </cell>
          <cell r="AR219">
            <v>6.5918121237455881E-4</v>
          </cell>
          <cell r="AS219">
            <v>2.7440000000000707E-2</v>
          </cell>
          <cell r="AT219">
            <v>41.627400000000002</v>
          </cell>
          <cell r="AU219">
            <v>41.65484</v>
          </cell>
          <cell r="AV219">
            <v>3.0255091951748789E-3</v>
          </cell>
          <cell r="AW219">
            <v>0.10709999999999553</v>
          </cell>
          <cell r="AX219">
            <v>35.399000000000001</v>
          </cell>
          <cell r="AY219">
            <v>35.506099999999996</v>
          </cell>
          <cell r="AZ219">
            <v>2.1504255235958824E-3</v>
          </cell>
          <cell r="BA219">
            <v>1.6499999999998849E-2</v>
          </cell>
          <cell r="BB219">
            <v>7.6729000000000003</v>
          </cell>
          <cell r="BC219">
            <v>7.6893999999999991</v>
          </cell>
        </row>
        <row r="220">
          <cell r="B220">
            <v>172</v>
          </cell>
          <cell r="C220">
            <v>22</v>
          </cell>
          <cell r="D220">
            <v>2.5415686759912635E-3</v>
          </cell>
          <cell r="E220">
            <v>0.15400000000000064</v>
          </cell>
          <cell r="F220">
            <v>60.592500000000001</v>
          </cell>
          <cell r="G220">
            <v>60.746500000000005</v>
          </cell>
          <cell r="H220">
            <v>3.7049514975488053E-3</v>
          </cell>
          <cell r="I220">
            <v>0.27272666666666417</v>
          </cell>
          <cell r="J220">
            <v>73.611400000000003</v>
          </cell>
          <cell r="K220">
            <v>73.884126666666674</v>
          </cell>
          <cell r="L220">
            <v>5.0083872513779389E-3</v>
          </cell>
          <cell r="M220">
            <v>2.7866666666666855E-3</v>
          </cell>
          <cell r="N220">
            <v>0.55640000000000001</v>
          </cell>
          <cell r="O220">
            <v>0.55918666666666672</v>
          </cell>
          <cell r="P220">
            <v>2.2580307132740647E-3</v>
          </cell>
          <cell r="Q220">
            <v>0.24493333333333567</v>
          </cell>
          <cell r="R220">
            <v>108.4721</v>
          </cell>
          <cell r="S220">
            <v>108.71703333333333</v>
          </cell>
          <cell r="T220">
            <v>4.5224468606213184E-3</v>
          </cell>
          <cell r="U220">
            <v>0.21603999999999673</v>
          </cell>
          <cell r="V220">
            <v>47.770600000000002</v>
          </cell>
          <cell r="W220">
            <v>47.986640000000001</v>
          </cell>
          <cell r="X220">
            <v>1.5049260868424624E-3</v>
          </cell>
          <cell r="Y220">
            <v>6.8859999999998436E-2</v>
          </cell>
          <cell r="Z220">
            <v>45.756399999999999</v>
          </cell>
          <cell r="AA220">
            <v>45.82526</v>
          </cell>
          <cell r="AB220">
            <v>3.2363022707130183E-3</v>
          </cell>
          <cell r="AC220">
            <v>0.1599399999999998</v>
          </cell>
          <cell r="AD220">
            <v>49.4206</v>
          </cell>
          <cell r="AE220">
            <v>49.580539999999999</v>
          </cell>
          <cell r="AF220">
            <v>2.4766062369895028E-3</v>
          </cell>
          <cell r="AG220">
            <v>4.084666666666787E-2</v>
          </cell>
          <cell r="AH220">
            <v>16.492999999999999</v>
          </cell>
          <cell r="AI220">
            <v>16.533846666666665</v>
          </cell>
          <cell r="AJ220">
            <v>2.2335326382369541E-3</v>
          </cell>
          <cell r="AK220">
            <v>3.5514285714286685E-2</v>
          </cell>
          <cell r="AL220">
            <v>15.900499999999999</v>
          </cell>
          <cell r="AM220">
            <v>15.936014285714286</v>
          </cell>
          <cell r="AN220">
            <v>3.4562664467224233E-3</v>
          </cell>
          <cell r="AO220">
            <v>2.6399999999999885E-2</v>
          </cell>
          <cell r="AP220">
            <v>7.6383000000000001</v>
          </cell>
          <cell r="AQ220">
            <v>7.6646999999999998</v>
          </cell>
          <cell r="AR220">
            <v>6.9057079391620442E-4</v>
          </cell>
          <cell r="AS220">
            <v>2.8746666666667409E-2</v>
          </cell>
          <cell r="AT220">
            <v>41.627400000000002</v>
          </cell>
          <cell r="AU220">
            <v>41.656146666666672</v>
          </cell>
          <cell r="AV220">
            <v>3.1695810616117781E-3</v>
          </cell>
          <cell r="AW220">
            <v>0.11219999999999532</v>
          </cell>
          <cell r="AX220">
            <v>35.399000000000001</v>
          </cell>
          <cell r="AY220">
            <v>35.511199999999995</v>
          </cell>
          <cell r="AZ220">
            <v>2.2528267390052102E-3</v>
          </cell>
          <cell r="BA220">
            <v>1.7285714285713079E-2</v>
          </cell>
          <cell r="BB220">
            <v>7.6729000000000003</v>
          </cell>
          <cell r="BC220">
            <v>7.6901857142857137</v>
          </cell>
        </row>
        <row r="221">
          <cell r="B221">
            <v>173</v>
          </cell>
          <cell r="C221">
            <v>23</v>
          </cell>
          <cell r="D221">
            <v>2.6570945248999573E-3</v>
          </cell>
          <cell r="E221">
            <v>0.16100000000000064</v>
          </cell>
          <cell r="F221">
            <v>60.592500000000001</v>
          </cell>
          <cell r="G221">
            <v>60.753500000000003</v>
          </cell>
          <cell r="H221">
            <v>3.8733583838010239E-3</v>
          </cell>
          <cell r="I221">
            <v>0.28512333333333068</v>
          </cell>
          <cell r="J221">
            <v>73.611400000000003</v>
          </cell>
          <cell r="K221">
            <v>73.896523333333334</v>
          </cell>
          <cell r="L221">
            <v>5.2360412173496637E-3</v>
          </cell>
          <cell r="M221">
            <v>2.9133333333333528E-3</v>
          </cell>
          <cell r="N221">
            <v>0.55640000000000001</v>
          </cell>
          <cell r="O221">
            <v>0.55931333333333333</v>
          </cell>
          <cell r="P221">
            <v>2.3606684729683405E-3</v>
          </cell>
          <cell r="Q221">
            <v>0.25606666666666911</v>
          </cell>
          <cell r="R221">
            <v>108.4721</v>
          </cell>
          <cell r="S221">
            <v>108.72816666666667</v>
          </cell>
          <cell r="T221">
            <v>4.7280126270131959E-3</v>
          </cell>
          <cell r="U221">
            <v>0.22585999999999656</v>
          </cell>
          <cell r="V221">
            <v>47.770600000000002</v>
          </cell>
          <cell r="W221">
            <v>47.996459999999999</v>
          </cell>
          <cell r="X221">
            <v>1.5733318180625741E-3</v>
          </cell>
          <cell r="Y221">
            <v>7.1989999999998375E-2</v>
          </cell>
          <cell r="Z221">
            <v>45.756399999999999</v>
          </cell>
          <cell r="AA221">
            <v>45.828389999999999</v>
          </cell>
          <cell r="AB221">
            <v>3.3834069193817919E-3</v>
          </cell>
          <cell r="AC221">
            <v>0.1672099999999998</v>
          </cell>
          <cell r="AD221">
            <v>49.4206</v>
          </cell>
          <cell r="AE221">
            <v>49.587809999999998</v>
          </cell>
          <cell r="AF221">
            <v>2.589179247761753E-3</v>
          </cell>
          <cell r="AG221">
            <v>4.2703333333334585E-2</v>
          </cell>
          <cell r="AH221">
            <v>16.492999999999999</v>
          </cell>
          <cell r="AI221">
            <v>16.535703333333334</v>
          </cell>
          <cell r="AJ221">
            <v>2.3350568490659068E-3</v>
          </cell>
          <cell r="AK221">
            <v>3.7128571428572447E-2</v>
          </cell>
          <cell r="AL221">
            <v>15.900499999999999</v>
          </cell>
          <cell r="AM221">
            <v>15.937628571428572</v>
          </cell>
          <cell r="AN221">
            <v>3.6133694670279879E-3</v>
          </cell>
          <cell r="AO221">
            <v>2.7599999999999878E-2</v>
          </cell>
          <cell r="AP221">
            <v>7.6383000000000001</v>
          </cell>
          <cell r="AQ221">
            <v>7.6658999999999997</v>
          </cell>
          <cell r="AR221">
            <v>7.2196037545785004E-4</v>
          </cell>
          <cell r="AS221">
            <v>3.0053333333334108E-2</v>
          </cell>
          <cell r="AT221">
            <v>41.627400000000002</v>
          </cell>
          <cell r="AU221">
            <v>41.657453333333336</v>
          </cell>
          <cell r="AV221">
            <v>3.3136529280486768E-3</v>
          </cell>
          <cell r="AW221">
            <v>0.1172999999999951</v>
          </cell>
          <cell r="AX221">
            <v>35.399000000000001</v>
          </cell>
          <cell r="AY221">
            <v>35.516299999999994</v>
          </cell>
          <cell r="AZ221">
            <v>2.355227954414538E-3</v>
          </cell>
          <cell r="BA221">
            <v>1.8071428571427312E-2</v>
          </cell>
          <cell r="BB221">
            <v>7.6729000000000003</v>
          </cell>
          <cell r="BC221">
            <v>7.6909714285714275</v>
          </cell>
        </row>
        <row r="222">
          <cell r="B222">
            <v>174</v>
          </cell>
          <cell r="C222">
            <v>24</v>
          </cell>
          <cell r="D222">
            <v>2.7726203738086511E-3</v>
          </cell>
          <cell r="E222">
            <v>0.16800000000000068</v>
          </cell>
          <cell r="F222">
            <v>60.592500000000001</v>
          </cell>
          <cell r="G222">
            <v>60.7605</v>
          </cell>
          <cell r="H222">
            <v>4.041765270053242E-3</v>
          </cell>
          <cell r="I222">
            <v>0.29751999999999723</v>
          </cell>
          <cell r="J222">
            <v>73.611400000000003</v>
          </cell>
          <cell r="K222">
            <v>73.908919999999995</v>
          </cell>
          <cell r="L222">
            <v>5.4636951833213886E-3</v>
          </cell>
          <cell r="M222">
            <v>3.0400000000000206E-3</v>
          </cell>
          <cell r="N222">
            <v>0.55640000000000001</v>
          </cell>
          <cell r="O222">
            <v>0.55944000000000005</v>
          </cell>
          <cell r="P222">
            <v>2.4633062326626163E-3</v>
          </cell>
          <cell r="Q222">
            <v>0.26720000000000255</v>
          </cell>
          <cell r="R222">
            <v>108.4721</v>
          </cell>
          <cell r="S222">
            <v>108.7393</v>
          </cell>
          <cell r="T222">
            <v>4.9335783934050742E-3</v>
          </cell>
          <cell r="U222">
            <v>0.23567999999999642</v>
          </cell>
          <cell r="V222">
            <v>47.770600000000002</v>
          </cell>
          <cell r="W222">
            <v>48.006279999999997</v>
          </cell>
          <cell r="X222">
            <v>1.6417375492826861E-3</v>
          </cell>
          <cell r="Y222">
            <v>7.5119999999998299E-2</v>
          </cell>
          <cell r="Z222">
            <v>45.756399999999999</v>
          </cell>
          <cell r="AA222">
            <v>45.831519999999998</v>
          </cell>
          <cell r="AB222">
            <v>3.5305115680505659E-3</v>
          </cell>
          <cell r="AC222">
            <v>0.1744799999999998</v>
          </cell>
          <cell r="AD222">
            <v>49.4206</v>
          </cell>
          <cell r="AE222">
            <v>49.595080000000003</v>
          </cell>
          <cell r="AF222">
            <v>2.7017522585340032E-3</v>
          </cell>
          <cell r="AG222">
            <v>4.4560000000001307E-2</v>
          </cell>
          <cell r="AH222">
            <v>16.492999999999999</v>
          </cell>
          <cell r="AI222">
            <v>16.537559999999999</v>
          </cell>
          <cell r="AJ222">
            <v>2.4365810598948592E-3</v>
          </cell>
          <cell r="AK222">
            <v>3.8742857142858203E-2</v>
          </cell>
          <cell r="AL222">
            <v>15.900499999999999</v>
          </cell>
          <cell r="AM222">
            <v>15.939242857142858</v>
          </cell>
          <cell r="AN222">
            <v>3.7704724873335524E-3</v>
          </cell>
          <cell r="AO222">
            <v>2.8799999999999874E-2</v>
          </cell>
          <cell r="AP222">
            <v>7.6383000000000001</v>
          </cell>
          <cell r="AQ222">
            <v>7.6670999999999996</v>
          </cell>
          <cell r="AR222">
            <v>7.5334995699949576E-4</v>
          </cell>
          <cell r="AS222">
            <v>3.1360000000000811E-2</v>
          </cell>
          <cell r="AT222">
            <v>41.627400000000002</v>
          </cell>
          <cell r="AU222">
            <v>41.658760000000001</v>
          </cell>
          <cell r="AV222">
            <v>3.457724794485576E-3</v>
          </cell>
          <cell r="AW222">
            <v>0.12239999999999489</v>
          </cell>
          <cell r="AX222">
            <v>35.399000000000001</v>
          </cell>
          <cell r="AY222">
            <v>35.521399999999993</v>
          </cell>
          <cell r="AZ222">
            <v>2.4576291698238657E-3</v>
          </cell>
          <cell r="BA222">
            <v>1.8857142857141542E-2</v>
          </cell>
          <cell r="BB222">
            <v>7.6729000000000003</v>
          </cell>
          <cell r="BC222">
            <v>7.6917571428571421</v>
          </cell>
        </row>
        <row r="223">
          <cell r="B223">
            <v>175</v>
          </cell>
          <cell r="C223">
            <v>25</v>
          </cell>
          <cell r="D223">
            <v>2.8881462227173449E-3</v>
          </cell>
          <cell r="E223">
            <v>0.17500000000000071</v>
          </cell>
          <cell r="F223">
            <v>60.592500000000001</v>
          </cell>
          <cell r="G223">
            <v>60.767499999999998</v>
          </cell>
          <cell r="H223">
            <v>4.2101721563054606E-3</v>
          </cell>
          <cell r="I223">
            <v>0.30991666666666379</v>
          </cell>
          <cell r="J223">
            <v>73.611400000000003</v>
          </cell>
          <cell r="K223">
            <v>73.921316666666669</v>
          </cell>
          <cell r="L223">
            <v>5.6913491492931135E-3</v>
          </cell>
          <cell r="M223">
            <v>3.1666666666666878E-3</v>
          </cell>
          <cell r="N223">
            <v>0.55640000000000001</v>
          </cell>
          <cell r="O223">
            <v>0.55956666666666666</v>
          </cell>
          <cell r="P223">
            <v>2.5659439923568918E-3</v>
          </cell>
          <cell r="Q223">
            <v>0.27833333333333599</v>
          </cell>
          <cell r="R223">
            <v>108.4721</v>
          </cell>
          <cell r="S223">
            <v>108.75043333333333</v>
          </cell>
          <cell r="T223">
            <v>5.1391441597969517E-3</v>
          </cell>
          <cell r="U223">
            <v>0.24549999999999628</v>
          </cell>
          <cell r="V223">
            <v>47.770600000000002</v>
          </cell>
          <cell r="W223">
            <v>48.016099999999994</v>
          </cell>
          <cell r="X223">
            <v>1.710143280502798E-3</v>
          </cell>
          <cell r="Y223">
            <v>7.8249999999998224E-2</v>
          </cell>
          <cell r="Z223">
            <v>45.756399999999999</v>
          </cell>
          <cell r="AA223">
            <v>45.834649999999996</v>
          </cell>
          <cell r="AB223">
            <v>3.6776162167193394E-3</v>
          </cell>
          <cell r="AC223">
            <v>0.18174999999999977</v>
          </cell>
          <cell r="AD223">
            <v>49.4206</v>
          </cell>
          <cell r="AE223">
            <v>49.602350000000001</v>
          </cell>
          <cell r="AF223">
            <v>2.814325269306253E-3</v>
          </cell>
          <cell r="AG223">
            <v>4.6416666666668029E-2</v>
          </cell>
          <cell r="AH223">
            <v>16.492999999999999</v>
          </cell>
          <cell r="AI223">
            <v>16.539416666666668</v>
          </cell>
          <cell r="AJ223">
            <v>2.5381052707238116E-3</v>
          </cell>
          <cell r="AK223">
            <v>4.0357142857143966E-2</v>
          </cell>
          <cell r="AL223">
            <v>15.900499999999999</v>
          </cell>
          <cell r="AM223">
            <v>15.940857142857142</v>
          </cell>
          <cell r="AN223">
            <v>3.9275755076391174E-3</v>
          </cell>
          <cell r="AO223">
            <v>2.9999999999999867E-2</v>
          </cell>
          <cell r="AP223">
            <v>7.6383000000000001</v>
          </cell>
          <cell r="AQ223">
            <v>7.6683000000000003</v>
          </cell>
          <cell r="AR223">
            <v>7.8473953854114138E-4</v>
          </cell>
          <cell r="AS223">
            <v>3.266666666666751E-2</v>
          </cell>
          <cell r="AT223">
            <v>41.627400000000002</v>
          </cell>
          <cell r="AU223">
            <v>41.660066666666665</v>
          </cell>
          <cell r="AV223">
            <v>3.6017966609224747E-3</v>
          </cell>
          <cell r="AW223">
            <v>0.12749999999999467</v>
          </cell>
          <cell r="AX223">
            <v>35.399000000000001</v>
          </cell>
          <cell r="AY223">
            <v>35.526499999999999</v>
          </cell>
          <cell r="AZ223">
            <v>2.5600303852331935E-3</v>
          </cell>
          <cell r="BA223">
            <v>1.9642857142855772E-2</v>
          </cell>
          <cell r="BB223">
            <v>7.6729000000000003</v>
          </cell>
          <cell r="BC223">
            <v>7.6925428571428558</v>
          </cell>
        </row>
        <row r="224">
          <cell r="B224">
            <v>176</v>
          </cell>
          <cell r="C224">
            <v>26</v>
          </cell>
          <cell r="D224">
            <v>3.0036720716260386E-3</v>
          </cell>
          <cell r="E224">
            <v>0.18200000000000074</v>
          </cell>
          <cell r="F224">
            <v>60.592500000000001</v>
          </cell>
          <cell r="G224">
            <v>60.774500000000003</v>
          </cell>
          <cell r="H224">
            <v>4.3785790425576784E-3</v>
          </cell>
          <cell r="I224">
            <v>0.32231333333333034</v>
          </cell>
          <cell r="J224">
            <v>73.611400000000003</v>
          </cell>
          <cell r="K224">
            <v>73.93371333333333</v>
          </cell>
          <cell r="L224">
            <v>5.9190031152648367E-3</v>
          </cell>
          <cell r="M224">
            <v>3.2933333333333556E-3</v>
          </cell>
          <cell r="N224">
            <v>0.55640000000000001</v>
          </cell>
          <cell r="O224">
            <v>0.55969333333333338</v>
          </cell>
          <cell r="P224">
            <v>2.6685817520511676E-3</v>
          </cell>
          <cell r="Q224">
            <v>0.28946666666666943</v>
          </cell>
          <cell r="R224">
            <v>108.4721</v>
          </cell>
          <cell r="S224">
            <v>108.76156666666667</v>
          </cell>
          <cell r="T224">
            <v>5.3447099261888309E-3</v>
          </cell>
          <cell r="U224">
            <v>0.25531999999999611</v>
          </cell>
          <cell r="V224">
            <v>47.770600000000002</v>
          </cell>
          <cell r="W224">
            <v>48.025919999999999</v>
          </cell>
          <cell r="X224">
            <v>1.7785490117229097E-3</v>
          </cell>
          <cell r="Y224">
            <v>8.1379999999998162E-2</v>
          </cell>
          <cell r="Z224">
            <v>45.756399999999999</v>
          </cell>
          <cell r="AA224">
            <v>45.837779999999995</v>
          </cell>
          <cell r="AB224">
            <v>3.8247208653881129E-3</v>
          </cell>
          <cell r="AC224">
            <v>0.18901999999999977</v>
          </cell>
          <cell r="AD224">
            <v>49.4206</v>
          </cell>
          <cell r="AE224">
            <v>49.60962</v>
          </cell>
          <cell r="AF224">
            <v>2.9268982800785036E-3</v>
          </cell>
          <cell r="AG224">
            <v>4.827333333333475E-2</v>
          </cell>
          <cell r="AH224">
            <v>16.492999999999999</v>
          </cell>
          <cell r="AI224">
            <v>16.541273333333333</v>
          </cell>
          <cell r="AJ224">
            <v>2.6396294815527639E-3</v>
          </cell>
          <cell r="AK224">
            <v>4.1971428571429721E-2</v>
          </cell>
          <cell r="AL224">
            <v>15.900499999999999</v>
          </cell>
          <cell r="AM224">
            <v>15.942471428571428</v>
          </cell>
          <cell r="AN224">
            <v>4.0846785279446815E-3</v>
          </cell>
          <cell r="AO224">
            <v>3.1199999999999863E-2</v>
          </cell>
          <cell r="AP224">
            <v>7.6383000000000001</v>
          </cell>
          <cell r="AQ224">
            <v>7.6695000000000002</v>
          </cell>
          <cell r="AR224">
            <v>8.1612912008278699E-4</v>
          </cell>
          <cell r="AS224">
            <v>3.3973333333334209E-2</v>
          </cell>
          <cell r="AT224">
            <v>41.627400000000002</v>
          </cell>
          <cell r="AU224">
            <v>41.661373333333337</v>
          </cell>
          <cell r="AV224">
            <v>3.7458685273593739E-3</v>
          </cell>
          <cell r="AW224">
            <v>0.13259999999999447</v>
          </cell>
          <cell r="AX224">
            <v>35.399000000000001</v>
          </cell>
          <cell r="AY224">
            <v>35.531599999999997</v>
          </cell>
          <cell r="AZ224">
            <v>2.6624316006425212E-3</v>
          </cell>
          <cell r="BA224">
            <v>2.0428571428570002E-2</v>
          </cell>
          <cell r="BB224">
            <v>7.6729000000000003</v>
          </cell>
          <cell r="BC224">
            <v>7.6933285714285704</v>
          </cell>
        </row>
        <row r="225">
          <cell r="B225">
            <v>177</v>
          </cell>
          <cell r="C225">
            <v>27</v>
          </cell>
          <cell r="D225">
            <v>3.119197920534732E-3</v>
          </cell>
          <cell r="E225">
            <v>0.18900000000000078</v>
          </cell>
          <cell r="F225">
            <v>60.592500000000001</v>
          </cell>
          <cell r="G225">
            <v>60.781500000000001</v>
          </cell>
          <cell r="H225">
            <v>4.546985928809897E-3</v>
          </cell>
          <cell r="I225">
            <v>0.3347099999999969</v>
          </cell>
          <cell r="J225">
            <v>73.611400000000003</v>
          </cell>
          <cell r="K225">
            <v>73.946110000000004</v>
          </cell>
          <cell r="L225">
            <v>6.1466570812365616E-3</v>
          </cell>
          <cell r="M225">
            <v>3.4200000000000228E-3</v>
          </cell>
          <cell r="N225">
            <v>0.55640000000000001</v>
          </cell>
          <cell r="O225">
            <v>0.55981999999999998</v>
          </cell>
          <cell r="P225">
            <v>2.771219511745443E-3</v>
          </cell>
          <cell r="Q225">
            <v>0.30060000000000286</v>
          </cell>
          <cell r="R225">
            <v>108.4721</v>
          </cell>
          <cell r="S225">
            <v>108.7727</v>
          </cell>
          <cell r="T225">
            <v>5.5502756925807084E-3</v>
          </cell>
          <cell r="U225">
            <v>0.26513999999999599</v>
          </cell>
          <cell r="V225">
            <v>47.770600000000002</v>
          </cell>
          <cell r="W225">
            <v>48.035739999999997</v>
          </cell>
          <cell r="X225">
            <v>1.8469547429430218E-3</v>
          </cell>
          <cell r="Y225">
            <v>8.4509999999998087E-2</v>
          </cell>
          <cell r="Z225">
            <v>45.756399999999999</v>
          </cell>
          <cell r="AA225">
            <v>45.840909999999994</v>
          </cell>
          <cell r="AB225">
            <v>3.9718255140568865E-3</v>
          </cell>
          <cell r="AC225">
            <v>0.19628999999999977</v>
          </cell>
          <cell r="AD225">
            <v>49.4206</v>
          </cell>
          <cell r="AE225">
            <v>49.616889999999998</v>
          </cell>
          <cell r="AF225">
            <v>3.0394712908507538E-3</v>
          </cell>
          <cell r="AG225">
            <v>5.0130000000001472E-2</v>
          </cell>
          <cell r="AH225">
            <v>16.492999999999999</v>
          </cell>
          <cell r="AI225">
            <v>16.543130000000001</v>
          </cell>
          <cell r="AJ225">
            <v>2.7411536923817167E-3</v>
          </cell>
          <cell r="AK225">
            <v>4.3585714285715484E-2</v>
          </cell>
          <cell r="AL225">
            <v>15.900499999999999</v>
          </cell>
          <cell r="AM225">
            <v>15.944085714285714</v>
          </cell>
          <cell r="AN225">
            <v>4.2417815482502464E-3</v>
          </cell>
          <cell r="AO225">
            <v>3.2399999999999859E-2</v>
          </cell>
          <cell r="AP225">
            <v>7.6383000000000001</v>
          </cell>
          <cell r="AQ225">
            <v>7.6707000000000001</v>
          </cell>
          <cell r="AR225">
            <v>8.4751870162443272E-4</v>
          </cell>
          <cell r="AS225">
            <v>3.5280000000000908E-2</v>
          </cell>
          <cell r="AT225">
            <v>41.627400000000002</v>
          </cell>
          <cell r="AU225">
            <v>41.662680000000002</v>
          </cell>
          <cell r="AV225">
            <v>3.8899403937962727E-3</v>
          </cell>
          <cell r="AW225">
            <v>0.13769999999999424</v>
          </cell>
          <cell r="AX225">
            <v>35.399000000000001</v>
          </cell>
          <cell r="AY225">
            <v>35.536699999999996</v>
          </cell>
          <cell r="AZ225">
            <v>2.764832816051849E-3</v>
          </cell>
          <cell r="BA225">
            <v>2.1214285714284235E-2</v>
          </cell>
          <cell r="BB225">
            <v>7.6729000000000003</v>
          </cell>
          <cell r="BC225">
            <v>7.6941142857142841</v>
          </cell>
        </row>
        <row r="226">
          <cell r="B226">
            <v>178</v>
          </cell>
          <cell r="C226">
            <v>28</v>
          </cell>
          <cell r="D226">
            <v>3.2347237694434262E-3</v>
          </cell>
          <cell r="E226">
            <v>0.19600000000000078</v>
          </cell>
          <cell r="F226">
            <v>60.592500000000001</v>
          </cell>
          <cell r="G226">
            <v>60.788499999999999</v>
          </cell>
          <cell r="H226">
            <v>4.7153928150621156E-3</v>
          </cell>
          <cell r="I226">
            <v>0.34710666666666345</v>
          </cell>
          <cell r="J226">
            <v>73.611400000000003</v>
          </cell>
          <cell r="K226">
            <v>73.958506666666665</v>
          </cell>
          <cell r="L226">
            <v>6.3743110472082865E-3</v>
          </cell>
          <cell r="M226">
            <v>3.5466666666666906E-3</v>
          </cell>
          <cell r="N226">
            <v>0.55640000000000001</v>
          </cell>
          <cell r="O226">
            <v>0.5599466666666667</v>
          </cell>
          <cell r="P226">
            <v>2.8738572714397189E-3</v>
          </cell>
          <cell r="Q226">
            <v>0.3117333333333363</v>
          </cell>
          <cell r="R226">
            <v>108.4721</v>
          </cell>
          <cell r="S226">
            <v>108.78383333333333</v>
          </cell>
          <cell r="T226">
            <v>5.7558414589725859E-3</v>
          </cell>
          <cell r="U226">
            <v>0.27495999999999582</v>
          </cell>
          <cell r="V226">
            <v>47.770600000000002</v>
          </cell>
          <cell r="W226">
            <v>48.045559999999995</v>
          </cell>
          <cell r="X226">
            <v>1.9153604741631337E-3</v>
          </cell>
          <cell r="Y226">
            <v>8.7639999999998011E-2</v>
          </cell>
          <cell r="Z226">
            <v>45.756399999999999</v>
          </cell>
          <cell r="AA226">
            <v>45.84404</v>
          </cell>
          <cell r="AB226">
            <v>4.11893016272566E-3</v>
          </cell>
          <cell r="AC226">
            <v>0.20355999999999977</v>
          </cell>
          <cell r="AD226">
            <v>49.4206</v>
          </cell>
          <cell r="AE226">
            <v>49.624160000000003</v>
          </cell>
          <cell r="AF226">
            <v>3.1520443016230036E-3</v>
          </cell>
          <cell r="AG226">
            <v>5.1986666666668194E-2</v>
          </cell>
          <cell r="AH226">
            <v>16.492999999999999</v>
          </cell>
          <cell r="AI226">
            <v>16.544986666666667</v>
          </cell>
          <cell r="AJ226">
            <v>2.8426779032106691E-3</v>
          </cell>
          <cell r="AK226">
            <v>4.5200000000001239E-2</v>
          </cell>
          <cell r="AL226">
            <v>15.900499999999999</v>
          </cell>
          <cell r="AM226">
            <v>15.9457</v>
          </cell>
          <cell r="AN226">
            <v>4.3988845685558114E-3</v>
          </cell>
          <cell r="AO226">
            <v>3.3599999999999852E-2</v>
          </cell>
          <cell r="AP226">
            <v>7.6383000000000001</v>
          </cell>
          <cell r="AQ226">
            <v>7.6718999999999999</v>
          </cell>
          <cell r="AR226">
            <v>8.7890828316607834E-4</v>
          </cell>
          <cell r="AS226">
            <v>3.6586666666667614E-2</v>
          </cell>
          <cell r="AT226">
            <v>41.627400000000002</v>
          </cell>
          <cell r="AU226">
            <v>41.663986666666666</v>
          </cell>
          <cell r="AV226">
            <v>4.0340122602331718E-3</v>
          </cell>
          <cell r="AW226">
            <v>0.14279999999999404</v>
          </cell>
          <cell r="AX226">
            <v>35.399000000000001</v>
          </cell>
          <cell r="AY226">
            <v>35.541799999999995</v>
          </cell>
          <cell r="AZ226">
            <v>2.8672340314611767E-3</v>
          </cell>
          <cell r="BA226">
            <v>2.1999999999998465E-2</v>
          </cell>
          <cell r="BB226">
            <v>7.6729000000000003</v>
          </cell>
          <cell r="BC226">
            <v>7.6948999999999987</v>
          </cell>
        </row>
        <row r="227">
          <cell r="B227">
            <v>179</v>
          </cell>
          <cell r="C227">
            <v>29</v>
          </cell>
          <cell r="D227">
            <v>3.35024961835212E-3</v>
          </cell>
          <cell r="E227">
            <v>0.20300000000000082</v>
          </cell>
          <cell r="F227">
            <v>60.592500000000001</v>
          </cell>
          <cell r="G227">
            <v>60.795500000000004</v>
          </cell>
          <cell r="H227">
            <v>4.8837997013143342E-3</v>
          </cell>
          <cell r="I227">
            <v>0.35950333333333001</v>
          </cell>
          <cell r="J227">
            <v>73.611400000000003</v>
          </cell>
          <cell r="K227">
            <v>73.970903333333339</v>
          </cell>
          <cell r="L227">
            <v>6.6019650131800113E-3</v>
          </cell>
          <cell r="M227">
            <v>3.6733333333333579E-3</v>
          </cell>
          <cell r="N227">
            <v>0.55640000000000001</v>
          </cell>
          <cell r="O227">
            <v>0.56007333333333331</v>
          </cell>
          <cell r="P227">
            <v>2.9764950311339943E-3</v>
          </cell>
          <cell r="Q227">
            <v>0.32286666666666974</v>
          </cell>
          <cell r="R227">
            <v>108.4721</v>
          </cell>
          <cell r="S227">
            <v>108.79496666666667</v>
          </cell>
          <cell r="T227">
            <v>5.9614072253644642E-3</v>
          </cell>
          <cell r="U227">
            <v>0.2847799999999957</v>
          </cell>
          <cell r="V227">
            <v>47.770600000000002</v>
          </cell>
          <cell r="W227">
            <v>48.05538</v>
          </cell>
          <cell r="X227">
            <v>1.9837662053832457E-3</v>
          </cell>
          <cell r="Y227">
            <v>9.076999999999795E-2</v>
          </cell>
          <cell r="Z227">
            <v>45.756399999999999</v>
          </cell>
          <cell r="AA227">
            <v>45.847169999999998</v>
          </cell>
          <cell r="AB227">
            <v>4.2660348113944336E-3</v>
          </cell>
          <cell r="AC227">
            <v>0.21082999999999974</v>
          </cell>
          <cell r="AD227">
            <v>49.4206</v>
          </cell>
          <cell r="AE227">
            <v>49.631430000000002</v>
          </cell>
          <cell r="AF227">
            <v>3.2646173123952538E-3</v>
          </cell>
          <cell r="AG227">
            <v>5.3843333333334915E-2</v>
          </cell>
          <cell r="AH227">
            <v>16.492999999999999</v>
          </cell>
          <cell r="AI227">
            <v>16.546843333333335</v>
          </cell>
          <cell r="AJ227">
            <v>2.9442021140396214E-3</v>
          </cell>
          <cell r="AK227">
            <v>4.6814285714286995E-2</v>
          </cell>
          <cell r="AL227">
            <v>15.900499999999999</v>
          </cell>
          <cell r="AM227">
            <v>15.947314285714286</v>
          </cell>
          <cell r="AN227">
            <v>4.5559875888613755E-3</v>
          </cell>
          <cell r="AO227">
            <v>3.4799999999999845E-2</v>
          </cell>
          <cell r="AP227">
            <v>7.6383000000000001</v>
          </cell>
          <cell r="AQ227">
            <v>7.6730999999999998</v>
          </cell>
          <cell r="AR227">
            <v>9.1029786470772406E-4</v>
          </cell>
          <cell r="AS227">
            <v>3.7893333333334313E-2</v>
          </cell>
          <cell r="AT227">
            <v>41.627400000000002</v>
          </cell>
          <cell r="AU227">
            <v>41.665293333333338</v>
          </cell>
          <cell r="AV227">
            <v>4.1780841266700706E-3</v>
          </cell>
          <cell r="AW227">
            <v>0.14789999999999384</v>
          </cell>
          <cell r="AX227">
            <v>35.399000000000001</v>
          </cell>
          <cell r="AY227">
            <v>35.546899999999994</v>
          </cell>
          <cell r="AZ227">
            <v>2.9696352468705045E-3</v>
          </cell>
          <cell r="BA227">
            <v>2.2785714285712695E-2</v>
          </cell>
          <cell r="BB227">
            <v>7.6729000000000003</v>
          </cell>
          <cell r="BC227">
            <v>7.6956857142857134</v>
          </cell>
        </row>
        <row r="228">
          <cell r="B228">
            <v>180</v>
          </cell>
          <cell r="C228">
            <v>30</v>
          </cell>
          <cell r="D228">
            <v>3.4657754672608137E-3</v>
          </cell>
          <cell r="E228">
            <v>0.21000000000000085</v>
          </cell>
          <cell r="F228">
            <v>60.592500000000001</v>
          </cell>
          <cell r="G228">
            <v>60.802500000000002</v>
          </cell>
          <cell r="H228">
            <v>5.0522065875665528E-3</v>
          </cell>
          <cell r="I228">
            <v>0.37189999999999657</v>
          </cell>
          <cell r="J228">
            <v>73.611400000000003</v>
          </cell>
          <cell r="K228">
            <v>73.9833</v>
          </cell>
          <cell r="L228">
            <v>6.8296189791517354E-3</v>
          </cell>
          <cell r="M228">
            <v>3.8000000000000256E-3</v>
          </cell>
          <cell r="N228">
            <v>0.55640000000000001</v>
          </cell>
          <cell r="O228">
            <v>0.56020000000000003</v>
          </cell>
          <cell r="P228">
            <v>3.0791327908282701E-3</v>
          </cell>
          <cell r="Q228">
            <v>0.33400000000000318</v>
          </cell>
          <cell r="R228">
            <v>108.4721</v>
          </cell>
          <cell r="S228">
            <v>108.8061</v>
          </cell>
          <cell r="T228">
            <v>6.1669729917563426E-3</v>
          </cell>
          <cell r="U228">
            <v>0.29459999999999553</v>
          </cell>
          <cell r="V228">
            <v>47.770600000000002</v>
          </cell>
          <cell r="W228">
            <v>48.065199999999997</v>
          </cell>
          <cell r="X228">
            <v>2.0521719366033576E-3</v>
          </cell>
          <cell r="Y228">
            <v>9.3899999999997874E-2</v>
          </cell>
          <cell r="Z228">
            <v>45.756399999999999</v>
          </cell>
          <cell r="AA228">
            <v>45.850299999999997</v>
          </cell>
          <cell r="AB228">
            <v>4.4131394600632071E-3</v>
          </cell>
          <cell r="AC228">
            <v>0.21809999999999974</v>
          </cell>
          <cell r="AD228">
            <v>49.4206</v>
          </cell>
          <cell r="AE228">
            <v>49.6387</v>
          </cell>
          <cell r="AF228">
            <v>3.377190323167504E-3</v>
          </cell>
          <cell r="AG228">
            <v>5.5700000000001637E-2</v>
          </cell>
          <cell r="AH228">
            <v>16.492999999999999</v>
          </cell>
          <cell r="AI228">
            <v>16.5487</v>
          </cell>
          <cell r="AJ228">
            <v>3.0457263248685742E-3</v>
          </cell>
          <cell r="AK228">
            <v>4.8428571428572757E-2</v>
          </cell>
          <cell r="AL228">
            <v>15.900499999999999</v>
          </cell>
          <cell r="AM228">
            <v>15.948928571428572</v>
          </cell>
          <cell r="AN228">
            <v>4.7130906091669414E-3</v>
          </cell>
          <cell r="AO228">
            <v>3.5999999999999845E-2</v>
          </cell>
          <cell r="AP228">
            <v>7.6383000000000001</v>
          </cell>
          <cell r="AQ228">
            <v>7.6742999999999997</v>
          </cell>
          <cell r="AR228">
            <v>9.4168744624936968E-4</v>
          </cell>
          <cell r="AS228">
            <v>3.9200000000001012E-2</v>
          </cell>
          <cell r="AT228">
            <v>41.627400000000002</v>
          </cell>
          <cell r="AU228">
            <v>41.666600000000003</v>
          </cell>
          <cell r="AV228">
            <v>4.3221559931069702E-3</v>
          </cell>
          <cell r="AW228">
            <v>0.15299999999999361</v>
          </cell>
          <cell r="AX228">
            <v>35.399000000000001</v>
          </cell>
          <cell r="AY228">
            <v>35.551999999999992</v>
          </cell>
          <cell r="AZ228">
            <v>3.0720364622798322E-3</v>
          </cell>
          <cell r="BA228">
            <v>2.3571428571426929E-2</v>
          </cell>
          <cell r="BB228">
            <v>7.6729000000000003</v>
          </cell>
          <cell r="BC228">
            <v>7.6964714285714271</v>
          </cell>
        </row>
        <row r="229">
          <cell r="B229">
            <v>181</v>
          </cell>
          <cell r="C229">
            <v>1</v>
          </cell>
          <cell r="D229">
            <v>1.4002530963182241E-4</v>
          </cell>
          <cell r="E229">
            <v>8.5138888888888833E-3</v>
          </cell>
          <cell r="F229">
            <v>60.802500000000002</v>
          </cell>
          <cell r="G229">
            <v>60.811013888888894</v>
          </cell>
          <cell r="H229">
            <v>1.9504401669025257E-4</v>
          </cell>
          <cell r="I229">
            <v>1.4429999999999962E-2</v>
          </cell>
          <cell r="J229">
            <v>73.9833</v>
          </cell>
          <cell r="K229">
            <v>73.997730000000004</v>
          </cell>
          <cell r="L229">
            <v>2.5189416478241873E-4</v>
          </cell>
          <cell r="M229">
            <v>1.4111111111111098E-4</v>
          </cell>
          <cell r="N229">
            <v>0.56020000000000003</v>
          </cell>
          <cell r="O229">
            <v>0.56034111111111118</v>
          </cell>
          <cell r="P229">
            <v>1.3349945964018131E-4</v>
          </cell>
          <cell r="Q229">
            <v>1.4525555555555533E-2</v>
          </cell>
          <cell r="R229">
            <v>108.8061</v>
          </cell>
          <cell r="S229">
            <v>108.82062555555555</v>
          </cell>
          <cell r="T229">
            <v>2.3245045849757854E-4</v>
          </cell>
          <cell r="U229">
            <v>1.1172777777777811E-2</v>
          </cell>
          <cell r="V229">
            <v>48.065199999999997</v>
          </cell>
          <cell r="W229">
            <v>48.076372777777777</v>
          </cell>
          <cell r="X229">
            <v>9.7236732002480781E-5</v>
          </cell>
          <cell r="Y229">
            <v>4.4583333333333445E-3</v>
          </cell>
          <cell r="Z229">
            <v>45.850299999999997</v>
          </cell>
          <cell r="AA229">
            <v>45.854758333333329</v>
          </cell>
          <cell r="AB229">
            <v>1.6759996624497533E-4</v>
          </cell>
          <cell r="AC229">
            <v>8.3194444444444574E-3</v>
          </cell>
          <cell r="AD229">
            <v>49.6387</v>
          </cell>
          <cell r="AE229">
            <v>49.647019444444446</v>
          </cell>
          <cell r="AF229">
            <v>1.3871515923036579E-4</v>
          </cell>
          <cell r="AG229">
            <v>2.2955555555555546E-3</v>
          </cell>
          <cell r="AH229">
            <v>16.5487</v>
          </cell>
          <cell r="AI229">
            <v>16.550995555555556</v>
          </cell>
          <cell r="AJ229">
            <v>1.0152421082895247E-4</v>
          </cell>
          <cell r="AK229">
            <v>1.6142857142857586E-3</v>
          </cell>
          <cell r="AL229">
            <v>15.900499999999999</v>
          </cell>
          <cell r="AM229">
            <v>15.902114285714285</v>
          </cell>
          <cell r="AN229">
            <v>1.571030203055647E-4</v>
          </cell>
          <cell r="AO229">
            <v>1.1999999999999947E-3</v>
          </cell>
          <cell r="AP229">
            <v>7.6383000000000001</v>
          </cell>
          <cell r="AQ229">
            <v>7.6395</v>
          </cell>
          <cell r="AR229">
            <v>6.2400099840159264E-5</v>
          </cell>
          <cell r="AS229">
            <v>2.5999999999999799E-3</v>
          </cell>
          <cell r="AT229">
            <v>41.666600000000003</v>
          </cell>
          <cell r="AU229">
            <v>41.669200000000004</v>
          </cell>
          <cell r="AV229">
            <v>1.4407186643689899E-4</v>
          </cell>
          <cell r="AW229">
            <v>5.099999999999787E-3</v>
          </cell>
          <cell r="AX229">
            <v>35.399000000000001</v>
          </cell>
          <cell r="AY229">
            <v>35.4041</v>
          </cell>
          <cell r="AZ229">
            <v>1.0240121540932774E-4</v>
          </cell>
          <cell r="BA229">
            <v>7.8571428571423089E-4</v>
          </cell>
          <cell r="BB229">
            <v>7.6729000000000003</v>
          </cell>
          <cell r="BC229">
            <v>7.6736857142857149</v>
          </cell>
        </row>
        <row r="230">
          <cell r="B230">
            <v>182</v>
          </cell>
          <cell r="C230">
            <v>2</v>
          </cell>
          <cell r="D230">
            <v>2.8005061926364482E-4</v>
          </cell>
          <cell r="E230">
            <v>1.7027777777777767E-2</v>
          </cell>
          <cell r="F230">
            <v>60.802500000000002</v>
          </cell>
          <cell r="G230">
            <v>60.819527777777779</v>
          </cell>
          <cell r="H230">
            <v>3.9008803338050514E-4</v>
          </cell>
          <cell r="I230">
            <v>2.8859999999999924E-2</v>
          </cell>
          <cell r="J230">
            <v>73.9833</v>
          </cell>
          <cell r="K230">
            <v>74.012159999999994</v>
          </cell>
          <cell r="L230">
            <v>5.0378832956483746E-4</v>
          </cell>
          <cell r="M230">
            <v>2.8222222222222196E-4</v>
          </cell>
          <cell r="N230">
            <v>0.56020000000000003</v>
          </cell>
          <cell r="O230">
            <v>0.56048222222222222</v>
          </cell>
          <cell r="P230">
            <v>2.6699891928036261E-4</v>
          </cell>
          <cell r="Q230">
            <v>2.9051111111111066E-2</v>
          </cell>
          <cell r="R230">
            <v>108.8061</v>
          </cell>
          <cell r="S230">
            <v>108.83515111111112</v>
          </cell>
          <cell r="T230">
            <v>4.6490091699515708E-4</v>
          </cell>
          <cell r="U230">
            <v>2.2345555555555622E-2</v>
          </cell>
          <cell r="V230">
            <v>48.065199999999997</v>
          </cell>
          <cell r="W230">
            <v>48.08754555555555</v>
          </cell>
          <cell r="X230">
            <v>1.9447346400496156E-4</v>
          </cell>
          <cell r="Y230">
            <v>8.916666666666689E-3</v>
          </cell>
          <cell r="Z230">
            <v>45.850299999999997</v>
          </cell>
          <cell r="AA230">
            <v>45.859216666666661</v>
          </cell>
          <cell r="AB230">
            <v>3.3519993248995065E-4</v>
          </cell>
          <cell r="AC230">
            <v>1.6638888888888915E-2</v>
          </cell>
          <cell r="AD230">
            <v>49.6387</v>
          </cell>
          <cell r="AE230">
            <v>49.655338888888892</v>
          </cell>
          <cell r="AF230">
            <v>2.7743031846073159E-4</v>
          </cell>
          <cell r="AG230">
            <v>4.5911111111111092E-3</v>
          </cell>
          <cell r="AH230">
            <v>16.5487</v>
          </cell>
          <cell r="AI230">
            <v>16.553291111111111</v>
          </cell>
          <cell r="AJ230">
            <v>2.0304842165790493E-4</v>
          </cell>
          <cell r="AK230">
            <v>3.2285714285715172E-3</v>
          </cell>
          <cell r="AL230">
            <v>15.900499999999999</v>
          </cell>
          <cell r="AM230">
            <v>15.903728571428571</v>
          </cell>
          <cell r="AN230">
            <v>3.142060406111294E-4</v>
          </cell>
          <cell r="AO230">
            <v>2.3999999999999894E-3</v>
          </cell>
          <cell r="AP230">
            <v>7.6383000000000001</v>
          </cell>
          <cell r="AQ230">
            <v>7.6406999999999998</v>
          </cell>
          <cell r="AR230">
            <v>1.2480019968031853E-4</v>
          </cell>
          <cell r="AS230">
            <v>5.1999999999999599E-3</v>
          </cell>
          <cell r="AT230">
            <v>41.666600000000003</v>
          </cell>
          <cell r="AU230">
            <v>41.671800000000005</v>
          </cell>
          <cell r="AV230">
            <v>2.8814373287379798E-4</v>
          </cell>
          <cell r="AW230">
            <v>1.0199999999999574E-2</v>
          </cell>
          <cell r="AX230">
            <v>35.399000000000001</v>
          </cell>
          <cell r="AY230">
            <v>35.409199999999998</v>
          </cell>
          <cell r="AZ230">
            <v>2.0480243081865548E-4</v>
          </cell>
          <cell r="BA230">
            <v>1.5714285714284618E-3</v>
          </cell>
          <cell r="BB230">
            <v>7.6729000000000003</v>
          </cell>
          <cell r="BC230">
            <v>7.6744714285714286</v>
          </cell>
        </row>
        <row r="231">
          <cell r="B231">
            <v>183</v>
          </cell>
          <cell r="C231">
            <v>3</v>
          </cell>
          <cell r="D231">
            <v>4.2007592889546717E-4</v>
          </cell>
          <cell r="E231">
            <v>2.5541666666666647E-2</v>
          </cell>
          <cell r="F231">
            <v>60.802500000000002</v>
          </cell>
          <cell r="G231">
            <v>60.828041666666671</v>
          </cell>
          <cell r="H231">
            <v>5.8513205007075769E-4</v>
          </cell>
          <cell r="I231">
            <v>4.3289999999999891E-2</v>
          </cell>
          <cell r="J231">
            <v>73.9833</v>
          </cell>
          <cell r="K231">
            <v>74.026589999999999</v>
          </cell>
          <cell r="L231">
            <v>7.556824943472562E-4</v>
          </cell>
          <cell r="M231">
            <v>4.2333333333333296E-4</v>
          </cell>
          <cell r="N231">
            <v>0.56020000000000003</v>
          </cell>
          <cell r="O231">
            <v>0.56062333333333336</v>
          </cell>
          <cell r="P231">
            <v>4.0049837892054392E-4</v>
          </cell>
          <cell r="Q231">
            <v>4.3576666666666597E-2</v>
          </cell>
          <cell r="R231">
            <v>108.8061</v>
          </cell>
          <cell r="S231">
            <v>108.84967666666667</v>
          </cell>
          <cell r="T231">
            <v>6.9735137549273556E-4</v>
          </cell>
          <cell r="U231">
            <v>3.3518333333333435E-2</v>
          </cell>
          <cell r="V231">
            <v>48.065199999999997</v>
          </cell>
          <cell r="W231">
            <v>48.098718333333331</v>
          </cell>
          <cell r="X231">
            <v>2.9171019600744236E-4</v>
          </cell>
          <cell r="Y231">
            <v>1.3375000000000033E-2</v>
          </cell>
          <cell r="Z231">
            <v>45.850299999999997</v>
          </cell>
          <cell r="AA231">
            <v>45.863675000000001</v>
          </cell>
          <cell r="AB231">
            <v>5.0279989873492606E-4</v>
          </cell>
          <cell r="AC231">
            <v>2.4958333333333371E-2</v>
          </cell>
          <cell r="AD231">
            <v>49.6387</v>
          </cell>
          <cell r="AE231">
            <v>49.663658333333331</v>
          </cell>
          <cell r="AF231">
            <v>4.1614547769109732E-4</v>
          </cell>
          <cell r="AG231">
            <v>6.8866666666666633E-3</v>
          </cell>
          <cell r="AH231">
            <v>16.5487</v>
          </cell>
          <cell r="AI231">
            <v>16.555586666666667</v>
          </cell>
          <cell r="AJ231">
            <v>3.045726324868574E-4</v>
          </cell>
          <cell r="AK231">
            <v>4.8428571428572754E-3</v>
          </cell>
          <cell r="AL231">
            <v>15.900499999999999</v>
          </cell>
          <cell r="AM231">
            <v>15.905342857142857</v>
          </cell>
          <cell r="AN231">
            <v>4.7130906091669405E-4</v>
          </cell>
          <cell r="AO231">
            <v>3.5999999999999843E-3</v>
          </cell>
          <cell r="AP231">
            <v>7.6383000000000001</v>
          </cell>
          <cell r="AQ231">
            <v>7.6418999999999997</v>
          </cell>
          <cell r="AR231">
            <v>1.8720029952047781E-4</v>
          </cell>
          <cell r="AS231">
            <v>7.7999999999999407E-3</v>
          </cell>
          <cell r="AT231">
            <v>41.666600000000003</v>
          </cell>
          <cell r="AU231">
            <v>41.674400000000006</v>
          </cell>
          <cell r="AV231">
            <v>4.32215599310697E-4</v>
          </cell>
          <cell r="AW231">
            <v>1.5299999999999361E-2</v>
          </cell>
          <cell r="AX231">
            <v>35.399000000000001</v>
          </cell>
          <cell r="AY231">
            <v>35.414299999999997</v>
          </cell>
          <cell r="AZ231">
            <v>3.0720364622798321E-4</v>
          </cell>
          <cell r="BA231">
            <v>2.3571428571426928E-3</v>
          </cell>
          <cell r="BB231">
            <v>7.6729000000000003</v>
          </cell>
          <cell r="BC231">
            <v>7.6752571428571432</v>
          </cell>
        </row>
        <row r="232">
          <cell r="B232">
            <v>184</v>
          </cell>
          <cell r="C232">
            <v>4</v>
          </cell>
          <cell r="D232">
            <v>5.6010123852728963E-4</v>
          </cell>
          <cell r="E232">
            <v>3.4055555555555533E-2</v>
          </cell>
          <cell r="F232">
            <v>60.802500000000002</v>
          </cell>
          <cell r="G232">
            <v>60.836555555555556</v>
          </cell>
          <cell r="H232">
            <v>7.8017606676101029E-4</v>
          </cell>
          <cell r="I232">
            <v>5.7719999999999848E-2</v>
          </cell>
          <cell r="J232">
            <v>73.9833</v>
          </cell>
          <cell r="K232">
            <v>74.041020000000003</v>
          </cell>
          <cell r="L232">
            <v>1.0075766591296749E-3</v>
          </cell>
          <cell r="M232">
            <v>5.6444444444444391E-4</v>
          </cell>
          <cell r="N232">
            <v>0.56020000000000003</v>
          </cell>
          <cell r="O232">
            <v>0.56076444444444451</v>
          </cell>
          <cell r="P232">
            <v>5.3399783856072523E-4</v>
          </cell>
          <cell r="Q232">
            <v>5.8102222222222132E-2</v>
          </cell>
          <cell r="R232">
            <v>108.8061</v>
          </cell>
          <cell r="S232">
            <v>108.86420222222222</v>
          </cell>
          <cell r="T232">
            <v>9.2980183399031416E-4</v>
          </cell>
          <cell r="U232">
            <v>4.4691111111111244E-2</v>
          </cell>
          <cell r="V232">
            <v>48.065199999999997</v>
          </cell>
          <cell r="W232">
            <v>48.109891111111111</v>
          </cell>
          <cell r="X232">
            <v>3.8894692800992312E-4</v>
          </cell>
          <cell r="Y232">
            <v>1.7833333333333378E-2</v>
          </cell>
          <cell r="Z232">
            <v>45.850299999999997</v>
          </cell>
          <cell r="AA232">
            <v>45.868133333333333</v>
          </cell>
          <cell r="AB232">
            <v>6.7039986497990131E-4</v>
          </cell>
          <cell r="AC232">
            <v>3.327777777777783E-2</v>
          </cell>
          <cell r="AD232">
            <v>49.6387</v>
          </cell>
          <cell r="AE232">
            <v>49.671977777777776</v>
          </cell>
          <cell r="AF232">
            <v>5.5486063692146317E-4</v>
          </cell>
          <cell r="AG232">
            <v>9.1822222222222184E-3</v>
          </cell>
          <cell r="AH232">
            <v>16.5487</v>
          </cell>
          <cell r="AI232">
            <v>16.557882222222222</v>
          </cell>
          <cell r="AJ232">
            <v>4.0609684331580987E-4</v>
          </cell>
          <cell r="AK232">
            <v>6.4571428571430344E-3</v>
          </cell>
          <cell r="AL232">
            <v>15.900499999999999</v>
          </cell>
          <cell r="AM232">
            <v>15.906957142857141</v>
          </cell>
          <cell r="AN232">
            <v>6.284120812222588E-4</v>
          </cell>
          <cell r="AO232">
            <v>4.7999999999999788E-3</v>
          </cell>
          <cell r="AP232">
            <v>7.6383000000000001</v>
          </cell>
          <cell r="AQ232">
            <v>7.6431000000000004</v>
          </cell>
          <cell r="AR232">
            <v>2.4960039936063706E-4</v>
          </cell>
          <cell r="AS232">
            <v>1.039999999999992E-2</v>
          </cell>
          <cell r="AT232">
            <v>41.666600000000003</v>
          </cell>
          <cell r="AU232">
            <v>41.677</v>
          </cell>
          <cell r="AV232">
            <v>5.7628746574759596E-4</v>
          </cell>
          <cell r="AW232">
            <v>2.0399999999999148E-2</v>
          </cell>
          <cell r="AX232">
            <v>35.399000000000001</v>
          </cell>
          <cell r="AY232">
            <v>35.419400000000003</v>
          </cell>
          <cell r="AZ232">
            <v>4.0960486163731097E-4</v>
          </cell>
          <cell r="BA232">
            <v>3.1428571428569235E-3</v>
          </cell>
          <cell r="BB232">
            <v>7.6729000000000003</v>
          </cell>
          <cell r="BC232">
            <v>7.6760428571428569</v>
          </cell>
        </row>
        <row r="233">
          <cell r="B233">
            <v>185</v>
          </cell>
          <cell r="C233">
            <v>5</v>
          </cell>
          <cell r="D233">
            <v>7.0012654815911209E-4</v>
          </cell>
          <cell r="E233">
            <v>4.256944444444441E-2</v>
          </cell>
          <cell r="F233">
            <v>60.802500000000002</v>
          </cell>
          <cell r="G233">
            <v>60.845069444444448</v>
          </cell>
          <cell r="H233">
            <v>9.7522008345126299E-4</v>
          </cell>
          <cell r="I233">
            <v>7.2149999999999812E-2</v>
          </cell>
          <cell r="J233">
            <v>73.9833</v>
          </cell>
          <cell r="K233">
            <v>74.055449999999993</v>
          </cell>
          <cell r="L233">
            <v>1.2594708239120937E-3</v>
          </cell>
          <cell r="M233">
            <v>7.0555555555555497E-4</v>
          </cell>
          <cell r="N233">
            <v>0.56020000000000003</v>
          </cell>
          <cell r="O233">
            <v>0.56090555555555555</v>
          </cell>
          <cell r="P233">
            <v>6.6749729820090664E-4</v>
          </cell>
          <cell r="Q233">
            <v>7.2627777777777666E-2</v>
          </cell>
          <cell r="R233">
            <v>108.8061</v>
          </cell>
          <cell r="S233">
            <v>108.87872777777778</v>
          </cell>
          <cell r="T233">
            <v>1.1622522924878927E-3</v>
          </cell>
          <cell r="U233">
            <v>5.586388888888906E-2</v>
          </cell>
          <cell r="V233">
            <v>48.065199999999997</v>
          </cell>
          <cell r="W233">
            <v>48.121063888888884</v>
          </cell>
          <cell r="X233">
            <v>4.8618366001240389E-4</v>
          </cell>
          <cell r="Y233">
            <v>2.2291666666666723E-2</v>
          </cell>
          <cell r="Z233">
            <v>45.850299999999997</v>
          </cell>
          <cell r="AA233">
            <v>45.872591666666665</v>
          </cell>
          <cell r="AB233">
            <v>8.3799983122487666E-4</v>
          </cell>
          <cell r="AC233">
            <v>4.1597222222222285E-2</v>
          </cell>
          <cell r="AD233">
            <v>49.6387</v>
          </cell>
          <cell r="AE233">
            <v>49.680297222222222</v>
          </cell>
          <cell r="AF233">
            <v>6.9357579615182902E-4</v>
          </cell>
          <cell r="AG233">
            <v>1.1477777777777773E-2</v>
          </cell>
          <cell r="AH233">
            <v>16.5487</v>
          </cell>
          <cell r="AI233">
            <v>16.560177777777778</v>
          </cell>
          <cell r="AJ233">
            <v>5.0762105414476233E-4</v>
          </cell>
          <cell r="AK233">
            <v>8.0714285714287935E-3</v>
          </cell>
          <cell r="AL233">
            <v>15.900499999999999</v>
          </cell>
          <cell r="AM233">
            <v>15.908571428571427</v>
          </cell>
          <cell r="AN233">
            <v>7.8551510152782345E-4</v>
          </cell>
          <cell r="AO233">
            <v>5.9999999999999732E-3</v>
          </cell>
          <cell r="AP233">
            <v>7.6383000000000001</v>
          </cell>
          <cell r="AQ233">
            <v>7.6443000000000003</v>
          </cell>
          <cell r="AR233">
            <v>3.1200049920079631E-4</v>
          </cell>
          <cell r="AS233">
            <v>1.2999999999999901E-2</v>
          </cell>
          <cell r="AT233">
            <v>41.666600000000003</v>
          </cell>
          <cell r="AU233">
            <v>41.679600000000001</v>
          </cell>
          <cell r="AV233">
            <v>7.2035933218449492E-4</v>
          </cell>
          <cell r="AW233">
            <v>2.5499999999998937E-2</v>
          </cell>
          <cell r="AX233">
            <v>35.399000000000001</v>
          </cell>
          <cell r="AY233">
            <v>35.424500000000002</v>
          </cell>
          <cell r="AZ233">
            <v>5.1200607704663867E-4</v>
          </cell>
          <cell r="BA233">
            <v>3.9285714285711548E-3</v>
          </cell>
          <cell r="BB233">
            <v>7.6729000000000003</v>
          </cell>
          <cell r="BC233">
            <v>7.6768285714285716</v>
          </cell>
        </row>
        <row r="234">
          <cell r="B234">
            <v>186</v>
          </cell>
          <cell r="C234">
            <v>6</v>
          </cell>
          <cell r="D234">
            <v>8.4015185779093434E-4</v>
          </cell>
          <cell r="E234">
            <v>5.1083333333333293E-2</v>
          </cell>
          <cell r="F234">
            <v>60.802500000000002</v>
          </cell>
          <cell r="G234">
            <v>60.853583333333333</v>
          </cell>
          <cell r="H234">
            <v>1.1702641001415154E-3</v>
          </cell>
          <cell r="I234">
            <v>8.6579999999999782E-2</v>
          </cell>
          <cell r="J234">
            <v>73.9833</v>
          </cell>
          <cell r="K234">
            <v>74.069879999999998</v>
          </cell>
          <cell r="L234">
            <v>1.5113649886945124E-3</v>
          </cell>
          <cell r="M234">
            <v>8.4666666666666592E-4</v>
          </cell>
          <cell r="N234">
            <v>0.56020000000000003</v>
          </cell>
          <cell r="O234">
            <v>0.56104666666666669</v>
          </cell>
          <cell r="P234">
            <v>8.0099675784108784E-4</v>
          </cell>
          <cell r="Q234">
            <v>8.7153333333333194E-2</v>
          </cell>
          <cell r="R234">
            <v>108.8061</v>
          </cell>
          <cell r="S234">
            <v>108.89325333333333</v>
          </cell>
          <cell r="T234">
            <v>1.3947027509854711E-3</v>
          </cell>
          <cell r="U234">
            <v>6.7036666666666869E-2</v>
          </cell>
          <cell r="V234">
            <v>48.065199999999997</v>
          </cell>
          <cell r="W234">
            <v>48.132236666666664</v>
          </cell>
          <cell r="X234">
            <v>5.8342039201488471E-4</v>
          </cell>
          <cell r="Y234">
            <v>2.6750000000000065E-2</v>
          </cell>
          <cell r="Z234">
            <v>45.850299999999997</v>
          </cell>
          <cell r="AA234">
            <v>45.877049999999997</v>
          </cell>
          <cell r="AB234">
            <v>1.0055997974698521E-3</v>
          </cell>
          <cell r="AC234">
            <v>4.9916666666666741E-2</v>
          </cell>
          <cell r="AD234">
            <v>49.6387</v>
          </cell>
          <cell r="AE234">
            <v>49.688616666666668</v>
          </cell>
          <cell r="AF234">
            <v>8.3229095538219465E-4</v>
          </cell>
          <cell r="AG234">
            <v>1.3773333333333327E-2</v>
          </cell>
          <cell r="AH234">
            <v>16.5487</v>
          </cell>
          <cell r="AI234">
            <v>16.562473333333333</v>
          </cell>
          <cell r="AJ234">
            <v>6.091452649737148E-4</v>
          </cell>
          <cell r="AK234">
            <v>9.6857142857145508E-3</v>
          </cell>
          <cell r="AL234">
            <v>15.900499999999999</v>
          </cell>
          <cell r="AM234">
            <v>15.910185714285713</v>
          </cell>
          <cell r="AN234">
            <v>9.426181218333881E-4</v>
          </cell>
          <cell r="AO234">
            <v>7.1999999999999686E-3</v>
          </cell>
          <cell r="AP234">
            <v>7.6383000000000001</v>
          </cell>
          <cell r="AQ234">
            <v>7.6455000000000002</v>
          </cell>
          <cell r="AR234">
            <v>3.7440059904095561E-4</v>
          </cell>
          <cell r="AS234">
            <v>1.5599999999999881E-2</v>
          </cell>
          <cell r="AT234">
            <v>41.666600000000003</v>
          </cell>
          <cell r="AU234">
            <v>41.682200000000002</v>
          </cell>
          <cell r="AV234">
            <v>8.6443119862139399E-4</v>
          </cell>
          <cell r="AW234">
            <v>3.0599999999998722E-2</v>
          </cell>
          <cell r="AX234">
            <v>35.399000000000001</v>
          </cell>
          <cell r="AY234">
            <v>35.429600000000001</v>
          </cell>
          <cell r="AZ234">
            <v>6.1440729245596643E-4</v>
          </cell>
          <cell r="BA234">
            <v>4.7142857142853855E-3</v>
          </cell>
          <cell r="BB234">
            <v>7.6729000000000003</v>
          </cell>
          <cell r="BC234">
            <v>7.6776142857142853</v>
          </cell>
        </row>
        <row r="235">
          <cell r="B235">
            <v>187</v>
          </cell>
          <cell r="C235">
            <v>7</v>
          </cell>
          <cell r="D235">
            <v>9.8017716742275691E-4</v>
          </cell>
          <cell r="E235">
            <v>5.9597222222222176E-2</v>
          </cell>
          <cell r="F235">
            <v>60.802500000000002</v>
          </cell>
          <cell r="G235">
            <v>60.862097222222225</v>
          </cell>
          <cell r="H235">
            <v>1.365308116831768E-3</v>
          </cell>
          <cell r="I235">
            <v>0.10100999999999974</v>
          </cell>
          <cell r="J235">
            <v>73.9833</v>
          </cell>
          <cell r="K235">
            <v>74.084310000000002</v>
          </cell>
          <cell r="L235">
            <v>1.7632591534769311E-3</v>
          </cell>
          <cell r="M235">
            <v>9.8777777777777688E-4</v>
          </cell>
          <cell r="N235">
            <v>0.56020000000000003</v>
          </cell>
          <cell r="O235">
            <v>0.56118777777777784</v>
          </cell>
          <cell r="P235">
            <v>9.3449621748126915E-4</v>
          </cell>
          <cell r="Q235">
            <v>0.10167888888888872</v>
          </cell>
          <cell r="R235">
            <v>108.8061</v>
          </cell>
          <cell r="S235">
            <v>108.90777888888888</v>
          </cell>
          <cell r="T235">
            <v>1.6271532094830497E-3</v>
          </cell>
          <cell r="U235">
            <v>7.8209444444444678E-2</v>
          </cell>
          <cell r="V235">
            <v>48.065199999999997</v>
          </cell>
          <cell r="W235">
            <v>48.143409444444444</v>
          </cell>
          <cell r="X235">
            <v>6.8065712401736548E-4</v>
          </cell>
          <cell r="Y235">
            <v>3.1208333333333411E-2</v>
          </cell>
          <cell r="Z235">
            <v>45.850299999999997</v>
          </cell>
          <cell r="AA235">
            <v>45.881508333333329</v>
          </cell>
          <cell r="AB235">
            <v>1.1731997637148275E-3</v>
          </cell>
          <cell r="AC235">
            <v>5.8236111111111197E-2</v>
          </cell>
          <cell r="AD235">
            <v>49.6387</v>
          </cell>
          <cell r="AE235">
            <v>49.696936111111114</v>
          </cell>
          <cell r="AF235">
            <v>9.710061146125605E-4</v>
          </cell>
          <cell r="AG235">
            <v>1.6068888888888879E-2</v>
          </cell>
          <cell r="AH235">
            <v>16.5487</v>
          </cell>
          <cell r="AI235">
            <v>16.564768888888889</v>
          </cell>
          <cell r="AJ235">
            <v>7.1066947580266727E-4</v>
          </cell>
          <cell r="AK235">
            <v>1.130000000000031E-2</v>
          </cell>
          <cell r="AL235">
            <v>15.900499999999999</v>
          </cell>
          <cell r="AM235">
            <v>15.911799999999999</v>
          </cell>
          <cell r="AN235">
            <v>1.0997211421389529E-3</v>
          </cell>
          <cell r="AO235">
            <v>8.3999999999999631E-3</v>
          </cell>
          <cell r="AP235">
            <v>7.6383000000000001</v>
          </cell>
          <cell r="AQ235">
            <v>7.6467000000000001</v>
          </cell>
          <cell r="AR235">
            <v>4.3680069888111486E-4</v>
          </cell>
          <cell r="AS235">
            <v>1.8199999999999862E-2</v>
          </cell>
          <cell r="AT235">
            <v>41.666600000000003</v>
          </cell>
          <cell r="AU235">
            <v>41.684800000000003</v>
          </cell>
          <cell r="AV235">
            <v>1.008503065058293E-3</v>
          </cell>
          <cell r="AW235">
            <v>3.5699999999998511E-2</v>
          </cell>
          <cell r="AX235">
            <v>35.399000000000001</v>
          </cell>
          <cell r="AY235">
            <v>35.434699999999999</v>
          </cell>
          <cell r="AZ235">
            <v>7.1680850786529418E-4</v>
          </cell>
          <cell r="BA235">
            <v>5.4999999999996163E-3</v>
          </cell>
          <cell r="BB235">
            <v>7.6729000000000003</v>
          </cell>
          <cell r="BC235">
            <v>7.6783999999999999</v>
          </cell>
        </row>
        <row r="236">
          <cell r="B236">
            <v>188</v>
          </cell>
          <cell r="C236">
            <v>8</v>
          </cell>
          <cell r="D236">
            <v>1.1202024770545793E-3</v>
          </cell>
          <cell r="E236">
            <v>6.8111111111111067E-2</v>
          </cell>
          <cell r="F236">
            <v>60.802500000000002</v>
          </cell>
          <cell r="G236">
            <v>60.87061111111111</v>
          </cell>
          <cell r="H236">
            <v>1.5603521335220206E-3</v>
          </cell>
          <cell r="I236">
            <v>0.1154399999999997</v>
          </cell>
          <cell r="J236">
            <v>73.9833</v>
          </cell>
          <cell r="K236">
            <v>74.098740000000006</v>
          </cell>
          <cell r="L236">
            <v>2.0151533182593499E-3</v>
          </cell>
          <cell r="M236">
            <v>1.1288888888888878E-3</v>
          </cell>
          <cell r="N236">
            <v>0.56020000000000003</v>
          </cell>
          <cell r="O236">
            <v>0.56132888888888888</v>
          </cell>
          <cell r="P236">
            <v>1.0679956771214505E-3</v>
          </cell>
          <cell r="Q236">
            <v>0.11620444444444426</v>
          </cell>
          <cell r="R236">
            <v>108.8061</v>
          </cell>
          <cell r="S236">
            <v>108.92230444444445</v>
          </cell>
          <cell r="T236">
            <v>1.8596036679806283E-3</v>
          </cell>
          <cell r="U236">
            <v>8.9382222222222488E-2</v>
          </cell>
          <cell r="V236">
            <v>48.065199999999997</v>
          </cell>
          <cell r="W236">
            <v>48.154582222222217</v>
          </cell>
          <cell r="X236">
            <v>7.7789385601984625E-4</v>
          </cell>
          <cell r="Y236">
            <v>3.5666666666666756E-2</v>
          </cell>
          <cell r="Z236">
            <v>45.850299999999997</v>
          </cell>
          <cell r="AA236">
            <v>45.885966666666661</v>
          </cell>
          <cell r="AB236">
            <v>1.3407997299598026E-3</v>
          </cell>
          <cell r="AC236">
            <v>6.6555555555555659E-2</v>
          </cell>
          <cell r="AD236">
            <v>49.6387</v>
          </cell>
          <cell r="AE236">
            <v>49.705255555555553</v>
          </cell>
          <cell r="AF236">
            <v>1.1097212738429263E-3</v>
          </cell>
          <cell r="AG236">
            <v>1.8364444444444437E-2</v>
          </cell>
          <cell r="AH236">
            <v>16.5487</v>
          </cell>
          <cell r="AI236">
            <v>16.567064444444444</v>
          </cell>
          <cell r="AJ236">
            <v>8.1219368663161973E-4</v>
          </cell>
          <cell r="AK236">
            <v>1.2914285714286069E-2</v>
          </cell>
          <cell r="AL236">
            <v>15.900499999999999</v>
          </cell>
          <cell r="AM236">
            <v>15.913414285714286</v>
          </cell>
          <cell r="AN236">
            <v>1.2568241624445176E-3</v>
          </cell>
          <cell r="AO236">
            <v>9.5999999999999575E-3</v>
          </cell>
          <cell r="AP236">
            <v>7.6383000000000001</v>
          </cell>
          <cell r="AQ236">
            <v>7.6478999999999999</v>
          </cell>
          <cell r="AR236">
            <v>4.9920079872127412E-4</v>
          </cell>
          <cell r="AS236">
            <v>2.0799999999999839E-2</v>
          </cell>
          <cell r="AT236">
            <v>41.666600000000003</v>
          </cell>
          <cell r="AU236">
            <v>41.687400000000004</v>
          </cell>
          <cell r="AV236">
            <v>1.1525749314951919E-3</v>
          </cell>
          <cell r="AW236">
            <v>4.0799999999998296E-2</v>
          </cell>
          <cell r="AX236">
            <v>35.399000000000001</v>
          </cell>
          <cell r="AY236">
            <v>35.439799999999998</v>
          </cell>
          <cell r="AZ236">
            <v>8.1920972327462194E-4</v>
          </cell>
          <cell r="BA236">
            <v>6.2857142857138471E-3</v>
          </cell>
          <cell r="BB236">
            <v>7.6729000000000003</v>
          </cell>
          <cell r="BC236">
            <v>7.6791857142857145</v>
          </cell>
        </row>
        <row r="237">
          <cell r="B237">
            <v>189</v>
          </cell>
          <cell r="C237">
            <v>9</v>
          </cell>
          <cell r="D237">
            <v>1.2602277866864016E-3</v>
          </cell>
          <cell r="E237">
            <v>7.6624999999999943E-2</v>
          </cell>
          <cell r="F237">
            <v>60.802500000000002</v>
          </cell>
          <cell r="G237">
            <v>60.879125000000002</v>
          </cell>
          <cell r="H237">
            <v>1.7553961502122734E-3</v>
          </cell>
          <cell r="I237">
            <v>0.12986999999999965</v>
          </cell>
          <cell r="J237">
            <v>73.9833</v>
          </cell>
          <cell r="K237">
            <v>74.113169999999997</v>
          </cell>
          <cell r="L237">
            <v>2.2670474830417684E-3</v>
          </cell>
          <cell r="M237">
            <v>1.269999999999999E-3</v>
          </cell>
          <cell r="N237">
            <v>0.56020000000000003</v>
          </cell>
          <cell r="O237">
            <v>0.56147000000000002</v>
          </cell>
          <cell r="P237">
            <v>1.2014951367616319E-3</v>
          </cell>
          <cell r="Q237">
            <v>0.13072999999999979</v>
          </cell>
          <cell r="R237">
            <v>108.8061</v>
          </cell>
          <cell r="S237">
            <v>108.93683</v>
          </cell>
          <cell r="T237">
            <v>2.0920541264782067E-3</v>
          </cell>
          <cell r="U237">
            <v>0.10055500000000031</v>
          </cell>
          <cell r="V237">
            <v>48.065199999999997</v>
          </cell>
          <cell r="W237">
            <v>48.165754999999997</v>
          </cell>
          <cell r="X237">
            <v>8.7513058802232702E-4</v>
          </cell>
          <cell r="Y237">
            <v>4.0125000000000098E-2</v>
          </cell>
          <cell r="Z237">
            <v>45.850299999999997</v>
          </cell>
          <cell r="AA237">
            <v>45.890425</v>
          </cell>
          <cell r="AB237">
            <v>1.5083996962047782E-3</v>
          </cell>
          <cell r="AC237">
            <v>7.4875000000000108E-2</v>
          </cell>
          <cell r="AD237">
            <v>49.6387</v>
          </cell>
          <cell r="AE237">
            <v>49.713574999999999</v>
          </cell>
          <cell r="AF237">
            <v>1.2484364330732922E-3</v>
          </cell>
          <cell r="AG237">
            <v>2.0659999999999991E-2</v>
          </cell>
          <cell r="AH237">
            <v>16.5487</v>
          </cell>
          <cell r="AI237">
            <v>16.56936</v>
          </cell>
          <cell r="AJ237">
            <v>9.137178974605722E-4</v>
          </cell>
          <cell r="AK237">
            <v>1.4528571428571826E-2</v>
          </cell>
          <cell r="AL237">
            <v>15.900499999999999</v>
          </cell>
          <cell r="AM237">
            <v>15.915028571428572</v>
          </cell>
          <cell r="AN237">
            <v>1.4139271827500824E-3</v>
          </cell>
          <cell r="AO237">
            <v>1.0799999999999952E-2</v>
          </cell>
          <cell r="AP237">
            <v>7.6383000000000001</v>
          </cell>
          <cell r="AQ237">
            <v>7.6490999999999998</v>
          </cell>
          <cell r="AR237">
            <v>5.6160089856143337E-4</v>
          </cell>
          <cell r="AS237">
            <v>2.339999999999982E-2</v>
          </cell>
          <cell r="AT237">
            <v>41.666600000000003</v>
          </cell>
          <cell r="AU237">
            <v>41.690000000000005</v>
          </cell>
          <cell r="AV237">
            <v>1.2966467979320909E-3</v>
          </cell>
          <cell r="AW237">
            <v>4.5899999999998088E-2</v>
          </cell>
          <cell r="AX237">
            <v>35.399000000000001</v>
          </cell>
          <cell r="AY237">
            <v>35.444899999999997</v>
          </cell>
          <cell r="AZ237">
            <v>9.216109386839497E-4</v>
          </cell>
          <cell r="BA237">
            <v>7.0714285714280779E-3</v>
          </cell>
          <cell r="BB237">
            <v>7.6729000000000003</v>
          </cell>
          <cell r="BC237">
            <v>7.6799714285714282</v>
          </cell>
        </row>
        <row r="238">
          <cell r="B238">
            <v>190</v>
          </cell>
          <cell r="C238">
            <v>10</v>
          </cell>
          <cell r="D238">
            <v>1.4002530963182242E-3</v>
          </cell>
          <cell r="E238">
            <v>8.513888888888882E-2</v>
          </cell>
          <cell r="F238">
            <v>60.802500000000002</v>
          </cell>
          <cell r="G238">
            <v>60.887638888888894</v>
          </cell>
          <cell r="H238">
            <v>1.950440166902526E-3</v>
          </cell>
          <cell r="I238">
            <v>0.14429999999999962</v>
          </cell>
          <cell r="J238">
            <v>73.9833</v>
          </cell>
          <cell r="K238">
            <v>74.127600000000001</v>
          </cell>
          <cell r="L238">
            <v>2.5189416478241873E-3</v>
          </cell>
          <cell r="M238">
            <v>1.4111111111111099E-3</v>
          </cell>
          <cell r="N238">
            <v>0.56020000000000003</v>
          </cell>
          <cell r="O238">
            <v>0.56161111111111117</v>
          </cell>
          <cell r="P238">
            <v>1.3349945964018133E-3</v>
          </cell>
          <cell r="Q238">
            <v>0.14525555555555533</v>
          </cell>
          <cell r="R238">
            <v>108.8061</v>
          </cell>
          <cell r="S238">
            <v>108.95135555555555</v>
          </cell>
          <cell r="T238">
            <v>2.3245045849757855E-3</v>
          </cell>
          <cell r="U238">
            <v>0.11172777777777812</v>
          </cell>
          <cell r="V238">
            <v>48.065199999999997</v>
          </cell>
          <cell r="W238">
            <v>48.176927777777777</v>
          </cell>
          <cell r="X238">
            <v>9.7236732002480778E-4</v>
          </cell>
          <cell r="Y238">
            <v>4.4583333333333447E-2</v>
          </cell>
          <cell r="Z238">
            <v>45.850299999999997</v>
          </cell>
          <cell r="AA238">
            <v>45.894883333333333</v>
          </cell>
          <cell r="AB238">
            <v>1.6759996624497533E-3</v>
          </cell>
          <cell r="AC238">
            <v>8.3194444444444571E-2</v>
          </cell>
          <cell r="AD238">
            <v>49.6387</v>
          </cell>
          <cell r="AE238">
            <v>49.721894444444445</v>
          </cell>
          <cell r="AF238">
            <v>1.387151592303658E-3</v>
          </cell>
          <cell r="AG238">
            <v>2.2955555555555545E-2</v>
          </cell>
          <cell r="AH238">
            <v>16.5487</v>
          </cell>
          <cell r="AI238">
            <v>16.571655555555555</v>
          </cell>
          <cell r="AJ238">
            <v>1.0152421082895247E-3</v>
          </cell>
          <cell r="AK238">
            <v>1.6142857142857587E-2</v>
          </cell>
          <cell r="AL238">
            <v>15.900499999999999</v>
          </cell>
          <cell r="AM238">
            <v>15.916642857142858</v>
          </cell>
          <cell r="AN238">
            <v>1.5710302030556469E-3</v>
          </cell>
          <cell r="AO238">
            <v>1.1999999999999946E-2</v>
          </cell>
          <cell r="AP238">
            <v>7.6383000000000001</v>
          </cell>
          <cell r="AQ238">
            <v>7.6502999999999997</v>
          </cell>
          <cell r="AR238">
            <v>6.2400099840159262E-4</v>
          </cell>
          <cell r="AS238">
            <v>2.5999999999999801E-2</v>
          </cell>
          <cell r="AT238">
            <v>41.666600000000003</v>
          </cell>
          <cell r="AU238">
            <v>41.692599999999999</v>
          </cell>
          <cell r="AV238">
            <v>1.4407186643689898E-3</v>
          </cell>
          <cell r="AW238">
            <v>5.0999999999997873E-2</v>
          </cell>
          <cell r="AX238">
            <v>35.399000000000001</v>
          </cell>
          <cell r="AY238">
            <v>35.449999999999996</v>
          </cell>
          <cell r="AZ238">
            <v>1.0240121540932773E-3</v>
          </cell>
          <cell r="BA238">
            <v>7.8571428571423095E-3</v>
          </cell>
          <cell r="BB238">
            <v>7.6729000000000003</v>
          </cell>
          <cell r="BC238">
            <v>7.6807571428571428</v>
          </cell>
        </row>
        <row r="239">
          <cell r="B239">
            <v>191</v>
          </cell>
          <cell r="C239">
            <v>11</v>
          </cell>
          <cell r="D239">
            <v>1.5402784059500465E-3</v>
          </cell>
          <cell r="E239">
            <v>9.365277777777771E-2</v>
          </cell>
          <cell r="F239">
            <v>60.802500000000002</v>
          </cell>
          <cell r="G239">
            <v>60.896152777777779</v>
          </cell>
          <cell r="H239">
            <v>2.1454841835927782E-3</v>
          </cell>
          <cell r="I239">
            <v>0.15872999999999959</v>
          </cell>
          <cell r="J239">
            <v>73.9833</v>
          </cell>
          <cell r="K239">
            <v>74.142030000000005</v>
          </cell>
          <cell r="L239">
            <v>2.7708358126066058E-3</v>
          </cell>
          <cell r="M239">
            <v>1.5522222222222209E-3</v>
          </cell>
          <cell r="N239">
            <v>0.56020000000000003</v>
          </cell>
          <cell r="O239">
            <v>0.56175222222222221</v>
          </cell>
          <cell r="P239">
            <v>1.4684940560419947E-3</v>
          </cell>
          <cell r="Q239">
            <v>0.15978111111111085</v>
          </cell>
          <cell r="R239">
            <v>108.8061</v>
          </cell>
          <cell r="S239">
            <v>108.96588111111112</v>
          </cell>
          <cell r="T239">
            <v>2.5569550434733639E-3</v>
          </cell>
          <cell r="U239">
            <v>0.12290055555555593</v>
          </cell>
          <cell r="V239">
            <v>48.065199999999997</v>
          </cell>
          <cell r="W239">
            <v>48.18810055555555</v>
          </cell>
          <cell r="X239">
            <v>1.0696040520272886E-3</v>
          </cell>
          <cell r="Y239">
            <v>4.9041666666666789E-2</v>
          </cell>
          <cell r="Z239">
            <v>45.850299999999997</v>
          </cell>
          <cell r="AA239">
            <v>45.899341666666665</v>
          </cell>
          <cell r="AB239">
            <v>1.8435996286947287E-3</v>
          </cell>
          <cell r="AC239">
            <v>9.1513888888889033E-2</v>
          </cell>
          <cell r="AD239">
            <v>49.6387</v>
          </cell>
          <cell r="AE239">
            <v>49.73021388888889</v>
          </cell>
          <cell r="AF239">
            <v>1.5258667515340237E-3</v>
          </cell>
          <cell r="AG239">
            <v>2.5251111111111099E-2</v>
          </cell>
          <cell r="AH239">
            <v>16.5487</v>
          </cell>
          <cell r="AI239">
            <v>16.573951111111111</v>
          </cell>
          <cell r="AJ239">
            <v>1.116766319118477E-3</v>
          </cell>
          <cell r="AK239">
            <v>1.7757142857143342E-2</v>
          </cell>
          <cell r="AL239">
            <v>15.900499999999999</v>
          </cell>
          <cell r="AM239">
            <v>15.918257142857142</v>
          </cell>
          <cell r="AN239">
            <v>1.7281332233612117E-3</v>
          </cell>
          <cell r="AO239">
            <v>1.3199999999999943E-2</v>
          </cell>
          <cell r="AP239">
            <v>7.6383000000000001</v>
          </cell>
          <cell r="AQ239">
            <v>7.6515000000000004</v>
          </cell>
          <cell r="AR239">
            <v>6.8640109824175187E-4</v>
          </cell>
          <cell r="AS239">
            <v>2.8599999999999782E-2</v>
          </cell>
          <cell r="AT239">
            <v>41.666600000000003</v>
          </cell>
          <cell r="AU239">
            <v>41.6952</v>
          </cell>
          <cell r="AV239">
            <v>1.584790530805889E-3</v>
          </cell>
          <cell r="AW239">
            <v>5.6099999999997659E-2</v>
          </cell>
          <cell r="AX239">
            <v>35.399000000000001</v>
          </cell>
          <cell r="AY239">
            <v>35.455100000000002</v>
          </cell>
          <cell r="AZ239">
            <v>1.1264133695026051E-3</v>
          </cell>
          <cell r="BA239">
            <v>8.6428571428565394E-3</v>
          </cell>
          <cell r="BB239">
            <v>7.6729000000000003</v>
          </cell>
          <cell r="BC239">
            <v>7.6815428571428566</v>
          </cell>
        </row>
        <row r="240">
          <cell r="B240">
            <v>192</v>
          </cell>
          <cell r="C240">
            <v>12</v>
          </cell>
          <cell r="D240">
            <v>1.6803037155818687E-3</v>
          </cell>
          <cell r="E240">
            <v>0.10216666666666659</v>
          </cell>
          <cell r="F240">
            <v>60.802500000000002</v>
          </cell>
          <cell r="G240">
            <v>60.904666666666671</v>
          </cell>
          <cell r="H240">
            <v>2.3405282002830308E-3</v>
          </cell>
          <cell r="I240">
            <v>0.17315999999999956</v>
          </cell>
          <cell r="J240">
            <v>73.9833</v>
          </cell>
          <cell r="K240">
            <v>74.156459999999996</v>
          </cell>
          <cell r="L240">
            <v>3.0227299773890248E-3</v>
          </cell>
          <cell r="M240">
            <v>1.6933333333333318E-3</v>
          </cell>
          <cell r="N240">
            <v>0.56020000000000003</v>
          </cell>
          <cell r="O240">
            <v>0.56189333333333336</v>
          </cell>
          <cell r="P240">
            <v>1.6019935156821757E-3</v>
          </cell>
          <cell r="Q240">
            <v>0.17430666666666639</v>
          </cell>
          <cell r="R240">
            <v>108.8061</v>
          </cell>
          <cell r="S240">
            <v>108.98040666666667</v>
          </cell>
          <cell r="T240">
            <v>2.7894055019709423E-3</v>
          </cell>
          <cell r="U240">
            <v>0.13407333333333374</v>
          </cell>
          <cell r="V240">
            <v>48.065199999999997</v>
          </cell>
          <cell r="W240">
            <v>48.199273333333331</v>
          </cell>
          <cell r="X240">
            <v>1.1668407840297694E-3</v>
          </cell>
          <cell r="Y240">
            <v>5.3500000000000131E-2</v>
          </cell>
          <cell r="Z240">
            <v>45.850299999999997</v>
          </cell>
          <cell r="AA240">
            <v>45.903799999999997</v>
          </cell>
          <cell r="AB240">
            <v>2.0111995949397042E-3</v>
          </cell>
          <cell r="AC240">
            <v>9.9833333333333482E-2</v>
          </cell>
          <cell r="AD240">
            <v>49.6387</v>
          </cell>
          <cell r="AE240">
            <v>49.738533333333336</v>
          </cell>
          <cell r="AF240">
            <v>1.6645819107643893E-3</v>
          </cell>
          <cell r="AG240">
            <v>2.7546666666666653E-2</v>
          </cell>
          <cell r="AH240">
            <v>16.5487</v>
          </cell>
          <cell r="AI240">
            <v>16.576246666666666</v>
          </cell>
          <cell r="AJ240">
            <v>1.2182905299474296E-3</v>
          </cell>
          <cell r="AK240">
            <v>1.9371428571429102E-2</v>
          </cell>
          <cell r="AL240">
            <v>15.900499999999999</v>
          </cell>
          <cell r="AM240">
            <v>15.919871428571428</v>
          </cell>
          <cell r="AN240">
            <v>1.8852362436667762E-3</v>
          </cell>
          <cell r="AO240">
            <v>1.4399999999999937E-2</v>
          </cell>
          <cell r="AP240">
            <v>7.6383000000000001</v>
          </cell>
          <cell r="AQ240">
            <v>7.6527000000000003</v>
          </cell>
          <cell r="AR240">
            <v>7.4880119808191123E-4</v>
          </cell>
          <cell r="AS240">
            <v>3.1199999999999763E-2</v>
          </cell>
          <cell r="AT240">
            <v>41.666600000000003</v>
          </cell>
          <cell r="AU240">
            <v>41.697800000000001</v>
          </cell>
          <cell r="AV240">
            <v>1.728862397242788E-3</v>
          </cell>
          <cell r="AW240">
            <v>6.1199999999997444E-2</v>
          </cell>
          <cell r="AX240">
            <v>35.399000000000001</v>
          </cell>
          <cell r="AY240">
            <v>35.4602</v>
          </cell>
          <cell r="AZ240">
            <v>1.2288145849119329E-3</v>
          </cell>
          <cell r="BA240">
            <v>9.4285714285707711E-3</v>
          </cell>
          <cell r="BB240">
            <v>7.6729000000000003</v>
          </cell>
          <cell r="BC240">
            <v>7.6823285714285712</v>
          </cell>
        </row>
        <row r="241">
          <cell r="B241">
            <v>193</v>
          </cell>
          <cell r="C241">
            <v>13</v>
          </cell>
          <cell r="D241">
            <v>1.8203290252136912E-3</v>
          </cell>
          <cell r="E241">
            <v>0.11068055555555548</v>
          </cell>
          <cell r="F241">
            <v>60.802500000000002</v>
          </cell>
          <cell r="G241">
            <v>60.913180555555556</v>
          </cell>
          <cell r="H241">
            <v>2.5355722169732838E-3</v>
          </cell>
          <cell r="I241">
            <v>0.18758999999999951</v>
          </cell>
          <cell r="J241">
            <v>73.9833</v>
          </cell>
          <cell r="K241">
            <v>74.17089</v>
          </cell>
          <cell r="L241">
            <v>3.2746241421714433E-3</v>
          </cell>
          <cell r="M241">
            <v>1.8344444444444428E-3</v>
          </cell>
          <cell r="N241">
            <v>0.56020000000000003</v>
          </cell>
          <cell r="O241">
            <v>0.5620344444444445</v>
          </cell>
          <cell r="P241">
            <v>1.7354929753223571E-3</v>
          </cell>
          <cell r="Q241">
            <v>0.18883222222222193</v>
          </cell>
          <cell r="R241">
            <v>108.8061</v>
          </cell>
          <cell r="S241">
            <v>108.99493222222222</v>
          </cell>
          <cell r="T241">
            <v>3.0218559604685211E-3</v>
          </cell>
          <cell r="U241">
            <v>0.14524611111111155</v>
          </cell>
          <cell r="V241">
            <v>48.065199999999997</v>
          </cell>
          <cell r="W241">
            <v>48.210446111111111</v>
          </cell>
          <cell r="X241">
            <v>1.2640775160322501E-3</v>
          </cell>
          <cell r="Y241">
            <v>5.795833333333348E-2</v>
          </cell>
          <cell r="Z241">
            <v>45.850299999999997</v>
          </cell>
          <cell r="AA241">
            <v>45.908258333333329</v>
          </cell>
          <cell r="AB241">
            <v>2.1787995611846794E-3</v>
          </cell>
          <cell r="AC241">
            <v>0.10815277777777794</v>
          </cell>
          <cell r="AD241">
            <v>49.6387</v>
          </cell>
          <cell r="AE241">
            <v>49.746852777777775</v>
          </cell>
          <cell r="AF241">
            <v>1.8032970699947554E-3</v>
          </cell>
          <cell r="AG241">
            <v>2.9842222222222207E-2</v>
          </cell>
          <cell r="AH241">
            <v>16.5487</v>
          </cell>
          <cell r="AI241">
            <v>16.578542222222222</v>
          </cell>
          <cell r="AJ241">
            <v>1.319814740776382E-3</v>
          </cell>
          <cell r="AK241">
            <v>2.0985714285714861E-2</v>
          </cell>
          <cell r="AL241">
            <v>15.900499999999999</v>
          </cell>
          <cell r="AM241">
            <v>15.921485714285714</v>
          </cell>
          <cell r="AN241">
            <v>2.0423392639723407E-3</v>
          </cell>
          <cell r="AO241">
            <v>1.5599999999999932E-2</v>
          </cell>
          <cell r="AP241">
            <v>7.6383000000000001</v>
          </cell>
          <cell r="AQ241">
            <v>7.6539000000000001</v>
          </cell>
          <cell r="AR241">
            <v>8.1120129792207048E-4</v>
          </cell>
          <cell r="AS241">
            <v>3.379999999999974E-2</v>
          </cell>
          <cell r="AT241">
            <v>41.666600000000003</v>
          </cell>
          <cell r="AU241">
            <v>41.700400000000002</v>
          </cell>
          <cell r="AV241">
            <v>1.872934263679687E-3</v>
          </cell>
          <cell r="AW241">
            <v>6.6299999999997236E-2</v>
          </cell>
          <cell r="AX241">
            <v>35.399000000000001</v>
          </cell>
          <cell r="AY241">
            <v>35.465299999999999</v>
          </cell>
          <cell r="AZ241">
            <v>1.3312158003212606E-3</v>
          </cell>
          <cell r="BA241">
            <v>1.0214285714285001E-2</v>
          </cell>
          <cell r="BB241">
            <v>7.6729000000000003</v>
          </cell>
          <cell r="BC241">
            <v>7.6831142857142849</v>
          </cell>
        </row>
        <row r="242">
          <cell r="B242">
            <v>194</v>
          </cell>
          <cell r="C242">
            <v>14</v>
          </cell>
          <cell r="D242">
            <v>1.9603543348455138E-3</v>
          </cell>
          <cell r="E242">
            <v>0.11919444444444435</v>
          </cell>
          <cell r="F242">
            <v>60.802500000000002</v>
          </cell>
          <cell r="G242">
            <v>60.921694444444448</v>
          </cell>
          <cell r="H242">
            <v>2.7306162336635359E-3</v>
          </cell>
          <cell r="I242">
            <v>0.20201999999999948</v>
          </cell>
          <cell r="J242">
            <v>73.9833</v>
          </cell>
          <cell r="K242">
            <v>74.185320000000004</v>
          </cell>
          <cell r="L242">
            <v>3.5265183069538623E-3</v>
          </cell>
          <cell r="M242">
            <v>1.9755555555555538E-3</v>
          </cell>
          <cell r="N242">
            <v>0.56020000000000003</v>
          </cell>
          <cell r="O242">
            <v>0.56217555555555554</v>
          </cell>
          <cell r="P242">
            <v>1.8689924349625383E-3</v>
          </cell>
          <cell r="Q242">
            <v>0.20335777777777744</v>
          </cell>
          <cell r="R242">
            <v>108.8061</v>
          </cell>
          <cell r="S242">
            <v>109.00945777777778</v>
          </cell>
          <cell r="T242">
            <v>3.2543064189660994E-3</v>
          </cell>
          <cell r="U242">
            <v>0.15641888888888936</v>
          </cell>
          <cell r="V242">
            <v>48.065199999999997</v>
          </cell>
          <cell r="W242">
            <v>48.221618888888884</v>
          </cell>
          <cell r="X242">
            <v>1.361314248034731E-3</v>
          </cell>
          <cell r="Y242">
            <v>6.2416666666666822E-2</v>
          </cell>
          <cell r="Z242">
            <v>45.850299999999997</v>
          </cell>
          <cell r="AA242">
            <v>45.912716666666661</v>
          </cell>
          <cell r="AB242">
            <v>2.346399527429655E-3</v>
          </cell>
          <cell r="AC242">
            <v>0.11647222222222239</v>
          </cell>
          <cell r="AD242">
            <v>49.6387</v>
          </cell>
          <cell r="AE242">
            <v>49.755172222222221</v>
          </cell>
          <cell r="AF242">
            <v>1.942012229225121E-3</v>
          </cell>
          <cell r="AG242">
            <v>3.2137777777777758E-2</v>
          </cell>
          <cell r="AH242">
            <v>16.5487</v>
          </cell>
          <cell r="AI242">
            <v>16.580837777777777</v>
          </cell>
          <cell r="AJ242">
            <v>1.4213389516053345E-3</v>
          </cell>
          <cell r="AK242">
            <v>2.260000000000062E-2</v>
          </cell>
          <cell r="AL242">
            <v>15.900499999999999</v>
          </cell>
          <cell r="AM242">
            <v>15.9231</v>
          </cell>
          <cell r="AN242">
            <v>2.1994422842779057E-3</v>
          </cell>
          <cell r="AO242">
            <v>1.6799999999999926E-2</v>
          </cell>
          <cell r="AP242">
            <v>7.6383000000000001</v>
          </cell>
          <cell r="AQ242">
            <v>7.6551</v>
          </cell>
          <cell r="AR242">
            <v>8.7360139776222973E-4</v>
          </cell>
          <cell r="AS242">
            <v>3.6399999999999724E-2</v>
          </cell>
          <cell r="AT242">
            <v>41.666600000000003</v>
          </cell>
          <cell r="AU242">
            <v>41.703000000000003</v>
          </cell>
          <cell r="AV242">
            <v>2.0170061301165859E-3</v>
          </cell>
          <cell r="AW242">
            <v>7.1399999999997021E-2</v>
          </cell>
          <cell r="AX242">
            <v>35.399000000000001</v>
          </cell>
          <cell r="AY242">
            <v>35.470399999999998</v>
          </cell>
          <cell r="AZ242">
            <v>1.4336170157305884E-3</v>
          </cell>
          <cell r="BA242">
            <v>1.0999999999999233E-2</v>
          </cell>
          <cell r="BB242">
            <v>7.6729000000000003</v>
          </cell>
          <cell r="BC242">
            <v>7.6838999999999995</v>
          </cell>
        </row>
        <row r="243">
          <cell r="B243">
            <v>195</v>
          </cell>
          <cell r="C243">
            <v>15</v>
          </cell>
          <cell r="D243">
            <v>2.100379644477336E-3</v>
          </cell>
          <cell r="E243">
            <v>0.12770833333333323</v>
          </cell>
          <cell r="F243">
            <v>60.802500000000002</v>
          </cell>
          <cell r="G243">
            <v>60.930208333333333</v>
          </cell>
          <cell r="H243">
            <v>2.9256602503537885E-3</v>
          </cell>
          <cell r="I243">
            <v>0.21644999999999945</v>
          </cell>
          <cell r="J243">
            <v>73.9833</v>
          </cell>
          <cell r="K243">
            <v>74.199749999999995</v>
          </cell>
          <cell r="L243">
            <v>3.7784124717362812E-3</v>
          </cell>
          <cell r="M243">
            <v>2.1166666666666647E-3</v>
          </cell>
          <cell r="N243">
            <v>0.56020000000000003</v>
          </cell>
          <cell r="O243">
            <v>0.56231666666666669</v>
          </cell>
          <cell r="P243">
            <v>2.0024918946027199E-3</v>
          </cell>
          <cell r="Q243">
            <v>0.21788333333333298</v>
          </cell>
          <cell r="R243">
            <v>108.8061</v>
          </cell>
          <cell r="S243">
            <v>109.02398333333333</v>
          </cell>
          <cell r="T243">
            <v>3.4867568774636782E-3</v>
          </cell>
          <cell r="U243">
            <v>0.16759166666666717</v>
          </cell>
          <cell r="V243">
            <v>48.065199999999997</v>
          </cell>
          <cell r="W243">
            <v>48.232791666666664</v>
          </cell>
          <cell r="X243">
            <v>1.4585509800372116E-3</v>
          </cell>
          <cell r="Y243">
            <v>6.687500000000017E-2</v>
          </cell>
          <cell r="Z243">
            <v>45.850299999999997</v>
          </cell>
          <cell r="AA243">
            <v>45.917175</v>
          </cell>
          <cell r="AB243">
            <v>2.5139994936746301E-3</v>
          </cell>
          <cell r="AC243">
            <v>0.12479166666666686</v>
          </cell>
          <cell r="AD243">
            <v>49.6387</v>
          </cell>
          <cell r="AE243">
            <v>49.763491666666667</v>
          </cell>
          <cell r="AF243">
            <v>2.0807273884554871E-3</v>
          </cell>
          <cell r="AG243">
            <v>3.4433333333333316E-2</v>
          </cell>
          <cell r="AH243">
            <v>16.5487</v>
          </cell>
          <cell r="AI243">
            <v>16.583133333333333</v>
          </cell>
          <cell r="AJ243">
            <v>1.5228631624342871E-3</v>
          </cell>
          <cell r="AK243">
            <v>2.4214285714286379E-2</v>
          </cell>
          <cell r="AL243">
            <v>15.900499999999999</v>
          </cell>
          <cell r="AM243">
            <v>15.924714285714286</v>
          </cell>
          <cell r="AN243">
            <v>2.3565453045834707E-3</v>
          </cell>
          <cell r="AO243">
            <v>1.7999999999999922E-2</v>
          </cell>
          <cell r="AP243">
            <v>7.6383000000000001</v>
          </cell>
          <cell r="AQ243">
            <v>7.6562999999999999</v>
          </cell>
          <cell r="AR243">
            <v>9.3600149760238898E-4</v>
          </cell>
          <cell r="AS243">
            <v>3.8999999999999702E-2</v>
          </cell>
          <cell r="AT243">
            <v>41.666600000000003</v>
          </cell>
          <cell r="AU243">
            <v>41.705600000000004</v>
          </cell>
          <cell r="AV243">
            <v>2.1610779965534851E-3</v>
          </cell>
          <cell r="AW243">
            <v>7.6499999999996807E-2</v>
          </cell>
          <cell r="AX243">
            <v>35.399000000000001</v>
          </cell>
          <cell r="AY243">
            <v>35.475499999999997</v>
          </cell>
          <cell r="AZ243">
            <v>1.5360182311399161E-3</v>
          </cell>
          <cell r="BA243">
            <v>1.1785714285713464E-2</v>
          </cell>
          <cell r="BB243">
            <v>7.6729000000000003</v>
          </cell>
          <cell r="BC243">
            <v>7.6846857142857141</v>
          </cell>
        </row>
        <row r="244">
          <cell r="B244">
            <v>196</v>
          </cell>
          <cell r="C244">
            <v>16</v>
          </cell>
          <cell r="D244">
            <v>2.2404049541091585E-3</v>
          </cell>
          <cell r="E244">
            <v>0.13622222222222213</v>
          </cell>
          <cell r="F244">
            <v>60.802500000000002</v>
          </cell>
          <cell r="G244">
            <v>60.938722222222225</v>
          </cell>
          <cell r="H244">
            <v>3.1207042670440411E-3</v>
          </cell>
          <cell r="I244">
            <v>0.23087999999999939</v>
          </cell>
          <cell r="J244">
            <v>73.9833</v>
          </cell>
          <cell r="K244">
            <v>74.214179999999999</v>
          </cell>
          <cell r="L244">
            <v>4.0303066365186997E-3</v>
          </cell>
          <cell r="M244">
            <v>2.2577777777777757E-3</v>
          </cell>
          <cell r="N244">
            <v>0.56020000000000003</v>
          </cell>
          <cell r="O244">
            <v>0.56245777777777783</v>
          </cell>
          <cell r="P244">
            <v>2.1359913542429009E-3</v>
          </cell>
          <cell r="Q244">
            <v>0.23240888888888853</v>
          </cell>
          <cell r="R244">
            <v>108.8061</v>
          </cell>
          <cell r="S244">
            <v>109.03850888888888</v>
          </cell>
          <cell r="T244">
            <v>3.7192073359612566E-3</v>
          </cell>
          <cell r="U244">
            <v>0.17876444444444498</v>
          </cell>
          <cell r="V244">
            <v>48.065199999999997</v>
          </cell>
          <cell r="W244">
            <v>48.243964444444444</v>
          </cell>
          <cell r="X244">
            <v>1.5557877120396925E-3</v>
          </cell>
          <cell r="Y244">
            <v>7.1333333333333512E-2</v>
          </cell>
          <cell r="Z244">
            <v>45.850299999999997</v>
          </cell>
          <cell r="AA244">
            <v>45.921633333333332</v>
          </cell>
          <cell r="AB244">
            <v>2.6815994599196052E-3</v>
          </cell>
          <cell r="AC244">
            <v>0.13311111111111132</v>
          </cell>
          <cell r="AD244">
            <v>49.6387</v>
          </cell>
          <cell r="AE244">
            <v>49.771811111111113</v>
          </cell>
          <cell r="AF244">
            <v>2.2194425476858527E-3</v>
          </cell>
          <cell r="AG244">
            <v>3.6728888888888873E-2</v>
          </cell>
          <cell r="AH244">
            <v>16.5487</v>
          </cell>
          <cell r="AI244">
            <v>16.585428888888888</v>
          </cell>
          <cell r="AJ244">
            <v>1.6243873732632395E-3</v>
          </cell>
          <cell r="AK244">
            <v>2.5828571428572138E-2</v>
          </cell>
          <cell r="AL244">
            <v>15.900499999999999</v>
          </cell>
          <cell r="AM244">
            <v>15.926328571428572</v>
          </cell>
          <cell r="AN244">
            <v>2.5136483248890352E-3</v>
          </cell>
          <cell r="AO244">
            <v>1.9199999999999915E-2</v>
          </cell>
          <cell r="AP244">
            <v>7.6383000000000001</v>
          </cell>
          <cell r="AQ244">
            <v>7.6574999999999998</v>
          </cell>
          <cell r="AR244">
            <v>9.9840159744254823E-4</v>
          </cell>
          <cell r="AS244">
            <v>4.1599999999999679E-2</v>
          </cell>
          <cell r="AT244">
            <v>41.666600000000003</v>
          </cell>
          <cell r="AU244">
            <v>41.708200000000005</v>
          </cell>
          <cell r="AV244">
            <v>2.3051498629903838E-3</v>
          </cell>
          <cell r="AW244">
            <v>8.1599999999996592E-2</v>
          </cell>
          <cell r="AX244">
            <v>35.399000000000001</v>
          </cell>
          <cell r="AY244">
            <v>35.480599999999995</v>
          </cell>
          <cell r="AZ244">
            <v>1.6384194465492439E-3</v>
          </cell>
          <cell r="BA244">
            <v>1.2571428571427694E-2</v>
          </cell>
          <cell r="BB244">
            <v>7.6729000000000003</v>
          </cell>
          <cell r="BC244">
            <v>7.6854714285714278</v>
          </cell>
        </row>
        <row r="245">
          <cell r="B245">
            <v>197</v>
          </cell>
          <cell r="C245">
            <v>17</v>
          </cell>
          <cell r="D245">
            <v>2.3804302637409811E-3</v>
          </cell>
          <cell r="E245">
            <v>0.14473611111111101</v>
          </cell>
          <cell r="F245">
            <v>60.802500000000002</v>
          </cell>
          <cell r="G245">
            <v>60.94723611111111</v>
          </cell>
          <cell r="H245">
            <v>3.3157482837342937E-3</v>
          </cell>
          <cell r="I245">
            <v>0.24530999999999936</v>
          </cell>
          <cell r="J245">
            <v>73.9833</v>
          </cell>
          <cell r="K245">
            <v>74.228610000000003</v>
          </cell>
          <cell r="L245">
            <v>4.2822008013011182E-3</v>
          </cell>
          <cell r="M245">
            <v>2.398888888888887E-3</v>
          </cell>
          <cell r="N245">
            <v>0.56020000000000003</v>
          </cell>
          <cell r="O245">
            <v>0.56259888888888887</v>
          </cell>
          <cell r="P245">
            <v>2.2694908138830823E-3</v>
          </cell>
          <cell r="Q245">
            <v>0.24693444444444404</v>
          </cell>
          <cell r="R245">
            <v>108.8061</v>
          </cell>
          <cell r="S245">
            <v>109.05303444444445</v>
          </cell>
          <cell r="T245">
            <v>3.9516577944588346E-3</v>
          </cell>
          <cell r="U245">
            <v>0.18993722222222281</v>
          </cell>
          <cell r="V245">
            <v>48.065199999999997</v>
          </cell>
          <cell r="W245">
            <v>48.255137222222217</v>
          </cell>
          <cell r="X245">
            <v>1.6530244440421732E-3</v>
          </cell>
          <cell r="Y245">
            <v>7.5791666666666854E-2</v>
          </cell>
          <cell r="Z245">
            <v>45.850299999999997</v>
          </cell>
          <cell r="AA245">
            <v>45.926091666666665</v>
          </cell>
          <cell r="AB245">
            <v>2.8491994261645804E-3</v>
          </cell>
          <cell r="AC245">
            <v>0.14143055555555578</v>
          </cell>
          <cell r="AD245">
            <v>49.6387</v>
          </cell>
          <cell r="AE245">
            <v>49.780130555555559</v>
          </cell>
          <cell r="AF245">
            <v>2.3581577069162183E-3</v>
          </cell>
          <cell r="AG245">
            <v>3.9024444444444424E-2</v>
          </cell>
          <cell r="AH245">
            <v>16.5487</v>
          </cell>
          <cell r="AI245">
            <v>16.587724444444444</v>
          </cell>
          <cell r="AJ245">
            <v>1.7259115840921918E-3</v>
          </cell>
          <cell r="AK245">
            <v>2.7442857142857897E-2</v>
          </cell>
          <cell r="AL245">
            <v>15.900499999999999</v>
          </cell>
          <cell r="AM245">
            <v>15.927942857142858</v>
          </cell>
          <cell r="AN245">
            <v>2.6707513451945998E-3</v>
          </cell>
          <cell r="AO245">
            <v>2.0399999999999911E-2</v>
          </cell>
          <cell r="AP245">
            <v>7.6383000000000001</v>
          </cell>
          <cell r="AQ245">
            <v>7.6586999999999996</v>
          </cell>
          <cell r="AR245">
            <v>1.0608016972827074E-3</v>
          </cell>
          <cell r="AS245">
            <v>4.4199999999999663E-2</v>
          </cell>
          <cell r="AT245">
            <v>41.666600000000003</v>
          </cell>
          <cell r="AU245">
            <v>41.710799999999999</v>
          </cell>
          <cell r="AV245">
            <v>2.449221729427283E-3</v>
          </cell>
          <cell r="AW245">
            <v>8.6699999999996377E-2</v>
          </cell>
          <cell r="AX245">
            <v>35.399000000000001</v>
          </cell>
          <cell r="AY245">
            <v>35.485699999999994</v>
          </cell>
          <cell r="AZ245">
            <v>1.7408206619585716E-3</v>
          </cell>
          <cell r="BA245">
            <v>1.3357142857141926E-2</v>
          </cell>
          <cell r="BB245">
            <v>7.6729000000000003</v>
          </cell>
          <cell r="BC245">
            <v>7.6862571428571425</v>
          </cell>
        </row>
        <row r="246">
          <cell r="B246">
            <v>198</v>
          </cell>
          <cell r="C246">
            <v>18</v>
          </cell>
          <cell r="D246">
            <v>2.5204555733728032E-3</v>
          </cell>
          <cell r="E246">
            <v>0.15324999999999989</v>
          </cell>
          <cell r="F246">
            <v>60.802500000000002</v>
          </cell>
          <cell r="G246">
            <v>60.955750000000002</v>
          </cell>
          <cell r="H246">
            <v>3.5107923004245468E-3</v>
          </cell>
          <cell r="I246">
            <v>0.2597399999999993</v>
          </cell>
          <cell r="J246">
            <v>73.9833</v>
          </cell>
          <cell r="K246">
            <v>74.243039999999993</v>
          </cell>
          <cell r="L246">
            <v>4.5340949660835368E-3</v>
          </cell>
          <cell r="M246">
            <v>2.539999999999998E-3</v>
          </cell>
          <cell r="N246">
            <v>0.56020000000000003</v>
          </cell>
          <cell r="O246">
            <v>0.56274000000000002</v>
          </cell>
          <cell r="P246">
            <v>2.4029902735232637E-3</v>
          </cell>
          <cell r="Q246">
            <v>0.26145999999999958</v>
          </cell>
          <cell r="R246">
            <v>108.8061</v>
          </cell>
          <cell r="S246">
            <v>109.06756</v>
          </cell>
          <cell r="T246">
            <v>4.1841082529564134E-3</v>
          </cell>
          <cell r="U246">
            <v>0.20111000000000062</v>
          </cell>
          <cell r="V246">
            <v>48.065199999999997</v>
          </cell>
          <cell r="W246">
            <v>48.266309999999997</v>
          </cell>
          <cell r="X246">
            <v>1.750261176044654E-3</v>
          </cell>
          <cell r="Y246">
            <v>8.0250000000000196E-2</v>
          </cell>
          <cell r="Z246">
            <v>45.850299999999997</v>
          </cell>
          <cell r="AA246">
            <v>45.930549999999997</v>
          </cell>
          <cell r="AB246">
            <v>3.0167993924095564E-3</v>
          </cell>
          <cell r="AC246">
            <v>0.14975000000000022</v>
          </cell>
          <cell r="AD246">
            <v>49.6387</v>
          </cell>
          <cell r="AE246">
            <v>49.788449999999997</v>
          </cell>
          <cell r="AF246">
            <v>2.4968728661465844E-3</v>
          </cell>
          <cell r="AG246">
            <v>4.1319999999999982E-2</v>
          </cell>
          <cell r="AH246">
            <v>16.5487</v>
          </cell>
          <cell r="AI246">
            <v>16.590019999999999</v>
          </cell>
          <cell r="AJ246">
            <v>1.8274357949211444E-3</v>
          </cell>
          <cell r="AK246">
            <v>2.9057142857143652E-2</v>
          </cell>
          <cell r="AL246">
            <v>15.900499999999999</v>
          </cell>
          <cell r="AM246">
            <v>15.929557142857142</v>
          </cell>
          <cell r="AN246">
            <v>2.8278543655001647E-3</v>
          </cell>
          <cell r="AO246">
            <v>2.1599999999999904E-2</v>
          </cell>
          <cell r="AP246">
            <v>7.6383000000000001</v>
          </cell>
          <cell r="AQ246">
            <v>7.6599000000000004</v>
          </cell>
          <cell r="AR246">
            <v>1.1232017971228667E-3</v>
          </cell>
          <cell r="AS246">
            <v>4.679999999999964E-2</v>
          </cell>
          <cell r="AT246">
            <v>41.666600000000003</v>
          </cell>
          <cell r="AU246">
            <v>41.7134</v>
          </cell>
          <cell r="AV246">
            <v>2.5932935958641818E-3</v>
          </cell>
          <cell r="AW246">
            <v>9.1799999999996176E-2</v>
          </cell>
          <cell r="AX246">
            <v>35.399000000000001</v>
          </cell>
          <cell r="AY246">
            <v>35.4908</v>
          </cell>
          <cell r="AZ246">
            <v>1.8432218773678994E-3</v>
          </cell>
          <cell r="BA246">
            <v>1.4142857142856156E-2</v>
          </cell>
          <cell r="BB246">
            <v>7.6729000000000003</v>
          </cell>
          <cell r="BC246">
            <v>7.6870428571428562</v>
          </cell>
        </row>
        <row r="247">
          <cell r="B247">
            <v>199</v>
          </cell>
          <cell r="C247">
            <v>19</v>
          </cell>
          <cell r="D247">
            <v>2.6604808830046258E-3</v>
          </cell>
          <cell r="E247">
            <v>0.16176388888888876</v>
          </cell>
          <cell r="F247">
            <v>60.802500000000002</v>
          </cell>
          <cell r="G247">
            <v>60.964263888888894</v>
          </cell>
          <cell r="H247">
            <v>3.7058363171147994E-3</v>
          </cell>
          <cell r="I247">
            <v>0.2741699999999993</v>
          </cell>
          <cell r="J247">
            <v>73.9833</v>
          </cell>
          <cell r="K247">
            <v>74.257469999999998</v>
          </cell>
          <cell r="L247">
            <v>4.7859891308659561E-3</v>
          </cell>
          <cell r="M247">
            <v>2.6811111111111089E-3</v>
          </cell>
          <cell r="N247">
            <v>0.56020000000000003</v>
          </cell>
          <cell r="O247">
            <v>0.56288111111111117</v>
          </cell>
          <cell r="P247">
            <v>2.5364897331634452E-3</v>
          </cell>
          <cell r="Q247">
            <v>0.2759855555555551</v>
          </cell>
          <cell r="R247">
            <v>108.8061</v>
          </cell>
          <cell r="S247">
            <v>109.08208555555555</v>
          </cell>
          <cell r="T247">
            <v>4.4165587114539922E-3</v>
          </cell>
          <cell r="U247">
            <v>0.21228277777777843</v>
          </cell>
          <cell r="V247">
            <v>48.065199999999997</v>
          </cell>
          <cell r="W247">
            <v>48.277482777777777</v>
          </cell>
          <cell r="X247">
            <v>1.8474979080471349E-3</v>
          </cell>
          <cell r="Y247">
            <v>8.4708333333333538E-2</v>
          </cell>
          <cell r="Z247">
            <v>45.850299999999997</v>
          </cell>
          <cell r="AA247">
            <v>45.935008333333329</v>
          </cell>
          <cell r="AB247">
            <v>3.1843993586545315E-3</v>
          </cell>
          <cell r="AC247">
            <v>0.15806944444444468</v>
          </cell>
          <cell r="AD247">
            <v>49.6387</v>
          </cell>
          <cell r="AE247">
            <v>49.796769444444443</v>
          </cell>
          <cell r="AF247">
            <v>2.63558802537695E-3</v>
          </cell>
          <cell r="AG247">
            <v>4.3615555555555532E-2</v>
          </cell>
          <cell r="AH247">
            <v>16.5487</v>
          </cell>
          <cell r="AI247">
            <v>16.592315555555555</v>
          </cell>
          <cell r="AJ247">
            <v>1.928960005750097E-3</v>
          </cell>
          <cell r="AK247">
            <v>3.0671428571429411E-2</v>
          </cell>
          <cell r="AL247">
            <v>15.900499999999999</v>
          </cell>
          <cell r="AM247">
            <v>15.931171428571428</v>
          </cell>
          <cell r="AN247">
            <v>2.9849573858057288E-3</v>
          </cell>
          <cell r="AO247">
            <v>2.27999999999999E-2</v>
          </cell>
          <cell r="AP247">
            <v>7.6383000000000001</v>
          </cell>
          <cell r="AQ247">
            <v>7.6611000000000002</v>
          </cell>
          <cell r="AR247">
            <v>1.1856018969630259E-3</v>
          </cell>
          <cell r="AS247">
            <v>4.9399999999999625E-2</v>
          </cell>
          <cell r="AT247">
            <v>41.666600000000003</v>
          </cell>
          <cell r="AU247">
            <v>41.716000000000001</v>
          </cell>
          <cell r="AV247">
            <v>2.7373654623010809E-3</v>
          </cell>
          <cell r="AW247">
            <v>9.6899999999995962E-2</v>
          </cell>
          <cell r="AX247">
            <v>35.399000000000001</v>
          </cell>
          <cell r="AY247">
            <v>35.495899999999999</v>
          </cell>
          <cell r="AZ247">
            <v>1.9456230927772271E-3</v>
          </cell>
          <cell r="BA247">
            <v>1.4928571428570387E-2</v>
          </cell>
          <cell r="BB247">
            <v>7.6729000000000003</v>
          </cell>
          <cell r="BC247">
            <v>7.6878285714285708</v>
          </cell>
        </row>
        <row r="248">
          <cell r="B248">
            <v>200</v>
          </cell>
          <cell r="C248">
            <v>20</v>
          </cell>
          <cell r="D248">
            <v>2.8005061926364484E-3</v>
          </cell>
          <cell r="E248">
            <v>0.17027777777777764</v>
          </cell>
          <cell r="F248">
            <v>60.802500000000002</v>
          </cell>
          <cell r="G248">
            <v>60.972777777777779</v>
          </cell>
          <cell r="H248">
            <v>3.900880333805052E-3</v>
          </cell>
          <cell r="I248">
            <v>0.28859999999999925</v>
          </cell>
          <cell r="J248">
            <v>73.9833</v>
          </cell>
          <cell r="K248">
            <v>74.271900000000002</v>
          </cell>
          <cell r="L248">
            <v>5.0378832956483746E-3</v>
          </cell>
          <cell r="M248">
            <v>2.8222222222222199E-3</v>
          </cell>
          <cell r="N248">
            <v>0.56020000000000003</v>
          </cell>
          <cell r="O248">
            <v>0.5630222222222222</v>
          </cell>
          <cell r="P248">
            <v>2.6699891928036266E-3</v>
          </cell>
          <cell r="Q248">
            <v>0.29051111111111066</v>
          </cell>
          <cell r="R248">
            <v>108.8061</v>
          </cell>
          <cell r="S248">
            <v>109.09661111111112</v>
          </cell>
          <cell r="T248">
            <v>4.649009169951571E-3</v>
          </cell>
          <cell r="U248">
            <v>0.22345555555555624</v>
          </cell>
          <cell r="V248">
            <v>48.065199999999997</v>
          </cell>
          <cell r="W248">
            <v>48.28865555555555</v>
          </cell>
          <cell r="X248">
            <v>1.9447346400496156E-3</v>
          </cell>
          <cell r="Y248">
            <v>8.9166666666666894E-2</v>
          </cell>
          <cell r="Z248">
            <v>45.850299999999997</v>
          </cell>
          <cell r="AA248">
            <v>45.939466666666661</v>
          </cell>
          <cell r="AB248">
            <v>3.3519993248995066E-3</v>
          </cell>
          <cell r="AC248">
            <v>0.16638888888888914</v>
          </cell>
          <cell r="AD248">
            <v>49.6387</v>
          </cell>
          <cell r="AE248">
            <v>49.805088888888889</v>
          </cell>
          <cell r="AF248">
            <v>2.7743031846073161E-3</v>
          </cell>
          <cell r="AG248">
            <v>4.591111111111109E-2</v>
          </cell>
          <cell r="AH248">
            <v>16.5487</v>
          </cell>
          <cell r="AI248">
            <v>16.59461111111111</v>
          </cell>
          <cell r="AJ248">
            <v>2.0304842165790493E-3</v>
          </cell>
          <cell r="AK248">
            <v>3.2285714285715174E-2</v>
          </cell>
          <cell r="AL248">
            <v>15.900499999999999</v>
          </cell>
          <cell r="AM248">
            <v>15.932785714285714</v>
          </cell>
          <cell r="AN248">
            <v>3.1420604061112938E-3</v>
          </cell>
          <cell r="AO248">
            <v>2.3999999999999893E-2</v>
          </cell>
          <cell r="AP248">
            <v>7.6383000000000001</v>
          </cell>
          <cell r="AQ248">
            <v>7.6623000000000001</v>
          </cell>
          <cell r="AR248">
            <v>1.2480019968031852E-3</v>
          </cell>
          <cell r="AS248">
            <v>5.1999999999999602E-2</v>
          </cell>
          <cell r="AT248">
            <v>41.666600000000003</v>
          </cell>
          <cell r="AU248">
            <v>41.718600000000002</v>
          </cell>
          <cell r="AV248">
            <v>2.8814373287379797E-3</v>
          </cell>
          <cell r="AW248">
            <v>0.10199999999999575</v>
          </cell>
          <cell r="AX248">
            <v>35.399000000000001</v>
          </cell>
          <cell r="AY248">
            <v>35.500999999999998</v>
          </cell>
          <cell r="AZ248">
            <v>2.0480243081865547E-3</v>
          </cell>
          <cell r="BA248">
            <v>1.5714285714284619E-2</v>
          </cell>
          <cell r="BB248">
            <v>7.6729000000000003</v>
          </cell>
          <cell r="BC248">
            <v>7.6886142857142845</v>
          </cell>
        </row>
        <row r="249">
          <cell r="B249">
            <v>201</v>
          </cell>
          <cell r="C249">
            <v>21</v>
          </cell>
          <cell r="D249">
            <v>2.9405315022682709E-3</v>
          </cell>
          <cell r="E249">
            <v>0.17879166666666654</v>
          </cell>
          <cell r="F249">
            <v>60.802500000000002</v>
          </cell>
          <cell r="G249">
            <v>60.981291666666671</v>
          </cell>
          <cell r="H249">
            <v>4.0959243504953037E-3</v>
          </cell>
          <cell r="I249">
            <v>0.30302999999999919</v>
          </cell>
          <cell r="J249">
            <v>73.9833</v>
          </cell>
          <cell r="K249">
            <v>74.286329999999992</v>
          </cell>
          <cell r="L249">
            <v>5.2897774604307932E-3</v>
          </cell>
          <cell r="M249">
            <v>2.9633333333333308E-3</v>
          </cell>
          <cell r="N249">
            <v>0.56020000000000003</v>
          </cell>
          <cell r="O249">
            <v>0.56316333333333335</v>
          </cell>
          <cell r="P249">
            <v>2.803488652443808E-3</v>
          </cell>
          <cell r="Q249">
            <v>0.30503666666666618</v>
          </cell>
          <cell r="R249">
            <v>108.8061</v>
          </cell>
          <cell r="S249">
            <v>109.11113666666667</v>
          </cell>
          <cell r="T249">
            <v>4.8814596284491489E-3</v>
          </cell>
          <cell r="U249">
            <v>0.23462833333333405</v>
          </cell>
          <cell r="V249">
            <v>48.065199999999997</v>
          </cell>
          <cell r="W249">
            <v>48.29982833333333</v>
          </cell>
          <cell r="X249">
            <v>2.0419713720520962E-3</v>
          </cell>
          <cell r="Y249">
            <v>9.3625000000000236E-2</v>
          </cell>
          <cell r="Z249">
            <v>45.850299999999997</v>
          </cell>
          <cell r="AA249">
            <v>45.943925</v>
          </cell>
          <cell r="AB249">
            <v>3.5195992911444822E-3</v>
          </cell>
          <cell r="AC249">
            <v>0.1747083333333336</v>
          </cell>
          <cell r="AD249">
            <v>49.6387</v>
          </cell>
          <cell r="AE249">
            <v>49.813408333333335</v>
          </cell>
          <cell r="AF249">
            <v>2.9130183438376817E-3</v>
          </cell>
          <cell r="AG249">
            <v>4.8206666666666641E-2</v>
          </cell>
          <cell r="AH249">
            <v>16.5487</v>
          </cell>
          <cell r="AI249">
            <v>16.596906666666666</v>
          </cell>
          <cell r="AJ249">
            <v>2.1320084274080017E-3</v>
          </cell>
          <cell r="AK249">
            <v>3.3900000000000929E-2</v>
          </cell>
          <cell r="AL249">
            <v>15.900499999999999</v>
          </cell>
          <cell r="AM249">
            <v>15.9344</v>
          </cell>
          <cell r="AN249">
            <v>3.2991634264168583E-3</v>
          </cell>
          <cell r="AO249">
            <v>2.5199999999999889E-2</v>
          </cell>
          <cell r="AP249">
            <v>7.6383000000000001</v>
          </cell>
          <cell r="AQ249">
            <v>7.6635</v>
          </cell>
          <cell r="AR249">
            <v>1.3104020966433446E-3</v>
          </cell>
          <cell r="AS249">
            <v>5.4599999999999579E-2</v>
          </cell>
          <cell r="AT249">
            <v>41.666600000000003</v>
          </cell>
          <cell r="AU249">
            <v>41.721200000000003</v>
          </cell>
          <cell r="AV249">
            <v>3.0255091951748789E-3</v>
          </cell>
          <cell r="AW249">
            <v>0.10709999999999553</v>
          </cell>
          <cell r="AX249">
            <v>35.399000000000001</v>
          </cell>
          <cell r="AY249">
            <v>35.506099999999996</v>
          </cell>
          <cell r="AZ249">
            <v>2.1504255235958824E-3</v>
          </cell>
          <cell r="BA249">
            <v>1.6499999999998849E-2</v>
          </cell>
          <cell r="BB249">
            <v>7.6729000000000003</v>
          </cell>
          <cell r="BC249">
            <v>7.6893999999999991</v>
          </cell>
        </row>
        <row r="250">
          <cell r="B250">
            <v>202</v>
          </cell>
          <cell r="C250">
            <v>22</v>
          </cell>
          <cell r="D250">
            <v>3.0805568119000931E-3</v>
          </cell>
          <cell r="E250">
            <v>0.18730555555555542</v>
          </cell>
          <cell r="F250">
            <v>60.802500000000002</v>
          </cell>
          <cell r="G250">
            <v>60.989805555555556</v>
          </cell>
          <cell r="H250">
            <v>4.2909683671855563E-3</v>
          </cell>
          <cell r="I250">
            <v>0.31745999999999919</v>
          </cell>
          <cell r="J250">
            <v>73.9833</v>
          </cell>
          <cell r="K250">
            <v>74.300759999999997</v>
          </cell>
          <cell r="L250">
            <v>5.5416716252132117E-3</v>
          </cell>
          <cell r="M250">
            <v>3.1044444444444418E-3</v>
          </cell>
          <cell r="N250">
            <v>0.56020000000000003</v>
          </cell>
          <cell r="O250">
            <v>0.5633044444444445</v>
          </cell>
          <cell r="P250">
            <v>2.9369881120839894E-3</v>
          </cell>
          <cell r="Q250">
            <v>0.31956222222222169</v>
          </cell>
          <cell r="R250">
            <v>108.8061</v>
          </cell>
          <cell r="S250">
            <v>109.12566222222222</v>
          </cell>
          <cell r="T250">
            <v>5.1139100869467278E-3</v>
          </cell>
          <cell r="U250">
            <v>0.24580111111111186</v>
          </cell>
          <cell r="V250">
            <v>48.065199999999997</v>
          </cell>
          <cell r="W250">
            <v>48.311001111111111</v>
          </cell>
          <cell r="X250">
            <v>2.1392081040545771E-3</v>
          </cell>
          <cell r="Y250">
            <v>9.8083333333333578E-2</v>
          </cell>
          <cell r="Z250">
            <v>45.850299999999997</v>
          </cell>
          <cell r="AA250">
            <v>45.948383333333332</v>
          </cell>
          <cell r="AB250">
            <v>3.6871992573894573E-3</v>
          </cell>
          <cell r="AC250">
            <v>0.18302777777777807</v>
          </cell>
          <cell r="AD250">
            <v>49.6387</v>
          </cell>
          <cell r="AE250">
            <v>49.821727777777781</v>
          </cell>
          <cell r="AF250">
            <v>3.0517335030680473E-3</v>
          </cell>
          <cell r="AG250">
            <v>5.0502222222222198E-2</v>
          </cell>
          <cell r="AH250">
            <v>16.5487</v>
          </cell>
          <cell r="AI250">
            <v>16.599202222222221</v>
          </cell>
          <cell r="AJ250">
            <v>2.2335326382369541E-3</v>
          </cell>
          <cell r="AK250">
            <v>3.5514285714286685E-2</v>
          </cell>
          <cell r="AL250">
            <v>15.900499999999999</v>
          </cell>
          <cell r="AM250">
            <v>15.936014285714286</v>
          </cell>
          <cell r="AN250">
            <v>3.4562664467224233E-3</v>
          </cell>
          <cell r="AO250">
            <v>2.6399999999999885E-2</v>
          </cell>
          <cell r="AP250">
            <v>7.6383000000000001</v>
          </cell>
          <cell r="AQ250">
            <v>7.6646999999999998</v>
          </cell>
          <cell r="AR250">
            <v>1.3728021964835037E-3</v>
          </cell>
          <cell r="AS250">
            <v>5.7199999999999564E-2</v>
          </cell>
          <cell r="AT250">
            <v>41.666600000000003</v>
          </cell>
          <cell r="AU250">
            <v>41.723800000000004</v>
          </cell>
          <cell r="AV250">
            <v>3.1695810616117781E-3</v>
          </cell>
          <cell r="AW250">
            <v>0.11219999999999532</v>
          </cell>
          <cell r="AX250">
            <v>35.399000000000001</v>
          </cell>
          <cell r="AY250">
            <v>35.511199999999995</v>
          </cell>
          <cell r="AZ250">
            <v>2.2528267390052102E-3</v>
          </cell>
          <cell r="BA250">
            <v>1.7285714285713079E-2</v>
          </cell>
          <cell r="BB250">
            <v>7.6729000000000003</v>
          </cell>
          <cell r="BC250">
            <v>7.6901857142857137</v>
          </cell>
        </row>
        <row r="251">
          <cell r="B251">
            <v>203</v>
          </cell>
          <cell r="C251">
            <v>23</v>
          </cell>
          <cell r="D251">
            <v>3.2205821215319157E-3</v>
          </cell>
          <cell r="E251">
            <v>0.1958194444444443</v>
          </cell>
          <cell r="F251">
            <v>60.802500000000002</v>
          </cell>
          <cell r="G251">
            <v>60.998319444444448</v>
          </cell>
          <cell r="H251">
            <v>4.4860123838758089E-3</v>
          </cell>
          <cell r="I251">
            <v>0.33188999999999913</v>
          </cell>
          <cell r="J251">
            <v>73.9833</v>
          </cell>
          <cell r="K251">
            <v>74.315190000000001</v>
          </cell>
          <cell r="L251">
            <v>5.7935657899956311E-3</v>
          </cell>
          <cell r="M251">
            <v>3.2455555555555527E-3</v>
          </cell>
          <cell r="N251">
            <v>0.56020000000000003</v>
          </cell>
          <cell r="O251">
            <v>0.56344555555555553</v>
          </cell>
          <cell r="P251">
            <v>3.0704875717241708E-3</v>
          </cell>
          <cell r="Q251">
            <v>0.33408777777777726</v>
          </cell>
          <cell r="R251">
            <v>108.8061</v>
          </cell>
          <cell r="S251">
            <v>109.14018777777778</v>
          </cell>
          <cell r="T251">
            <v>5.3463605454443066E-3</v>
          </cell>
          <cell r="U251">
            <v>0.25697388888888967</v>
          </cell>
          <cell r="V251">
            <v>48.065199999999997</v>
          </cell>
          <cell r="W251">
            <v>48.322173888888884</v>
          </cell>
          <cell r="X251">
            <v>2.236444836057058E-3</v>
          </cell>
          <cell r="Y251">
            <v>0.10254166666666692</v>
          </cell>
          <cell r="Z251">
            <v>45.850299999999997</v>
          </cell>
          <cell r="AA251">
            <v>45.952841666666664</v>
          </cell>
          <cell r="AB251">
            <v>3.8547992236344325E-3</v>
          </cell>
          <cell r="AC251">
            <v>0.1913472222222225</v>
          </cell>
          <cell r="AD251">
            <v>49.6387</v>
          </cell>
          <cell r="AE251">
            <v>49.83004722222222</v>
          </cell>
          <cell r="AF251">
            <v>3.190448662298413E-3</v>
          </cell>
          <cell r="AG251">
            <v>5.2797777777777749E-2</v>
          </cell>
          <cell r="AH251">
            <v>16.5487</v>
          </cell>
          <cell r="AI251">
            <v>16.601497777777777</v>
          </cell>
          <cell r="AJ251">
            <v>2.3350568490659068E-3</v>
          </cell>
          <cell r="AK251">
            <v>3.7128571428572447E-2</v>
          </cell>
          <cell r="AL251">
            <v>15.900499999999999</v>
          </cell>
          <cell r="AM251">
            <v>15.937628571428572</v>
          </cell>
          <cell r="AN251">
            <v>3.6133694670279879E-3</v>
          </cell>
          <cell r="AO251">
            <v>2.7599999999999878E-2</v>
          </cell>
          <cell r="AP251">
            <v>7.6383000000000001</v>
          </cell>
          <cell r="AQ251">
            <v>7.6658999999999997</v>
          </cell>
          <cell r="AR251">
            <v>1.4352022963236631E-3</v>
          </cell>
          <cell r="AS251">
            <v>5.9799999999999541E-2</v>
          </cell>
          <cell r="AT251">
            <v>41.666600000000003</v>
          </cell>
          <cell r="AU251">
            <v>41.726400000000005</v>
          </cell>
          <cell r="AV251">
            <v>3.3136529280486768E-3</v>
          </cell>
          <cell r="AW251">
            <v>0.1172999999999951</v>
          </cell>
          <cell r="AX251">
            <v>35.399000000000001</v>
          </cell>
          <cell r="AY251">
            <v>35.516299999999994</v>
          </cell>
          <cell r="AZ251">
            <v>2.355227954414538E-3</v>
          </cell>
          <cell r="BA251">
            <v>1.8071428571427312E-2</v>
          </cell>
          <cell r="BB251">
            <v>7.6729000000000003</v>
          </cell>
          <cell r="BC251">
            <v>7.6909714285714275</v>
          </cell>
        </row>
        <row r="252">
          <cell r="B252">
            <v>204</v>
          </cell>
          <cell r="C252">
            <v>24</v>
          </cell>
          <cell r="D252">
            <v>3.3606074311637374E-3</v>
          </cell>
          <cell r="E252">
            <v>0.20433333333333317</v>
          </cell>
          <cell r="F252">
            <v>60.802500000000002</v>
          </cell>
          <cell r="G252">
            <v>61.006833333333333</v>
          </cell>
          <cell r="H252">
            <v>4.6810564005660615E-3</v>
          </cell>
          <cell r="I252">
            <v>0.34631999999999913</v>
          </cell>
          <cell r="J252">
            <v>73.9833</v>
          </cell>
          <cell r="K252">
            <v>74.329620000000006</v>
          </cell>
          <cell r="L252">
            <v>6.0454599547780496E-3</v>
          </cell>
          <cell r="M252">
            <v>3.3866666666666637E-3</v>
          </cell>
          <cell r="N252">
            <v>0.56020000000000003</v>
          </cell>
          <cell r="O252">
            <v>0.56358666666666668</v>
          </cell>
          <cell r="P252">
            <v>3.2039870313643514E-3</v>
          </cell>
          <cell r="Q252">
            <v>0.34861333333333278</v>
          </cell>
          <cell r="R252">
            <v>108.8061</v>
          </cell>
          <cell r="S252">
            <v>109.15471333333333</v>
          </cell>
          <cell r="T252">
            <v>5.5788110039418845E-3</v>
          </cell>
          <cell r="U252">
            <v>0.26814666666666748</v>
          </cell>
          <cell r="V252">
            <v>48.065199999999997</v>
          </cell>
          <cell r="W252">
            <v>48.333346666666664</v>
          </cell>
          <cell r="X252">
            <v>2.3336815680595389E-3</v>
          </cell>
          <cell r="Y252">
            <v>0.10700000000000026</v>
          </cell>
          <cell r="Z252">
            <v>45.850299999999997</v>
          </cell>
          <cell r="AA252">
            <v>45.957299999999996</v>
          </cell>
          <cell r="AB252">
            <v>4.0223991898794085E-3</v>
          </cell>
          <cell r="AC252">
            <v>0.19966666666666696</v>
          </cell>
          <cell r="AD252">
            <v>49.6387</v>
          </cell>
          <cell r="AE252">
            <v>49.838366666666666</v>
          </cell>
          <cell r="AF252">
            <v>3.3291638215287786E-3</v>
          </cell>
          <cell r="AG252">
            <v>5.5093333333333307E-2</v>
          </cell>
          <cell r="AH252">
            <v>16.5487</v>
          </cell>
          <cell r="AI252">
            <v>16.603793333333332</v>
          </cell>
          <cell r="AJ252">
            <v>2.4365810598948592E-3</v>
          </cell>
          <cell r="AK252">
            <v>3.8742857142858203E-2</v>
          </cell>
          <cell r="AL252">
            <v>15.900499999999999</v>
          </cell>
          <cell r="AM252">
            <v>15.939242857142858</v>
          </cell>
          <cell r="AN252">
            <v>3.7704724873335524E-3</v>
          </cell>
          <cell r="AO252">
            <v>2.8799999999999874E-2</v>
          </cell>
          <cell r="AP252">
            <v>7.6383000000000001</v>
          </cell>
          <cell r="AQ252">
            <v>7.6670999999999996</v>
          </cell>
          <cell r="AR252">
            <v>1.4976023961638225E-3</v>
          </cell>
          <cell r="AS252">
            <v>6.2399999999999525E-2</v>
          </cell>
          <cell r="AT252">
            <v>41.666600000000003</v>
          </cell>
          <cell r="AU252">
            <v>41.728999999999999</v>
          </cell>
          <cell r="AV252">
            <v>3.457724794485576E-3</v>
          </cell>
          <cell r="AW252">
            <v>0.12239999999999489</v>
          </cell>
          <cell r="AX252">
            <v>35.399000000000001</v>
          </cell>
          <cell r="AY252">
            <v>35.521399999999993</v>
          </cell>
          <cell r="AZ252">
            <v>2.4576291698238657E-3</v>
          </cell>
          <cell r="BA252">
            <v>1.8857142857141542E-2</v>
          </cell>
          <cell r="BB252">
            <v>7.6729000000000003</v>
          </cell>
          <cell r="BC252">
            <v>7.6917571428571421</v>
          </cell>
        </row>
        <row r="253">
          <cell r="B253">
            <v>205</v>
          </cell>
          <cell r="C253">
            <v>25</v>
          </cell>
          <cell r="D253">
            <v>3.5006327407955599E-3</v>
          </cell>
          <cell r="E253">
            <v>0.21284722222222208</v>
          </cell>
          <cell r="F253">
            <v>60.802500000000002</v>
          </cell>
          <cell r="G253">
            <v>61.015347222222225</v>
          </cell>
          <cell r="H253">
            <v>4.876100417256315E-3</v>
          </cell>
          <cell r="I253">
            <v>0.36074999999999907</v>
          </cell>
          <cell r="J253">
            <v>73.9833</v>
          </cell>
          <cell r="K253">
            <v>74.344049999999996</v>
          </cell>
          <cell r="L253">
            <v>6.2973541195604681E-3</v>
          </cell>
          <cell r="M253">
            <v>3.5277777777777746E-3</v>
          </cell>
          <cell r="N253">
            <v>0.56020000000000003</v>
          </cell>
          <cell r="O253">
            <v>0.56372777777777783</v>
          </cell>
          <cell r="P253">
            <v>3.3374864910045328E-3</v>
          </cell>
          <cell r="Q253">
            <v>0.36313888888888829</v>
          </cell>
          <cell r="R253">
            <v>108.8061</v>
          </cell>
          <cell r="S253">
            <v>109.16923888888888</v>
          </cell>
          <cell r="T253">
            <v>5.8112614624394633E-3</v>
          </cell>
          <cell r="U253">
            <v>0.27931944444444529</v>
          </cell>
          <cell r="V253">
            <v>48.065199999999997</v>
          </cell>
          <cell r="W253">
            <v>48.344519444444444</v>
          </cell>
          <cell r="X253">
            <v>2.4309183000620193E-3</v>
          </cell>
          <cell r="Y253">
            <v>0.1114583333333336</v>
          </cell>
          <cell r="Z253">
            <v>45.850299999999997</v>
          </cell>
          <cell r="AA253">
            <v>45.961758333333329</v>
          </cell>
          <cell r="AB253">
            <v>4.1899991561243832E-3</v>
          </cell>
          <cell r="AC253">
            <v>0.20798611111111143</v>
          </cell>
          <cell r="AD253">
            <v>49.6387</v>
          </cell>
          <cell r="AE253">
            <v>49.846686111111111</v>
          </cell>
          <cell r="AF253">
            <v>3.4678789807591451E-3</v>
          </cell>
          <cell r="AG253">
            <v>5.7388888888888857E-2</v>
          </cell>
          <cell r="AH253">
            <v>16.5487</v>
          </cell>
          <cell r="AI253">
            <v>16.606088888888888</v>
          </cell>
          <cell r="AJ253">
            <v>2.5381052707238116E-3</v>
          </cell>
          <cell r="AK253">
            <v>4.0357142857143966E-2</v>
          </cell>
          <cell r="AL253">
            <v>15.900499999999999</v>
          </cell>
          <cell r="AM253">
            <v>15.940857142857142</v>
          </cell>
          <cell r="AN253">
            <v>3.9275755076391174E-3</v>
          </cell>
          <cell r="AO253">
            <v>2.9999999999999867E-2</v>
          </cell>
          <cell r="AP253">
            <v>7.6383000000000001</v>
          </cell>
          <cell r="AQ253">
            <v>7.6683000000000003</v>
          </cell>
          <cell r="AR253">
            <v>1.5600024960039816E-3</v>
          </cell>
          <cell r="AS253">
            <v>6.4999999999999503E-2</v>
          </cell>
          <cell r="AT253">
            <v>41.666600000000003</v>
          </cell>
          <cell r="AU253">
            <v>41.7316</v>
          </cell>
          <cell r="AV253">
            <v>3.6017966609224747E-3</v>
          </cell>
          <cell r="AW253">
            <v>0.12749999999999467</v>
          </cell>
          <cell r="AX253">
            <v>35.399000000000001</v>
          </cell>
          <cell r="AY253">
            <v>35.526499999999999</v>
          </cell>
          <cell r="AZ253">
            <v>2.5600303852331935E-3</v>
          </cell>
          <cell r="BA253">
            <v>1.9642857142855772E-2</v>
          </cell>
          <cell r="BB253">
            <v>7.6729000000000003</v>
          </cell>
          <cell r="BC253">
            <v>7.6925428571428558</v>
          </cell>
        </row>
        <row r="254">
          <cell r="B254">
            <v>206</v>
          </cell>
          <cell r="C254">
            <v>26</v>
          </cell>
          <cell r="D254">
            <v>3.6406580504273825E-3</v>
          </cell>
          <cell r="E254">
            <v>0.22136111111111095</v>
          </cell>
          <cell r="F254">
            <v>60.802500000000002</v>
          </cell>
          <cell r="G254">
            <v>61.02386111111111</v>
          </cell>
          <cell r="H254">
            <v>5.0711444339465676E-3</v>
          </cell>
          <cell r="I254">
            <v>0.37517999999999901</v>
          </cell>
          <cell r="J254">
            <v>73.9833</v>
          </cell>
          <cell r="K254">
            <v>74.35848</v>
          </cell>
          <cell r="L254">
            <v>6.5492482843428866E-3</v>
          </cell>
          <cell r="M254">
            <v>3.6688888888888856E-3</v>
          </cell>
          <cell r="N254">
            <v>0.56020000000000003</v>
          </cell>
          <cell r="O254">
            <v>0.56386888888888886</v>
          </cell>
          <cell r="P254">
            <v>3.4709859506447142E-3</v>
          </cell>
          <cell r="Q254">
            <v>0.37766444444444386</v>
          </cell>
          <cell r="R254">
            <v>108.8061</v>
          </cell>
          <cell r="S254">
            <v>109.18376444444445</v>
          </cell>
          <cell r="T254">
            <v>6.0437119209370421E-3</v>
          </cell>
          <cell r="U254">
            <v>0.2904922222222231</v>
          </cell>
          <cell r="V254">
            <v>48.065199999999997</v>
          </cell>
          <cell r="W254">
            <v>48.355692222222217</v>
          </cell>
          <cell r="X254">
            <v>2.5281550320645002E-3</v>
          </cell>
          <cell r="Y254">
            <v>0.11591666666666696</v>
          </cell>
          <cell r="Z254">
            <v>45.850299999999997</v>
          </cell>
          <cell r="AA254">
            <v>45.966216666666661</v>
          </cell>
          <cell r="AB254">
            <v>4.3575991223693588E-3</v>
          </cell>
          <cell r="AC254">
            <v>0.21630555555555589</v>
          </cell>
          <cell r="AD254">
            <v>49.6387</v>
          </cell>
          <cell r="AE254">
            <v>49.855005555555557</v>
          </cell>
          <cell r="AF254">
            <v>3.6065941399895107E-3</v>
          </cell>
          <cell r="AG254">
            <v>5.9684444444444415E-2</v>
          </cell>
          <cell r="AH254">
            <v>16.5487</v>
          </cell>
          <cell r="AI254">
            <v>16.608384444444443</v>
          </cell>
          <cell r="AJ254">
            <v>2.6396294815527639E-3</v>
          </cell>
          <cell r="AK254">
            <v>4.1971428571429721E-2</v>
          </cell>
          <cell r="AL254">
            <v>15.900499999999999</v>
          </cell>
          <cell r="AM254">
            <v>15.942471428571428</v>
          </cell>
          <cell r="AN254">
            <v>4.0846785279446815E-3</v>
          </cell>
          <cell r="AO254">
            <v>3.1199999999999863E-2</v>
          </cell>
          <cell r="AP254">
            <v>7.6383000000000001</v>
          </cell>
          <cell r="AQ254">
            <v>7.6695000000000002</v>
          </cell>
          <cell r="AR254">
            <v>1.622402595844141E-3</v>
          </cell>
          <cell r="AS254">
            <v>6.759999999999948E-2</v>
          </cell>
          <cell r="AT254">
            <v>41.666600000000003</v>
          </cell>
          <cell r="AU254">
            <v>41.734200000000001</v>
          </cell>
          <cell r="AV254">
            <v>3.7458685273593739E-3</v>
          </cell>
          <cell r="AW254">
            <v>0.13259999999999447</v>
          </cell>
          <cell r="AX254">
            <v>35.399000000000001</v>
          </cell>
          <cell r="AY254">
            <v>35.531599999999997</v>
          </cell>
          <cell r="AZ254">
            <v>2.6624316006425212E-3</v>
          </cell>
          <cell r="BA254">
            <v>2.0428571428570002E-2</v>
          </cell>
          <cell r="BB254">
            <v>7.6729000000000003</v>
          </cell>
          <cell r="BC254">
            <v>7.6933285714285704</v>
          </cell>
        </row>
        <row r="255">
          <cell r="B255">
            <v>207</v>
          </cell>
          <cell r="C255">
            <v>27</v>
          </cell>
          <cell r="D255">
            <v>3.7806833600592046E-3</v>
          </cell>
          <cell r="E255">
            <v>0.22987499999999983</v>
          </cell>
          <cell r="F255">
            <v>60.802500000000002</v>
          </cell>
          <cell r="G255">
            <v>61.032375000000002</v>
          </cell>
          <cell r="H255">
            <v>5.2661884506368202E-3</v>
          </cell>
          <cell r="I255">
            <v>0.38960999999999901</v>
          </cell>
          <cell r="J255">
            <v>73.9833</v>
          </cell>
          <cell r="K255">
            <v>74.372910000000005</v>
          </cell>
          <cell r="L255">
            <v>6.801142449125306E-3</v>
          </cell>
          <cell r="M255">
            <v>3.8099999999999965E-3</v>
          </cell>
          <cell r="N255">
            <v>0.56020000000000003</v>
          </cell>
          <cell r="O255">
            <v>0.56401000000000001</v>
          </cell>
          <cell r="P255">
            <v>3.6044854102848956E-3</v>
          </cell>
          <cell r="Q255">
            <v>0.39218999999999937</v>
          </cell>
          <cell r="R255">
            <v>108.8061</v>
          </cell>
          <cell r="S255">
            <v>109.19829</v>
          </cell>
          <cell r="T255">
            <v>6.2761623794346209E-3</v>
          </cell>
          <cell r="U255">
            <v>0.3016650000000009</v>
          </cell>
          <cell r="V255">
            <v>48.065199999999997</v>
          </cell>
          <cell r="W255">
            <v>48.366864999999997</v>
          </cell>
          <cell r="X255">
            <v>2.625391764066981E-3</v>
          </cell>
          <cell r="Y255">
            <v>0.1203750000000003</v>
          </cell>
          <cell r="Z255">
            <v>45.850299999999997</v>
          </cell>
          <cell r="AA255">
            <v>45.970675</v>
          </cell>
          <cell r="AB255">
            <v>4.5251990886143335E-3</v>
          </cell>
          <cell r="AC255">
            <v>0.22462500000000035</v>
          </cell>
          <cell r="AD255">
            <v>49.6387</v>
          </cell>
          <cell r="AE255">
            <v>49.863325000000003</v>
          </cell>
          <cell r="AF255">
            <v>3.7453092992198764E-3</v>
          </cell>
          <cell r="AG255">
            <v>6.1979999999999966E-2</v>
          </cell>
          <cell r="AH255">
            <v>16.5487</v>
          </cell>
          <cell r="AI255">
            <v>16.610679999999999</v>
          </cell>
          <cell r="AJ255">
            <v>2.7411536923817167E-3</v>
          </cell>
          <cell r="AK255">
            <v>4.3585714285715484E-2</v>
          </cell>
          <cell r="AL255">
            <v>15.900499999999999</v>
          </cell>
          <cell r="AM255">
            <v>15.944085714285714</v>
          </cell>
          <cell r="AN255">
            <v>4.2417815482502464E-3</v>
          </cell>
          <cell r="AO255">
            <v>3.2399999999999859E-2</v>
          </cell>
          <cell r="AP255">
            <v>7.6383000000000001</v>
          </cell>
          <cell r="AQ255">
            <v>7.6707000000000001</v>
          </cell>
          <cell r="AR255">
            <v>1.6848026956843001E-3</v>
          </cell>
          <cell r="AS255">
            <v>7.0199999999999457E-2</v>
          </cell>
          <cell r="AT255">
            <v>41.666600000000003</v>
          </cell>
          <cell r="AU255">
            <v>41.736800000000002</v>
          </cell>
          <cell r="AV255">
            <v>3.8899403937962727E-3</v>
          </cell>
          <cell r="AW255">
            <v>0.13769999999999424</v>
          </cell>
          <cell r="AX255">
            <v>35.399000000000001</v>
          </cell>
          <cell r="AY255">
            <v>35.536699999999996</v>
          </cell>
          <cell r="AZ255">
            <v>2.764832816051849E-3</v>
          </cell>
          <cell r="BA255">
            <v>2.1214285714284235E-2</v>
          </cell>
          <cell r="BB255">
            <v>7.6729000000000003</v>
          </cell>
          <cell r="BC255">
            <v>7.6941142857142841</v>
          </cell>
        </row>
        <row r="256">
          <cell r="B256">
            <v>208</v>
          </cell>
          <cell r="C256">
            <v>28</v>
          </cell>
          <cell r="D256">
            <v>3.9207086696910276E-3</v>
          </cell>
          <cell r="E256">
            <v>0.23838888888888871</v>
          </cell>
          <cell r="F256">
            <v>60.802500000000002</v>
          </cell>
          <cell r="G256">
            <v>61.040888888888894</v>
          </cell>
          <cell r="H256">
            <v>5.4612324673270719E-3</v>
          </cell>
          <cell r="I256">
            <v>0.40403999999999896</v>
          </cell>
          <cell r="J256">
            <v>73.9833</v>
          </cell>
          <cell r="K256">
            <v>74.387339999999995</v>
          </cell>
          <cell r="L256">
            <v>7.0530366139077245E-3</v>
          </cell>
          <cell r="M256">
            <v>3.9511111111111075E-3</v>
          </cell>
          <cell r="N256">
            <v>0.56020000000000003</v>
          </cell>
          <cell r="O256">
            <v>0.56415111111111116</v>
          </cell>
          <cell r="P256">
            <v>3.7379848699250766E-3</v>
          </cell>
          <cell r="Q256">
            <v>0.40671555555555489</v>
          </cell>
          <cell r="R256">
            <v>108.8061</v>
          </cell>
          <cell r="S256">
            <v>109.21281555555555</v>
          </cell>
          <cell r="T256">
            <v>6.5086128379321989E-3</v>
          </cell>
          <cell r="U256">
            <v>0.31283777777777871</v>
          </cell>
          <cell r="V256">
            <v>48.065199999999997</v>
          </cell>
          <cell r="W256">
            <v>48.378037777777777</v>
          </cell>
          <cell r="X256">
            <v>2.7226284960694619E-3</v>
          </cell>
          <cell r="Y256">
            <v>0.12483333333333364</v>
          </cell>
          <cell r="Z256">
            <v>45.850299999999997</v>
          </cell>
          <cell r="AA256">
            <v>45.975133333333332</v>
          </cell>
          <cell r="AB256">
            <v>4.6927990548593099E-3</v>
          </cell>
          <cell r="AC256">
            <v>0.23294444444444479</v>
          </cell>
          <cell r="AD256">
            <v>49.6387</v>
          </cell>
          <cell r="AE256">
            <v>49.871644444444442</v>
          </cell>
          <cell r="AF256">
            <v>3.884024458450242E-3</v>
          </cell>
          <cell r="AG256">
            <v>6.4275555555555516E-2</v>
          </cell>
          <cell r="AH256">
            <v>16.5487</v>
          </cell>
          <cell r="AI256">
            <v>16.612975555555554</v>
          </cell>
          <cell r="AJ256">
            <v>2.8426779032106691E-3</v>
          </cell>
          <cell r="AK256">
            <v>4.5200000000001239E-2</v>
          </cell>
          <cell r="AL256">
            <v>15.900499999999999</v>
          </cell>
          <cell r="AM256">
            <v>15.9457</v>
          </cell>
          <cell r="AN256">
            <v>4.3988845685558114E-3</v>
          </cell>
          <cell r="AO256">
            <v>3.3599999999999852E-2</v>
          </cell>
          <cell r="AP256">
            <v>7.6383000000000001</v>
          </cell>
          <cell r="AQ256">
            <v>7.6718999999999999</v>
          </cell>
          <cell r="AR256">
            <v>1.7472027955244595E-3</v>
          </cell>
          <cell r="AS256">
            <v>7.2799999999999448E-2</v>
          </cell>
          <cell r="AT256">
            <v>41.666600000000003</v>
          </cell>
          <cell r="AU256">
            <v>41.739400000000003</v>
          </cell>
          <cell r="AV256">
            <v>4.0340122602331718E-3</v>
          </cell>
          <cell r="AW256">
            <v>0.14279999999999404</v>
          </cell>
          <cell r="AX256">
            <v>35.399000000000001</v>
          </cell>
          <cell r="AY256">
            <v>35.541799999999995</v>
          </cell>
          <cell r="AZ256">
            <v>2.8672340314611767E-3</v>
          </cell>
          <cell r="BA256">
            <v>2.1999999999998465E-2</v>
          </cell>
          <cell r="BB256">
            <v>7.6729000000000003</v>
          </cell>
          <cell r="BC256">
            <v>7.6948999999999987</v>
          </cell>
        </row>
        <row r="257">
          <cell r="B257">
            <v>209</v>
          </cell>
          <cell r="C257">
            <v>29</v>
          </cell>
          <cell r="D257">
            <v>4.0607339793228498E-3</v>
          </cell>
          <cell r="E257">
            <v>0.24690277777777758</v>
          </cell>
          <cell r="F257">
            <v>60.802500000000002</v>
          </cell>
          <cell r="G257">
            <v>61.049402777777779</v>
          </cell>
          <cell r="H257">
            <v>5.6562764840173245E-3</v>
          </cell>
          <cell r="I257">
            <v>0.4184699999999989</v>
          </cell>
          <cell r="J257">
            <v>73.9833</v>
          </cell>
          <cell r="K257">
            <v>74.401769999999999</v>
          </cell>
          <cell r="L257">
            <v>7.304930778690143E-3</v>
          </cell>
          <cell r="M257">
            <v>4.0922222222222185E-3</v>
          </cell>
          <cell r="N257">
            <v>0.56020000000000003</v>
          </cell>
          <cell r="O257">
            <v>0.5642922222222222</v>
          </cell>
          <cell r="P257">
            <v>3.871484329565258E-3</v>
          </cell>
          <cell r="Q257">
            <v>0.42124111111111046</v>
          </cell>
          <cell r="R257">
            <v>108.8061</v>
          </cell>
          <cell r="S257">
            <v>109.22734111111112</v>
          </cell>
          <cell r="T257">
            <v>6.7410632964297768E-3</v>
          </cell>
          <cell r="U257">
            <v>0.32401055555555652</v>
          </cell>
          <cell r="V257">
            <v>48.065199999999997</v>
          </cell>
          <cell r="W257">
            <v>48.38921055555555</v>
          </cell>
          <cell r="X257">
            <v>2.8198652280719428E-3</v>
          </cell>
          <cell r="Y257">
            <v>0.129291666666667</v>
          </cell>
          <cell r="Z257">
            <v>45.850299999999997</v>
          </cell>
          <cell r="AA257">
            <v>45.979591666666664</v>
          </cell>
          <cell r="AB257">
            <v>4.8603990211042846E-3</v>
          </cell>
          <cell r="AC257">
            <v>0.24126388888888925</v>
          </cell>
          <cell r="AD257">
            <v>49.6387</v>
          </cell>
          <cell r="AE257">
            <v>49.879963888888888</v>
          </cell>
          <cell r="AF257">
            <v>4.0227396176806081E-3</v>
          </cell>
          <cell r="AG257">
            <v>6.6571111111111081E-2</v>
          </cell>
          <cell r="AH257">
            <v>16.5487</v>
          </cell>
          <cell r="AI257">
            <v>16.61527111111111</v>
          </cell>
          <cell r="AJ257">
            <v>2.9442021140396214E-3</v>
          </cell>
          <cell r="AK257">
            <v>4.6814285714286995E-2</v>
          </cell>
          <cell r="AL257">
            <v>15.900499999999999</v>
          </cell>
          <cell r="AM257">
            <v>15.947314285714286</v>
          </cell>
          <cell r="AN257">
            <v>4.5559875888613755E-3</v>
          </cell>
          <cell r="AO257">
            <v>3.4799999999999845E-2</v>
          </cell>
          <cell r="AP257">
            <v>7.6383000000000001</v>
          </cell>
          <cell r="AQ257">
            <v>7.6730999999999998</v>
          </cell>
          <cell r="AR257">
            <v>1.8096028953646186E-3</v>
          </cell>
          <cell r="AS257">
            <v>7.5399999999999426E-2</v>
          </cell>
          <cell r="AT257">
            <v>41.666600000000003</v>
          </cell>
          <cell r="AU257">
            <v>41.742000000000004</v>
          </cell>
          <cell r="AV257">
            <v>4.1780841266700706E-3</v>
          </cell>
          <cell r="AW257">
            <v>0.14789999999999384</v>
          </cell>
          <cell r="AX257">
            <v>35.399000000000001</v>
          </cell>
          <cell r="AY257">
            <v>35.546899999999994</v>
          </cell>
          <cell r="AZ257">
            <v>2.9696352468705045E-3</v>
          </cell>
          <cell r="BA257">
            <v>2.2785714285712695E-2</v>
          </cell>
          <cell r="BB257">
            <v>7.6729000000000003</v>
          </cell>
          <cell r="BC257">
            <v>7.6956857142857134</v>
          </cell>
        </row>
        <row r="258">
          <cell r="B258">
            <v>210</v>
          </cell>
          <cell r="C258">
            <v>30</v>
          </cell>
          <cell r="D258">
            <v>4.2007592889546719E-3</v>
          </cell>
          <cell r="E258">
            <v>0.25541666666666646</v>
          </cell>
          <cell r="F258">
            <v>60.802500000000002</v>
          </cell>
          <cell r="G258">
            <v>61.057916666666671</v>
          </cell>
          <cell r="H258">
            <v>5.8513205007075771E-3</v>
          </cell>
          <cell r="I258">
            <v>0.4328999999999989</v>
          </cell>
          <cell r="J258">
            <v>73.9833</v>
          </cell>
          <cell r="K258">
            <v>74.416200000000003</v>
          </cell>
          <cell r="L258">
            <v>7.5568249434725624E-3</v>
          </cell>
          <cell r="M258">
            <v>4.2333333333333294E-3</v>
          </cell>
          <cell r="N258">
            <v>0.56020000000000003</v>
          </cell>
          <cell r="O258">
            <v>0.56443333333333334</v>
          </cell>
          <cell r="P258">
            <v>4.0049837892054399E-3</v>
          </cell>
          <cell r="Q258">
            <v>0.43576666666666597</v>
          </cell>
          <cell r="R258">
            <v>108.8061</v>
          </cell>
          <cell r="S258">
            <v>109.24186666666667</v>
          </cell>
          <cell r="T258">
            <v>6.9735137549273565E-3</v>
          </cell>
          <cell r="U258">
            <v>0.33518333333333433</v>
          </cell>
          <cell r="V258">
            <v>48.065199999999997</v>
          </cell>
          <cell r="W258">
            <v>48.40038333333333</v>
          </cell>
          <cell r="X258">
            <v>2.9171019600744232E-3</v>
          </cell>
          <cell r="Y258">
            <v>0.13375000000000034</v>
          </cell>
          <cell r="Z258">
            <v>45.850299999999997</v>
          </cell>
          <cell r="AA258">
            <v>45.984049999999996</v>
          </cell>
          <cell r="AB258">
            <v>5.0279989873492602E-3</v>
          </cell>
          <cell r="AC258">
            <v>0.24958333333333371</v>
          </cell>
          <cell r="AD258">
            <v>49.6387</v>
          </cell>
          <cell r="AE258">
            <v>49.888283333333334</v>
          </cell>
          <cell r="AF258">
            <v>4.1614547769109741E-3</v>
          </cell>
          <cell r="AG258">
            <v>6.8866666666666632E-2</v>
          </cell>
          <cell r="AH258">
            <v>16.5487</v>
          </cell>
          <cell r="AI258">
            <v>16.617566666666669</v>
          </cell>
          <cell r="AJ258">
            <v>3.0457263248685742E-3</v>
          </cell>
          <cell r="AK258">
            <v>4.8428571428572757E-2</v>
          </cell>
          <cell r="AL258">
            <v>15.900499999999999</v>
          </cell>
          <cell r="AM258">
            <v>15.948928571428572</v>
          </cell>
          <cell r="AN258">
            <v>4.7130906091669414E-3</v>
          </cell>
          <cell r="AO258">
            <v>3.5999999999999845E-2</v>
          </cell>
          <cell r="AP258">
            <v>7.6383000000000001</v>
          </cell>
          <cell r="AQ258">
            <v>7.6742999999999997</v>
          </cell>
          <cell r="AR258">
            <v>1.872002995204778E-3</v>
          </cell>
          <cell r="AS258">
            <v>7.7999999999999403E-2</v>
          </cell>
          <cell r="AT258">
            <v>41.666600000000003</v>
          </cell>
          <cell r="AU258">
            <v>41.744600000000005</v>
          </cell>
          <cell r="AV258">
            <v>4.3221559931069702E-3</v>
          </cell>
          <cell r="AW258">
            <v>0.15299999999999361</v>
          </cell>
          <cell r="AX258">
            <v>35.399000000000001</v>
          </cell>
          <cell r="AY258">
            <v>35.551999999999992</v>
          </cell>
          <cell r="AZ258">
            <v>3.0720364622798322E-3</v>
          </cell>
          <cell r="BA258">
            <v>2.3571428571426929E-2</v>
          </cell>
          <cell r="BB258">
            <v>7.6729000000000003</v>
          </cell>
          <cell r="BC258">
            <v>7.6964714285714271</v>
          </cell>
        </row>
        <row r="259">
          <cell r="B259">
            <v>211</v>
          </cell>
          <cell r="C259">
            <v>31</v>
          </cell>
          <cell r="D259">
            <v>4.3407845985864949E-3</v>
          </cell>
          <cell r="E259">
            <v>0.26393055555555534</v>
          </cell>
          <cell r="F259">
            <v>60.802500000000002</v>
          </cell>
          <cell r="G259">
            <v>61.066430555555556</v>
          </cell>
          <cell r="H259">
            <v>6.0463645173978297E-3</v>
          </cell>
          <cell r="I259">
            <v>0.44732999999999884</v>
          </cell>
          <cell r="J259">
            <v>73.9833</v>
          </cell>
          <cell r="K259">
            <v>74.430629999999994</v>
          </cell>
          <cell r="L259">
            <v>7.8087191082549801E-3</v>
          </cell>
          <cell r="M259">
            <v>4.3744444444444404E-3</v>
          </cell>
          <cell r="N259">
            <v>0.56020000000000003</v>
          </cell>
          <cell r="O259">
            <v>0.56457444444444449</v>
          </cell>
          <cell r="P259">
            <v>4.1384832488456213E-3</v>
          </cell>
          <cell r="Q259">
            <v>0.45029222222222148</v>
          </cell>
          <cell r="R259">
            <v>108.8061</v>
          </cell>
          <cell r="S259">
            <v>109.25639222222222</v>
          </cell>
          <cell r="T259">
            <v>7.2059642134249353E-3</v>
          </cell>
          <cell r="U259">
            <v>0.34635611111111214</v>
          </cell>
          <cell r="V259">
            <v>48.065199999999997</v>
          </cell>
          <cell r="W259">
            <v>48.411556111111111</v>
          </cell>
          <cell r="X259">
            <v>3.0143386920769041E-3</v>
          </cell>
          <cell r="Y259">
            <v>0.13820833333333368</v>
          </cell>
          <cell r="Z259">
            <v>45.850299999999997</v>
          </cell>
          <cell r="AA259">
            <v>45.988508333333328</v>
          </cell>
          <cell r="AB259">
            <v>5.1955989535942357E-3</v>
          </cell>
          <cell r="AC259">
            <v>0.25790277777777815</v>
          </cell>
          <cell r="AD259">
            <v>49.6387</v>
          </cell>
          <cell r="AE259">
            <v>49.89660277777778</v>
          </cell>
          <cell r="AF259">
            <v>4.3001699361413393E-3</v>
          </cell>
          <cell r="AG259">
            <v>7.1162222222222182E-2</v>
          </cell>
          <cell r="AH259">
            <v>16.5487</v>
          </cell>
          <cell r="AI259">
            <v>16.619862222222224</v>
          </cell>
          <cell r="AJ259">
            <v>3.1472505356975261E-3</v>
          </cell>
          <cell r="AK259">
            <v>5.0042857142858513E-2</v>
          </cell>
          <cell r="AL259">
            <v>15.900499999999999</v>
          </cell>
          <cell r="AM259">
            <v>15.950542857142858</v>
          </cell>
          <cell r="AN259">
            <v>4.8701936294725055E-3</v>
          </cell>
          <cell r="AO259">
            <v>3.7199999999999837E-2</v>
          </cell>
          <cell r="AP259">
            <v>7.6383000000000001</v>
          </cell>
          <cell r="AQ259">
            <v>7.6754999999999995</v>
          </cell>
          <cell r="AR259">
            <v>1.9344030950449371E-3</v>
          </cell>
          <cell r="AS259">
            <v>8.059999999999938E-2</v>
          </cell>
          <cell r="AT259">
            <v>41.666600000000003</v>
          </cell>
          <cell r="AU259">
            <v>41.747199999999999</v>
          </cell>
          <cell r="AV259">
            <v>4.4662278595438689E-3</v>
          </cell>
          <cell r="AW259">
            <v>0.15809999999999341</v>
          </cell>
          <cell r="AX259">
            <v>35.399000000000001</v>
          </cell>
          <cell r="AY259">
            <v>35.557099999999991</v>
          </cell>
          <cell r="AZ259">
            <v>3.17443767768916E-3</v>
          </cell>
          <cell r="BA259">
            <v>2.4357142857141158E-2</v>
          </cell>
          <cell r="BB259">
            <v>7.6729000000000003</v>
          </cell>
          <cell r="BC259">
            <v>7.6972571428571417</v>
          </cell>
        </row>
        <row r="260">
          <cell r="B260">
            <v>212</v>
          </cell>
          <cell r="C260">
            <v>32</v>
          </cell>
          <cell r="D260">
            <v>4.4808099082183171E-3</v>
          </cell>
          <cell r="E260">
            <v>0.27244444444444427</v>
          </cell>
          <cell r="F260">
            <v>60.802500000000002</v>
          </cell>
          <cell r="G260">
            <v>61.074944444444448</v>
          </cell>
          <cell r="H260">
            <v>6.2414085340880823E-3</v>
          </cell>
          <cell r="I260">
            <v>0.46175999999999878</v>
          </cell>
          <cell r="J260">
            <v>73.9833</v>
          </cell>
          <cell r="K260">
            <v>74.445059999999998</v>
          </cell>
          <cell r="L260">
            <v>8.0606132730373994E-3</v>
          </cell>
          <cell r="M260">
            <v>4.5155555555555513E-3</v>
          </cell>
          <cell r="N260">
            <v>0.56020000000000003</v>
          </cell>
          <cell r="O260">
            <v>0.56471555555555564</v>
          </cell>
          <cell r="P260">
            <v>4.2719827084858018E-3</v>
          </cell>
          <cell r="Q260">
            <v>0.46481777777777705</v>
          </cell>
          <cell r="R260">
            <v>108.8061</v>
          </cell>
          <cell r="S260">
            <v>109.27091777777778</v>
          </cell>
          <cell r="T260">
            <v>7.4384146719225133E-3</v>
          </cell>
          <cell r="U260">
            <v>0.35752888888888995</v>
          </cell>
          <cell r="V260">
            <v>48.065199999999997</v>
          </cell>
          <cell r="W260">
            <v>48.422728888888891</v>
          </cell>
          <cell r="X260">
            <v>3.111575424079385E-3</v>
          </cell>
          <cell r="Y260">
            <v>0.14266666666666702</v>
          </cell>
          <cell r="Z260">
            <v>45.850299999999997</v>
          </cell>
          <cell r="AA260">
            <v>45.992966666666668</v>
          </cell>
          <cell r="AB260">
            <v>5.3631989198392105E-3</v>
          </cell>
          <cell r="AC260">
            <v>0.26622222222222264</v>
          </cell>
          <cell r="AD260">
            <v>49.6387</v>
          </cell>
          <cell r="AE260">
            <v>49.904922222222226</v>
          </cell>
          <cell r="AF260">
            <v>4.4388850953717054E-3</v>
          </cell>
          <cell r="AG260">
            <v>7.3457777777777747E-2</v>
          </cell>
          <cell r="AH260">
            <v>16.5487</v>
          </cell>
          <cell r="AI260">
            <v>16.62215777777778</v>
          </cell>
          <cell r="AJ260">
            <v>3.2487747465264789E-3</v>
          </cell>
          <cell r="AK260">
            <v>5.1657142857144275E-2</v>
          </cell>
          <cell r="AL260">
            <v>15.900499999999999</v>
          </cell>
          <cell r="AM260">
            <v>15.952157142857143</v>
          </cell>
          <cell r="AN260">
            <v>5.0272966497780704E-3</v>
          </cell>
          <cell r="AO260">
            <v>3.839999999999983E-2</v>
          </cell>
          <cell r="AP260">
            <v>7.6383000000000001</v>
          </cell>
          <cell r="AQ260">
            <v>7.6767000000000003</v>
          </cell>
          <cell r="AR260">
            <v>1.9968031948850965E-3</v>
          </cell>
          <cell r="AS260">
            <v>8.3199999999999358E-2</v>
          </cell>
          <cell r="AT260">
            <v>41.666600000000003</v>
          </cell>
          <cell r="AU260">
            <v>41.7498</v>
          </cell>
          <cell r="AV260">
            <v>4.6102997259807677E-3</v>
          </cell>
          <cell r="AW260">
            <v>0.16319999999999318</v>
          </cell>
          <cell r="AX260">
            <v>35.399000000000001</v>
          </cell>
          <cell r="AY260">
            <v>35.562199999999997</v>
          </cell>
          <cell r="AZ260">
            <v>3.2768388930984878E-3</v>
          </cell>
          <cell r="BA260">
            <v>2.5142857142855388E-2</v>
          </cell>
          <cell r="BB260">
            <v>7.6729000000000003</v>
          </cell>
          <cell r="BC260">
            <v>7.6980428571428554</v>
          </cell>
        </row>
        <row r="261">
          <cell r="B261">
            <v>213</v>
          </cell>
          <cell r="C261">
            <v>33</v>
          </cell>
          <cell r="D261">
            <v>4.6208352178501392E-3</v>
          </cell>
          <cell r="E261">
            <v>0.28095833333333314</v>
          </cell>
          <cell r="F261">
            <v>60.802500000000002</v>
          </cell>
          <cell r="G261">
            <v>61.083458333333333</v>
          </cell>
          <cell r="H261">
            <v>6.4364525507783349E-3</v>
          </cell>
          <cell r="I261">
            <v>0.47618999999999878</v>
          </cell>
          <cell r="J261">
            <v>73.9833</v>
          </cell>
          <cell r="K261">
            <v>74.459490000000002</v>
          </cell>
          <cell r="L261">
            <v>8.3125074378198188E-3</v>
          </cell>
          <cell r="M261">
            <v>4.6566666666666623E-3</v>
          </cell>
          <cell r="N261">
            <v>0.56020000000000003</v>
          </cell>
          <cell r="O261">
            <v>0.56485666666666667</v>
          </cell>
          <cell r="P261">
            <v>4.4054821681259832E-3</v>
          </cell>
          <cell r="Q261">
            <v>0.47934333333333257</v>
          </cell>
          <cell r="R261">
            <v>108.8061</v>
          </cell>
          <cell r="S261">
            <v>109.28544333333333</v>
          </cell>
          <cell r="T261">
            <v>7.6708651304200912E-3</v>
          </cell>
          <cell r="U261">
            <v>0.36870166666666776</v>
          </cell>
          <cell r="V261">
            <v>48.065199999999997</v>
          </cell>
          <cell r="W261">
            <v>48.433901666666664</v>
          </cell>
          <cell r="X261">
            <v>3.2088121560818659E-3</v>
          </cell>
          <cell r="Y261">
            <v>0.14712500000000037</v>
          </cell>
          <cell r="Z261">
            <v>45.850299999999997</v>
          </cell>
          <cell r="AA261">
            <v>45.997425</v>
          </cell>
          <cell r="AB261">
            <v>5.530798886084186E-3</v>
          </cell>
          <cell r="AC261">
            <v>0.27454166666666707</v>
          </cell>
          <cell r="AD261">
            <v>49.6387</v>
          </cell>
          <cell r="AE261">
            <v>49.913241666666664</v>
          </cell>
          <cell r="AF261">
            <v>4.5776002546020714E-3</v>
          </cell>
          <cell r="AG261">
            <v>7.5753333333333298E-2</v>
          </cell>
          <cell r="AH261">
            <v>16.5487</v>
          </cell>
          <cell r="AI261">
            <v>16.624453333333335</v>
          </cell>
          <cell r="AJ261">
            <v>3.3502989573554317E-3</v>
          </cell>
          <cell r="AK261">
            <v>5.3271428571430031E-2</v>
          </cell>
          <cell r="AL261">
            <v>15.900499999999999</v>
          </cell>
          <cell r="AM261">
            <v>15.953771428571429</v>
          </cell>
          <cell r="AN261">
            <v>5.1843996700836345E-3</v>
          </cell>
          <cell r="AO261">
            <v>3.9599999999999823E-2</v>
          </cell>
          <cell r="AP261">
            <v>7.6383000000000001</v>
          </cell>
          <cell r="AQ261">
            <v>7.6779000000000002</v>
          </cell>
          <cell r="AR261">
            <v>2.0592032947252558E-3</v>
          </cell>
          <cell r="AS261">
            <v>8.5799999999999349E-2</v>
          </cell>
          <cell r="AT261">
            <v>41.666600000000003</v>
          </cell>
          <cell r="AU261">
            <v>41.752400000000002</v>
          </cell>
          <cell r="AV261">
            <v>4.7543715924176664E-3</v>
          </cell>
          <cell r="AW261">
            <v>0.16829999999999298</v>
          </cell>
          <cell r="AX261">
            <v>35.399000000000001</v>
          </cell>
          <cell r="AY261">
            <v>35.567299999999996</v>
          </cell>
          <cell r="AZ261">
            <v>3.3792401085078155E-3</v>
          </cell>
          <cell r="BA261">
            <v>2.5928571428569618E-2</v>
          </cell>
          <cell r="BB261">
            <v>7.6729000000000003</v>
          </cell>
          <cell r="BC261">
            <v>7.69882857142857</v>
          </cell>
        </row>
        <row r="262">
          <cell r="B262">
            <v>214</v>
          </cell>
          <cell r="C262">
            <v>34</v>
          </cell>
          <cell r="D262">
            <v>4.7608605274819622E-3</v>
          </cell>
          <cell r="E262">
            <v>0.28947222222222202</v>
          </cell>
          <cell r="F262">
            <v>60.802500000000002</v>
          </cell>
          <cell r="G262">
            <v>61.091972222222225</v>
          </cell>
          <cell r="H262">
            <v>6.6314965674685875E-3</v>
          </cell>
          <cell r="I262">
            <v>0.49061999999999872</v>
          </cell>
          <cell r="J262">
            <v>73.9833</v>
          </cell>
          <cell r="K262">
            <v>74.473919999999993</v>
          </cell>
          <cell r="L262">
            <v>8.5644016026022365E-3</v>
          </cell>
          <cell r="M262">
            <v>4.7977777777777741E-3</v>
          </cell>
          <cell r="N262">
            <v>0.56020000000000003</v>
          </cell>
          <cell r="O262">
            <v>0.56499777777777782</v>
          </cell>
          <cell r="P262">
            <v>4.5389816277661647E-3</v>
          </cell>
          <cell r="Q262">
            <v>0.49386888888888808</v>
          </cell>
          <cell r="R262">
            <v>108.8061</v>
          </cell>
          <cell r="S262">
            <v>109.29996888888888</v>
          </cell>
          <cell r="T262">
            <v>7.9033155889176691E-3</v>
          </cell>
          <cell r="U262">
            <v>0.37987444444444562</v>
          </cell>
          <cell r="V262">
            <v>48.065199999999997</v>
          </cell>
          <cell r="W262">
            <v>48.445074444444444</v>
          </cell>
          <cell r="X262">
            <v>3.3060488880843463E-3</v>
          </cell>
          <cell r="Y262">
            <v>0.15158333333333371</v>
          </cell>
          <cell r="Z262">
            <v>45.850299999999997</v>
          </cell>
          <cell r="AA262">
            <v>46.001883333333332</v>
          </cell>
          <cell r="AB262">
            <v>5.6983988523291607E-3</v>
          </cell>
          <cell r="AC262">
            <v>0.28286111111111156</v>
          </cell>
          <cell r="AD262">
            <v>49.6387</v>
          </cell>
          <cell r="AE262">
            <v>49.92156111111111</v>
          </cell>
          <cell r="AF262">
            <v>4.7163154138324366E-3</v>
          </cell>
          <cell r="AG262">
            <v>7.8048888888888848E-2</v>
          </cell>
          <cell r="AH262">
            <v>16.5487</v>
          </cell>
          <cell r="AI262">
            <v>16.626748888888891</v>
          </cell>
          <cell r="AJ262">
            <v>3.4518231681843837E-3</v>
          </cell>
          <cell r="AK262">
            <v>5.4885714285715793E-2</v>
          </cell>
          <cell r="AL262">
            <v>15.900499999999999</v>
          </cell>
          <cell r="AM262">
            <v>15.955385714285715</v>
          </cell>
          <cell r="AN262">
            <v>5.3415026903891995E-3</v>
          </cell>
          <cell r="AO262">
            <v>4.0799999999999823E-2</v>
          </cell>
          <cell r="AP262">
            <v>7.6383000000000001</v>
          </cell>
          <cell r="AQ262">
            <v>7.6791</v>
          </cell>
          <cell r="AR262">
            <v>2.1216033945654147E-3</v>
          </cell>
          <cell r="AS262">
            <v>8.8399999999999326E-2</v>
          </cell>
          <cell r="AT262">
            <v>41.666600000000003</v>
          </cell>
          <cell r="AU262">
            <v>41.755000000000003</v>
          </cell>
          <cell r="AV262">
            <v>4.898443458854566E-3</v>
          </cell>
          <cell r="AW262">
            <v>0.17339999999999275</v>
          </cell>
          <cell r="AX262">
            <v>35.399000000000001</v>
          </cell>
          <cell r="AY262">
            <v>35.572399999999995</v>
          </cell>
          <cell r="AZ262">
            <v>3.4816413239171433E-3</v>
          </cell>
          <cell r="BA262">
            <v>2.6714285714283852E-2</v>
          </cell>
          <cell r="BB262">
            <v>7.6729000000000003</v>
          </cell>
          <cell r="BC262">
            <v>7.6996142857142837</v>
          </cell>
        </row>
        <row r="263">
          <cell r="B263">
            <v>215</v>
          </cell>
          <cell r="C263">
            <v>35</v>
          </cell>
          <cell r="D263">
            <v>4.9008858371137843E-3</v>
          </cell>
          <cell r="E263">
            <v>0.2979861111111109</v>
          </cell>
          <cell r="F263">
            <v>60.802500000000002</v>
          </cell>
          <cell r="G263">
            <v>61.10048611111111</v>
          </cell>
          <cell r="H263">
            <v>6.8265405841588401E-3</v>
          </cell>
          <cell r="I263">
            <v>0.50504999999999867</v>
          </cell>
          <cell r="J263">
            <v>73.9833</v>
          </cell>
          <cell r="K263">
            <v>74.488349999999997</v>
          </cell>
          <cell r="L263">
            <v>8.8162957673846559E-3</v>
          </cell>
          <cell r="M263">
            <v>4.938888888888885E-3</v>
          </cell>
          <cell r="N263">
            <v>0.56020000000000003</v>
          </cell>
          <cell r="O263">
            <v>0.56513888888888897</v>
          </cell>
          <cell r="P263">
            <v>4.6724810874063461E-3</v>
          </cell>
          <cell r="Q263">
            <v>0.50839444444444359</v>
          </cell>
          <cell r="R263">
            <v>108.8061</v>
          </cell>
          <cell r="S263">
            <v>109.31449444444445</v>
          </cell>
          <cell r="T263">
            <v>8.1357660474152497E-3</v>
          </cell>
          <cell r="U263">
            <v>0.39104722222222343</v>
          </cell>
          <cell r="V263">
            <v>48.065199999999997</v>
          </cell>
          <cell r="W263">
            <v>48.456247222222224</v>
          </cell>
          <cell r="X263">
            <v>3.4032856200868272E-3</v>
          </cell>
          <cell r="Y263">
            <v>0.15604166666666705</v>
          </cell>
          <cell r="Z263">
            <v>45.850299999999997</v>
          </cell>
          <cell r="AA263">
            <v>46.006341666666664</v>
          </cell>
          <cell r="AB263">
            <v>5.8659988185741363E-3</v>
          </cell>
          <cell r="AC263">
            <v>0.291180555555556</v>
          </cell>
          <cell r="AD263">
            <v>49.6387</v>
          </cell>
          <cell r="AE263">
            <v>49.929880555555556</v>
          </cell>
          <cell r="AF263">
            <v>4.8550305730628027E-3</v>
          </cell>
          <cell r="AG263">
            <v>8.0344444444444399E-2</v>
          </cell>
          <cell r="AH263">
            <v>16.5487</v>
          </cell>
          <cell r="AI263">
            <v>16.629044444444446</v>
          </cell>
          <cell r="AJ263">
            <v>3.5533473790133364E-3</v>
          </cell>
          <cell r="AK263">
            <v>5.6500000000001549E-2</v>
          </cell>
          <cell r="AL263">
            <v>15.900499999999999</v>
          </cell>
          <cell r="AM263">
            <v>15.957000000000001</v>
          </cell>
          <cell r="AN263">
            <v>5.4986057106947645E-3</v>
          </cell>
          <cell r="AO263">
            <v>4.1999999999999815E-2</v>
          </cell>
          <cell r="AP263">
            <v>7.6383000000000001</v>
          </cell>
          <cell r="AQ263">
            <v>7.6802999999999999</v>
          </cell>
          <cell r="AR263">
            <v>2.1840034944055741E-3</v>
          </cell>
          <cell r="AS263">
            <v>9.0999999999999304E-2</v>
          </cell>
          <cell r="AT263">
            <v>41.666600000000003</v>
          </cell>
          <cell r="AU263">
            <v>41.757600000000004</v>
          </cell>
          <cell r="AV263">
            <v>5.0425153252914648E-3</v>
          </cell>
          <cell r="AW263">
            <v>0.17849999999999255</v>
          </cell>
          <cell r="AX263">
            <v>35.399000000000001</v>
          </cell>
          <cell r="AY263">
            <v>35.577499999999993</v>
          </cell>
          <cell r="AZ263">
            <v>3.584042539326471E-3</v>
          </cell>
          <cell r="BA263">
            <v>2.7499999999998082E-2</v>
          </cell>
          <cell r="BB263">
            <v>7.6729000000000003</v>
          </cell>
          <cell r="BC263">
            <v>7.7003999999999984</v>
          </cell>
        </row>
        <row r="264">
          <cell r="B264">
            <v>216</v>
          </cell>
          <cell r="C264">
            <v>36</v>
          </cell>
          <cell r="D264">
            <v>5.0409111467456065E-3</v>
          </cell>
          <cell r="E264">
            <v>0.30649999999999977</v>
          </cell>
          <cell r="F264">
            <v>60.802500000000002</v>
          </cell>
          <cell r="G264">
            <v>61.109000000000002</v>
          </cell>
          <cell r="H264">
            <v>7.0215846008490936E-3</v>
          </cell>
          <cell r="I264">
            <v>0.51947999999999861</v>
          </cell>
          <cell r="J264">
            <v>73.9833</v>
          </cell>
          <cell r="K264">
            <v>74.502780000000001</v>
          </cell>
          <cell r="L264">
            <v>9.0681899321670735E-3</v>
          </cell>
          <cell r="M264">
            <v>5.079999999999996E-3</v>
          </cell>
          <cell r="N264">
            <v>0.56020000000000003</v>
          </cell>
          <cell r="O264">
            <v>0.56528</v>
          </cell>
          <cell r="P264">
            <v>4.8059805470465275E-3</v>
          </cell>
          <cell r="Q264">
            <v>0.52291999999999916</v>
          </cell>
          <cell r="R264">
            <v>108.8061</v>
          </cell>
          <cell r="S264">
            <v>109.32902</v>
          </cell>
          <cell r="T264">
            <v>8.3682165059128268E-3</v>
          </cell>
          <cell r="U264">
            <v>0.40222000000000124</v>
          </cell>
          <cell r="V264">
            <v>48.065199999999997</v>
          </cell>
          <cell r="W264">
            <v>48.467419999999997</v>
          </cell>
          <cell r="X264">
            <v>3.5005223520893081E-3</v>
          </cell>
          <cell r="Y264">
            <v>0.16050000000000039</v>
          </cell>
          <cell r="Z264">
            <v>45.850299999999997</v>
          </cell>
          <cell r="AA264">
            <v>46.010799999999996</v>
          </cell>
          <cell r="AB264">
            <v>6.0335987848191127E-3</v>
          </cell>
          <cell r="AC264">
            <v>0.29950000000000043</v>
          </cell>
          <cell r="AD264">
            <v>49.6387</v>
          </cell>
          <cell r="AE264">
            <v>49.938200000000002</v>
          </cell>
          <cell r="AF264">
            <v>4.9937457322931688E-3</v>
          </cell>
          <cell r="AG264">
            <v>8.2639999999999963E-2</v>
          </cell>
          <cell r="AH264">
            <v>16.5487</v>
          </cell>
          <cell r="AI264">
            <v>16.631340000000002</v>
          </cell>
          <cell r="AJ264">
            <v>3.6548715898422888E-3</v>
          </cell>
          <cell r="AK264">
            <v>5.8114285714287305E-2</v>
          </cell>
          <cell r="AL264">
            <v>15.900499999999999</v>
          </cell>
          <cell r="AM264">
            <v>15.958614285714287</v>
          </cell>
          <cell r="AN264">
            <v>5.6557087310003295E-3</v>
          </cell>
          <cell r="AO264">
            <v>4.3199999999999808E-2</v>
          </cell>
          <cell r="AP264">
            <v>7.6383000000000001</v>
          </cell>
          <cell r="AQ264">
            <v>7.6814999999999998</v>
          </cell>
          <cell r="AR264">
            <v>2.2464035942457335E-3</v>
          </cell>
          <cell r="AS264">
            <v>9.3599999999999281E-2</v>
          </cell>
          <cell r="AT264">
            <v>41.666600000000003</v>
          </cell>
          <cell r="AU264">
            <v>41.760200000000005</v>
          </cell>
          <cell r="AV264">
            <v>5.1865871917283635E-3</v>
          </cell>
          <cell r="AW264">
            <v>0.18359999999999235</v>
          </cell>
          <cell r="AX264">
            <v>35.399000000000001</v>
          </cell>
          <cell r="AY264">
            <v>35.582599999999992</v>
          </cell>
          <cell r="AZ264">
            <v>3.6864437547357988E-3</v>
          </cell>
          <cell r="BA264">
            <v>2.8285714285712311E-2</v>
          </cell>
          <cell r="BB264">
            <v>7.6729000000000003</v>
          </cell>
          <cell r="BC264">
            <v>7.701185714285713</v>
          </cell>
        </row>
        <row r="265">
          <cell r="B265">
            <v>217</v>
          </cell>
          <cell r="C265">
            <v>37</v>
          </cell>
          <cell r="D265">
            <v>5.1809364563774295E-3</v>
          </cell>
          <cell r="E265">
            <v>0.31501388888888865</v>
          </cell>
          <cell r="F265">
            <v>60.802500000000002</v>
          </cell>
          <cell r="G265">
            <v>61.117513888888894</v>
          </cell>
          <cell r="H265">
            <v>7.2166286175393462E-3</v>
          </cell>
          <cell r="I265">
            <v>0.53390999999999866</v>
          </cell>
          <cell r="J265">
            <v>73.9833</v>
          </cell>
          <cell r="K265">
            <v>74.517209999999992</v>
          </cell>
          <cell r="L265">
            <v>9.3200840969494929E-3</v>
          </cell>
          <cell r="M265">
            <v>5.2211111111111069E-3</v>
          </cell>
          <cell r="N265">
            <v>0.56020000000000003</v>
          </cell>
          <cell r="O265">
            <v>0.56542111111111115</v>
          </cell>
          <cell r="P265">
            <v>4.9394800066867089E-3</v>
          </cell>
          <cell r="Q265">
            <v>0.53744555555555473</v>
          </cell>
          <cell r="R265">
            <v>108.8061</v>
          </cell>
          <cell r="S265">
            <v>109.34354555555555</v>
          </cell>
          <cell r="T265">
            <v>8.6006669644104056E-3</v>
          </cell>
          <cell r="U265">
            <v>0.413392777777779</v>
          </cell>
          <cell r="V265">
            <v>48.065199999999997</v>
          </cell>
          <cell r="W265">
            <v>48.478592777777777</v>
          </cell>
          <cell r="X265">
            <v>3.5977590840917889E-3</v>
          </cell>
          <cell r="Y265">
            <v>0.16495833333333373</v>
          </cell>
          <cell r="Z265">
            <v>45.850299999999997</v>
          </cell>
          <cell r="AA265">
            <v>46.015258333333328</v>
          </cell>
          <cell r="AB265">
            <v>6.2011987510640874E-3</v>
          </cell>
          <cell r="AC265">
            <v>0.30781944444444492</v>
          </cell>
          <cell r="AD265">
            <v>49.6387</v>
          </cell>
          <cell r="AE265">
            <v>49.946519444444448</v>
          </cell>
          <cell r="AF265">
            <v>5.1324608915235348E-3</v>
          </cell>
          <cell r="AG265">
            <v>8.4935555555555514E-2</v>
          </cell>
          <cell r="AH265">
            <v>16.5487</v>
          </cell>
          <cell r="AI265">
            <v>16.633635555555557</v>
          </cell>
          <cell r="AJ265">
            <v>3.7563958006712412E-3</v>
          </cell>
          <cell r="AK265">
            <v>5.9728571428573067E-2</v>
          </cell>
          <cell r="AL265">
            <v>15.900499999999999</v>
          </cell>
          <cell r="AM265">
            <v>15.960228571428573</v>
          </cell>
          <cell r="AN265">
            <v>5.8128117513058936E-3</v>
          </cell>
          <cell r="AO265">
            <v>4.4399999999999808E-2</v>
          </cell>
          <cell r="AP265">
            <v>7.6383000000000001</v>
          </cell>
          <cell r="AQ265">
            <v>7.6826999999999996</v>
          </cell>
          <cell r="AR265">
            <v>2.3088036940858928E-3</v>
          </cell>
          <cell r="AS265">
            <v>9.6199999999999258E-2</v>
          </cell>
          <cell r="AT265">
            <v>41.666600000000003</v>
          </cell>
          <cell r="AU265">
            <v>41.762799999999999</v>
          </cell>
          <cell r="AV265">
            <v>5.3306590581652631E-3</v>
          </cell>
          <cell r="AW265">
            <v>0.18869999999999212</v>
          </cell>
          <cell r="AX265">
            <v>35.399000000000001</v>
          </cell>
          <cell r="AY265">
            <v>35.587699999999991</v>
          </cell>
          <cell r="AZ265">
            <v>3.7888449701451265E-3</v>
          </cell>
          <cell r="BA265">
            <v>2.9071428571426545E-2</v>
          </cell>
          <cell r="BB265">
            <v>7.6729000000000003</v>
          </cell>
          <cell r="BC265">
            <v>7.7019714285714267</v>
          </cell>
        </row>
        <row r="266">
          <cell r="B266">
            <v>218</v>
          </cell>
          <cell r="C266">
            <v>38</v>
          </cell>
          <cell r="D266">
            <v>5.3209617660092516E-3</v>
          </cell>
          <cell r="E266">
            <v>0.32352777777777753</v>
          </cell>
          <cell r="F266">
            <v>60.802500000000002</v>
          </cell>
          <cell r="G266">
            <v>61.126027777777779</v>
          </cell>
          <cell r="H266">
            <v>7.4116726342295988E-3</v>
          </cell>
          <cell r="I266">
            <v>0.54833999999999861</v>
          </cell>
          <cell r="J266">
            <v>73.9833</v>
          </cell>
          <cell r="K266">
            <v>74.531639999999996</v>
          </cell>
          <cell r="L266">
            <v>9.5719782617319123E-3</v>
          </cell>
          <cell r="M266">
            <v>5.3622222222222179E-3</v>
          </cell>
          <cell r="N266">
            <v>0.56020000000000003</v>
          </cell>
          <cell r="O266">
            <v>0.5655622222222223</v>
          </cell>
          <cell r="P266">
            <v>5.0729794663268903E-3</v>
          </cell>
          <cell r="Q266">
            <v>0.55197111111111019</v>
          </cell>
          <cell r="R266">
            <v>108.8061</v>
          </cell>
          <cell r="S266">
            <v>109.35807111111112</v>
          </cell>
          <cell r="T266">
            <v>8.8331174229079844E-3</v>
          </cell>
          <cell r="U266">
            <v>0.42456555555555686</v>
          </cell>
          <cell r="V266">
            <v>48.065199999999997</v>
          </cell>
          <cell r="W266">
            <v>48.489765555555557</v>
          </cell>
          <cell r="X266">
            <v>3.6949958160942698E-3</v>
          </cell>
          <cell r="Y266">
            <v>0.16941666666666708</v>
          </cell>
          <cell r="Z266">
            <v>45.850299999999997</v>
          </cell>
          <cell r="AA266">
            <v>46.019716666666667</v>
          </cell>
          <cell r="AB266">
            <v>6.368798717309063E-3</v>
          </cell>
          <cell r="AC266">
            <v>0.31613888888888936</v>
          </cell>
          <cell r="AD266">
            <v>49.6387</v>
          </cell>
          <cell r="AE266">
            <v>49.954838888888887</v>
          </cell>
          <cell r="AF266">
            <v>5.2711760507539E-3</v>
          </cell>
          <cell r="AG266">
            <v>8.7231111111111065E-2</v>
          </cell>
          <cell r="AH266">
            <v>16.5487</v>
          </cell>
          <cell r="AI266">
            <v>16.635931111111113</v>
          </cell>
          <cell r="AJ266">
            <v>3.857920011500194E-3</v>
          </cell>
          <cell r="AK266">
            <v>6.1342857142858823E-2</v>
          </cell>
          <cell r="AL266">
            <v>15.900499999999999</v>
          </cell>
          <cell r="AM266">
            <v>15.961842857142859</v>
          </cell>
          <cell r="AN266">
            <v>5.9699147716114577E-3</v>
          </cell>
          <cell r="AO266">
            <v>4.55999999999998E-2</v>
          </cell>
          <cell r="AP266">
            <v>7.6383000000000001</v>
          </cell>
          <cell r="AQ266">
            <v>7.6838999999999995</v>
          </cell>
          <cell r="AR266">
            <v>2.3712037939260517E-3</v>
          </cell>
          <cell r="AS266">
            <v>9.879999999999925E-2</v>
          </cell>
          <cell r="AT266">
            <v>41.666600000000003</v>
          </cell>
          <cell r="AU266">
            <v>41.7654</v>
          </cell>
          <cell r="AV266">
            <v>5.4747309246021619E-3</v>
          </cell>
          <cell r="AW266">
            <v>0.19379999999999192</v>
          </cell>
          <cell r="AX266">
            <v>35.399000000000001</v>
          </cell>
          <cell r="AY266">
            <v>35.59279999999999</v>
          </cell>
          <cell r="AZ266">
            <v>3.8912461855544543E-3</v>
          </cell>
          <cell r="BA266">
            <v>2.9857142857140775E-2</v>
          </cell>
          <cell r="BB266">
            <v>7.6729000000000003</v>
          </cell>
          <cell r="BC266">
            <v>7.7027571428571413</v>
          </cell>
        </row>
        <row r="267">
          <cell r="B267">
            <v>219</v>
          </cell>
          <cell r="C267">
            <v>39</v>
          </cell>
          <cell r="D267">
            <v>5.4609870756410737E-3</v>
          </cell>
          <cell r="E267">
            <v>0.3320416666666664</v>
          </cell>
          <cell r="F267">
            <v>60.802500000000002</v>
          </cell>
          <cell r="G267">
            <v>61.134541666666671</v>
          </cell>
          <cell r="H267">
            <v>7.6067166509198514E-3</v>
          </cell>
          <cell r="I267">
            <v>0.56276999999999855</v>
          </cell>
          <cell r="J267">
            <v>73.9833</v>
          </cell>
          <cell r="K267">
            <v>74.54607</v>
          </cell>
          <cell r="L267">
            <v>9.8238724265143299E-3</v>
          </cell>
          <cell r="M267">
            <v>5.5033333333333288E-3</v>
          </cell>
          <cell r="N267">
            <v>0.56020000000000003</v>
          </cell>
          <cell r="O267">
            <v>0.56570333333333334</v>
          </cell>
          <cell r="P267">
            <v>5.2064789259670717E-3</v>
          </cell>
          <cell r="Q267">
            <v>0.56649666666666576</v>
          </cell>
          <cell r="R267">
            <v>108.8061</v>
          </cell>
          <cell r="S267">
            <v>109.37259666666667</v>
          </cell>
          <cell r="T267">
            <v>9.0655678814055632E-3</v>
          </cell>
          <cell r="U267">
            <v>0.43573833333333467</v>
          </cell>
          <cell r="V267">
            <v>48.065199999999997</v>
          </cell>
          <cell r="W267">
            <v>48.50093833333333</v>
          </cell>
          <cell r="X267">
            <v>3.7922325480967503E-3</v>
          </cell>
          <cell r="Y267">
            <v>0.17387500000000042</v>
          </cell>
          <cell r="Z267">
            <v>45.850299999999997</v>
          </cell>
          <cell r="AA267">
            <v>46.024175</v>
          </cell>
          <cell r="AB267">
            <v>6.5363986835540377E-3</v>
          </cell>
          <cell r="AC267">
            <v>0.32445833333333385</v>
          </cell>
          <cell r="AD267">
            <v>49.6387</v>
          </cell>
          <cell r="AE267">
            <v>49.963158333333332</v>
          </cell>
          <cell r="AF267">
            <v>5.4098912099842661E-3</v>
          </cell>
          <cell r="AG267">
            <v>8.9526666666666616E-2</v>
          </cell>
          <cell r="AH267">
            <v>16.5487</v>
          </cell>
          <cell r="AI267">
            <v>16.638226666666668</v>
          </cell>
          <cell r="AJ267">
            <v>3.9594442223291459E-3</v>
          </cell>
          <cell r="AK267">
            <v>6.2957142857144585E-2</v>
          </cell>
          <cell r="AL267">
            <v>15.900499999999999</v>
          </cell>
          <cell r="AM267">
            <v>15.963457142857143</v>
          </cell>
          <cell r="AN267">
            <v>6.1270177919170235E-3</v>
          </cell>
          <cell r="AO267">
            <v>4.6799999999999793E-2</v>
          </cell>
          <cell r="AP267">
            <v>7.6383000000000001</v>
          </cell>
          <cell r="AQ267">
            <v>7.6851000000000003</v>
          </cell>
          <cell r="AR267">
            <v>2.4336038937662111E-3</v>
          </cell>
          <cell r="AS267">
            <v>0.10139999999999923</v>
          </cell>
          <cell r="AT267">
            <v>41.666600000000003</v>
          </cell>
          <cell r="AU267">
            <v>41.768000000000001</v>
          </cell>
          <cell r="AV267">
            <v>5.6188027910390606E-3</v>
          </cell>
          <cell r="AW267">
            <v>0.19889999999999169</v>
          </cell>
          <cell r="AX267">
            <v>35.399000000000001</v>
          </cell>
          <cell r="AY267">
            <v>35.597899999999996</v>
          </cell>
          <cell r="AZ267">
            <v>3.9936474009637816E-3</v>
          </cell>
          <cell r="BA267">
            <v>3.0642857142855005E-2</v>
          </cell>
          <cell r="BB267">
            <v>7.6729000000000003</v>
          </cell>
          <cell r="BC267">
            <v>7.703542857142855</v>
          </cell>
        </row>
        <row r="268">
          <cell r="B268">
            <v>220</v>
          </cell>
          <cell r="C268">
            <v>40</v>
          </cell>
          <cell r="D268">
            <v>5.6010123852728968E-3</v>
          </cell>
          <cell r="E268">
            <v>0.34055555555555528</v>
          </cell>
          <cell r="F268">
            <v>60.802500000000002</v>
          </cell>
          <cell r="G268">
            <v>61.143055555555556</v>
          </cell>
          <cell r="H268">
            <v>7.8017606676101039E-3</v>
          </cell>
          <cell r="I268">
            <v>0.57719999999999849</v>
          </cell>
          <cell r="J268">
            <v>73.9833</v>
          </cell>
          <cell r="K268">
            <v>74.560500000000005</v>
          </cell>
          <cell r="L268">
            <v>1.0075766591296749E-2</v>
          </cell>
          <cell r="M268">
            <v>5.6444444444444398E-3</v>
          </cell>
          <cell r="N268">
            <v>0.56020000000000003</v>
          </cell>
          <cell r="O268">
            <v>0.56584444444444448</v>
          </cell>
          <cell r="P268">
            <v>5.3399783856072532E-3</v>
          </cell>
          <cell r="Q268">
            <v>0.58102222222222133</v>
          </cell>
          <cell r="R268">
            <v>108.8061</v>
          </cell>
          <cell r="S268">
            <v>109.38712222222222</v>
          </cell>
          <cell r="T268">
            <v>9.298018339903142E-3</v>
          </cell>
          <cell r="U268">
            <v>0.44691111111111248</v>
          </cell>
          <cell r="V268">
            <v>48.065199999999997</v>
          </cell>
          <cell r="W268">
            <v>48.512111111111111</v>
          </cell>
          <cell r="X268">
            <v>3.8894692800992311E-3</v>
          </cell>
          <cell r="Y268">
            <v>0.17833333333333379</v>
          </cell>
          <cell r="Z268">
            <v>45.850299999999997</v>
          </cell>
          <cell r="AA268">
            <v>46.028633333333332</v>
          </cell>
          <cell r="AB268">
            <v>6.7039986497990133E-3</v>
          </cell>
          <cell r="AC268">
            <v>0.33277777777777828</v>
          </cell>
          <cell r="AD268">
            <v>49.6387</v>
          </cell>
          <cell r="AE268">
            <v>49.971477777777778</v>
          </cell>
          <cell r="AF268">
            <v>5.5486063692146322E-3</v>
          </cell>
          <cell r="AG268">
            <v>9.182222222222218E-2</v>
          </cell>
          <cell r="AH268">
            <v>16.5487</v>
          </cell>
          <cell r="AI268">
            <v>16.640522222222224</v>
          </cell>
          <cell r="AJ268">
            <v>4.0609684331580987E-3</v>
          </cell>
          <cell r="AK268">
            <v>6.4571428571430348E-2</v>
          </cell>
          <cell r="AL268">
            <v>15.900499999999999</v>
          </cell>
          <cell r="AM268">
            <v>15.965071428571429</v>
          </cell>
          <cell r="AN268">
            <v>6.2841208122225876E-3</v>
          </cell>
          <cell r="AO268">
            <v>4.7999999999999786E-2</v>
          </cell>
          <cell r="AP268">
            <v>7.6383000000000001</v>
          </cell>
          <cell r="AQ268">
            <v>7.6863000000000001</v>
          </cell>
          <cell r="AR268">
            <v>2.4960039936063705E-3</v>
          </cell>
          <cell r="AS268">
            <v>0.1039999999999992</v>
          </cell>
          <cell r="AT268">
            <v>41.666600000000003</v>
          </cell>
          <cell r="AU268">
            <v>41.770600000000002</v>
          </cell>
          <cell r="AV268">
            <v>5.7628746574759594E-3</v>
          </cell>
          <cell r="AW268">
            <v>0.20399999999999149</v>
          </cell>
          <cell r="AX268">
            <v>35.399000000000001</v>
          </cell>
          <cell r="AY268">
            <v>35.602999999999994</v>
          </cell>
          <cell r="AZ268">
            <v>4.0960486163731094E-3</v>
          </cell>
          <cell r="BA268">
            <v>3.1428571428569238E-2</v>
          </cell>
          <cell r="BB268">
            <v>7.6729000000000003</v>
          </cell>
          <cell r="BC268">
            <v>7.7043285714285696</v>
          </cell>
        </row>
        <row r="269">
          <cell r="B269">
            <v>221</v>
          </cell>
          <cell r="C269">
            <v>41</v>
          </cell>
          <cell r="D269">
            <v>5.741037694904718E-3</v>
          </cell>
          <cell r="E269">
            <v>0.34906944444444421</v>
          </cell>
          <cell r="F269">
            <v>60.802500000000002</v>
          </cell>
          <cell r="G269">
            <v>61.151569444444448</v>
          </cell>
          <cell r="H269">
            <v>7.9968046843003557E-3</v>
          </cell>
          <cell r="I269">
            <v>0.59162999999999843</v>
          </cell>
          <cell r="J269">
            <v>73.9833</v>
          </cell>
          <cell r="K269">
            <v>74.574929999999995</v>
          </cell>
          <cell r="L269">
            <v>1.0327660756079167E-2</v>
          </cell>
          <cell r="M269">
            <v>5.7855555555555499E-3</v>
          </cell>
          <cell r="N269">
            <v>0.56020000000000003</v>
          </cell>
          <cell r="O269">
            <v>0.56598555555555563</v>
          </cell>
          <cell r="P269">
            <v>5.4734778452474337E-3</v>
          </cell>
          <cell r="Q269">
            <v>0.59554777777777679</v>
          </cell>
          <cell r="R269">
            <v>108.8061</v>
          </cell>
          <cell r="S269">
            <v>109.40164777777778</v>
          </cell>
          <cell r="T269">
            <v>9.5304687984007208E-3</v>
          </cell>
          <cell r="U269">
            <v>0.45808388888889023</v>
          </cell>
          <cell r="V269">
            <v>48.065199999999997</v>
          </cell>
          <cell r="W269">
            <v>48.523283888888891</v>
          </cell>
          <cell r="X269">
            <v>3.9867060121017116E-3</v>
          </cell>
          <cell r="Y269">
            <v>0.18279166666666713</v>
          </cell>
          <cell r="Z269">
            <v>45.850299999999997</v>
          </cell>
          <cell r="AA269">
            <v>46.033091666666664</v>
          </cell>
          <cell r="AB269">
            <v>6.871598616043988E-3</v>
          </cell>
          <cell r="AC269">
            <v>0.34109722222222272</v>
          </cell>
          <cell r="AD269">
            <v>49.6387</v>
          </cell>
          <cell r="AE269">
            <v>49.979797222222224</v>
          </cell>
          <cell r="AF269">
            <v>5.6873215284449974E-3</v>
          </cell>
          <cell r="AG269">
            <v>9.4117777777777731E-2</v>
          </cell>
          <cell r="AH269">
            <v>16.5487</v>
          </cell>
          <cell r="AI269">
            <v>16.642817777777779</v>
          </cell>
          <cell r="AJ269">
            <v>4.1624926439870506E-3</v>
          </cell>
          <cell r="AK269">
            <v>6.6185714285716096E-2</v>
          </cell>
          <cell r="AL269">
            <v>15.900499999999999</v>
          </cell>
          <cell r="AM269">
            <v>15.966685714285715</v>
          </cell>
          <cell r="AN269">
            <v>6.4412238325281526E-3</v>
          </cell>
          <cell r="AO269">
            <v>4.9199999999999786E-2</v>
          </cell>
          <cell r="AP269">
            <v>7.6383000000000001</v>
          </cell>
          <cell r="AQ269">
            <v>7.6875</v>
          </cell>
          <cell r="AR269">
            <v>2.5584040934465298E-3</v>
          </cell>
          <cell r="AS269">
            <v>0.10659999999999918</v>
          </cell>
          <cell r="AT269">
            <v>41.666600000000003</v>
          </cell>
          <cell r="AU269">
            <v>41.773200000000003</v>
          </cell>
          <cell r="AV269">
            <v>5.906946523912859E-3</v>
          </cell>
          <cell r="AW269">
            <v>0.20909999999999127</v>
          </cell>
          <cell r="AX269">
            <v>35.399000000000001</v>
          </cell>
          <cell r="AY269">
            <v>35.608099999999993</v>
          </cell>
          <cell r="AZ269">
            <v>4.1984498317824371E-3</v>
          </cell>
          <cell r="BA269">
            <v>3.2214285714283468E-2</v>
          </cell>
          <cell r="BB269">
            <v>7.6729000000000003</v>
          </cell>
          <cell r="BC269">
            <v>7.7051142857142834</v>
          </cell>
        </row>
        <row r="270">
          <cell r="B270">
            <v>222</v>
          </cell>
          <cell r="C270">
            <v>42</v>
          </cell>
          <cell r="D270">
            <v>5.8810630045365419E-3</v>
          </cell>
          <cell r="E270">
            <v>0.35758333333333309</v>
          </cell>
          <cell r="F270">
            <v>60.802500000000002</v>
          </cell>
          <cell r="G270">
            <v>61.160083333333333</v>
          </cell>
          <cell r="H270">
            <v>8.1918487009906074E-3</v>
          </cell>
          <cell r="I270">
            <v>0.60605999999999838</v>
          </cell>
          <cell r="J270">
            <v>73.9833</v>
          </cell>
          <cell r="K270">
            <v>74.589359999999999</v>
          </cell>
          <cell r="L270">
            <v>1.0579554920861586E-2</v>
          </cell>
          <cell r="M270">
            <v>5.9266666666666617E-3</v>
          </cell>
          <cell r="N270">
            <v>0.56020000000000003</v>
          </cell>
          <cell r="O270">
            <v>0.56612666666666667</v>
          </cell>
          <cell r="P270">
            <v>5.606977304887616E-3</v>
          </cell>
          <cell r="Q270">
            <v>0.61007333333333236</v>
          </cell>
          <cell r="R270">
            <v>108.8061</v>
          </cell>
          <cell r="S270">
            <v>109.41617333333333</v>
          </cell>
          <cell r="T270">
            <v>9.7629192568982979E-3</v>
          </cell>
          <cell r="U270">
            <v>0.4692566666666681</v>
          </cell>
          <cell r="V270">
            <v>48.065199999999997</v>
          </cell>
          <cell r="W270">
            <v>48.534456666666664</v>
          </cell>
          <cell r="X270">
            <v>4.0839427441041925E-3</v>
          </cell>
          <cell r="Y270">
            <v>0.18725000000000047</v>
          </cell>
          <cell r="Z270">
            <v>45.850299999999997</v>
          </cell>
          <cell r="AA270">
            <v>46.037549999999996</v>
          </cell>
          <cell r="AB270">
            <v>7.0391985822889644E-3</v>
          </cell>
          <cell r="AC270">
            <v>0.34941666666666721</v>
          </cell>
          <cell r="AD270">
            <v>49.6387</v>
          </cell>
          <cell r="AE270">
            <v>49.98811666666667</v>
          </cell>
          <cell r="AF270">
            <v>5.8260366876753634E-3</v>
          </cell>
          <cell r="AG270">
            <v>9.6413333333333281E-2</v>
          </cell>
          <cell r="AH270">
            <v>16.5487</v>
          </cell>
          <cell r="AI270">
            <v>16.645113333333335</v>
          </cell>
          <cell r="AJ270">
            <v>4.2640168548160034E-3</v>
          </cell>
          <cell r="AK270">
            <v>6.7800000000001859E-2</v>
          </cell>
          <cell r="AL270">
            <v>15.900499999999999</v>
          </cell>
          <cell r="AM270">
            <v>15.968300000000001</v>
          </cell>
          <cell r="AN270">
            <v>6.5983268528337167E-3</v>
          </cell>
          <cell r="AO270">
            <v>5.0399999999999778E-2</v>
          </cell>
          <cell r="AP270">
            <v>7.6383000000000001</v>
          </cell>
          <cell r="AQ270">
            <v>7.6886999999999999</v>
          </cell>
          <cell r="AR270">
            <v>2.6208041932866892E-3</v>
          </cell>
          <cell r="AS270">
            <v>0.10919999999999916</v>
          </cell>
          <cell r="AT270">
            <v>41.666600000000003</v>
          </cell>
          <cell r="AU270">
            <v>41.775800000000004</v>
          </cell>
          <cell r="AV270">
            <v>6.0510183903497577E-3</v>
          </cell>
          <cell r="AW270">
            <v>0.21419999999999106</v>
          </cell>
          <cell r="AX270">
            <v>35.399000000000001</v>
          </cell>
          <cell r="AY270">
            <v>35.613199999999992</v>
          </cell>
          <cell r="AZ270">
            <v>4.3008510471917649E-3</v>
          </cell>
          <cell r="BA270">
            <v>3.2999999999997698E-2</v>
          </cell>
          <cell r="BB270">
            <v>7.6729000000000003</v>
          </cell>
          <cell r="BC270">
            <v>7.705899999999998</v>
          </cell>
        </row>
        <row r="271">
          <cell r="B271">
            <v>223</v>
          </cell>
          <cell r="C271">
            <v>43</v>
          </cell>
          <cell r="D271">
            <v>6.0210883141683632E-3</v>
          </cell>
          <cell r="E271">
            <v>0.36609722222222196</v>
          </cell>
          <cell r="F271">
            <v>60.802500000000002</v>
          </cell>
          <cell r="G271">
            <v>61.168597222222225</v>
          </cell>
          <cell r="H271">
            <v>8.3868927176808609E-3</v>
          </cell>
          <cell r="I271">
            <v>0.62048999999999843</v>
          </cell>
          <cell r="J271">
            <v>73.9833</v>
          </cell>
          <cell r="K271">
            <v>74.603790000000004</v>
          </cell>
          <cell r="L271">
            <v>1.0831449085644006E-2</v>
          </cell>
          <cell r="M271">
            <v>6.0677777777777735E-3</v>
          </cell>
          <cell r="N271">
            <v>0.56020000000000003</v>
          </cell>
          <cell r="O271">
            <v>0.56626777777777781</v>
          </cell>
          <cell r="P271">
            <v>5.7404767645277974E-3</v>
          </cell>
          <cell r="Q271">
            <v>0.62459888888888793</v>
          </cell>
          <cell r="R271">
            <v>108.8061</v>
          </cell>
          <cell r="S271">
            <v>109.43069888888888</v>
          </cell>
          <cell r="T271">
            <v>9.9953697153958767E-3</v>
          </cell>
          <cell r="U271">
            <v>0.48042944444444596</v>
          </cell>
          <cell r="V271">
            <v>48.065199999999997</v>
          </cell>
          <cell r="W271">
            <v>48.545629444444444</v>
          </cell>
          <cell r="X271">
            <v>4.1811794761066733E-3</v>
          </cell>
          <cell r="Y271">
            <v>0.19170833333333381</v>
          </cell>
          <cell r="Z271">
            <v>45.850299999999997</v>
          </cell>
          <cell r="AA271">
            <v>46.042008333333328</v>
          </cell>
          <cell r="AB271">
            <v>7.20679854853394E-3</v>
          </cell>
          <cell r="AC271">
            <v>0.35773611111111164</v>
          </cell>
          <cell r="AD271">
            <v>49.6387</v>
          </cell>
          <cell r="AE271">
            <v>49.996436111111109</v>
          </cell>
          <cell r="AF271">
            <v>5.9647518469057295E-3</v>
          </cell>
          <cell r="AG271">
            <v>9.8708888888888832E-2</v>
          </cell>
          <cell r="AH271">
            <v>16.5487</v>
          </cell>
          <cell r="AI271">
            <v>16.64740888888889</v>
          </cell>
          <cell r="AJ271">
            <v>4.3655410656449562E-3</v>
          </cell>
          <cell r="AK271">
            <v>6.9414285714287621E-2</v>
          </cell>
          <cell r="AL271">
            <v>15.900499999999999</v>
          </cell>
          <cell r="AM271">
            <v>15.969914285714287</v>
          </cell>
          <cell r="AN271">
            <v>6.7554298731392817E-3</v>
          </cell>
          <cell r="AO271">
            <v>5.1599999999999771E-2</v>
          </cell>
          <cell r="AP271">
            <v>7.6383000000000001</v>
          </cell>
          <cell r="AQ271">
            <v>7.6898999999999997</v>
          </cell>
          <cell r="AR271">
            <v>2.6832042931268481E-3</v>
          </cell>
          <cell r="AS271">
            <v>0.11179999999999915</v>
          </cell>
          <cell r="AT271">
            <v>41.666600000000003</v>
          </cell>
          <cell r="AU271">
            <v>41.778400000000005</v>
          </cell>
          <cell r="AV271">
            <v>6.1950902567866565E-3</v>
          </cell>
          <cell r="AW271">
            <v>0.21929999999999086</v>
          </cell>
          <cell r="AX271">
            <v>35.399000000000001</v>
          </cell>
          <cell r="AY271">
            <v>35.618299999999991</v>
          </cell>
          <cell r="AZ271">
            <v>4.4032522626010926E-3</v>
          </cell>
          <cell r="BA271">
            <v>3.3785714285711928E-2</v>
          </cell>
          <cell r="BB271">
            <v>7.6729000000000003</v>
          </cell>
          <cell r="BC271">
            <v>7.7066857142857126</v>
          </cell>
        </row>
        <row r="272">
          <cell r="B272">
            <v>224</v>
          </cell>
          <cell r="C272">
            <v>44</v>
          </cell>
          <cell r="D272">
            <v>6.1611136238001862E-3</v>
          </cell>
          <cell r="E272">
            <v>0.37461111111111084</v>
          </cell>
          <cell r="F272">
            <v>60.802500000000002</v>
          </cell>
          <cell r="G272">
            <v>61.17711111111111</v>
          </cell>
          <cell r="H272">
            <v>8.5819367343711126E-3</v>
          </cell>
          <cell r="I272">
            <v>0.63491999999999837</v>
          </cell>
          <cell r="J272">
            <v>73.9833</v>
          </cell>
          <cell r="K272">
            <v>74.618219999999994</v>
          </cell>
          <cell r="L272">
            <v>1.1083343250426423E-2</v>
          </cell>
          <cell r="M272">
            <v>6.2088888888888836E-3</v>
          </cell>
          <cell r="N272">
            <v>0.56020000000000003</v>
          </cell>
          <cell r="O272">
            <v>0.56640888888888896</v>
          </cell>
          <cell r="P272">
            <v>5.8739762241679788E-3</v>
          </cell>
          <cell r="Q272">
            <v>0.63912444444444338</v>
          </cell>
          <cell r="R272">
            <v>108.8061</v>
          </cell>
          <cell r="S272">
            <v>109.44522444444445</v>
          </cell>
          <cell r="T272">
            <v>1.0227820173893456E-2</v>
          </cell>
          <cell r="U272">
            <v>0.49160222222222372</v>
          </cell>
          <cell r="V272">
            <v>48.065199999999997</v>
          </cell>
          <cell r="W272">
            <v>48.556802222222224</v>
          </cell>
          <cell r="X272">
            <v>4.2784162081091542E-3</v>
          </cell>
          <cell r="Y272">
            <v>0.19616666666666716</v>
          </cell>
          <cell r="Z272">
            <v>45.850299999999997</v>
          </cell>
          <cell r="AA272">
            <v>46.046466666666667</v>
          </cell>
          <cell r="AB272">
            <v>7.3743985147789147E-3</v>
          </cell>
          <cell r="AC272">
            <v>0.36605555555555613</v>
          </cell>
          <cell r="AD272">
            <v>49.6387</v>
          </cell>
          <cell r="AE272">
            <v>50.004755555555555</v>
          </cell>
          <cell r="AF272">
            <v>6.1034670061360947E-3</v>
          </cell>
          <cell r="AG272">
            <v>0.1010044444444444</v>
          </cell>
          <cell r="AH272">
            <v>16.5487</v>
          </cell>
          <cell r="AI272">
            <v>16.649704444444446</v>
          </cell>
          <cell r="AJ272">
            <v>4.4670652764739081E-3</v>
          </cell>
          <cell r="AK272">
            <v>7.102857142857337E-2</v>
          </cell>
          <cell r="AL272">
            <v>15.900499999999999</v>
          </cell>
          <cell r="AM272">
            <v>15.971528571428573</v>
          </cell>
          <cell r="AN272">
            <v>6.9125328934448466E-3</v>
          </cell>
          <cell r="AO272">
            <v>5.2799999999999771E-2</v>
          </cell>
          <cell r="AP272">
            <v>7.6383000000000001</v>
          </cell>
          <cell r="AQ272">
            <v>7.6910999999999996</v>
          </cell>
          <cell r="AR272">
            <v>2.7456043929670075E-3</v>
          </cell>
          <cell r="AS272">
            <v>0.11439999999999913</v>
          </cell>
          <cell r="AT272">
            <v>41.666600000000003</v>
          </cell>
          <cell r="AU272">
            <v>41.780999999999999</v>
          </cell>
          <cell r="AV272">
            <v>6.3391621232235561E-3</v>
          </cell>
          <cell r="AW272">
            <v>0.22439999999999063</v>
          </cell>
          <cell r="AX272">
            <v>35.399000000000001</v>
          </cell>
          <cell r="AY272">
            <v>35.62339999999999</v>
          </cell>
          <cell r="AZ272">
            <v>4.5056534780104204E-3</v>
          </cell>
          <cell r="BA272">
            <v>3.4571428571426158E-2</v>
          </cell>
          <cell r="BB272">
            <v>7.6729000000000003</v>
          </cell>
          <cell r="BC272">
            <v>7.7074714285714263</v>
          </cell>
        </row>
        <row r="273">
          <cell r="B273">
            <v>225</v>
          </cell>
          <cell r="C273">
            <v>45</v>
          </cell>
          <cell r="D273">
            <v>6.3011389334320083E-3</v>
          </cell>
          <cell r="E273">
            <v>0.38312499999999972</v>
          </cell>
          <cell r="F273">
            <v>60.802500000000002</v>
          </cell>
          <cell r="G273">
            <v>61.185625000000002</v>
          </cell>
          <cell r="H273">
            <v>8.7769807510613661E-3</v>
          </cell>
          <cell r="I273">
            <v>0.64934999999999832</v>
          </cell>
          <cell r="J273">
            <v>73.9833</v>
          </cell>
          <cell r="K273">
            <v>74.632649999999998</v>
          </cell>
          <cell r="L273">
            <v>1.1335237415208841E-2</v>
          </cell>
          <cell r="M273">
            <v>6.3499999999999937E-3</v>
          </cell>
          <cell r="N273">
            <v>0.56020000000000003</v>
          </cell>
          <cell r="O273">
            <v>0.56655</v>
          </cell>
          <cell r="P273">
            <v>6.0074756838081602E-3</v>
          </cell>
          <cell r="Q273">
            <v>0.65364999999999895</v>
          </cell>
          <cell r="R273">
            <v>108.8061</v>
          </cell>
          <cell r="S273">
            <v>109.45975</v>
          </cell>
          <cell r="T273">
            <v>1.0460270632391034E-2</v>
          </cell>
          <cell r="U273">
            <v>0.50277500000000153</v>
          </cell>
          <cell r="V273">
            <v>48.065199999999997</v>
          </cell>
          <cell r="W273">
            <v>48.567974999999997</v>
          </cell>
          <cell r="X273">
            <v>4.3756529401116351E-3</v>
          </cell>
          <cell r="Y273">
            <v>0.2006250000000005</v>
          </cell>
          <cell r="Z273">
            <v>45.850299999999997</v>
          </cell>
          <cell r="AA273">
            <v>46.050924999999999</v>
          </cell>
          <cell r="AB273">
            <v>7.5419984810238903E-3</v>
          </cell>
          <cell r="AC273">
            <v>0.37437500000000057</v>
          </cell>
          <cell r="AD273">
            <v>49.6387</v>
          </cell>
          <cell r="AE273">
            <v>50.013075000000001</v>
          </cell>
          <cell r="AF273">
            <v>6.2421821653664607E-3</v>
          </cell>
          <cell r="AG273">
            <v>0.10329999999999995</v>
          </cell>
          <cell r="AH273">
            <v>16.5487</v>
          </cell>
          <cell r="AI273">
            <v>16.652000000000001</v>
          </cell>
          <cell r="AJ273">
            <v>4.5685894873028609E-3</v>
          </cell>
          <cell r="AK273">
            <v>7.2642857142859132E-2</v>
          </cell>
          <cell r="AL273">
            <v>15.900499999999999</v>
          </cell>
          <cell r="AM273">
            <v>15.973142857142859</v>
          </cell>
          <cell r="AN273">
            <v>7.0696359137504116E-3</v>
          </cell>
          <cell r="AO273">
            <v>5.3999999999999763E-2</v>
          </cell>
          <cell r="AP273">
            <v>7.6383000000000001</v>
          </cell>
          <cell r="AQ273">
            <v>7.6922999999999995</v>
          </cell>
          <cell r="AR273">
            <v>2.8080044928071668E-3</v>
          </cell>
          <cell r="AS273">
            <v>0.1169999999999991</v>
          </cell>
          <cell r="AT273">
            <v>41.666600000000003</v>
          </cell>
          <cell r="AU273">
            <v>41.7836</v>
          </cell>
          <cell r="AV273">
            <v>6.4832339896604549E-3</v>
          </cell>
          <cell r="AW273">
            <v>0.22949999999999043</v>
          </cell>
          <cell r="AX273">
            <v>35.399000000000001</v>
          </cell>
          <cell r="AY273">
            <v>35.628499999999988</v>
          </cell>
          <cell r="AZ273">
            <v>4.6080546934197482E-3</v>
          </cell>
          <cell r="BA273">
            <v>3.5357142857140388E-2</v>
          </cell>
          <cell r="BB273">
            <v>7.6729000000000003</v>
          </cell>
          <cell r="BC273">
            <v>7.7082571428571409</v>
          </cell>
        </row>
        <row r="274">
          <cell r="B274">
            <v>226</v>
          </cell>
          <cell r="C274">
            <v>46</v>
          </cell>
          <cell r="D274">
            <v>6.4411642430638313E-3</v>
          </cell>
          <cell r="E274">
            <v>0.39163888888888859</v>
          </cell>
          <cell r="F274">
            <v>60.802500000000002</v>
          </cell>
          <cell r="G274">
            <v>61.194138888888894</v>
          </cell>
          <cell r="H274">
            <v>8.9720247677516178E-3</v>
          </cell>
          <cell r="I274">
            <v>0.66377999999999826</v>
          </cell>
          <cell r="J274">
            <v>73.9833</v>
          </cell>
          <cell r="K274">
            <v>74.647080000000003</v>
          </cell>
          <cell r="L274">
            <v>1.1587131579991262E-2</v>
          </cell>
          <cell r="M274">
            <v>6.4911111111111055E-3</v>
          </cell>
          <cell r="N274">
            <v>0.56020000000000003</v>
          </cell>
          <cell r="O274">
            <v>0.56669111111111115</v>
          </cell>
          <cell r="P274">
            <v>6.1409751434483417E-3</v>
          </cell>
          <cell r="Q274">
            <v>0.66817555555555452</v>
          </cell>
          <cell r="R274">
            <v>108.8061</v>
          </cell>
          <cell r="S274">
            <v>109.47427555555555</v>
          </cell>
          <cell r="T274">
            <v>1.0692721090888613E-2</v>
          </cell>
          <cell r="U274">
            <v>0.51394777777777934</v>
          </cell>
          <cell r="V274">
            <v>48.065199999999997</v>
          </cell>
          <cell r="W274">
            <v>48.579147777777777</v>
          </cell>
          <cell r="X274">
            <v>4.472889672114116E-3</v>
          </cell>
          <cell r="Y274">
            <v>0.20508333333333384</v>
          </cell>
          <cell r="Z274">
            <v>45.850299999999997</v>
          </cell>
          <cell r="AA274">
            <v>46.055383333333332</v>
          </cell>
          <cell r="AB274">
            <v>7.709598447268865E-3</v>
          </cell>
          <cell r="AC274">
            <v>0.382694444444445</v>
          </cell>
          <cell r="AD274">
            <v>49.6387</v>
          </cell>
          <cell r="AE274">
            <v>50.021394444444446</v>
          </cell>
          <cell r="AF274">
            <v>6.3808973245968259E-3</v>
          </cell>
          <cell r="AG274">
            <v>0.1055955555555555</v>
          </cell>
          <cell r="AH274">
            <v>16.5487</v>
          </cell>
          <cell r="AI274">
            <v>16.654295555555557</v>
          </cell>
          <cell r="AJ274">
            <v>4.6701136981318137E-3</v>
          </cell>
          <cell r="AK274">
            <v>7.4257142857144895E-2</v>
          </cell>
          <cell r="AL274">
            <v>15.900499999999999</v>
          </cell>
          <cell r="AM274">
            <v>15.974757142857143</v>
          </cell>
          <cell r="AN274">
            <v>7.2267389340559757E-3</v>
          </cell>
          <cell r="AO274">
            <v>5.5199999999999756E-2</v>
          </cell>
          <cell r="AP274">
            <v>7.6383000000000001</v>
          </cell>
          <cell r="AQ274">
            <v>7.6935000000000002</v>
          </cell>
          <cell r="AR274">
            <v>2.8704045926473262E-3</v>
          </cell>
          <cell r="AS274">
            <v>0.11959999999999908</v>
          </cell>
          <cell r="AT274">
            <v>41.666600000000003</v>
          </cell>
          <cell r="AU274">
            <v>41.786200000000001</v>
          </cell>
          <cell r="AV274">
            <v>6.6273058560973536E-3</v>
          </cell>
          <cell r="AW274">
            <v>0.23459999999999021</v>
          </cell>
          <cell r="AX274">
            <v>35.399000000000001</v>
          </cell>
          <cell r="AY274">
            <v>35.633599999999994</v>
          </cell>
          <cell r="AZ274">
            <v>4.7104559088290759E-3</v>
          </cell>
          <cell r="BA274">
            <v>3.6142857142854624E-2</v>
          </cell>
          <cell r="BB274">
            <v>7.6729000000000003</v>
          </cell>
          <cell r="BC274">
            <v>7.7090428571428546</v>
          </cell>
        </row>
        <row r="275">
          <cell r="B275">
            <v>227</v>
          </cell>
          <cell r="C275">
            <v>47</v>
          </cell>
          <cell r="D275">
            <v>6.5811895526956534E-3</v>
          </cell>
          <cell r="E275">
            <v>0.40015277777777747</v>
          </cell>
          <cell r="F275">
            <v>60.802500000000002</v>
          </cell>
          <cell r="G275">
            <v>61.202652777777779</v>
          </cell>
          <cell r="H275">
            <v>9.1670687844418713E-3</v>
          </cell>
          <cell r="I275">
            <v>0.6782099999999982</v>
          </cell>
          <cell r="J275">
            <v>73.9833</v>
          </cell>
          <cell r="K275">
            <v>74.661509999999993</v>
          </cell>
          <cell r="L275">
            <v>1.183902574477368E-2</v>
          </cell>
          <cell r="M275">
            <v>6.6322222222222173E-3</v>
          </cell>
          <cell r="N275">
            <v>0.56020000000000003</v>
          </cell>
          <cell r="O275">
            <v>0.56683222222222229</v>
          </cell>
          <cell r="P275">
            <v>6.2744746030885222E-3</v>
          </cell>
          <cell r="Q275">
            <v>0.68270111111110998</v>
          </cell>
          <cell r="R275">
            <v>108.8061</v>
          </cell>
          <cell r="S275">
            <v>109.48880111111112</v>
          </cell>
          <cell r="T275">
            <v>1.092517154938619E-2</v>
          </cell>
          <cell r="U275">
            <v>0.52512055555555714</v>
          </cell>
          <cell r="V275">
            <v>48.065199999999997</v>
          </cell>
          <cell r="W275">
            <v>48.590320555555557</v>
          </cell>
          <cell r="X275">
            <v>4.5701264041165968E-3</v>
          </cell>
          <cell r="Y275">
            <v>0.20954166666666718</v>
          </cell>
          <cell r="Z275">
            <v>45.850299999999997</v>
          </cell>
          <cell r="AA275">
            <v>46.059841666666664</v>
          </cell>
          <cell r="AB275">
            <v>7.8771984135138397E-3</v>
          </cell>
          <cell r="AC275">
            <v>0.39101388888888949</v>
          </cell>
          <cell r="AD275">
            <v>49.6387</v>
          </cell>
          <cell r="AE275">
            <v>50.029713888888892</v>
          </cell>
          <cell r="AF275">
            <v>6.5196124838271929E-3</v>
          </cell>
          <cell r="AG275">
            <v>0.10789111111111106</v>
          </cell>
          <cell r="AH275">
            <v>16.5487</v>
          </cell>
          <cell r="AI275">
            <v>16.656591111111112</v>
          </cell>
          <cell r="AJ275">
            <v>4.7716379089607656E-3</v>
          </cell>
          <cell r="AK275">
            <v>7.5871428571430657E-2</v>
          </cell>
          <cell r="AL275">
            <v>15.900499999999999</v>
          </cell>
          <cell r="AM275">
            <v>15.976371428571429</v>
          </cell>
          <cell r="AN275">
            <v>7.3838419543615407E-3</v>
          </cell>
          <cell r="AO275">
            <v>5.6399999999999749E-2</v>
          </cell>
          <cell r="AP275">
            <v>7.6383000000000001</v>
          </cell>
          <cell r="AQ275">
            <v>7.6947000000000001</v>
          </cell>
          <cell r="AR275">
            <v>2.9328046924874851E-3</v>
          </cell>
          <cell r="AS275">
            <v>0.12219999999999906</v>
          </cell>
          <cell r="AT275">
            <v>41.666600000000003</v>
          </cell>
          <cell r="AU275">
            <v>41.788800000000002</v>
          </cell>
          <cell r="AV275">
            <v>6.7713777225342523E-3</v>
          </cell>
          <cell r="AW275">
            <v>0.23969999999999</v>
          </cell>
          <cell r="AX275">
            <v>35.399000000000001</v>
          </cell>
          <cell r="AY275">
            <v>35.638699999999993</v>
          </cell>
          <cell r="AZ275">
            <v>4.8128571242384037E-3</v>
          </cell>
          <cell r="BA275">
            <v>3.6928571428568854E-2</v>
          </cell>
          <cell r="BB275">
            <v>7.6729000000000003</v>
          </cell>
          <cell r="BC275">
            <v>7.7098285714285693</v>
          </cell>
        </row>
        <row r="276">
          <cell r="B276">
            <v>228</v>
          </cell>
          <cell r="C276">
            <v>48</v>
          </cell>
          <cell r="D276">
            <v>6.7212148623274747E-3</v>
          </cell>
          <cell r="E276">
            <v>0.40866666666666634</v>
          </cell>
          <cell r="F276">
            <v>60.802500000000002</v>
          </cell>
          <cell r="G276">
            <v>61.211166666666671</v>
          </cell>
          <cell r="H276">
            <v>9.362112801132123E-3</v>
          </cell>
          <cell r="I276">
            <v>0.69263999999999826</v>
          </cell>
          <cell r="J276">
            <v>73.9833</v>
          </cell>
          <cell r="K276">
            <v>74.675939999999997</v>
          </cell>
          <cell r="L276">
            <v>1.2090919909556099E-2</v>
          </cell>
          <cell r="M276">
            <v>6.7733333333333274E-3</v>
          </cell>
          <cell r="N276">
            <v>0.56020000000000003</v>
          </cell>
          <cell r="O276">
            <v>0.56697333333333333</v>
          </cell>
          <cell r="P276">
            <v>6.4079740627287027E-3</v>
          </cell>
          <cell r="Q276">
            <v>0.69722666666666555</v>
          </cell>
          <cell r="R276">
            <v>108.8061</v>
          </cell>
          <cell r="S276">
            <v>109.50332666666667</v>
          </cell>
          <cell r="T276">
            <v>1.1157622007883769E-2</v>
          </cell>
          <cell r="U276">
            <v>0.53629333333333495</v>
          </cell>
          <cell r="V276">
            <v>48.065199999999997</v>
          </cell>
          <cell r="W276">
            <v>48.60149333333333</v>
          </cell>
          <cell r="X276">
            <v>4.6673631361190777E-3</v>
          </cell>
          <cell r="Y276">
            <v>0.21400000000000052</v>
          </cell>
          <cell r="Z276">
            <v>45.850299999999997</v>
          </cell>
          <cell r="AA276">
            <v>46.064299999999996</v>
          </cell>
          <cell r="AB276">
            <v>8.044798379758817E-3</v>
          </cell>
          <cell r="AC276">
            <v>0.39933333333333393</v>
          </cell>
          <cell r="AD276">
            <v>49.6387</v>
          </cell>
          <cell r="AE276">
            <v>50.038033333333331</v>
          </cell>
          <cell r="AF276">
            <v>6.6583276430575572E-3</v>
          </cell>
          <cell r="AG276">
            <v>0.11018666666666661</v>
          </cell>
          <cell r="AH276">
            <v>16.5487</v>
          </cell>
          <cell r="AI276">
            <v>16.658886666666668</v>
          </cell>
          <cell r="AJ276">
            <v>4.8731621197897184E-3</v>
          </cell>
          <cell r="AK276">
            <v>7.7485714285716406E-2</v>
          </cell>
          <cell r="AL276">
            <v>15.900499999999999</v>
          </cell>
          <cell r="AM276">
            <v>15.977985714285715</v>
          </cell>
          <cell r="AN276">
            <v>7.5409449746671048E-3</v>
          </cell>
          <cell r="AO276">
            <v>5.7599999999999749E-2</v>
          </cell>
          <cell r="AP276">
            <v>7.6383000000000001</v>
          </cell>
          <cell r="AQ276">
            <v>7.6959</v>
          </cell>
          <cell r="AR276">
            <v>2.9952047923276449E-3</v>
          </cell>
          <cell r="AS276">
            <v>0.12479999999999905</v>
          </cell>
          <cell r="AT276">
            <v>41.666600000000003</v>
          </cell>
          <cell r="AU276">
            <v>41.791400000000003</v>
          </cell>
          <cell r="AV276">
            <v>6.915449588971152E-3</v>
          </cell>
          <cell r="AW276">
            <v>0.24479999999998978</v>
          </cell>
          <cell r="AX276">
            <v>35.399000000000001</v>
          </cell>
          <cell r="AY276">
            <v>35.643799999999992</v>
          </cell>
          <cell r="AZ276">
            <v>4.9152583396477314E-3</v>
          </cell>
          <cell r="BA276">
            <v>3.7714285714283084E-2</v>
          </cell>
          <cell r="BB276">
            <v>7.6729000000000003</v>
          </cell>
          <cell r="BC276">
            <v>7.710614285714283</v>
          </cell>
        </row>
        <row r="277">
          <cell r="B277">
            <v>229</v>
          </cell>
          <cell r="C277">
            <v>49</v>
          </cell>
          <cell r="D277">
            <v>6.8612401719592977E-3</v>
          </cell>
          <cell r="E277">
            <v>0.41718055555555522</v>
          </cell>
          <cell r="F277">
            <v>60.802500000000002</v>
          </cell>
          <cell r="G277">
            <v>61.219680555555556</v>
          </cell>
          <cell r="H277">
            <v>9.5571568178223765E-3</v>
          </cell>
          <cell r="I277">
            <v>0.7070699999999982</v>
          </cell>
          <cell r="J277">
            <v>73.9833</v>
          </cell>
          <cell r="K277">
            <v>74.690370000000001</v>
          </cell>
          <cell r="L277">
            <v>1.2342814074338519E-2</v>
          </cell>
          <cell r="M277">
            <v>6.9144444444444375E-3</v>
          </cell>
          <cell r="N277">
            <v>0.56020000000000003</v>
          </cell>
          <cell r="O277">
            <v>0.56711444444444448</v>
          </cell>
          <cell r="P277">
            <v>6.5414735223688842E-3</v>
          </cell>
          <cell r="Q277">
            <v>0.71175222222222112</v>
          </cell>
          <cell r="R277">
            <v>108.8061</v>
          </cell>
          <cell r="S277">
            <v>109.51785222222222</v>
          </cell>
          <cell r="T277">
            <v>1.139007246638135E-2</v>
          </cell>
          <cell r="U277">
            <v>0.54746611111111276</v>
          </cell>
          <cell r="V277">
            <v>48.065199999999997</v>
          </cell>
          <cell r="W277">
            <v>48.61266611111111</v>
          </cell>
          <cell r="X277">
            <v>4.7645998681215586E-3</v>
          </cell>
          <cell r="Y277">
            <v>0.21845833333333387</v>
          </cell>
          <cell r="Z277">
            <v>45.850299999999997</v>
          </cell>
          <cell r="AA277">
            <v>46.068758333333328</v>
          </cell>
          <cell r="AB277">
            <v>8.2123983460037926E-3</v>
          </cell>
          <cell r="AC277">
            <v>0.40765277777777842</v>
          </cell>
          <cell r="AD277">
            <v>49.6387</v>
          </cell>
          <cell r="AE277">
            <v>50.046352777777777</v>
          </cell>
          <cell r="AF277">
            <v>6.7970428022879241E-3</v>
          </cell>
          <cell r="AG277">
            <v>0.11248222222222216</v>
          </cell>
          <cell r="AH277">
            <v>16.5487</v>
          </cell>
          <cell r="AI277">
            <v>16.661182222222223</v>
          </cell>
          <cell r="AJ277">
            <v>4.9746863306186712E-3</v>
          </cell>
          <cell r="AK277">
            <v>7.9100000000002169E-2</v>
          </cell>
          <cell r="AL277">
            <v>15.900499999999999</v>
          </cell>
          <cell r="AM277">
            <v>15.979600000000001</v>
          </cell>
          <cell r="AN277">
            <v>7.6980479949726706E-3</v>
          </cell>
          <cell r="AO277">
            <v>5.8799999999999741E-2</v>
          </cell>
          <cell r="AP277">
            <v>7.6383000000000001</v>
          </cell>
          <cell r="AQ277">
            <v>7.6970999999999998</v>
          </cell>
          <cell r="AR277">
            <v>3.0576048921678038E-3</v>
          </cell>
          <cell r="AS277">
            <v>0.12739999999999901</v>
          </cell>
          <cell r="AT277">
            <v>41.666600000000003</v>
          </cell>
          <cell r="AU277">
            <v>41.794000000000004</v>
          </cell>
          <cell r="AV277">
            <v>7.0595214554080507E-3</v>
          </cell>
          <cell r="AW277">
            <v>0.24989999999998957</v>
          </cell>
          <cell r="AX277">
            <v>35.399000000000001</v>
          </cell>
          <cell r="AY277">
            <v>35.64889999999999</v>
          </cell>
          <cell r="AZ277">
            <v>5.0176595550570592E-3</v>
          </cell>
          <cell r="BA277">
            <v>3.8499999999997314E-2</v>
          </cell>
          <cell r="BB277">
            <v>7.6729000000000003</v>
          </cell>
          <cell r="BC277">
            <v>7.7113999999999976</v>
          </cell>
        </row>
        <row r="278">
          <cell r="B278">
            <v>230</v>
          </cell>
          <cell r="C278">
            <v>50</v>
          </cell>
          <cell r="D278">
            <v>7.0012654815911199E-3</v>
          </cell>
          <cell r="E278">
            <v>0.42569444444444415</v>
          </cell>
          <cell r="F278">
            <v>60.802500000000002</v>
          </cell>
          <cell r="G278">
            <v>61.228194444444448</v>
          </cell>
          <cell r="H278">
            <v>9.7522008345126299E-3</v>
          </cell>
          <cell r="I278">
            <v>0.72149999999999814</v>
          </cell>
          <cell r="J278">
            <v>73.9833</v>
          </cell>
          <cell r="K278">
            <v>74.704799999999992</v>
          </cell>
          <cell r="L278">
            <v>1.2594708239120936E-2</v>
          </cell>
          <cell r="M278">
            <v>7.0555555555555493E-3</v>
          </cell>
          <cell r="N278">
            <v>0.56020000000000003</v>
          </cell>
          <cell r="O278">
            <v>0.56725555555555562</v>
          </cell>
          <cell r="P278">
            <v>6.6749729820090656E-3</v>
          </cell>
          <cell r="Q278">
            <v>0.72627777777777658</v>
          </cell>
          <cell r="R278">
            <v>108.8061</v>
          </cell>
          <cell r="S278">
            <v>109.53237777777778</v>
          </cell>
          <cell r="T278">
            <v>1.1622522924878927E-2</v>
          </cell>
          <cell r="U278">
            <v>0.55863888888889057</v>
          </cell>
          <cell r="V278">
            <v>48.065199999999997</v>
          </cell>
          <cell r="W278">
            <v>48.623838888888891</v>
          </cell>
          <cell r="X278">
            <v>4.8618366001240386E-3</v>
          </cell>
          <cell r="Y278">
            <v>0.22291666666666721</v>
          </cell>
          <cell r="Z278">
            <v>45.850299999999997</v>
          </cell>
          <cell r="AA278">
            <v>46.073216666666667</v>
          </cell>
          <cell r="AB278">
            <v>8.3799983122487664E-3</v>
          </cell>
          <cell r="AC278">
            <v>0.41597222222222285</v>
          </cell>
          <cell r="AD278">
            <v>49.6387</v>
          </cell>
          <cell r="AE278">
            <v>50.054672222222223</v>
          </cell>
          <cell r="AF278">
            <v>6.9357579615182902E-3</v>
          </cell>
          <cell r="AG278">
            <v>0.11477777777777771</v>
          </cell>
          <cell r="AH278">
            <v>16.5487</v>
          </cell>
          <cell r="AI278">
            <v>16.663477777777778</v>
          </cell>
          <cell r="AJ278">
            <v>5.0762105414476231E-3</v>
          </cell>
          <cell r="AK278">
            <v>8.0714285714287931E-2</v>
          </cell>
          <cell r="AL278">
            <v>15.900499999999999</v>
          </cell>
          <cell r="AM278">
            <v>15.981214285714287</v>
          </cell>
          <cell r="AN278">
            <v>7.8551510152782347E-3</v>
          </cell>
          <cell r="AO278">
            <v>5.9999999999999734E-2</v>
          </cell>
          <cell r="AP278">
            <v>7.6383000000000001</v>
          </cell>
          <cell r="AQ278">
            <v>7.6982999999999997</v>
          </cell>
          <cell r="AR278">
            <v>3.1200049920079632E-3</v>
          </cell>
          <cell r="AS278">
            <v>0.12999999999999901</v>
          </cell>
          <cell r="AT278">
            <v>41.666600000000003</v>
          </cell>
          <cell r="AU278">
            <v>41.796599999999998</v>
          </cell>
          <cell r="AV278">
            <v>7.2035933218449495E-3</v>
          </cell>
          <cell r="AW278">
            <v>0.25499999999998935</v>
          </cell>
          <cell r="AX278">
            <v>35.399000000000001</v>
          </cell>
          <cell r="AY278">
            <v>35.653999999999989</v>
          </cell>
          <cell r="AZ278">
            <v>5.1200607704663869E-3</v>
          </cell>
          <cell r="BA278">
            <v>3.9285714285711544E-2</v>
          </cell>
          <cell r="BB278">
            <v>7.6729000000000003</v>
          </cell>
          <cell r="BC278">
            <v>7.7121857142857122</v>
          </cell>
        </row>
        <row r="279">
          <cell r="B279">
            <v>231</v>
          </cell>
          <cell r="C279">
            <v>51</v>
          </cell>
          <cell r="D279">
            <v>7.1412907912229429E-3</v>
          </cell>
          <cell r="E279">
            <v>0.43420833333333303</v>
          </cell>
          <cell r="F279">
            <v>60.802500000000002</v>
          </cell>
          <cell r="G279">
            <v>61.236708333333333</v>
          </cell>
          <cell r="H279">
            <v>9.9472448512028817E-3</v>
          </cell>
          <cell r="I279">
            <v>0.73592999999999809</v>
          </cell>
          <cell r="J279">
            <v>73.9833</v>
          </cell>
          <cell r="K279">
            <v>74.719229999999996</v>
          </cell>
          <cell r="L279">
            <v>1.2846602403903356E-2</v>
          </cell>
          <cell r="M279">
            <v>7.1966666666666611E-3</v>
          </cell>
          <cell r="N279">
            <v>0.56020000000000003</v>
          </cell>
          <cell r="O279">
            <v>0.56739666666666666</v>
          </cell>
          <cell r="P279">
            <v>6.808472441649247E-3</v>
          </cell>
          <cell r="Q279">
            <v>0.74080333333333215</v>
          </cell>
          <cell r="R279">
            <v>108.8061</v>
          </cell>
          <cell r="S279">
            <v>109.54690333333333</v>
          </cell>
          <cell r="T279">
            <v>1.1854973383376505E-2</v>
          </cell>
          <cell r="U279">
            <v>0.56981166666666838</v>
          </cell>
          <cell r="V279">
            <v>48.065199999999997</v>
          </cell>
          <cell r="W279">
            <v>48.635011666666664</v>
          </cell>
          <cell r="X279">
            <v>4.9590733321265195E-3</v>
          </cell>
          <cell r="Y279">
            <v>0.22737500000000058</v>
          </cell>
          <cell r="Z279">
            <v>45.850299999999997</v>
          </cell>
          <cell r="AA279">
            <v>46.077674999999999</v>
          </cell>
          <cell r="AB279">
            <v>8.547598278493742E-3</v>
          </cell>
          <cell r="AC279">
            <v>0.42429166666666729</v>
          </cell>
          <cell r="AD279">
            <v>49.6387</v>
          </cell>
          <cell r="AE279">
            <v>50.062991666666669</v>
          </cell>
          <cell r="AF279">
            <v>7.0744731207486554E-3</v>
          </cell>
          <cell r="AG279">
            <v>0.11707333333333328</v>
          </cell>
          <cell r="AH279">
            <v>16.5487</v>
          </cell>
          <cell r="AI279">
            <v>16.665773333333334</v>
          </cell>
          <cell r="AJ279">
            <v>5.1777347522765759E-3</v>
          </cell>
          <cell r="AK279">
            <v>8.232857142857368E-2</v>
          </cell>
          <cell r="AL279">
            <v>15.900499999999999</v>
          </cell>
          <cell r="AM279">
            <v>15.982828571428573</v>
          </cell>
          <cell r="AN279">
            <v>8.0122540355837997E-3</v>
          </cell>
          <cell r="AO279">
            <v>6.1199999999999734E-2</v>
          </cell>
          <cell r="AP279">
            <v>7.6383000000000001</v>
          </cell>
          <cell r="AQ279">
            <v>7.6994999999999996</v>
          </cell>
          <cell r="AR279">
            <v>3.1824050918481221E-3</v>
          </cell>
          <cell r="AS279">
            <v>0.132599999999999</v>
          </cell>
          <cell r="AT279">
            <v>41.666600000000003</v>
          </cell>
          <cell r="AU279">
            <v>41.799199999999999</v>
          </cell>
          <cell r="AV279">
            <v>7.3476651882818491E-3</v>
          </cell>
          <cell r="AW279">
            <v>0.26009999999998917</v>
          </cell>
          <cell r="AX279">
            <v>35.399000000000001</v>
          </cell>
          <cell r="AY279">
            <v>35.659099999999988</v>
          </cell>
          <cell r="AZ279">
            <v>5.2224619858757147E-3</v>
          </cell>
          <cell r="BA279">
            <v>4.0071428571425774E-2</v>
          </cell>
          <cell r="BB279">
            <v>7.6729000000000003</v>
          </cell>
          <cell r="BC279">
            <v>7.7129714285714259</v>
          </cell>
        </row>
        <row r="280">
          <cell r="B280">
            <v>232</v>
          </cell>
          <cell r="C280">
            <v>52</v>
          </cell>
          <cell r="D280">
            <v>7.281316100854765E-3</v>
          </cell>
          <cell r="E280">
            <v>0.44272222222222191</v>
          </cell>
          <cell r="F280">
            <v>60.802500000000002</v>
          </cell>
          <cell r="G280">
            <v>61.245222222222225</v>
          </cell>
          <cell r="H280">
            <v>1.0142288867893135E-2</v>
          </cell>
          <cell r="I280">
            <v>0.75035999999999803</v>
          </cell>
          <cell r="J280">
            <v>73.9833</v>
          </cell>
          <cell r="K280">
            <v>74.73366</v>
          </cell>
          <cell r="L280">
            <v>1.3098496568685773E-2</v>
          </cell>
          <cell r="M280">
            <v>7.3377777777777712E-3</v>
          </cell>
          <cell r="N280">
            <v>0.56020000000000003</v>
          </cell>
          <cell r="O280">
            <v>0.56753777777777781</v>
          </cell>
          <cell r="P280">
            <v>6.9419719012894284E-3</v>
          </cell>
          <cell r="Q280">
            <v>0.75532888888888772</v>
          </cell>
          <cell r="R280">
            <v>108.8061</v>
          </cell>
          <cell r="S280">
            <v>109.56142888888888</v>
          </cell>
          <cell r="T280">
            <v>1.2087423841874084E-2</v>
          </cell>
          <cell r="U280">
            <v>0.58098444444444619</v>
          </cell>
          <cell r="V280">
            <v>48.065199999999997</v>
          </cell>
          <cell r="W280">
            <v>48.646184444444444</v>
          </cell>
          <cell r="X280">
            <v>5.0563100641290003E-3</v>
          </cell>
          <cell r="Y280">
            <v>0.23183333333333392</v>
          </cell>
          <cell r="Z280">
            <v>45.850299999999997</v>
          </cell>
          <cell r="AA280">
            <v>46.082133333333331</v>
          </cell>
          <cell r="AB280">
            <v>8.7151982447387175E-3</v>
          </cell>
          <cell r="AC280">
            <v>0.43261111111111178</v>
          </cell>
          <cell r="AD280">
            <v>49.6387</v>
          </cell>
          <cell r="AE280">
            <v>50.071311111111115</v>
          </cell>
          <cell r="AF280">
            <v>7.2131882799790215E-3</v>
          </cell>
          <cell r="AG280">
            <v>0.11936888888888883</v>
          </cell>
          <cell r="AH280">
            <v>16.5487</v>
          </cell>
          <cell r="AI280">
            <v>16.668068888888889</v>
          </cell>
          <cell r="AJ280">
            <v>5.2792589631055278E-3</v>
          </cell>
          <cell r="AK280">
            <v>8.3942857142859442E-2</v>
          </cell>
          <cell r="AL280">
            <v>15.900499999999999</v>
          </cell>
          <cell r="AM280">
            <v>15.984442857142859</v>
          </cell>
          <cell r="AN280">
            <v>8.1693570558893629E-3</v>
          </cell>
          <cell r="AO280">
            <v>6.2399999999999727E-2</v>
          </cell>
          <cell r="AP280">
            <v>7.6383000000000001</v>
          </cell>
          <cell r="AQ280">
            <v>7.7006999999999994</v>
          </cell>
          <cell r="AR280">
            <v>3.2448051916882819E-3</v>
          </cell>
          <cell r="AS280">
            <v>0.13519999999999896</v>
          </cell>
          <cell r="AT280">
            <v>41.666600000000003</v>
          </cell>
          <cell r="AU280">
            <v>41.8018</v>
          </cell>
          <cell r="AV280">
            <v>7.4917370547187478E-3</v>
          </cell>
          <cell r="AW280">
            <v>0.26519999999998894</v>
          </cell>
          <cell r="AX280">
            <v>35.399000000000001</v>
          </cell>
          <cell r="AY280">
            <v>35.664199999999987</v>
          </cell>
          <cell r="AZ280">
            <v>5.3248632012850424E-3</v>
          </cell>
          <cell r="BA280">
            <v>4.0857142857140004E-2</v>
          </cell>
          <cell r="BB280">
            <v>7.6729000000000003</v>
          </cell>
          <cell r="BC280">
            <v>7.7137571428571405</v>
          </cell>
        </row>
        <row r="281">
          <cell r="B281">
            <v>233</v>
          </cell>
          <cell r="C281">
            <v>53</v>
          </cell>
          <cell r="D281">
            <v>7.421341410486588E-3</v>
          </cell>
          <cell r="E281">
            <v>0.45123611111111078</v>
          </cell>
          <cell r="F281">
            <v>60.802500000000002</v>
          </cell>
          <cell r="G281">
            <v>61.25373611111111</v>
          </cell>
          <cell r="H281">
            <v>1.0337332884583387E-2</v>
          </cell>
          <cell r="I281">
            <v>0.76478999999999797</v>
          </cell>
          <cell r="J281">
            <v>73.9833</v>
          </cell>
          <cell r="K281">
            <v>74.748090000000005</v>
          </cell>
          <cell r="L281">
            <v>1.3350390733468193E-2</v>
          </cell>
          <cell r="M281">
            <v>7.4788888888888821E-3</v>
          </cell>
          <cell r="N281">
            <v>0.56020000000000003</v>
          </cell>
          <cell r="O281">
            <v>0.56767888888888896</v>
          </cell>
          <cell r="P281">
            <v>7.0754713609296098E-3</v>
          </cell>
          <cell r="Q281">
            <v>0.76985444444444318</v>
          </cell>
          <cell r="R281">
            <v>108.8061</v>
          </cell>
          <cell r="S281">
            <v>109.57595444444445</v>
          </cell>
          <cell r="T281">
            <v>1.2319874300371661E-2</v>
          </cell>
          <cell r="U281">
            <v>0.592157222222224</v>
          </cell>
          <cell r="V281">
            <v>48.065199999999997</v>
          </cell>
          <cell r="W281">
            <v>48.657357222222224</v>
          </cell>
          <cell r="X281">
            <v>5.1535467961314812E-3</v>
          </cell>
          <cell r="Y281">
            <v>0.23629166666666726</v>
          </cell>
          <cell r="Z281">
            <v>45.850299999999997</v>
          </cell>
          <cell r="AA281">
            <v>46.086591666666664</v>
          </cell>
          <cell r="AB281">
            <v>8.8827982109836931E-3</v>
          </cell>
          <cell r="AC281">
            <v>0.44093055555555621</v>
          </cell>
          <cell r="AD281">
            <v>49.6387</v>
          </cell>
          <cell r="AE281">
            <v>50.079630555555553</v>
          </cell>
          <cell r="AF281">
            <v>7.3519034392093867E-3</v>
          </cell>
          <cell r="AG281">
            <v>0.12166444444444438</v>
          </cell>
          <cell r="AH281">
            <v>16.5487</v>
          </cell>
          <cell r="AI281">
            <v>16.670364444444445</v>
          </cell>
          <cell r="AJ281">
            <v>5.3807831739344806E-3</v>
          </cell>
          <cell r="AK281">
            <v>8.5557142857145205E-2</v>
          </cell>
          <cell r="AL281">
            <v>15.900499999999999</v>
          </cell>
          <cell r="AM281">
            <v>15.986057142857144</v>
          </cell>
          <cell r="AN281">
            <v>8.3264600761949296E-3</v>
          </cell>
          <cell r="AO281">
            <v>6.3599999999999726E-2</v>
          </cell>
          <cell r="AP281">
            <v>7.6383000000000001</v>
          </cell>
          <cell r="AQ281">
            <v>7.7019000000000002</v>
          </cell>
          <cell r="AR281">
            <v>3.3072052915284408E-3</v>
          </cell>
          <cell r="AS281">
            <v>0.13779999999999895</v>
          </cell>
          <cell r="AT281">
            <v>41.666600000000003</v>
          </cell>
          <cell r="AU281">
            <v>41.804400000000001</v>
          </cell>
          <cell r="AV281">
            <v>7.6358089211556466E-3</v>
          </cell>
          <cell r="AW281">
            <v>0.27029999999998872</v>
          </cell>
          <cell r="AX281">
            <v>35.399000000000001</v>
          </cell>
          <cell r="AY281">
            <v>35.669299999999993</v>
          </cell>
          <cell r="AZ281">
            <v>5.4272644166943702E-3</v>
          </cell>
          <cell r="BA281">
            <v>4.1642857142854241E-2</v>
          </cell>
          <cell r="BB281">
            <v>7.6729000000000003</v>
          </cell>
          <cell r="BC281">
            <v>7.7145428571428543</v>
          </cell>
        </row>
        <row r="282">
          <cell r="B282">
            <v>234</v>
          </cell>
          <cell r="C282">
            <v>54</v>
          </cell>
          <cell r="D282">
            <v>7.5613667201184093E-3</v>
          </cell>
          <cell r="E282">
            <v>0.45974999999999966</v>
          </cell>
          <cell r="F282">
            <v>60.802500000000002</v>
          </cell>
          <cell r="G282">
            <v>61.262250000000002</v>
          </cell>
          <cell r="H282">
            <v>1.053237690127364E-2</v>
          </cell>
          <cell r="I282">
            <v>0.77921999999999803</v>
          </cell>
          <cell r="J282">
            <v>73.9833</v>
          </cell>
          <cell r="K282">
            <v>74.762519999999995</v>
          </cell>
          <cell r="L282">
            <v>1.3602284898250612E-2</v>
          </cell>
          <cell r="M282">
            <v>7.6199999999999931E-3</v>
          </cell>
          <cell r="N282">
            <v>0.56020000000000003</v>
          </cell>
          <cell r="O282">
            <v>0.56781999999999999</v>
          </cell>
          <cell r="P282">
            <v>7.2089708205697912E-3</v>
          </cell>
          <cell r="Q282">
            <v>0.78437999999999874</v>
          </cell>
          <cell r="R282">
            <v>108.8061</v>
          </cell>
          <cell r="S282">
            <v>109.59048</v>
          </cell>
          <cell r="T282">
            <v>1.2552324758869242E-2</v>
          </cell>
          <cell r="U282">
            <v>0.60333000000000181</v>
          </cell>
          <cell r="V282">
            <v>48.065199999999997</v>
          </cell>
          <cell r="W282">
            <v>48.668529999999997</v>
          </cell>
          <cell r="X282">
            <v>5.2507835281339621E-3</v>
          </cell>
          <cell r="Y282">
            <v>0.2407500000000006</v>
          </cell>
          <cell r="Z282">
            <v>45.850299999999997</v>
          </cell>
          <cell r="AA282">
            <v>46.091049999999996</v>
          </cell>
          <cell r="AB282">
            <v>9.0503981772286669E-3</v>
          </cell>
          <cell r="AC282">
            <v>0.4492500000000007</v>
          </cell>
          <cell r="AD282">
            <v>49.6387</v>
          </cell>
          <cell r="AE282">
            <v>50.087949999999999</v>
          </cell>
          <cell r="AF282">
            <v>7.4906185984397527E-3</v>
          </cell>
          <cell r="AG282">
            <v>0.12395999999999993</v>
          </cell>
          <cell r="AH282">
            <v>16.5487</v>
          </cell>
          <cell r="AI282">
            <v>16.67266</v>
          </cell>
          <cell r="AJ282">
            <v>5.4823073847634334E-3</v>
          </cell>
          <cell r="AK282">
            <v>8.7171428571430967E-2</v>
          </cell>
          <cell r="AL282">
            <v>15.900499999999999</v>
          </cell>
          <cell r="AM282">
            <v>15.98767142857143</v>
          </cell>
          <cell r="AN282">
            <v>8.4835630965004929E-3</v>
          </cell>
          <cell r="AO282">
            <v>6.4799999999999719E-2</v>
          </cell>
          <cell r="AP282">
            <v>7.6383000000000001</v>
          </cell>
          <cell r="AQ282">
            <v>7.7031000000000001</v>
          </cell>
          <cell r="AR282">
            <v>3.3696053913686002E-3</v>
          </cell>
          <cell r="AS282">
            <v>0.14039999999999891</v>
          </cell>
          <cell r="AT282">
            <v>41.666600000000003</v>
          </cell>
          <cell r="AU282">
            <v>41.807000000000002</v>
          </cell>
          <cell r="AV282">
            <v>7.7798807875925453E-3</v>
          </cell>
          <cell r="AW282">
            <v>0.27539999999998849</v>
          </cell>
          <cell r="AX282">
            <v>35.399000000000001</v>
          </cell>
          <cell r="AY282">
            <v>35.674399999999991</v>
          </cell>
          <cell r="AZ282">
            <v>5.529665632103698E-3</v>
          </cell>
          <cell r="BA282">
            <v>4.2428571428568471E-2</v>
          </cell>
          <cell r="BB282">
            <v>7.6729000000000003</v>
          </cell>
          <cell r="BC282">
            <v>7.7153285714285689</v>
          </cell>
        </row>
        <row r="283">
          <cell r="B283">
            <v>235</v>
          </cell>
          <cell r="C283">
            <v>55</v>
          </cell>
          <cell r="D283">
            <v>7.7013920297502323E-3</v>
          </cell>
          <cell r="E283">
            <v>0.46826388888888854</v>
          </cell>
          <cell r="F283">
            <v>60.802500000000002</v>
          </cell>
          <cell r="G283">
            <v>61.270763888888894</v>
          </cell>
          <cell r="H283">
            <v>1.0727420917963892E-2</v>
          </cell>
          <cell r="I283">
            <v>0.79364999999999797</v>
          </cell>
          <cell r="J283">
            <v>73.9833</v>
          </cell>
          <cell r="K283">
            <v>74.776949999999999</v>
          </cell>
          <cell r="L283">
            <v>1.385417906303303E-2</v>
          </cell>
          <cell r="M283">
            <v>7.7611111111111049E-3</v>
          </cell>
          <cell r="N283">
            <v>0.56020000000000003</v>
          </cell>
          <cell r="O283">
            <v>0.56796111111111114</v>
          </cell>
          <cell r="P283">
            <v>7.3424702802099718E-3</v>
          </cell>
          <cell r="Q283">
            <v>0.79890555555555431</v>
          </cell>
          <cell r="R283">
            <v>108.8061</v>
          </cell>
          <cell r="S283">
            <v>109.60500555555555</v>
          </cell>
          <cell r="T283">
            <v>1.2784775217366821E-2</v>
          </cell>
          <cell r="U283">
            <v>0.61450277777777973</v>
          </cell>
          <cell r="V283">
            <v>48.065199999999997</v>
          </cell>
          <cell r="W283">
            <v>48.679702777777777</v>
          </cell>
          <cell r="X283">
            <v>5.348020260136443E-3</v>
          </cell>
          <cell r="Y283">
            <v>0.24520833333333394</v>
          </cell>
          <cell r="Z283">
            <v>45.850299999999997</v>
          </cell>
          <cell r="AA283">
            <v>46.095508333333328</v>
          </cell>
          <cell r="AB283">
            <v>9.2179981434736442E-3</v>
          </cell>
          <cell r="AC283">
            <v>0.45756944444444514</v>
          </cell>
          <cell r="AD283">
            <v>49.6387</v>
          </cell>
          <cell r="AE283">
            <v>50.096269444444445</v>
          </cell>
          <cell r="AF283">
            <v>7.6293337576701188E-3</v>
          </cell>
          <cell r="AG283">
            <v>0.12625555555555548</v>
          </cell>
          <cell r="AH283">
            <v>16.5487</v>
          </cell>
          <cell r="AI283">
            <v>16.674955555555556</v>
          </cell>
          <cell r="AJ283">
            <v>5.5838315955923853E-3</v>
          </cell>
          <cell r="AK283">
            <v>8.8785714285716716E-2</v>
          </cell>
          <cell r="AL283">
            <v>15.900499999999999</v>
          </cell>
          <cell r="AM283">
            <v>15.989285714285716</v>
          </cell>
          <cell r="AN283">
            <v>8.6406661168060579E-3</v>
          </cell>
          <cell r="AO283">
            <v>6.5999999999999712E-2</v>
          </cell>
          <cell r="AP283">
            <v>7.6383000000000001</v>
          </cell>
          <cell r="AQ283">
            <v>7.7042999999999999</v>
          </cell>
          <cell r="AR283">
            <v>3.4320054912087591E-3</v>
          </cell>
          <cell r="AS283">
            <v>0.14299999999999891</v>
          </cell>
          <cell r="AT283">
            <v>41.666600000000003</v>
          </cell>
          <cell r="AU283">
            <v>41.809600000000003</v>
          </cell>
          <cell r="AV283">
            <v>7.9239526540294449E-3</v>
          </cell>
          <cell r="AW283">
            <v>0.28049999999998831</v>
          </cell>
          <cell r="AX283">
            <v>35.399000000000001</v>
          </cell>
          <cell r="AY283">
            <v>35.67949999999999</v>
          </cell>
          <cell r="AZ283">
            <v>5.6320668475130257E-3</v>
          </cell>
          <cell r="BA283">
            <v>4.3214285714282701E-2</v>
          </cell>
          <cell r="BB283">
            <v>7.6729000000000003</v>
          </cell>
          <cell r="BC283">
            <v>7.7161142857142826</v>
          </cell>
        </row>
        <row r="284">
          <cell r="B284">
            <v>236</v>
          </cell>
          <cell r="C284">
            <v>56</v>
          </cell>
          <cell r="D284">
            <v>7.8414173393820553E-3</v>
          </cell>
          <cell r="E284">
            <v>0.47677777777777741</v>
          </cell>
          <cell r="F284">
            <v>60.802500000000002</v>
          </cell>
          <cell r="G284">
            <v>61.279277777777779</v>
          </cell>
          <cell r="H284">
            <v>1.0922464934654144E-2</v>
          </cell>
          <cell r="I284">
            <v>0.80807999999999791</v>
          </cell>
          <cell r="J284">
            <v>73.9833</v>
          </cell>
          <cell r="K284">
            <v>74.791380000000004</v>
          </cell>
          <cell r="L284">
            <v>1.4106073227815449E-2</v>
          </cell>
          <cell r="M284">
            <v>7.902222222222215E-3</v>
          </cell>
          <cell r="N284">
            <v>0.56020000000000003</v>
          </cell>
          <cell r="O284">
            <v>0.56810222222222229</v>
          </cell>
          <cell r="P284">
            <v>7.4759697398501532E-3</v>
          </cell>
          <cell r="Q284">
            <v>0.81343111111110977</v>
          </cell>
          <cell r="R284">
            <v>108.8061</v>
          </cell>
          <cell r="S284">
            <v>109.61953111111112</v>
          </cell>
          <cell r="T284">
            <v>1.3017225675864398E-2</v>
          </cell>
          <cell r="U284">
            <v>0.62567555555555743</v>
          </cell>
          <cell r="V284">
            <v>48.065199999999997</v>
          </cell>
          <cell r="W284">
            <v>48.690875555555557</v>
          </cell>
          <cell r="X284">
            <v>5.4452569921389238E-3</v>
          </cell>
          <cell r="Y284">
            <v>0.24966666666666729</v>
          </cell>
          <cell r="Z284">
            <v>45.850299999999997</v>
          </cell>
          <cell r="AA284">
            <v>46.099966666666667</v>
          </cell>
          <cell r="AB284">
            <v>9.3855981097186198E-3</v>
          </cell>
          <cell r="AC284">
            <v>0.46588888888888957</v>
          </cell>
          <cell r="AD284">
            <v>49.6387</v>
          </cell>
          <cell r="AE284">
            <v>50.104588888888891</v>
          </cell>
          <cell r="AF284">
            <v>7.768048916900484E-3</v>
          </cell>
          <cell r="AG284">
            <v>0.12855111111111103</v>
          </cell>
          <cell r="AH284">
            <v>16.5487</v>
          </cell>
          <cell r="AI284">
            <v>16.677251111111111</v>
          </cell>
          <cell r="AJ284">
            <v>5.6853558064213381E-3</v>
          </cell>
          <cell r="AK284">
            <v>9.0400000000002478E-2</v>
          </cell>
          <cell r="AL284">
            <v>15.900499999999999</v>
          </cell>
          <cell r="AM284">
            <v>15.990900000000002</v>
          </cell>
          <cell r="AN284">
            <v>8.7977691371116228E-3</v>
          </cell>
          <cell r="AO284">
            <v>6.7199999999999704E-2</v>
          </cell>
          <cell r="AP284">
            <v>7.6383000000000001</v>
          </cell>
          <cell r="AQ284">
            <v>7.7054999999999998</v>
          </cell>
          <cell r="AR284">
            <v>3.4944055910489189E-3</v>
          </cell>
          <cell r="AS284">
            <v>0.1455999999999989</v>
          </cell>
          <cell r="AT284">
            <v>41.666600000000003</v>
          </cell>
          <cell r="AU284">
            <v>41.812200000000004</v>
          </cell>
          <cell r="AV284">
            <v>8.0680245204663437E-3</v>
          </cell>
          <cell r="AW284">
            <v>0.28559999999998809</v>
          </cell>
          <cell r="AX284">
            <v>35.399000000000001</v>
          </cell>
          <cell r="AY284">
            <v>35.684599999999989</v>
          </cell>
          <cell r="AZ284">
            <v>5.7344680629223535E-3</v>
          </cell>
          <cell r="BA284">
            <v>4.399999999999693E-2</v>
          </cell>
          <cell r="BB284">
            <v>7.6729000000000003</v>
          </cell>
          <cell r="BC284">
            <v>7.7168999999999972</v>
          </cell>
        </row>
        <row r="285">
          <cell r="B285">
            <v>237</v>
          </cell>
          <cell r="C285">
            <v>57</v>
          </cell>
          <cell r="D285">
            <v>7.9814426490138774E-3</v>
          </cell>
          <cell r="E285">
            <v>0.48529166666666629</v>
          </cell>
          <cell r="F285">
            <v>60.802500000000002</v>
          </cell>
          <cell r="G285">
            <v>61.287791666666671</v>
          </cell>
          <cell r="H285">
            <v>1.1117508951344397E-2</v>
          </cell>
          <cell r="I285">
            <v>0.82250999999999785</v>
          </cell>
          <cell r="J285">
            <v>73.9833</v>
          </cell>
          <cell r="K285">
            <v>74.805809999999994</v>
          </cell>
          <cell r="L285">
            <v>1.4357967392597868E-2</v>
          </cell>
          <cell r="M285">
            <v>8.043333333333326E-3</v>
          </cell>
          <cell r="N285">
            <v>0.56020000000000003</v>
          </cell>
          <cell r="O285">
            <v>0.56824333333333332</v>
          </cell>
          <cell r="P285">
            <v>7.6094691994903346E-3</v>
          </cell>
          <cell r="Q285">
            <v>0.82795666666666534</v>
          </cell>
          <cell r="R285">
            <v>108.8061</v>
          </cell>
          <cell r="S285">
            <v>109.63405666666667</v>
          </cell>
          <cell r="T285">
            <v>1.3249676134361978E-2</v>
          </cell>
          <cell r="U285">
            <v>0.63684833333333524</v>
          </cell>
          <cell r="V285">
            <v>48.065199999999997</v>
          </cell>
          <cell r="W285">
            <v>48.70204833333333</v>
          </cell>
          <cell r="X285">
            <v>5.5424937241414047E-3</v>
          </cell>
          <cell r="Y285">
            <v>0.25412500000000066</v>
          </cell>
          <cell r="Z285">
            <v>45.850299999999997</v>
          </cell>
          <cell r="AA285">
            <v>46.104424999999999</v>
          </cell>
          <cell r="AB285">
            <v>9.5531980759635936E-3</v>
          </cell>
          <cell r="AC285">
            <v>0.47420833333333406</v>
          </cell>
          <cell r="AD285">
            <v>49.6387</v>
          </cell>
          <cell r="AE285">
            <v>50.112908333333337</v>
          </cell>
          <cell r="AF285">
            <v>7.90676407613085E-3</v>
          </cell>
          <cell r="AG285">
            <v>0.13084666666666661</v>
          </cell>
          <cell r="AH285">
            <v>16.5487</v>
          </cell>
          <cell r="AI285">
            <v>16.679546666666667</v>
          </cell>
          <cell r="AJ285">
            <v>5.7868800172502909E-3</v>
          </cell>
          <cell r="AK285">
            <v>9.2014285714288241E-2</v>
          </cell>
          <cell r="AL285">
            <v>15.900499999999999</v>
          </cell>
          <cell r="AM285">
            <v>15.992514285714288</v>
          </cell>
          <cell r="AN285">
            <v>8.9548721574171878E-3</v>
          </cell>
          <cell r="AO285">
            <v>6.8399999999999697E-2</v>
          </cell>
          <cell r="AP285">
            <v>7.6383000000000001</v>
          </cell>
          <cell r="AQ285">
            <v>7.7066999999999997</v>
          </cell>
          <cell r="AR285">
            <v>3.5568056908890778E-3</v>
          </cell>
          <cell r="AS285">
            <v>0.14819999999999886</v>
          </cell>
          <cell r="AT285">
            <v>41.666600000000003</v>
          </cell>
          <cell r="AU285">
            <v>41.814799999999998</v>
          </cell>
          <cell r="AV285">
            <v>8.2120963869032424E-3</v>
          </cell>
          <cell r="AW285">
            <v>0.29069999999998786</v>
          </cell>
          <cell r="AX285">
            <v>35.399000000000001</v>
          </cell>
          <cell r="AY285">
            <v>35.689699999999988</v>
          </cell>
          <cell r="AZ285">
            <v>5.8368692783316812E-3</v>
          </cell>
          <cell r="BA285">
            <v>4.478571428571116E-2</v>
          </cell>
          <cell r="BB285">
            <v>7.6729000000000003</v>
          </cell>
          <cell r="BC285">
            <v>7.7176857142857118</v>
          </cell>
        </row>
        <row r="286">
          <cell r="B286">
            <v>238</v>
          </cell>
          <cell r="C286">
            <v>58</v>
          </cell>
          <cell r="D286">
            <v>8.1214679586456996E-3</v>
          </cell>
          <cell r="E286">
            <v>0.49380555555555516</v>
          </cell>
          <cell r="F286">
            <v>60.802500000000002</v>
          </cell>
          <cell r="G286">
            <v>61.296305555555556</v>
          </cell>
          <cell r="H286">
            <v>1.1312552968034649E-2</v>
          </cell>
          <cell r="I286">
            <v>0.8369399999999978</v>
          </cell>
          <cell r="J286">
            <v>73.9833</v>
          </cell>
          <cell r="K286">
            <v>74.820239999999998</v>
          </cell>
          <cell r="L286">
            <v>1.4609861557380286E-2</v>
          </cell>
          <cell r="M286">
            <v>8.1844444444444369E-3</v>
          </cell>
          <cell r="N286">
            <v>0.56020000000000003</v>
          </cell>
          <cell r="O286">
            <v>0.56838444444444447</v>
          </cell>
          <cell r="P286">
            <v>7.742968659130516E-3</v>
          </cell>
          <cell r="Q286">
            <v>0.84248222222222091</v>
          </cell>
          <cell r="R286">
            <v>108.8061</v>
          </cell>
          <cell r="S286">
            <v>109.64858222222222</v>
          </cell>
          <cell r="T286">
            <v>1.3482126592859554E-2</v>
          </cell>
          <cell r="U286">
            <v>0.64802111111111305</v>
          </cell>
          <cell r="V286">
            <v>48.065199999999997</v>
          </cell>
          <cell r="W286">
            <v>48.71322111111111</v>
          </cell>
          <cell r="X286">
            <v>5.6397304561438856E-3</v>
          </cell>
          <cell r="Y286">
            <v>0.258583333333334</v>
          </cell>
          <cell r="Z286">
            <v>45.850299999999997</v>
          </cell>
          <cell r="AA286">
            <v>46.108883333333331</v>
          </cell>
          <cell r="AB286">
            <v>9.7207980422085692E-3</v>
          </cell>
          <cell r="AC286">
            <v>0.4825277777777785</v>
          </cell>
          <cell r="AD286">
            <v>49.6387</v>
          </cell>
          <cell r="AE286">
            <v>50.121227777777776</v>
          </cell>
          <cell r="AF286">
            <v>8.0454792353612161E-3</v>
          </cell>
          <cell r="AG286">
            <v>0.13314222222222216</v>
          </cell>
          <cell r="AH286">
            <v>16.5487</v>
          </cell>
          <cell r="AI286">
            <v>16.681842222222222</v>
          </cell>
          <cell r="AJ286">
            <v>5.8884042280792429E-3</v>
          </cell>
          <cell r="AK286">
            <v>9.362857142857399E-2</v>
          </cell>
          <cell r="AL286">
            <v>15.900499999999999</v>
          </cell>
          <cell r="AM286">
            <v>15.994128571428574</v>
          </cell>
          <cell r="AN286">
            <v>9.111975177722751E-3</v>
          </cell>
          <cell r="AO286">
            <v>6.959999999999969E-2</v>
          </cell>
          <cell r="AP286">
            <v>7.6383000000000001</v>
          </cell>
          <cell r="AQ286">
            <v>7.7078999999999995</v>
          </cell>
          <cell r="AR286">
            <v>3.6192057907292372E-3</v>
          </cell>
          <cell r="AS286">
            <v>0.15079999999999885</v>
          </cell>
          <cell r="AT286">
            <v>41.666600000000003</v>
          </cell>
          <cell r="AU286">
            <v>41.817399999999999</v>
          </cell>
          <cell r="AV286">
            <v>8.3561682533401412E-3</v>
          </cell>
          <cell r="AW286">
            <v>0.29579999999998768</v>
          </cell>
          <cell r="AX286">
            <v>35.399000000000001</v>
          </cell>
          <cell r="AY286">
            <v>35.694799999999987</v>
          </cell>
          <cell r="AZ286">
            <v>5.939270493741009E-3</v>
          </cell>
          <cell r="BA286">
            <v>4.557142857142539E-2</v>
          </cell>
          <cell r="BB286">
            <v>7.6729000000000003</v>
          </cell>
          <cell r="BC286">
            <v>7.7184714285714255</v>
          </cell>
        </row>
        <row r="287">
          <cell r="B287">
            <v>239</v>
          </cell>
          <cell r="C287">
            <v>59</v>
          </cell>
          <cell r="D287">
            <v>8.2614932682775217E-3</v>
          </cell>
          <cell r="E287">
            <v>0.5023194444444441</v>
          </cell>
          <cell r="F287">
            <v>60.802500000000002</v>
          </cell>
          <cell r="G287">
            <v>61.304819444444448</v>
          </cell>
          <cell r="H287">
            <v>1.1507596984724902E-2</v>
          </cell>
          <cell r="I287">
            <v>0.85136999999999774</v>
          </cell>
          <cell r="J287">
            <v>73.9833</v>
          </cell>
          <cell r="K287">
            <v>74.834670000000003</v>
          </cell>
          <cell r="L287">
            <v>1.4861755722162705E-2</v>
          </cell>
          <cell r="M287">
            <v>8.3255555555555496E-3</v>
          </cell>
          <cell r="N287">
            <v>0.56020000000000003</v>
          </cell>
          <cell r="O287">
            <v>0.56852555555555562</v>
          </cell>
          <cell r="P287">
            <v>7.8764681187706975E-3</v>
          </cell>
          <cell r="Q287">
            <v>0.85700777777777637</v>
          </cell>
          <cell r="R287">
            <v>108.8061</v>
          </cell>
          <cell r="S287">
            <v>109.66310777777778</v>
          </cell>
          <cell r="T287">
            <v>1.3714577051357134E-2</v>
          </cell>
          <cell r="U287">
            <v>0.65919388888889097</v>
          </cell>
          <cell r="V287">
            <v>48.065199999999997</v>
          </cell>
          <cell r="W287">
            <v>48.724393888888891</v>
          </cell>
          <cell r="X287">
            <v>5.7369671881463656E-3</v>
          </cell>
          <cell r="Y287">
            <v>0.26304166666666734</v>
          </cell>
          <cell r="Z287">
            <v>45.850299999999997</v>
          </cell>
          <cell r="AA287">
            <v>46.113341666666663</v>
          </cell>
          <cell r="AB287">
            <v>9.8883980084535448E-3</v>
          </cell>
          <cell r="AC287">
            <v>0.49084722222222299</v>
          </cell>
          <cell r="AD287">
            <v>49.6387</v>
          </cell>
          <cell r="AE287">
            <v>50.129547222222222</v>
          </cell>
          <cell r="AF287">
            <v>8.1841943945915822E-3</v>
          </cell>
          <cell r="AG287">
            <v>0.13543777777777771</v>
          </cell>
          <cell r="AH287">
            <v>16.5487</v>
          </cell>
          <cell r="AI287">
            <v>16.684137777777778</v>
          </cell>
          <cell r="AJ287">
            <v>5.9899284389081956E-3</v>
          </cell>
          <cell r="AK287">
            <v>9.5242857142859752E-2</v>
          </cell>
          <cell r="AL287">
            <v>15.900499999999999</v>
          </cell>
          <cell r="AM287">
            <v>15.99574285714286</v>
          </cell>
          <cell r="AN287">
            <v>9.269078198028316E-3</v>
          </cell>
          <cell r="AO287">
            <v>7.0799999999999683E-2</v>
          </cell>
          <cell r="AP287">
            <v>7.6383000000000001</v>
          </cell>
          <cell r="AQ287">
            <v>7.7090999999999994</v>
          </cell>
          <cell r="AR287">
            <v>3.6816058905693966E-3</v>
          </cell>
          <cell r="AS287">
            <v>0.15339999999999882</v>
          </cell>
          <cell r="AT287">
            <v>41.666600000000003</v>
          </cell>
          <cell r="AU287">
            <v>41.82</v>
          </cell>
          <cell r="AV287">
            <v>8.5002401197770399E-3</v>
          </cell>
          <cell r="AW287">
            <v>0.30089999999998746</v>
          </cell>
          <cell r="AX287">
            <v>35.399000000000001</v>
          </cell>
          <cell r="AY287">
            <v>35.699899999999985</v>
          </cell>
          <cell r="AZ287">
            <v>6.0416717091503367E-3</v>
          </cell>
          <cell r="BA287">
            <v>4.635714285713962E-2</v>
          </cell>
          <cell r="BB287">
            <v>7.6729000000000003</v>
          </cell>
          <cell r="BC287">
            <v>7.7192571428571402</v>
          </cell>
        </row>
        <row r="288">
          <cell r="B288">
            <v>240</v>
          </cell>
          <cell r="C288">
            <v>60</v>
          </cell>
          <cell r="D288">
            <v>8.4015185779093438E-3</v>
          </cell>
          <cell r="E288">
            <v>0.51083333333333292</v>
          </cell>
          <cell r="F288">
            <v>60.802500000000002</v>
          </cell>
          <cell r="G288">
            <v>61.313333333333333</v>
          </cell>
          <cell r="H288">
            <v>1.1702641001415154E-2</v>
          </cell>
          <cell r="I288">
            <v>0.86579999999999779</v>
          </cell>
          <cell r="J288">
            <v>73.9833</v>
          </cell>
          <cell r="K288">
            <v>74.849099999999993</v>
          </cell>
          <cell r="L288">
            <v>1.5113649886945125E-2</v>
          </cell>
          <cell r="M288">
            <v>8.4666666666666588E-3</v>
          </cell>
          <cell r="N288">
            <v>0.56020000000000003</v>
          </cell>
          <cell r="O288">
            <v>0.56866666666666665</v>
          </cell>
          <cell r="P288">
            <v>8.0099675784108797E-3</v>
          </cell>
          <cell r="Q288">
            <v>0.87153333333333194</v>
          </cell>
          <cell r="R288">
            <v>108.8061</v>
          </cell>
          <cell r="S288">
            <v>109.67763333333333</v>
          </cell>
          <cell r="T288">
            <v>1.3947027509854713E-2</v>
          </cell>
          <cell r="U288">
            <v>0.67036666666666866</v>
          </cell>
          <cell r="V288">
            <v>48.065199999999997</v>
          </cell>
          <cell r="W288">
            <v>48.735566666666664</v>
          </cell>
          <cell r="X288">
            <v>5.8342039201488465E-3</v>
          </cell>
          <cell r="Y288">
            <v>0.26750000000000068</v>
          </cell>
          <cell r="Z288">
            <v>45.850299999999997</v>
          </cell>
          <cell r="AA288">
            <v>46.117799999999995</v>
          </cell>
          <cell r="AB288">
            <v>1.005599797469852E-2</v>
          </cell>
          <cell r="AC288">
            <v>0.49916666666666742</v>
          </cell>
          <cell r="AD288">
            <v>49.6387</v>
          </cell>
          <cell r="AE288">
            <v>50.137866666666667</v>
          </cell>
          <cell r="AF288">
            <v>8.3229095538219482E-3</v>
          </cell>
          <cell r="AG288">
            <v>0.13773333333333326</v>
          </cell>
          <cell r="AH288">
            <v>16.5487</v>
          </cell>
          <cell r="AI288">
            <v>16.686433333333333</v>
          </cell>
          <cell r="AJ288">
            <v>6.0914526497371484E-3</v>
          </cell>
          <cell r="AK288">
            <v>9.6857142857145515E-2</v>
          </cell>
          <cell r="AL288">
            <v>15.900499999999999</v>
          </cell>
          <cell r="AM288">
            <v>15.997357142857144</v>
          </cell>
          <cell r="AN288">
            <v>9.4261812183338827E-3</v>
          </cell>
          <cell r="AO288">
            <v>7.1999999999999689E-2</v>
          </cell>
          <cell r="AP288">
            <v>7.6383000000000001</v>
          </cell>
          <cell r="AQ288">
            <v>7.7103000000000002</v>
          </cell>
          <cell r="AR288">
            <v>3.7440059904095559E-3</v>
          </cell>
          <cell r="AS288">
            <v>0.15599999999999881</v>
          </cell>
          <cell r="AT288">
            <v>41.666600000000003</v>
          </cell>
          <cell r="AU288">
            <v>41.822600000000001</v>
          </cell>
          <cell r="AV288">
            <v>8.6443119862139404E-3</v>
          </cell>
          <cell r="AW288">
            <v>0.30599999999998723</v>
          </cell>
          <cell r="AX288">
            <v>35.399000000000001</v>
          </cell>
          <cell r="AY288">
            <v>35.704999999999991</v>
          </cell>
          <cell r="AZ288">
            <v>6.1440729245596645E-3</v>
          </cell>
          <cell r="BA288">
            <v>4.7142857142853857E-2</v>
          </cell>
          <cell r="BB288">
            <v>7.6729000000000003</v>
          </cell>
          <cell r="BC288">
            <v>7.7200428571428539</v>
          </cell>
        </row>
        <row r="289">
          <cell r="B289">
            <v>241</v>
          </cell>
          <cell r="C289">
            <v>61</v>
          </cell>
          <cell r="D289">
            <v>8.5415438875411677E-3</v>
          </cell>
          <cell r="E289">
            <v>0.51934722222222185</v>
          </cell>
          <cell r="F289">
            <v>60.802500000000002</v>
          </cell>
          <cell r="G289">
            <v>61.321847222222225</v>
          </cell>
          <cell r="H289">
            <v>1.1897685018105408E-2</v>
          </cell>
          <cell r="I289">
            <v>0.88022999999999774</v>
          </cell>
          <cell r="J289">
            <v>73.9833</v>
          </cell>
          <cell r="K289">
            <v>74.863529999999997</v>
          </cell>
          <cell r="L289">
            <v>1.5365544051727542E-2</v>
          </cell>
          <cell r="M289">
            <v>8.6077777777777698E-3</v>
          </cell>
          <cell r="N289">
            <v>0.56020000000000003</v>
          </cell>
          <cell r="O289">
            <v>0.5688077777777778</v>
          </cell>
          <cell r="P289">
            <v>8.1434670380510603E-3</v>
          </cell>
          <cell r="Q289">
            <v>0.88605888888888751</v>
          </cell>
          <cell r="R289">
            <v>108.8061</v>
          </cell>
          <cell r="S289">
            <v>109.69215888888888</v>
          </cell>
          <cell r="T289">
            <v>1.417947796835229E-2</v>
          </cell>
          <cell r="U289">
            <v>0.68153944444444647</v>
          </cell>
          <cell r="V289">
            <v>48.065199999999997</v>
          </cell>
          <cell r="W289">
            <v>48.746739444444444</v>
          </cell>
          <cell r="X289">
            <v>5.9314406521513282E-3</v>
          </cell>
          <cell r="Y289">
            <v>0.27195833333333402</v>
          </cell>
          <cell r="Z289">
            <v>45.850299999999997</v>
          </cell>
          <cell r="AA289">
            <v>46.122258333333335</v>
          </cell>
          <cell r="AB289">
            <v>1.0223597940943496E-2</v>
          </cell>
          <cell r="AC289">
            <v>0.50748611111111186</v>
          </cell>
          <cell r="AD289">
            <v>49.6387</v>
          </cell>
          <cell r="AE289">
            <v>50.146186111111113</v>
          </cell>
          <cell r="AF289">
            <v>8.4616247130523126E-3</v>
          </cell>
          <cell r="AG289">
            <v>0.14002888888888881</v>
          </cell>
          <cell r="AH289">
            <v>16.5487</v>
          </cell>
          <cell r="AI289">
            <v>16.688728888888889</v>
          </cell>
          <cell r="AJ289">
            <v>6.1929768605661004E-3</v>
          </cell>
          <cell r="AK289">
            <v>9.8471428571431277E-2</v>
          </cell>
          <cell r="AL289">
            <v>15.900499999999999</v>
          </cell>
          <cell r="AM289">
            <v>15.99897142857143</v>
          </cell>
          <cell r="AN289">
            <v>9.5832842386394477E-3</v>
          </cell>
          <cell r="AO289">
            <v>7.3199999999999682E-2</v>
          </cell>
          <cell r="AP289">
            <v>7.6383000000000001</v>
          </cell>
          <cell r="AQ289">
            <v>7.7115</v>
          </cell>
          <cell r="AR289">
            <v>3.8064060902497148E-3</v>
          </cell>
          <cell r="AS289">
            <v>0.1585999999999988</v>
          </cell>
          <cell r="AT289">
            <v>41.666600000000003</v>
          </cell>
          <cell r="AU289">
            <v>41.825200000000002</v>
          </cell>
          <cell r="AV289">
            <v>8.7883838526508391E-3</v>
          </cell>
          <cell r="AW289">
            <v>0.311099999999987</v>
          </cell>
          <cell r="AX289">
            <v>35.399000000000001</v>
          </cell>
          <cell r="AY289">
            <v>35.71009999999999</v>
          </cell>
          <cell r="AZ289">
            <v>6.2464741399689922E-3</v>
          </cell>
          <cell r="BA289">
            <v>4.7928571428568087E-2</v>
          </cell>
          <cell r="BB289">
            <v>7.6729000000000003</v>
          </cell>
          <cell r="BC289">
            <v>7.7208285714285685</v>
          </cell>
        </row>
        <row r="290">
          <cell r="B290">
            <v>242</v>
          </cell>
          <cell r="C290">
            <v>62</v>
          </cell>
          <cell r="D290">
            <v>8.6815691971729898E-3</v>
          </cell>
          <cell r="E290">
            <v>0.52786111111111067</v>
          </cell>
          <cell r="F290">
            <v>60.802500000000002</v>
          </cell>
          <cell r="G290">
            <v>61.33036111111111</v>
          </cell>
          <cell r="H290">
            <v>1.2092729034795659E-2</v>
          </cell>
          <cell r="I290">
            <v>0.89465999999999768</v>
          </cell>
          <cell r="J290">
            <v>73.9833</v>
          </cell>
          <cell r="K290">
            <v>74.877960000000002</v>
          </cell>
          <cell r="L290">
            <v>1.561743821650996E-2</v>
          </cell>
          <cell r="M290">
            <v>8.7488888888888807E-3</v>
          </cell>
          <cell r="N290">
            <v>0.56020000000000003</v>
          </cell>
          <cell r="O290">
            <v>0.56894888888888895</v>
          </cell>
          <cell r="P290">
            <v>8.2769664976912426E-3</v>
          </cell>
          <cell r="Q290">
            <v>0.90058444444444297</v>
          </cell>
          <cell r="R290">
            <v>108.8061</v>
          </cell>
          <cell r="S290">
            <v>109.70668444444445</v>
          </cell>
          <cell r="T290">
            <v>1.4411928426849871E-2</v>
          </cell>
          <cell r="U290">
            <v>0.69271222222222428</v>
          </cell>
          <cell r="V290">
            <v>48.065199999999997</v>
          </cell>
          <cell r="W290">
            <v>48.757912222222224</v>
          </cell>
          <cell r="X290">
            <v>6.0286773841538082E-3</v>
          </cell>
          <cell r="Y290">
            <v>0.27641666666666737</v>
          </cell>
          <cell r="Z290">
            <v>45.850299999999997</v>
          </cell>
          <cell r="AA290">
            <v>46.126716666666667</v>
          </cell>
          <cell r="AB290">
            <v>1.0391197907188471E-2</v>
          </cell>
          <cell r="AC290">
            <v>0.51580555555555629</v>
          </cell>
          <cell r="AD290">
            <v>49.6387</v>
          </cell>
          <cell r="AE290">
            <v>50.154505555555559</v>
          </cell>
          <cell r="AF290">
            <v>8.6003398722826786E-3</v>
          </cell>
          <cell r="AG290">
            <v>0.14232444444444436</v>
          </cell>
          <cell r="AH290">
            <v>16.5487</v>
          </cell>
          <cell r="AI290">
            <v>16.691024444444444</v>
          </cell>
          <cell r="AJ290">
            <v>6.2945010713950523E-3</v>
          </cell>
          <cell r="AK290">
            <v>0.10008571428571703</v>
          </cell>
          <cell r="AL290">
            <v>15.900499999999999</v>
          </cell>
          <cell r="AM290">
            <v>16.000585714285716</v>
          </cell>
          <cell r="AN290">
            <v>9.7403872589450109E-3</v>
          </cell>
          <cell r="AO290">
            <v>7.4399999999999675E-2</v>
          </cell>
          <cell r="AP290">
            <v>7.6383000000000001</v>
          </cell>
          <cell r="AQ290">
            <v>7.7126999999999999</v>
          </cell>
          <cell r="AR290">
            <v>3.8688061900898742E-3</v>
          </cell>
          <cell r="AS290">
            <v>0.16119999999999876</v>
          </cell>
          <cell r="AT290">
            <v>41.666600000000003</v>
          </cell>
          <cell r="AU290">
            <v>41.827800000000003</v>
          </cell>
          <cell r="AV290">
            <v>8.9324557190877379E-3</v>
          </cell>
          <cell r="AW290">
            <v>0.31619999999998682</v>
          </cell>
          <cell r="AX290">
            <v>35.399000000000001</v>
          </cell>
          <cell r="AY290">
            <v>35.715199999999989</v>
          </cell>
          <cell r="AZ290">
            <v>6.34887535537832E-3</v>
          </cell>
          <cell r="BA290">
            <v>4.8714285714282317E-2</v>
          </cell>
          <cell r="BB290">
            <v>7.6729000000000003</v>
          </cell>
          <cell r="BC290">
            <v>7.7216142857142822</v>
          </cell>
        </row>
        <row r="291">
          <cell r="B291">
            <v>243</v>
          </cell>
          <cell r="C291">
            <v>63</v>
          </cell>
          <cell r="D291">
            <v>8.821594506804812E-3</v>
          </cell>
          <cell r="E291">
            <v>0.5363749999999996</v>
          </cell>
          <cell r="F291">
            <v>60.802500000000002</v>
          </cell>
          <cell r="G291">
            <v>61.338875000000002</v>
          </cell>
          <cell r="H291">
            <v>1.2287773051485913E-2</v>
          </cell>
          <cell r="I291">
            <v>0.90908999999999762</v>
          </cell>
          <cell r="J291">
            <v>73.9833</v>
          </cell>
          <cell r="K291">
            <v>74.892389999999992</v>
          </cell>
          <cell r="L291">
            <v>1.5869332381292379E-2</v>
          </cell>
          <cell r="M291">
            <v>8.8899999999999934E-3</v>
          </cell>
          <cell r="N291">
            <v>0.56020000000000003</v>
          </cell>
          <cell r="O291">
            <v>0.56908999999999998</v>
          </cell>
          <cell r="P291">
            <v>8.4104659573314231E-3</v>
          </cell>
          <cell r="Q291">
            <v>0.91510999999999854</v>
          </cell>
          <cell r="R291">
            <v>108.8061</v>
          </cell>
          <cell r="S291">
            <v>109.72121</v>
          </cell>
          <cell r="T291">
            <v>1.4644378885347448E-2</v>
          </cell>
          <cell r="U291">
            <v>0.7038850000000022</v>
          </cell>
          <cell r="V291">
            <v>48.065199999999997</v>
          </cell>
          <cell r="W291">
            <v>48.769084999999997</v>
          </cell>
          <cell r="X291">
            <v>6.1259141161562882E-3</v>
          </cell>
          <cell r="Y291">
            <v>0.28087500000000071</v>
          </cell>
          <cell r="Z291">
            <v>45.850299999999997</v>
          </cell>
          <cell r="AA291">
            <v>46.131174999999999</v>
          </cell>
          <cell r="AB291">
            <v>1.0558797873433447E-2</v>
          </cell>
          <cell r="AC291">
            <v>0.52412500000000084</v>
          </cell>
          <cell r="AD291">
            <v>49.6387</v>
          </cell>
          <cell r="AE291">
            <v>50.162824999999998</v>
          </cell>
          <cell r="AF291">
            <v>8.7390550315130447E-3</v>
          </cell>
          <cell r="AG291">
            <v>0.14461999999999992</v>
          </cell>
          <cell r="AH291">
            <v>16.5487</v>
          </cell>
          <cell r="AI291">
            <v>16.69332</v>
          </cell>
          <cell r="AJ291">
            <v>6.3960252822240059E-3</v>
          </cell>
          <cell r="AK291">
            <v>0.10170000000000279</v>
          </cell>
          <cell r="AL291">
            <v>15.900499999999999</v>
          </cell>
          <cell r="AM291">
            <v>16.002200000000002</v>
          </cell>
          <cell r="AN291">
            <v>9.8974902792505759E-3</v>
          </cell>
          <cell r="AO291">
            <v>7.5599999999999667E-2</v>
          </cell>
          <cell r="AP291">
            <v>7.6383000000000001</v>
          </cell>
          <cell r="AQ291">
            <v>7.7138999999999998</v>
          </cell>
          <cell r="AR291">
            <v>3.9312062899300336E-3</v>
          </cell>
          <cell r="AS291">
            <v>0.16379999999999875</v>
          </cell>
          <cell r="AT291">
            <v>41.666600000000003</v>
          </cell>
          <cell r="AU291">
            <v>41.830400000000004</v>
          </cell>
          <cell r="AV291">
            <v>9.0765275855246384E-3</v>
          </cell>
          <cell r="AW291">
            <v>0.3212999999999866</v>
          </cell>
          <cell r="AX291">
            <v>35.399000000000001</v>
          </cell>
          <cell r="AY291">
            <v>35.720299999999988</v>
          </cell>
          <cell r="AZ291">
            <v>6.4512765707876478E-3</v>
          </cell>
          <cell r="BA291">
            <v>4.9499999999996547E-2</v>
          </cell>
          <cell r="BB291">
            <v>7.6729000000000003</v>
          </cell>
          <cell r="BC291">
            <v>7.7223999999999968</v>
          </cell>
        </row>
        <row r="292">
          <cell r="B292">
            <v>244</v>
          </cell>
          <cell r="C292">
            <v>64</v>
          </cell>
          <cell r="D292">
            <v>8.9616198164366341E-3</v>
          </cell>
          <cell r="E292">
            <v>0.54488888888888853</v>
          </cell>
          <cell r="F292">
            <v>60.802500000000002</v>
          </cell>
          <cell r="G292">
            <v>61.347388888888894</v>
          </cell>
          <cell r="H292">
            <v>1.2482817068176165E-2</v>
          </cell>
          <cell r="I292">
            <v>0.92351999999999757</v>
          </cell>
          <cell r="J292">
            <v>73.9833</v>
          </cell>
          <cell r="K292">
            <v>74.906819999999996</v>
          </cell>
          <cell r="L292">
            <v>1.6121226546074799E-2</v>
          </cell>
          <cell r="M292">
            <v>9.0311111111111026E-3</v>
          </cell>
          <cell r="N292">
            <v>0.56020000000000003</v>
          </cell>
          <cell r="O292">
            <v>0.56923111111111113</v>
          </cell>
          <cell r="P292">
            <v>8.5439654169716037E-3</v>
          </cell>
          <cell r="Q292">
            <v>0.92963555555555411</v>
          </cell>
          <cell r="R292">
            <v>108.8061</v>
          </cell>
          <cell r="S292">
            <v>109.73573555555555</v>
          </cell>
          <cell r="T292">
            <v>1.4876829343845027E-2</v>
          </cell>
          <cell r="U292">
            <v>0.7150577777777799</v>
          </cell>
          <cell r="V292">
            <v>48.065199999999997</v>
          </cell>
          <cell r="W292">
            <v>48.780257777777777</v>
          </cell>
          <cell r="X292">
            <v>6.22315084815877E-3</v>
          </cell>
          <cell r="Y292">
            <v>0.28533333333333405</v>
          </cell>
          <cell r="Z292">
            <v>45.850299999999997</v>
          </cell>
          <cell r="AA292">
            <v>46.135633333333331</v>
          </cell>
          <cell r="AB292">
            <v>1.0726397839678421E-2</v>
          </cell>
          <cell r="AC292">
            <v>0.53244444444444528</v>
          </cell>
          <cell r="AD292">
            <v>49.6387</v>
          </cell>
          <cell r="AE292">
            <v>50.171144444444444</v>
          </cell>
          <cell r="AF292">
            <v>8.8777701907434108E-3</v>
          </cell>
          <cell r="AG292">
            <v>0.14691555555555549</v>
          </cell>
          <cell r="AH292">
            <v>16.5487</v>
          </cell>
          <cell r="AI292">
            <v>16.695615555555555</v>
          </cell>
          <cell r="AJ292">
            <v>6.4975494930529579E-3</v>
          </cell>
          <cell r="AK292">
            <v>0.10331428571428855</v>
          </cell>
          <cell r="AL292">
            <v>15.900499999999999</v>
          </cell>
          <cell r="AM292">
            <v>16.003814285714288</v>
          </cell>
          <cell r="AN292">
            <v>1.0054593299556141E-2</v>
          </cell>
          <cell r="AO292">
            <v>7.679999999999966E-2</v>
          </cell>
          <cell r="AP292">
            <v>7.6383000000000001</v>
          </cell>
          <cell r="AQ292">
            <v>7.7150999999999996</v>
          </cell>
          <cell r="AR292">
            <v>3.9936063897701929E-3</v>
          </cell>
          <cell r="AS292">
            <v>0.16639999999999872</v>
          </cell>
          <cell r="AT292">
            <v>41.666600000000003</v>
          </cell>
          <cell r="AU292">
            <v>41.832999999999998</v>
          </cell>
          <cell r="AV292">
            <v>9.2205994519615354E-3</v>
          </cell>
          <cell r="AW292">
            <v>0.32639999999998637</v>
          </cell>
          <cell r="AX292">
            <v>35.399000000000001</v>
          </cell>
          <cell r="AY292">
            <v>35.725399999999986</v>
          </cell>
          <cell r="AZ292">
            <v>6.5536777861969755E-3</v>
          </cell>
          <cell r="BA292">
            <v>5.0285714285710777E-2</v>
          </cell>
          <cell r="BB292">
            <v>7.6729000000000003</v>
          </cell>
          <cell r="BC292">
            <v>7.7231857142857114</v>
          </cell>
        </row>
        <row r="293">
          <cell r="B293">
            <v>245</v>
          </cell>
          <cell r="C293">
            <v>65</v>
          </cell>
          <cell r="D293">
            <v>9.1016451260684562E-3</v>
          </cell>
          <cell r="E293">
            <v>0.55340277777777735</v>
          </cell>
          <cell r="F293">
            <v>60.802500000000002</v>
          </cell>
          <cell r="G293">
            <v>61.355902777777779</v>
          </cell>
          <cell r="H293">
            <v>1.2677861084866418E-2</v>
          </cell>
          <cell r="I293">
            <v>0.93794999999999762</v>
          </cell>
          <cell r="J293">
            <v>73.9833</v>
          </cell>
          <cell r="K293">
            <v>74.921250000000001</v>
          </cell>
          <cell r="L293">
            <v>1.6373120710857218E-2</v>
          </cell>
          <cell r="M293">
            <v>9.1722222222222136E-3</v>
          </cell>
          <cell r="N293">
            <v>0.56020000000000003</v>
          </cell>
          <cell r="O293">
            <v>0.56937222222222228</v>
          </cell>
          <cell r="P293">
            <v>8.6774648766117859E-3</v>
          </cell>
          <cell r="Q293">
            <v>0.94416111111110956</v>
          </cell>
          <cell r="R293">
            <v>108.8061</v>
          </cell>
          <cell r="S293">
            <v>109.75026111111112</v>
          </cell>
          <cell r="T293">
            <v>1.5109279802342605E-2</v>
          </cell>
          <cell r="U293">
            <v>0.72623055555555771</v>
          </cell>
          <cell r="V293">
            <v>48.065199999999997</v>
          </cell>
          <cell r="W293">
            <v>48.791430555555557</v>
          </cell>
          <cell r="X293">
            <v>6.3203875801612509E-3</v>
          </cell>
          <cell r="Y293">
            <v>0.28979166666666739</v>
          </cell>
          <cell r="Z293">
            <v>45.850299999999997</v>
          </cell>
          <cell r="AA293">
            <v>46.140091666666663</v>
          </cell>
          <cell r="AB293">
            <v>1.0893997805923396E-2</v>
          </cell>
          <cell r="AC293">
            <v>0.54076388888888971</v>
          </cell>
          <cell r="AD293">
            <v>49.6387</v>
          </cell>
          <cell r="AE293">
            <v>50.17946388888889</v>
          </cell>
          <cell r="AF293">
            <v>9.0164853499737768E-3</v>
          </cell>
          <cell r="AG293">
            <v>0.14921111111111104</v>
          </cell>
          <cell r="AH293">
            <v>16.5487</v>
          </cell>
          <cell r="AI293">
            <v>16.697911111111111</v>
          </cell>
          <cell r="AJ293">
            <v>6.5990737038819098E-3</v>
          </cell>
          <cell r="AK293">
            <v>0.1049285714285743</v>
          </cell>
          <cell r="AL293">
            <v>15.900499999999999</v>
          </cell>
          <cell r="AM293">
            <v>16.005428571428574</v>
          </cell>
          <cell r="AN293">
            <v>1.0211696319861704E-2</v>
          </cell>
          <cell r="AO293">
            <v>7.7999999999999653E-2</v>
          </cell>
          <cell r="AP293">
            <v>7.6383000000000001</v>
          </cell>
          <cell r="AQ293">
            <v>7.7162999999999995</v>
          </cell>
          <cell r="AR293">
            <v>4.0560064896103523E-3</v>
          </cell>
          <cell r="AS293">
            <v>0.16899999999999871</v>
          </cell>
          <cell r="AT293">
            <v>41.666600000000003</v>
          </cell>
          <cell r="AU293">
            <v>41.835599999999999</v>
          </cell>
          <cell r="AV293">
            <v>9.3646713183984341E-3</v>
          </cell>
          <cell r="AW293">
            <v>0.33149999999998619</v>
          </cell>
          <cell r="AX293">
            <v>35.399000000000001</v>
          </cell>
          <cell r="AY293">
            <v>35.730499999999985</v>
          </cell>
          <cell r="AZ293">
            <v>6.6560790016063024E-3</v>
          </cell>
          <cell r="BA293">
            <v>5.1071428571425007E-2</v>
          </cell>
          <cell r="BB293">
            <v>7.6729000000000003</v>
          </cell>
          <cell r="BC293">
            <v>7.7239714285714252</v>
          </cell>
        </row>
        <row r="294">
          <cell r="B294">
            <v>246</v>
          </cell>
          <cell r="C294">
            <v>66</v>
          </cell>
          <cell r="D294">
            <v>9.2416704357002784E-3</v>
          </cell>
          <cell r="E294">
            <v>0.56191666666666629</v>
          </cell>
          <cell r="F294">
            <v>60.802500000000002</v>
          </cell>
          <cell r="G294">
            <v>61.364416666666671</v>
          </cell>
          <cell r="H294">
            <v>1.287290510155667E-2</v>
          </cell>
          <cell r="I294">
            <v>0.95237999999999756</v>
          </cell>
          <cell r="J294">
            <v>73.9833</v>
          </cell>
          <cell r="K294">
            <v>74.935679999999991</v>
          </cell>
          <cell r="L294">
            <v>1.6625014875639638E-2</v>
          </cell>
          <cell r="M294">
            <v>9.3133333333333245E-3</v>
          </cell>
          <cell r="N294">
            <v>0.56020000000000003</v>
          </cell>
          <cell r="O294">
            <v>0.56951333333333332</v>
          </cell>
          <cell r="P294">
            <v>8.8109643362519665E-3</v>
          </cell>
          <cell r="Q294">
            <v>0.95868666666666513</v>
          </cell>
          <cell r="R294">
            <v>108.8061</v>
          </cell>
          <cell r="S294">
            <v>109.76478666666667</v>
          </cell>
          <cell r="T294">
            <v>1.5341730260840182E-2</v>
          </cell>
          <cell r="U294">
            <v>0.73740333333333552</v>
          </cell>
          <cell r="V294">
            <v>48.065199999999997</v>
          </cell>
          <cell r="W294">
            <v>48.80260333333333</v>
          </cell>
          <cell r="X294">
            <v>6.4176243121637317E-3</v>
          </cell>
          <cell r="Y294">
            <v>0.29425000000000073</v>
          </cell>
          <cell r="Z294">
            <v>45.850299999999997</v>
          </cell>
          <cell r="AA294">
            <v>46.144549999999995</v>
          </cell>
          <cell r="AB294">
            <v>1.1061597772168372E-2</v>
          </cell>
          <cell r="AC294">
            <v>0.54908333333333414</v>
          </cell>
          <cell r="AD294">
            <v>49.6387</v>
          </cell>
          <cell r="AE294">
            <v>50.187783333333336</v>
          </cell>
          <cell r="AF294">
            <v>9.1552005092041429E-3</v>
          </cell>
          <cell r="AG294">
            <v>0.1515066666666666</v>
          </cell>
          <cell r="AH294">
            <v>16.5487</v>
          </cell>
          <cell r="AI294">
            <v>16.700206666666666</v>
          </cell>
          <cell r="AJ294">
            <v>6.7005979147108635E-3</v>
          </cell>
          <cell r="AK294">
            <v>0.10654285714286006</v>
          </cell>
          <cell r="AL294">
            <v>15.900499999999999</v>
          </cell>
          <cell r="AM294">
            <v>16.00704285714286</v>
          </cell>
          <cell r="AN294">
            <v>1.0368799340167269E-2</v>
          </cell>
          <cell r="AO294">
            <v>7.9199999999999646E-2</v>
          </cell>
          <cell r="AP294">
            <v>7.6383000000000001</v>
          </cell>
          <cell r="AQ294">
            <v>7.7174999999999994</v>
          </cell>
          <cell r="AR294">
            <v>4.1184065894505116E-3</v>
          </cell>
          <cell r="AS294">
            <v>0.1715999999999987</v>
          </cell>
          <cell r="AT294">
            <v>41.666600000000003</v>
          </cell>
          <cell r="AU294">
            <v>41.838200000000001</v>
          </cell>
          <cell r="AV294">
            <v>9.5087431848353329E-3</v>
          </cell>
          <cell r="AW294">
            <v>0.33659999999998597</v>
          </cell>
          <cell r="AX294">
            <v>35.399000000000001</v>
          </cell>
          <cell r="AY294">
            <v>35.735599999999984</v>
          </cell>
          <cell r="AZ294">
            <v>6.758480217015631E-3</v>
          </cell>
          <cell r="BA294">
            <v>5.1857142857139236E-2</v>
          </cell>
          <cell r="BB294">
            <v>7.6729000000000003</v>
          </cell>
          <cell r="BC294">
            <v>7.7247571428571398</v>
          </cell>
        </row>
        <row r="295">
          <cell r="B295">
            <v>247</v>
          </cell>
          <cell r="C295">
            <v>67</v>
          </cell>
          <cell r="D295">
            <v>9.3816957453321005E-3</v>
          </cell>
          <cell r="E295">
            <v>0.57043055555555511</v>
          </cell>
          <cell r="F295">
            <v>60.802500000000002</v>
          </cell>
          <cell r="G295">
            <v>61.372930555555556</v>
          </cell>
          <cell r="H295">
            <v>1.3067949118246923E-2</v>
          </cell>
          <cell r="I295">
            <v>0.9668099999999975</v>
          </cell>
          <cell r="J295">
            <v>73.9833</v>
          </cell>
          <cell r="K295">
            <v>74.950109999999995</v>
          </cell>
          <cell r="L295">
            <v>1.6876909040422054E-2</v>
          </cell>
          <cell r="M295">
            <v>9.4544444444444372E-3</v>
          </cell>
          <cell r="N295">
            <v>0.56020000000000003</v>
          </cell>
          <cell r="O295">
            <v>0.56965444444444446</v>
          </cell>
          <cell r="P295">
            <v>8.9444637958921488E-3</v>
          </cell>
          <cell r="Q295">
            <v>0.9732122222222207</v>
          </cell>
          <cell r="R295">
            <v>108.8061</v>
          </cell>
          <cell r="S295">
            <v>109.77931222222222</v>
          </cell>
          <cell r="T295">
            <v>1.5574180719337763E-2</v>
          </cell>
          <cell r="U295">
            <v>0.74857611111111344</v>
          </cell>
          <cell r="V295">
            <v>48.065199999999997</v>
          </cell>
          <cell r="W295">
            <v>48.81377611111111</v>
          </cell>
          <cell r="X295">
            <v>6.5148610441662117E-3</v>
          </cell>
          <cell r="Y295">
            <v>0.29870833333333408</v>
          </cell>
          <cell r="Z295">
            <v>45.850299999999997</v>
          </cell>
          <cell r="AA295">
            <v>46.149008333333335</v>
          </cell>
          <cell r="AB295">
            <v>1.1229197738413348E-2</v>
          </cell>
          <cell r="AC295">
            <v>0.55740277777777858</v>
          </cell>
          <cell r="AD295">
            <v>49.6387</v>
          </cell>
          <cell r="AE295">
            <v>50.196102777777782</v>
          </cell>
          <cell r="AF295">
            <v>9.2939156684345089E-3</v>
          </cell>
          <cell r="AG295">
            <v>0.15380222222222215</v>
          </cell>
          <cell r="AH295">
            <v>16.5487</v>
          </cell>
          <cell r="AI295">
            <v>16.702502222222222</v>
          </cell>
          <cell r="AJ295">
            <v>6.8021221255398154E-3</v>
          </cell>
          <cell r="AK295">
            <v>0.10815714285714582</v>
          </cell>
          <cell r="AL295">
            <v>15.900499999999999</v>
          </cell>
          <cell r="AM295">
            <v>16.008657142857146</v>
          </cell>
          <cell r="AN295">
            <v>1.0525902360472834E-2</v>
          </cell>
          <cell r="AO295">
            <v>8.0399999999999652E-2</v>
          </cell>
          <cell r="AP295">
            <v>7.6383000000000001</v>
          </cell>
          <cell r="AQ295">
            <v>7.7187000000000001</v>
          </cell>
          <cell r="AR295">
            <v>4.180806689290671E-3</v>
          </cell>
          <cell r="AS295">
            <v>0.17419999999999866</v>
          </cell>
          <cell r="AT295">
            <v>41.666600000000003</v>
          </cell>
          <cell r="AU295">
            <v>41.840800000000002</v>
          </cell>
          <cell r="AV295">
            <v>9.6528150512722333E-3</v>
          </cell>
          <cell r="AW295">
            <v>0.34169999999998574</v>
          </cell>
          <cell r="AX295">
            <v>35.399000000000001</v>
          </cell>
          <cell r="AY295">
            <v>35.74069999999999</v>
          </cell>
          <cell r="AZ295">
            <v>6.8608814324249579E-3</v>
          </cell>
          <cell r="BA295">
            <v>5.2642857142853473E-2</v>
          </cell>
          <cell r="BB295">
            <v>7.6729000000000003</v>
          </cell>
          <cell r="BC295">
            <v>7.7255428571428535</v>
          </cell>
        </row>
        <row r="296">
          <cell r="B296">
            <v>248</v>
          </cell>
          <cell r="C296">
            <v>68</v>
          </cell>
          <cell r="D296">
            <v>9.5217210549639244E-3</v>
          </cell>
          <cell r="E296">
            <v>0.57894444444444404</v>
          </cell>
          <cell r="F296">
            <v>60.802500000000002</v>
          </cell>
          <cell r="G296">
            <v>61.381444444444448</v>
          </cell>
          <cell r="H296">
            <v>1.3262993134937175E-2</v>
          </cell>
          <cell r="I296">
            <v>0.98123999999999745</v>
          </cell>
          <cell r="J296">
            <v>73.9833</v>
          </cell>
          <cell r="K296">
            <v>74.96454</v>
          </cell>
          <cell r="L296">
            <v>1.7128803205204473E-2</v>
          </cell>
          <cell r="M296">
            <v>9.5955555555555481E-3</v>
          </cell>
          <cell r="N296">
            <v>0.56020000000000003</v>
          </cell>
          <cell r="O296">
            <v>0.56979555555555561</v>
          </cell>
          <cell r="P296">
            <v>9.0779632555323293E-3</v>
          </cell>
          <cell r="Q296">
            <v>0.98773777777777616</v>
          </cell>
          <cell r="R296">
            <v>108.8061</v>
          </cell>
          <cell r="S296">
            <v>109.79383777777778</v>
          </cell>
          <cell r="T296">
            <v>1.5806631177835338E-2</v>
          </cell>
          <cell r="U296">
            <v>0.75974888888889125</v>
          </cell>
          <cell r="V296">
            <v>48.065199999999997</v>
          </cell>
          <cell r="W296">
            <v>48.824948888888891</v>
          </cell>
          <cell r="X296">
            <v>6.6120977761686926E-3</v>
          </cell>
          <cell r="Y296">
            <v>0.30316666666666742</v>
          </cell>
          <cell r="Z296">
            <v>45.850299999999997</v>
          </cell>
          <cell r="AA296">
            <v>46.153466666666667</v>
          </cell>
          <cell r="AB296">
            <v>1.1396797704658321E-2</v>
          </cell>
          <cell r="AC296">
            <v>0.56572222222222313</v>
          </cell>
          <cell r="AD296">
            <v>49.6387</v>
          </cell>
          <cell r="AE296">
            <v>50.20442222222222</v>
          </cell>
          <cell r="AF296">
            <v>9.4326308276648733E-3</v>
          </cell>
          <cell r="AG296">
            <v>0.1560977777777777</v>
          </cell>
          <cell r="AH296">
            <v>16.5487</v>
          </cell>
          <cell r="AI296">
            <v>16.704797777777777</v>
          </cell>
          <cell r="AJ296">
            <v>6.9036463363687673E-3</v>
          </cell>
          <cell r="AK296">
            <v>0.10977142857143159</v>
          </cell>
          <cell r="AL296">
            <v>15.900499999999999</v>
          </cell>
          <cell r="AM296">
            <v>16.010271428571432</v>
          </cell>
          <cell r="AN296">
            <v>1.0683005380778399E-2</v>
          </cell>
          <cell r="AO296">
            <v>8.1599999999999645E-2</v>
          </cell>
          <cell r="AP296">
            <v>7.6383000000000001</v>
          </cell>
          <cell r="AQ296">
            <v>7.7199</v>
          </cell>
          <cell r="AR296">
            <v>4.2432067891308295E-3</v>
          </cell>
          <cell r="AS296">
            <v>0.17679999999999865</v>
          </cell>
          <cell r="AT296">
            <v>41.666600000000003</v>
          </cell>
          <cell r="AU296">
            <v>41.843400000000003</v>
          </cell>
          <cell r="AV296">
            <v>9.7968869177091321E-3</v>
          </cell>
          <cell r="AW296">
            <v>0.34679999999998551</v>
          </cell>
          <cell r="AX296">
            <v>35.399000000000001</v>
          </cell>
          <cell r="AY296">
            <v>35.745799999999988</v>
          </cell>
          <cell r="AZ296">
            <v>6.9632826478342865E-3</v>
          </cell>
          <cell r="BA296">
            <v>5.3428571428567703E-2</v>
          </cell>
          <cell r="BB296">
            <v>7.6729000000000003</v>
          </cell>
          <cell r="BC296">
            <v>7.7263285714285681</v>
          </cell>
        </row>
        <row r="297">
          <cell r="B297">
            <v>249</v>
          </cell>
          <cell r="C297">
            <v>69</v>
          </cell>
          <cell r="D297">
            <v>9.6617463645957448E-3</v>
          </cell>
          <cell r="E297">
            <v>0.58745833333333286</v>
          </cell>
          <cell r="F297">
            <v>60.802500000000002</v>
          </cell>
          <cell r="G297">
            <v>61.389958333333333</v>
          </cell>
          <cell r="H297">
            <v>1.3458037151627428E-2</v>
          </cell>
          <cell r="I297">
            <v>0.99566999999999739</v>
          </cell>
          <cell r="J297">
            <v>73.9833</v>
          </cell>
          <cell r="K297">
            <v>74.978970000000004</v>
          </cell>
          <cell r="L297">
            <v>1.7380697369986892E-2</v>
          </cell>
          <cell r="M297">
            <v>9.7366666666666574E-3</v>
          </cell>
          <cell r="N297">
            <v>0.56020000000000003</v>
          </cell>
          <cell r="O297">
            <v>0.56993666666666665</v>
          </cell>
          <cell r="P297">
            <v>9.2114627151725116E-3</v>
          </cell>
          <cell r="Q297">
            <v>1.0022633333333317</v>
          </cell>
          <cell r="R297">
            <v>108.8061</v>
          </cell>
          <cell r="S297">
            <v>109.80836333333333</v>
          </cell>
          <cell r="T297">
            <v>1.6039081636332921E-2</v>
          </cell>
          <cell r="U297">
            <v>0.77092166666666895</v>
          </cell>
          <cell r="V297">
            <v>48.065199999999997</v>
          </cell>
          <cell r="W297">
            <v>48.836121666666664</v>
          </cell>
          <cell r="X297">
            <v>6.7093345081711744E-3</v>
          </cell>
          <cell r="Y297">
            <v>0.30762500000000076</v>
          </cell>
          <cell r="Z297">
            <v>45.850299999999997</v>
          </cell>
          <cell r="AA297">
            <v>46.157924999999999</v>
          </cell>
          <cell r="AB297">
            <v>1.1564397670903297E-2</v>
          </cell>
          <cell r="AC297">
            <v>0.57404166666666756</v>
          </cell>
          <cell r="AD297">
            <v>49.6387</v>
          </cell>
          <cell r="AE297">
            <v>50.212741666666666</v>
          </cell>
          <cell r="AF297">
            <v>9.5713459868952393E-3</v>
          </cell>
          <cell r="AG297">
            <v>0.15839333333333325</v>
          </cell>
          <cell r="AH297">
            <v>16.5487</v>
          </cell>
          <cell r="AI297">
            <v>16.707093333333333</v>
          </cell>
          <cell r="AJ297">
            <v>7.0051705471977201E-3</v>
          </cell>
          <cell r="AK297">
            <v>0.11138571428571734</v>
          </cell>
          <cell r="AL297">
            <v>15.900499999999999</v>
          </cell>
          <cell r="AM297">
            <v>16.011885714285718</v>
          </cell>
          <cell r="AN297">
            <v>1.0840108401083964E-2</v>
          </cell>
          <cell r="AO297">
            <v>8.2799999999999638E-2</v>
          </cell>
          <cell r="AP297">
            <v>7.6383000000000001</v>
          </cell>
          <cell r="AQ297">
            <v>7.7210999999999999</v>
          </cell>
          <cell r="AR297">
            <v>4.3056068889709889E-3</v>
          </cell>
          <cell r="AS297">
            <v>0.17939999999999862</v>
          </cell>
          <cell r="AT297">
            <v>41.666600000000003</v>
          </cell>
          <cell r="AU297">
            <v>41.846000000000004</v>
          </cell>
          <cell r="AV297">
            <v>9.9409587841460291E-3</v>
          </cell>
          <cell r="AW297">
            <v>0.35189999999998534</v>
          </cell>
          <cell r="AX297">
            <v>35.399000000000001</v>
          </cell>
          <cell r="AY297">
            <v>35.750899999999987</v>
          </cell>
          <cell r="AZ297">
            <v>7.0656838632436134E-3</v>
          </cell>
          <cell r="BA297">
            <v>5.4214285714281933E-2</v>
          </cell>
          <cell r="BB297">
            <v>7.6729000000000003</v>
          </cell>
          <cell r="BC297">
            <v>7.7271142857142818</v>
          </cell>
        </row>
        <row r="298">
          <cell r="B298">
            <v>250</v>
          </cell>
          <cell r="C298">
            <v>70</v>
          </cell>
          <cell r="D298">
            <v>9.8017716742275687E-3</v>
          </cell>
          <cell r="E298">
            <v>0.59597222222222179</v>
          </cell>
          <cell r="F298">
            <v>60.802500000000002</v>
          </cell>
          <cell r="G298">
            <v>61.398472222222225</v>
          </cell>
          <cell r="H298">
            <v>1.365308116831768E-2</v>
          </cell>
          <cell r="I298">
            <v>1.0100999999999973</v>
          </cell>
          <cell r="J298">
            <v>73.9833</v>
          </cell>
          <cell r="K298">
            <v>74.993399999999994</v>
          </cell>
          <cell r="L298">
            <v>1.7632591534769312E-2</v>
          </cell>
          <cell r="M298">
            <v>9.8777777777777701E-3</v>
          </cell>
          <cell r="N298">
            <v>0.56020000000000003</v>
          </cell>
          <cell r="O298">
            <v>0.57007777777777779</v>
          </cell>
          <cell r="P298">
            <v>9.3449621748126922E-3</v>
          </cell>
          <cell r="Q298">
            <v>1.0167888888888872</v>
          </cell>
          <cell r="R298">
            <v>108.8061</v>
          </cell>
          <cell r="S298">
            <v>109.82288888888888</v>
          </cell>
          <cell r="T298">
            <v>1.6271532094830499E-2</v>
          </cell>
          <cell r="U298">
            <v>0.78209444444444687</v>
          </cell>
          <cell r="V298">
            <v>48.065199999999997</v>
          </cell>
          <cell r="W298">
            <v>48.847294444444444</v>
          </cell>
          <cell r="X298">
            <v>6.8065712401736544E-3</v>
          </cell>
          <cell r="Y298">
            <v>0.3120833333333341</v>
          </cell>
          <cell r="Z298">
            <v>45.850299999999997</v>
          </cell>
          <cell r="AA298">
            <v>46.162383333333331</v>
          </cell>
          <cell r="AB298">
            <v>1.1731997637148273E-2</v>
          </cell>
          <cell r="AC298">
            <v>0.582361111111112</v>
          </cell>
          <cell r="AD298">
            <v>49.6387</v>
          </cell>
          <cell r="AE298">
            <v>50.221061111111112</v>
          </cell>
          <cell r="AF298">
            <v>9.7100611461256054E-3</v>
          </cell>
          <cell r="AG298">
            <v>0.1606888888888888</v>
          </cell>
          <cell r="AH298">
            <v>16.5487</v>
          </cell>
          <cell r="AI298">
            <v>16.709388888888888</v>
          </cell>
          <cell r="AJ298">
            <v>7.1066947580266729E-3</v>
          </cell>
          <cell r="AK298">
            <v>0.1130000000000031</v>
          </cell>
          <cell r="AL298">
            <v>15.900499999999999</v>
          </cell>
          <cell r="AM298">
            <v>16.013500000000001</v>
          </cell>
          <cell r="AN298">
            <v>1.0997211421389529E-2</v>
          </cell>
          <cell r="AO298">
            <v>8.3999999999999631E-2</v>
          </cell>
          <cell r="AP298">
            <v>7.6383000000000001</v>
          </cell>
          <cell r="AQ298">
            <v>7.7222999999999997</v>
          </cell>
          <cell r="AR298">
            <v>4.3680069888111482E-3</v>
          </cell>
          <cell r="AS298">
            <v>0.18199999999999861</v>
          </cell>
          <cell r="AT298">
            <v>41.666600000000003</v>
          </cell>
          <cell r="AU298">
            <v>41.848600000000005</v>
          </cell>
          <cell r="AV298">
            <v>1.008503065058293E-2</v>
          </cell>
          <cell r="AW298">
            <v>0.35699999999998511</v>
          </cell>
          <cell r="AX298">
            <v>35.399000000000001</v>
          </cell>
          <cell r="AY298">
            <v>35.755999999999986</v>
          </cell>
          <cell r="AZ298">
            <v>7.1680850786529421E-3</v>
          </cell>
          <cell r="BA298">
            <v>5.4999999999996163E-2</v>
          </cell>
          <cell r="BB298">
            <v>7.6729000000000003</v>
          </cell>
          <cell r="BC298">
            <v>7.7278999999999964</v>
          </cell>
        </row>
        <row r="299">
          <cell r="B299">
            <v>251</v>
          </cell>
          <cell r="C299">
            <v>71</v>
          </cell>
          <cell r="D299">
            <v>9.9417969838593908E-3</v>
          </cell>
          <cell r="E299">
            <v>0.60448611111111061</v>
          </cell>
          <cell r="F299">
            <v>60.802500000000002</v>
          </cell>
          <cell r="G299">
            <v>61.406986111111109</v>
          </cell>
          <cell r="H299">
            <v>1.3848125185007934E-2</v>
          </cell>
          <cell r="I299">
            <v>1.0245299999999973</v>
          </cell>
          <cell r="J299">
            <v>73.9833</v>
          </cell>
          <cell r="K299">
            <v>75.007829999999998</v>
          </cell>
          <cell r="L299">
            <v>1.7884485699551731E-2</v>
          </cell>
          <cell r="M299">
            <v>1.0018888888888881E-2</v>
          </cell>
          <cell r="N299">
            <v>0.56020000000000003</v>
          </cell>
          <cell r="O299">
            <v>0.57021888888888894</v>
          </cell>
          <cell r="P299">
            <v>9.4784616344528744E-3</v>
          </cell>
          <cell r="Q299">
            <v>1.0313144444444429</v>
          </cell>
          <cell r="R299">
            <v>108.8061</v>
          </cell>
          <cell r="S299">
            <v>109.83741444444445</v>
          </cell>
          <cell r="T299">
            <v>1.6503982553328075E-2</v>
          </cell>
          <cell r="U299">
            <v>0.79326722222222468</v>
          </cell>
          <cell r="V299">
            <v>48.065199999999997</v>
          </cell>
          <cell r="W299">
            <v>48.858467222222224</v>
          </cell>
          <cell r="X299">
            <v>6.9038079721761344E-3</v>
          </cell>
          <cell r="Y299">
            <v>0.31654166666666744</v>
          </cell>
          <cell r="Z299">
            <v>45.850299999999997</v>
          </cell>
          <cell r="AA299">
            <v>46.166841666666663</v>
          </cell>
          <cell r="AB299">
            <v>1.189959760339325E-2</v>
          </cell>
          <cell r="AC299">
            <v>0.59068055555555643</v>
          </cell>
          <cell r="AD299">
            <v>49.6387</v>
          </cell>
          <cell r="AE299">
            <v>50.229380555555558</v>
          </cell>
          <cell r="AF299">
            <v>9.8487763053559715E-3</v>
          </cell>
          <cell r="AG299">
            <v>0.16298444444444435</v>
          </cell>
          <cell r="AH299">
            <v>16.5487</v>
          </cell>
          <cell r="AI299">
            <v>16.711684444444444</v>
          </cell>
          <cell r="AJ299">
            <v>7.2082189688556248E-3</v>
          </cell>
          <cell r="AK299">
            <v>0.11461428571428886</v>
          </cell>
          <cell r="AL299">
            <v>15.900499999999999</v>
          </cell>
          <cell r="AM299">
            <v>16.015114285714287</v>
          </cell>
          <cell r="AN299">
            <v>1.1154314441695094E-2</v>
          </cell>
          <cell r="AO299">
            <v>8.5199999999999623E-2</v>
          </cell>
          <cell r="AP299">
            <v>7.6383000000000001</v>
          </cell>
          <cell r="AQ299">
            <v>7.7234999999999996</v>
          </cell>
          <cell r="AR299">
            <v>4.4304070886513076E-3</v>
          </cell>
          <cell r="AS299">
            <v>0.1845999999999986</v>
          </cell>
          <cell r="AT299">
            <v>41.666600000000003</v>
          </cell>
          <cell r="AU299">
            <v>41.851199999999999</v>
          </cell>
          <cell r="AV299">
            <v>1.022910251701983E-2</v>
          </cell>
          <cell r="AW299">
            <v>0.36209999999998488</v>
          </cell>
          <cell r="AX299">
            <v>35.399000000000001</v>
          </cell>
          <cell r="AY299">
            <v>35.761099999999985</v>
          </cell>
          <cell r="AZ299">
            <v>7.2704862940622689E-3</v>
          </cell>
          <cell r="BA299">
            <v>5.5785714285710393E-2</v>
          </cell>
          <cell r="BB299">
            <v>7.6729000000000003</v>
          </cell>
          <cell r="BC299">
            <v>7.7286857142857111</v>
          </cell>
        </row>
        <row r="300">
          <cell r="B300">
            <v>252</v>
          </cell>
          <cell r="C300">
            <v>72</v>
          </cell>
          <cell r="D300">
            <v>1.0081822293491213E-2</v>
          </cell>
          <cell r="E300">
            <v>0.61299999999999955</v>
          </cell>
          <cell r="F300">
            <v>60.802500000000002</v>
          </cell>
          <cell r="G300">
            <v>61.415500000000002</v>
          </cell>
          <cell r="H300">
            <v>1.4043169201698187E-2</v>
          </cell>
          <cell r="I300">
            <v>1.0389599999999972</v>
          </cell>
          <cell r="J300">
            <v>73.9833</v>
          </cell>
          <cell r="K300">
            <v>75.022260000000003</v>
          </cell>
          <cell r="L300">
            <v>1.8136379864334147E-2</v>
          </cell>
          <cell r="M300">
            <v>1.0159999999999992E-2</v>
          </cell>
          <cell r="N300">
            <v>0.56020000000000003</v>
          </cell>
          <cell r="O300">
            <v>0.57035999999999998</v>
          </cell>
          <cell r="P300">
            <v>9.611961094093055E-3</v>
          </cell>
          <cell r="Q300">
            <v>1.0458399999999983</v>
          </cell>
          <cell r="R300">
            <v>108.8061</v>
          </cell>
          <cell r="S300">
            <v>109.85194</v>
          </cell>
          <cell r="T300">
            <v>1.6736433011825654E-2</v>
          </cell>
          <cell r="U300">
            <v>0.80444000000000249</v>
          </cell>
          <cell r="V300">
            <v>48.065199999999997</v>
          </cell>
          <cell r="W300">
            <v>48.869639999999997</v>
          </cell>
          <cell r="X300">
            <v>7.0010447041786161E-3</v>
          </cell>
          <cell r="Y300">
            <v>0.32100000000000078</v>
          </cell>
          <cell r="Z300">
            <v>45.850299999999997</v>
          </cell>
          <cell r="AA300">
            <v>46.171299999999995</v>
          </cell>
          <cell r="AB300">
            <v>1.2067197569638225E-2</v>
          </cell>
          <cell r="AC300">
            <v>0.59900000000000087</v>
          </cell>
          <cell r="AD300">
            <v>49.6387</v>
          </cell>
          <cell r="AE300">
            <v>50.237700000000004</v>
          </cell>
          <cell r="AF300">
            <v>9.9874914645863375E-3</v>
          </cell>
          <cell r="AG300">
            <v>0.16527999999999993</v>
          </cell>
          <cell r="AH300">
            <v>16.5487</v>
          </cell>
          <cell r="AI300">
            <v>16.713979999999999</v>
          </cell>
          <cell r="AJ300">
            <v>7.3097431796845776E-3</v>
          </cell>
          <cell r="AK300">
            <v>0.11622857142857461</v>
          </cell>
          <cell r="AL300">
            <v>15.900499999999999</v>
          </cell>
          <cell r="AM300">
            <v>16.016728571428573</v>
          </cell>
          <cell r="AN300">
            <v>1.1311417462000659E-2</v>
          </cell>
          <cell r="AO300">
            <v>8.6399999999999616E-2</v>
          </cell>
          <cell r="AP300">
            <v>7.6383000000000001</v>
          </cell>
          <cell r="AQ300">
            <v>7.7246999999999995</v>
          </cell>
          <cell r="AR300">
            <v>4.4928071884914669E-3</v>
          </cell>
          <cell r="AS300">
            <v>0.18719999999999856</v>
          </cell>
          <cell r="AT300">
            <v>41.666600000000003</v>
          </cell>
          <cell r="AU300">
            <v>41.8538</v>
          </cell>
          <cell r="AV300">
            <v>1.0373174383456727E-2</v>
          </cell>
          <cell r="AW300">
            <v>0.36719999999998471</v>
          </cell>
          <cell r="AX300">
            <v>35.399000000000001</v>
          </cell>
          <cell r="AY300">
            <v>35.766199999999984</v>
          </cell>
          <cell r="AZ300">
            <v>7.3728875094715976E-3</v>
          </cell>
          <cell r="BA300">
            <v>5.6571428571424623E-2</v>
          </cell>
          <cell r="BB300">
            <v>7.6729000000000003</v>
          </cell>
          <cell r="BC300">
            <v>7.7294714285714248</v>
          </cell>
        </row>
        <row r="301">
          <cell r="B301">
            <v>253</v>
          </cell>
          <cell r="C301">
            <v>73</v>
          </cell>
          <cell r="D301">
            <v>1.0221847603123035E-2</v>
          </cell>
          <cell r="E301">
            <v>0.62151388888888848</v>
          </cell>
          <cell r="F301">
            <v>60.802500000000002</v>
          </cell>
          <cell r="G301">
            <v>61.424013888888894</v>
          </cell>
          <cell r="H301">
            <v>1.4238213218388439E-2</v>
          </cell>
          <cell r="I301">
            <v>1.0533899999999972</v>
          </cell>
          <cell r="J301">
            <v>73.9833</v>
          </cell>
          <cell r="K301">
            <v>75.036689999999993</v>
          </cell>
          <cell r="L301">
            <v>1.8388274029116566E-2</v>
          </cell>
          <cell r="M301">
            <v>1.0301111111111101E-2</v>
          </cell>
          <cell r="N301">
            <v>0.56020000000000003</v>
          </cell>
          <cell r="O301">
            <v>0.57050111111111113</v>
          </cell>
          <cell r="P301">
            <v>9.7454605537332373E-3</v>
          </cell>
          <cell r="Q301">
            <v>1.0603655555555538</v>
          </cell>
          <cell r="R301">
            <v>108.8061</v>
          </cell>
          <cell r="S301">
            <v>109.86646555555555</v>
          </cell>
          <cell r="T301">
            <v>1.6968883470323232E-2</v>
          </cell>
          <cell r="U301">
            <v>0.81561277777778018</v>
          </cell>
          <cell r="V301">
            <v>48.065199999999997</v>
          </cell>
          <cell r="W301">
            <v>48.880812777777777</v>
          </cell>
          <cell r="X301">
            <v>7.0982814361810979E-3</v>
          </cell>
          <cell r="Y301">
            <v>0.32545833333333413</v>
          </cell>
          <cell r="Z301">
            <v>45.850299999999997</v>
          </cell>
          <cell r="AA301">
            <v>46.175758333333334</v>
          </cell>
          <cell r="AB301">
            <v>1.2234797535883201E-2</v>
          </cell>
          <cell r="AC301">
            <v>0.60731944444444541</v>
          </cell>
          <cell r="AD301">
            <v>49.6387</v>
          </cell>
          <cell r="AE301">
            <v>50.246019444444443</v>
          </cell>
          <cell r="AF301">
            <v>1.0126206623816702E-2</v>
          </cell>
          <cell r="AG301">
            <v>0.16757555555555548</v>
          </cell>
          <cell r="AH301">
            <v>16.5487</v>
          </cell>
          <cell r="AI301">
            <v>16.716275555555555</v>
          </cell>
          <cell r="AJ301">
            <v>7.4112673905135304E-3</v>
          </cell>
          <cell r="AK301">
            <v>0.11784285714286037</v>
          </cell>
          <cell r="AL301">
            <v>15.900499999999999</v>
          </cell>
          <cell r="AM301">
            <v>16.018342857142859</v>
          </cell>
          <cell r="AN301">
            <v>1.1468520482306222E-2</v>
          </cell>
          <cell r="AO301">
            <v>8.7599999999999609E-2</v>
          </cell>
          <cell r="AP301">
            <v>7.6383000000000001</v>
          </cell>
          <cell r="AQ301">
            <v>7.7258999999999993</v>
          </cell>
          <cell r="AR301">
            <v>4.5552072883316263E-3</v>
          </cell>
          <cell r="AS301">
            <v>0.18979999999999855</v>
          </cell>
          <cell r="AT301">
            <v>41.666600000000003</v>
          </cell>
          <cell r="AU301">
            <v>41.856400000000001</v>
          </cell>
          <cell r="AV301">
            <v>1.0517246249893626E-2</v>
          </cell>
          <cell r="AW301">
            <v>0.37229999999998448</v>
          </cell>
          <cell r="AX301">
            <v>35.399000000000001</v>
          </cell>
          <cell r="AY301">
            <v>35.771299999999982</v>
          </cell>
          <cell r="AZ301">
            <v>7.4752887248809245E-3</v>
          </cell>
          <cell r="BA301">
            <v>5.7357142857138853E-2</v>
          </cell>
          <cell r="BB301">
            <v>7.6729000000000003</v>
          </cell>
          <cell r="BC301">
            <v>7.7302571428571394</v>
          </cell>
        </row>
        <row r="302">
          <cell r="B302">
            <v>254</v>
          </cell>
          <cell r="C302">
            <v>74</v>
          </cell>
          <cell r="D302">
            <v>1.0361872912754859E-2</v>
          </cell>
          <cell r="E302">
            <v>0.6300277777777773</v>
          </cell>
          <cell r="F302">
            <v>60.802500000000002</v>
          </cell>
          <cell r="G302">
            <v>61.432527777777779</v>
          </cell>
          <cell r="H302">
            <v>1.4433257235078692E-2</v>
          </cell>
          <cell r="I302">
            <v>1.0678199999999973</v>
          </cell>
          <cell r="J302">
            <v>73.9833</v>
          </cell>
          <cell r="K302">
            <v>75.051119999999997</v>
          </cell>
          <cell r="L302">
            <v>1.8640168193898986E-2</v>
          </cell>
          <cell r="M302">
            <v>1.0442222222222214E-2</v>
          </cell>
          <cell r="N302">
            <v>0.56020000000000003</v>
          </cell>
          <cell r="O302">
            <v>0.57064222222222227</v>
          </cell>
          <cell r="P302">
            <v>9.8789600133734178E-3</v>
          </cell>
          <cell r="Q302">
            <v>1.0748911111111095</v>
          </cell>
          <cell r="R302">
            <v>108.8061</v>
          </cell>
          <cell r="S302">
            <v>109.88099111111111</v>
          </cell>
          <cell r="T302">
            <v>1.7201333928820811E-2</v>
          </cell>
          <cell r="U302">
            <v>0.82678555555555799</v>
          </cell>
          <cell r="V302">
            <v>48.065199999999997</v>
          </cell>
          <cell r="W302">
            <v>48.891985555555557</v>
          </cell>
          <cell r="X302">
            <v>7.1955181681835779E-3</v>
          </cell>
          <cell r="Y302">
            <v>0.32991666666666747</v>
          </cell>
          <cell r="Z302">
            <v>45.850299999999997</v>
          </cell>
          <cell r="AA302">
            <v>46.180216666666666</v>
          </cell>
          <cell r="AB302">
            <v>1.2402397502128175E-2</v>
          </cell>
          <cell r="AC302">
            <v>0.61563888888888985</v>
          </cell>
          <cell r="AD302">
            <v>49.6387</v>
          </cell>
          <cell r="AE302">
            <v>50.254338888888888</v>
          </cell>
          <cell r="AF302">
            <v>1.026492178304707E-2</v>
          </cell>
          <cell r="AG302">
            <v>0.16987111111111103</v>
          </cell>
          <cell r="AH302">
            <v>16.5487</v>
          </cell>
          <cell r="AI302">
            <v>16.71857111111111</v>
          </cell>
          <cell r="AJ302">
            <v>7.5127916013424823E-3</v>
          </cell>
          <cell r="AK302">
            <v>0.11945714285714613</v>
          </cell>
          <cell r="AL302">
            <v>15.900499999999999</v>
          </cell>
          <cell r="AM302">
            <v>16.019957142857145</v>
          </cell>
          <cell r="AN302">
            <v>1.1625623502611787E-2</v>
          </cell>
          <cell r="AO302">
            <v>8.8799999999999615E-2</v>
          </cell>
          <cell r="AP302">
            <v>7.6383000000000001</v>
          </cell>
          <cell r="AQ302">
            <v>7.7271000000000001</v>
          </cell>
          <cell r="AR302">
            <v>4.6176073881717856E-3</v>
          </cell>
          <cell r="AS302">
            <v>0.19239999999999852</v>
          </cell>
          <cell r="AT302">
            <v>41.666600000000003</v>
          </cell>
          <cell r="AU302">
            <v>41.859000000000002</v>
          </cell>
          <cell r="AV302">
            <v>1.0661318116330526E-2</v>
          </cell>
          <cell r="AW302">
            <v>0.37739999999998425</v>
          </cell>
          <cell r="AX302">
            <v>35.399000000000001</v>
          </cell>
          <cell r="AY302">
            <v>35.776399999999988</v>
          </cell>
          <cell r="AZ302">
            <v>7.5776899402902531E-3</v>
          </cell>
          <cell r="BA302">
            <v>5.814285714285309E-2</v>
          </cell>
          <cell r="BB302">
            <v>7.6729000000000003</v>
          </cell>
          <cell r="BC302">
            <v>7.7310428571428531</v>
          </cell>
        </row>
        <row r="303">
          <cell r="B303">
            <v>255</v>
          </cell>
          <cell r="C303">
            <v>75</v>
          </cell>
          <cell r="D303">
            <v>1.0501898222386681E-2</v>
          </cell>
          <cell r="E303">
            <v>0.63854166666666623</v>
          </cell>
          <cell r="F303">
            <v>60.802500000000002</v>
          </cell>
          <cell r="G303">
            <v>61.441041666666671</v>
          </cell>
          <cell r="H303">
            <v>1.4628301251768944E-2</v>
          </cell>
          <cell r="I303">
            <v>1.0822499999999973</v>
          </cell>
          <cell r="J303">
            <v>73.9833</v>
          </cell>
          <cell r="K303">
            <v>75.065550000000002</v>
          </cell>
          <cell r="L303">
            <v>1.8892062358681405E-2</v>
          </cell>
          <cell r="M303">
            <v>1.0583333333333325E-2</v>
          </cell>
          <cell r="N303">
            <v>0.56020000000000003</v>
          </cell>
          <cell r="O303">
            <v>0.57078333333333331</v>
          </cell>
          <cell r="P303">
            <v>1.00124594730136E-2</v>
          </cell>
          <cell r="Q303">
            <v>1.0894166666666649</v>
          </cell>
          <cell r="R303">
            <v>108.8061</v>
          </cell>
          <cell r="S303">
            <v>109.89551666666667</v>
          </cell>
          <cell r="T303">
            <v>1.743378438731839E-2</v>
          </cell>
          <cell r="U303">
            <v>0.83795833333333591</v>
          </cell>
          <cell r="V303">
            <v>48.065199999999997</v>
          </cell>
          <cell r="W303">
            <v>48.90315833333333</v>
          </cell>
          <cell r="X303">
            <v>7.2927549001860579E-3</v>
          </cell>
          <cell r="Y303">
            <v>0.33437500000000081</v>
          </cell>
          <cell r="Z303">
            <v>45.850299999999997</v>
          </cell>
          <cell r="AA303">
            <v>46.184674999999999</v>
          </cell>
          <cell r="AB303">
            <v>1.256999746837315E-2</v>
          </cell>
          <cell r="AC303">
            <v>0.62395833333333428</v>
          </cell>
          <cell r="AD303">
            <v>49.6387</v>
          </cell>
          <cell r="AE303">
            <v>50.262658333333334</v>
          </cell>
          <cell r="AF303">
            <v>1.0403636942277436E-2</v>
          </cell>
          <cell r="AG303">
            <v>0.17216666666666658</v>
          </cell>
          <cell r="AH303">
            <v>16.5487</v>
          </cell>
          <cell r="AI303">
            <v>16.720866666666666</v>
          </cell>
          <cell r="AJ303">
            <v>7.6143158121714351E-3</v>
          </cell>
          <cell r="AK303">
            <v>0.1210714285714319</v>
          </cell>
          <cell r="AL303">
            <v>15.900499999999999</v>
          </cell>
          <cell r="AM303">
            <v>16.021571428571431</v>
          </cell>
          <cell r="AN303">
            <v>1.1782726522917352E-2</v>
          </cell>
          <cell r="AO303">
            <v>8.9999999999999608E-2</v>
          </cell>
          <cell r="AP303">
            <v>7.6383000000000001</v>
          </cell>
          <cell r="AQ303">
            <v>7.7282999999999999</v>
          </cell>
          <cell r="AR303">
            <v>4.680007488011945E-3</v>
          </cell>
          <cell r="AS303">
            <v>0.19499999999999851</v>
          </cell>
          <cell r="AT303">
            <v>41.666600000000003</v>
          </cell>
          <cell r="AU303">
            <v>41.861600000000003</v>
          </cell>
          <cell r="AV303">
            <v>1.0805389982767425E-2</v>
          </cell>
          <cell r="AW303">
            <v>0.38249999999998402</v>
          </cell>
          <cell r="AX303">
            <v>35.399000000000001</v>
          </cell>
          <cell r="AY303">
            <v>35.781499999999987</v>
          </cell>
          <cell r="AZ303">
            <v>7.68009115569958E-3</v>
          </cell>
          <cell r="BA303">
            <v>5.892857142856732E-2</v>
          </cell>
          <cell r="BB303">
            <v>7.6729000000000003</v>
          </cell>
          <cell r="BC303">
            <v>7.7318285714285677</v>
          </cell>
        </row>
        <row r="304">
          <cell r="B304">
            <v>256</v>
          </cell>
          <cell r="C304">
            <v>76</v>
          </cell>
          <cell r="D304">
            <v>1.0641923532018503E-2</v>
          </cell>
          <cell r="E304">
            <v>0.64705555555555505</v>
          </cell>
          <cell r="F304">
            <v>60.802500000000002</v>
          </cell>
          <cell r="G304">
            <v>61.449555555555555</v>
          </cell>
          <cell r="H304">
            <v>1.4823345268459198E-2</v>
          </cell>
          <cell r="I304">
            <v>1.0966799999999972</v>
          </cell>
          <cell r="J304">
            <v>73.9833</v>
          </cell>
          <cell r="K304">
            <v>75.079979999999992</v>
          </cell>
          <cell r="L304">
            <v>1.9143956523463825E-2</v>
          </cell>
          <cell r="M304">
            <v>1.0724444444444436E-2</v>
          </cell>
          <cell r="N304">
            <v>0.56020000000000003</v>
          </cell>
          <cell r="O304">
            <v>0.57092444444444446</v>
          </cell>
          <cell r="P304">
            <v>1.0145958932653781E-2</v>
          </cell>
          <cell r="Q304">
            <v>1.1039422222222204</v>
          </cell>
          <cell r="R304">
            <v>108.8061</v>
          </cell>
          <cell r="S304">
            <v>109.91004222222222</v>
          </cell>
          <cell r="T304">
            <v>1.7666234845815969E-2</v>
          </cell>
          <cell r="U304">
            <v>0.84913111111111372</v>
          </cell>
          <cell r="V304">
            <v>48.065199999999997</v>
          </cell>
          <cell r="W304">
            <v>48.91433111111111</v>
          </cell>
          <cell r="X304">
            <v>7.3899916321885396E-3</v>
          </cell>
          <cell r="Y304">
            <v>0.33883333333333415</v>
          </cell>
          <cell r="Z304">
            <v>45.850299999999997</v>
          </cell>
          <cell r="AA304">
            <v>46.189133333333331</v>
          </cell>
          <cell r="AB304">
            <v>1.2737597434618126E-2</v>
          </cell>
          <cell r="AC304">
            <v>0.63227777777777872</v>
          </cell>
          <cell r="AD304">
            <v>49.6387</v>
          </cell>
          <cell r="AE304">
            <v>50.27097777777778</v>
          </cell>
          <cell r="AF304">
            <v>1.05423521015078E-2</v>
          </cell>
          <cell r="AG304">
            <v>0.17446222222222213</v>
          </cell>
          <cell r="AH304">
            <v>16.5487</v>
          </cell>
          <cell r="AI304">
            <v>16.723162222222221</v>
          </cell>
          <cell r="AJ304">
            <v>7.7158400230003879E-3</v>
          </cell>
          <cell r="AK304">
            <v>0.12268571428571765</v>
          </cell>
          <cell r="AL304">
            <v>15.900499999999999</v>
          </cell>
          <cell r="AM304">
            <v>16.023185714285717</v>
          </cell>
          <cell r="AN304">
            <v>1.1939829543222915E-2</v>
          </cell>
          <cell r="AO304">
            <v>9.1199999999999601E-2</v>
          </cell>
          <cell r="AP304">
            <v>7.6383000000000001</v>
          </cell>
          <cell r="AQ304">
            <v>7.7294999999999998</v>
          </cell>
          <cell r="AR304">
            <v>4.7424075878521035E-3</v>
          </cell>
          <cell r="AS304">
            <v>0.1975999999999985</v>
          </cell>
          <cell r="AT304">
            <v>41.666600000000003</v>
          </cell>
          <cell r="AU304">
            <v>41.864200000000004</v>
          </cell>
          <cell r="AV304">
            <v>1.0949461849204324E-2</v>
          </cell>
          <cell r="AW304">
            <v>0.38759999999998385</v>
          </cell>
          <cell r="AX304">
            <v>35.399000000000001</v>
          </cell>
          <cell r="AY304">
            <v>35.786599999999986</v>
          </cell>
          <cell r="AZ304">
            <v>7.7824923711089086E-3</v>
          </cell>
          <cell r="BA304">
            <v>5.9714285714281549E-2</v>
          </cell>
          <cell r="BB304">
            <v>7.6729000000000003</v>
          </cell>
          <cell r="BC304">
            <v>7.7326142857142814</v>
          </cell>
        </row>
        <row r="305">
          <cell r="B305">
            <v>257</v>
          </cell>
          <cell r="C305">
            <v>77</v>
          </cell>
          <cell r="D305">
            <v>1.0781948841650325E-2</v>
          </cell>
          <cell r="E305">
            <v>0.65556944444444398</v>
          </cell>
          <cell r="F305">
            <v>60.802500000000002</v>
          </cell>
          <cell r="G305">
            <v>61.458069444444448</v>
          </cell>
          <cell r="H305">
            <v>1.5018389285149449E-2</v>
          </cell>
          <cell r="I305">
            <v>1.1111099999999972</v>
          </cell>
          <cell r="J305">
            <v>73.9833</v>
          </cell>
          <cell r="K305">
            <v>75.094409999999996</v>
          </cell>
          <cell r="L305">
            <v>1.9395850688246244E-2</v>
          </cell>
          <cell r="M305">
            <v>1.0865555555555545E-2</v>
          </cell>
          <cell r="N305">
            <v>0.56020000000000003</v>
          </cell>
          <cell r="O305">
            <v>0.5710655555555556</v>
          </cell>
          <cell r="P305">
            <v>1.0279458392293963E-2</v>
          </cell>
          <cell r="Q305">
            <v>1.1184677777777761</v>
          </cell>
          <cell r="R305">
            <v>108.8061</v>
          </cell>
          <cell r="S305">
            <v>109.92456777777778</v>
          </cell>
          <cell r="T305">
            <v>1.7898685304313548E-2</v>
          </cell>
          <cell r="U305">
            <v>0.86030388888889142</v>
          </cell>
          <cell r="V305">
            <v>48.065199999999997</v>
          </cell>
          <cell r="W305">
            <v>48.92550388888889</v>
          </cell>
          <cell r="X305">
            <v>7.4872283641910205E-3</v>
          </cell>
          <cell r="Y305">
            <v>0.34329166666666749</v>
          </cell>
          <cell r="Z305">
            <v>45.850299999999997</v>
          </cell>
          <cell r="AA305">
            <v>46.193591666666663</v>
          </cell>
          <cell r="AB305">
            <v>1.2905197400863102E-2</v>
          </cell>
          <cell r="AC305">
            <v>0.64059722222222315</v>
          </cell>
          <cell r="AD305">
            <v>49.6387</v>
          </cell>
          <cell r="AE305">
            <v>50.279297222222226</v>
          </cell>
          <cell r="AF305">
            <v>1.0681067260738166E-2</v>
          </cell>
          <cell r="AG305">
            <v>0.17675777777777768</v>
          </cell>
          <cell r="AH305">
            <v>16.5487</v>
          </cell>
          <cell r="AI305">
            <v>16.725457777777777</v>
          </cell>
          <cell r="AJ305">
            <v>7.8173642338293398E-3</v>
          </cell>
          <cell r="AK305">
            <v>0.12430000000000341</v>
          </cell>
          <cell r="AL305">
            <v>15.900499999999999</v>
          </cell>
          <cell r="AM305">
            <v>16.024800000000003</v>
          </cell>
          <cell r="AN305">
            <v>1.209693256352848E-2</v>
          </cell>
          <cell r="AO305">
            <v>9.2399999999999594E-2</v>
          </cell>
          <cell r="AP305">
            <v>7.6383000000000001</v>
          </cell>
          <cell r="AQ305">
            <v>7.7306999999999997</v>
          </cell>
          <cell r="AR305">
            <v>4.8048076876922637E-3</v>
          </cell>
          <cell r="AS305">
            <v>0.20019999999999846</v>
          </cell>
          <cell r="AT305">
            <v>41.666600000000003</v>
          </cell>
          <cell r="AU305">
            <v>41.866799999999998</v>
          </cell>
          <cell r="AV305">
            <v>1.1093533715641221E-2</v>
          </cell>
          <cell r="AW305">
            <v>0.39269999999998362</v>
          </cell>
          <cell r="AX305">
            <v>35.399000000000001</v>
          </cell>
          <cell r="AY305">
            <v>35.791699999999985</v>
          </cell>
          <cell r="AZ305">
            <v>7.8848935865182355E-3</v>
          </cell>
          <cell r="BA305">
            <v>6.0499999999995779E-2</v>
          </cell>
          <cell r="BB305">
            <v>7.6729000000000003</v>
          </cell>
          <cell r="BC305">
            <v>7.7333999999999961</v>
          </cell>
        </row>
        <row r="306">
          <cell r="B306">
            <v>258</v>
          </cell>
          <cell r="C306">
            <v>78</v>
          </cell>
          <cell r="D306">
            <v>1.0921974151282147E-2</v>
          </cell>
          <cell r="E306">
            <v>0.6640833333333328</v>
          </cell>
          <cell r="F306">
            <v>60.802500000000002</v>
          </cell>
          <cell r="G306">
            <v>61.466583333333332</v>
          </cell>
          <cell r="H306">
            <v>1.5213433301839703E-2</v>
          </cell>
          <cell r="I306">
            <v>1.1255399999999971</v>
          </cell>
          <cell r="J306">
            <v>73.9833</v>
          </cell>
          <cell r="K306">
            <v>75.108840000000001</v>
          </cell>
          <cell r="L306">
            <v>1.964774485302866E-2</v>
          </cell>
          <cell r="M306">
            <v>1.1006666666666658E-2</v>
          </cell>
          <cell r="N306">
            <v>0.56020000000000003</v>
          </cell>
          <cell r="O306">
            <v>0.57120666666666664</v>
          </cell>
          <cell r="P306">
            <v>1.0412957851934143E-2</v>
          </cell>
          <cell r="Q306">
            <v>1.1329933333333315</v>
          </cell>
          <cell r="R306">
            <v>108.8061</v>
          </cell>
          <cell r="S306">
            <v>109.93909333333333</v>
          </cell>
          <cell r="T306">
            <v>1.8131135762811126E-2</v>
          </cell>
          <cell r="U306">
            <v>0.87147666666666934</v>
          </cell>
          <cell r="V306">
            <v>48.065199999999997</v>
          </cell>
          <cell r="W306">
            <v>48.936676666666663</v>
          </cell>
          <cell r="X306">
            <v>7.5844650961935005E-3</v>
          </cell>
          <cell r="Y306">
            <v>0.34775000000000084</v>
          </cell>
          <cell r="Z306">
            <v>45.850299999999997</v>
          </cell>
          <cell r="AA306">
            <v>46.198049999999995</v>
          </cell>
          <cell r="AB306">
            <v>1.3072797367108075E-2</v>
          </cell>
          <cell r="AC306">
            <v>0.6489166666666677</v>
          </cell>
          <cell r="AD306">
            <v>49.6387</v>
          </cell>
          <cell r="AE306">
            <v>50.287616666666665</v>
          </cell>
          <cell r="AF306">
            <v>1.0819782419968532E-2</v>
          </cell>
          <cell r="AG306">
            <v>0.17905333333333323</v>
          </cell>
          <cell r="AH306">
            <v>16.5487</v>
          </cell>
          <cell r="AI306">
            <v>16.727753333333332</v>
          </cell>
          <cell r="AJ306">
            <v>7.9188884446582918E-3</v>
          </cell>
          <cell r="AK306">
            <v>0.12591428571428917</v>
          </cell>
          <cell r="AL306">
            <v>15.900499999999999</v>
          </cell>
          <cell r="AM306">
            <v>16.026414285714289</v>
          </cell>
          <cell r="AN306">
            <v>1.2254035583834047E-2</v>
          </cell>
          <cell r="AO306">
            <v>9.3599999999999586E-2</v>
          </cell>
          <cell r="AP306">
            <v>7.6383000000000001</v>
          </cell>
          <cell r="AQ306">
            <v>7.7318999999999996</v>
          </cell>
          <cell r="AR306">
            <v>4.8672077875324222E-3</v>
          </cell>
          <cell r="AS306">
            <v>0.20279999999999845</v>
          </cell>
          <cell r="AT306">
            <v>41.666600000000003</v>
          </cell>
          <cell r="AU306">
            <v>41.869399999999999</v>
          </cell>
          <cell r="AV306">
            <v>1.1237605582078121E-2</v>
          </cell>
          <cell r="AW306">
            <v>0.39779999999998339</v>
          </cell>
          <cell r="AX306">
            <v>35.399000000000001</v>
          </cell>
          <cell r="AY306">
            <v>35.796799999999983</v>
          </cell>
          <cell r="AZ306">
            <v>7.9872948019275632E-3</v>
          </cell>
          <cell r="BA306">
            <v>6.1285714285710009E-2</v>
          </cell>
          <cell r="BB306">
            <v>7.6729000000000003</v>
          </cell>
          <cell r="BC306">
            <v>7.7341857142857107</v>
          </cell>
        </row>
        <row r="307">
          <cell r="B307">
            <v>259</v>
          </cell>
          <cell r="C307">
            <v>79</v>
          </cell>
          <cell r="D307">
            <v>1.106199946091397E-2</v>
          </cell>
          <cell r="E307">
            <v>0.67259722222222174</v>
          </cell>
          <cell r="F307">
            <v>60.802500000000002</v>
          </cell>
          <cell r="G307">
            <v>61.475097222222225</v>
          </cell>
          <cell r="H307">
            <v>1.5408477318529954E-2</v>
          </cell>
          <cell r="I307">
            <v>1.139969999999997</v>
          </cell>
          <cell r="J307">
            <v>73.9833</v>
          </cell>
          <cell r="K307">
            <v>75.123269999999991</v>
          </cell>
          <cell r="L307">
            <v>1.9899639017811079E-2</v>
          </cell>
          <cell r="M307">
            <v>1.1147777777777769E-2</v>
          </cell>
          <cell r="N307">
            <v>0.56020000000000003</v>
          </cell>
          <cell r="O307">
            <v>0.57134777777777779</v>
          </cell>
          <cell r="P307">
            <v>1.0546457311574324E-2</v>
          </cell>
          <cell r="Q307">
            <v>1.147518888888887</v>
          </cell>
          <cell r="R307">
            <v>108.8061</v>
          </cell>
          <cell r="S307">
            <v>109.95361888888888</v>
          </cell>
          <cell r="T307">
            <v>1.8363586221308705E-2</v>
          </cell>
          <cell r="U307">
            <v>0.88264944444444715</v>
          </cell>
          <cell r="V307">
            <v>48.065199999999997</v>
          </cell>
          <cell r="W307">
            <v>48.947849444444444</v>
          </cell>
          <cell r="X307">
            <v>7.6817018281959814E-3</v>
          </cell>
          <cell r="Y307">
            <v>0.35220833333333423</v>
          </cell>
          <cell r="Z307">
            <v>45.850299999999997</v>
          </cell>
          <cell r="AA307">
            <v>46.202508333333334</v>
          </cell>
          <cell r="AB307">
            <v>1.3240397333353051E-2</v>
          </cell>
          <cell r="AC307">
            <v>0.65723611111111213</v>
          </cell>
          <cell r="AD307">
            <v>49.6387</v>
          </cell>
          <cell r="AE307">
            <v>50.295936111111111</v>
          </cell>
          <cell r="AF307">
            <v>1.0958497579198898E-2</v>
          </cell>
          <cell r="AG307">
            <v>0.18134888888888878</v>
          </cell>
          <cell r="AH307">
            <v>16.5487</v>
          </cell>
          <cell r="AI307">
            <v>16.730048888888888</v>
          </cell>
          <cell r="AJ307">
            <v>8.0204126554872437E-3</v>
          </cell>
          <cell r="AK307">
            <v>0.12752857142857493</v>
          </cell>
          <cell r="AL307">
            <v>15.900499999999999</v>
          </cell>
          <cell r="AM307">
            <v>16.028028571428575</v>
          </cell>
          <cell r="AN307">
            <v>1.2411138604139612E-2</v>
          </cell>
          <cell r="AO307">
            <v>9.4799999999999579E-2</v>
          </cell>
          <cell r="AP307">
            <v>7.6383000000000001</v>
          </cell>
          <cell r="AQ307">
            <v>7.7330999999999994</v>
          </cell>
          <cell r="AR307">
            <v>4.9296078873725816E-3</v>
          </cell>
          <cell r="AS307">
            <v>0.20539999999999842</v>
          </cell>
          <cell r="AT307">
            <v>41.666600000000003</v>
          </cell>
          <cell r="AU307">
            <v>41.872</v>
          </cell>
          <cell r="AV307">
            <v>1.1381677448515022E-2</v>
          </cell>
          <cell r="AW307">
            <v>0.40289999999998322</v>
          </cell>
          <cell r="AX307">
            <v>35.399000000000001</v>
          </cell>
          <cell r="AY307">
            <v>35.801899999999982</v>
          </cell>
          <cell r="AZ307">
            <v>8.089696017336891E-3</v>
          </cell>
          <cell r="BA307">
            <v>6.2071428571424239E-2</v>
          </cell>
          <cell r="BB307">
            <v>7.6729000000000003</v>
          </cell>
          <cell r="BC307">
            <v>7.7349714285714244</v>
          </cell>
        </row>
        <row r="308">
          <cell r="B308">
            <v>260</v>
          </cell>
          <cell r="C308">
            <v>80</v>
          </cell>
          <cell r="D308">
            <v>1.1202024770545794E-2</v>
          </cell>
          <cell r="E308">
            <v>0.68111111111111056</v>
          </cell>
          <cell r="F308">
            <v>60.802500000000002</v>
          </cell>
          <cell r="G308">
            <v>61.483611111111109</v>
          </cell>
          <cell r="H308">
            <v>1.5603521335220208E-2</v>
          </cell>
          <cell r="I308">
            <v>1.154399999999997</v>
          </cell>
          <cell r="J308">
            <v>73.9833</v>
          </cell>
          <cell r="K308">
            <v>75.137699999999995</v>
          </cell>
          <cell r="L308">
            <v>2.0151533182593499E-2</v>
          </cell>
          <cell r="M308">
            <v>1.128888888888888E-2</v>
          </cell>
          <cell r="N308">
            <v>0.56020000000000003</v>
          </cell>
          <cell r="O308">
            <v>0.57148888888888894</v>
          </cell>
          <cell r="P308">
            <v>1.0679956771214506E-2</v>
          </cell>
          <cell r="Q308">
            <v>1.1620444444444427</v>
          </cell>
          <cell r="R308">
            <v>108.8061</v>
          </cell>
          <cell r="S308">
            <v>109.96814444444445</v>
          </cell>
          <cell r="T308">
            <v>1.8596036679806284E-2</v>
          </cell>
          <cell r="U308">
            <v>0.89382222222222496</v>
          </cell>
          <cell r="V308">
            <v>48.065199999999997</v>
          </cell>
          <cell r="W308">
            <v>48.959022222222224</v>
          </cell>
          <cell r="X308">
            <v>7.7789385601984623E-3</v>
          </cell>
          <cell r="Y308">
            <v>0.35666666666666758</v>
          </cell>
          <cell r="Z308">
            <v>45.850299999999997</v>
          </cell>
          <cell r="AA308">
            <v>46.206966666666666</v>
          </cell>
          <cell r="AB308">
            <v>1.3407997299598027E-2</v>
          </cell>
          <cell r="AC308">
            <v>0.66555555555555657</v>
          </cell>
          <cell r="AD308">
            <v>49.6387</v>
          </cell>
          <cell r="AE308">
            <v>50.304255555555557</v>
          </cell>
          <cell r="AF308">
            <v>1.1097212738429264E-2</v>
          </cell>
          <cell r="AG308">
            <v>0.18364444444444436</v>
          </cell>
          <cell r="AH308">
            <v>16.5487</v>
          </cell>
          <cell r="AI308">
            <v>16.732344444444443</v>
          </cell>
          <cell r="AJ308">
            <v>8.1219368663161973E-3</v>
          </cell>
          <cell r="AK308">
            <v>0.1291428571428607</v>
          </cell>
          <cell r="AL308">
            <v>15.900499999999999</v>
          </cell>
          <cell r="AM308">
            <v>16.029642857142861</v>
          </cell>
          <cell r="AN308">
            <v>1.2568241624445175E-2</v>
          </cell>
          <cell r="AO308">
            <v>9.5999999999999572E-2</v>
          </cell>
          <cell r="AP308">
            <v>7.6383000000000001</v>
          </cell>
          <cell r="AQ308">
            <v>7.7342999999999993</v>
          </cell>
          <cell r="AR308">
            <v>4.9920079872127409E-3</v>
          </cell>
          <cell r="AS308">
            <v>0.20799999999999841</v>
          </cell>
          <cell r="AT308">
            <v>41.666600000000003</v>
          </cell>
          <cell r="AU308">
            <v>41.874600000000001</v>
          </cell>
          <cell r="AV308">
            <v>1.1525749314951919E-2</v>
          </cell>
          <cell r="AW308">
            <v>0.40799999999998299</v>
          </cell>
          <cell r="AX308">
            <v>35.399000000000001</v>
          </cell>
          <cell r="AY308">
            <v>35.806999999999981</v>
          </cell>
          <cell r="AZ308">
            <v>8.1920972327462187E-3</v>
          </cell>
          <cell r="BA308">
            <v>6.2857142857138476E-2</v>
          </cell>
          <cell r="BB308">
            <v>7.6729000000000003</v>
          </cell>
          <cell r="BC308">
            <v>7.735757142857139</v>
          </cell>
        </row>
        <row r="309">
          <cell r="B309">
            <v>261</v>
          </cell>
          <cell r="C309">
            <v>81</v>
          </cell>
          <cell r="D309">
            <v>1.1342050080177616E-2</v>
          </cell>
          <cell r="E309">
            <v>0.68962499999999949</v>
          </cell>
          <cell r="F309">
            <v>60.802500000000002</v>
          </cell>
          <cell r="G309">
            <v>61.492125000000001</v>
          </cell>
          <cell r="H309">
            <v>1.5798565351910456E-2</v>
          </cell>
          <cell r="I309">
            <v>1.1688299999999969</v>
          </cell>
          <cell r="J309">
            <v>73.9833</v>
          </cell>
          <cell r="K309">
            <v>75.15213</v>
          </cell>
          <cell r="L309">
            <v>2.0403427347375918E-2</v>
          </cell>
          <cell r="M309">
            <v>1.1429999999999989E-2</v>
          </cell>
          <cell r="N309">
            <v>0.56020000000000003</v>
          </cell>
          <cell r="O309">
            <v>0.57162999999999997</v>
          </cell>
          <cell r="P309">
            <v>1.0813456230854687E-2</v>
          </cell>
          <cell r="Q309">
            <v>1.1765699999999981</v>
          </cell>
          <cell r="R309">
            <v>108.8061</v>
          </cell>
          <cell r="S309">
            <v>109.98267</v>
          </cell>
          <cell r="T309">
            <v>1.8828487138303859E-2</v>
          </cell>
          <cell r="U309">
            <v>0.90499500000000266</v>
          </cell>
          <cell r="V309">
            <v>48.065199999999997</v>
          </cell>
          <cell r="W309">
            <v>48.970194999999997</v>
          </cell>
          <cell r="X309">
            <v>7.8761752922009431E-3</v>
          </cell>
          <cell r="Y309">
            <v>0.36112500000000092</v>
          </cell>
          <cell r="Z309">
            <v>45.850299999999997</v>
          </cell>
          <cell r="AA309">
            <v>46.211424999999998</v>
          </cell>
          <cell r="AB309">
            <v>1.3575597265843002E-2</v>
          </cell>
          <cell r="AC309">
            <v>0.673875000000001</v>
          </cell>
          <cell r="AD309">
            <v>49.6387</v>
          </cell>
          <cell r="AE309">
            <v>50.312575000000002</v>
          </cell>
          <cell r="AF309">
            <v>1.1235927897659629E-2</v>
          </cell>
          <cell r="AG309">
            <v>0.18593999999999994</v>
          </cell>
          <cell r="AH309">
            <v>16.5487</v>
          </cell>
          <cell r="AI309">
            <v>16.734639999999999</v>
          </cell>
          <cell r="AJ309">
            <v>8.2234610771451493E-3</v>
          </cell>
          <cell r="AK309">
            <v>0.13075714285714643</v>
          </cell>
          <cell r="AL309">
            <v>15.900499999999999</v>
          </cell>
          <cell r="AM309">
            <v>16.031257142857147</v>
          </cell>
          <cell r="AN309">
            <v>1.272534464475074E-2</v>
          </cell>
          <cell r="AO309">
            <v>9.7199999999999578E-2</v>
          </cell>
          <cell r="AP309">
            <v>7.6383000000000001</v>
          </cell>
          <cell r="AQ309">
            <v>7.7355</v>
          </cell>
          <cell r="AR309">
            <v>5.0544080870529003E-3</v>
          </cell>
          <cell r="AS309">
            <v>0.2105999999999984</v>
          </cell>
          <cell r="AT309">
            <v>41.666600000000003</v>
          </cell>
          <cell r="AU309">
            <v>41.877200000000002</v>
          </cell>
          <cell r="AV309">
            <v>1.1669821181388818E-2</v>
          </cell>
          <cell r="AW309">
            <v>0.41309999999998276</v>
          </cell>
          <cell r="AX309">
            <v>35.399000000000001</v>
          </cell>
          <cell r="AY309">
            <v>35.812099999999987</v>
          </cell>
          <cell r="AZ309">
            <v>8.2944984481555465E-3</v>
          </cell>
          <cell r="BA309">
            <v>6.3642857142852699E-2</v>
          </cell>
          <cell r="BB309">
            <v>7.6729000000000003</v>
          </cell>
          <cell r="BC309">
            <v>7.7365428571428527</v>
          </cell>
        </row>
        <row r="310">
          <cell r="B310">
            <v>262</v>
          </cell>
          <cell r="C310">
            <v>82</v>
          </cell>
          <cell r="D310">
            <v>1.1482075389809436E-2</v>
          </cell>
          <cell r="E310">
            <v>0.69813888888888842</v>
          </cell>
          <cell r="F310">
            <v>60.802500000000002</v>
          </cell>
          <cell r="G310">
            <v>61.500638888888894</v>
          </cell>
          <cell r="H310">
            <v>1.5993609368600711E-2</v>
          </cell>
          <cell r="I310">
            <v>1.1832599999999969</v>
          </cell>
          <cell r="J310">
            <v>73.9833</v>
          </cell>
          <cell r="K310">
            <v>75.16655999999999</v>
          </cell>
          <cell r="L310">
            <v>2.0655321512158334E-2</v>
          </cell>
          <cell r="M310">
            <v>1.15711111111111E-2</v>
          </cell>
          <cell r="N310">
            <v>0.56020000000000003</v>
          </cell>
          <cell r="O310">
            <v>0.57177111111111112</v>
          </cell>
          <cell r="P310">
            <v>1.0946955690494867E-2</v>
          </cell>
          <cell r="Q310">
            <v>1.1910955555555536</v>
          </cell>
          <cell r="R310">
            <v>108.8061</v>
          </cell>
          <cell r="S310">
            <v>109.99719555555555</v>
          </cell>
          <cell r="T310">
            <v>1.9060937596801442E-2</v>
          </cell>
          <cell r="U310">
            <v>0.91616777777778047</v>
          </cell>
          <cell r="V310">
            <v>48.065199999999997</v>
          </cell>
          <cell r="W310">
            <v>48.981367777777777</v>
          </cell>
          <cell r="X310">
            <v>7.9734120242034232E-3</v>
          </cell>
          <cell r="Y310">
            <v>0.36558333333333426</v>
          </cell>
          <cell r="Z310">
            <v>45.850299999999997</v>
          </cell>
          <cell r="AA310">
            <v>46.215883333333331</v>
          </cell>
          <cell r="AB310">
            <v>1.3743197232087976E-2</v>
          </cell>
          <cell r="AC310">
            <v>0.68219444444444544</v>
          </cell>
          <cell r="AD310">
            <v>49.6387</v>
          </cell>
          <cell r="AE310">
            <v>50.320894444444448</v>
          </cell>
          <cell r="AF310">
            <v>1.1374643056889995E-2</v>
          </cell>
          <cell r="AG310">
            <v>0.18823555555555546</v>
          </cell>
          <cell r="AH310">
            <v>16.5487</v>
          </cell>
          <cell r="AI310">
            <v>16.736935555555554</v>
          </cell>
          <cell r="AJ310">
            <v>8.3249852879741012E-3</v>
          </cell>
          <cell r="AK310">
            <v>0.13237142857143219</v>
          </cell>
          <cell r="AL310">
            <v>15.900499999999999</v>
          </cell>
          <cell r="AM310">
            <v>16.032871428571433</v>
          </cell>
          <cell r="AN310">
            <v>1.2882447665056305E-2</v>
          </cell>
          <cell r="AO310">
            <v>9.8399999999999571E-2</v>
          </cell>
          <cell r="AP310">
            <v>7.6383000000000001</v>
          </cell>
          <cell r="AQ310">
            <v>7.7366999999999999</v>
          </cell>
          <cell r="AR310">
            <v>5.1168081868930597E-3</v>
          </cell>
          <cell r="AS310">
            <v>0.21319999999999836</v>
          </cell>
          <cell r="AT310">
            <v>41.666600000000003</v>
          </cell>
          <cell r="AU310">
            <v>41.879800000000003</v>
          </cell>
          <cell r="AV310">
            <v>1.1813893047825718E-2</v>
          </cell>
          <cell r="AW310">
            <v>0.41819999999998253</v>
          </cell>
          <cell r="AX310">
            <v>35.399000000000001</v>
          </cell>
          <cell r="AY310">
            <v>35.817199999999985</v>
          </cell>
          <cell r="AZ310">
            <v>8.3968996635648743E-3</v>
          </cell>
          <cell r="BA310">
            <v>6.4428571428566936E-2</v>
          </cell>
          <cell r="BB310">
            <v>7.6729000000000003</v>
          </cell>
          <cell r="BC310">
            <v>7.7373285714285673</v>
          </cell>
        </row>
        <row r="311">
          <cell r="B311">
            <v>263</v>
          </cell>
          <cell r="C311">
            <v>83</v>
          </cell>
          <cell r="D311">
            <v>1.1622100699441258E-2</v>
          </cell>
          <cell r="E311">
            <v>0.70665277777777724</v>
          </cell>
          <cell r="F311">
            <v>60.802500000000002</v>
          </cell>
          <cell r="G311">
            <v>61.509152777777778</v>
          </cell>
          <cell r="H311">
            <v>1.6188653385290963E-2</v>
          </cell>
          <cell r="I311">
            <v>1.1976899999999968</v>
          </cell>
          <cell r="J311">
            <v>73.9833</v>
          </cell>
          <cell r="K311">
            <v>75.180989999999994</v>
          </cell>
          <cell r="L311">
            <v>2.0907215676940757E-2</v>
          </cell>
          <cell r="M311">
            <v>1.1712222222222212E-2</v>
          </cell>
          <cell r="N311">
            <v>0.56020000000000003</v>
          </cell>
          <cell r="O311">
            <v>0.57191222222222227</v>
          </cell>
          <cell r="P311">
            <v>1.108045515013505E-2</v>
          </cell>
          <cell r="Q311">
            <v>1.2056211111111093</v>
          </cell>
          <cell r="R311">
            <v>108.8061</v>
          </cell>
          <cell r="S311">
            <v>110.01172111111111</v>
          </cell>
          <cell r="T311">
            <v>1.929338805529902E-2</v>
          </cell>
          <cell r="U311">
            <v>0.92734055555555839</v>
          </cell>
          <cell r="V311">
            <v>48.065199999999997</v>
          </cell>
          <cell r="W311">
            <v>48.992540555555557</v>
          </cell>
          <cell r="X311">
            <v>8.0706487562059049E-3</v>
          </cell>
          <cell r="Y311">
            <v>0.37004166666666755</v>
          </cell>
          <cell r="Z311">
            <v>45.850299999999997</v>
          </cell>
          <cell r="AA311">
            <v>46.220341666666663</v>
          </cell>
          <cell r="AB311">
            <v>1.3910797198332952E-2</v>
          </cell>
          <cell r="AC311">
            <v>0.69051388888888998</v>
          </cell>
          <cell r="AD311">
            <v>49.6387</v>
          </cell>
          <cell r="AE311">
            <v>50.329213888888887</v>
          </cell>
          <cell r="AF311">
            <v>1.1513358216120363E-2</v>
          </cell>
          <cell r="AG311">
            <v>0.19053111111111098</v>
          </cell>
          <cell r="AH311">
            <v>16.5487</v>
          </cell>
          <cell r="AI311">
            <v>16.73923111111111</v>
          </cell>
          <cell r="AJ311">
            <v>8.4265094988030548E-3</v>
          </cell>
          <cell r="AK311">
            <v>0.13398571428571796</v>
          </cell>
          <cell r="AL311">
            <v>15.900499999999999</v>
          </cell>
          <cell r="AM311">
            <v>16.034485714285719</v>
          </cell>
          <cell r="AN311">
            <v>1.303955068536187E-2</v>
          </cell>
          <cell r="AO311">
            <v>9.9599999999999564E-2</v>
          </cell>
          <cell r="AP311">
            <v>7.6383000000000001</v>
          </cell>
          <cell r="AQ311">
            <v>7.7378999999999998</v>
          </cell>
          <cell r="AR311">
            <v>5.179208286733219E-3</v>
          </cell>
          <cell r="AS311">
            <v>0.21579999999999835</v>
          </cell>
          <cell r="AT311">
            <v>41.666600000000003</v>
          </cell>
          <cell r="AU311">
            <v>41.882400000000004</v>
          </cell>
          <cell r="AV311">
            <v>1.1957964914262617E-2</v>
          </cell>
          <cell r="AW311">
            <v>0.42329999999998236</v>
          </cell>
          <cell r="AX311">
            <v>35.399000000000001</v>
          </cell>
          <cell r="AY311">
            <v>35.822299999999984</v>
          </cell>
          <cell r="AZ311">
            <v>8.499300878974202E-3</v>
          </cell>
          <cell r="BA311">
            <v>6.5214285714281159E-2</v>
          </cell>
          <cell r="BB311">
            <v>7.6729000000000003</v>
          </cell>
          <cell r="BC311">
            <v>7.7381142857142811</v>
          </cell>
        </row>
        <row r="312">
          <cell r="B312">
            <v>264</v>
          </cell>
          <cell r="C312">
            <v>84</v>
          </cell>
          <cell r="D312">
            <v>1.1762126009073084E-2</v>
          </cell>
          <cell r="E312">
            <v>0.71516666666666617</v>
          </cell>
          <cell r="F312">
            <v>60.802500000000002</v>
          </cell>
          <cell r="G312">
            <v>61.51766666666667</v>
          </cell>
          <cell r="H312">
            <v>1.6383697401981215E-2</v>
          </cell>
          <cell r="I312">
            <v>1.2121199999999968</v>
          </cell>
          <cell r="J312">
            <v>73.9833</v>
          </cell>
          <cell r="K312">
            <v>75.195419999999999</v>
          </cell>
          <cell r="L312">
            <v>2.1159109841723173E-2</v>
          </cell>
          <cell r="M312">
            <v>1.1853333333333323E-2</v>
          </cell>
          <cell r="N312">
            <v>0.56020000000000003</v>
          </cell>
          <cell r="O312">
            <v>0.5720533333333333</v>
          </cell>
          <cell r="P312">
            <v>1.1213954609775232E-2</v>
          </cell>
          <cell r="Q312">
            <v>1.2201466666666647</v>
          </cell>
          <cell r="R312">
            <v>108.8061</v>
          </cell>
          <cell r="S312">
            <v>110.02624666666667</v>
          </cell>
          <cell r="T312">
            <v>1.9525838513796596E-2</v>
          </cell>
          <cell r="U312">
            <v>0.9385133333333362</v>
          </cell>
          <cell r="V312">
            <v>48.065199999999997</v>
          </cell>
          <cell r="W312">
            <v>49.00371333333333</v>
          </cell>
          <cell r="X312">
            <v>8.1678854882083849E-3</v>
          </cell>
          <cell r="Y312">
            <v>0.37450000000000094</v>
          </cell>
          <cell r="Z312">
            <v>45.850299999999997</v>
          </cell>
          <cell r="AA312">
            <v>46.224799999999995</v>
          </cell>
          <cell r="AB312">
            <v>1.4078397164577929E-2</v>
          </cell>
          <cell r="AC312">
            <v>0.69883333333333442</v>
          </cell>
          <cell r="AD312">
            <v>49.6387</v>
          </cell>
          <cell r="AE312">
            <v>50.337533333333333</v>
          </cell>
          <cell r="AF312">
            <v>1.1652073375350727E-2</v>
          </cell>
          <cell r="AG312">
            <v>0.19282666666666656</v>
          </cell>
          <cell r="AH312">
            <v>16.5487</v>
          </cell>
          <cell r="AI312">
            <v>16.741526666666665</v>
          </cell>
          <cell r="AJ312">
            <v>8.5280337096320068E-3</v>
          </cell>
          <cell r="AK312">
            <v>0.13560000000000372</v>
          </cell>
          <cell r="AL312">
            <v>15.900499999999999</v>
          </cell>
          <cell r="AM312">
            <v>16.036100000000005</v>
          </cell>
          <cell r="AN312">
            <v>1.3196653705667433E-2</v>
          </cell>
          <cell r="AO312">
            <v>0.10079999999999956</v>
          </cell>
          <cell r="AP312">
            <v>7.6383000000000001</v>
          </cell>
          <cell r="AQ312">
            <v>7.7390999999999996</v>
          </cell>
          <cell r="AR312">
            <v>5.2416083865733784E-3</v>
          </cell>
          <cell r="AS312">
            <v>0.21839999999999832</v>
          </cell>
          <cell r="AT312">
            <v>41.666600000000003</v>
          </cell>
          <cell r="AU312">
            <v>41.884999999999998</v>
          </cell>
          <cell r="AV312">
            <v>1.2102036780699515E-2</v>
          </cell>
          <cell r="AW312">
            <v>0.42839999999998213</v>
          </cell>
          <cell r="AX312">
            <v>35.399000000000001</v>
          </cell>
          <cell r="AY312">
            <v>35.827399999999983</v>
          </cell>
          <cell r="AZ312">
            <v>8.6017020943835298E-3</v>
          </cell>
          <cell r="BA312">
            <v>6.5999999999995396E-2</v>
          </cell>
          <cell r="BB312">
            <v>7.6729000000000003</v>
          </cell>
          <cell r="BC312">
            <v>7.7388999999999957</v>
          </cell>
        </row>
        <row r="313">
          <cell r="B313">
            <v>265</v>
          </cell>
          <cell r="C313">
            <v>85</v>
          </cell>
          <cell r="D313">
            <v>1.1902151318704904E-2</v>
          </cell>
          <cell r="E313">
            <v>0.72368055555555499</v>
          </cell>
          <cell r="F313">
            <v>60.802500000000002</v>
          </cell>
          <cell r="G313">
            <v>61.526180555555555</v>
          </cell>
          <cell r="H313">
            <v>1.657874141867147E-2</v>
          </cell>
          <cell r="I313">
            <v>1.2265499999999969</v>
          </cell>
          <cell r="J313">
            <v>73.9833</v>
          </cell>
          <cell r="K313">
            <v>75.209850000000003</v>
          </cell>
          <cell r="L313">
            <v>2.1411004006505592E-2</v>
          </cell>
          <cell r="M313">
            <v>1.1994444444444434E-2</v>
          </cell>
          <cell r="N313">
            <v>0.56020000000000003</v>
          </cell>
          <cell r="O313">
            <v>0.57219444444444445</v>
          </cell>
          <cell r="P313">
            <v>1.1347454069415413E-2</v>
          </cell>
          <cell r="Q313">
            <v>1.2346722222222202</v>
          </cell>
          <cell r="R313">
            <v>108.8061</v>
          </cell>
          <cell r="S313">
            <v>110.04077222222222</v>
          </cell>
          <cell r="T313">
            <v>1.9758288972294178E-2</v>
          </cell>
          <cell r="U313">
            <v>0.94968611111111401</v>
          </cell>
          <cell r="V313">
            <v>48.065199999999997</v>
          </cell>
          <cell r="W313">
            <v>49.01488611111111</v>
          </cell>
          <cell r="X313">
            <v>8.2651222202108666E-3</v>
          </cell>
          <cell r="Y313">
            <v>0.37895833333333429</v>
          </cell>
          <cell r="Z313">
            <v>45.850299999999997</v>
          </cell>
          <cell r="AA313">
            <v>46.229258333333334</v>
          </cell>
          <cell r="AB313">
            <v>1.4245997130822904E-2</v>
          </cell>
          <cell r="AC313">
            <v>0.70715277777777885</v>
          </cell>
          <cell r="AD313">
            <v>49.6387</v>
          </cell>
          <cell r="AE313">
            <v>50.345852777777779</v>
          </cell>
          <cell r="AF313">
            <v>1.1790788534581091E-2</v>
          </cell>
          <cell r="AG313">
            <v>0.19512222222222214</v>
          </cell>
          <cell r="AH313">
            <v>16.5487</v>
          </cell>
          <cell r="AI313">
            <v>16.743822222222221</v>
          </cell>
          <cell r="AJ313">
            <v>8.6295579204609587E-3</v>
          </cell>
          <cell r="AK313">
            <v>0.13721428571428948</v>
          </cell>
          <cell r="AL313">
            <v>15.900499999999999</v>
          </cell>
          <cell r="AM313">
            <v>16.037714285714287</v>
          </cell>
          <cell r="AN313">
            <v>1.3353756725972998E-2</v>
          </cell>
          <cell r="AO313">
            <v>0.10199999999999955</v>
          </cell>
          <cell r="AP313">
            <v>7.6383000000000001</v>
          </cell>
          <cell r="AQ313">
            <v>7.7402999999999995</v>
          </cell>
          <cell r="AR313">
            <v>5.3040084864135377E-3</v>
          </cell>
          <cell r="AS313">
            <v>0.22099999999999831</v>
          </cell>
          <cell r="AT313">
            <v>41.666600000000003</v>
          </cell>
          <cell r="AU313">
            <v>41.887599999999999</v>
          </cell>
          <cell r="AV313">
            <v>1.2246108647136414E-2</v>
          </cell>
          <cell r="AW313">
            <v>0.4334999999999819</v>
          </cell>
          <cell r="AX313">
            <v>35.399000000000001</v>
          </cell>
          <cell r="AY313">
            <v>35.832499999999982</v>
          </cell>
          <cell r="AZ313">
            <v>8.7041033097928575E-3</v>
          </cell>
          <cell r="BA313">
            <v>6.6785714285709633E-2</v>
          </cell>
          <cell r="BB313">
            <v>7.6729000000000003</v>
          </cell>
          <cell r="BC313">
            <v>7.7396857142857103</v>
          </cell>
        </row>
        <row r="314">
          <cell r="B314">
            <v>266</v>
          </cell>
          <cell r="C314">
            <v>86</v>
          </cell>
          <cell r="D314">
            <v>1.2042176628336726E-2</v>
          </cell>
          <cell r="E314">
            <v>0.73219444444444393</v>
          </cell>
          <cell r="F314">
            <v>60.802500000000002</v>
          </cell>
          <cell r="G314">
            <v>61.534694444444447</v>
          </cell>
          <cell r="H314">
            <v>1.6773785435361722E-2</v>
          </cell>
          <cell r="I314">
            <v>1.2409799999999969</v>
          </cell>
          <cell r="J314">
            <v>73.9833</v>
          </cell>
          <cell r="K314">
            <v>75.224279999999993</v>
          </cell>
          <cell r="L314">
            <v>2.1662898171288011E-2</v>
          </cell>
          <cell r="M314">
            <v>1.2135555555555547E-2</v>
          </cell>
          <cell r="N314">
            <v>0.56020000000000003</v>
          </cell>
          <cell r="O314">
            <v>0.5723355555555556</v>
          </cell>
          <cell r="P314">
            <v>1.1480953529055595E-2</v>
          </cell>
          <cell r="Q314">
            <v>1.2491977777777759</v>
          </cell>
          <cell r="R314">
            <v>108.8061</v>
          </cell>
          <cell r="S314">
            <v>110.05529777777778</v>
          </cell>
          <cell r="T314">
            <v>1.9990739430791753E-2</v>
          </cell>
          <cell r="U314">
            <v>0.96085888888889193</v>
          </cell>
          <cell r="V314">
            <v>48.065199999999997</v>
          </cell>
          <cell r="W314">
            <v>49.02605888888889</v>
          </cell>
          <cell r="X314">
            <v>8.3623589522133467E-3</v>
          </cell>
          <cell r="Y314">
            <v>0.38341666666666763</v>
          </cell>
          <cell r="Z314">
            <v>45.850299999999997</v>
          </cell>
          <cell r="AA314">
            <v>46.233716666666666</v>
          </cell>
          <cell r="AB314">
            <v>1.441359709706788E-2</v>
          </cell>
          <cell r="AC314">
            <v>0.71547222222222329</v>
          </cell>
          <cell r="AD314">
            <v>49.6387</v>
          </cell>
          <cell r="AE314">
            <v>50.354172222222225</v>
          </cell>
          <cell r="AF314">
            <v>1.1929503693811459E-2</v>
          </cell>
          <cell r="AG314">
            <v>0.19741777777777766</v>
          </cell>
          <cell r="AH314">
            <v>16.5487</v>
          </cell>
          <cell r="AI314">
            <v>16.746117777777776</v>
          </cell>
          <cell r="AJ314">
            <v>8.7310821312899124E-3</v>
          </cell>
          <cell r="AK314">
            <v>0.13882857142857524</v>
          </cell>
          <cell r="AL314">
            <v>15.900499999999999</v>
          </cell>
          <cell r="AM314">
            <v>16.039328571428573</v>
          </cell>
          <cell r="AN314">
            <v>1.3510859746278563E-2</v>
          </cell>
          <cell r="AO314">
            <v>0.10319999999999954</v>
          </cell>
          <cell r="AP314">
            <v>7.6383000000000001</v>
          </cell>
          <cell r="AQ314">
            <v>7.7414999999999994</v>
          </cell>
          <cell r="AR314">
            <v>5.3664085862536962E-3</v>
          </cell>
          <cell r="AS314">
            <v>0.2235999999999983</v>
          </cell>
          <cell r="AT314">
            <v>41.666600000000003</v>
          </cell>
          <cell r="AU314">
            <v>41.8902</v>
          </cell>
          <cell r="AV314">
            <v>1.2390180513573313E-2</v>
          </cell>
          <cell r="AW314">
            <v>0.43859999999998173</v>
          </cell>
          <cell r="AX314">
            <v>35.399000000000001</v>
          </cell>
          <cell r="AY314">
            <v>35.837599999999981</v>
          </cell>
          <cell r="AZ314">
            <v>8.8065045252021853E-3</v>
          </cell>
          <cell r="BA314">
            <v>6.7571428571423856E-2</v>
          </cell>
          <cell r="BB314">
            <v>7.6729000000000003</v>
          </cell>
          <cell r="BC314">
            <v>7.740471428571424</v>
          </cell>
        </row>
        <row r="315">
          <cell r="B315">
            <v>267</v>
          </cell>
          <cell r="C315">
            <v>87</v>
          </cell>
          <cell r="D315">
            <v>1.2182201937968548E-2</v>
          </cell>
          <cell r="E315">
            <v>0.74070833333333275</v>
          </cell>
          <cell r="F315">
            <v>60.802500000000002</v>
          </cell>
          <cell r="G315">
            <v>61.543208333333332</v>
          </cell>
          <cell r="H315">
            <v>1.6968829452051973E-2</v>
          </cell>
          <cell r="I315">
            <v>1.2554099999999968</v>
          </cell>
          <cell r="J315">
            <v>73.9833</v>
          </cell>
          <cell r="K315">
            <v>75.238709999999998</v>
          </cell>
          <cell r="L315">
            <v>2.1914792336070431E-2</v>
          </cell>
          <cell r="M315">
            <v>1.2276666666666656E-2</v>
          </cell>
          <cell r="N315">
            <v>0.56020000000000003</v>
          </cell>
          <cell r="O315">
            <v>0.57247666666666663</v>
          </cell>
          <cell r="P315">
            <v>1.1614452988695774E-2</v>
          </cell>
          <cell r="Q315">
            <v>1.2637233333333313</v>
          </cell>
          <cell r="R315">
            <v>108.8061</v>
          </cell>
          <cell r="S315">
            <v>110.06982333333333</v>
          </cell>
          <cell r="T315">
            <v>2.0223189889289332E-2</v>
          </cell>
          <cell r="U315">
            <v>0.97203166666666962</v>
          </cell>
          <cell r="V315">
            <v>48.065199999999997</v>
          </cell>
          <cell r="W315">
            <v>49.037231666666663</v>
          </cell>
          <cell r="X315">
            <v>8.4595956842158267E-3</v>
          </cell>
          <cell r="Y315">
            <v>0.38787500000000091</v>
          </cell>
          <cell r="Z315">
            <v>45.850299999999997</v>
          </cell>
          <cell r="AA315">
            <v>46.238174999999998</v>
          </cell>
          <cell r="AB315">
            <v>1.4581197063312856E-2</v>
          </cell>
          <cell r="AC315">
            <v>0.72379166666666772</v>
          </cell>
          <cell r="AD315">
            <v>49.6387</v>
          </cell>
          <cell r="AE315">
            <v>50.362491666666671</v>
          </cell>
          <cell r="AF315">
            <v>1.2068218853041825E-2</v>
          </cell>
          <cell r="AG315">
            <v>0.19971333333333322</v>
          </cell>
          <cell r="AH315">
            <v>16.5487</v>
          </cell>
          <cell r="AI315">
            <v>16.748413333333332</v>
          </cell>
          <cell r="AJ315">
            <v>8.8326063421188643E-3</v>
          </cell>
          <cell r="AK315">
            <v>0.14044285714286101</v>
          </cell>
          <cell r="AL315">
            <v>15.900499999999999</v>
          </cell>
          <cell r="AM315">
            <v>16.040942857142859</v>
          </cell>
          <cell r="AN315">
            <v>1.366796276658413E-2</v>
          </cell>
          <cell r="AO315">
            <v>0.10439999999999953</v>
          </cell>
          <cell r="AP315">
            <v>7.6383000000000001</v>
          </cell>
          <cell r="AQ315">
            <v>7.7426999999999992</v>
          </cell>
          <cell r="AR315">
            <v>5.4288086860938556E-3</v>
          </cell>
          <cell r="AS315">
            <v>0.22619999999999826</v>
          </cell>
          <cell r="AT315">
            <v>41.666600000000003</v>
          </cell>
          <cell r="AU315">
            <v>41.892800000000001</v>
          </cell>
          <cell r="AV315">
            <v>1.2534252380010213E-2</v>
          </cell>
          <cell r="AW315">
            <v>0.4436999999999815</v>
          </cell>
          <cell r="AX315">
            <v>35.399000000000001</v>
          </cell>
          <cell r="AY315">
            <v>35.842699999999979</v>
          </cell>
          <cell r="AZ315">
            <v>8.908905740611513E-3</v>
          </cell>
          <cell r="BA315">
            <v>6.8357142857138092E-2</v>
          </cell>
          <cell r="BB315">
            <v>7.6729000000000003</v>
          </cell>
          <cell r="BC315">
            <v>7.7412571428571386</v>
          </cell>
        </row>
        <row r="316">
          <cell r="B316">
            <v>268</v>
          </cell>
          <cell r="C316">
            <v>88</v>
          </cell>
          <cell r="D316">
            <v>1.2322227247600372E-2</v>
          </cell>
          <cell r="E316">
            <v>0.74922222222222168</v>
          </cell>
          <cell r="F316">
            <v>60.802500000000002</v>
          </cell>
          <cell r="G316">
            <v>61.551722222222224</v>
          </cell>
          <cell r="H316">
            <v>1.7163873468742225E-2</v>
          </cell>
          <cell r="I316">
            <v>1.2698399999999967</v>
          </cell>
          <cell r="J316">
            <v>73.9833</v>
          </cell>
          <cell r="K316">
            <v>75.253140000000002</v>
          </cell>
          <cell r="L316">
            <v>2.2166686500852847E-2</v>
          </cell>
          <cell r="M316">
            <v>1.2417777777777767E-2</v>
          </cell>
          <cell r="N316">
            <v>0.56020000000000003</v>
          </cell>
          <cell r="O316">
            <v>0.57261777777777778</v>
          </cell>
          <cell r="P316">
            <v>1.1747952448335958E-2</v>
          </cell>
          <cell r="Q316">
            <v>1.2782488888888868</v>
          </cell>
          <cell r="R316">
            <v>108.8061</v>
          </cell>
          <cell r="S316">
            <v>110.08434888888888</v>
          </cell>
          <cell r="T316">
            <v>2.0455640347786911E-2</v>
          </cell>
          <cell r="U316">
            <v>0.98320444444444743</v>
          </cell>
          <cell r="V316">
            <v>48.065199999999997</v>
          </cell>
          <cell r="W316">
            <v>49.048404444444444</v>
          </cell>
          <cell r="X316">
            <v>8.5568324162183084E-3</v>
          </cell>
          <cell r="Y316">
            <v>0.39233333333333431</v>
          </cell>
          <cell r="Z316">
            <v>45.850299999999997</v>
          </cell>
          <cell r="AA316">
            <v>46.24263333333333</v>
          </cell>
          <cell r="AB316">
            <v>1.4748797029557829E-2</v>
          </cell>
          <cell r="AC316">
            <v>0.73211111111111227</v>
          </cell>
          <cell r="AD316">
            <v>49.6387</v>
          </cell>
          <cell r="AE316">
            <v>50.370811111111109</v>
          </cell>
          <cell r="AF316">
            <v>1.2206934012272189E-2</v>
          </cell>
          <cell r="AG316">
            <v>0.20200888888888879</v>
          </cell>
          <cell r="AH316">
            <v>16.5487</v>
          </cell>
          <cell r="AI316">
            <v>16.750708888888887</v>
          </cell>
          <cell r="AJ316">
            <v>8.9341305529478162E-3</v>
          </cell>
          <cell r="AK316">
            <v>0.14205714285714674</v>
          </cell>
          <cell r="AL316">
            <v>15.900499999999999</v>
          </cell>
          <cell r="AM316">
            <v>16.042557142857145</v>
          </cell>
          <cell r="AN316">
            <v>1.3825065786889693E-2</v>
          </cell>
          <cell r="AO316">
            <v>0.10559999999999954</v>
          </cell>
          <cell r="AP316">
            <v>7.6383000000000001</v>
          </cell>
          <cell r="AQ316">
            <v>7.7439</v>
          </cell>
          <cell r="AR316">
            <v>5.4912087859340149E-3</v>
          </cell>
          <cell r="AS316">
            <v>0.22879999999999825</v>
          </cell>
          <cell r="AT316">
            <v>41.666600000000003</v>
          </cell>
          <cell r="AU316">
            <v>41.895400000000002</v>
          </cell>
          <cell r="AV316">
            <v>1.2678324246447112E-2</v>
          </cell>
          <cell r="AW316">
            <v>0.44879999999998127</v>
          </cell>
          <cell r="AX316">
            <v>35.399000000000001</v>
          </cell>
          <cell r="AY316">
            <v>35.847799999999985</v>
          </cell>
          <cell r="AZ316">
            <v>9.0113069560208408E-3</v>
          </cell>
          <cell r="BA316">
            <v>6.9142857142852315E-2</v>
          </cell>
          <cell r="BB316">
            <v>7.6729000000000003</v>
          </cell>
          <cell r="BC316">
            <v>7.7420428571428523</v>
          </cell>
        </row>
        <row r="317">
          <cell r="B317">
            <v>269</v>
          </cell>
          <cell r="C317">
            <v>89</v>
          </cell>
          <cell r="D317">
            <v>1.2462252557232194E-2</v>
          </cell>
          <cell r="E317">
            <v>0.7577361111111105</v>
          </cell>
          <cell r="F317">
            <v>60.802500000000002</v>
          </cell>
          <cell r="G317">
            <v>61.560236111111109</v>
          </cell>
          <cell r="H317">
            <v>1.735891748543248E-2</v>
          </cell>
          <cell r="I317">
            <v>1.2842699999999967</v>
          </cell>
          <cell r="J317">
            <v>73.9833</v>
          </cell>
          <cell r="K317">
            <v>75.267569999999992</v>
          </cell>
          <cell r="L317">
            <v>2.241858066563527E-2</v>
          </cell>
          <cell r="M317">
            <v>1.2558888888888878E-2</v>
          </cell>
          <cell r="N317">
            <v>0.56020000000000003</v>
          </cell>
          <cell r="O317">
            <v>0.57275888888888893</v>
          </cell>
          <cell r="P317">
            <v>1.1881451907976136E-2</v>
          </cell>
          <cell r="Q317">
            <v>1.2927744444444424</v>
          </cell>
          <cell r="R317">
            <v>108.8061</v>
          </cell>
          <cell r="S317">
            <v>110.09887444444445</v>
          </cell>
          <cell r="T317">
            <v>2.068809080628449E-2</v>
          </cell>
          <cell r="U317">
            <v>0.99437722222222524</v>
          </cell>
          <cell r="V317">
            <v>48.065199999999997</v>
          </cell>
          <cell r="W317">
            <v>49.059577222222224</v>
          </cell>
          <cell r="X317">
            <v>8.6540691482207902E-3</v>
          </cell>
          <cell r="Y317">
            <v>0.39679166666666771</v>
          </cell>
          <cell r="Z317">
            <v>45.850299999999997</v>
          </cell>
          <cell r="AA317">
            <v>46.247091666666662</v>
          </cell>
          <cell r="AB317">
            <v>1.4916396995802805E-2</v>
          </cell>
          <cell r="AC317">
            <v>0.7404305555555567</v>
          </cell>
          <cell r="AD317">
            <v>49.6387</v>
          </cell>
          <cell r="AE317">
            <v>50.379130555555555</v>
          </cell>
          <cell r="AF317">
            <v>1.2345649171502555E-2</v>
          </cell>
          <cell r="AG317">
            <v>0.20430444444444437</v>
          </cell>
          <cell r="AH317">
            <v>16.5487</v>
          </cell>
          <cell r="AI317">
            <v>16.753004444444443</v>
          </cell>
          <cell r="AJ317">
            <v>9.0356547637767699E-3</v>
          </cell>
          <cell r="AK317">
            <v>0.1436714285714325</v>
          </cell>
          <cell r="AL317">
            <v>15.900499999999999</v>
          </cell>
          <cell r="AM317">
            <v>16.044171428571431</v>
          </cell>
          <cell r="AN317">
            <v>1.3982168807195258E-2</v>
          </cell>
          <cell r="AO317">
            <v>0.10679999999999953</v>
          </cell>
          <cell r="AP317">
            <v>7.6383000000000001</v>
          </cell>
          <cell r="AQ317">
            <v>7.7450999999999999</v>
          </cell>
          <cell r="AR317">
            <v>5.5536088857741743E-3</v>
          </cell>
          <cell r="AS317">
            <v>0.23139999999999822</v>
          </cell>
          <cell r="AT317">
            <v>41.666600000000003</v>
          </cell>
          <cell r="AU317">
            <v>41.898000000000003</v>
          </cell>
          <cell r="AV317">
            <v>1.2822396112884009E-2</v>
          </cell>
          <cell r="AW317">
            <v>0.45389999999998104</v>
          </cell>
          <cell r="AX317">
            <v>35.399000000000001</v>
          </cell>
          <cell r="AY317">
            <v>35.852899999999984</v>
          </cell>
          <cell r="AZ317">
            <v>9.1137081714301703E-3</v>
          </cell>
          <cell r="BA317">
            <v>6.9928571428566552E-2</v>
          </cell>
          <cell r="BB317">
            <v>7.6729000000000003</v>
          </cell>
          <cell r="BC317">
            <v>7.742828571428567</v>
          </cell>
        </row>
        <row r="318">
          <cell r="B318">
            <v>270</v>
          </cell>
          <cell r="C318">
            <v>90</v>
          </cell>
          <cell r="D318">
            <v>1.2602277866864017E-2</v>
          </cell>
          <cell r="E318">
            <v>0.76624999999999943</v>
          </cell>
          <cell r="F318">
            <v>60.802500000000002</v>
          </cell>
          <cell r="G318">
            <v>61.568750000000001</v>
          </cell>
          <cell r="H318">
            <v>1.7553961502122732E-2</v>
          </cell>
          <cell r="I318">
            <v>1.2986999999999966</v>
          </cell>
          <cell r="J318">
            <v>73.9833</v>
          </cell>
          <cell r="K318">
            <v>75.281999999999996</v>
          </cell>
          <cell r="L318">
            <v>2.2670474830417682E-2</v>
          </cell>
          <cell r="M318">
            <v>1.2699999999999987E-2</v>
          </cell>
          <cell r="N318">
            <v>0.56020000000000003</v>
          </cell>
          <cell r="O318">
            <v>0.57289999999999996</v>
          </cell>
          <cell r="P318">
            <v>1.201495136761632E-2</v>
          </cell>
          <cell r="Q318">
            <v>1.3072999999999979</v>
          </cell>
          <cell r="R318">
            <v>108.8061</v>
          </cell>
          <cell r="S318">
            <v>110.1134</v>
          </cell>
          <cell r="T318">
            <v>2.0920541264782069E-2</v>
          </cell>
          <cell r="U318">
            <v>1.0055500000000031</v>
          </cell>
          <cell r="V318">
            <v>48.065199999999997</v>
          </cell>
          <cell r="W318">
            <v>49.070750000000004</v>
          </cell>
          <cell r="X318">
            <v>8.7513058802232702E-3</v>
          </cell>
          <cell r="Y318">
            <v>0.40125000000000099</v>
          </cell>
          <cell r="Z318">
            <v>45.850299999999997</v>
          </cell>
          <cell r="AA318">
            <v>46.251549999999995</v>
          </cell>
          <cell r="AB318">
            <v>1.5083996962047781E-2</v>
          </cell>
          <cell r="AC318">
            <v>0.74875000000000114</v>
          </cell>
          <cell r="AD318">
            <v>49.6387</v>
          </cell>
          <cell r="AE318">
            <v>50.387450000000001</v>
          </cell>
          <cell r="AF318">
            <v>1.2484364330732921E-2</v>
          </cell>
          <cell r="AG318">
            <v>0.20659999999999989</v>
          </cell>
          <cell r="AH318">
            <v>16.5487</v>
          </cell>
          <cell r="AI318">
            <v>16.755299999999998</v>
          </cell>
          <cell r="AJ318">
            <v>9.1371789746057218E-3</v>
          </cell>
          <cell r="AK318">
            <v>0.14528571428571826</v>
          </cell>
          <cell r="AL318">
            <v>15.900499999999999</v>
          </cell>
          <cell r="AM318">
            <v>16.045785714285717</v>
          </cell>
          <cell r="AN318">
            <v>1.4139271827500823E-2</v>
          </cell>
          <cell r="AO318">
            <v>0.10799999999999953</v>
          </cell>
          <cell r="AP318">
            <v>7.6383000000000001</v>
          </cell>
          <cell r="AQ318">
            <v>7.7462999999999997</v>
          </cell>
          <cell r="AR318">
            <v>5.6160089856143337E-3</v>
          </cell>
          <cell r="AS318">
            <v>0.23399999999999821</v>
          </cell>
          <cell r="AT318">
            <v>41.666600000000003</v>
          </cell>
          <cell r="AU318">
            <v>41.900599999999997</v>
          </cell>
          <cell r="AV318">
            <v>1.296646797932091E-2</v>
          </cell>
          <cell r="AW318">
            <v>0.45899999999998087</v>
          </cell>
          <cell r="AX318">
            <v>35.399000000000001</v>
          </cell>
          <cell r="AY318">
            <v>35.857999999999983</v>
          </cell>
          <cell r="AZ318">
            <v>9.2161093868394963E-3</v>
          </cell>
          <cell r="BA318">
            <v>7.0714285714280775E-2</v>
          </cell>
          <cell r="BB318">
            <v>7.6729000000000003</v>
          </cell>
          <cell r="BC318">
            <v>7.7436142857142807</v>
          </cell>
        </row>
        <row r="319">
          <cell r="B319">
            <v>271</v>
          </cell>
          <cell r="C319">
            <v>91</v>
          </cell>
          <cell r="D319">
            <v>1.2742303176495839E-2</v>
          </cell>
          <cell r="E319">
            <v>0.77476388888888836</v>
          </cell>
          <cell r="F319">
            <v>60.802500000000002</v>
          </cell>
          <cell r="G319">
            <v>61.577263888888893</v>
          </cell>
          <cell r="H319">
            <v>1.7749005518812984E-2</v>
          </cell>
          <cell r="I319">
            <v>1.3131299999999966</v>
          </cell>
          <cell r="J319">
            <v>73.9833</v>
          </cell>
          <cell r="K319">
            <v>75.296430000000001</v>
          </cell>
          <cell r="L319">
            <v>2.2922368995200105E-2</v>
          </cell>
          <cell r="M319">
            <v>1.28411111111111E-2</v>
          </cell>
          <cell r="N319">
            <v>0.56020000000000003</v>
          </cell>
          <cell r="O319">
            <v>0.57304111111111111</v>
          </cell>
          <cell r="P319">
            <v>1.2148450827256499E-2</v>
          </cell>
          <cell r="Q319">
            <v>1.3218255555555534</v>
          </cell>
          <cell r="R319">
            <v>108.8061</v>
          </cell>
          <cell r="S319">
            <v>110.12792555555555</v>
          </cell>
          <cell r="T319">
            <v>2.1152991723279647E-2</v>
          </cell>
          <cell r="U319">
            <v>1.016722777777781</v>
          </cell>
          <cell r="V319">
            <v>48.065199999999997</v>
          </cell>
          <cell r="W319">
            <v>49.081922777777777</v>
          </cell>
          <cell r="X319">
            <v>8.8485426122257502E-3</v>
          </cell>
          <cell r="Y319">
            <v>0.40570833333333428</v>
          </cell>
          <cell r="Z319">
            <v>45.850299999999997</v>
          </cell>
          <cell r="AA319">
            <v>46.256008333333334</v>
          </cell>
          <cell r="AB319">
            <v>1.5251596928292756E-2</v>
          </cell>
          <cell r="AC319">
            <v>0.75706944444444557</v>
          </cell>
          <cell r="AD319">
            <v>49.6387</v>
          </cell>
          <cell r="AE319">
            <v>50.395769444444447</v>
          </cell>
          <cell r="AF319">
            <v>1.2623079489963288E-2</v>
          </cell>
          <cell r="AG319">
            <v>0.20889555555555542</v>
          </cell>
          <cell r="AH319">
            <v>16.5487</v>
          </cell>
          <cell r="AI319">
            <v>16.757595555555557</v>
          </cell>
          <cell r="AJ319">
            <v>9.2387031854346737E-3</v>
          </cell>
          <cell r="AK319">
            <v>0.14690000000000403</v>
          </cell>
          <cell r="AL319">
            <v>15.900499999999999</v>
          </cell>
          <cell r="AM319">
            <v>16.047400000000003</v>
          </cell>
          <cell r="AN319">
            <v>1.4296374847806386E-2</v>
          </cell>
          <cell r="AO319">
            <v>0.10919999999999952</v>
          </cell>
          <cell r="AP319">
            <v>7.6383000000000001</v>
          </cell>
          <cell r="AQ319">
            <v>7.7474999999999996</v>
          </cell>
          <cell r="AR319">
            <v>5.678409085454493E-3</v>
          </cell>
          <cell r="AS319">
            <v>0.2365999999999982</v>
          </cell>
          <cell r="AT319">
            <v>41.666600000000003</v>
          </cell>
          <cell r="AU319">
            <v>41.903199999999998</v>
          </cell>
          <cell r="AV319">
            <v>1.311053984575781E-2</v>
          </cell>
          <cell r="AW319">
            <v>0.46409999999998064</v>
          </cell>
          <cell r="AX319">
            <v>35.399000000000001</v>
          </cell>
          <cell r="AY319">
            <v>35.863099999999982</v>
          </cell>
          <cell r="AZ319">
            <v>9.3185106022488241E-3</v>
          </cell>
          <cell r="BA319">
            <v>7.1499999999995012E-2</v>
          </cell>
          <cell r="BB319">
            <v>7.6729000000000003</v>
          </cell>
          <cell r="BC319">
            <v>7.7443999999999953</v>
          </cell>
        </row>
        <row r="320">
          <cell r="B320">
            <v>272</v>
          </cell>
          <cell r="C320">
            <v>92</v>
          </cell>
          <cell r="D320">
            <v>1.2882328486127663E-2</v>
          </cell>
          <cell r="E320">
            <v>0.78327777777777718</v>
          </cell>
          <cell r="F320">
            <v>60.802500000000002</v>
          </cell>
          <cell r="G320">
            <v>61.585777777777778</v>
          </cell>
          <cell r="H320">
            <v>1.7944049535503236E-2</v>
          </cell>
          <cell r="I320">
            <v>1.3275599999999965</v>
          </cell>
          <cell r="J320">
            <v>73.9833</v>
          </cell>
          <cell r="K320">
            <v>75.310859999999991</v>
          </cell>
          <cell r="L320">
            <v>2.3174263159982524E-2</v>
          </cell>
          <cell r="M320">
            <v>1.2982222222222211E-2</v>
          </cell>
          <cell r="N320">
            <v>0.56020000000000003</v>
          </cell>
          <cell r="O320">
            <v>0.57318222222222226</v>
          </cell>
          <cell r="P320">
            <v>1.2281950286896683E-2</v>
          </cell>
          <cell r="Q320">
            <v>1.336351111111109</v>
          </cell>
          <cell r="R320">
            <v>108.8061</v>
          </cell>
          <cell r="S320">
            <v>110.14245111111111</v>
          </cell>
          <cell r="T320">
            <v>2.1385442181777226E-2</v>
          </cell>
          <cell r="U320">
            <v>1.0278955555555587</v>
          </cell>
          <cell r="V320">
            <v>48.065199999999997</v>
          </cell>
          <cell r="W320">
            <v>49.093095555555557</v>
          </cell>
          <cell r="X320">
            <v>8.9457793442282319E-3</v>
          </cell>
          <cell r="Y320">
            <v>0.41016666666666768</v>
          </cell>
          <cell r="Z320">
            <v>45.850299999999997</v>
          </cell>
          <cell r="AA320">
            <v>46.260466666666666</v>
          </cell>
          <cell r="AB320">
            <v>1.541919689453773E-2</v>
          </cell>
          <cell r="AC320">
            <v>0.76538888888889001</v>
          </cell>
          <cell r="AD320">
            <v>49.6387</v>
          </cell>
          <cell r="AE320">
            <v>50.404088888888893</v>
          </cell>
          <cell r="AF320">
            <v>1.2761794649193652E-2</v>
          </cell>
          <cell r="AG320">
            <v>0.211191111111111</v>
          </cell>
          <cell r="AH320">
            <v>16.5487</v>
          </cell>
          <cell r="AI320">
            <v>16.759891111111113</v>
          </cell>
          <cell r="AJ320">
            <v>9.3402273962636274E-3</v>
          </cell>
          <cell r="AK320">
            <v>0.14851428571428979</v>
          </cell>
          <cell r="AL320">
            <v>15.900499999999999</v>
          </cell>
          <cell r="AM320">
            <v>16.049014285714289</v>
          </cell>
          <cell r="AN320">
            <v>1.4453477868111951E-2</v>
          </cell>
          <cell r="AO320">
            <v>0.11039999999999951</v>
          </cell>
          <cell r="AP320">
            <v>7.6383000000000001</v>
          </cell>
          <cell r="AQ320">
            <v>7.7486999999999995</v>
          </cell>
          <cell r="AR320">
            <v>5.7408091852946524E-3</v>
          </cell>
          <cell r="AS320">
            <v>0.23919999999999816</v>
          </cell>
          <cell r="AT320">
            <v>41.666600000000003</v>
          </cell>
          <cell r="AU320">
            <v>41.905799999999999</v>
          </cell>
          <cell r="AV320">
            <v>1.3254611712194707E-2</v>
          </cell>
          <cell r="AW320">
            <v>0.46919999999998041</v>
          </cell>
          <cell r="AX320">
            <v>35.399000000000001</v>
          </cell>
          <cell r="AY320">
            <v>35.86819999999998</v>
          </cell>
          <cell r="AZ320">
            <v>9.4209118176581518E-3</v>
          </cell>
          <cell r="BA320">
            <v>7.2285714285709249E-2</v>
          </cell>
          <cell r="BB320">
            <v>7.6729000000000003</v>
          </cell>
          <cell r="BC320">
            <v>7.7451857142857099</v>
          </cell>
        </row>
        <row r="321">
          <cell r="B321">
            <v>273</v>
          </cell>
          <cell r="C321">
            <v>93</v>
          </cell>
          <cell r="D321">
            <v>1.3022353795759485E-2</v>
          </cell>
          <cell r="E321">
            <v>0.79179166666666612</v>
          </cell>
          <cell r="F321">
            <v>60.802500000000002</v>
          </cell>
          <cell r="G321">
            <v>61.59429166666667</v>
          </cell>
          <cell r="H321">
            <v>1.8139093552193491E-2</v>
          </cell>
          <cell r="I321">
            <v>1.3419899999999965</v>
          </cell>
          <cell r="J321">
            <v>73.9833</v>
          </cell>
          <cell r="K321">
            <v>75.325289999999995</v>
          </cell>
          <cell r="L321">
            <v>2.342615732476494E-2</v>
          </cell>
          <cell r="M321">
            <v>1.3123333333333322E-2</v>
          </cell>
          <cell r="N321">
            <v>0.56020000000000003</v>
          </cell>
          <cell r="O321">
            <v>0.57332333333333341</v>
          </cell>
          <cell r="P321">
            <v>1.2415449746536862E-2</v>
          </cell>
          <cell r="Q321">
            <v>1.3508766666666645</v>
          </cell>
          <cell r="R321">
            <v>108.8061</v>
          </cell>
          <cell r="S321">
            <v>110.15697666666667</v>
          </cell>
          <cell r="T321">
            <v>2.1617892640274805E-2</v>
          </cell>
          <cell r="U321">
            <v>1.0390683333333364</v>
          </cell>
          <cell r="V321">
            <v>48.065199999999997</v>
          </cell>
          <cell r="W321">
            <v>49.104268333333337</v>
          </cell>
          <cell r="X321">
            <v>9.0430160762307137E-3</v>
          </cell>
          <cell r="Y321">
            <v>0.41462500000000108</v>
          </cell>
          <cell r="Z321">
            <v>45.850299999999997</v>
          </cell>
          <cell r="AA321">
            <v>46.264924999999998</v>
          </cell>
          <cell r="AB321">
            <v>1.5586796860782706E-2</v>
          </cell>
          <cell r="AC321">
            <v>0.77370833333333455</v>
          </cell>
          <cell r="AD321">
            <v>49.6387</v>
          </cell>
          <cell r="AE321">
            <v>50.412408333333332</v>
          </cell>
          <cell r="AF321">
            <v>1.290050980842402E-2</v>
          </cell>
          <cell r="AG321">
            <v>0.21348666666666657</v>
          </cell>
          <cell r="AH321">
            <v>16.5487</v>
          </cell>
          <cell r="AI321">
            <v>16.762186666666668</v>
          </cell>
          <cell r="AJ321">
            <v>9.4417516070925793E-3</v>
          </cell>
          <cell r="AK321">
            <v>0.15012857142857555</v>
          </cell>
          <cell r="AL321">
            <v>15.900499999999999</v>
          </cell>
          <cell r="AM321">
            <v>16.050628571428575</v>
          </cell>
          <cell r="AN321">
            <v>1.4610580888417516E-2</v>
          </cell>
          <cell r="AO321">
            <v>0.11159999999999951</v>
          </cell>
          <cell r="AP321">
            <v>7.6383000000000001</v>
          </cell>
          <cell r="AQ321">
            <v>7.7498999999999993</v>
          </cell>
          <cell r="AR321">
            <v>5.8032092851348117E-3</v>
          </cell>
          <cell r="AS321">
            <v>0.24179999999999816</v>
          </cell>
          <cell r="AT321">
            <v>41.666600000000003</v>
          </cell>
          <cell r="AU321">
            <v>41.9084</v>
          </cell>
          <cell r="AV321">
            <v>1.3398683578631606E-2</v>
          </cell>
          <cell r="AW321">
            <v>0.47429999999998024</v>
          </cell>
          <cell r="AX321">
            <v>35.399000000000001</v>
          </cell>
          <cell r="AY321">
            <v>35.873299999999979</v>
          </cell>
          <cell r="AZ321">
            <v>9.5233130330674813E-3</v>
          </cell>
          <cell r="BA321">
            <v>7.3071428571423472E-2</v>
          </cell>
          <cell r="BB321">
            <v>7.6729000000000003</v>
          </cell>
          <cell r="BC321">
            <v>7.7459714285714236</v>
          </cell>
        </row>
        <row r="322">
          <cell r="B322">
            <v>274</v>
          </cell>
          <cell r="C322">
            <v>94</v>
          </cell>
          <cell r="D322">
            <v>1.3162379105391307E-2</v>
          </cell>
          <cell r="E322">
            <v>0.80030555555555494</v>
          </cell>
          <cell r="F322">
            <v>60.802500000000002</v>
          </cell>
          <cell r="G322">
            <v>61.602805555555555</v>
          </cell>
          <cell r="H322">
            <v>1.8334137568883743E-2</v>
          </cell>
          <cell r="I322">
            <v>1.3564199999999964</v>
          </cell>
          <cell r="J322">
            <v>73.9833</v>
          </cell>
          <cell r="K322">
            <v>75.33972</v>
          </cell>
          <cell r="L322">
            <v>2.367805148954736E-2</v>
          </cell>
          <cell r="M322">
            <v>1.3264444444444435E-2</v>
          </cell>
          <cell r="N322">
            <v>0.56020000000000003</v>
          </cell>
          <cell r="O322">
            <v>0.57346444444444444</v>
          </cell>
          <cell r="P322">
            <v>1.2548949206177044E-2</v>
          </cell>
          <cell r="Q322">
            <v>1.36540222222222</v>
          </cell>
          <cell r="R322">
            <v>108.8061</v>
          </cell>
          <cell r="S322">
            <v>110.17150222222222</v>
          </cell>
          <cell r="T322">
            <v>2.185034309877238E-2</v>
          </cell>
          <cell r="U322">
            <v>1.0502411111111143</v>
          </cell>
          <cell r="V322">
            <v>48.065199999999997</v>
          </cell>
          <cell r="W322">
            <v>49.11544111111111</v>
          </cell>
          <cell r="X322">
            <v>9.1402528082331937E-3</v>
          </cell>
          <cell r="Y322">
            <v>0.41908333333333436</v>
          </cell>
          <cell r="Z322">
            <v>45.850299999999997</v>
          </cell>
          <cell r="AA322">
            <v>46.26938333333333</v>
          </cell>
          <cell r="AB322">
            <v>1.5754396827027679E-2</v>
          </cell>
          <cell r="AC322">
            <v>0.78202777777777899</v>
          </cell>
          <cell r="AD322">
            <v>49.6387</v>
          </cell>
          <cell r="AE322">
            <v>50.420727777777778</v>
          </cell>
          <cell r="AF322">
            <v>1.3039224967654386E-2</v>
          </cell>
          <cell r="AG322">
            <v>0.21578222222222213</v>
          </cell>
          <cell r="AH322">
            <v>16.5487</v>
          </cell>
          <cell r="AI322">
            <v>16.764482222222224</v>
          </cell>
          <cell r="AJ322">
            <v>9.5432758179215312E-3</v>
          </cell>
          <cell r="AK322">
            <v>0.15174285714286131</v>
          </cell>
          <cell r="AL322">
            <v>15.900499999999999</v>
          </cell>
          <cell r="AM322">
            <v>16.052242857142861</v>
          </cell>
          <cell r="AN322">
            <v>1.4767683908723081E-2</v>
          </cell>
          <cell r="AO322">
            <v>0.1127999999999995</v>
          </cell>
          <cell r="AP322">
            <v>7.6383000000000001</v>
          </cell>
          <cell r="AQ322">
            <v>7.7510999999999992</v>
          </cell>
          <cell r="AR322">
            <v>5.8656093849749702E-3</v>
          </cell>
          <cell r="AS322">
            <v>0.24439999999999812</v>
          </cell>
          <cell r="AT322">
            <v>41.666600000000003</v>
          </cell>
          <cell r="AU322">
            <v>41.911000000000001</v>
          </cell>
          <cell r="AV322">
            <v>1.3542755445068505E-2</v>
          </cell>
          <cell r="AW322">
            <v>0.47939999999998001</v>
          </cell>
          <cell r="AX322">
            <v>35.399000000000001</v>
          </cell>
          <cell r="AY322">
            <v>35.878399999999978</v>
          </cell>
          <cell r="AZ322">
            <v>9.6257142484768073E-3</v>
          </cell>
          <cell r="BA322">
            <v>7.3857142857137709E-2</v>
          </cell>
          <cell r="BB322">
            <v>7.6729000000000003</v>
          </cell>
          <cell r="BC322">
            <v>7.7467571428571382</v>
          </cell>
        </row>
        <row r="323">
          <cell r="B323">
            <v>275</v>
          </cell>
          <cell r="C323">
            <v>95</v>
          </cell>
          <cell r="D323">
            <v>1.3302404415023127E-2</v>
          </cell>
          <cell r="E323">
            <v>0.80881944444444387</v>
          </cell>
          <cell r="F323">
            <v>60.802500000000002</v>
          </cell>
          <cell r="G323">
            <v>61.611319444444447</v>
          </cell>
          <cell r="H323">
            <v>1.8529181585573994E-2</v>
          </cell>
          <cell r="I323">
            <v>1.3708499999999963</v>
          </cell>
          <cell r="J323">
            <v>73.9833</v>
          </cell>
          <cell r="K323">
            <v>75.35414999999999</v>
          </cell>
          <cell r="L323">
            <v>2.3929945654329782E-2</v>
          </cell>
          <cell r="M323">
            <v>1.3405555555555544E-2</v>
          </cell>
          <cell r="N323">
            <v>0.56020000000000003</v>
          </cell>
          <cell r="O323">
            <v>0.57360555555555559</v>
          </cell>
          <cell r="P323">
            <v>1.2682448665817225E-2</v>
          </cell>
          <cell r="Q323">
            <v>1.3799277777777756</v>
          </cell>
          <cell r="R323">
            <v>108.8061</v>
          </cell>
          <cell r="S323">
            <v>110.18602777777778</v>
          </cell>
          <cell r="T323">
            <v>2.2082793557269963E-2</v>
          </cell>
          <cell r="U323">
            <v>1.0614138888888922</v>
          </cell>
          <cell r="V323">
            <v>48.065199999999997</v>
          </cell>
          <cell r="W323">
            <v>49.12661388888889</v>
          </cell>
          <cell r="X323">
            <v>9.2374895402356737E-3</v>
          </cell>
          <cell r="Y323">
            <v>0.4235416666666677</v>
          </cell>
          <cell r="Z323">
            <v>45.850299999999997</v>
          </cell>
          <cell r="AA323">
            <v>46.273841666666662</v>
          </cell>
          <cell r="AB323">
            <v>1.5921996793272657E-2</v>
          </cell>
          <cell r="AC323">
            <v>0.79034722222222342</v>
          </cell>
          <cell r="AD323">
            <v>49.6387</v>
          </cell>
          <cell r="AE323">
            <v>50.429047222222223</v>
          </cell>
          <cell r="AF323">
            <v>1.317794012688475E-2</v>
          </cell>
          <cell r="AG323">
            <v>0.21807777777777765</v>
          </cell>
          <cell r="AH323">
            <v>16.5487</v>
          </cell>
          <cell r="AI323">
            <v>16.766777777777779</v>
          </cell>
          <cell r="AJ323">
            <v>9.6448000287504849E-3</v>
          </cell>
          <cell r="AK323">
            <v>0.15335714285714705</v>
          </cell>
          <cell r="AL323">
            <v>15.900499999999999</v>
          </cell>
          <cell r="AM323">
            <v>16.053857142857147</v>
          </cell>
          <cell r="AN323">
            <v>1.4924786929028645E-2</v>
          </cell>
          <cell r="AO323">
            <v>0.1139999999999995</v>
          </cell>
          <cell r="AP323">
            <v>7.6383000000000001</v>
          </cell>
          <cell r="AQ323">
            <v>7.7523</v>
          </cell>
          <cell r="AR323">
            <v>5.9280094848151296E-3</v>
          </cell>
          <cell r="AS323">
            <v>0.24699999999999811</v>
          </cell>
          <cell r="AT323">
            <v>41.666600000000003</v>
          </cell>
          <cell r="AU323">
            <v>41.913600000000002</v>
          </cell>
          <cell r="AV323">
            <v>1.3686827311505405E-2</v>
          </cell>
          <cell r="AW323">
            <v>0.48449999999997978</v>
          </cell>
          <cell r="AX323">
            <v>35.399000000000001</v>
          </cell>
          <cell r="AY323">
            <v>35.883499999999984</v>
          </cell>
          <cell r="AZ323">
            <v>9.7281154638861351E-3</v>
          </cell>
          <cell r="BA323">
            <v>7.4642857142851932E-2</v>
          </cell>
          <cell r="BB323">
            <v>7.6729000000000003</v>
          </cell>
          <cell r="BC323">
            <v>7.747542857142852</v>
          </cell>
        </row>
        <row r="324">
          <cell r="B324">
            <v>276</v>
          </cell>
          <cell r="C324">
            <v>96</v>
          </cell>
          <cell r="D324">
            <v>1.3442429724654949E-2</v>
          </cell>
          <cell r="E324">
            <v>0.81733333333333269</v>
          </cell>
          <cell r="F324">
            <v>60.802500000000002</v>
          </cell>
          <cell r="G324">
            <v>61.619833333333332</v>
          </cell>
          <cell r="H324">
            <v>1.8724225602264246E-2</v>
          </cell>
          <cell r="I324">
            <v>1.3852799999999965</v>
          </cell>
          <cell r="J324">
            <v>73.9833</v>
          </cell>
          <cell r="K324">
            <v>75.368579999999994</v>
          </cell>
          <cell r="L324">
            <v>2.4181839819112198E-2</v>
          </cell>
          <cell r="M324">
            <v>1.3546666666666655E-2</v>
          </cell>
          <cell r="N324">
            <v>0.56020000000000003</v>
          </cell>
          <cell r="O324">
            <v>0.57374666666666674</v>
          </cell>
          <cell r="P324">
            <v>1.2815948125457405E-2</v>
          </cell>
          <cell r="Q324">
            <v>1.3944533333333311</v>
          </cell>
          <cell r="R324">
            <v>108.8061</v>
          </cell>
          <cell r="S324">
            <v>110.20055333333333</v>
          </cell>
          <cell r="T324">
            <v>2.2315244015767538E-2</v>
          </cell>
          <cell r="U324">
            <v>1.0725866666666699</v>
          </cell>
          <cell r="V324">
            <v>48.065199999999997</v>
          </cell>
          <cell r="W324">
            <v>49.13778666666667</v>
          </cell>
          <cell r="X324">
            <v>9.3347262722381554E-3</v>
          </cell>
          <cell r="Y324">
            <v>0.42800000000000105</v>
          </cell>
          <cell r="Z324">
            <v>45.850299999999997</v>
          </cell>
          <cell r="AA324">
            <v>46.278300000000002</v>
          </cell>
          <cell r="AB324">
            <v>1.6089596759517634E-2</v>
          </cell>
          <cell r="AC324">
            <v>0.79866666666666786</v>
          </cell>
          <cell r="AD324">
            <v>49.6387</v>
          </cell>
          <cell r="AE324">
            <v>50.437366666666669</v>
          </cell>
          <cell r="AF324">
            <v>1.3316655286115114E-2</v>
          </cell>
          <cell r="AG324">
            <v>0.22037333333333323</v>
          </cell>
          <cell r="AH324">
            <v>16.5487</v>
          </cell>
          <cell r="AI324">
            <v>16.769073333333335</v>
          </cell>
          <cell r="AJ324">
            <v>9.7463242395794368E-3</v>
          </cell>
          <cell r="AK324">
            <v>0.15497142857143281</v>
          </cell>
          <cell r="AL324">
            <v>15.900499999999999</v>
          </cell>
          <cell r="AM324">
            <v>16.055471428571433</v>
          </cell>
          <cell r="AN324">
            <v>1.508188994933421E-2</v>
          </cell>
          <cell r="AO324">
            <v>0.1151999999999995</v>
          </cell>
          <cell r="AP324">
            <v>7.6383000000000001</v>
          </cell>
          <cell r="AQ324">
            <v>7.7534999999999998</v>
          </cell>
          <cell r="AR324">
            <v>5.9904095846552898E-3</v>
          </cell>
          <cell r="AS324">
            <v>0.2495999999999981</v>
          </cell>
          <cell r="AT324">
            <v>41.666600000000003</v>
          </cell>
          <cell r="AU324">
            <v>41.916200000000003</v>
          </cell>
          <cell r="AV324">
            <v>1.3830899177942304E-2</v>
          </cell>
          <cell r="AW324">
            <v>0.48959999999997955</v>
          </cell>
          <cell r="AX324">
            <v>35.399000000000001</v>
          </cell>
          <cell r="AY324">
            <v>35.888599999999983</v>
          </cell>
          <cell r="AZ324">
            <v>9.8305166792954628E-3</v>
          </cell>
          <cell r="BA324">
            <v>7.5428571428566168E-2</v>
          </cell>
          <cell r="BB324">
            <v>7.6729000000000003</v>
          </cell>
          <cell r="BC324">
            <v>7.7483285714285666</v>
          </cell>
        </row>
        <row r="325">
          <cell r="B325">
            <v>277</v>
          </cell>
          <cell r="C325">
            <v>97</v>
          </cell>
          <cell r="D325">
            <v>1.3582455034286773E-2</v>
          </cell>
          <cell r="E325">
            <v>0.82584722222222162</v>
          </cell>
          <cell r="F325">
            <v>60.802500000000002</v>
          </cell>
          <cell r="G325">
            <v>61.628347222222224</v>
          </cell>
          <cell r="H325">
            <v>1.8919269618954501E-2</v>
          </cell>
          <cell r="I325">
            <v>1.3997099999999965</v>
          </cell>
          <cell r="J325">
            <v>73.9833</v>
          </cell>
          <cell r="K325">
            <v>75.383009999999999</v>
          </cell>
          <cell r="L325">
            <v>2.4433733983894618E-2</v>
          </cell>
          <cell r="M325">
            <v>1.3687777777777766E-2</v>
          </cell>
          <cell r="N325">
            <v>0.56020000000000003</v>
          </cell>
          <cell r="O325">
            <v>0.57388777777777777</v>
          </cell>
          <cell r="P325">
            <v>1.2949447585097588E-2</v>
          </cell>
          <cell r="Q325">
            <v>1.4089788888888866</v>
          </cell>
          <cell r="R325">
            <v>108.8061</v>
          </cell>
          <cell r="S325">
            <v>110.21507888888888</v>
          </cell>
          <cell r="T325">
            <v>2.2547694474265117E-2</v>
          </cell>
          <cell r="U325">
            <v>1.0837594444444476</v>
          </cell>
          <cell r="V325">
            <v>48.065199999999997</v>
          </cell>
          <cell r="W325">
            <v>49.148959444444444</v>
          </cell>
          <cell r="X325">
            <v>9.4319630042406354E-3</v>
          </cell>
          <cell r="Y325">
            <v>0.43245833333333444</v>
          </cell>
          <cell r="Z325">
            <v>45.850299999999997</v>
          </cell>
          <cell r="AA325">
            <v>46.282758333333334</v>
          </cell>
          <cell r="AB325">
            <v>1.6257196725762608E-2</v>
          </cell>
          <cell r="AC325">
            <v>0.80698611111111229</v>
          </cell>
          <cell r="AD325">
            <v>49.6387</v>
          </cell>
          <cell r="AE325">
            <v>50.445686111111115</v>
          </cell>
          <cell r="AF325">
            <v>1.3455370445345482E-2</v>
          </cell>
          <cell r="AG325">
            <v>0.22266888888888881</v>
          </cell>
          <cell r="AH325">
            <v>16.5487</v>
          </cell>
          <cell r="AI325">
            <v>16.77136888888889</v>
          </cell>
          <cell r="AJ325">
            <v>9.8478484504083887E-3</v>
          </cell>
          <cell r="AK325">
            <v>0.15658571428571857</v>
          </cell>
          <cell r="AL325">
            <v>15.900499999999999</v>
          </cell>
          <cell r="AM325">
            <v>16.057085714285719</v>
          </cell>
          <cell r="AN325">
            <v>1.5238992969639776E-2</v>
          </cell>
          <cell r="AO325">
            <v>0.11639999999999949</v>
          </cell>
          <cell r="AP325">
            <v>7.6383000000000001</v>
          </cell>
          <cell r="AQ325">
            <v>7.7546999999999997</v>
          </cell>
          <cell r="AR325">
            <v>6.0528096844954492E-3</v>
          </cell>
          <cell r="AS325">
            <v>0.25219999999999809</v>
          </cell>
          <cell r="AT325">
            <v>41.666600000000003</v>
          </cell>
          <cell r="AU325">
            <v>41.918799999999997</v>
          </cell>
          <cell r="AV325">
            <v>1.3974971044379201E-2</v>
          </cell>
          <cell r="AW325">
            <v>0.49469999999997938</v>
          </cell>
          <cell r="AX325">
            <v>35.399000000000001</v>
          </cell>
          <cell r="AY325">
            <v>35.893699999999981</v>
          </cell>
          <cell r="AZ325">
            <v>9.9329178947047906E-3</v>
          </cell>
          <cell r="BA325">
            <v>7.6214285714280391E-2</v>
          </cell>
          <cell r="BB325">
            <v>7.6729000000000003</v>
          </cell>
          <cell r="BC325">
            <v>7.7491142857142803</v>
          </cell>
        </row>
        <row r="326">
          <cell r="B326">
            <v>278</v>
          </cell>
          <cell r="C326">
            <v>98</v>
          </cell>
          <cell r="D326">
            <v>1.3722480343918595E-2</v>
          </cell>
          <cell r="E326">
            <v>0.83436111111111044</v>
          </cell>
          <cell r="F326">
            <v>60.802500000000002</v>
          </cell>
          <cell r="G326">
            <v>61.636861111111109</v>
          </cell>
          <cell r="H326">
            <v>1.9114313635644753E-2</v>
          </cell>
          <cell r="I326">
            <v>1.4141399999999964</v>
          </cell>
          <cell r="J326">
            <v>73.9833</v>
          </cell>
          <cell r="K326">
            <v>75.397440000000003</v>
          </cell>
          <cell r="L326">
            <v>2.4685628148677037E-2</v>
          </cell>
          <cell r="M326">
            <v>1.3828888888888875E-2</v>
          </cell>
          <cell r="N326">
            <v>0.56020000000000003</v>
          </cell>
          <cell r="O326">
            <v>0.57402888888888892</v>
          </cell>
          <cell r="P326">
            <v>1.3082947044737768E-2</v>
          </cell>
          <cell r="Q326">
            <v>1.4235044444444422</v>
          </cell>
          <cell r="R326">
            <v>108.8061</v>
          </cell>
          <cell r="S326">
            <v>110.22960444444445</v>
          </cell>
          <cell r="T326">
            <v>2.2780144932762699E-2</v>
          </cell>
          <cell r="U326">
            <v>1.0949322222222255</v>
          </cell>
          <cell r="V326">
            <v>48.065199999999997</v>
          </cell>
          <cell r="W326">
            <v>49.160132222222224</v>
          </cell>
          <cell r="X326">
            <v>9.5291997362431172E-3</v>
          </cell>
          <cell r="Y326">
            <v>0.43691666666666773</v>
          </cell>
          <cell r="Z326">
            <v>45.850299999999997</v>
          </cell>
          <cell r="AA326">
            <v>46.287216666666666</v>
          </cell>
          <cell r="AB326">
            <v>1.6424796692007585E-2</v>
          </cell>
          <cell r="AC326">
            <v>0.81530555555555684</v>
          </cell>
          <cell r="AD326">
            <v>49.6387</v>
          </cell>
          <cell r="AE326">
            <v>50.454005555555554</v>
          </cell>
          <cell r="AF326">
            <v>1.3594085604575848E-2</v>
          </cell>
          <cell r="AG326">
            <v>0.22496444444444433</v>
          </cell>
          <cell r="AH326">
            <v>16.5487</v>
          </cell>
          <cell r="AI326">
            <v>16.773664444444446</v>
          </cell>
          <cell r="AJ326">
            <v>9.9493726612373424E-3</v>
          </cell>
          <cell r="AK326">
            <v>0.15820000000000434</v>
          </cell>
          <cell r="AL326">
            <v>15.900499999999999</v>
          </cell>
          <cell r="AM326">
            <v>16.058700000000002</v>
          </cell>
          <cell r="AN326">
            <v>1.5396095989945341E-2</v>
          </cell>
          <cell r="AO326">
            <v>0.11759999999999948</v>
          </cell>
          <cell r="AP326">
            <v>7.6383000000000001</v>
          </cell>
          <cell r="AQ326">
            <v>7.7558999999999996</v>
          </cell>
          <cell r="AR326">
            <v>6.1152097843356077E-3</v>
          </cell>
          <cell r="AS326">
            <v>0.25479999999999803</v>
          </cell>
          <cell r="AT326">
            <v>41.666600000000003</v>
          </cell>
          <cell r="AU326">
            <v>41.921399999999998</v>
          </cell>
          <cell r="AV326">
            <v>1.4119042910816101E-2</v>
          </cell>
          <cell r="AW326">
            <v>0.49979999999997915</v>
          </cell>
          <cell r="AX326">
            <v>35.399000000000001</v>
          </cell>
          <cell r="AY326">
            <v>35.89879999999998</v>
          </cell>
          <cell r="AZ326">
            <v>1.0035319110114118E-2</v>
          </cell>
          <cell r="BA326">
            <v>7.6999999999994628E-2</v>
          </cell>
          <cell r="BB326">
            <v>7.6729000000000003</v>
          </cell>
          <cell r="BC326">
            <v>7.7498999999999949</v>
          </cell>
        </row>
        <row r="327">
          <cell r="B327">
            <v>279</v>
          </cell>
          <cell r="C327">
            <v>99</v>
          </cell>
          <cell r="D327">
            <v>1.3862505653550418E-2</v>
          </cell>
          <cell r="E327">
            <v>0.84287499999999937</v>
          </cell>
          <cell r="F327">
            <v>60.802500000000002</v>
          </cell>
          <cell r="G327">
            <v>61.645375000000001</v>
          </cell>
          <cell r="H327">
            <v>1.9309357652335005E-2</v>
          </cell>
          <cell r="I327">
            <v>1.4285699999999963</v>
          </cell>
          <cell r="J327">
            <v>73.9833</v>
          </cell>
          <cell r="K327">
            <v>75.411869999999993</v>
          </cell>
          <cell r="L327">
            <v>2.4937522313459453E-2</v>
          </cell>
          <cell r="M327">
            <v>1.3969999999999989E-2</v>
          </cell>
          <cell r="N327">
            <v>0.56020000000000003</v>
          </cell>
          <cell r="O327">
            <v>0.57417000000000007</v>
          </cell>
          <cell r="P327">
            <v>1.3216446504377951E-2</v>
          </cell>
          <cell r="Q327">
            <v>1.4380299999999977</v>
          </cell>
          <cell r="R327">
            <v>108.8061</v>
          </cell>
          <cell r="S327">
            <v>110.24413</v>
          </cell>
          <cell r="T327">
            <v>2.3012595391260278E-2</v>
          </cell>
          <cell r="U327">
            <v>1.1061050000000034</v>
          </cell>
          <cell r="V327">
            <v>48.065199999999997</v>
          </cell>
          <cell r="W327">
            <v>49.171305000000004</v>
          </cell>
          <cell r="X327">
            <v>9.6264364682455972E-3</v>
          </cell>
          <cell r="Y327">
            <v>0.44137500000000107</v>
          </cell>
          <cell r="Z327">
            <v>45.850299999999997</v>
          </cell>
          <cell r="AA327">
            <v>46.291674999999998</v>
          </cell>
          <cell r="AB327">
            <v>1.6592396658252559E-2</v>
          </cell>
          <cell r="AC327">
            <v>0.82362500000000127</v>
          </cell>
          <cell r="AD327">
            <v>49.6387</v>
          </cell>
          <cell r="AE327">
            <v>50.462325</v>
          </cell>
          <cell r="AF327">
            <v>1.3732800763806213E-2</v>
          </cell>
          <cell r="AG327">
            <v>0.22725999999999985</v>
          </cell>
          <cell r="AH327">
            <v>16.5487</v>
          </cell>
          <cell r="AI327">
            <v>16.775960000000001</v>
          </cell>
          <cell r="AJ327">
            <v>1.0050896872066294E-2</v>
          </cell>
          <cell r="AK327">
            <v>0.1598142857142901</v>
          </cell>
          <cell r="AL327">
            <v>15.900499999999999</v>
          </cell>
          <cell r="AM327">
            <v>16.060314285714288</v>
          </cell>
          <cell r="AN327">
            <v>1.5553199010250904E-2</v>
          </cell>
          <cell r="AO327">
            <v>0.11879999999999948</v>
          </cell>
          <cell r="AP327">
            <v>7.6383000000000001</v>
          </cell>
          <cell r="AQ327">
            <v>7.7570999999999994</v>
          </cell>
          <cell r="AR327">
            <v>6.177609884175767E-3</v>
          </cell>
          <cell r="AS327">
            <v>0.25739999999999802</v>
          </cell>
          <cell r="AT327">
            <v>41.666600000000003</v>
          </cell>
          <cell r="AU327">
            <v>41.923999999999999</v>
          </cell>
          <cell r="AV327">
            <v>1.4263114777253002E-2</v>
          </cell>
          <cell r="AW327">
            <v>0.50489999999997892</v>
          </cell>
          <cell r="AX327">
            <v>35.399000000000001</v>
          </cell>
          <cell r="AY327">
            <v>35.903899999999979</v>
          </cell>
          <cell r="AZ327">
            <v>1.0137720325523446E-2</v>
          </cell>
          <cell r="BA327">
            <v>7.7785714285708865E-2</v>
          </cell>
          <cell r="BB327">
            <v>7.6729000000000003</v>
          </cell>
          <cell r="BC327">
            <v>7.7506857142857095</v>
          </cell>
        </row>
        <row r="328">
          <cell r="B328">
            <v>280</v>
          </cell>
          <cell r="C328">
            <v>100</v>
          </cell>
          <cell r="D328">
            <v>1.400253096318224E-2</v>
          </cell>
          <cell r="E328">
            <v>0.85138888888888831</v>
          </cell>
          <cell r="F328">
            <v>60.802500000000002</v>
          </cell>
          <cell r="G328">
            <v>61.653888888888893</v>
          </cell>
          <cell r="H328">
            <v>1.950440166902526E-2</v>
          </cell>
          <cell r="I328">
            <v>1.4429999999999963</v>
          </cell>
          <cell r="J328">
            <v>73.9833</v>
          </cell>
          <cell r="K328">
            <v>75.426299999999998</v>
          </cell>
          <cell r="L328">
            <v>2.5189416478241872E-2</v>
          </cell>
          <cell r="M328">
            <v>1.4111111111111099E-2</v>
          </cell>
          <cell r="N328">
            <v>0.56020000000000003</v>
          </cell>
          <cell r="O328">
            <v>0.57431111111111111</v>
          </cell>
          <cell r="P328">
            <v>1.3349945964018131E-2</v>
          </cell>
          <cell r="Q328">
            <v>1.4525555555555532</v>
          </cell>
          <cell r="R328">
            <v>108.8061</v>
          </cell>
          <cell r="S328">
            <v>110.25865555555555</v>
          </cell>
          <cell r="T328">
            <v>2.3245045849757853E-2</v>
          </cell>
          <cell r="U328">
            <v>1.1172777777777811</v>
          </cell>
          <cell r="V328">
            <v>48.065199999999997</v>
          </cell>
          <cell r="W328">
            <v>49.182477777777777</v>
          </cell>
          <cell r="X328">
            <v>9.7236732002480772E-3</v>
          </cell>
          <cell r="Y328">
            <v>0.44583333333333441</v>
          </cell>
          <cell r="Z328">
            <v>45.850299999999997</v>
          </cell>
          <cell r="AA328">
            <v>46.29613333333333</v>
          </cell>
          <cell r="AB328">
            <v>1.6759996624497533E-2</v>
          </cell>
          <cell r="AC328">
            <v>0.83194444444444571</v>
          </cell>
          <cell r="AD328">
            <v>49.6387</v>
          </cell>
          <cell r="AE328">
            <v>50.470644444444446</v>
          </cell>
          <cell r="AF328">
            <v>1.387151592303658E-2</v>
          </cell>
          <cell r="AG328">
            <v>0.22955555555555543</v>
          </cell>
          <cell r="AH328">
            <v>16.5487</v>
          </cell>
          <cell r="AI328">
            <v>16.778255555555557</v>
          </cell>
          <cell r="AJ328">
            <v>1.0152421082895246E-2</v>
          </cell>
          <cell r="AK328">
            <v>0.16142857142857586</v>
          </cell>
          <cell r="AL328">
            <v>15.900499999999999</v>
          </cell>
          <cell r="AM328">
            <v>16.061928571428574</v>
          </cell>
          <cell r="AN328">
            <v>1.5710302030556469E-2</v>
          </cell>
          <cell r="AO328">
            <v>0.11999999999999947</v>
          </cell>
          <cell r="AP328">
            <v>7.6383000000000001</v>
          </cell>
          <cell r="AQ328">
            <v>7.7582999999999993</v>
          </cell>
          <cell r="AR328">
            <v>6.2400099840159264E-3</v>
          </cell>
          <cell r="AS328">
            <v>0.25999999999999801</v>
          </cell>
          <cell r="AT328">
            <v>41.666600000000003</v>
          </cell>
          <cell r="AU328">
            <v>41.926600000000001</v>
          </cell>
          <cell r="AV328">
            <v>1.4407186643689899E-2</v>
          </cell>
          <cell r="AW328">
            <v>0.50999999999997869</v>
          </cell>
          <cell r="AX328">
            <v>35.399000000000001</v>
          </cell>
          <cell r="AY328">
            <v>35.908999999999978</v>
          </cell>
          <cell r="AZ328">
            <v>1.0240121540932774E-2</v>
          </cell>
          <cell r="BA328">
            <v>7.8571428571423088E-2</v>
          </cell>
          <cell r="BB328">
            <v>7.6729000000000003</v>
          </cell>
          <cell r="BC328">
            <v>7.7514714285714232</v>
          </cell>
        </row>
        <row r="329">
          <cell r="B329">
            <v>281</v>
          </cell>
          <cell r="C329">
            <v>101</v>
          </cell>
          <cell r="D329">
            <v>1.4142556272814064E-2</v>
          </cell>
          <cell r="E329">
            <v>0.85990277777777713</v>
          </cell>
          <cell r="F329">
            <v>60.802500000000002</v>
          </cell>
          <cell r="G329">
            <v>61.662402777777778</v>
          </cell>
          <cell r="H329">
            <v>1.9699445685715512E-2</v>
          </cell>
          <cell r="I329">
            <v>1.4574299999999962</v>
          </cell>
          <cell r="J329">
            <v>73.9833</v>
          </cell>
          <cell r="K329">
            <v>75.440730000000002</v>
          </cell>
          <cell r="L329">
            <v>2.5441310643024288E-2</v>
          </cell>
          <cell r="M329">
            <v>1.425222222222221E-2</v>
          </cell>
          <cell r="N329">
            <v>0.56020000000000003</v>
          </cell>
          <cell r="O329">
            <v>0.57445222222222225</v>
          </cell>
          <cell r="P329">
            <v>1.3483445423658313E-2</v>
          </cell>
          <cell r="Q329">
            <v>1.4670811111111088</v>
          </cell>
          <cell r="R329">
            <v>108.8061</v>
          </cell>
          <cell r="S329">
            <v>110.27318111111111</v>
          </cell>
          <cell r="T329">
            <v>2.3477496308255432E-2</v>
          </cell>
          <cell r="U329">
            <v>1.1284505555555588</v>
          </cell>
          <cell r="V329">
            <v>48.065199999999997</v>
          </cell>
          <cell r="W329">
            <v>49.193650555555557</v>
          </cell>
          <cell r="X329">
            <v>9.8209099322505589E-3</v>
          </cell>
          <cell r="Y329">
            <v>0.45029166666666781</v>
          </cell>
          <cell r="Z329">
            <v>45.850299999999997</v>
          </cell>
          <cell r="AA329">
            <v>46.300591666666662</v>
          </cell>
          <cell r="AB329">
            <v>1.692759659074251E-2</v>
          </cell>
          <cell r="AC329">
            <v>0.84026388888889014</v>
          </cell>
          <cell r="AD329">
            <v>49.6387</v>
          </cell>
          <cell r="AE329">
            <v>50.478963888888892</v>
          </cell>
          <cell r="AF329">
            <v>1.4010231082266945E-2</v>
          </cell>
          <cell r="AG329">
            <v>0.23185111111111101</v>
          </cell>
          <cell r="AH329">
            <v>16.5487</v>
          </cell>
          <cell r="AI329">
            <v>16.780551111111112</v>
          </cell>
          <cell r="AJ329">
            <v>1.0253945293724198E-2</v>
          </cell>
          <cell r="AK329">
            <v>0.16304285714286162</v>
          </cell>
          <cell r="AL329">
            <v>15.900499999999999</v>
          </cell>
          <cell r="AM329">
            <v>16.06354285714286</v>
          </cell>
          <cell r="AN329">
            <v>1.5867405050862034E-2</v>
          </cell>
          <cell r="AO329">
            <v>0.12119999999999946</v>
          </cell>
          <cell r="AP329">
            <v>7.6383000000000001</v>
          </cell>
          <cell r="AQ329">
            <v>7.7594999999999992</v>
          </cell>
          <cell r="AR329">
            <v>6.3024100838560849E-3</v>
          </cell>
          <cell r="AS329">
            <v>0.262599999999998</v>
          </cell>
          <cell r="AT329">
            <v>41.666600000000003</v>
          </cell>
          <cell r="AU329">
            <v>41.929200000000002</v>
          </cell>
          <cell r="AV329">
            <v>1.4551258510126798E-2</v>
          </cell>
          <cell r="AW329">
            <v>0.51509999999997846</v>
          </cell>
          <cell r="AX329">
            <v>35.399000000000001</v>
          </cell>
          <cell r="AY329">
            <v>35.914099999999976</v>
          </cell>
          <cell r="AZ329">
            <v>1.0342522756342102E-2</v>
          </cell>
          <cell r="BA329">
            <v>7.9357142857137325E-2</v>
          </cell>
          <cell r="BB329">
            <v>7.6729000000000003</v>
          </cell>
          <cell r="BC329">
            <v>7.7522571428571379</v>
          </cell>
        </row>
        <row r="330">
          <cell r="B330">
            <v>282</v>
          </cell>
          <cell r="C330">
            <v>102</v>
          </cell>
          <cell r="D330">
            <v>1.4282581582445886E-2</v>
          </cell>
          <cell r="E330">
            <v>0.86841666666666606</v>
          </cell>
          <cell r="F330">
            <v>60.802500000000002</v>
          </cell>
          <cell r="G330">
            <v>61.67091666666667</v>
          </cell>
          <cell r="H330">
            <v>1.9894489702405763E-2</v>
          </cell>
          <cell r="I330">
            <v>1.4718599999999962</v>
          </cell>
          <cell r="J330">
            <v>73.9833</v>
          </cell>
          <cell r="K330">
            <v>75.455159999999992</v>
          </cell>
          <cell r="L330">
            <v>2.5693204807806711E-2</v>
          </cell>
          <cell r="M330">
            <v>1.4393333333333322E-2</v>
          </cell>
          <cell r="N330">
            <v>0.56020000000000003</v>
          </cell>
          <cell r="O330">
            <v>0.5745933333333334</v>
          </cell>
          <cell r="P330">
            <v>1.3616944883298494E-2</v>
          </cell>
          <cell r="Q330">
            <v>1.4816066666666643</v>
          </cell>
          <cell r="R330">
            <v>108.8061</v>
          </cell>
          <cell r="S330">
            <v>110.28770666666667</v>
          </cell>
          <cell r="T330">
            <v>2.3709946766753011E-2</v>
          </cell>
          <cell r="U330">
            <v>1.1396233333333368</v>
          </cell>
          <cell r="V330">
            <v>48.065199999999997</v>
          </cell>
          <cell r="W330">
            <v>49.204823333333337</v>
          </cell>
          <cell r="X330">
            <v>9.9181466642530389E-3</v>
          </cell>
          <cell r="Y330">
            <v>0.45475000000000115</v>
          </cell>
          <cell r="Z330">
            <v>45.850299999999997</v>
          </cell>
          <cell r="AA330">
            <v>46.305050000000001</v>
          </cell>
          <cell r="AB330">
            <v>1.7095196556987484E-2</v>
          </cell>
          <cell r="AC330">
            <v>0.84858333333333458</v>
          </cell>
          <cell r="AD330">
            <v>49.6387</v>
          </cell>
          <cell r="AE330">
            <v>50.487283333333338</v>
          </cell>
          <cell r="AF330">
            <v>1.4148946241497311E-2</v>
          </cell>
          <cell r="AG330">
            <v>0.23414666666666656</v>
          </cell>
          <cell r="AH330">
            <v>16.5487</v>
          </cell>
          <cell r="AI330">
            <v>16.782846666666668</v>
          </cell>
          <cell r="AJ330">
            <v>1.0355469504553152E-2</v>
          </cell>
          <cell r="AK330">
            <v>0.16465714285714736</v>
          </cell>
          <cell r="AL330">
            <v>15.900499999999999</v>
          </cell>
          <cell r="AM330">
            <v>16.065157142857146</v>
          </cell>
          <cell r="AN330">
            <v>1.6024508071167599E-2</v>
          </cell>
          <cell r="AO330">
            <v>0.12239999999999947</v>
          </cell>
          <cell r="AP330">
            <v>7.6383000000000001</v>
          </cell>
          <cell r="AQ330">
            <v>7.7606999999999999</v>
          </cell>
          <cell r="AR330">
            <v>6.3648101836962442E-3</v>
          </cell>
          <cell r="AS330">
            <v>0.26519999999999799</v>
          </cell>
          <cell r="AT330">
            <v>41.666600000000003</v>
          </cell>
          <cell r="AU330">
            <v>41.931800000000003</v>
          </cell>
          <cell r="AV330">
            <v>1.4695330376563698E-2</v>
          </cell>
          <cell r="AW330">
            <v>0.52019999999997835</v>
          </cell>
          <cell r="AX330">
            <v>35.399000000000001</v>
          </cell>
          <cell r="AY330">
            <v>35.919199999999982</v>
          </cell>
          <cell r="AZ330">
            <v>1.0444923971751429E-2</v>
          </cell>
          <cell r="BA330">
            <v>8.0142857142851548E-2</v>
          </cell>
          <cell r="BB330">
            <v>7.6729000000000003</v>
          </cell>
          <cell r="BC330">
            <v>7.7530428571428516</v>
          </cell>
        </row>
        <row r="331">
          <cell r="B331">
            <v>283</v>
          </cell>
          <cell r="C331">
            <v>103</v>
          </cell>
          <cell r="D331">
            <v>1.4422606892077708E-2</v>
          </cell>
          <cell r="E331">
            <v>0.87693055555555488</v>
          </cell>
          <cell r="F331">
            <v>60.802500000000002</v>
          </cell>
          <cell r="G331">
            <v>61.679430555555555</v>
          </cell>
          <cell r="H331">
            <v>2.0089533719096015E-2</v>
          </cell>
          <cell r="I331">
            <v>1.4862899999999961</v>
          </cell>
          <cell r="J331">
            <v>73.9833</v>
          </cell>
          <cell r="K331">
            <v>75.469589999999997</v>
          </cell>
          <cell r="L331">
            <v>2.5945098972589131E-2</v>
          </cell>
          <cell r="M331">
            <v>1.4534444444444433E-2</v>
          </cell>
          <cell r="N331">
            <v>0.56020000000000003</v>
          </cell>
          <cell r="O331">
            <v>0.57473444444444444</v>
          </cell>
          <cell r="P331">
            <v>1.3750444342938676E-2</v>
          </cell>
          <cell r="Q331">
            <v>1.4961322222222198</v>
          </cell>
          <cell r="R331">
            <v>108.8061</v>
          </cell>
          <cell r="S331">
            <v>110.30223222222222</v>
          </cell>
          <cell r="T331">
            <v>2.394239722525059E-2</v>
          </cell>
          <cell r="U331">
            <v>1.1507961111111147</v>
          </cell>
          <cell r="V331">
            <v>48.065199999999997</v>
          </cell>
          <cell r="W331">
            <v>49.21599611111111</v>
          </cell>
          <cell r="X331">
            <v>1.0015383396255519E-2</v>
          </cell>
          <cell r="Y331">
            <v>0.45920833333333444</v>
          </cell>
          <cell r="Z331">
            <v>45.850299999999997</v>
          </cell>
          <cell r="AA331">
            <v>46.309508333333333</v>
          </cell>
          <cell r="AB331">
            <v>1.7262796523232461E-2</v>
          </cell>
          <cell r="AC331">
            <v>0.85690277777777912</v>
          </cell>
          <cell r="AD331">
            <v>49.6387</v>
          </cell>
          <cell r="AE331">
            <v>50.495602777777776</v>
          </cell>
          <cell r="AF331">
            <v>1.4287661400727679E-2</v>
          </cell>
          <cell r="AG331">
            <v>0.23644222222222208</v>
          </cell>
          <cell r="AH331">
            <v>16.5487</v>
          </cell>
          <cell r="AI331">
            <v>16.785142222222223</v>
          </cell>
          <cell r="AJ331">
            <v>1.0456993715382104E-2</v>
          </cell>
          <cell r="AK331">
            <v>0.16627142857143312</v>
          </cell>
          <cell r="AL331">
            <v>15.900499999999999</v>
          </cell>
          <cell r="AM331">
            <v>16.066771428571432</v>
          </cell>
          <cell r="AN331">
            <v>1.6181611091473164E-2</v>
          </cell>
          <cell r="AO331">
            <v>0.12359999999999946</v>
          </cell>
          <cell r="AP331">
            <v>7.6383000000000001</v>
          </cell>
          <cell r="AQ331">
            <v>7.7618999999999998</v>
          </cell>
          <cell r="AR331">
            <v>6.4272102835364036E-3</v>
          </cell>
          <cell r="AS331">
            <v>0.26779999999999793</v>
          </cell>
          <cell r="AT331">
            <v>41.666600000000003</v>
          </cell>
          <cell r="AU331">
            <v>41.934400000000004</v>
          </cell>
          <cell r="AV331">
            <v>1.4839402243000597E-2</v>
          </cell>
          <cell r="AW331">
            <v>0.52529999999997812</v>
          </cell>
          <cell r="AX331">
            <v>35.399000000000001</v>
          </cell>
          <cell r="AY331">
            <v>35.924299999999981</v>
          </cell>
          <cell r="AZ331">
            <v>1.0547325187160757E-2</v>
          </cell>
          <cell r="BA331">
            <v>8.0928571428565785E-2</v>
          </cell>
          <cell r="BB331">
            <v>7.6729000000000003</v>
          </cell>
          <cell r="BC331">
            <v>7.7538285714285662</v>
          </cell>
        </row>
        <row r="332">
          <cell r="B332">
            <v>284</v>
          </cell>
          <cell r="C332">
            <v>104</v>
          </cell>
          <cell r="D332">
            <v>1.456263220170953E-2</v>
          </cell>
          <cell r="E332">
            <v>0.88544444444444381</v>
          </cell>
          <cell r="F332">
            <v>60.802500000000002</v>
          </cell>
          <cell r="G332">
            <v>61.687944444444447</v>
          </cell>
          <cell r="H332">
            <v>2.028457773578627E-2</v>
          </cell>
          <cell r="I332">
            <v>1.5007199999999961</v>
          </cell>
          <cell r="J332">
            <v>73.9833</v>
          </cell>
          <cell r="K332">
            <v>75.484020000000001</v>
          </cell>
          <cell r="L332">
            <v>2.6196993137371546E-2</v>
          </cell>
          <cell r="M332">
            <v>1.4675555555555542E-2</v>
          </cell>
          <cell r="N332">
            <v>0.56020000000000003</v>
          </cell>
          <cell r="O332">
            <v>0.57487555555555558</v>
          </cell>
          <cell r="P332">
            <v>1.3883943802578857E-2</v>
          </cell>
          <cell r="Q332">
            <v>1.5106577777777754</v>
          </cell>
          <cell r="R332">
            <v>108.8061</v>
          </cell>
          <cell r="S332">
            <v>110.31675777777778</v>
          </cell>
          <cell r="T332">
            <v>2.4174847683748169E-2</v>
          </cell>
          <cell r="U332">
            <v>1.1619688888888924</v>
          </cell>
          <cell r="V332">
            <v>48.065199999999997</v>
          </cell>
          <cell r="W332">
            <v>49.22716888888889</v>
          </cell>
          <cell r="X332">
            <v>1.0112620128258001E-2</v>
          </cell>
          <cell r="Y332">
            <v>0.46366666666666784</v>
          </cell>
          <cell r="Z332">
            <v>45.850299999999997</v>
          </cell>
          <cell r="AA332">
            <v>46.313966666666666</v>
          </cell>
          <cell r="AB332">
            <v>1.7430396489477435E-2</v>
          </cell>
          <cell r="AC332">
            <v>0.86522222222222356</v>
          </cell>
          <cell r="AD332">
            <v>49.6387</v>
          </cell>
          <cell r="AE332">
            <v>50.503922222222222</v>
          </cell>
          <cell r="AF332">
            <v>1.4426376559958043E-2</v>
          </cell>
          <cell r="AG332">
            <v>0.23873777777777766</v>
          </cell>
          <cell r="AH332">
            <v>16.5487</v>
          </cell>
          <cell r="AI332">
            <v>16.787437777777779</v>
          </cell>
          <cell r="AJ332">
            <v>1.0558517926211056E-2</v>
          </cell>
          <cell r="AK332">
            <v>0.16788571428571888</v>
          </cell>
          <cell r="AL332">
            <v>15.900499999999999</v>
          </cell>
          <cell r="AM332">
            <v>16.068385714285718</v>
          </cell>
          <cell r="AN332">
            <v>1.6338714111778726E-2</v>
          </cell>
          <cell r="AO332">
            <v>0.12479999999999945</v>
          </cell>
          <cell r="AP332">
            <v>7.6383000000000001</v>
          </cell>
          <cell r="AQ332">
            <v>7.7630999999999997</v>
          </cell>
          <cell r="AR332">
            <v>6.4896103833765638E-3</v>
          </cell>
          <cell r="AS332">
            <v>0.27039999999999792</v>
          </cell>
          <cell r="AT332">
            <v>41.666600000000003</v>
          </cell>
          <cell r="AU332">
            <v>41.936999999999998</v>
          </cell>
          <cell r="AV332">
            <v>1.4983474109437496E-2</v>
          </cell>
          <cell r="AW332">
            <v>0.53039999999997789</v>
          </cell>
          <cell r="AX332">
            <v>35.399000000000001</v>
          </cell>
          <cell r="AY332">
            <v>35.92939999999998</v>
          </cell>
          <cell r="AZ332">
            <v>1.0649726402570085E-2</v>
          </cell>
          <cell r="BA332">
            <v>8.1714285714280008E-2</v>
          </cell>
          <cell r="BB332">
            <v>7.6729000000000003</v>
          </cell>
          <cell r="BC332">
            <v>7.7546142857142799</v>
          </cell>
        </row>
        <row r="333">
          <cell r="B333">
            <v>285</v>
          </cell>
          <cell r="C333">
            <v>105</v>
          </cell>
          <cell r="D333">
            <v>1.4702657511341354E-2</v>
          </cell>
          <cell r="E333">
            <v>0.89395833333333263</v>
          </cell>
          <cell r="F333">
            <v>60.802500000000002</v>
          </cell>
          <cell r="G333">
            <v>61.696458333333332</v>
          </cell>
          <cell r="H333">
            <v>2.0479621752476522E-2</v>
          </cell>
          <cell r="I333">
            <v>1.515149999999996</v>
          </cell>
          <cell r="J333">
            <v>73.9833</v>
          </cell>
          <cell r="K333">
            <v>75.498449999999991</v>
          </cell>
          <cell r="L333">
            <v>2.6448887302153966E-2</v>
          </cell>
          <cell r="M333">
            <v>1.4816666666666653E-2</v>
          </cell>
          <cell r="N333">
            <v>0.56020000000000003</v>
          </cell>
          <cell r="O333">
            <v>0.57501666666666673</v>
          </cell>
          <cell r="P333">
            <v>1.4017443262219039E-2</v>
          </cell>
          <cell r="Q333">
            <v>1.5251833333333309</v>
          </cell>
          <cell r="R333">
            <v>108.8061</v>
          </cell>
          <cell r="S333">
            <v>110.33128333333333</v>
          </cell>
          <cell r="T333">
            <v>2.4407298142245744E-2</v>
          </cell>
          <cell r="U333">
            <v>1.1731416666666701</v>
          </cell>
          <cell r="V333">
            <v>48.065199999999997</v>
          </cell>
          <cell r="W333">
            <v>49.23834166666667</v>
          </cell>
          <cell r="X333">
            <v>1.0209856860260482E-2</v>
          </cell>
          <cell r="Y333">
            <v>0.46812500000000118</v>
          </cell>
          <cell r="Z333">
            <v>45.850299999999997</v>
          </cell>
          <cell r="AA333">
            <v>46.318424999999998</v>
          </cell>
          <cell r="AB333">
            <v>1.7597996455722409E-2</v>
          </cell>
          <cell r="AC333">
            <v>0.87354166666666799</v>
          </cell>
          <cell r="AD333">
            <v>49.6387</v>
          </cell>
          <cell r="AE333">
            <v>50.512241666666668</v>
          </cell>
          <cell r="AF333">
            <v>1.4565091719188407E-2</v>
          </cell>
          <cell r="AG333">
            <v>0.24103333333333324</v>
          </cell>
          <cell r="AH333">
            <v>16.5487</v>
          </cell>
          <cell r="AI333">
            <v>16.789733333333334</v>
          </cell>
          <cell r="AJ333">
            <v>1.0660042137040009E-2</v>
          </cell>
          <cell r="AK333">
            <v>0.16950000000000465</v>
          </cell>
          <cell r="AL333">
            <v>15.900499999999999</v>
          </cell>
          <cell r="AM333">
            <v>16.070000000000004</v>
          </cell>
          <cell r="AN333">
            <v>1.6495817132084291E-2</v>
          </cell>
          <cell r="AO333">
            <v>0.12599999999999945</v>
          </cell>
          <cell r="AP333">
            <v>7.6383000000000001</v>
          </cell>
          <cell r="AQ333">
            <v>7.7642999999999995</v>
          </cell>
          <cell r="AR333">
            <v>6.5520104832167232E-3</v>
          </cell>
          <cell r="AS333">
            <v>0.27299999999999791</v>
          </cell>
          <cell r="AT333">
            <v>41.666600000000003</v>
          </cell>
          <cell r="AU333">
            <v>41.939599999999999</v>
          </cell>
          <cell r="AV333">
            <v>1.5127545975874393E-2</v>
          </cell>
          <cell r="AW333">
            <v>0.53549999999997766</v>
          </cell>
          <cell r="AX333">
            <v>35.399000000000001</v>
          </cell>
          <cell r="AY333">
            <v>35.934499999999979</v>
          </cell>
          <cell r="AZ333">
            <v>1.0752127617979413E-2</v>
          </cell>
          <cell r="BA333">
            <v>8.2499999999994245E-2</v>
          </cell>
          <cell r="BB333">
            <v>7.6729000000000003</v>
          </cell>
          <cell r="BC333">
            <v>7.7553999999999945</v>
          </cell>
        </row>
        <row r="334">
          <cell r="B334">
            <v>286</v>
          </cell>
          <cell r="C334">
            <v>106</v>
          </cell>
          <cell r="D334">
            <v>1.4842682820973176E-2</v>
          </cell>
          <cell r="E334">
            <v>0.90247222222222157</v>
          </cell>
          <cell r="F334">
            <v>60.802500000000002</v>
          </cell>
          <cell r="G334">
            <v>61.704972222222224</v>
          </cell>
          <cell r="H334">
            <v>2.0674665769166774E-2</v>
          </cell>
          <cell r="I334">
            <v>1.5295799999999959</v>
          </cell>
          <cell r="J334">
            <v>73.9833</v>
          </cell>
          <cell r="K334">
            <v>75.512879999999996</v>
          </cell>
          <cell r="L334">
            <v>2.6700781466936385E-2</v>
          </cell>
          <cell r="M334">
            <v>1.4957777777777764E-2</v>
          </cell>
          <cell r="N334">
            <v>0.56020000000000003</v>
          </cell>
          <cell r="O334">
            <v>0.57515777777777777</v>
          </cell>
          <cell r="P334">
            <v>1.415094272185922E-2</v>
          </cell>
          <cell r="Q334">
            <v>1.5397088888888864</v>
          </cell>
          <cell r="R334">
            <v>108.8061</v>
          </cell>
          <cell r="S334">
            <v>110.34580888888888</v>
          </cell>
          <cell r="T334">
            <v>2.4639748600743323E-2</v>
          </cell>
          <cell r="U334">
            <v>1.184314444444448</v>
          </cell>
          <cell r="V334">
            <v>48.065199999999997</v>
          </cell>
          <cell r="W334">
            <v>49.249514444444443</v>
          </cell>
          <cell r="X334">
            <v>1.0307093592262962E-2</v>
          </cell>
          <cell r="Y334">
            <v>0.47258333333333452</v>
          </cell>
          <cell r="Z334">
            <v>45.850299999999997</v>
          </cell>
          <cell r="AA334">
            <v>46.32288333333333</v>
          </cell>
          <cell r="AB334">
            <v>1.7765596421967386E-2</v>
          </cell>
          <cell r="AC334">
            <v>0.88186111111111243</v>
          </cell>
          <cell r="AD334">
            <v>49.6387</v>
          </cell>
          <cell r="AE334">
            <v>50.520561111111114</v>
          </cell>
          <cell r="AF334">
            <v>1.4703806878418773E-2</v>
          </cell>
          <cell r="AG334">
            <v>0.24332888888888876</v>
          </cell>
          <cell r="AH334">
            <v>16.5487</v>
          </cell>
          <cell r="AI334">
            <v>16.79202888888889</v>
          </cell>
          <cell r="AJ334">
            <v>1.0761566347868961E-2</v>
          </cell>
          <cell r="AK334">
            <v>0.17111428571429041</v>
          </cell>
          <cell r="AL334">
            <v>15.900499999999999</v>
          </cell>
          <cell r="AM334">
            <v>16.07161428571429</v>
          </cell>
          <cell r="AN334">
            <v>1.6652920152389859E-2</v>
          </cell>
          <cell r="AO334">
            <v>0.12719999999999945</v>
          </cell>
          <cell r="AP334">
            <v>7.6383000000000001</v>
          </cell>
          <cell r="AQ334">
            <v>7.7654999999999994</v>
          </cell>
          <cell r="AR334">
            <v>6.6144105830568817E-3</v>
          </cell>
          <cell r="AS334">
            <v>0.2755999999999979</v>
          </cell>
          <cell r="AT334">
            <v>41.666600000000003</v>
          </cell>
          <cell r="AU334">
            <v>41.9422</v>
          </cell>
          <cell r="AV334">
            <v>1.5271617842311293E-2</v>
          </cell>
          <cell r="AW334">
            <v>0.54059999999997743</v>
          </cell>
          <cell r="AX334">
            <v>35.399000000000001</v>
          </cell>
          <cell r="AY334">
            <v>35.939599999999977</v>
          </cell>
          <cell r="AZ334">
            <v>1.085452883338874E-2</v>
          </cell>
          <cell r="BA334">
            <v>8.3285714285708481E-2</v>
          </cell>
          <cell r="BB334">
            <v>7.6729000000000003</v>
          </cell>
          <cell r="BC334">
            <v>7.7561857142857091</v>
          </cell>
        </row>
        <row r="335">
          <cell r="B335">
            <v>287</v>
          </cell>
          <cell r="C335">
            <v>107</v>
          </cell>
          <cell r="D335">
            <v>1.4982708130604998E-2</v>
          </cell>
          <cell r="E335">
            <v>0.91098611111111039</v>
          </cell>
          <cell r="F335">
            <v>60.802500000000002</v>
          </cell>
          <cell r="G335">
            <v>61.713486111111109</v>
          </cell>
          <cell r="H335">
            <v>2.0869709785857025E-2</v>
          </cell>
          <cell r="I335">
            <v>1.5440099999999961</v>
          </cell>
          <cell r="J335">
            <v>73.9833</v>
          </cell>
          <cell r="K335">
            <v>75.52731</v>
          </cell>
          <cell r="L335">
            <v>2.6952675631718801E-2</v>
          </cell>
          <cell r="M335">
            <v>1.5098888888888877E-2</v>
          </cell>
          <cell r="N335">
            <v>0.56020000000000003</v>
          </cell>
          <cell r="O335">
            <v>0.57529888888888892</v>
          </cell>
          <cell r="P335">
            <v>1.4284442181499402E-2</v>
          </cell>
          <cell r="Q335">
            <v>1.554234444444442</v>
          </cell>
          <cell r="R335">
            <v>108.8061</v>
          </cell>
          <cell r="S335">
            <v>110.36033444444445</v>
          </cell>
          <cell r="T335">
            <v>2.4872199059240905E-2</v>
          </cell>
          <cell r="U335">
            <v>1.1954872222222259</v>
          </cell>
          <cell r="V335">
            <v>48.065199999999997</v>
          </cell>
          <cell r="W335">
            <v>49.260687222222224</v>
          </cell>
          <cell r="X335">
            <v>1.0404330324265442E-2</v>
          </cell>
          <cell r="Y335">
            <v>0.47704166666666781</v>
          </cell>
          <cell r="Z335">
            <v>45.850299999999997</v>
          </cell>
          <cell r="AA335">
            <v>46.327341666666662</v>
          </cell>
          <cell r="AB335">
            <v>1.793319638821236E-2</v>
          </cell>
          <cell r="AC335">
            <v>0.89018055555555686</v>
          </cell>
          <cell r="AD335">
            <v>49.6387</v>
          </cell>
          <cell r="AE335">
            <v>50.52888055555556</v>
          </cell>
          <cell r="AF335">
            <v>1.4842522037649141E-2</v>
          </cell>
          <cell r="AG335">
            <v>0.24562444444444431</v>
          </cell>
          <cell r="AH335">
            <v>16.5487</v>
          </cell>
          <cell r="AI335">
            <v>16.794324444444445</v>
          </cell>
          <cell r="AJ335">
            <v>1.0863090558697913E-2</v>
          </cell>
          <cell r="AK335">
            <v>0.17272857142857617</v>
          </cell>
          <cell r="AL335">
            <v>15.900499999999999</v>
          </cell>
          <cell r="AM335">
            <v>16.073228571428576</v>
          </cell>
          <cell r="AN335">
            <v>1.6810023172695424E-2</v>
          </cell>
          <cell r="AO335">
            <v>0.12839999999999943</v>
          </cell>
          <cell r="AP335">
            <v>7.6383000000000001</v>
          </cell>
          <cell r="AQ335">
            <v>7.7666999999999993</v>
          </cell>
          <cell r="AR335">
            <v>6.676810682897041E-3</v>
          </cell>
          <cell r="AS335">
            <v>0.27819999999999789</v>
          </cell>
          <cell r="AT335">
            <v>41.666600000000003</v>
          </cell>
          <cell r="AU335">
            <v>41.944800000000001</v>
          </cell>
          <cell r="AV335">
            <v>1.5415689708748194E-2</v>
          </cell>
          <cell r="AW335">
            <v>0.5456999999999772</v>
          </cell>
          <cell r="AX335">
            <v>35.399000000000001</v>
          </cell>
          <cell r="AY335">
            <v>35.944699999999976</v>
          </cell>
          <cell r="AZ335">
            <v>1.0956930048798068E-2</v>
          </cell>
          <cell r="BA335">
            <v>8.4071428571422704E-2</v>
          </cell>
          <cell r="BB335">
            <v>7.6729000000000003</v>
          </cell>
          <cell r="BC335">
            <v>7.7569714285714229</v>
          </cell>
        </row>
        <row r="336">
          <cell r="B336">
            <v>288</v>
          </cell>
          <cell r="C336">
            <v>108</v>
          </cell>
          <cell r="D336">
            <v>1.5122733440236819E-2</v>
          </cell>
          <cell r="E336">
            <v>0.91949999999999932</v>
          </cell>
          <cell r="F336">
            <v>60.802500000000002</v>
          </cell>
          <cell r="G336">
            <v>61.722000000000001</v>
          </cell>
          <cell r="H336">
            <v>2.1064753802547281E-2</v>
          </cell>
          <cell r="I336">
            <v>1.5584399999999961</v>
          </cell>
          <cell r="J336">
            <v>73.9833</v>
          </cell>
          <cell r="K336">
            <v>75.54173999999999</v>
          </cell>
          <cell r="L336">
            <v>2.7204569796501224E-2</v>
          </cell>
          <cell r="M336">
            <v>1.5239999999999986E-2</v>
          </cell>
          <cell r="N336">
            <v>0.56020000000000003</v>
          </cell>
          <cell r="O336">
            <v>0.57544000000000006</v>
          </cell>
          <cell r="P336">
            <v>1.4417941641139582E-2</v>
          </cell>
          <cell r="Q336">
            <v>1.5687599999999975</v>
          </cell>
          <cell r="R336">
            <v>108.8061</v>
          </cell>
          <cell r="S336">
            <v>110.37486</v>
          </cell>
          <cell r="T336">
            <v>2.5104649517738484E-2</v>
          </cell>
          <cell r="U336">
            <v>1.2066600000000036</v>
          </cell>
          <cell r="V336">
            <v>48.065199999999997</v>
          </cell>
          <cell r="W336">
            <v>49.271860000000004</v>
          </cell>
          <cell r="X336">
            <v>1.0501567056267924E-2</v>
          </cell>
          <cell r="Y336">
            <v>0.4815000000000012</v>
          </cell>
          <cell r="Z336">
            <v>45.850299999999997</v>
          </cell>
          <cell r="AA336">
            <v>46.331800000000001</v>
          </cell>
          <cell r="AB336">
            <v>1.8100796354457334E-2</v>
          </cell>
          <cell r="AC336">
            <v>0.89850000000000141</v>
          </cell>
          <cell r="AD336">
            <v>49.6387</v>
          </cell>
          <cell r="AE336">
            <v>50.537199999999999</v>
          </cell>
          <cell r="AF336">
            <v>1.4981237196879505E-2</v>
          </cell>
          <cell r="AG336">
            <v>0.24791999999999986</v>
          </cell>
          <cell r="AH336">
            <v>16.5487</v>
          </cell>
          <cell r="AI336">
            <v>16.796620000000001</v>
          </cell>
          <cell r="AJ336">
            <v>1.0964614769526867E-2</v>
          </cell>
          <cell r="AK336">
            <v>0.17434285714286193</v>
          </cell>
          <cell r="AL336">
            <v>15.900499999999999</v>
          </cell>
          <cell r="AM336">
            <v>16.074842857142862</v>
          </cell>
          <cell r="AN336">
            <v>1.6967126193000986E-2</v>
          </cell>
          <cell r="AO336">
            <v>0.12959999999999944</v>
          </cell>
          <cell r="AP336">
            <v>7.6383000000000001</v>
          </cell>
          <cell r="AQ336">
            <v>7.7678999999999991</v>
          </cell>
          <cell r="AR336">
            <v>6.7392107827372004E-3</v>
          </cell>
          <cell r="AS336">
            <v>0.28079999999999783</v>
          </cell>
          <cell r="AT336">
            <v>41.666600000000003</v>
          </cell>
          <cell r="AU336">
            <v>41.947400000000002</v>
          </cell>
          <cell r="AV336">
            <v>1.5559761575185091E-2</v>
          </cell>
          <cell r="AW336">
            <v>0.55079999999997697</v>
          </cell>
          <cell r="AX336">
            <v>35.399000000000001</v>
          </cell>
          <cell r="AY336">
            <v>35.949799999999975</v>
          </cell>
          <cell r="AZ336">
            <v>1.1059331264207396E-2</v>
          </cell>
          <cell r="BA336">
            <v>8.4857142857136941E-2</v>
          </cell>
          <cell r="BB336">
            <v>7.6729000000000003</v>
          </cell>
          <cell r="BC336">
            <v>7.7577571428571375</v>
          </cell>
        </row>
        <row r="337">
          <cell r="B337">
            <v>289</v>
          </cell>
          <cell r="C337">
            <v>109</v>
          </cell>
          <cell r="D337">
            <v>1.5262758749868644E-2</v>
          </cell>
          <cell r="E337">
            <v>0.92801388888888825</v>
          </cell>
          <cell r="F337">
            <v>60.802500000000002</v>
          </cell>
          <cell r="G337">
            <v>61.730513888888893</v>
          </cell>
          <cell r="H337">
            <v>2.1259797819237532E-2</v>
          </cell>
          <cell r="I337">
            <v>1.572869999999996</v>
          </cell>
          <cell r="J337">
            <v>73.9833</v>
          </cell>
          <cell r="K337">
            <v>75.556169999999995</v>
          </cell>
          <cell r="L337">
            <v>2.7456463961283643E-2</v>
          </cell>
          <cell r="M337">
            <v>1.5381111111111097E-2</v>
          </cell>
          <cell r="N337">
            <v>0.56020000000000003</v>
          </cell>
          <cell r="O337">
            <v>0.5755811111111111</v>
          </cell>
          <cell r="P337">
            <v>1.4551441100779765E-2</v>
          </cell>
          <cell r="Q337">
            <v>1.5832855555555529</v>
          </cell>
          <cell r="R337">
            <v>108.8061</v>
          </cell>
          <cell r="S337">
            <v>110.38938555555555</v>
          </cell>
          <cell r="T337">
            <v>2.5337099976236063E-2</v>
          </cell>
          <cell r="U337">
            <v>1.2178327777777815</v>
          </cell>
          <cell r="V337">
            <v>48.065199999999997</v>
          </cell>
          <cell r="W337">
            <v>49.283032777777777</v>
          </cell>
          <cell r="X337">
            <v>1.0598803788270406E-2</v>
          </cell>
          <cell r="Y337">
            <v>0.4859583333333346</v>
          </cell>
          <cell r="Z337">
            <v>45.850299999999997</v>
          </cell>
          <cell r="AA337">
            <v>46.336258333333333</v>
          </cell>
          <cell r="AB337">
            <v>1.8268396320702315E-2</v>
          </cell>
          <cell r="AC337">
            <v>0.90681944444444584</v>
          </cell>
          <cell r="AD337">
            <v>49.6387</v>
          </cell>
          <cell r="AE337">
            <v>50.545519444444444</v>
          </cell>
          <cell r="AF337">
            <v>1.5119952356109871E-2</v>
          </cell>
          <cell r="AG337">
            <v>0.25021555555555547</v>
          </cell>
          <cell r="AH337">
            <v>16.5487</v>
          </cell>
          <cell r="AI337">
            <v>16.798915555555556</v>
          </cell>
          <cell r="AJ337">
            <v>1.1066138980355819E-2</v>
          </cell>
          <cell r="AK337">
            <v>0.17595714285714767</v>
          </cell>
          <cell r="AL337">
            <v>15.900499999999999</v>
          </cell>
          <cell r="AM337">
            <v>16.076457142857148</v>
          </cell>
          <cell r="AN337">
            <v>1.7124229213306551E-2</v>
          </cell>
          <cell r="AO337">
            <v>0.13079999999999942</v>
          </cell>
          <cell r="AP337">
            <v>7.6383000000000001</v>
          </cell>
          <cell r="AQ337">
            <v>7.7690999999999999</v>
          </cell>
          <cell r="AR337">
            <v>6.8016108825773589E-3</v>
          </cell>
          <cell r="AS337">
            <v>0.28339999999999782</v>
          </cell>
          <cell r="AT337">
            <v>41.666600000000003</v>
          </cell>
          <cell r="AU337">
            <v>41.95</v>
          </cell>
          <cell r="AV337">
            <v>1.5703833441621989E-2</v>
          </cell>
          <cell r="AW337">
            <v>0.55589999999997686</v>
          </cell>
          <cell r="AX337">
            <v>35.399000000000001</v>
          </cell>
          <cell r="AY337">
            <v>35.954899999999981</v>
          </cell>
          <cell r="AZ337">
            <v>1.1161732479616724E-2</v>
          </cell>
          <cell r="BA337">
            <v>8.5642857142851164E-2</v>
          </cell>
          <cell r="BB337">
            <v>7.6729000000000003</v>
          </cell>
          <cell r="BC337">
            <v>7.7585428571428512</v>
          </cell>
        </row>
        <row r="338">
          <cell r="B338">
            <v>290</v>
          </cell>
          <cell r="C338">
            <v>110</v>
          </cell>
          <cell r="D338">
            <v>1.5402784059500465E-2</v>
          </cell>
          <cell r="E338">
            <v>0.93652777777777707</v>
          </cell>
          <cell r="F338">
            <v>60.802500000000002</v>
          </cell>
          <cell r="G338">
            <v>61.739027777777778</v>
          </cell>
          <cell r="H338">
            <v>2.1454841835927784E-2</v>
          </cell>
          <cell r="I338">
            <v>1.5872999999999959</v>
          </cell>
          <cell r="J338">
            <v>73.9833</v>
          </cell>
          <cell r="K338">
            <v>75.570599999999999</v>
          </cell>
          <cell r="L338">
            <v>2.7708358126066059E-2</v>
          </cell>
          <cell r="M338">
            <v>1.552222222222221E-2</v>
          </cell>
          <cell r="N338">
            <v>0.56020000000000003</v>
          </cell>
          <cell r="O338">
            <v>0.57572222222222225</v>
          </cell>
          <cell r="P338">
            <v>1.4684940560419944E-2</v>
          </cell>
          <cell r="Q338">
            <v>1.5978111111111086</v>
          </cell>
          <cell r="R338">
            <v>108.8061</v>
          </cell>
          <cell r="S338">
            <v>110.40391111111111</v>
          </cell>
          <cell r="T338">
            <v>2.5569550434733641E-2</v>
          </cell>
          <cell r="U338">
            <v>1.2290055555555595</v>
          </cell>
          <cell r="V338">
            <v>48.065199999999997</v>
          </cell>
          <cell r="W338">
            <v>49.294205555555557</v>
          </cell>
          <cell r="X338">
            <v>1.0696040520272886E-2</v>
          </cell>
          <cell r="Y338">
            <v>0.49041666666666789</v>
          </cell>
          <cell r="Z338">
            <v>45.850299999999997</v>
          </cell>
          <cell r="AA338">
            <v>46.340716666666665</v>
          </cell>
          <cell r="AB338">
            <v>1.8435996286947288E-2</v>
          </cell>
          <cell r="AC338">
            <v>0.91513888888889028</v>
          </cell>
          <cell r="AD338">
            <v>49.6387</v>
          </cell>
          <cell r="AE338">
            <v>50.55383888888889</v>
          </cell>
          <cell r="AF338">
            <v>1.5258667515340238E-2</v>
          </cell>
          <cell r="AG338">
            <v>0.25251111111111096</v>
          </cell>
          <cell r="AH338">
            <v>16.5487</v>
          </cell>
          <cell r="AI338">
            <v>16.801211111111112</v>
          </cell>
          <cell r="AJ338">
            <v>1.1167663191184771E-2</v>
          </cell>
          <cell r="AK338">
            <v>0.17757142857143343</v>
          </cell>
          <cell r="AL338">
            <v>15.900499999999999</v>
          </cell>
          <cell r="AM338">
            <v>16.078071428571434</v>
          </cell>
          <cell r="AN338">
            <v>1.7281332233612116E-2</v>
          </cell>
          <cell r="AO338">
            <v>0.13199999999999942</v>
          </cell>
          <cell r="AP338">
            <v>7.6383000000000001</v>
          </cell>
          <cell r="AQ338">
            <v>7.7702999999999998</v>
          </cell>
          <cell r="AR338">
            <v>6.8640109824175182E-3</v>
          </cell>
          <cell r="AS338">
            <v>0.28599999999999781</v>
          </cell>
          <cell r="AT338">
            <v>41.666600000000003</v>
          </cell>
          <cell r="AU338">
            <v>41.952600000000004</v>
          </cell>
          <cell r="AV338">
            <v>1.584790530805889E-2</v>
          </cell>
          <cell r="AW338">
            <v>0.56099999999997663</v>
          </cell>
          <cell r="AX338">
            <v>35.399000000000001</v>
          </cell>
          <cell r="AY338">
            <v>35.95999999999998</v>
          </cell>
          <cell r="AZ338">
            <v>1.1264133695026051E-2</v>
          </cell>
          <cell r="BA338">
            <v>8.6428571428565401E-2</v>
          </cell>
          <cell r="BB338">
            <v>7.6729000000000003</v>
          </cell>
          <cell r="BC338">
            <v>7.7593285714285658</v>
          </cell>
        </row>
        <row r="339">
          <cell r="B339">
            <v>291</v>
          </cell>
          <cell r="C339">
            <v>111</v>
          </cell>
          <cell r="D339">
            <v>1.5542809369132287E-2</v>
          </cell>
          <cell r="E339">
            <v>0.945041666666666</v>
          </cell>
          <cell r="F339">
            <v>60.802500000000002</v>
          </cell>
          <cell r="G339">
            <v>61.74754166666667</v>
          </cell>
          <cell r="H339">
            <v>2.1649885852618036E-2</v>
          </cell>
          <cell r="I339">
            <v>1.6017299999999959</v>
          </cell>
          <cell r="J339">
            <v>73.9833</v>
          </cell>
          <cell r="K339">
            <v>75.585029999999989</v>
          </cell>
          <cell r="L339">
            <v>2.7960252290848479E-2</v>
          </cell>
          <cell r="M339">
            <v>1.5663333333333321E-2</v>
          </cell>
          <cell r="N339">
            <v>0.56020000000000003</v>
          </cell>
          <cell r="O339">
            <v>0.57586333333333339</v>
          </cell>
          <cell r="P339">
            <v>1.4818440020060128E-2</v>
          </cell>
          <cell r="Q339">
            <v>1.6123366666666641</v>
          </cell>
          <cell r="R339">
            <v>108.8061</v>
          </cell>
          <cell r="S339">
            <v>110.41843666666666</v>
          </cell>
          <cell r="T339">
            <v>2.5802000893231217E-2</v>
          </cell>
          <cell r="U339">
            <v>1.2401783333333372</v>
          </cell>
          <cell r="V339">
            <v>48.065199999999997</v>
          </cell>
          <cell r="W339">
            <v>49.305378333333337</v>
          </cell>
          <cell r="X339">
            <v>1.0793277252275366E-2</v>
          </cell>
          <cell r="Y339">
            <v>0.49487500000000118</v>
          </cell>
          <cell r="Z339">
            <v>45.850299999999997</v>
          </cell>
          <cell r="AA339">
            <v>46.345174999999998</v>
          </cell>
          <cell r="AB339">
            <v>1.8603596253192262E-2</v>
          </cell>
          <cell r="AC339">
            <v>0.92345833333333471</v>
          </cell>
          <cell r="AD339">
            <v>49.6387</v>
          </cell>
          <cell r="AE339">
            <v>50.562158333333336</v>
          </cell>
          <cell r="AF339">
            <v>1.5397382674570604E-2</v>
          </cell>
          <cell r="AG339">
            <v>0.25480666666666651</v>
          </cell>
          <cell r="AH339">
            <v>16.5487</v>
          </cell>
          <cell r="AI339">
            <v>16.803506666666667</v>
          </cell>
          <cell r="AJ339">
            <v>1.1269187402013724E-2</v>
          </cell>
          <cell r="AK339">
            <v>0.17918571428571919</v>
          </cell>
          <cell r="AL339">
            <v>15.900499999999999</v>
          </cell>
          <cell r="AM339">
            <v>16.07968571428572</v>
          </cell>
          <cell r="AN339">
            <v>1.7438435253917681E-2</v>
          </cell>
          <cell r="AO339">
            <v>0.1331999999999994</v>
          </cell>
          <cell r="AP339">
            <v>7.6383000000000001</v>
          </cell>
          <cell r="AQ339">
            <v>7.7714999999999996</v>
          </cell>
          <cell r="AR339">
            <v>6.9264110822576785E-3</v>
          </cell>
          <cell r="AS339">
            <v>0.2885999999999978</v>
          </cell>
          <cell r="AT339">
            <v>41.666600000000003</v>
          </cell>
          <cell r="AU339">
            <v>41.955199999999998</v>
          </cell>
          <cell r="AV339">
            <v>1.599197717449579E-2</v>
          </cell>
          <cell r="AW339">
            <v>0.5660999999999764</v>
          </cell>
          <cell r="AX339">
            <v>35.399000000000001</v>
          </cell>
          <cell r="AY339">
            <v>35.965099999999978</v>
          </cell>
          <cell r="AZ339">
            <v>1.1366534910435379E-2</v>
          </cell>
          <cell r="BA339">
            <v>8.7214285714279624E-2</v>
          </cell>
          <cell r="BB339">
            <v>7.6729000000000003</v>
          </cell>
          <cell r="BC339">
            <v>7.7601142857142795</v>
          </cell>
        </row>
        <row r="340">
          <cell r="B340">
            <v>292</v>
          </cell>
          <cell r="C340">
            <v>112</v>
          </cell>
          <cell r="D340">
            <v>1.5682834678764111E-2</v>
          </cell>
          <cell r="E340">
            <v>0.95355555555555482</v>
          </cell>
          <cell r="F340">
            <v>60.802500000000002</v>
          </cell>
          <cell r="G340">
            <v>61.756055555555555</v>
          </cell>
          <cell r="H340">
            <v>2.1844929869308288E-2</v>
          </cell>
          <cell r="I340">
            <v>1.6161599999999958</v>
          </cell>
          <cell r="J340">
            <v>73.9833</v>
          </cell>
          <cell r="K340">
            <v>75.599459999999993</v>
          </cell>
          <cell r="L340">
            <v>2.8212146455630898E-2</v>
          </cell>
          <cell r="M340">
            <v>1.580444444444443E-2</v>
          </cell>
          <cell r="N340">
            <v>0.56020000000000003</v>
          </cell>
          <cell r="O340">
            <v>0.57600444444444443</v>
          </cell>
          <cell r="P340">
            <v>1.4951939479700306E-2</v>
          </cell>
          <cell r="Q340">
            <v>1.6268622222222195</v>
          </cell>
          <cell r="R340">
            <v>108.8061</v>
          </cell>
          <cell r="S340">
            <v>110.43296222222222</v>
          </cell>
          <cell r="T340">
            <v>2.6034451351728796E-2</v>
          </cell>
          <cell r="U340">
            <v>1.2513511111111149</v>
          </cell>
          <cell r="V340">
            <v>48.065199999999997</v>
          </cell>
          <cell r="W340">
            <v>49.31655111111111</v>
          </cell>
          <cell r="X340">
            <v>1.0890513984277848E-2</v>
          </cell>
          <cell r="Y340">
            <v>0.49933333333333457</v>
          </cell>
          <cell r="Z340">
            <v>45.850299999999997</v>
          </cell>
          <cell r="AA340">
            <v>46.34963333333333</v>
          </cell>
          <cell r="AB340">
            <v>1.877119621943724E-2</v>
          </cell>
          <cell r="AC340">
            <v>0.93177777777777915</v>
          </cell>
          <cell r="AD340">
            <v>49.6387</v>
          </cell>
          <cell r="AE340">
            <v>50.570477777777782</v>
          </cell>
          <cell r="AF340">
            <v>1.5536097833800968E-2</v>
          </cell>
          <cell r="AG340">
            <v>0.25710222222222207</v>
          </cell>
          <cell r="AH340">
            <v>16.5487</v>
          </cell>
          <cell r="AI340">
            <v>16.805802222222223</v>
          </cell>
          <cell r="AJ340">
            <v>1.1370711612842676E-2</v>
          </cell>
          <cell r="AK340">
            <v>0.18080000000000496</v>
          </cell>
          <cell r="AL340">
            <v>15.900499999999999</v>
          </cell>
          <cell r="AM340">
            <v>16.081300000000006</v>
          </cell>
          <cell r="AN340">
            <v>1.7595538274223246E-2</v>
          </cell>
          <cell r="AO340">
            <v>0.13439999999999941</v>
          </cell>
          <cell r="AP340">
            <v>7.6383000000000001</v>
          </cell>
          <cell r="AQ340">
            <v>7.7726999999999995</v>
          </cell>
          <cell r="AR340">
            <v>6.9888111820978378E-3</v>
          </cell>
          <cell r="AS340">
            <v>0.29119999999999779</v>
          </cell>
          <cell r="AT340">
            <v>41.666600000000003</v>
          </cell>
          <cell r="AU340">
            <v>41.957799999999999</v>
          </cell>
          <cell r="AV340">
            <v>1.6136049040932687E-2</v>
          </cell>
          <cell r="AW340">
            <v>0.57119999999997617</v>
          </cell>
          <cell r="AX340">
            <v>35.399000000000001</v>
          </cell>
          <cell r="AY340">
            <v>35.970199999999977</v>
          </cell>
          <cell r="AZ340">
            <v>1.1468936125844707E-2</v>
          </cell>
          <cell r="BA340">
            <v>8.7999999999993861E-2</v>
          </cell>
          <cell r="BB340">
            <v>7.6729000000000003</v>
          </cell>
          <cell r="BC340">
            <v>7.7608999999999941</v>
          </cell>
        </row>
        <row r="341">
          <cell r="B341">
            <v>293</v>
          </cell>
          <cell r="C341">
            <v>113</v>
          </cell>
          <cell r="D341">
            <v>1.5822859988395929E-2</v>
          </cell>
          <cell r="E341">
            <v>0.96206944444444376</v>
          </cell>
          <cell r="F341">
            <v>60.802500000000002</v>
          </cell>
          <cell r="G341">
            <v>61.764569444444447</v>
          </cell>
          <cell r="H341">
            <v>2.2039973885998539E-2</v>
          </cell>
          <cell r="I341">
            <v>1.6305899999999958</v>
          </cell>
          <cell r="J341">
            <v>73.9833</v>
          </cell>
          <cell r="K341">
            <v>75.613889999999998</v>
          </cell>
          <cell r="L341">
            <v>2.8464040620413314E-2</v>
          </cell>
          <cell r="M341">
            <v>1.5945555555555543E-2</v>
          </cell>
          <cell r="N341">
            <v>0.56020000000000003</v>
          </cell>
          <cell r="O341">
            <v>0.57614555555555558</v>
          </cell>
          <cell r="P341">
            <v>1.508543893934049E-2</v>
          </cell>
          <cell r="Q341">
            <v>1.6413877777777752</v>
          </cell>
          <cell r="R341">
            <v>108.8061</v>
          </cell>
          <cell r="S341">
            <v>110.44748777777778</v>
          </cell>
          <cell r="T341">
            <v>2.6266901810226374E-2</v>
          </cell>
          <cell r="U341">
            <v>1.2625238888888928</v>
          </cell>
          <cell r="V341">
            <v>48.065199999999997</v>
          </cell>
          <cell r="W341">
            <v>49.32772388888889</v>
          </cell>
          <cell r="X341">
            <v>1.0987750716280329E-2</v>
          </cell>
          <cell r="Y341">
            <v>0.50379166666666797</v>
          </cell>
          <cell r="Z341">
            <v>45.850299999999997</v>
          </cell>
          <cell r="AA341">
            <v>46.354091666666662</v>
          </cell>
          <cell r="AB341">
            <v>1.8938796185682213E-2</v>
          </cell>
          <cell r="AC341">
            <v>0.94009722222222369</v>
          </cell>
          <cell r="AD341">
            <v>49.6387</v>
          </cell>
          <cell r="AE341">
            <v>50.578797222222221</v>
          </cell>
          <cell r="AF341">
            <v>1.5674812993031337E-2</v>
          </cell>
          <cell r="AG341">
            <v>0.25939777777777767</v>
          </cell>
          <cell r="AH341">
            <v>16.5487</v>
          </cell>
          <cell r="AI341">
            <v>16.808097777777778</v>
          </cell>
          <cell r="AJ341">
            <v>1.1472235823671628E-2</v>
          </cell>
          <cell r="AK341">
            <v>0.18241428571429072</v>
          </cell>
          <cell r="AL341">
            <v>15.900499999999999</v>
          </cell>
          <cell r="AM341">
            <v>16.082914285714288</v>
          </cell>
          <cell r="AN341">
            <v>1.7752641294528811E-2</v>
          </cell>
          <cell r="AO341">
            <v>0.13559999999999942</v>
          </cell>
          <cell r="AP341">
            <v>7.6383000000000001</v>
          </cell>
          <cell r="AQ341">
            <v>7.7738999999999994</v>
          </cell>
          <cell r="AR341">
            <v>7.0512112819379972E-3</v>
          </cell>
          <cell r="AS341">
            <v>0.29379999999999773</v>
          </cell>
          <cell r="AT341">
            <v>41.666600000000003</v>
          </cell>
          <cell r="AU341">
            <v>41.9604</v>
          </cell>
          <cell r="AV341">
            <v>1.6280120907369584E-2</v>
          </cell>
          <cell r="AW341">
            <v>0.57629999999997594</v>
          </cell>
          <cell r="AX341">
            <v>35.399000000000001</v>
          </cell>
          <cell r="AY341">
            <v>35.975299999999976</v>
          </cell>
          <cell r="AZ341">
            <v>1.1571337341254035E-2</v>
          </cell>
          <cell r="BA341">
            <v>8.8785714285708098E-2</v>
          </cell>
          <cell r="BB341">
            <v>7.6729000000000003</v>
          </cell>
          <cell r="BC341">
            <v>7.7616857142857087</v>
          </cell>
        </row>
        <row r="342">
          <cell r="B342">
            <v>294</v>
          </cell>
          <cell r="C342">
            <v>114</v>
          </cell>
          <cell r="D342">
            <v>1.5962885298027755E-2</v>
          </cell>
          <cell r="E342">
            <v>0.97058333333333258</v>
          </cell>
          <cell r="F342">
            <v>60.802500000000002</v>
          </cell>
          <cell r="G342">
            <v>61.773083333333332</v>
          </cell>
          <cell r="H342">
            <v>2.2235017902688795E-2</v>
          </cell>
          <cell r="I342">
            <v>1.6450199999999957</v>
          </cell>
          <cell r="J342">
            <v>73.9833</v>
          </cell>
          <cell r="K342">
            <v>75.628320000000002</v>
          </cell>
          <cell r="L342">
            <v>2.8715934785195737E-2</v>
          </cell>
          <cell r="M342">
            <v>1.6086666666666652E-2</v>
          </cell>
          <cell r="N342">
            <v>0.56020000000000003</v>
          </cell>
          <cell r="O342">
            <v>0.57628666666666672</v>
          </cell>
          <cell r="P342">
            <v>1.5218938398980669E-2</v>
          </cell>
          <cell r="Q342">
            <v>1.6559133333333307</v>
          </cell>
          <cell r="R342">
            <v>108.8061</v>
          </cell>
          <cell r="S342">
            <v>110.46201333333333</v>
          </cell>
          <cell r="T342">
            <v>2.6499352268723957E-2</v>
          </cell>
          <cell r="U342">
            <v>1.2736966666666705</v>
          </cell>
          <cell r="V342">
            <v>48.065199999999997</v>
          </cell>
          <cell r="W342">
            <v>49.33889666666667</v>
          </cell>
          <cell r="X342">
            <v>1.1084987448282809E-2</v>
          </cell>
          <cell r="Y342">
            <v>0.50825000000000131</v>
          </cell>
          <cell r="Z342">
            <v>45.850299999999997</v>
          </cell>
          <cell r="AA342">
            <v>46.358550000000001</v>
          </cell>
          <cell r="AB342">
            <v>1.9106396151927187E-2</v>
          </cell>
          <cell r="AC342">
            <v>0.94841666666666813</v>
          </cell>
          <cell r="AD342">
            <v>49.6387</v>
          </cell>
          <cell r="AE342">
            <v>50.587116666666667</v>
          </cell>
          <cell r="AF342">
            <v>1.58135281522617E-2</v>
          </cell>
          <cell r="AG342">
            <v>0.26169333333333322</v>
          </cell>
          <cell r="AH342">
            <v>16.5487</v>
          </cell>
          <cell r="AI342">
            <v>16.810393333333334</v>
          </cell>
          <cell r="AJ342">
            <v>1.1573760034500582E-2</v>
          </cell>
          <cell r="AK342">
            <v>0.18402857142857648</v>
          </cell>
          <cell r="AL342">
            <v>15.900499999999999</v>
          </cell>
          <cell r="AM342">
            <v>16.084528571428574</v>
          </cell>
          <cell r="AN342">
            <v>1.7909744314834376E-2</v>
          </cell>
          <cell r="AO342">
            <v>0.13679999999999939</v>
          </cell>
          <cell r="AP342">
            <v>7.6383000000000001</v>
          </cell>
          <cell r="AQ342">
            <v>7.7750999999999992</v>
          </cell>
          <cell r="AR342">
            <v>7.1136113817781557E-3</v>
          </cell>
          <cell r="AS342">
            <v>0.29639999999999772</v>
          </cell>
          <cell r="AT342">
            <v>41.666600000000003</v>
          </cell>
          <cell r="AU342">
            <v>41.963000000000001</v>
          </cell>
          <cell r="AV342">
            <v>1.6424192773806485E-2</v>
          </cell>
          <cell r="AW342">
            <v>0.58139999999997571</v>
          </cell>
          <cell r="AX342">
            <v>35.399000000000001</v>
          </cell>
          <cell r="AY342">
            <v>35.980399999999975</v>
          </cell>
          <cell r="AZ342">
            <v>1.1673738556663362E-2</v>
          </cell>
          <cell r="BA342">
            <v>8.9571428571422321E-2</v>
          </cell>
          <cell r="BB342">
            <v>7.6729000000000003</v>
          </cell>
          <cell r="BC342">
            <v>7.7624714285714225</v>
          </cell>
        </row>
        <row r="343">
          <cell r="B343">
            <v>295</v>
          </cell>
          <cell r="C343">
            <v>115</v>
          </cell>
          <cell r="D343">
            <v>1.6102910607659577E-2</v>
          </cell>
          <cell r="E343">
            <v>0.97909722222222151</v>
          </cell>
          <cell r="F343">
            <v>60.802500000000002</v>
          </cell>
          <cell r="G343">
            <v>61.781597222222224</v>
          </cell>
          <cell r="H343">
            <v>2.2430061919379046E-2</v>
          </cell>
          <cell r="I343">
            <v>1.6594499999999957</v>
          </cell>
          <cell r="J343">
            <v>73.9833</v>
          </cell>
          <cell r="K343">
            <v>75.642749999999992</v>
          </cell>
          <cell r="L343">
            <v>2.8967828949978156E-2</v>
          </cell>
          <cell r="M343">
            <v>1.6227777777777765E-2</v>
          </cell>
          <cell r="N343">
            <v>0.56020000000000003</v>
          </cell>
          <cell r="O343">
            <v>0.57642777777777776</v>
          </cell>
          <cell r="P343">
            <v>1.5352437858620853E-2</v>
          </cell>
          <cell r="Q343">
            <v>1.6704388888888861</v>
          </cell>
          <cell r="R343">
            <v>108.8061</v>
          </cell>
          <cell r="S343">
            <v>110.47653888888888</v>
          </cell>
          <cell r="T343">
            <v>2.6731802727221535E-2</v>
          </cell>
          <cell r="U343">
            <v>1.2848694444444484</v>
          </cell>
          <cell r="V343">
            <v>48.065199999999997</v>
          </cell>
          <cell r="W343">
            <v>49.350069444444443</v>
          </cell>
          <cell r="X343">
            <v>1.1182224180285289E-2</v>
          </cell>
          <cell r="Y343">
            <v>0.51270833333333454</v>
          </cell>
          <cell r="Z343">
            <v>45.850299999999997</v>
          </cell>
          <cell r="AA343">
            <v>46.363008333333333</v>
          </cell>
          <cell r="AB343">
            <v>1.9273996118172165E-2</v>
          </cell>
          <cell r="AC343">
            <v>0.95673611111111256</v>
          </cell>
          <cell r="AD343">
            <v>49.6387</v>
          </cell>
          <cell r="AE343">
            <v>50.595436111111113</v>
          </cell>
          <cell r="AF343">
            <v>1.5952243311492066E-2</v>
          </cell>
          <cell r="AG343">
            <v>0.26398888888888872</v>
          </cell>
          <cell r="AH343">
            <v>16.5487</v>
          </cell>
          <cell r="AI343">
            <v>16.812688888888889</v>
          </cell>
          <cell r="AJ343">
            <v>1.1675284245329534E-2</v>
          </cell>
          <cell r="AK343">
            <v>0.18564285714286224</v>
          </cell>
          <cell r="AL343">
            <v>15.900499999999999</v>
          </cell>
          <cell r="AM343">
            <v>16.08614285714286</v>
          </cell>
          <cell r="AN343">
            <v>1.8066847335139941E-2</v>
          </cell>
          <cell r="AO343">
            <v>0.1379999999999994</v>
          </cell>
          <cell r="AP343">
            <v>7.6383000000000001</v>
          </cell>
          <cell r="AQ343">
            <v>7.7762999999999991</v>
          </cell>
          <cell r="AR343">
            <v>7.176011481618315E-3</v>
          </cell>
          <cell r="AS343">
            <v>0.29899999999999771</v>
          </cell>
          <cell r="AT343">
            <v>41.666600000000003</v>
          </cell>
          <cell r="AU343">
            <v>41.965600000000002</v>
          </cell>
          <cell r="AV343">
            <v>1.6568264640243385E-2</v>
          </cell>
          <cell r="AW343">
            <v>0.58649999999997549</v>
          </cell>
          <cell r="AX343">
            <v>35.399000000000001</v>
          </cell>
          <cell r="AY343">
            <v>35.985499999999973</v>
          </cell>
          <cell r="AZ343">
            <v>1.177613977207269E-2</v>
          </cell>
          <cell r="BA343">
            <v>9.0357142857136558E-2</v>
          </cell>
          <cell r="BB343">
            <v>7.6729000000000003</v>
          </cell>
          <cell r="BC343">
            <v>7.7632571428571371</v>
          </cell>
        </row>
        <row r="344">
          <cell r="B344">
            <v>296</v>
          </cell>
          <cell r="C344">
            <v>116</v>
          </cell>
          <cell r="D344">
            <v>1.6242935917291399E-2</v>
          </cell>
          <cell r="E344">
            <v>0.98761111111111033</v>
          </cell>
          <cell r="F344">
            <v>60.802500000000002</v>
          </cell>
          <cell r="G344">
            <v>61.790111111111109</v>
          </cell>
          <cell r="H344">
            <v>2.2625105936069298E-2</v>
          </cell>
          <cell r="I344">
            <v>1.6738799999999956</v>
          </cell>
          <cell r="J344">
            <v>73.9833</v>
          </cell>
          <cell r="K344">
            <v>75.657179999999997</v>
          </cell>
          <cell r="L344">
            <v>2.9219723114760572E-2</v>
          </cell>
          <cell r="M344">
            <v>1.6368888888888874E-2</v>
          </cell>
          <cell r="N344">
            <v>0.56020000000000003</v>
          </cell>
          <cell r="O344">
            <v>0.57656888888888891</v>
          </cell>
          <cell r="P344">
            <v>1.5485937318261032E-2</v>
          </cell>
          <cell r="Q344">
            <v>1.6849644444444418</v>
          </cell>
          <cell r="R344">
            <v>108.8061</v>
          </cell>
          <cell r="S344">
            <v>110.49106444444445</v>
          </cell>
          <cell r="T344">
            <v>2.6964253185719107E-2</v>
          </cell>
          <cell r="U344">
            <v>1.2960422222222261</v>
          </cell>
          <cell r="V344">
            <v>48.065199999999997</v>
          </cell>
          <cell r="W344">
            <v>49.361242222222224</v>
          </cell>
          <cell r="X344">
            <v>1.1279460912287771E-2</v>
          </cell>
          <cell r="Y344">
            <v>0.517166666666668</v>
          </cell>
          <cell r="Z344">
            <v>45.850299999999997</v>
          </cell>
          <cell r="AA344">
            <v>46.367466666666665</v>
          </cell>
          <cell r="AB344">
            <v>1.9441596084417138E-2</v>
          </cell>
          <cell r="AC344">
            <v>0.965055555555557</v>
          </cell>
          <cell r="AD344">
            <v>49.6387</v>
          </cell>
          <cell r="AE344">
            <v>50.603755555555558</v>
          </cell>
          <cell r="AF344">
            <v>1.6090958470722432E-2</v>
          </cell>
          <cell r="AG344">
            <v>0.26628444444444432</v>
          </cell>
          <cell r="AH344">
            <v>16.5487</v>
          </cell>
          <cell r="AI344">
            <v>16.814984444444445</v>
          </cell>
          <cell r="AJ344">
            <v>1.1776808456158486E-2</v>
          </cell>
          <cell r="AK344">
            <v>0.18725714285714798</v>
          </cell>
          <cell r="AL344">
            <v>15.900499999999999</v>
          </cell>
          <cell r="AM344">
            <v>16.087757142857146</v>
          </cell>
          <cell r="AN344">
            <v>1.8223950355445502E-2</v>
          </cell>
          <cell r="AO344">
            <v>0.13919999999999938</v>
          </cell>
          <cell r="AP344">
            <v>7.6383000000000001</v>
          </cell>
          <cell r="AQ344">
            <v>7.7774999999999999</v>
          </cell>
          <cell r="AR344">
            <v>7.2384115814584744E-3</v>
          </cell>
          <cell r="AS344">
            <v>0.3015999999999977</v>
          </cell>
          <cell r="AT344">
            <v>41.666600000000003</v>
          </cell>
          <cell r="AU344">
            <v>41.968200000000003</v>
          </cell>
          <cell r="AV344">
            <v>1.6712336506680282E-2</v>
          </cell>
          <cell r="AW344">
            <v>0.59159999999997537</v>
          </cell>
          <cell r="AX344">
            <v>35.399000000000001</v>
          </cell>
          <cell r="AY344">
            <v>35.990599999999979</v>
          </cell>
          <cell r="AZ344">
            <v>1.1878540987482018E-2</v>
          </cell>
          <cell r="BA344">
            <v>9.1142857142850781E-2</v>
          </cell>
          <cell r="BB344">
            <v>7.6729000000000003</v>
          </cell>
          <cell r="BC344">
            <v>7.7640428571428508</v>
          </cell>
        </row>
        <row r="345">
          <cell r="B345">
            <v>297</v>
          </cell>
          <cell r="C345">
            <v>117</v>
          </cell>
          <cell r="D345">
            <v>1.6382961226923221E-2</v>
          </cell>
          <cell r="E345">
            <v>0.99612499999999926</v>
          </cell>
          <cell r="F345">
            <v>60.802500000000002</v>
          </cell>
          <cell r="G345">
            <v>61.798625000000001</v>
          </cell>
          <cell r="H345">
            <v>2.282014995275955E-2</v>
          </cell>
          <cell r="I345">
            <v>1.6883099999999955</v>
          </cell>
          <cell r="J345">
            <v>73.9833</v>
          </cell>
          <cell r="K345">
            <v>75.671610000000001</v>
          </cell>
          <cell r="L345">
            <v>2.9471617279542991E-2</v>
          </cell>
          <cell r="M345">
            <v>1.6509999999999986E-2</v>
          </cell>
          <cell r="N345">
            <v>0.56020000000000003</v>
          </cell>
          <cell r="O345">
            <v>0.57671000000000006</v>
          </cell>
          <cell r="P345">
            <v>1.5619436777901214E-2</v>
          </cell>
          <cell r="Q345">
            <v>1.6994899999999973</v>
          </cell>
          <cell r="R345">
            <v>108.8061</v>
          </cell>
          <cell r="S345">
            <v>110.50559</v>
          </cell>
          <cell r="T345">
            <v>2.719670364421669E-2</v>
          </cell>
          <cell r="U345">
            <v>1.307215000000004</v>
          </cell>
          <cell r="V345">
            <v>48.065199999999997</v>
          </cell>
          <cell r="W345">
            <v>49.372415000000004</v>
          </cell>
          <cell r="X345">
            <v>1.1376697644290251E-2</v>
          </cell>
          <cell r="Y345">
            <v>0.52162500000000134</v>
          </cell>
          <cell r="Z345">
            <v>45.850299999999997</v>
          </cell>
          <cell r="AA345">
            <v>46.371924999999997</v>
          </cell>
          <cell r="AB345">
            <v>1.9609196050662116E-2</v>
          </cell>
          <cell r="AC345">
            <v>0.97337500000000143</v>
          </cell>
          <cell r="AD345">
            <v>49.6387</v>
          </cell>
          <cell r="AE345">
            <v>50.612075000000004</v>
          </cell>
          <cell r="AF345">
            <v>1.6229673629952798E-2</v>
          </cell>
          <cell r="AG345">
            <v>0.26857999999999987</v>
          </cell>
          <cell r="AH345">
            <v>16.5487</v>
          </cell>
          <cell r="AI345">
            <v>16.81728</v>
          </cell>
          <cell r="AJ345">
            <v>1.1878332666987439E-2</v>
          </cell>
          <cell r="AK345">
            <v>0.18887142857143374</v>
          </cell>
          <cell r="AL345">
            <v>15.900499999999999</v>
          </cell>
          <cell r="AM345">
            <v>16.089371428571432</v>
          </cell>
          <cell r="AN345">
            <v>1.8381053375751071E-2</v>
          </cell>
          <cell r="AO345">
            <v>0.14039999999999939</v>
          </cell>
          <cell r="AP345">
            <v>7.6383000000000001</v>
          </cell>
          <cell r="AQ345">
            <v>7.7786999999999997</v>
          </cell>
          <cell r="AR345">
            <v>7.3008116812986329E-3</v>
          </cell>
          <cell r="AS345">
            <v>0.30419999999999769</v>
          </cell>
          <cell r="AT345">
            <v>41.666600000000003</v>
          </cell>
          <cell r="AU345">
            <v>41.970799999999997</v>
          </cell>
          <cell r="AV345">
            <v>1.6856408373117183E-2</v>
          </cell>
          <cell r="AW345">
            <v>0.59669999999997514</v>
          </cell>
          <cell r="AX345">
            <v>35.399000000000001</v>
          </cell>
          <cell r="AY345">
            <v>35.995699999999978</v>
          </cell>
          <cell r="AZ345">
            <v>1.1980942202891346E-2</v>
          </cell>
          <cell r="BA345">
            <v>9.1928571428565017E-2</v>
          </cell>
          <cell r="BB345">
            <v>7.6729000000000003</v>
          </cell>
          <cell r="BC345">
            <v>7.7648285714285654</v>
          </cell>
        </row>
        <row r="346">
          <cell r="B346">
            <v>298</v>
          </cell>
          <cell r="C346">
            <v>118</v>
          </cell>
          <cell r="D346">
            <v>1.6522986536555043E-2</v>
          </cell>
          <cell r="E346">
            <v>1.0046388888888882</v>
          </cell>
          <cell r="F346">
            <v>60.802500000000002</v>
          </cell>
          <cell r="G346">
            <v>61.807138888888893</v>
          </cell>
          <cell r="H346">
            <v>2.3015193969449805E-2</v>
          </cell>
          <cell r="I346">
            <v>1.7027399999999955</v>
          </cell>
          <cell r="J346">
            <v>73.9833</v>
          </cell>
          <cell r="K346">
            <v>75.686039999999991</v>
          </cell>
          <cell r="L346">
            <v>2.9723511444325411E-2</v>
          </cell>
          <cell r="M346">
            <v>1.6651111111111099E-2</v>
          </cell>
          <cell r="N346">
            <v>0.56020000000000003</v>
          </cell>
          <cell r="O346">
            <v>0.57685111111111109</v>
          </cell>
          <cell r="P346">
            <v>1.5752936237541395E-2</v>
          </cell>
          <cell r="Q346">
            <v>1.7140155555555527</v>
          </cell>
          <cell r="R346">
            <v>108.8061</v>
          </cell>
          <cell r="S346">
            <v>110.52011555555555</v>
          </cell>
          <cell r="T346">
            <v>2.7429154102714268E-2</v>
          </cell>
          <cell r="U346">
            <v>1.3183877777777819</v>
          </cell>
          <cell r="V346">
            <v>48.065199999999997</v>
          </cell>
          <cell r="W346">
            <v>49.383587777777777</v>
          </cell>
          <cell r="X346">
            <v>1.1473934376292731E-2</v>
          </cell>
          <cell r="Y346">
            <v>0.52608333333333468</v>
          </cell>
          <cell r="Z346">
            <v>45.850299999999997</v>
          </cell>
          <cell r="AA346">
            <v>46.37638333333333</v>
          </cell>
          <cell r="AB346">
            <v>1.977679601690709E-2</v>
          </cell>
          <cell r="AC346">
            <v>0.98169444444444598</v>
          </cell>
          <cell r="AD346">
            <v>49.6387</v>
          </cell>
          <cell r="AE346">
            <v>50.620394444444443</v>
          </cell>
          <cell r="AF346">
            <v>1.6368388789183164E-2</v>
          </cell>
          <cell r="AG346">
            <v>0.27087555555555543</v>
          </cell>
          <cell r="AH346">
            <v>16.5487</v>
          </cell>
          <cell r="AI346">
            <v>16.819575555555556</v>
          </cell>
          <cell r="AJ346">
            <v>1.1979856877816391E-2</v>
          </cell>
          <cell r="AK346">
            <v>0.1904857142857195</v>
          </cell>
          <cell r="AL346">
            <v>15.900499999999999</v>
          </cell>
          <cell r="AM346">
            <v>16.090985714285718</v>
          </cell>
          <cell r="AN346">
            <v>1.8538156396056632E-2</v>
          </cell>
          <cell r="AO346">
            <v>0.14159999999999937</v>
          </cell>
          <cell r="AP346">
            <v>7.6383000000000001</v>
          </cell>
          <cell r="AQ346">
            <v>7.7798999999999996</v>
          </cell>
          <cell r="AR346">
            <v>7.3632117811387931E-3</v>
          </cell>
          <cell r="AS346">
            <v>0.30679999999999763</v>
          </cell>
          <cell r="AT346">
            <v>41.666600000000003</v>
          </cell>
          <cell r="AU346">
            <v>41.973399999999998</v>
          </cell>
          <cell r="AV346">
            <v>1.700048023955408E-2</v>
          </cell>
          <cell r="AW346">
            <v>0.60179999999997491</v>
          </cell>
          <cell r="AX346">
            <v>35.399000000000001</v>
          </cell>
          <cell r="AY346">
            <v>36.000799999999977</v>
          </cell>
          <cell r="AZ346">
            <v>1.2083343418300673E-2</v>
          </cell>
          <cell r="BA346">
            <v>9.271428571427924E-2</v>
          </cell>
          <cell r="BB346">
            <v>7.6729000000000003</v>
          </cell>
          <cell r="BC346">
            <v>7.7656142857142791</v>
          </cell>
        </row>
        <row r="347">
          <cell r="B347">
            <v>299</v>
          </cell>
          <cell r="C347">
            <v>119</v>
          </cell>
          <cell r="D347">
            <v>1.6663011846186866E-2</v>
          </cell>
          <cell r="E347">
            <v>1.0131527777777771</v>
          </cell>
          <cell r="F347">
            <v>60.802500000000002</v>
          </cell>
          <cell r="G347">
            <v>61.815652777777778</v>
          </cell>
          <cell r="H347">
            <v>2.3210237986140057E-2</v>
          </cell>
          <cell r="I347">
            <v>1.7171699999999956</v>
          </cell>
          <cell r="J347">
            <v>73.9833</v>
          </cell>
          <cell r="K347">
            <v>75.700469999999996</v>
          </cell>
          <cell r="L347">
            <v>2.9975405609107827E-2</v>
          </cell>
          <cell r="M347">
            <v>1.6792222222222208E-2</v>
          </cell>
          <cell r="N347">
            <v>0.56020000000000003</v>
          </cell>
          <cell r="O347">
            <v>0.57699222222222224</v>
          </cell>
          <cell r="P347">
            <v>1.5886435697181577E-2</v>
          </cell>
          <cell r="Q347">
            <v>1.7285411111111084</v>
          </cell>
          <cell r="R347">
            <v>108.8061</v>
          </cell>
          <cell r="S347">
            <v>110.53464111111111</v>
          </cell>
          <cell r="T347">
            <v>2.7661604561211847E-2</v>
          </cell>
          <cell r="U347">
            <v>1.3295605555555596</v>
          </cell>
          <cell r="V347">
            <v>48.065199999999997</v>
          </cell>
          <cell r="W347">
            <v>49.394760555555557</v>
          </cell>
          <cell r="X347">
            <v>1.1571171108295213E-2</v>
          </cell>
          <cell r="Y347">
            <v>0.53054166666666791</v>
          </cell>
          <cell r="Z347">
            <v>45.850299999999997</v>
          </cell>
          <cell r="AA347">
            <v>46.380841666666662</v>
          </cell>
          <cell r="AB347">
            <v>1.9944395983152063E-2</v>
          </cell>
          <cell r="AC347">
            <v>0.99001388888889041</v>
          </cell>
          <cell r="AD347">
            <v>49.6387</v>
          </cell>
          <cell r="AE347">
            <v>50.628713888888889</v>
          </cell>
          <cell r="AF347">
            <v>1.650710394841353E-2</v>
          </cell>
          <cell r="AG347">
            <v>0.27317111111111098</v>
          </cell>
          <cell r="AH347">
            <v>16.5487</v>
          </cell>
          <cell r="AI347">
            <v>16.821871111111111</v>
          </cell>
          <cell r="AJ347">
            <v>1.2081381088645343E-2</v>
          </cell>
          <cell r="AK347">
            <v>0.19210000000000527</v>
          </cell>
          <cell r="AL347">
            <v>15.900499999999999</v>
          </cell>
          <cell r="AM347">
            <v>16.092600000000004</v>
          </cell>
          <cell r="AN347">
            <v>1.8695259416362197E-2</v>
          </cell>
          <cell r="AO347">
            <v>0.14279999999999937</v>
          </cell>
          <cell r="AP347">
            <v>7.6383000000000001</v>
          </cell>
          <cell r="AQ347">
            <v>7.7810999999999995</v>
          </cell>
          <cell r="AR347">
            <v>7.4256118809789525E-3</v>
          </cell>
          <cell r="AS347">
            <v>0.30939999999999762</v>
          </cell>
          <cell r="AT347">
            <v>41.666600000000003</v>
          </cell>
          <cell r="AU347">
            <v>41.975999999999999</v>
          </cell>
          <cell r="AV347">
            <v>1.714455210599098E-2</v>
          </cell>
          <cell r="AW347">
            <v>0.60689999999997468</v>
          </cell>
          <cell r="AX347">
            <v>35.399000000000001</v>
          </cell>
          <cell r="AY347">
            <v>36.005899999999976</v>
          </cell>
          <cell r="AZ347">
            <v>1.2185744633710001E-2</v>
          </cell>
          <cell r="BA347">
            <v>9.3499999999993477E-2</v>
          </cell>
          <cell r="BB347">
            <v>7.6729000000000003</v>
          </cell>
          <cell r="BC347">
            <v>7.7663999999999938</v>
          </cell>
        </row>
        <row r="348">
          <cell r="B348">
            <v>300</v>
          </cell>
          <cell r="C348">
            <v>120</v>
          </cell>
          <cell r="D348">
            <v>1.6803037155818688E-2</v>
          </cell>
          <cell r="E348">
            <v>1.0216666666666658</v>
          </cell>
          <cell r="F348">
            <v>60.802500000000002</v>
          </cell>
          <cell r="G348">
            <v>61.82416666666667</v>
          </cell>
          <cell r="H348">
            <v>2.3405282002830308E-2</v>
          </cell>
          <cell r="I348">
            <v>1.7315999999999956</v>
          </cell>
          <cell r="J348">
            <v>73.9833</v>
          </cell>
          <cell r="K348">
            <v>75.7149</v>
          </cell>
          <cell r="L348">
            <v>3.022729977389025E-2</v>
          </cell>
          <cell r="M348">
            <v>1.6933333333333318E-2</v>
          </cell>
          <cell r="N348">
            <v>0.56020000000000003</v>
          </cell>
          <cell r="O348">
            <v>0.57713333333333339</v>
          </cell>
          <cell r="P348">
            <v>1.6019935156821759E-2</v>
          </cell>
          <cell r="Q348">
            <v>1.7430666666666639</v>
          </cell>
          <cell r="R348">
            <v>108.8061</v>
          </cell>
          <cell r="S348">
            <v>110.54916666666666</v>
          </cell>
          <cell r="T348">
            <v>2.7894055019709426E-2</v>
          </cell>
          <cell r="U348">
            <v>1.3407333333333373</v>
          </cell>
          <cell r="V348">
            <v>48.065199999999997</v>
          </cell>
          <cell r="W348">
            <v>49.405933333333337</v>
          </cell>
          <cell r="X348">
            <v>1.1668407840297693E-2</v>
          </cell>
          <cell r="Y348">
            <v>0.53500000000000136</v>
          </cell>
          <cell r="Z348">
            <v>45.850299999999997</v>
          </cell>
          <cell r="AA348">
            <v>46.385300000000001</v>
          </cell>
          <cell r="AB348">
            <v>2.0111995949397041E-2</v>
          </cell>
          <cell r="AC348">
            <v>0.99833333333333485</v>
          </cell>
          <cell r="AD348">
            <v>49.6387</v>
          </cell>
          <cell r="AE348">
            <v>50.637033333333335</v>
          </cell>
          <cell r="AF348">
            <v>1.6645819107643896E-2</v>
          </cell>
          <cell r="AG348">
            <v>0.27546666666666653</v>
          </cell>
          <cell r="AH348">
            <v>16.5487</v>
          </cell>
          <cell r="AI348">
            <v>16.824166666666667</v>
          </cell>
          <cell r="AJ348">
            <v>1.2182905299474297E-2</v>
          </cell>
          <cell r="AK348">
            <v>0.19371428571429103</v>
          </cell>
          <cell r="AL348">
            <v>15.900499999999999</v>
          </cell>
          <cell r="AM348">
            <v>16.09421428571429</v>
          </cell>
          <cell r="AN348">
            <v>1.8852362436667765E-2</v>
          </cell>
          <cell r="AO348">
            <v>0.14399999999999938</v>
          </cell>
          <cell r="AP348">
            <v>7.6383000000000001</v>
          </cell>
          <cell r="AQ348">
            <v>7.7822999999999993</v>
          </cell>
          <cell r="AR348">
            <v>7.4880119808191118E-3</v>
          </cell>
          <cell r="AS348">
            <v>0.31199999999999761</v>
          </cell>
          <cell r="AT348">
            <v>41.666600000000003</v>
          </cell>
          <cell r="AU348">
            <v>41.9786</v>
          </cell>
          <cell r="AV348">
            <v>1.7288623972427881E-2</v>
          </cell>
          <cell r="AW348">
            <v>0.61199999999997445</v>
          </cell>
          <cell r="AX348">
            <v>35.399000000000001</v>
          </cell>
          <cell r="AY348">
            <v>36.010999999999974</v>
          </cell>
          <cell r="AZ348">
            <v>1.2288145849119329E-2</v>
          </cell>
          <cell r="BA348">
            <v>9.4285714285707714E-2</v>
          </cell>
          <cell r="BB348">
            <v>7.6729000000000003</v>
          </cell>
          <cell r="BC348">
            <v>7.7671857142857084</v>
          </cell>
        </row>
        <row r="349">
          <cell r="B349">
            <v>301</v>
          </cell>
          <cell r="C349">
            <v>121</v>
          </cell>
          <cell r="D349">
            <v>1.694306246545051E-2</v>
          </cell>
          <cell r="E349">
            <v>1.0301805555555548</v>
          </cell>
          <cell r="F349">
            <v>60.802500000000002</v>
          </cell>
          <cell r="G349">
            <v>61.832680555555555</v>
          </cell>
          <cell r="H349">
            <v>2.360032601952056E-2</v>
          </cell>
          <cell r="I349">
            <v>1.7460299999999955</v>
          </cell>
          <cell r="J349">
            <v>73.9833</v>
          </cell>
          <cell r="K349">
            <v>75.72932999999999</v>
          </cell>
          <cell r="L349">
            <v>3.0479193938672662E-2</v>
          </cell>
          <cell r="M349">
            <v>1.707444444444443E-2</v>
          </cell>
          <cell r="N349">
            <v>0.56020000000000003</v>
          </cell>
          <cell r="O349">
            <v>0.57727444444444442</v>
          </cell>
          <cell r="P349">
            <v>1.6153434616461942E-2</v>
          </cell>
          <cell r="Q349">
            <v>1.7575922222222193</v>
          </cell>
          <cell r="R349">
            <v>108.8061</v>
          </cell>
          <cell r="S349">
            <v>110.56369222222222</v>
          </cell>
          <cell r="T349">
            <v>2.8126505478207001E-2</v>
          </cell>
          <cell r="U349">
            <v>1.3519061111111152</v>
          </cell>
          <cell r="V349">
            <v>48.065199999999997</v>
          </cell>
          <cell r="W349">
            <v>49.41710611111111</v>
          </cell>
          <cell r="X349">
            <v>1.1765644572300175E-2</v>
          </cell>
          <cell r="Y349">
            <v>0.53945833333333471</v>
          </cell>
          <cell r="Z349">
            <v>45.850299999999997</v>
          </cell>
          <cell r="AA349">
            <v>46.389758333333333</v>
          </cell>
          <cell r="AB349">
            <v>2.0279595915642015E-2</v>
          </cell>
          <cell r="AC349">
            <v>1.0066527777777794</v>
          </cell>
          <cell r="AD349">
            <v>49.6387</v>
          </cell>
          <cell r="AE349">
            <v>50.645352777777781</v>
          </cell>
          <cell r="AF349">
            <v>1.6784534266874263E-2</v>
          </cell>
          <cell r="AG349">
            <v>0.27776222222222208</v>
          </cell>
          <cell r="AH349">
            <v>16.5487</v>
          </cell>
          <cell r="AI349">
            <v>16.826462222222222</v>
          </cell>
          <cell r="AJ349">
            <v>1.2284429510303247E-2</v>
          </cell>
          <cell r="AK349">
            <v>0.19532857142857679</v>
          </cell>
          <cell r="AL349">
            <v>15.900499999999999</v>
          </cell>
          <cell r="AM349">
            <v>16.095828571428576</v>
          </cell>
          <cell r="AN349">
            <v>1.9009465456973327E-2</v>
          </cell>
          <cell r="AO349">
            <v>0.14519999999999936</v>
          </cell>
          <cell r="AP349">
            <v>7.6383000000000001</v>
          </cell>
          <cell r="AQ349">
            <v>7.7834999999999992</v>
          </cell>
          <cell r="AR349">
            <v>7.5504120806592712E-3</v>
          </cell>
          <cell r="AS349">
            <v>0.3145999999999976</v>
          </cell>
          <cell r="AT349">
            <v>41.666600000000003</v>
          </cell>
          <cell r="AU349">
            <v>41.981200000000001</v>
          </cell>
          <cell r="AV349">
            <v>1.7432695838864778E-2</v>
          </cell>
          <cell r="AW349">
            <v>0.61709999999997422</v>
          </cell>
          <cell r="AX349">
            <v>35.399000000000001</v>
          </cell>
          <cell r="AY349">
            <v>36.016099999999973</v>
          </cell>
          <cell r="AZ349">
            <v>1.2390547064528657E-2</v>
          </cell>
          <cell r="BA349">
            <v>9.5071428571421937E-2</v>
          </cell>
          <cell r="BB349">
            <v>7.6729000000000003</v>
          </cell>
          <cell r="BC349">
            <v>7.7679714285714221</v>
          </cell>
        </row>
        <row r="350">
          <cell r="B350">
            <v>302</v>
          </cell>
          <cell r="C350">
            <v>122</v>
          </cell>
          <cell r="D350">
            <v>1.7083087775082335E-2</v>
          </cell>
          <cell r="E350">
            <v>1.0386944444444437</v>
          </cell>
          <cell r="F350">
            <v>60.802500000000002</v>
          </cell>
          <cell r="G350">
            <v>61.841194444444447</v>
          </cell>
          <cell r="H350">
            <v>2.3795370036210815E-2</v>
          </cell>
          <cell r="I350">
            <v>1.7604599999999955</v>
          </cell>
          <cell r="J350">
            <v>73.9833</v>
          </cell>
          <cell r="K350">
            <v>75.743759999999995</v>
          </cell>
          <cell r="L350">
            <v>3.0731088103455085E-2</v>
          </cell>
          <cell r="M350">
            <v>1.721555555555554E-2</v>
          </cell>
          <cell r="N350">
            <v>0.56020000000000003</v>
          </cell>
          <cell r="O350">
            <v>0.57741555555555557</v>
          </cell>
          <cell r="P350">
            <v>1.6286934076102121E-2</v>
          </cell>
          <cell r="Q350">
            <v>1.772117777777775</v>
          </cell>
          <cell r="R350">
            <v>108.8061</v>
          </cell>
          <cell r="S350">
            <v>110.57821777777778</v>
          </cell>
          <cell r="T350">
            <v>2.835895593670458E-2</v>
          </cell>
          <cell r="U350">
            <v>1.3630788888888929</v>
          </cell>
          <cell r="V350">
            <v>48.065199999999997</v>
          </cell>
          <cell r="W350">
            <v>49.42827888888889</v>
          </cell>
          <cell r="X350">
            <v>1.1862881304302656E-2</v>
          </cell>
          <cell r="Y350">
            <v>0.54391666666666805</v>
          </cell>
          <cell r="Z350">
            <v>45.850299999999997</v>
          </cell>
          <cell r="AA350">
            <v>46.394216666666665</v>
          </cell>
          <cell r="AB350">
            <v>2.0447195881886992E-2</v>
          </cell>
          <cell r="AC350">
            <v>1.0149722222222237</v>
          </cell>
          <cell r="AD350">
            <v>49.6387</v>
          </cell>
          <cell r="AE350">
            <v>50.653672222222227</v>
          </cell>
          <cell r="AF350">
            <v>1.6923249426104625E-2</v>
          </cell>
          <cell r="AG350">
            <v>0.28005777777777763</v>
          </cell>
          <cell r="AH350">
            <v>16.5487</v>
          </cell>
          <cell r="AI350">
            <v>16.828757777777778</v>
          </cell>
          <cell r="AJ350">
            <v>1.2385953721132201E-2</v>
          </cell>
          <cell r="AK350">
            <v>0.19694285714286255</v>
          </cell>
          <cell r="AL350">
            <v>15.900499999999999</v>
          </cell>
          <cell r="AM350">
            <v>16.097442857142862</v>
          </cell>
          <cell r="AN350">
            <v>1.9166568477278895E-2</v>
          </cell>
          <cell r="AO350">
            <v>0.14639999999999936</v>
          </cell>
          <cell r="AP350">
            <v>7.6383000000000001</v>
          </cell>
          <cell r="AQ350">
            <v>7.7846999999999991</v>
          </cell>
          <cell r="AR350">
            <v>7.6128121804994297E-3</v>
          </cell>
          <cell r="AS350">
            <v>0.31719999999999759</v>
          </cell>
          <cell r="AT350">
            <v>41.666600000000003</v>
          </cell>
          <cell r="AU350">
            <v>41.983800000000002</v>
          </cell>
          <cell r="AV350">
            <v>1.7576767705301678E-2</v>
          </cell>
          <cell r="AW350">
            <v>0.622199999999974</v>
          </cell>
          <cell r="AX350">
            <v>35.399000000000001</v>
          </cell>
          <cell r="AY350">
            <v>36.021199999999972</v>
          </cell>
          <cell r="AZ350">
            <v>1.2492948279937984E-2</v>
          </cell>
          <cell r="BA350">
            <v>9.5857142857136174E-2</v>
          </cell>
          <cell r="BB350">
            <v>7.6729000000000003</v>
          </cell>
          <cell r="BC350">
            <v>7.7687571428571367</v>
          </cell>
        </row>
        <row r="351">
          <cell r="B351">
            <v>303</v>
          </cell>
          <cell r="C351">
            <v>123</v>
          </cell>
          <cell r="D351">
            <v>1.7223113084714158E-2</v>
          </cell>
          <cell r="E351">
            <v>1.0472083333333326</v>
          </cell>
          <cell r="F351">
            <v>60.802500000000002</v>
          </cell>
          <cell r="G351">
            <v>61.849708333333332</v>
          </cell>
          <cell r="H351">
            <v>2.3990414052901067E-2</v>
          </cell>
          <cell r="I351">
            <v>1.7748899999999954</v>
          </cell>
          <cell r="J351">
            <v>73.9833</v>
          </cell>
          <cell r="K351">
            <v>75.758189999999999</v>
          </cell>
          <cell r="L351">
            <v>3.0982982268237504E-2</v>
          </cell>
          <cell r="M351">
            <v>1.7356666666666652E-2</v>
          </cell>
          <cell r="N351">
            <v>0.56020000000000003</v>
          </cell>
          <cell r="O351">
            <v>0.57755666666666672</v>
          </cell>
          <cell r="P351">
            <v>1.6420433535742303E-2</v>
          </cell>
          <cell r="Q351">
            <v>1.7866433333333305</v>
          </cell>
          <cell r="R351">
            <v>108.8061</v>
          </cell>
          <cell r="S351">
            <v>110.59274333333333</v>
          </cell>
          <cell r="T351">
            <v>2.8591406395202159E-2</v>
          </cell>
          <cell r="U351">
            <v>1.3742516666666709</v>
          </cell>
          <cell r="V351">
            <v>48.065199999999997</v>
          </cell>
          <cell r="W351">
            <v>49.43945166666667</v>
          </cell>
          <cell r="X351">
            <v>1.1960118036305135E-2</v>
          </cell>
          <cell r="Y351">
            <v>0.54837500000000128</v>
          </cell>
          <cell r="Z351">
            <v>45.850299999999997</v>
          </cell>
          <cell r="AA351">
            <v>46.398674999999997</v>
          </cell>
          <cell r="AB351">
            <v>2.0614795848131969E-2</v>
          </cell>
          <cell r="AC351">
            <v>1.0232916666666683</v>
          </cell>
          <cell r="AD351">
            <v>49.6387</v>
          </cell>
          <cell r="AE351">
            <v>50.661991666666665</v>
          </cell>
          <cell r="AF351">
            <v>1.7061964585334995E-2</v>
          </cell>
          <cell r="AG351">
            <v>0.28235333333333318</v>
          </cell>
          <cell r="AH351">
            <v>16.5487</v>
          </cell>
          <cell r="AI351">
            <v>16.831053333333333</v>
          </cell>
          <cell r="AJ351">
            <v>1.2487477931961154E-2</v>
          </cell>
          <cell r="AK351">
            <v>0.19855714285714829</v>
          </cell>
          <cell r="AL351">
            <v>15.900499999999999</v>
          </cell>
          <cell r="AM351">
            <v>16.099057142857149</v>
          </cell>
          <cell r="AN351">
            <v>1.9323671497584457E-2</v>
          </cell>
          <cell r="AO351">
            <v>0.14759999999999934</v>
          </cell>
          <cell r="AP351">
            <v>7.6383000000000001</v>
          </cell>
          <cell r="AQ351">
            <v>7.7858999999999998</v>
          </cell>
          <cell r="AR351">
            <v>7.675212280339589E-3</v>
          </cell>
          <cell r="AS351">
            <v>0.31979999999999753</v>
          </cell>
          <cell r="AT351">
            <v>41.666600000000003</v>
          </cell>
          <cell r="AU351">
            <v>41.986400000000003</v>
          </cell>
          <cell r="AV351">
            <v>1.7720839571738579E-2</v>
          </cell>
          <cell r="AW351">
            <v>0.62729999999997388</v>
          </cell>
          <cell r="AX351">
            <v>35.399000000000001</v>
          </cell>
          <cell r="AY351">
            <v>36.026299999999978</v>
          </cell>
          <cell r="AZ351">
            <v>1.2595349495347312E-2</v>
          </cell>
          <cell r="BA351">
            <v>9.6642857142850397E-2</v>
          </cell>
          <cell r="BB351">
            <v>7.6729000000000003</v>
          </cell>
          <cell r="BC351">
            <v>7.7695428571428504</v>
          </cell>
        </row>
        <row r="352">
          <cell r="B352">
            <v>304</v>
          </cell>
          <cell r="C352">
            <v>124</v>
          </cell>
          <cell r="D352">
            <v>1.736313839434598E-2</v>
          </cell>
          <cell r="E352">
            <v>1.0557222222222213</v>
          </cell>
          <cell r="F352">
            <v>60.802500000000002</v>
          </cell>
          <cell r="G352">
            <v>61.858222222222224</v>
          </cell>
          <cell r="H352">
            <v>2.4185458069591319E-2</v>
          </cell>
          <cell r="I352">
            <v>1.7893199999999954</v>
          </cell>
          <cell r="J352">
            <v>73.9833</v>
          </cell>
          <cell r="K352">
            <v>75.772619999999989</v>
          </cell>
          <cell r="L352">
            <v>3.123487643301992E-2</v>
          </cell>
          <cell r="M352">
            <v>1.7497777777777761E-2</v>
          </cell>
          <cell r="N352">
            <v>0.56020000000000003</v>
          </cell>
          <cell r="O352">
            <v>0.57769777777777775</v>
          </cell>
          <cell r="P352">
            <v>1.6553932995382485E-2</v>
          </cell>
          <cell r="Q352">
            <v>1.8011688888888859</v>
          </cell>
          <cell r="R352">
            <v>108.8061</v>
          </cell>
          <cell r="S352">
            <v>110.60726888888888</v>
          </cell>
          <cell r="T352">
            <v>2.8823856853699741E-2</v>
          </cell>
          <cell r="U352">
            <v>1.3854244444444486</v>
          </cell>
          <cell r="V352">
            <v>48.065199999999997</v>
          </cell>
          <cell r="W352">
            <v>49.450624444444443</v>
          </cell>
          <cell r="X352">
            <v>1.2057354768307616E-2</v>
          </cell>
          <cell r="Y352">
            <v>0.55283333333333473</v>
          </cell>
          <cell r="Z352">
            <v>45.850299999999997</v>
          </cell>
          <cell r="AA352">
            <v>46.403133333333329</v>
          </cell>
          <cell r="AB352">
            <v>2.0782395814376943E-2</v>
          </cell>
          <cell r="AC352">
            <v>1.0316111111111126</v>
          </cell>
          <cell r="AD352">
            <v>49.6387</v>
          </cell>
          <cell r="AE352">
            <v>50.670311111111111</v>
          </cell>
          <cell r="AF352">
            <v>1.7200679744565357E-2</v>
          </cell>
          <cell r="AG352">
            <v>0.28464888888888873</v>
          </cell>
          <cell r="AH352">
            <v>16.5487</v>
          </cell>
          <cell r="AI352">
            <v>16.833348888888889</v>
          </cell>
          <cell r="AJ352">
            <v>1.2589002142790105E-2</v>
          </cell>
          <cell r="AK352">
            <v>0.20017142857143405</v>
          </cell>
          <cell r="AL352">
            <v>15.900499999999999</v>
          </cell>
          <cell r="AM352">
            <v>16.100671428571435</v>
          </cell>
          <cell r="AN352">
            <v>1.9480774517890022E-2</v>
          </cell>
          <cell r="AO352">
            <v>0.14879999999999935</v>
          </cell>
          <cell r="AP352">
            <v>7.6383000000000001</v>
          </cell>
          <cell r="AQ352">
            <v>7.7870999999999997</v>
          </cell>
          <cell r="AR352">
            <v>7.7376123801797484E-3</v>
          </cell>
          <cell r="AS352">
            <v>0.32239999999999752</v>
          </cell>
          <cell r="AT352">
            <v>41.666600000000003</v>
          </cell>
          <cell r="AU352">
            <v>41.988999999999997</v>
          </cell>
          <cell r="AV352">
            <v>1.7864911438175476E-2</v>
          </cell>
          <cell r="AW352">
            <v>0.63239999999997365</v>
          </cell>
          <cell r="AX352">
            <v>35.399000000000001</v>
          </cell>
          <cell r="AY352">
            <v>36.031399999999977</v>
          </cell>
          <cell r="AZ352">
            <v>1.269775071075664E-2</v>
          </cell>
          <cell r="BA352">
            <v>9.7428571428564634E-2</v>
          </cell>
          <cell r="BB352">
            <v>7.6729000000000003</v>
          </cell>
          <cell r="BC352">
            <v>7.770328571428565</v>
          </cell>
        </row>
        <row r="353">
          <cell r="B353">
            <v>305</v>
          </cell>
          <cell r="C353">
            <v>125</v>
          </cell>
          <cell r="D353">
            <v>1.7503163703977802E-2</v>
          </cell>
          <cell r="E353">
            <v>1.0642361111111103</v>
          </cell>
          <cell r="F353">
            <v>60.802500000000002</v>
          </cell>
          <cell r="G353">
            <v>61.866736111111109</v>
          </cell>
          <cell r="H353">
            <v>2.4380502086281571E-2</v>
          </cell>
          <cell r="I353">
            <v>1.8037499999999953</v>
          </cell>
          <cell r="J353">
            <v>73.9833</v>
          </cell>
          <cell r="K353">
            <v>75.787049999999994</v>
          </cell>
          <cell r="L353">
            <v>3.148677059780234E-2</v>
          </cell>
          <cell r="M353">
            <v>1.7638888888888874E-2</v>
          </cell>
          <cell r="N353">
            <v>0.56020000000000003</v>
          </cell>
          <cell r="O353">
            <v>0.5778388888888889</v>
          </cell>
          <cell r="P353">
            <v>1.6687432455022667E-2</v>
          </cell>
          <cell r="Q353">
            <v>1.8156944444444416</v>
          </cell>
          <cell r="R353">
            <v>108.8061</v>
          </cell>
          <cell r="S353">
            <v>110.62179444444445</v>
          </cell>
          <cell r="T353">
            <v>2.905630731219732E-2</v>
          </cell>
          <cell r="U353">
            <v>1.3965972222222265</v>
          </cell>
          <cell r="V353">
            <v>48.065199999999997</v>
          </cell>
          <cell r="W353">
            <v>49.461797222222224</v>
          </cell>
          <cell r="X353">
            <v>1.2154591500310098E-2</v>
          </cell>
          <cell r="Y353">
            <v>0.55729166666666807</v>
          </cell>
          <cell r="Z353">
            <v>45.850299999999997</v>
          </cell>
          <cell r="AA353">
            <v>46.407591666666669</v>
          </cell>
          <cell r="AB353">
            <v>2.0949995780621917E-2</v>
          </cell>
          <cell r="AC353">
            <v>1.0399305555555571</v>
          </cell>
          <cell r="AD353">
            <v>49.6387</v>
          </cell>
          <cell r="AE353">
            <v>50.678630555555557</v>
          </cell>
          <cell r="AF353">
            <v>1.7339394903795723E-2</v>
          </cell>
          <cell r="AG353">
            <v>0.28694444444444434</v>
          </cell>
          <cell r="AH353">
            <v>16.5487</v>
          </cell>
          <cell r="AI353">
            <v>16.835644444444444</v>
          </cell>
          <cell r="AJ353">
            <v>1.2690526353619058E-2</v>
          </cell>
          <cell r="AK353">
            <v>0.20178571428571981</v>
          </cell>
          <cell r="AL353">
            <v>15.900499999999999</v>
          </cell>
          <cell r="AM353">
            <v>16.102285714285721</v>
          </cell>
          <cell r="AN353">
            <v>1.9637877538195587E-2</v>
          </cell>
          <cell r="AO353">
            <v>0.14999999999999933</v>
          </cell>
          <cell r="AP353">
            <v>7.6383000000000001</v>
          </cell>
          <cell r="AQ353">
            <v>7.7882999999999996</v>
          </cell>
          <cell r="AR353">
            <v>7.8000124800199086E-3</v>
          </cell>
          <cell r="AS353">
            <v>0.32499999999999751</v>
          </cell>
          <cell r="AT353">
            <v>41.666600000000003</v>
          </cell>
          <cell r="AU353">
            <v>41.991599999999998</v>
          </cell>
          <cell r="AV353">
            <v>1.8008983304612373E-2</v>
          </cell>
          <cell r="AW353">
            <v>0.63749999999997342</v>
          </cell>
          <cell r="AX353">
            <v>35.399000000000001</v>
          </cell>
          <cell r="AY353">
            <v>36.036499999999975</v>
          </cell>
          <cell r="AZ353">
            <v>1.2800151926165968E-2</v>
          </cell>
          <cell r="BA353">
            <v>9.8214285714278857E-2</v>
          </cell>
          <cell r="BB353">
            <v>7.6729000000000003</v>
          </cell>
          <cell r="BC353">
            <v>7.7711142857142788</v>
          </cell>
        </row>
        <row r="354">
          <cell r="B354">
            <v>306</v>
          </cell>
          <cell r="C354">
            <v>126</v>
          </cell>
          <cell r="D354">
            <v>1.7643189013609624E-2</v>
          </cell>
          <cell r="E354">
            <v>1.0727499999999992</v>
          </cell>
          <cell r="F354">
            <v>60.802500000000002</v>
          </cell>
          <cell r="G354">
            <v>61.875250000000001</v>
          </cell>
          <cell r="H354">
            <v>2.4575546102971826E-2</v>
          </cell>
          <cell r="I354">
            <v>1.8181799999999952</v>
          </cell>
          <cell r="J354">
            <v>73.9833</v>
          </cell>
          <cell r="K354">
            <v>75.801479999999998</v>
          </cell>
          <cell r="L354">
            <v>3.1738664762584759E-2</v>
          </cell>
          <cell r="M354">
            <v>1.7779999999999987E-2</v>
          </cell>
          <cell r="N354">
            <v>0.56020000000000003</v>
          </cell>
          <cell r="O354">
            <v>0.57798000000000005</v>
          </cell>
          <cell r="P354">
            <v>1.6820931914662846E-2</v>
          </cell>
          <cell r="Q354">
            <v>1.8302199999999971</v>
          </cell>
          <cell r="R354">
            <v>108.8061</v>
          </cell>
          <cell r="S354">
            <v>110.63632</v>
          </cell>
          <cell r="T354">
            <v>2.9288757770694895E-2</v>
          </cell>
          <cell r="U354">
            <v>1.4077700000000044</v>
          </cell>
          <cell r="V354">
            <v>48.065199999999997</v>
          </cell>
          <cell r="W354">
            <v>49.472970000000004</v>
          </cell>
          <cell r="X354">
            <v>1.2251828232312576E-2</v>
          </cell>
          <cell r="Y354">
            <v>0.56175000000000141</v>
          </cell>
          <cell r="Z354">
            <v>45.850299999999997</v>
          </cell>
          <cell r="AA354">
            <v>46.412050000000001</v>
          </cell>
          <cell r="AB354">
            <v>2.1117595746866894E-2</v>
          </cell>
          <cell r="AC354">
            <v>1.0482500000000017</v>
          </cell>
          <cell r="AD354">
            <v>49.6387</v>
          </cell>
          <cell r="AE354">
            <v>50.686950000000003</v>
          </cell>
          <cell r="AF354">
            <v>1.7478110063026089E-2</v>
          </cell>
          <cell r="AG354">
            <v>0.28923999999999983</v>
          </cell>
          <cell r="AH354">
            <v>16.5487</v>
          </cell>
          <cell r="AI354">
            <v>16.83794</v>
          </cell>
          <cell r="AJ354">
            <v>1.2792050564448012E-2</v>
          </cell>
          <cell r="AK354">
            <v>0.20340000000000558</v>
          </cell>
          <cell r="AL354">
            <v>15.900499999999999</v>
          </cell>
          <cell r="AM354">
            <v>16.103900000000003</v>
          </cell>
          <cell r="AN354">
            <v>1.9794980558501152E-2</v>
          </cell>
          <cell r="AO354">
            <v>0.15119999999999933</v>
          </cell>
          <cell r="AP354">
            <v>7.6383000000000001</v>
          </cell>
          <cell r="AQ354">
            <v>7.7894999999999994</v>
          </cell>
          <cell r="AR354">
            <v>7.8624125798600671E-3</v>
          </cell>
          <cell r="AS354">
            <v>0.3275999999999975</v>
          </cell>
          <cell r="AT354">
            <v>41.666600000000003</v>
          </cell>
          <cell r="AU354">
            <v>41.994199999999999</v>
          </cell>
          <cell r="AV354">
            <v>1.8153055171049277E-2</v>
          </cell>
          <cell r="AW354">
            <v>0.64259999999997319</v>
          </cell>
          <cell r="AX354">
            <v>35.399000000000001</v>
          </cell>
          <cell r="AY354">
            <v>36.041599999999974</v>
          </cell>
          <cell r="AZ354">
            <v>1.2902553141575296E-2</v>
          </cell>
          <cell r="BA354">
            <v>9.8999999999993094E-2</v>
          </cell>
          <cell r="BB354">
            <v>7.6729000000000003</v>
          </cell>
          <cell r="BC354">
            <v>7.7718999999999934</v>
          </cell>
        </row>
        <row r="355">
          <cell r="B355">
            <v>307</v>
          </cell>
          <cell r="C355">
            <v>127</v>
          </cell>
          <cell r="D355">
            <v>1.7783214323241446E-2</v>
          </cell>
          <cell r="E355">
            <v>1.0812638888888881</v>
          </cell>
          <cell r="F355">
            <v>60.802500000000002</v>
          </cell>
          <cell r="G355">
            <v>61.883763888888893</v>
          </cell>
          <cell r="H355">
            <v>2.4770590119662077E-2</v>
          </cell>
          <cell r="I355">
            <v>1.8326099999999952</v>
          </cell>
          <cell r="J355">
            <v>73.9833</v>
          </cell>
          <cell r="K355">
            <v>75.815909999999988</v>
          </cell>
          <cell r="L355">
            <v>3.1990558927367178E-2</v>
          </cell>
          <cell r="M355">
            <v>1.7921111111111096E-2</v>
          </cell>
          <cell r="N355">
            <v>0.56020000000000003</v>
          </cell>
          <cell r="O355">
            <v>0.57812111111111109</v>
          </cell>
          <cell r="P355">
            <v>1.6954431374303029E-2</v>
          </cell>
          <cell r="Q355">
            <v>1.8447455555555525</v>
          </cell>
          <cell r="R355">
            <v>108.8061</v>
          </cell>
          <cell r="S355">
            <v>110.65084555555555</v>
          </cell>
          <cell r="T355">
            <v>2.9521208229192474E-2</v>
          </cell>
          <cell r="U355">
            <v>1.4189427777777821</v>
          </cell>
          <cell r="V355">
            <v>48.065199999999997</v>
          </cell>
          <cell r="W355">
            <v>49.484142777777777</v>
          </cell>
          <cell r="X355">
            <v>1.2349064964315058E-2</v>
          </cell>
          <cell r="Y355">
            <v>0.56620833333333465</v>
          </cell>
          <cell r="Z355">
            <v>45.850299999999997</v>
          </cell>
          <cell r="AA355">
            <v>46.416508333333333</v>
          </cell>
          <cell r="AB355">
            <v>2.1285195713111868E-2</v>
          </cell>
          <cell r="AC355">
            <v>1.056569444444446</v>
          </cell>
          <cell r="AD355">
            <v>49.6387</v>
          </cell>
          <cell r="AE355">
            <v>50.695269444444449</v>
          </cell>
          <cell r="AF355">
            <v>1.7616825222256455E-2</v>
          </cell>
          <cell r="AG355">
            <v>0.29153555555555538</v>
          </cell>
          <cell r="AH355">
            <v>16.5487</v>
          </cell>
          <cell r="AI355">
            <v>16.840235555555555</v>
          </cell>
          <cell r="AJ355">
            <v>1.2893574775276962E-2</v>
          </cell>
          <cell r="AK355">
            <v>0.20501428571429134</v>
          </cell>
          <cell r="AL355">
            <v>15.900499999999999</v>
          </cell>
          <cell r="AM355">
            <v>16.105514285714289</v>
          </cell>
          <cell r="AN355">
            <v>1.9952083578806713E-2</v>
          </cell>
          <cell r="AO355">
            <v>0.15239999999999934</v>
          </cell>
          <cell r="AP355">
            <v>7.6383000000000001</v>
          </cell>
          <cell r="AQ355">
            <v>7.7906999999999993</v>
          </cell>
          <cell r="AR355">
            <v>7.9248126797002265E-3</v>
          </cell>
          <cell r="AS355">
            <v>0.3301999999999975</v>
          </cell>
          <cell r="AT355">
            <v>41.666600000000003</v>
          </cell>
          <cell r="AU355">
            <v>41.9968</v>
          </cell>
          <cell r="AV355">
            <v>1.8297127037486174E-2</v>
          </cell>
          <cell r="AW355">
            <v>0.64769999999997296</v>
          </cell>
          <cell r="AX355">
            <v>35.399000000000001</v>
          </cell>
          <cell r="AY355">
            <v>36.046699999999973</v>
          </cell>
          <cell r="AZ355">
            <v>1.3004954356984623E-2</v>
          </cell>
          <cell r="BA355">
            <v>9.978571428570733E-2</v>
          </cell>
          <cell r="BB355">
            <v>7.6729000000000003</v>
          </cell>
          <cell r="BC355">
            <v>7.772685714285708</v>
          </cell>
        </row>
        <row r="356">
          <cell r="B356">
            <v>308</v>
          </cell>
          <cell r="C356">
            <v>128</v>
          </cell>
          <cell r="D356">
            <v>1.7923239632873268E-2</v>
          </cell>
          <cell r="E356">
            <v>1.0897777777777771</v>
          </cell>
          <cell r="F356">
            <v>60.802500000000002</v>
          </cell>
          <cell r="G356">
            <v>61.892277777777778</v>
          </cell>
          <cell r="H356">
            <v>2.4965634136352329E-2</v>
          </cell>
          <cell r="I356">
            <v>1.8470399999999951</v>
          </cell>
          <cell r="J356">
            <v>73.9833</v>
          </cell>
          <cell r="K356">
            <v>75.830339999999993</v>
          </cell>
          <cell r="L356">
            <v>3.2242453092149598E-2</v>
          </cell>
          <cell r="M356">
            <v>1.8062222222222205E-2</v>
          </cell>
          <cell r="N356">
            <v>0.56020000000000003</v>
          </cell>
          <cell r="O356">
            <v>0.57826222222222223</v>
          </cell>
          <cell r="P356">
            <v>1.7087930833943207E-2</v>
          </cell>
          <cell r="Q356">
            <v>1.8592711111111082</v>
          </cell>
          <cell r="R356">
            <v>108.8061</v>
          </cell>
          <cell r="S356">
            <v>110.66537111111111</v>
          </cell>
          <cell r="T356">
            <v>2.9753658687690053E-2</v>
          </cell>
          <cell r="U356">
            <v>1.4301155555555598</v>
          </cell>
          <cell r="V356">
            <v>48.065199999999997</v>
          </cell>
          <cell r="W356">
            <v>49.495315555555557</v>
          </cell>
          <cell r="X356">
            <v>1.244630169631754E-2</v>
          </cell>
          <cell r="Y356">
            <v>0.5706666666666681</v>
          </cell>
          <cell r="Z356">
            <v>45.850299999999997</v>
          </cell>
          <cell r="AA356">
            <v>46.420966666666665</v>
          </cell>
          <cell r="AB356">
            <v>2.1452795679356842E-2</v>
          </cell>
          <cell r="AC356">
            <v>1.0648888888888906</v>
          </cell>
          <cell r="AD356">
            <v>49.6387</v>
          </cell>
          <cell r="AE356">
            <v>50.703588888888888</v>
          </cell>
          <cell r="AF356">
            <v>1.7755540381486822E-2</v>
          </cell>
          <cell r="AG356">
            <v>0.29383111111111099</v>
          </cell>
          <cell r="AH356">
            <v>16.5487</v>
          </cell>
          <cell r="AI356">
            <v>16.842531111111111</v>
          </cell>
          <cell r="AJ356">
            <v>1.2995098986105916E-2</v>
          </cell>
          <cell r="AK356">
            <v>0.2066285714285771</v>
          </cell>
          <cell r="AL356">
            <v>15.900499999999999</v>
          </cell>
          <cell r="AM356">
            <v>16.107128571428575</v>
          </cell>
          <cell r="AN356">
            <v>2.0109186599112282E-2</v>
          </cell>
          <cell r="AO356">
            <v>0.15359999999999932</v>
          </cell>
          <cell r="AP356">
            <v>7.6383000000000001</v>
          </cell>
          <cell r="AQ356">
            <v>7.7918999999999992</v>
          </cell>
          <cell r="AR356">
            <v>7.9872127795403858E-3</v>
          </cell>
          <cell r="AS356">
            <v>0.33279999999999743</v>
          </cell>
          <cell r="AT356">
            <v>41.666600000000003</v>
          </cell>
          <cell r="AU356">
            <v>41.999400000000001</v>
          </cell>
          <cell r="AV356">
            <v>1.8441198903923071E-2</v>
          </cell>
          <cell r="AW356">
            <v>0.65279999999997274</v>
          </cell>
          <cell r="AX356">
            <v>35.399000000000001</v>
          </cell>
          <cell r="AY356">
            <v>36.051799999999972</v>
          </cell>
          <cell r="AZ356">
            <v>1.3107355572393951E-2</v>
          </cell>
          <cell r="BA356">
            <v>0.10057142857142155</v>
          </cell>
          <cell r="BB356">
            <v>7.6729000000000003</v>
          </cell>
          <cell r="BC356">
            <v>7.7734714285714217</v>
          </cell>
        </row>
        <row r="357">
          <cell r="B357">
            <v>309</v>
          </cell>
          <cell r="C357">
            <v>129</v>
          </cell>
          <cell r="D357">
            <v>1.806326494250509E-2</v>
          </cell>
          <cell r="E357">
            <v>1.0982916666666658</v>
          </cell>
          <cell r="F357">
            <v>60.802500000000002</v>
          </cell>
          <cell r="G357">
            <v>61.90079166666667</v>
          </cell>
          <cell r="H357">
            <v>2.5160678153042584E-2</v>
          </cell>
          <cell r="I357">
            <v>1.8614699999999951</v>
          </cell>
          <cell r="J357">
            <v>73.9833</v>
          </cell>
          <cell r="K357">
            <v>75.844769999999997</v>
          </cell>
          <cell r="L357">
            <v>3.2494347256932017E-2</v>
          </cell>
          <cell r="M357">
            <v>1.8203333333333318E-2</v>
          </cell>
          <cell r="N357">
            <v>0.56020000000000003</v>
          </cell>
          <cell r="O357">
            <v>0.57840333333333338</v>
          </cell>
          <cell r="P357">
            <v>1.722143029358339E-2</v>
          </cell>
          <cell r="Q357">
            <v>1.8737966666666637</v>
          </cell>
          <cell r="R357">
            <v>108.8061</v>
          </cell>
          <cell r="S357">
            <v>110.67989666666666</v>
          </cell>
          <cell r="T357">
            <v>2.9986109146187632E-2</v>
          </cell>
          <cell r="U357">
            <v>1.4412883333333377</v>
          </cell>
          <cell r="V357">
            <v>48.065199999999997</v>
          </cell>
          <cell r="W357">
            <v>49.506488333333337</v>
          </cell>
          <cell r="X357">
            <v>1.2543538428320022E-2</v>
          </cell>
          <cell r="Y357">
            <v>0.57512500000000144</v>
          </cell>
          <cell r="Z357">
            <v>45.850299999999997</v>
          </cell>
          <cell r="AA357">
            <v>46.425424999999997</v>
          </cell>
          <cell r="AB357">
            <v>2.1620395645601819E-2</v>
          </cell>
          <cell r="AC357">
            <v>1.0732083333333349</v>
          </cell>
          <cell r="AD357">
            <v>49.6387</v>
          </cell>
          <cell r="AE357">
            <v>50.711908333333334</v>
          </cell>
          <cell r="AF357">
            <v>1.7894255540717188E-2</v>
          </cell>
          <cell r="AG357">
            <v>0.29612666666666654</v>
          </cell>
          <cell r="AH357">
            <v>16.5487</v>
          </cell>
          <cell r="AI357">
            <v>16.844826666666666</v>
          </cell>
          <cell r="AJ357">
            <v>1.3096623196934869E-2</v>
          </cell>
          <cell r="AK357">
            <v>0.20824285714286286</v>
          </cell>
          <cell r="AL357">
            <v>15.900499999999999</v>
          </cell>
          <cell r="AM357">
            <v>16.108742857142861</v>
          </cell>
          <cell r="AN357">
            <v>2.0266289619417847E-2</v>
          </cell>
          <cell r="AO357">
            <v>0.15479999999999933</v>
          </cell>
          <cell r="AP357">
            <v>7.6383000000000001</v>
          </cell>
          <cell r="AQ357">
            <v>7.793099999999999</v>
          </cell>
          <cell r="AR357">
            <v>8.0496128793805452E-3</v>
          </cell>
          <cell r="AS357">
            <v>0.33539999999999742</v>
          </cell>
          <cell r="AT357">
            <v>41.666600000000003</v>
          </cell>
          <cell r="AU357">
            <v>42.002000000000002</v>
          </cell>
          <cell r="AV357">
            <v>1.8585270770359968E-2</v>
          </cell>
          <cell r="AW357">
            <v>0.65789999999997251</v>
          </cell>
          <cell r="AX357">
            <v>35.399000000000001</v>
          </cell>
          <cell r="AY357">
            <v>36.05689999999997</v>
          </cell>
          <cell r="AZ357">
            <v>1.3209756787803279E-2</v>
          </cell>
          <cell r="BA357">
            <v>0.10135714285713579</v>
          </cell>
          <cell r="BB357">
            <v>7.6729000000000003</v>
          </cell>
          <cell r="BC357">
            <v>7.7742571428571363</v>
          </cell>
        </row>
        <row r="358">
          <cell r="B358">
            <v>310</v>
          </cell>
          <cell r="C358">
            <v>130</v>
          </cell>
          <cell r="D358">
            <v>1.8203290252136912E-2</v>
          </cell>
          <cell r="E358">
            <v>1.1068055555555547</v>
          </cell>
          <cell r="F358">
            <v>60.802500000000002</v>
          </cell>
          <cell r="G358">
            <v>61.909305555555555</v>
          </cell>
          <cell r="H358">
            <v>2.5355722169732836E-2</v>
          </cell>
          <cell r="I358">
            <v>1.8758999999999952</v>
          </cell>
          <cell r="J358">
            <v>73.9833</v>
          </cell>
          <cell r="K358">
            <v>75.859200000000001</v>
          </cell>
          <cell r="L358">
            <v>3.2746241421714437E-2</v>
          </cell>
          <cell r="M358">
            <v>1.8344444444444427E-2</v>
          </cell>
          <cell r="N358">
            <v>0.56020000000000003</v>
          </cell>
          <cell r="O358">
            <v>0.57854444444444442</v>
          </cell>
          <cell r="P358">
            <v>1.7354929753223572E-2</v>
          </cell>
          <cell r="Q358">
            <v>1.8883222222222191</v>
          </cell>
          <cell r="R358">
            <v>108.8061</v>
          </cell>
          <cell r="S358">
            <v>110.69442222222222</v>
          </cell>
          <cell r="T358">
            <v>3.0218559604685211E-2</v>
          </cell>
          <cell r="U358">
            <v>1.4524611111111154</v>
          </cell>
          <cell r="V358">
            <v>48.065199999999997</v>
          </cell>
          <cell r="W358">
            <v>49.51766111111111</v>
          </cell>
          <cell r="X358">
            <v>1.2640775160322502E-2</v>
          </cell>
          <cell r="Y358">
            <v>0.57958333333333478</v>
          </cell>
          <cell r="Z358">
            <v>45.850299999999997</v>
          </cell>
          <cell r="AA358">
            <v>46.429883333333329</v>
          </cell>
          <cell r="AB358">
            <v>2.1787995611846793E-2</v>
          </cell>
          <cell r="AC358">
            <v>1.0815277777777794</v>
          </cell>
          <cell r="AD358">
            <v>49.6387</v>
          </cell>
          <cell r="AE358">
            <v>50.720227777777779</v>
          </cell>
          <cell r="AF358">
            <v>1.8032970699947554E-2</v>
          </cell>
          <cell r="AG358">
            <v>0.29842222222222209</v>
          </cell>
          <cell r="AH358">
            <v>16.5487</v>
          </cell>
          <cell r="AI358">
            <v>16.847122222222222</v>
          </cell>
          <cell r="AJ358">
            <v>1.319814740776382E-2</v>
          </cell>
          <cell r="AK358">
            <v>0.2098571428571486</v>
          </cell>
          <cell r="AL358">
            <v>15.900499999999999</v>
          </cell>
          <cell r="AM358">
            <v>16.110357142857147</v>
          </cell>
          <cell r="AN358">
            <v>2.0423392639723408E-2</v>
          </cell>
          <cell r="AO358">
            <v>0.15599999999999931</v>
          </cell>
          <cell r="AP358">
            <v>7.6383000000000001</v>
          </cell>
          <cell r="AQ358">
            <v>7.7942999999999998</v>
          </cell>
          <cell r="AR358">
            <v>8.1120129792207046E-3</v>
          </cell>
          <cell r="AS358">
            <v>0.33799999999999741</v>
          </cell>
          <cell r="AT358">
            <v>41.666600000000003</v>
          </cell>
          <cell r="AU358">
            <v>42.004599999999996</v>
          </cell>
          <cell r="AV358">
            <v>1.8729342636796868E-2</v>
          </cell>
          <cell r="AW358">
            <v>0.66299999999997239</v>
          </cell>
          <cell r="AX358">
            <v>35.399000000000001</v>
          </cell>
          <cell r="AY358">
            <v>36.061999999999976</v>
          </cell>
          <cell r="AZ358">
            <v>1.3312158003212605E-2</v>
          </cell>
          <cell r="BA358">
            <v>0.10214285714285001</v>
          </cell>
          <cell r="BB358">
            <v>7.6729000000000003</v>
          </cell>
          <cell r="BC358">
            <v>7.77504285714285</v>
          </cell>
        </row>
        <row r="359">
          <cell r="B359">
            <v>311</v>
          </cell>
          <cell r="C359">
            <v>131</v>
          </cell>
          <cell r="D359">
            <v>1.8343315561768735E-2</v>
          </cell>
          <cell r="E359">
            <v>1.1153194444444436</v>
          </cell>
          <cell r="F359">
            <v>60.802500000000002</v>
          </cell>
          <cell r="G359">
            <v>61.917819444444447</v>
          </cell>
          <cell r="H359">
            <v>2.5550766186423088E-2</v>
          </cell>
          <cell r="I359">
            <v>1.8903299999999952</v>
          </cell>
          <cell r="J359">
            <v>73.9833</v>
          </cell>
          <cell r="K359">
            <v>75.873629999999991</v>
          </cell>
          <cell r="L359">
            <v>3.2998135586496856E-2</v>
          </cell>
          <cell r="M359">
            <v>1.848555555555554E-2</v>
          </cell>
          <cell r="N359">
            <v>0.56020000000000003</v>
          </cell>
          <cell r="O359">
            <v>0.57868555555555556</v>
          </cell>
          <cell r="P359">
            <v>1.7488429212863751E-2</v>
          </cell>
          <cell r="Q359">
            <v>1.9028477777777748</v>
          </cell>
          <cell r="R359">
            <v>108.8061</v>
          </cell>
          <cell r="S359">
            <v>110.70894777777778</v>
          </cell>
          <cell r="T359">
            <v>3.0451010063182786E-2</v>
          </cell>
          <cell r="U359">
            <v>1.4636338888888931</v>
          </cell>
          <cell r="V359">
            <v>48.065199999999997</v>
          </cell>
          <cell r="W359">
            <v>49.52883388888889</v>
          </cell>
          <cell r="X359">
            <v>1.2738011892324982E-2</v>
          </cell>
          <cell r="Y359">
            <v>0.58404166666666812</v>
          </cell>
          <cell r="Z359">
            <v>45.850299999999997</v>
          </cell>
          <cell r="AA359">
            <v>46.434341666666668</v>
          </cell>
          <cell r="AB359">
            <v>2.195559557809177E-2</v>
          </cell>
          <cell r="AC359">
            <v>1.089847222222224</v>
          </cell>
          <cell r="AD359">
            <v>49.6387</v>
          </cell>
          <cell r="AE359">
            <v>50.728547222222225</v>
          </cell>
          <cell r="AF359">
            <v>1.817168585917792E-2</v>
          </cell>
          <cell r="AG359">
            <v>0.30071777777777758</v>
          </cell>
          <cell r="AH359">
            <v>16.5487</v>
          </cell>
          <cell r="AI359">
            <v>16.849417777777777</v>
          </cell>
          <cell r="AJ359">
            <v>1.3299671618592773E-2</v>
          </cell>
          <cell r="AK359">
            <v>0.21147142857143436</v>
          </cell>
          <cell r="AL359">
            <v>15.900499999999999</v>
          </cell>
          <cell r="AM359">
            <v>16.111971428571433</v>
          </cell>
          <cell r="AN359">
            <v>2.0580495660028977E-2</v>
          </cell>
          <cell r="AO359">
            <v>0.15719999999999931</v>
          </cell>
          <cell r="AP359">
            <v>7.6383000000000001</v>
          </cell>
          <cell r="AQ359">
            <v>7.7954999999999997</v>
          </cell>
          <cell r="AR359">
            <v>8.1744130790608622E-3</v>
          </cell>
          <cell r="AS359">
            <v>0.3405999999999974</v>
          </cell>
          <cell r="AT359">
            <v>41.666600000000003</v>
          </cell>
          <cell r="AU359">
            <v>42.007199999999997</v>
          </cell>
          <cell r="AV359">
            <v>1.8873414503233769E-2</v>
          </cell>
          <cell r="AW359">
            <v>0.66809999999997216</v>
          </cell>
          <cell r="AX359">
            <v>35.399000000000001</v>
          </cell>
          <cell r="AY359">
            <v>36.067099999999975</v>
          </cell>
          <cell r="AZ359">
            <v>1.3414559218621934E-2</v>
          </cell>
          <cell r="BA359">
            <v>0.10292857142856425</v>
          </cell>
          <cell r="BB359">
            <v>7.6729000000000003</v>
          </cell>
          <cell r="BC359">
            <v>7.7758285714285647</v>
          </cell>
        </row>
        <row r="360">
          <cell r="B360">
            <v>312</v>
          </cell>
          <cell r="C360">
            <v>132</v>
          </cell>
          <cell r="D360">
            <v>1.8483340871400557E-2</v>
          </cell>
          <cell r="E360">
            <v>1.1238333333333326</v>
          </cell>
          <cell r="F360">
            <v>60.802500000000002</v>
          </cell>
          <cell r="G360">
            <v>61.926333333333332</v>
          </cell>
          <cell r="H360">
            <v>2.574581020311334E-2</v>
          </cell>
          <cell r="I360">
            <v>1.9047599999999951</v>
          </cell>
          <cell r="J360">
            <v>73.9833</v>
          </cell>
          <cell r="K360">
            <v>75.888059999999996</v>
          </cell>
          <cell r="L360">
            <v>3.3250029751279275E-2</v>
          </cell>
          <cell r="M360">
            <v>1.8626666666666649E-2</v>
          </cell>
          <cell r="N360">
            <v>0.56020000000000003</v>
          </cell>
          <cell r="O360">
            <v>0.57882666666666671</v>
          </cell>
          <cell r="P360">
            <v>1.7621928672503933E-2</v>
          </cell>
          <cell r="Q360">
            <v>1.9173733333333303</v>
          </cell>
          <cell r="R360">
            <v>108.8061</v>
          </cell>
          <cell r="S360">
            <v>110.72347333333333</v>
          </cell>
          <cell r="T360">
            <v>3.0683460521680365E-2</v>
          </cell>
          <cell r="U360">
            <v>1.474806666666671</v>
          </cell>
          <cell r="V360">
            <v>48.065199999999997</v>
          </cell>
          <cell r="W360">
            <v>49.54000666666667</v>
          </cell>
          <cell r="X360">
            <v>1.2835248624327463E-2</v>
          </cell>
          <cell r="Y360">
            <v>0.58850000000000147</v>
          </cell>
          <cell r="Z360">
            <v>45.850299999999997</v>
          </cell>
          <cell r="AA360">
            <v>46.438800000000001</v>
          </cell>
          <cell r="AB360">
            <v>2.2123195544336744E-2</v>
          </cell>
          <cell r="AC360">
            <v>1.0981666666666683</v>
          </cell>
          <cell r="AD360">
            <v>49.6387</v>
          </cell>
          <cell r="AE360">
            <v>50.736866666666671</v>
          </cell>
          <cell r="AF360">
            <v>1.8310401018408286E-2</v>
          </cell>
          <cell r="AG360">
            <v>0.30301333333333319</v>
          </cell>
          <cell r="AH360">
            <v>16.5487</v>
          </cell>
          <cell r="AI360">
            <v>16.851713333333333</v>
          </cell>
          <cell r="AJ360">
            <v>1.3401195829421727E-2</v>
          </cell>
          <cell r="AK360">
            <v>0.21308571428572012</v>
          </cell>
          <cell r="AL360">
            <v>15.900499999999999</v>
          </cell>
          <cell r="AM360">
            <v>16.113585714285719</v>
          </cell>
          <cell r="AN360">
            <v>2.0737598680334538E-2</v>
          </cell>
          <cell r="AO360">
            <v>0.15839999999999929</v>
          </cell>
          <cell r="AP360">
            <v>7.6383000000000001</v>
          </cell>
          <cell r="AQ360">
            <v>7.7966999999999995</v>
          </cell>
          <cell r="AR360">
            <v>8.2368131789010233E-3</v>
          </cell>
          <cell r="AS360">
            <v>0.3431999999999974</v>
          </cell>
          <cell r="AT360">
            <v>41.666600000000003</v>
          </cell>
          <cell r="AU360">
            <v>42.009799999999998</v>
          </cell>
          <cell r="AV360">
            <v>1.9017486369670666E-2</v>
          </cell>
          <cell r="AW360">
            <v>0.67319999999997193</v>
          </cell>
          <cell r="AX360">
            <v>35.399000000000001</v>
          </cell>
          <cell r="AY360">
            <v>36.072199999999974</v>
          </cell>
          <cell r="AZ360">
            <v>1.3516960434031262E-2</v>
          </cell>
          <cell r="BA360">
            <v>0.10371428571427847</v>
          </cell>
          <cell r="BB360">
            <v>7.6729000000000003</v>
          </cell>
          <cell r="BC360">
            <v>7.7766142857142784</v>
          </cell>
        </row>
        <row r="361">
          <cell r="B361">
            <v>313</v>
          </cell>
          <cell r="C361">
            <v>133</v>
          </cell>
          <cell r="D361">
            <v>1.8623366181032379E-2</v>
          </cell>
          <cell r="E361">
            <v>1.1323472222222213</v>
          </cell>
          <cell r="F361">
            <v>60.802500000000002</v>
          </cell>
          <cell r="G361">
            <v>61.934847222222224</v>
          </cell>
          <cell r="H361">
            <v>2.5940854219803595E-2</v>
          </cell>
          <cell r="I361">
            <v>1.9191899999999951</v>
          </cell>
          <cell r="J361">
            <v>73.9833</v>
          </cell>
          <cell r="K361">
            <v>75.90249</v>
          </cell>
          <cell r="L361">
            <v>3.3501923916061688E-2</v>
          </cell>
          <cell r="M361">
            <v>1.8767777777777762E-2</v>
          </cell>
          <cell r="N361">
            <v>0.56020000000000003</v>
          </cell>
          <cell r="O361">
            <v>0.57896777777777775</v>
          </cell>
          <cell r="P361">
            <v>1.7755428132144115E-2</v>
          </cell>
          <cell r="Q361">
            <v>1.9318988888888857</v>
          </cell>
          <cell r="R361">
            <v>108.8061</v>
          </cell>
          <cell r="S361">
            <v>110.73799888888888</v>
          </cell>
          <cell r="T361">
            <v>3.0915910980177947E-2</v>
          </cell>
          <cell r="U361">
            <v>1.4859794444444492</v>
          </cell>
          <cell r="V361">
            <v>48.065199999999997</v>
          </cell>
          <cell r="W361">
            <v>49.551179444444443</v>
          </cell>
          <cell r="X361">
            <v>1.2932485356329943E-2</v>
          </cell>
          <cell r="Y361">
            <v>0.59295833333333481</v>
          </cell>
          <cell r="Z361">
            <v>45.850299999999997</v>
          </cell>
          <cell r="AA361">
            <v>46.443258333333333</v>
          </cell>
          <cell r="AB361">
            <v>2.2290795510581718E-2</v>
          </cell>
          <cell r="AC361">
            <v>1.1064861111111128</v>
          </cell>
          <cell r="AD361">
            <v>49.6387</v>
          </cell>
          <cell r="AE361">
            <v>50.74518611111111</v>
          </cell>
          <cell r="AF361">
            <v>1.8449116177638648E-2</v>
          </cell>
          <cell r="AG361">
            <v>0.30530888888888874</v>
          </cell>
          <cell r="AH361">
            <v>16.5487</v>
          </cell>
          <cell r="AI361">
            <v>16.854008888888888</v>
          </cell>
          <cell r="AJ361">
            <v>1.3502720040250677E-2</v>
          </cell>
          <cell r="AK361">
            <v>0.21470000000000589</v>
          </cell>
          <cell r="AL361">
            <v>15.900499999999999</v>
          </cell>
          <cell r="AM361">
            <v>16.115200000000005</v>
          </cell>
          <cell r="AN361">
            <v>2.0894701700640107E-2</v>
          </cell>
          <cell r="AO361">
            <v>0.1595999999999993</v>
          </cell>
          <cell r="AP361">
            <v>7.6383000000000001</v>
          </cell>
          <cell r="AQ361">
            <v>7.7978999999999994</v>
          </cell>
          <cell r="AR361">
            <v>8.2992132787411826E-3</v>
          </cell>
          <cell r="AS361">
            <v>0.34579999999999733</v>
          </cell>
          <cell r="AT361">
            <v>41.666600000000003</v>
          </cell>
          <cell r="AU361">
            <v>42.0124</v>
          </cell>
          <cell r="AV361">
            <v>1.9161558236107566E-2</v>
          </cell>
          <cell r="AW361">
            <v>0.6782999999999717</v>
          </cell>
          <cell r="AX361">
            <v>35.399000000000001</v>
          </cell>
          <cell r="AY361">
            <v>36.077299999999973</v>
          </cell>
          <cell r="AZ361">
            <v>1.361936164944059E-2</v>
          </cell>
          <cell r="BA361">
            <v>0.10449999999999271</v>
          </cell>
          <cell r="BB361">
            <v>7.6729000000000003</v>
          </cell>
          <cell r="BC361">
            <v>7.777399999999993</v>
          </cell>
        </row>
        <row r="362">
          <cell r="B362">
            <v>314</v>
          </cell>
          <cell r="C362">
            <v>134</v>
          </cell>
          <cell r="D362">
            <v>1.8763391490664201E-2</v>
          </cell>
          <cell r="E362">
            <v>1.1408611111111102</v>
          </cell>
          <cell r="F362">
            <v>60.802500000000002</v>
          </cell>
          <cell r="G362">
            <v>61.943361111111109</v>
          </cell>
          <cell r="H362">
            <v>2.6135898236493846E-2</v>
          </cell>
          <cell r="I362">
            <v>1.933619999999995</v>
          </cell>
          <cell r="J362">
            <v>73.9833</v>
          </cell>
          <cell r="K362">
            <v>75.91691999999999</v>
          </cell>
          <cell r="L362">
            <v>3.3753818080844107E-2</v>
          </cell>
          <cell r="M362">
            <v>1.8908888888888874E-2</v>
          </cell>
          <cell r="N362">
            <v>0.56020000000000003</v>
          </cell>
          <cell r="O362">
            <v>0.5791088888888889</v>
          </cell>
          <cell r="P362">
            <v>1.7888927591784298E-2</v>
          </cell>
          <cell r="Q362">
            <v>1.9464244444444414</v>
          </cell>
          <cell r="R362">
            <v>108.8061</v>
          </cell>
          <cell r="S362">
            <v>110.75252444444445</v>
          </cell>
          <cell r="T362">
            <v>3.1148361438675526E-2</v>
          </cell>
          <cell r="U362">
            <v>1.4971522222222269</v>
          </cell>
          <cell r="V362">
            <v>48.065199999999997</v>
          </cell>
          <cell r="W362">
            <v>49.562352222222223</v>
          </cell>
          <cell r="X362">
            <v>1.3029722088332423E-2</v>
          </cell>
          <cell r="Y362">
            <v>0.59741666666666815</v>
          </cell>
          <cell r="Z362">
            <v>45.850299999999997</v>
          </cell>
          <cell r="AA362">
            <v>46.447716666666665</v>
          </cell>
          <cell r="AB362">
            <v>2.2458395476826695E-2</v>
          </cell>
          <cell r="AC362">
            <v>1.1148055555555572</v>
          </cell>
          <cell r="AD362">
            <v>49.6387</v>
          </cell>
          <cell r="AE362">
            <v>50.753505555555556</v>
          </cell>
          <cell r="AF362">
            <v>1.8587831336869018E-2</v>
          </cell>
          <cell r="AG362">
            <v>0.30760444444444429</v>
          </cell>
          <cell r="AH362">
            <v>16.5487</v>
          </cell>
          <cell r="AI362">
            <v>16.856304444444444</v>
          </cell>
          <cell r="AJ362">
            <v>1.3604244251079631E-2</v>
          </cell>
          <cell r="AK362">
            <v>0.21631428571429165</v>
          </cell>
          <cell r="AL362">
            <v>15.900499999999999</v>
          </cell>
          <cell r="AM362">
            <v>16.116814285714291</v>
          </cell>
          <cell r="AN362">
            <v>2.1051804720945668E-2</v>
          </cell>
          <cell r="AO362">
            <v>0.1607999999999993</v>
          </cell>
          <cell r="AP362">
            <v>7.6383000000000001</v>
          </cell>
          <cell r="AQ362">
            <v>7.7990999999999993</v>
          </cell>
          <cell r="AR362">
            <v>8.361613378581342E-3</v>
          </cell>
          <cell r="AS362">
            <v>0.34839999999999732</v>
          </cell>
          <cell r="AT362">
            <v>41.666600000000003</v>
          </cell>
          <cell r="AU362">
            <v>42.015000000000001</v>
          </cell>
          <cell r="AV362">
            <v>1.9305630102544467E-2</v>
          </cell>
          <cell r="AW362">
            <v>0.68339999999997147</v>
          </cell>
          <cell r="AX362">
            <v>35.399000000000001</v>
          </cell>
          <cell r="AY362">
            <v>36.082399999999971</v>
          </cell>
          <cell r="AZ362">
            <v>1.3721762864849916E-2</v>
          </cell>
          <cell r="BA362">
            <v>0.10528571428570695</v>
          </cell>
          <cell r="BB362">
            <v>7.6729000000000003</v>
          </cell>
          <cell r="BC362">
            <v>7.7781857142857076</v>
          </cell>
        </row>
        <row r="363">
          <cell r="B363">
            <v>315</v>
          </cell>
          <cell r="C363">
            <v>135</v>
          </cell>
          <cell r="D363">
            <v>1.8903416800296027E-2</v>
          </cell>
          <cell r="E363">
            <v>1.1493749999999991</v>
          </cell>
          <cell r="F363">
            <v>60.802500000000002</v>
          </cell>
          <cell r="G363">
            <v>61.951875000000001</v>
          </cell>
          <cell r="H363">
            <v>2.6330942253184098E-2</v>
          </cell>
          <cell r="I363">
            <v>1.948049999999995</v>
          </cell>
          <cell r="J363">
            <v>73.9833</v>
          </cell>
          <cell r="K363">
            <v>75.931349999999995</v>
          </cell>
          <cell r="L363">
            <v>3.4005712245626533E-2</v>
          </cell>
          <cell r="M363">
            <v>1.9049999999999984E-2</v>
          </cell>
          <cell r="N363">
            <v>0.56020000000000003</v>
          </cell>
          <cell r="O363">
            <v>0.57925000000000004</v>
          </cell>
          <cell r="P363">
            <v>1.8022427051424476E-2</v>
          </cell>
          <cell r="Q363">
            <v>1.9609499999999969</v>
          </cell>
          <cell r="R363">
            <v>108.8061</v>
          </cell>
          <cell r="S363">
            <v>110.76705</v>
          </cell>
          <cell r="T363">
            <v>3.1380811897173108E-2</v>
          </cell>
          <cell r="U363">
            <v>1.5083250000000046</v>
          </cell>
          <cell r="V363">
            <v>48.065199999999997</v>
          </cell>
          <cell r="W363">
            <v>49.573525000000004</v>
          </cell>
          <cell r="X363">
            <v>1.3126958820334905E-2</v>
          </cell>
          <cell r="Y363">
            <v>0.60187500000000149</v>
          </cell>
          <cell r="Z363">
            <v>45.850299999999997</v>
          </cell>
          <cell r="AA363">
            <v>46.452174999999997</v>
          </cell>
          <cell r="AB363">
            <v>2.2625995443071669E-2</v>
          </cell>
          <cell r="AC363">
            <v>1.1231250000000017</v>
          </cell>
          <cell r="AD363">
            <v>49.6387</v>
          </cell>
          <cell r="AE363">
            <v>50.761825000000002</v>
          </cell>
          <cell r="AF363">
            <v>1.872654649609938E-2</v>
          </cell>
          <cell r="AG363">
            <v>0.30989999999999984</v>
          </cell>
          <cell r="AH363">
            <v>16.5487</v>
          </cell>
          <cell r="AI363">
            <v>16.858599999999999</v>
          </cell>
          <cell r="AJ363">
            <v>1.3705768461908584E-2</v>
          </cell>
          <cell r="AK363">
            <v>0.21792857142857741</v>
          </cell>
          <cell r="AL363">
            <v>15.900499999999999</v>
          </cell>
          <cell r="AM363">
            <v>16.118428571428577</v>
          </cell>
          <cell r="AN363">
            <v>2.1208907741251233E-2</v>
          </cell>
          <cell r="AO363">
            <v>0.16199999999999928</v>
          </cell>
          <cell r="AP363">
            <v>7.6383000000000001</v>
          </cell>
          <cell r="AQ363">
            <v>7.8002999999999991</v>
          </cell>
          <cell r="AR363">
            <v>8.4240134784215014E-3</v>
          </cell>
          <cell r="AS363">
            <v>0.35099999999999731</v>
          </cell>
          <cell r="AT363">
            <v>41.666600000000003</v>
          </cell>
          <cell r="AU363">
            <v>42.017600000000002</v>
          </cell>
          <cell r="AV363">
            <v>1.9449701968981364E-2</v>
          </cell>
          <cell r="AW363">
            <v>0.68849999999997125</v>
          </cell>
          <cell r="AX363">
            <v>35.399000000000001</v>
          </cell>
          <cell r="AY363">
            <v>36.08749999999997</v>
          </cell>
          <cell r="AZ363">
            <v>1.3824164080259245E-2</v>
          </cell>
          <cell r="BA363">
            <v>0.10607142857142117</v>
          </cell>
          <cell r="BB363">
            <v>7.6729000000000003</v>
          </cell>
          <cell r="BC363">
            <v>7.7789714285714213</v>
          </cell>
        </row>
        <row r="364">
          <cell r="B364">
            <v>316</v>
          </cell>
          <cell r="C364">
            <v>136</v>
          </cell>
          <cell r="D364">
            <v>1.9043442109927849E-2</v>
          </cell>
          <cell r="E364">
            <v>1.1578888888888881</v>
          </cell>
          <cell r="F364">
            <v>60.802500000000002</v>
          </cell>
          <cell r="G364">
            <v>61.960388888888893</v>
          </cell>
          <cell r="H364">
            <v>2.652598626987435E-2</v>
          </cell>
          <cell r="I364">
            <v>1.9624799999999949</v>
          </cell>
          <cell r="J364">
            <v>73.9833</v>
          </cell>
          <cell r="K364">
            <v>75.945779999999999</v>
          </cell>
          <cell r="L364">
            <v>3.4257606410408946E-2</v>
          </cell>
          <cell r="M364">
            <v>1.9191111111111096E-2</v>
          </cell>
          <cell r="N364">
            <v>0.56020000000000003</v>
          </cell>
          <cell r="O364">
            <v>0.57939111111111108</v>
          </cell>
          <cell r="P364">
            <v>1.8155926511064659E-2</v>
          </cell>
          <cell r="Q364">
            <v>1.9754755555555523</v>
          </cell>
          <cell r="R364">
            <v>108.8061</v>
          </cell>
          <cell r="S364">
            <v>110.78157555555555</v>
          </cell>
          <cell r="T364">
            <v>3.1613262355670677E-2</v>
          </cell>
          <cell r="U364">
            <v>1.5194977777777825</v>
          </cell>
          <cell r="V364">
            <v>48.065199999999997</v>
          </cell>
          <cell r="W364">
            <v>49.584697777777777</v>
          </cell>
          <cell r="X364">
            <v>1.3224195552337385E-2</v>
          </cell>
          <cell r="Y364">
            <v>0.60633333333333483</v>
          </cell>
          <cell r="Z364">
            <v>45.850299999999997</v>
          </cell>
          <cell r="AA364">
            <v>46.456633333333329</v>
          </cell>
          <cell r="AB364">
            <v>2.2793595409316643E-2</v>
          </cell>
          <cell r="AC364">
            <v>1.1314444444444463</v>
          </cell>
          <cell r="AD364">
            <v>49.6387</v>
          </cell>
          <cell r="AE364">
            <v>50.770144444444448</v>
          </cell>
          <cell r="AF364">
            <v>1.8865261655329747E-2</v>
          </cell>
          <cell r="AG364">
            <v>0.31219555555555539</v>
          </cell>
          <cell r="AH364">
            <v>16.5487</v>
          </cell>
          <cell r="AI364">
            <v>16.860895555555555</v>
          </cell>
          <cell r="AJ364">
            <v>1.3807292672737535E-2</v>
          </cell>
          <cell r="AK364">
            <v>0.21954285714286317</v>
          </cell>
          <cell r="AL364">
            <v>15.900499999999999</v>
          </cell>
          <cell r="AM364">
            <v>16.120042857142863</v>
          </cell>
          <cell r="AN364">
            <v>2.1366010761556798E-2</v>
          </cell>
          <cell r="AO364">
            <v>0.16319999999999929</v>
          </cell>
          <cell r="AP364">
            <v>7.6383000000000001</v>
          </cell>
          <cell r="AQ364">
            <v>7.801499999999999</v>
          </cell>
          <cell r="AR364">
            <v>8.486413578261659E-3</v>
          </cell>
          <cell r="AS364">
            <v>0.35359999999999731</v>
          </cell>
          <cell r="AT364">
            <v>41.666600000000003</v>
          </cell>
          <cell r="AU364">
            <v>42.020200000000003</v>
          </cell>
          <cell r="AV364">
            <v>1.9593773835418264E-2</v>
          </cell>
          <cell r="AW364">
            <v>0.69359999999997102</v>
          </cell>
          <cell r="AX364">
            <v>35.399000000000001</v>
          </cell>
          <cell r="AY364">
            <v>36.092599999999969</v>
          </cell>
          <cell r="AZ364">
            <v>1.3926565295668573E-2</v>
          </cell>
          <cell r="BA364">
            <v>0.10685714285713541</v>
          </cell>
          <cell r="BB364">
            <v>7.6729000000000003</v>
          </cell>
          <cell r="BC364">
            <v>7.7797571428571359</v>
          </cell>
        </row>
        <row r="365">
          <cell r="B365">
            <v>317</v>
          </cell>
          <cell r="C365">
            <v>137</v>
          </cell>
          <cell r="D365">
            <v>1.9183467419559671E-2</v>
          </cell>
          <cell r="E365">
            <v>1.166402777777777</v>
          </cell>
          <cell r="F365">
            <v>60.802500000000002</v>
          </cell>
          <cell r="G365">
            <v>61.968902777777778</v>
          </cell>
          <cell r="H365">
            <v>2.6721030286564605E-2</v>
          </cell>
          <cell r="I365">
            <v>1.9769099999999948</v>
          </cell>
          <cell r="J365">
            <v>73.9833</v>
          </cell>
          <cell r="K365">
            <v>75.960209999999989</v>
          </cell>
          <cell r="L365">
            <v>3.4509500575191365E-2</v>
          </cell>
          <cell r="M365">
            <v>1.9332222222222206E-2</v>
          </cell>
          <cell r="N365">
            <v>0.56020000000000003</v>
          </cell>
          <cell r="O365">
            <v>0.57953222222222223</v>
          </cell>
          <cell r="P365">
            <v>1.8289425970704841E-2</v>
          </cell>
          <cell r="Q365">
            <v>1.990001111111108</v>
          </cell>
          <cell r="R365">
            <v>108.8061</v>
          </cell>
          <cell r="S365">
            <v>110.79610111111111</v>
          </cell>
          <cell r="T365">
            <v>3.1845712814168259E-2</v>
          </cell>
          <cell r="U365">
            <v>1.5306705555555602</v>
          </cell>
          <cell r="V365">
            <v>48.065199999999997</v>
          </cell>
          <cell r="W365">
            <v>49.595870555555557</v>
          </cell>
          <cell r="X365">
            <v>1.3321432284339867E-2</v>
          </cell>
          <cell r="Y365">
            <v>0.61079166666666818</v>
          </cell>
          <cell r="Z365">
            <v>45.850299999999997</v>
          </cell>
          <cell r="AA365">
            <v>46.461091666666668</v>
          </cell>
          <cell r="AB365">
            <v>2.296119537556162E-2</v>
          </cell>
          <cell r="AC365">
            <v>1.1397638888888906</v>
          </cell>
          <cell r="AD365">
            <v>49.6387</v>
          </cell>
          <cell r="AE365">
            <v>50.778463888888894</v>
          </cell>
          <cell r="AF365">
            <v>1.9003976814560116E-2</v>
          </cell>
          <cell r="AG365">
            <v>0.31449111111111094</v>
          </cell>
          <cell r="AH365">
            <v>16.5487</v>
          </cell>
          <cell r="AI365">
            <v>16.86319111111111</v>
          </cell>
          <cell r="AJ365">
            <v>1.3908816883566488E-2</v>
          </cell>
          <cell r="AK365">
            <v>0.22115714285714891</v>
          </cell>
          <cell r="AL365">
            <v>15.900499999999999</v>
          </cell>
          <cell r="AM365">
            <v>16.121657142857149</v>
          </cell>
          <cell r="AN365">
            <v>2.1523113781862363E-2</v>
          </cell>
          <cell r="AO365">
            <v>0.16439999999999927</v>
          </cell>
          <cell r="AP365">
            <v>7.6383000000000001</v>
          </cell>
          <cell r="AQ365">
            <v>7.8026999999999997</v>
          </cell>
          <cell r="AR365">
            <v>8.5488136781018183E-3</v>
          </cell>
          <cell r="AS365">
            <v>0.35619999999999724</v>
          </cell>
          <cell r="AT365">
            <v>41.666600000000003</v>
          </cell>
          <cell r="AU365">
            <v>42.022799999999997</v>
          </cell>
          <cell r="AV365">
            <v>1.9737845701855161E-2</v>
          </cell>
          <cell r="AW365">
            <v>0.6986999999999709</v>
          </cell>
          <cell r="AX365">
            <v>35.399000000000001</v>
          </cell>
          <cell r="AY365">
            <v>36.097699999999975</v>
          </cell>
          <cell r="AZ365">
            <v>1.4028966511077901E-2</v>
          </cell>
          <cell r="BA365">
            <v>0.10764285714284963</v>
          </cell>
          <cell r="BB365">
            <v>7.6729000000000003</v>
          </cell>
          <cell r="BC365">
            <v>7.7805428571428497</v>
          </cell>
        </row>
        <row r="366">
          <cell r="B366">
            <v>318</v>
          </cell>
          <cell r="C366">
            <v>138</v>
          </cell>
          <cell r="D366">
            <v>1.932349272919149E-2</v>
          </cell>
          <cell r="E366">
            <v>1.1749166666666657</v>
          </cell>
          <cell r="F366">
            <v>60.802500000000002</v>
          </cell>
          <cell r="G366">
            <v>61.97741666666667</v>
          </cell>
          <cell r="H366">
            <v>2.6916074303254857E-2</v>
          </cell>
          <cell r="I366">
            <v>1.9913399999999948</v>
          </cell>
          <cell r="J366">
            <v>73.9833</v>
          </cell>
          <cell r="K366">
            <v>75.974639999999994</v>
          </cell>
          <cell r="L366">
            <v>3.4761394739973785E-2</v>
          </cell>
          <cell r="M366">
            <v>1.9473333333333315E-2</v>
          </cell>
          <cell r="N366">
            <v>0.56020000000000003</v>
          </cell>
          <cell r="O366">
            <v>0.57967333333333337</v>
          </cell>
          <cell r="P366">
            <v>1.8422925430345023E-2</v>
          </cell>
          <cell r="Q366">
            <v>2.0045266666666635</v>
          </cell>
          <cell r="R366">
            <v>108.8061</v>
          </cell>
          <cell r="S366">
            <v>110.81062666666666</v>
          </cell>
          <cell r="T366">
            <v>3.2078163272665841E-2</v>
          </cell>
          <cell r="U366">
            <v>1.5418433333333379</v>
          </cell>
          <cell r="V366">
            <v>48.065199999999997</v>
          </cell>
          <cell r="W366">
            <v>49.607043333333337</v>
          </cell>
          <cell r="X366">
            <v>1.3418669016342349E-2</v>
          </cell>
          <cell r="Y366">
            <v>0.61525000000000152</v>
          </cell>
          <cell r="Z366">
            <v>45.850299999999997</v>
          </cell>
          <cell r="AA366">
            <v>46.46555</v>
          </cell>
          <cell r="AB366">
            <v>2.3128795341806594E-2</v>
          </cell>
          <cell r="AC366">
            <v>1.1480833333333351</v>
          </cell>
          <cell r="AD366">
            <v>49.6387</v>
          </cell>
          <cell r="AE366">
            <v>50.786783333333332</v>
          </cell>
          <cell r="AF366">
            <v>1.9142691973790479E-2</v>
          </cell>
          <cell r="AG366">
            <v>0.31678666666666649</v>
          </cell>
          <cell r="AH366">
            <v>16.5487</v>
          </cell>
          <cell r="AI366">
            <v>16.865486666666666</v>
          </cell>
          <cell r="AJ366">
            <v>1.401034109439544E-2</v>
          </cell>
          <cell r="AK366">
            <v>0.22277142857143467</v>
          </cell>
          <cell r="AL366">
            <v>15.900499999999999</v>
          </cell>
          <cell r="AM366">
            <v>16.123271428571435</v>
          </cell>
          <cell r="AN366">
            <v>2.1680216802167928E-2</v>
          </cell>
          <cell r="AO366">
            <v>0.16559999999999928</v>
          </cell>
          <cell r="AP366">
            <v>7.6383000000000001</v>
          </cell>
          <cell r="AQ366">
            <v>7.8038999999999996</v>
          </cell>
          <cell r="AR366">
            <v>8.6112137779419777E-3</v>
          </cell>
          <cell r="AS366">
            <v>0.35879999999999723</v>
          </cell>
          <cell r="AT366">
            <v>41.666600000000003</v>
          </cell>
          <cell r="AU366">
            <v>42.025399999999998</v>
          </cell>
          <cell r="AV366">
            <v>1.9881917568292058E-2</v>
          </cell>
          <cell r="AW366">
            <v>0.70379999999997067</v>
          </cell>
          <cell r="AX366">
            <v>35.399000000000001</v>
          </cell>
          <cell r="AY366">
            <v>36.102799999999974</v>
          </cell>
          <cell r="AZ366">
            <v>1.4131367726487227E-2</v>
          </cell>
          <cell r="BA366">
            <v>0.10842857142856387</v>
          </cell>
          <cell r="BB366">
            <v>7.6729000000000003</v>
          </cell>
          <cell r="BC366">
            <v>7.7813285714285643</v>
          </cell>
        </row>
        <row r="367">
          <cell r="B367">
            <v>319</v>
          </cell>
          <cell r="C367">
            <v>139</v>
          </cell>
          <cell r="D367">
            <v>1.9463518038823315E-2</v>
          </cell>
          <cell r="E367">
            <v>1.1834305555555547</v>
          </cell>
          <cell r="F367">
            <v>60.802500000000002</v>
          </cell>
          <cell r="G367">
            <v>61.985930555555555</v>
          </cell>
          <cell r="H367">
            <v>2.7111118319945109E-2</v>
          </cell>
          <cell r="I367">
            <v>2.0057699999999947</v>
          </cell>
          <cell r="J367">
            <v>73.9833</v>
          </cell>
          <cell r="K367">
            <v>75.989069999999998</v>
          </cell>
          <cell r="L367">
            <v>3.5013288904756204E-2</v>
          </cell>
          <cell r="M367">
            <v>1.9614444444444427E-2</v>
          </cell>
          <cell r="N367">
            <v>0.56020000000000003</v>
          </cell>
          <cell r="O367">
            <v>0.57981444444444441</v>
          </cell>
          <cell r="P367">
            <v>1.8556424889985202E-2</v>
          </cell>
          <cell r="Q367">
            <v>2.0190522222222191</v>
          </cell>
          <cell r="R367">
            <v>108.8061</v>
          </cell>
          <cell r="S367">
            <v>110.82515222222221</v>
          </cell>
          <cell r="T367">
            <v>3.2310613731163416E-2</v>
          </cell>
          <cell r="U367">
            <v>1.5530161111111158</v>
          </cell>
          <cell r="V367">
            <v>48.065199999999997</v>
          </cell>
          <cell r="W367">
            <v>49.61821611111111</v>
          </cell>
          <cell r="X367">
            <v>1.3515905748344827E-2</v>
          </cell>
          <cell r="Y367">
            <v>0.61970833333333486</v>
          </cell>
          <cell r="Z367">
            <v>45.850299999999997</v>
          </cell>
          <cell r="AA367">
            <v>46.470008333333332</v>
          </cell>
          <cell r="AB367">
            <v>2.3296395308051571E-2</v>
          </cell>
          <cell r="AC367">
            <v>1.1564027777777794</v>
          </cell>
          <cell r="AD367">
            <v>49.6387</v>
          </cell>
          <cell r="AE367">
            <v>50.795102777777778</v>
          </cell>
          <cell r="AF367">
            <v>1.9281407133020845E-2</v>
          </cell>
          <cell r="AG367">
            <v>0.31908222222222205</v>
          </cell>
          <cell r="AH367">
            <v>16.5487</v>
          </cell>
          <cell r="AI367">
            <v>16.867782222222221</v>
          </cell>
          <cell r="AJ367">
            <v>1.4111865305224392E-2</v>
          </cell>
          <cell r="AK367">
            <v>0.22438571428572043</v>
          </cell>
          <cell r="AL367">
            <v>15.900499999999999</v>
          </cell>
          <cell r="AM367">
            <v>16.124885714285721</v>
          </cell>
          <cell r="AN367">
            <v>2.1837319822473493E-2</v>
          </cell>
          <cell r="AO367">
            <v>0.16679999999999925</v>
          </cell>
          <cell r="AP367">
            <v>7.6383000000000001</v>
          </cell>
          <cell r="AQ367">
            <v>7.8050999999999995</v>
          </cell>
          <cell r="AR367">
            <v>8.6736138777821388E-3</v>
          </cell>
          <cell r="AS367">
            <v>0.36139999999999728</v>
          </cell>
          <cell r="AT367">
            <v>41.666600000000003</v>
          </cell>
          <cell r="AU367">
            <v>42.027999999999999</v>
          </cell>
          <cell r="AV367">
            <v>2.0025989434728962E-2</v>
          </cell>
          <cell r="AW367">
            <v>0.70889999999997044</v>
          </cell>
          <cell r="AX367">
            <v>35.399000000000001</v>
          </cell>
          <cell r="AY367">
            <v>36.107899999999972</v>
          </cell>
          <cell r="AZ367">
            <v>1.4233768941896556E-2</v>
          </cell>
          <cell r="BA367">
            <v>0.10921428571427809</v>
          </cell>
          <cell r="BB367">
            <v>7.6729000000000003</v>
          </cell>
          <cell r="BC367">
            <v>7.782114285714278</v>
          </cell>
        </row>
        <row r="368">
          <cell r="B368">
            <v>320</v>
          </cell>
          <cell r="C368">
            <v>140</v>
          </cell>
          <cell r="D368">
            <v>1.9603543348455137E-2</v>
          </cell>
          <cell r="E368">
            <v>1.1919444444444436</v>
          </cell>
          <cell r="F368">
            <v>60.802500000000002</v>
          </cell>
          <cell r="G368">
            <v>61.994444444444447</v>
          </cell>
          <cell r="H368">
            <v>2.730616233663536E-2</v>
          </cell>
          <cell r="I368">
            <v>2.0201999999999947</v>
          </cell>
          <cell r="J368">
            <v>73.9833</v>
          </cell>
          <cell r="K368">
            <v>76.003499999999988</v>
          </cell>
          <cell r="L368">
            <v>3.5265183069538623E-2</v>
          </cell>
          <cell r="M368">
            <v>1.975555555555554E-2</v>
          </cell>
          <cell r="N368">
            <v>0.56020000000000003</v>
          </cell>
          <cell r="O368">
            <v>0.57995555555555556</v>
          </cell>
          <cell r="P368">
            <v>1.8689924349625384E-2</v>
          </cell>
          <cell r="Q368">
            <v>2.0335777777777744</v>
          </cell>
          <cell r="R368">
            <v>108.8061</v>
          </cell>
          <cell r="S368">
            <v>110.83967777777778</v>
          </cell>
          <cell r="T368">
            <v>3.2543064189660999E-2</v>
          </cell>
          <cell r="U368">
            <v>1.5641888888888937</v>
          </cell>
          <cell r="V368">
            <v>48.065199999999997</v>
          </cell>
          <cell r="W368">
            <v>49.62938888888889</v>
          </cell>
          <cell r="X368">
            <v>1.3613142480347309E-2</v>
          </cell>
          <cell r="Y368">
            <v>0.6241666666666682</v>
          </cell>
          <cell r="Z368">
            <v>45.850299999999997</v>
          </cell>
          <cell r="AA368">
            <v>46.474466666666665</v>
          </cell>
          <cell r="AB368">
            <v>2.3463995274296545E-2</v>
          </cell>
          <cell r="AC368">
            <v>1.164722222222224</v>
          </cell>
          <cell r="AD368">
            <v>49.6387</v>
          </cell>
          <cell r="AE368">
            <v>50.803422222222224</v>
          </cell>
          <cell r="AF368">
            <v>1.9420122292251211E-2</v>
          </cell>
          <cell r="AG368">
            <v>0.3213777777777776</v>
          </cell>
          <cell r="AH368">
            <v>16.5487</v>
          </cell>
          <cell r="AI368">
            <v>16.870077777777777</v>
          </cell>
          <cell r="AJ368">
            <v>1.4213389516053346E-2</v>
          </cell>
          <cell r="AK368">
            <v>0.2260000000000062</v>
          </cell>
          <cell r="AL368">
            <v>15.900499999999999</v>
          </cell>
          <cell r="AM368">
            <v>16.126500000000007</v>
          </cell>
          <cell r="AN368">
            <v>2.1994422842779058E-2</v>
          </cell>
          <cell r="AO368">
            <v>0.16799999999999926</v>
          </cell>
          <cell r="AP368">
            <v>7.6383000000000001</v>
          </cell>
          <cell r="AQ368">
            <v>7.8062999999999994</v>
          </cell>
          <cell r="AR368">
            <v>8.7360139776222964E-3</v>
          </cell>
          <cell r="AS368">
            <v>0.36399999999999721</v>
          </cell>
          <cell r="AT368">
            <v>41.666600000000003</v>
          </cell>
          <cell r="AU368">
            <v>42.0306</v>
          </cell>
          <cell r="AV368">
            <v>2.0170061301165859E-2</v>
          </cell>
          <cell r="AW368">
            <v>0.71399999999997021</v>
          </cell>
          <cell r="AX368">
            <v>35.399000000000001</v>
          </cell>
          <cell r="AY368">
            <v>36.112999999999971</v>
          </cell>
          <cell r="AZ368">
            <v>1.4336170157305884E-2</v>
          </cell>
          <cell r="BA368">
            <v>0.10999999999999233</v>
          </cell>
          <cell r="BB368">
            <v>7.6729000000000003</v>
          </cell>
          <cell r="BC368">
            <v>7.7828999999999926</v>
          </cell>
        </row>
        <row r="369">
          <cell r="B369">
            <v>321</v>
          </cell>
          <cell r="C369">
            <v>141</v>
          </cell>
          <cell r="D369">
            <v>1.9743568658086959E-2</v>
          </cell>
          <cell r="E369">
            <v>1.2004583333333325</v>
          </cell>
          <cell r="F369">
            <v>60.802500000000002</v>
          </cell>
          <cell r="G369">
            <v>62.002958333333332</v>
          </cell>
          <cell r="H369">
            <v>2.7501206353325616E-2</v>
          </cell>
          <cell r="I369">
            <v>2.0346299999999946</v>
          </cell>
          <cell r="J369">
            <v>73.9833</v>
          </cell>
          <cell r="K369">
            <v>76.017929999999993</v>
          </cell>
          <cell r="L369">
            <v>3.5517077234321036E-2</v>
          </cell>
          <cell r="M369">
            <v>1.9896666666666649E-2</v>
          </cell>
          <cell r="N369">
            <v>0.56020000000000003</v>
          </cell>
          <cell r="O369">
            <v>0.5800966666666667</v>
          </cell>
          <cell r="P369">
            <v>1.8823423809265567E-2</v>
          </cell>
          <cell r="Q369">
            <v>2.0481033333333301</v>
          </cell>
          <cell r="R369">
            <v>108.8061</v>
          </cell>
          <cell r="S369">
            <v>110.85420333333333</v>
          </cell>
          <cell r="T369">
            <v>3.2775514648158574E-2</v>
          </cell>
          <cell r="U369">
            <v>1.5753616666666717</v>
          </cell>
          <cell r="V369">
            <v>48.065199999999997</v>
          </cell>
          <cell r="W369">
            <v>49.64056166666667</v>
          </cell>
          <cell r="X369">
            <v>1.371037921234979E-2</v>
          </cell>
          <cell r="Y369">
            <v>0.62862500000000154</v>
          </cell>
          <cell r="Z369">
            <v>45.850299999999997</v>
          </cell>
          <cell r="AA369">
            <v>46.478924999999997</v>
          </cell>
          <cell r="AB369">
            <v>2.3631595240541526E-2</v>
          </cell>
          <cell r="AC369">
            <v>1.1730416666666685</v>
          </cell>
          <cell r="AD369">
            <v>49.6387</v>
          </cell>
          <cell r="AE369">
            <v>50.81174166666667</v>
          </cell>
          <cell r="AF369">
            <v>1.9558837451481577E-2</v>
          </cell>
          <cell r="AG369">
            <v>0.3236733333333332</v>
          </cell>
          <cell r="AH369">
            <v>16.5487</v>
          </cell>
          <cell r="AI369">
            <v>16.872373333333332</v>
          </cell>
          <cell r="AJ369">
            <v>1.4314913726882298E-2</v>
          </cell>
          <cell r="AK369">
            <v>0.22761428571429196</v>
          </cell>
          <cell r="AL369">
            <v>15.900499999999999</v>
          </cell>
          <cell r="AM369">
            <v>16.12811428571429</v>
          </cell>
          <cell r="AN369">
            <v>2.2151525863084619E-2</v>
          </cell>
          <cell r="AO369">
            <v>0.16919999999999927</v>
          </cell>
          <cell r="AP369">
            <v>7.6383000000000001</v>
          </cell>
          <cell r="AQ369">
            <v>7.8074999999999992</v>
          </cell>
          <cell r="AR369">
            <v>8.7984140774624558E-3</v>
          </cell>
          <cell r="AS369">
            <v>0.36659999999999715</v>
          </cell>
          <cell r="AT369">
            <v>41.666600000000003</v>
          </cell>
          <cell r="AU369">
            <v>42.033200000000001</v>
          </cell>
          <cell r="AV369">
            <v>2.0314133167602756E-2</v>
          </cell>
          <cell r="AW369">
            <v>0.71909999999996999</v>
          </cell>
          <cell r="AX369">
            <v>35.399000000000001</v>
          </cell>
          <cell r="AY369">
            <v>36.11809999999997</v>
          </cell>
          <cell r="AZ369">
            <v>1.4438571372715212E-2</v>
          </cell>
          <cell r="BA369">
            <v>0.11078571428570656</v>
          </cell>
          <cell r="BB369">
            <v>7.6729000000000003</v>
          </cell>
          <cell r="BC369">
            <v>7.7836857142857072</v>
          </cell>
        </row>
        <row r="370">
          <cell r="B370">
            <v>322</v>
          </cell>
          <cell r="C370">
            <v>142</v>
          </cell>
          <cell r="D370">
            <v>1.9883593967718782E-2</v>
          </cell>
          <cell r="E370">
            <v>1.2089722222222212</v>
          </cell>
          <cell r="F370">
            <v>60.802500000000002</v>
          </cell>
          <cell r="G370">
            <v>62.011472222222224</v>
          </cell>
          <cell r="H370">
            <v>2.7696250370015867E-2</v>
          </cell>
          <cell r="I370">
            <v>2.0490599999999946</v>
          </cell>
          <cell r="J370">
            <v>73.9833</v>
          </cell>
          <cell r="K370">
            <v>76.032359999999997</v>
          </cell>
          <cell r="L370">
            <v>3.5768971399103462E-2</v>
          </cell>
          <cell r="M370">
            <v>2.0037777777777762E-2</v>
          </cell>
          <cell r="N370">
            <v>0.56020000000000003</v>
          </cell>
          <cell r="O370">
            <v>0.58023777777777774</v>
          </cell>
          <cell r="P370">
            <v>1.8956923268905749E-2</v>
          </cell>
          <cell r="Q370">
            <v>2.0626288888888857</v>
          </cell>
          <cell r="R370">
            <v>108.8061</v>
          </cell>
          <cell r="S370">
            <v>110.86872888888888</v>
          </cell>
          <cell r="T370">
            <v>3.3007965106656149E-2</v>
          </cell>
          <cell r="U370">
            <v>1.5865344444444494</v>
          </cell>
          <cell r="V370">
            <v>48.065199999999997</v>
          </cell>
          <cell r="W370">
            <v>49.651734444444443</v>
          </cell>
          <cell r="X370">
            <v>1.3807615944352269E-2</v>
          </cell>
          <cell r="Y370">
            <v>0.63308333333333489</v>
          </cell>
          <cell r="Z370">
            <v>45.850299999999997</v>
          </cell>
          <cell r="AA370">
            <v>46.483383333333329</v>
          </cell>
          <cell r="AB370">
            <v>2.37991952067865E-2</v>
          </cell>
          <cell r="AC370">
            <v>1.1813611111111129</v>
          </cell>
          <cell r="AD370">
            <v>49.6387</v>
          </cell>
          <cell r="AE370">
            <v>50.820061111111116</v>
          </cell>
          <cell r="AF370">
            <v>1.9697552610711943E-2</v>
          </cell>
          <cell r="AG370">
            <v>0.3259688888888887</v>
          </cell>
          <cell r="AH370">
            <v>16.5487</v>
          </cell>
          <cell r="AI370">
            <v>16.874668888888888</v>
          </cell>
          <cell r="AJ370">
            <v>1.441643793771125E-2</v>
          </cell>
          <cell r="AK370">
            <v>0.22922857142857772</v>
          </cell>
          <cell r="AL370">
            <v>15.900499999999999</v>
          </cell>
          <cell r="AM370">
            <v>16.129728571428576</v>
          </cell>
          <cell r="AN370">
            <v>2.2308628883390188E-2</v>
          </cell>
          <cell r="AO370">
            <v>0.17039999999999925</v>
          </cell>
          <cell r="AP370">
            <v>7.6383000000000001</v>
          </cell>
          <cell r="AQ370">
            <v>7.8086999999999991</v>
          </cell>
          <cell r="AR370">
            <v>8.8608141773026151E-3</v>
          </cell>
          <cell r="AS370">
            <v>0.3691999999999972</v>
          </cell>
          <cell r="AT370">
            <v>41.666600000000003</v>
          </cell>
          <cell r="AU370">
            <v>42.035800000000002</v>
          </cell>
          <cell r="AV370">
            <v>2.045820503403966E-2</v>
          </cell>
          <cell r="AW370">
            <v>0.72419999999996976</v>
          </cell>
          <cell r="AX370">
            <v>35.399000000000001</v>
          </cell>
          <cell r="AY370">
            <v>36.123199999999969</v>
          </cell>
          <cell r="AZ370">
            <v>1.4540972588124538E-2</v>
          </cell>
          <cell r="BA370">
            <v>0.11157142857142079</v>
          </cell>
          <cell r="BB370">
            <v>7.6729000000000003</v>
          </cell>
          <cell r="BC370">
            <v>7.7844714285714209</v>
          </cell>
        </row>
        <row r="371">
          <cell r="B371">
            <v>323</v>
          </cell>
          <cell r="C371">
            <v>143</v>
          </cell>
          <cell r="D371">
            <v>2.0023619277350604E-2</v>
          </cell>
          <cell r="E371">
            <v>1.2174861111111102</v>
          </cell>
          <cell r="F371">
            <v>60.802500000000002</v>
          </cell>
          <cell r="G371">
            <v>62.019986111111109</v>
          </cell>
          <cell r="H371">
            <v>2.7891294386706119E-2</v>
          </cell>
          <cell r="I371">
            <v>2.0634899999999945</v>
          </cell>
          <cell r="J371">
            <v>73.9833</v>
          </cell>
          <cell r="K371">
            <v>76.046789999999987</v>
          </cell>
          <cell r="L371">
            <v>3.6020865563885882E-2</v>
          </cell>
          <cell r="M371">
            <v>2.0178888888888871E-2</v>
          </cell>
          <cell r="N371">
            <v>0.56020000000000003</v>
          </cell>
          <cell r="O371">
            <v>0.58037888888888889</v>
          </cell>
          <cell r="P371">
            <v>1.9090422728545928E-2</v>
          </cell>
          <cell r="Q371">
            <v>2.077154444444441</v>
          </cell>
          <cell r="R371">
            <v>108.8061</v>
          </cell>
          <cell r="S371">
            <v>110.88325444444445</v>
          </cell>
          <cell r="T371">
            <v>3.3240415565153732E-2</v>
          </cell>
          <cell r="U371">
            <v>1.5977072222222271</v>
          </cell>
          <cell r="V371">
            <v>48.065199999999997</v>
          </cell>
          <cell r="W371">
            <v>49.662907222222223</v>
          </cell>
          <cell r="X371">
            <v>1.3904852676354751E-2</v>
          </cell>
          <cell r="Y371">
            <v>0.63754166666666823</v>
          </cell>
          <cell r="Z371">
            <v>45.850299999999997</v>
          </cell>
          <cell r="AA371">
            <v>46.487841666666668</v>
          </cell>
          <cell r="AB371">
            <v>2.3966795173031477E-2</v>
          </cell>
          <cell r="AC371">
            <v>1.1896805555555574</v>
          </cell>
          <cell r="AD371">
            <v>49.6387</v>
          </cell>
          <cell r="AE371">
            <v>50.828380555555555</v>
          </cell>
          <cell r="AF371">
            <v>1.9836267769942309E-2</v>
          </cell>
          <cell r="AG371">
            <v>0.32826444444444425</v>
          </cell>
          <cell r="AH371">
            <v>16.5487</v>
          </cell>
          <cell r="AI371">
            <v>16.876964444444443</v>
          </cell>
          <cell r="AJ371">
            <v>1.4517962148540203E-2</v>
          </cell>
          <cell r="AK371">
            <v>0.23084285714286348</v>
          </cell>
          <cell r="AL371">
            <v>15.900499999999999</v>
          </cell>
          <cell r="AM371">
            <v>16.131342857142862</v>
          </cell>
          <cell r="AN371">
            <v>2.2465731903695749E-2</v>
          </cell>
          <cell r="AO371">
            <v>0.17159999999999925</v>
          </cell>
          <cell r="AP371">
            <v>7.6383000000000001</v>
          </cell>
          <cell r="AQ371">
            <v>7.809899999999999</v>
          </cell>
          <cell r="AR371">
            <v>8.9232142771427745E-3</v>
          </cell>
          <cell r="AS371">
            <v>0.37179999999999719</v>
          </cell>
          <cell r="AT371">
            <v>41.666600000000003</v>
          </cell>
          <cell r="AU371">
            <v>42.038400000000003</v>
          </cell>
          <cell r="AV371">
            <v>2.0602276900476557E-2</v>
          </cell>
          <cell r="AW371">
            <v>0.72929999999996953</v>
          </cell>
          <cell r="AX371">
            <v>35.399000000000001</v>
          </cell>
          <cell r="AY371">
            <v>36.128299999999967</v>
          </cell>
          <cell r="AZ371">
            <v>1.4643373803533867E-2</v>
          </cell>
          <cell r="BA371">
            <v>0.11235714285713502</v>
          </cell>
          <cell r="BB371">
            <v>7.6729000000000003</v>
          </cell>
          <cell r="BC371">
            <v>7.7852571428571355</v>
          </cell>
        </row>
        <row r="372">
          <cell r="B372">
            <v>324</v>
          </cell>
          <cell r="C372">
            <v>144</v>
          </cell>
          <cell r="D372">
            <v>2.0163644586982426E-2</v>
          </cell>
          <cell r="E372">
            <v>1.2259999999999991</v>
          </cell>
          <cell r="F372">
            <v>60.802500000000002</v>
          </cell>
          <cell r="G372">
            <v>62.028500000000001</v>
          </cell>
          <cell r="H372">
            <v>2.8086338403396374E-2</v>
          </cell>
          <cell r="I372">
            <v>2.0779199999999944</v>
          </cell>
          <cell r="J372">
            <v>73.9833</v>
          </cell>
          <cell r="K372">
            <v>76.061219999999992</v>
          </cell>
          <cell r="L372">
            <v>3.6272759728668294E-2</v>
          </cell>
          <cell r="M372">
            <v>2.0319999999999984E-2</v>
          </cell>
          <cell r="N372">
            <v>0.56020000000000003</v>
          </cell>
          <cell r="O372">
            <v>0.58052000000000004</v>
          </cell>
          <cell r="P372">
            <v>1.922392218818611E-2</v>
          </cell>
          <cell r="Q372">
            <v>2.0916799999999967</v>
          </cell>
          <cell r="R372">
            <v>108.8061</v>
          </cell>
          <cell r="S372">
            <v>110.89778</v>
          </cell>
          <cell r="T372">
            <v>3.3472866023651307E-2</v>
          </cell>
          <cell r="U372">
            <v>1.608880000000005</v>
          </cell>
          <cell r="V372">
            <v>48.065199999999997</v>
          </cell>
          <cell r="W372">
            <v>49.674080000000004</v>
          </cell>
          <cell r="X372">
            <v>1.4002089408357232E-2</v>
          </cell>
          <cell r="Y372">
            <v>0.64200000000000157</v>
          </cell>
          <cell r="Z372">
            <v>45.850299999999997</v>
          </cell>
          <cell r="AA372">
            <v>46.4923</v>
          </cell>
          <cell r="AB372">
            <v>2.4134395139276451E-2</v>
          </cell>
          <cell r="AC372">
            <v>1.1980000000000017</v>
          </cell>
          <cell r="AD372">
            <v>49.6387</v>
          </cell>
          <cell r="AE372">
            <v>50.8367</v>
          </cell>
          <cell r="AF372">
            <v>1.9974982929172675E-2</v>
          </cell>
          <cell r="AG372">
            <v>0.33055999999999985</v>
          </cell>
          <cell r="AH372">
            <v>16.5487</v>
          </cell>
          <cell r="AI372">
            <v>16.879259999999999</v>
          </cell>
          <cell r="AJ372">
            <v>1.4619486359369155E-2</v>
          </cell>
          <cell r="AK372">
            <v>0.23245714285714922</v>
          </cell>
          <cell r="AL372">
            <v>15.900499999999999</v>
          </cell>
          <cell r="AM372">
            <v>16.132957142857148</v>
          </cell>
          <cell r="AN372">
            <v>2.2622834924001318E-2</v>
          </cell>
          <cell r="AO372">
            <v>0.17279999999999923</v>
          </cell>
          <cell r="AP372">
            <v>7.6383000000000001</v>
          </cell>
          <cell r="AQ372">
            <v>7.8110999999999997</v>
          </cell>
          <cell r="AR372">
            <v>8.9856143769829339E-3</v>
          </cell>
          <cell r="AS372">
            <v>0.37439999999999712</v>
          </cell>
          <cell r="AT372">
            <v>41.666600000000003</v>
          </cell>
          <cell r="AU372">
            <v>42.040999999999997</v>
          </cell>
          <cell r="AV372">
            <v>2.0746348766913454E-2</v>
          </cell>
          <cell r="AW372">
            <v>0.73439999999996941</v>
          </cell>
          <cell r="AX372">
            <v>35.399000000000001</v>
          </cell>
          <cell r="AY372">
            <v>36.133399999999973</v>
          </cell>
          <cell r="AZ372">
            <v>1.4745775018943195E-2</v>
          </cell>
          <cell r="BA372">
            <v>0.11314285714284925</v>
          </cell>
          <cell r="BB372">
            <v>7.6729000000000003</v>
          </cell>
          <cell r="BC372">
            <v>7.7860428571428493</v>
          </cell>
        </row>
        <row r="373">
          <cell r="B373">
            <v>325</v>
          </cell>
          <cell r="C373">
            <v>145</v>
          </cell>
          <cell r="D373">
            <v>2.0303669896614248E-2</v>
          </cell>
          <cell r="E373">
            <v>1.234513888888888</v>
          </cell>
          <cell r="F373">
            <v>60.802500000000002</v>
          </cell>
          <cell r="G373">
            <v>62.037013888888893</v>
          </cell>
          <cell r="H373">
            <v>2.8281382420086626E-2</v>
          </cell>
          <cell r="I373">
            <v>2.0923499999999944</v>
          </cell>
          <cell r="J373">
            <v>73.9833</v>
          </cell>
          <cell r="K373">
            <v>76.075649999999996</v>
          </cell>
          <cell r="L373">
            <v>3.6524653893450713E-2</v>
          </cell>
          <cell r="M373">
            <v>2.0461111111111093E-2</v>
          </cell>
          <cell r="N373">
            <v>0.56020000000000003</v>
          </cell>
          <cell r="O373">
            <v>0.58066111111111107</v>
          </cell>
          <cell r="P373">
            <v>1.9357421647826292E-2</v>
          </cell>
          <cell r="Q373">
            <v>2.1062055555555523</v>
          </cell>
          <cell r="R373">
            <v>108.8061</v>
          </cell>
          <cell r="S373">
            <v>110.91230555555555</v>
          </cell>
          <cell r="T373">
            <v>3.3705316482148889E-2</v>
          </cell>
          <cell r="U373">
            <v>1.6200527777777827</v>
          </cell>
          <cell r="V373">
            <v>48.065199999999997</v>
          </cell>
          <cell r="W373">
            <v>49.685252777777777</v>
          </cell>
          <cell r="X373">
            <v>1.4099326140359714E-2</v>
          </cell>
          <cell r="Y373">
            <v>0.64645833333333502</v>
          </cell>
          <cell r="Z373">
            <v>45.850299999999997</v>
          </cell>
          <cell r="AA373">
            <v>46.496758333333332</v>
          </cell>
          <cell r="AB373">
            <v>2.4301995105521425E-2</v>
          </cell>
          <cell r="AC373">
            <v>1.2063194444444463</v>
          </cell>
          <cell r="AD373">
            <v>49.6387</v>
          </cell>
          <cell r="AE373">
            <v>50.845019444444446</v>
          </cell>
          <cell r="AF373">
            <v>2.0113698088403041E-2</v>
          </cell>
          <cell r="AG373">
            <v>0.3328555555555554</v>
          </cell>
          <cell r="AH373">
            <v>16.5487</v>
          </cell>
          <cell r="AI373">
            <v>16.881555555555554</v>
          </cell>
          <cell r="AJ373">
            <v>1.4721010570198107E-2</v>
          </cell>
          <cell r="AK373">
            <v>0.23407142857143498</v>
          </cell>
          <cell r="AL373">
            <v>15.900499999999999</v>
          </cell>
          <cell r="AM373">
            <v>16.134571428571434</v>
          </cell>
          <cell r="AN373">
            <v>2.2779937944306879E-2</v>
          </cell>
          <cell r="AO373">
            <v>0.17399999999999924</v>
          </cell>
          <cell r="AP373">
            <v>7.6383000000000001</v>
          </cell>
          <cell r="AQ373">
            <v>7.8122999999999996</v>
          </cell>
          <cell r="AR373">
            <v>9.0480144768230932E-3</v>
          </cell>
          <cell r="AS373">
            <v>0.37699999999999706</v>
          </cell>
          <cell r="AT373">
            <v>41.666600000000003</v>
          </cell>
          <cell r="AU373">
            <v>42.043599999999998</v>
          </cell>
          <cell r="AV373">
            <v>2.0890420633350355E-2</v>
          </cell>
          <cell r="AW373">
            <v>0.73949999999996918</v>
          </cell>
          <cell r="AX373">
            <v>35.399000000000001</v>
          </cell>
          <cell r="AY373">
            <v>36.138499999999972</v>
          </cell>
          <cell r="AZ373">
            <v>1.4848176234352523E-2</v>
          </cell>
          <cell r="BA373">
            <v>0.11392857142856348</v>
          </cell>
          <cell r="BB373">
            <v>7.6729000000000003</v>
          </cell>
          <cell r="BC373">
            <v>7.7868285714285639</v>
          </cell>
        </row>
        <row r="374">
          <cell r="B374">
            <v>326</v>
          </cell>
          <cell r="C374">
            <v>146</v>
          </cell>
          <cell r="D374">
            <v>2.044369520624607E-2</v>
          </cell>
          <cell r="E374">
            <v>1.243027777777777</v>
          </cell>
          <cell r="F374">
            <v>60.802500000000002</v>
          </cell>
          <cell r="G374">
            <v>62.045527777777778</v>
          </cell>
          <cell r="H374">
            <v>2.8476426436776878E-2</v>
          </cell>
          <cell r="I374">
            <v>2.1067799999999943</v>
          </cell>
          <cell r="J374">
            <v>73.9833</v>
          </cell>
          <cell r="K374">
            <v>76.09008</v>
          </cell>
          <cell r="L374">
            <v>3.6776548058233133E-2</v>
          </cell>
          <cell r="M374">
            <v>2.0602222222222202E-2</v>
          </cell>
          <cell r="N374">
            <v>0.56020000000000003</v>
          </cell>
          <cell r="O374">
            <v>0.58080222222222222</v>
          </cell>
          <cell r="P374">
            <v>1.9490921107466475E-2</v>
          </cell>
          <cell r="Q374">
            <v>2.1207311111111076</v>
          </cell>
          <cell r="R374">
            <v>108.8061</v>
          </cell>
          <cell r="S374">
            <v>110.92683111111111</v>
          </cell>
          <cell r="T374">
            <v>3.3937766940646465E-2</v>
          </cell>
          <cell r="U374">
            <v>1.6312255555555604</v>
          </cell>
          <cell r="V374">
            <v>48.065199999999997</v>
          </cell>
          <cell r="W374">
            <v>49.696425555555557</v>
          </cell>
          <cell r="X374">
            <v>1.4196562872362196E-2</v>
          </cell>
          <cell r="Y374">
            <v>0.65091666666666825</v>
          </cell>
          <cell r="Z374">
            <v>45.850299999999997</v>
          </cell>
          <cell r="AA374">
            <v>46.501216666666664</v>
          </cell>
          <cell r="AB374">
            <v>2.4469595071766402E-2</v>
          </cell>
          <cell r="AC374">
            <v>1.2146388888888908</v>
          </cell>
          <cell r="AD374">
            <v>49.6387</v>
          </cell>
          <cell r="AE374">
            <v>50.853338888888892</v>
          </cell>
          <cell r="AF374">
            <v>2.0252413247633404E-2</v>
          </cell>
          <cell r="AG374">
            <v>0.33515111111111096</v>
          </cell>
          <cell r="AH374">
            <v>16.5487</v>
          </cell>
          <cell r="AI374">
            <v>16.88385111111111</v>
          </cell>
          <cell r="AJ374">
            <v>1.4822534781027061E-2</v>
          </cell>
          <cell r="AK374">
            <v>0.23568571428572074</v>
          </cell>
          <cell r="AL374">
            <v>15.900499999999999</v>
          </cell>
          <cell r="AM374">
            <v>16.13618571428572</v>
          </cell>
          <cell r="AN374">
            <v>2.2937040964612444E-2</v>
          </cell>
          <cell r="AO374">
            <v>0.17519999999999922</v>
          </cell>
          <cell r="AP374">
            <v>7.6383000000000001</v>
          </cell>
          <cell r="AQ374">
            <v>7.8134999999999994</v>
          </cell>
          <cell r="AR374">
            <v>9.1104145766632526E-3</v>
          </cell>
          <cell r="AS374">
            <v>0.37959999999999711</v>
          </cell>
          <cell r="AT374">
            <v>41.666600000000003</v>
          </cell>
          <cell r="AU374">
            <v>42.046199999999999</v>
          </cell>
          <cell r="AV374">
            <v>2.1034492499787252E-2</v>
          </cell>
          <cell r="AW374">
            <v>0.74459999999996895</v>
          </cell>
          <cell r="AX374">
            <v>35.399000000000001</v>
          </cell>
          <cell r="AY374">
            <v>36.143599999999971</v>
          </cell>
          <cell r="AZ374">
            <v>1.4950577449761849E-2</v>
          </cell>
          <cell r="BA374">
            <v>0.11471428571427771</v>
          </cell>
          <cell r="BB374">
            <v>7.6729000000000003</v>
          </cell>
          <cell r="BC374">
            <v>7.7876142857142776</v>
          </cell>
        </row>
        <row r="375">
          <cell r="B375">
            <v>327</v>
          </cell>
          <cell r="C375">
            <v>147</v>
          </cell>
          <cell r="D375">
            <v>2.0583720515877892E-2</v>
          </cell>
          <cell r="E375">
            <v>1.2515416666666657</v>
          </cell>
          <cell r="F375">
            <v>60.802500000000002</v>
          </cell>
          <cell r="G375">
            <v>62.05404166666667</v>
          </cell>
          <cell r="H375">
            <v>2.8671470453467129E-2</v>
          </cell>
          <cell r="I375">
            <v>2.1212099999999947</v>
          </cell>
          <cell r="J375">
            <v>73.9833</v>
          </cell>
          <cell r="K375">
            <v>76.104509999999991</v>
          </cell>
          <cell r="L375">
            <v>3.7028442223015552E-2</v>
          </cell>
          <cell r="M375">
            <v>2.0743333333333315E-2</v>
          </cell>
          <cell r="N375">
            <v>0.56020000000000003</v>
          </cell>
          <cell r="O375">
            <v>0.58094333333333337</v>
          </cell>
          <cell r="P375">
            <v>1.9624420567106653E-2</v>
          </cell>
          <cell r="Q375">
            <v>2.1352566666666632</v>
          </cell>
          <cell r="R375">
            <v>108.8061</v>
          </cell>
          <cell r="S375">
            <v>110.94135666666666</v>
          </cell>
          <cell r="T375">
            <v>3.4170217399144047E-2</v>
          </cell>
          <cell r="U375">
            <v>1.6423983333333383</v>
          </cell>
          <cell r="V375">
            <v>48.065199999999997</v>
          </cell>
          <cell r="W375">
            <v>49.707598333333337</v>
          </cell>
          <cell r="X375">
            <v>1.4293799604364674E-2</v>
          </cell>
          <cell r="Y375">
            <v>0.6553750000000016</v>
          </cell>
          <cell r="Z375">
            <v>45.850299999999997</v>
          </cell>
          <cell r="AA375">
            <v>46.505674999999997</v>
          </cell>
          <cell r="AB375">
            <v>2.4637195038011376E-2</v>
          </cell>
          <cell r="AC375">
            <v>1.2229583333333351</v>
          </cell>
          <cell r="AD375">
            <v>49.6387</v>
          </cell>
          <cell r="AE375">
            <v>50.861658333333338</v>
          </cell>
          <cell r="AF375">
            <v>2.0391128406863773E-2</v>
          </cell>
          <cell r="AG375">
            <v>0.33744666666666645</v>
          </cell>
          <cell r="AH375">
            <v>16.5487</v>
          </cell>
          <cell r="AI375">
            <v>16.886146666666665</v>
          </cell>
          <cell r="AJ375">
            <v>1.4924058991856013E-2</v>
          </cell>
          <cell r="AK375">
            <v>0.23730000000000651</v>
          </cell>
          <cell r="AL375">
            <v>15.900499999999999</v>
          </cell>
          <cell r="AM375">
            <v>16.137800000000006</v>
          </cell>
          <cell r="AN375">
            <v>2.3094143984918013E-2</v>
          </cell>
          <cell r="AO375">
            <v>0.17639999999999922</v>
          </cell>
          <cell r="AP375">
            <v>7.6383000000000001</v>
          </cell>
          <cell r="AQ375">
            <v>7.8146999999999993</v>
          </cell>
          <cell r="AR375">
            <v>9.1728146765034119E-3</v>
          </cell>
          <cell r="AS375">
            <v>0.3821999999999971</v>
          </cell>
          <cell r="AT375">
            <v>41.666600000000003</v>
          </cell>
          <cell r="AU375">
            <v>42.0488</v>
          </cell>
          <cell r="AV375">
            <v>2.1178564366224152E-2</v>
          </cell>
          <cell r="AW375">
            <v>0.74969999999996872</v>
          </cell>
          <cell r="AX375">
            <v>35.399000000000001</v>
          </cell>
          <cell r="AY375">
            <v>36.14869999999997</v>
          </cell>
          <cell r="AZ375">
            <v>1.5052978665171178E-2</v>
          </cell>
          <cell r="BA375">
            <v>0.11549999999999194</v>
          </cell>
          <cell r="BB375">
            <v>7.6729000000000003</v>
          </cell>
          <cell r="BC375">
            <v>7.7883999999999922</v>
          </cell>
        </row>
        <row r="376">
          <cell r="B376">
            <v>328</v>
          </cell>
          <cell r="C376">
            <v>148</v>
          </cell>
          <cell r="D376">
            <v>2.0723745825509718E-2</v>
          </cell>
          <cell r="E376">
            <v>1.2600555555555546</v>
          </cell>
          <cell r="F376">
            <v>60.802500000000002</v>
          </cell>
          <cell r="G376">
            <v>62.062555555555555</v>
          </cell>
          <cell r="H376">
            <v>2.8866514470157385E-2</v>
          </cell>
          <cell r="I376">
            <v>2.1356399999999947</v>
          </cell>
          <cell r="J376">
            <v>73.9833</v>
          </cell>
          <cell r="K376">
            <v>76.118939999999995</v>
          </cell>
          <cell r="L376">
            <v>3.7280336387797972E-2</v>
          </cell>
          <cell r="M376">
            <v>2.0884444444444428E-2</v>
          </cell>
          <cell r="N376">
            <v>0.56020000000000003</v>
          </cell>
          <cell r="O376">
            <v>0.58108444444444451</v>
          </cell>
          <cell r="P376">
            <v>1.9757920026746836E-2</v>
          </cell>
          <cell r="Q376">
            <v>2.1497822222222189</v>
          </cell>
          <cell r="R376">
            <v>108.8061</v>
          </cell>
          <cell r="S376">
            <v>110.95588222222221</v>
          </cell>
          <cell r="T376">
            <v>3.4402667857641622E-2</v>
          </cell>
          <cell r="U376">
            <v>1.653571111111116</v>
          </cell>
          <cell r="V376">
            <v>48.065199999999997</v>
          </cell>
          <cell r="W376">
            <v>49.71877111111111</v>
          </cell>
          <cell r="X376">
            <v>1.4391036336367156E-2</v>
          </cell>
          <cell r="Y376">
            <v>0.65983333333333494</v>
          </cell>
          <cell r="Z376">
            <v>45.850299999999997</v>
          </cell>
          <cell r="AA376">
            <v>46.510133333333329</v>
          </cell>
          <cell r="AB376">
            <v>2.480479500425635E-2</v>
          </cell>
          <cell r="AC376">
            <v>1.2312777777777797</v>
          </cell>
          <cell r="AD376">
            <v>49.6387</v>
          </cell>
          <cell r="AE376">
            <v>50.869977777777777</v>
          </cell>
          <cell r="AF376">
            <v>2.0529843566094139E-2</v>
          </cell>
          <cell r="AG376">
            <v>0.33974222222222206</v>
          </cell>
          <cell r="AH376">
            <v>16.5487</v>
          </cell>
          <cell r="AI376">
            <v>16.888442222222221</v>
          </cell>
          <cell r="AJ376">
            <v>1.5025583202684965E-2</v>
          </cell>
          <cell r="AK376">
            <v>0.23891428571429227</v>
          </cell>
          <cell r="AL376">
            <v>15.900499999999999</v>
          </cell>
          <cell r="AM376">
            <v>16.139414285714292</v>
          </cell>
          <cell r="AN376">
            <v>2.3251247005223574E-2</v>
          </cell>
          <cell r="AO376">
            <v>0.17759999999999923</v>
          </cell>
          <cell r="AP376">
            <v>7.6383000000000001</v>
          </cell>
          <cell r="AQ376">
            <v>7.8158999999999992</v>
          </cell>
          <cell r="AR376">
            <v>9.2352147763435713E-3</v>
          </cell>
          <cell r="AS376">
            <v>0.38479999999999703</v>
          </cell>
          <cell r="AT376">
            <v>41.666600000000003</v>
          </cell>
          <cell r="AU376">
            <v>42.051400000000001</v>
          </cell>
          <cell r="AV376">
            <v>2.1322636232661053E-2</v>
          </cell>
          <cell r="AW376">
            <v>0.7547999999999685</v>
          </cell>
          <cell r="AX376">
            <v>35.399000000000001</v>
          </cell>
          <cell r="AY376">
            <v>36.153799999999968</v>
          </cell>
          <cell r="AZ376">
            <v>1.5155379880580506E-2</v>
          </cell>
          <cell r="BA376">
            <v>0.11628571428570618</v>
          </cell>
          <cell r="BB376">
            <v>7.6729000000000003</v>
          </cell>
          <cell r="BC376">
            <v>7.7891857142857068</v>
          </cell>
        </row>
        <row r="377">
          <cell r="B377">
            <v>329</v>
          </cell>
          <cell r="C377">
            <v>149</v>
          </cell>
          <cell r="D377">
            <v>2.086377113514154E-2</v>
          </cell>
          <cell r="E377">
            <v>1.2685694444444435</v>
          </cell>
          <cell r="F377">
            <v>60.802500000000002</v>
          </cell>
          <cell r="G377">
            <v>62.071069444444447</v>
          </cell>
          <cell r="H377">
            <v>2.9061558486847636E-2</v>
          </cell>
          <cell r="I377">
            <v>2.1500699999999946</v>
          </cell>
          <cell r="J377">
            <v>73.9833</v>
          </cell>
          <cell r="K377">
            <v>76.133369999999999</v>
          </cell>
          <cell r="L377">
            <v>3.7532230552580391E-2</v>
          </cell>
          <cell r="M377">
            <v>2.1025555555555537E-2</v>
          </cell>
          <cell r="N377">
            <v>0.56020000000000003</v>
          </cell>
          <cell r="O377">
            <v>0.58122555555555555</v>
          </cell>
          <cell r="P377">
            <v>1.9891419486387014E-2</v>
          </cell>
          <cell r="Q377">
            <v>2.1643077777777742</v>
          </cell>
          <cell r="R377">
            <v>108.8061</v>
          </cell>
          <cell r="S377">
            <v>110.97040777777778</v>
          </cell>
          <cell r="T377">
            <v>3.4635118316139205E-2</v>
          </cell>
          <cell r="U377">
            <v>1.6647438888888941</v>
          </cell>
          <cell r="V377">
            <v>48.065199999999997</v>
          </cell>
          <cell r="W377">
            <v>49.72994388888889</v>
          </cell>
          <cell r="X377">
            <v>1.4488273068369638E-2</v>
          </cell>
          <cell r="Y377">
            <v>0.66429166666666839</v>
          </cell>
          <cell r="Z377">
            <v>45.850299999999997</v>
          </cell>
          <cell r="AA377">
            <v>46.514591666666668</v>
          </cell>
          <cell r="AB377">
            <v>2.4972394970501327E-2</v>
          </cell>
          <cell r="AC377">
            <v>1.239597222222224</v>
          </cell>
          <cell r="AD377">
            <v>49.6387</v>
          </cell>
          <cell r="AE377">
            <v>50.878297222222223</v>
          </cell>
          <cell r="AF377">
            <v>2.0668558725324502E-2</v>
          </cell>
          <cell r="AG377">
            <v>0.34203777777777761</v>
          </cell>
          <cell r="AH377">
            <v>16.5487</v>
          </cell>
          <cell r="AI377">
            <v>16.890737777777776</v>
          </cell>
          <cell r="AJ377">
            <v>1.5127107413513918E-2</v>
          </cell>
          <cell r="AK377">
            <v>0.24052857142857803</v>
          </cell>
          <cell r="AL377">
            <v>15.900499999999999</v>
          </cell>
          <cell r="AM377">
            <v>16.141028571428578</v>
          </cell>
          <cell r="AN377">
            <v>2.3408350025529139E-2</v>
          </cell>
          <cell r="AO377">
            <v>0.17879999999999921</v>
          </cell>
          <cell r="AP377">
            <v>7.6383000000000001</v>
          </cell>
          <cell r="AQ377">
            <v>7.817099999999999</v>
          </cell>
          <cell r="AR377">
            <v>9.2976148761837307E-3</v>
          </cell>
          <cell r="AS377">
            <v>0.38739999999999697</v>
          </cell>
          <cell r="AT377">
            <v>41.666600000000003</v>
          </cell>
          <cell r="AU377">
            <v>42.054000000000002</v>
          </cell>
          <cell r="AV377">
            <v>2.146670809909795E-2</v>
          </cell>
          <cell r="AW377">
            <v>0.75989999999996827</v>
          </cell>
          <cell r="AX377">
            <v>35.399000000000001</v>
          </cell>
          <cell r="AY377">
            <v>36.158899999999967</v>
          </cell>
          <cell r="AZ377">
            <v>1.5257781095989834E-2</v>
          </cell>
          <cell r="BA377">
            <v>0.1170714285714204</v>
          </cell>
          <cell r="BB377">
            <v>7.6729000000000003</v>
          </cell>
          <cell r="BC377">
            <v>7.7899714285714206</v>
          </cell>
        </row>
        <row r="378">
          <cell r="B378">
            <v>330</v>
          </cell>
          <cell r="C378">
            <v>150</v>
          </cell>
          <cell r="D378">
            <v>2.1003796444773362E-2</v>
          </cell>
          <cell r="E378">
            <v>1.2770833333333325</v>
          </cell>
          <cell r="F378">
            <v>60.802500000000002</v>
          </cell>
          <cell r="G378">
            <v>62.079583333333332</v>
          </cell>
          <cell r="H378">
            <v>2.9256602503537888E-2</v>
          </cell>
          <cell r="I378">
            <v>2.1644999999999945</v>
          </cell>
          <cell r="J378">
            <v>73.9833</v>
          </cell>
          <cell r="K378">
            <v>76.147799999999989</v>
          </cell>
          <cell r="L378">
            <v>3.778412471736281E-2</v>
          </cell>
          <cell r="M378">
            <v>2.116666666666665E-2</v>
          </cell>
          <cell r="N378">
            <v>0.56020000000000003</v>
          </cell>
          <cell r="O378">
            <v>0.5813666666666667</v>
          </cell>
          <cell r="P378">
            <v>2.00249189460272E-2</v>
          </cell>
          <cell r="Q378">
            <v>2.1788333333333298</v>
          </cell>
          <cell r="R378">
            <v>108.8061</v>
          </cell>
          <cell r="S378">
            <v>110.98493333333333</v>
          </cell>
          <cell r="T378">
            <v>3.486756877463678E-2</v>
          </cell>
          <cell r="U378">
            <v>1.6759166666666718</v>
          </cell>
          <cell r="V378">
            <v>48.065199999999997</v>
          </cell>
          <cell r="W378">
            <v>49.74111666666667</v>
          </cell>
          <cell r="X378">
            <v>1.4585509800372116E-2</v>
          </cell>
          <cell r="Y378">
            <v>0.66875000000000162</v>
          </cell>
          <cell r="Z378">
            <v>45.850299999999997</v>
          </cell>
          <cell r="AA378">
            <v>46.51905</v>
          </cell>
          <cell r="AB378">
            <v>2.5139994936746301E-2</v>
          </cell>
          <cell r="AC378">
            <v>1.2479166666666686</v>
          </cell>
          <cell r="AD378">
            <v>49.6387</v>
          </cell>
          <cell r="AE378">
            <v>50.886616666666669</v>
          </cell>
          <cell r="AF378">
            <v>2.0807273884554871E-2</v>
          </cell>
          <cell r="AG378">
            <v>0.34433333333333316</v>
          </cell>
          <cell r="AH378">
            <v>16.5487</v>
          </cell>
          <cell r="AI378">
            <v>16.893033333333335</v>
          </cell>
          <cell r="AJ378">
            <v>1.522863162434287E-2</v>
          </cell>
          <cell r="AK378">
            <v>0.24214285714286379</v>
          </cell>
          <cell r="AL378">
            <v>15.900499999999999</v>
          </cell>
          <cell r="AM378">
            <v>16.142642857142864</v>
          </cell>
          <cell r="AN378">
            <v>2.3565453045834704E-2</v>
          </cell>
          <cell r="AO378">
            <v>0.17999999999999922</v>
          </cell>
          <cell r="AP378">
            <v>7.6383000000000001</v>
          </cell>
          <cell r="AQ378">
            <v>7.8182999999999989</v>
          </cell>
          <cell r="AR378">
            <v>9.36001497602389E-3</v>
          </cell>
          <cell r="AS378">
            <v>0.38999999999999702</v>
          </cell>
          <cell r="AT378">
            <v>41.666600000000003</v>
          </cell>
          <cell r="AU378">
            <v>42.056600000000003</v>
          </cell>
          <cell r="AV378">
            <v>2.161077996553485E-2</v>
          </cell>
          <cell r="AW378">
            <v>0.76499999999996804</v>
          </cell>
          <cell r="AX378">
            <v>35.399000000000001</v>
          </cell>
          <cell r="AY378">
            <v>36.163999999999966</v>
          </cell>
          <cell r="AZ378">
            <v>1.536018231139916E-2</v>
          </cell>
          <cell r="BA378">
            <v>0.11785714285713464</v>
          </cell>
          <cell r="BB378">
            <v>7.6729000000000003</v>
          </cell>
          <cell r="BC378">
            <v>7.7907571428571352</v>
          </cell>
        </row>
        <row r="379">
          <cell r="B379">
            <v>331</v>
          </cell>
          <cell r="C379">
            <v>151</v>
          </cell>
          <cell r="D379">
            <v>2.1143821754405181E-2</v>
          </cell>
          <cell r="E379">
            <v>1.2855972222222212</v>
          </cell>
          <cell r="F379">
            <v>60.802500000000002</v>
          </cell>
          <cell r="G379">
            <v>62.088097222222224</v>
          </cell>
          <cell r="H379">
            <v>2.945164652022814E-2</v>
          </cell>
          <cell r="I379">
            <v>2.1789299999999945</v>
          </cell>
          <cell r="J379">
            <v>73.9833</v>
          </cell>
          <cell r="K379">
            <v>76.162229999999994</v>
          </cell>
          <cell r="L379">
            <v>3.803601888214523E-2</v>
          </cell>
          <cell r="M379">
            <v>2.1307777777777759E-2</v>
          </cell>
          <cell r="N379">
            <v>0.56020000000000003</v>
          </cell>
          <cell r="O379">
            <v>0.58150777777777773</v>
          </cell>
          <cell r="P379">
            <v>2.0158418405667379E-2</v>
          </cell>
          <cell r="Q379">
            <v>2.1933588888888855</v>
          </cell>
          <cell r="R379">
            <v>108.8061</v>
          </cell>
          <cell r="S379">
            <v>110.99945888888888</v>
          </cell>
          <cell r="T379">
            <v>3.5100019233134362E-2</v>
          </cell>
          <cell r="U379">
            <v>1.6870894444444495</v>
          </cell>
          <cell r="V379">
            <v>48.065199999999997</v>
          </cell>
          <cell r="W379">
            <v>49.752289444444443</v>
          </cell>
          <cell r="X379">
            <v>1.4682746532374598E-2</v>
          </cell>
          <cell r="Y379">
            <v>0.67320833333333496</v>
          </cell>
          <cell r="Z379">
            <v>45.850299999999997</v>
          </cell>
          <cell r="AA379">
            <v>46.523508333333332</v>
          </cell>
          <cell r="AB379">
            <v>2.5307594902991278E-2</v>
          </cell>
          <cell r="AC379">
            <v>1.2562361111111131</v>
          </cell>
          <cell r="AD379">
            <v>49.6387</v>
          </cell>
          <cell r="AE379">
            <v>50.894936111111114</v>
          </cell>
          <cell r="AF379">
            <v>2.0945989043785234E-2</v>
          </cell>
          <cell r="AG379">
            <v>0.34662888888888871</v>
          </cell>
          <cell r="AH379">
            <v>16.5487</v>
          </cell>
          <cell r="AI379">
            <v>16.895328888888891</v>
          </cell>
          <cell r="AJ379">
            <v>1.5330155835171822E-2</v>
          </cell>
          <cell r="AK379">
            <v>0.24375714285714953</v>
          </cell>
          <cell r="AL379">
            <v>15.900499999999999</v>
          </cell>
          <cell r="AM379">
            <v>16.14425714285715</v>
          </cell>
          <cell r="AN379">
            <v>2.3722556066140269E-2</v>
          </cell>
          <cell r="AO379">
            <v>0.1811999999999992</v>
          </cell>
          <cell r="AP379">
            <v>7.6383000000000001</v>
          </cell>
          <cell r="AQ379">
            <v>7.8194999999999997</v>
          </cell>
          <cell r="AR379">
            <v>9.4224150758640476E-3</v>
          </cell>
          <cell r="AS379">
            <v>0.39259999999999706</v>
          </cell>
          <cell r="AT379">
            <v>41.666600000000003</v>
          </cell>
          <cell r="AU379">
            <v>42.059199999999997</v>
          </cell>
          <cell r="AV379">
            <v>2.1754851831971751E-2</v>
          </cell>
          <cell r="AW379">
            <v>0.77009999999996792</v>
          </cell>
          <cell r="AX379">
            <v>35.399000000000001</v>
          </cell>
          <cell r="AY379">
            <v>36.169099999999972</v>
          </cell>
          <cell r="AZ379">
            <v>1.5462583526808489E-2</v>
          </cell>
          <cell r="BA379">
            <v>0.11864285714284886</v>
          </cell>
          <cell r="BB379">
            <v>7.6729000000000003</v>
          </cell>
          <cell r="BC379">
            <v>7.7915428571428489</v>
          </cell>
        </row>
        <row r="380">
          <cell r="B380">
            <v>332</v>
          </cell>
          <cell r="C380">
            <v>152</v>
          </cell>
          <cell r="D380">
            <v>2.1283847064037006E-2</v>
          </cell>
          <cell r="E380">
            <v>1.2941111111111101</v>
          </cell>
          <cell r="F380">
            <v>60.802500000000002</v>
          </cell>
          <cell r="G380">
            <v>62.096611111111109</v>
          </cell>
          <cell r="H380">
            <v>2.9646690536918395E-2</v>
          </cell>
          <cell r="I380">
            <v>2.1933599999999944</v>
          </cell>
          <cell r="J380">
            <v>73.9833</v>
          </cell>
          <cell r="K380">
            <v>76.176659999999998</v>
          </cell>
          <cell r="L380">
            <v>3.8287913046927649E-2</v>
          </cell>
          <cell r="M380">
            <v>2.1448888888888872E-2</v>
          </cell>
          <cell r="N380">
            <v>0.56020000000000003</v>
          </cell>
          <cell r="O380">
            <v>0.58164888888888888</v>
          </cell>
          <cell r="P380">
            <v>2.0291917865307561E-2</v>
          </cell>
          <cell r="Q380">
            <v>2.2078844444444408</v>
          </cell>
          <cell r="R380">
            <v>108.8061</v>
          </cell>
          <cell r="S380">
            <v>111.01398444444445</v>
          </cell>
          <cell r="T380">
            <v>3.5332469691631938E-2</v>
          </cell>
          <cell r="U380">
            <v>1.6982622222222274</v>
          </cell>
          <cell r="V380">
            <v>48.065199999999997</v>
          </cell>
          <cell r="W380">
            <v>49.763462222222223</v>
          </cell>
          <cell r="X380">
            <v>1.4779983264377079E-2</v>
          </cell>
          <cell r="Y380">
            <v>0.6776666666666683</v>
          </cell>
          <cell r="Z380">
            <v>45.850299999999997</v>
          </cell>
          <cell r="AA380">
            <v>46.527966666666664</v>
          </cell>
          <cell r="AB380">
            <v>2.5475194869236252E-2</v>
          </cell>
          <cell r="AC380">
            <v>1.2645555555555574</v>
          </cell>
          <cell r="AD380">
            <v>49.6387</v>
          </cell>
          <cell r="AE380">
            <v>50.90325555555556</v>
          </cell>
          <cell r="AF380">
            <v>2.10847042030156E-2</v>
          </cell>
          <cell r="AG380">
            <v>0.34892444444444426</v>
          </cell>
          <cell r="AH380">
            <v>16.5487</v>
          </cell>
          <cell r="AI380">
            <v>16.897624444444446</v>
          </cell>
          <cell r="AJ380">
            <v>1.5431680046000776E-2</v>
          </cell>
          <cell r="AK380">
            <v>0.24537142857143529</v>
          </cell>
          <cell r="AL380">
            <v>15.900499999999999</v>
          </cell>
          <cell r="AM380">
            <v>16.145871428571436</v>
          </cell>
          <cell r="AN380">
            <v>2.3879659086445831E-2</v>
          </cell>
          <cell r="AO380">
            <v>0.1823999999999992</v>
          </cell>
          <cell r="AP380">
            <v>7.6383000000000001</v>
          </cell>
          <cell r="AQ380">
            <v>7.8206999999999995</v>
          </cell>
          <cell r="AR380">
            <v>9.484815175704207E-3</v>
          </cell>
          <cell r="AS380">
            <v>0.395199999999997</v>
          </cell>
          <cell r="AT380">
            <v>41.666600000000003</v>
          </cell>
          <cell r="AU380">
            <v>42.061799999999998</v>
          </cell>
          <cell r="AV380">
            <v>2.1898923698408648E-2</v>
          </cell>
          <cell r="AW380">
            <v>0.77519999999996769</v>
          </cell>
          <cell r="AX380">
            <v>35.399000000000001</v>
          </cell>
          <cell r="AY380">
            <v>36.174199999999971</v>
          </cell>
          <cell r="AZ380">
            <v>1.5564984742217817E-2</v>
          </cell>
          <cell r="BA380">
            <v>0.1194285714285631</v>
          </cell>
          <cell r="BB380">
            <v>7.6729000000000003</v>
          </cell>
          <cell r="BC380">
            <v>7.7923285714285635</v>
          </cell>
        </row>
        <row r="381">
          <cell r="B381">
            <v>333</v>
          </cell>
          <cell r="C381">
            <v>153</v>
          </cell>
          <cell r="D381">
            <v>2.1423872373668829E-2</v>
          </cell>
          <cell r="E381">
            <v>1.302624999999999</v>
          </cell>
          <cell r="F381">
            <v>60.802500000000002</v>
          </cell>
          <cell r="G381">
            <v>62.105125000000001</v>
          </cell>
          <cell r="H381">
            <v>2.9841734553608647E-2</v>
          </cell>
          <cell r="I381">
            <v>2.2077899999999944</v>
          </cell>
          <cell r="J381">
            <v>73.9833</v>
          </cell>
          <cell r="K381">
            <v>76.191089999999988</v>
          </cell>
          <cell r="L381">
            <v>3.8539807211710062E-2</v>
          </cell>
          <cell r="M381">
            <v>2.1589999999999981E-2</v>
          </cell>
          <cell r="N381">
            <v>0.56020000000000003</v>
          </cell>
          <cell r="O381">
            <v>0.58179000000000003</v>
          </cell>
          <cell r="P381">
            <v>2.042541732494774E-2</v>
          </cell>
          <cell r="Q381">
            <v>2.2224099999999964</v>
          </cell>
          <cell r="R381">
            <v>108.8061</v>
          </cell>
          <cell r="S381">
            <v>111.02851</v>
          </cell>
          <cell r="T381">
            <v>3.5564920150129513E-2</v>
          </cell>
          <cell r="U381">
            <v>1.7094350000000051</v>
          </cell>
          <cell r="V381">
            <v>48.065199999999997</v>
          </cell>
          <cell r="W381">
            <v>49.774635000000004</v>
          </cell>
          <cell r="X381">
            <v>1.4877219996379559E-2</v>
          </cell>
          <cell r="Y381">
            <v>0.68212500000000176</v>
          </cell>
          <cell r="Z381">
            <v>45.850299999999997</v>
          </cell>
          <cell r="AA381">
            <v>46.532424999999996</v>
          </cell>
          <cell r="AB381">
            <v>2.5642794835481226E-2</v>
          </cell>
          <cell r="AC381">
            <v>1.272875000000002</v>
          </cell>
          <cell r="AD381">
            <v>49.6387</v>
          </cell>
          <cell r="AE381">
            <v>50.911574999999999</v>
          </cell>
          <cell r="AF381">
            <v>2.1223419362245966E-2</v>
          </cell>
          <cell r="AG381">
            <v>0.35121999999999987</v>
          </cell>
          <cell r="AH381">
            <v>16.5487</v>
          </cell>
          <cell r="AI381">
            <v>16.899920000000002</v>
          </cell>
          <cell r="AJ381">
            <v>1.5533204256829728E-2</v>
          </cell>
          <cell r="AK381">
            <v>0.24698571428572105</v>
          </cell>
          <cell r="AL381">
            <v>15.900499999999999</v>
          </cell>
          <cell r="AM381">
            <v>16.147485714285722</v>
          </cell>
          <cell r="AN381">
            <v>2.4036762106751399E-2</v>
          </cell>
          <cell r="AO381">
            <v>0.18359999999999918</v>
          </cell>
          <cell r="AP381">
            <v>7.6383000000000001</v>
          </cell>
          <cell r="AQ381">
            <v>7.8218999999999994</v>
          </cell>
          <cell r="AR381">
            <v>9.5472152755443681E-3</v>
          </cell>
          <cell r="AS381">
            <v>0.39779999999999693</v>
          </cell>
          <cell r="AT381">
            <v>41.666600000000003</v>
          </cell>
          <cell r="AU381">
            <v>42.064399999999999</v>
          </cell>
          <cell r="AV381">
            <v>2.2042995564845545E-2</v>
          </cell>
          <cell r="AW381">
            <v>0.78029999999996746</v>
          </cell>
          <cell r="AX381">
            <v>35.399000000000001</v>
          </cell>
          <cell r="AY381">
            <v>36.179299999999969</v>
          </cell>
          <cell r="AZ381">
            <v>1.5667385957627143E-2</v>
          </cell>
          <cell r="BA381">
            <v>0.12021428571427732</v>
          </cell>
          <cell r="BB381">
            <v>7.6729000000000003</v>
          </cell>
          <cell r="BC381">
            <v>7.7931142857142772</v>
          </cell>
        </row>
        <row r="382">
          <cell r="B382">
            <v>334</v>
          </cell>
          <cell r="C382">
            <v>154</v>
          </cell>
          <cell r="D382">
            <v>2.1563897683300651E-2</v>
          </cell>
          <cell r="E382">
            <v>1.311138888888888</v>
          </cell>
          <cell r="F382">
            <v>60.802500000000002</v>
          </cell>
          <cell r="G382">
            <v>62.113638888888893</v>
          </cell>
          <cell r="H382">
            <v>3.0036778570298898E-2</v>
          </cell>
          <cell r="I382">
            <v>2.2222199999999943</v>
          </cell>
          <cell r="J382">
            <v>73.9833</v>
          </cell>
          <cell r="K382">
            <v>76.205519999999993</v>
          </cell>
          <cell r="L382">
            <v>3.8791701376492488E-2</v>
          </cell>
          <cell r="M382">
            <v>2.173111111111109E-2</v>
          </cell>
          <cell r="N382">
            <v>0.56020000000000003</v>
          </cell>
          <cell r="O382">
            <v>0.58193111111111118</v>
          </cell>
          <cell r="P382">
            <v>2.0558916784587926E-2</v>
          </cell>
          <cell r="Q382">
            <v>2.2369355555555521</v>
          </cell>
          <cell r="R382">
            <v>108.8061</v>
          </cell>
          <cell r="S382">
            <v>111.04303555555555</v>
          </cell>
          <cell r="T382">
            <v>3.5797370608627095E-2</v>
          </cell>
          <cell r="U382">
            <v>1.7206077777777828</v>
          </cell>
          <cell r="V382">
            <v>48.065199999999997</v>
          </cell>
          <cell r="W382">
            <v>49.785807777777777</v>
          </cell>
          <cell r="X382">
            <v>1.4974456728382041E-2</v>
          </cell>
          <cell r="Y382">
            <v>0.68658333333333499</v>
          </cell>
          <cell r="Z382">
            <v>45.850299999999997</v>
          </cell>
          <cell r="AA382">
            <v>46.536883333333336</v>
          </cell>
          <cell r="AB382">
            <v>2.5810394801726203E-2</v>
          </cell>
          <cell r="AC382">
            <v>1.2811944444444463</v>
          </cell>
          <cell r="AD382">
            <v>49.6387</v>
          </cell>
          <cell r="AE382">
            <v>50.919894444444445</v>
          </cell>
          <cell r="AF382">
            <v>2.1362134521476332E-2</v>
          </cell>
          <cell r="AG382">
            <v>0.35351555555555536</v>
          </cell>
          <cell r="AH382">
            <v>16.5487</v>
          </cell>
          <cell r="AI382">
            <v>16.902215555555557</v>
          </cell>
          <cell r="AJ382">
            <v>1.563472846765868E-2</v>
          </cell>
          <cell r="AK382">
            <v>0.24860000000000682</v>
          </cell>
          <cell r="AL382">
            <v>15.900499999999999</v>
          </cell>
          <cell r="AM382">
            <v>16.149100000000004</v>
          </cell>
          <cell r="AN382">
            <v>2.4193865127056961E-2</v>
          </cell>
          <cell r="AO382">
            <v>0.18479999999999919</v>
          </cell>
          <cell r="AP382">
            <v>7.6383000000000001</v>
          </cell>
          <cell r="AQ382">
            <v>7.8230999999999993</v>
          </cell>
          <cell r="AR382">
            <v>9.6096153753845275E-3</v>
          </cell>
          <cell r="AS382">
            <v>0.40039999999999693</v>
          </cell>
          <cell r="AT382">
            <v>41.666600000000003</v>
          </cell>
          <cell r="AU382">
            <v>42.067</v>
          </cell>
          <cell r="AV382">
            <v>2.2187067431282442E-2</v>
          </cell>
          <cell r="AW382">
            <v>0.78539999999996724</v>
          </cell>
          <cell r="AX382">
            <v>35.399000000000001</v>
          </cell>
          <cell r="AY382">
            <v>36.184399999999968</v>
          </cell>
          <cell r="AZ382">
            <v>1.5769787173036471E-2</v>
          </cell>
          <cell r="BA382">
            <v>0.12099999999999156</v>
          </cell>
          <cell r="BB382">
            <v>7.6729000000000003</v>
          </cell>
          <cell r="BC382">
            <v>7.7938999999999918</v>
          </cell>
        </row>
        <row r="383">
          <cell r="B383">
            <v>335</v>
          </cell>
          <cell r="C383">
            <v>155</v>
          </cell>
          <cell r="D383">
            <v>2.1703922992932473E-2</v>
          </cell>
          <cell r="E383">
            <v>1.3196527777777769</v>
          </cell>
          <cell r="F383">
            <v>60.802500000000002</v>
          </cell>
          <cell r="G383">
            <v>62.122152777777778</v>
          </cell>
          <cell r="H383">
            <v>3.023182258698915E-2</v>
          </cell>
          <cell r="I383">
            <v>2.2366499999999943</v>
          </cell>
          <cell r="J383">
            <v>73.9833</v>
          </cell>
          <cell r="K383">
            <v>76.219949999999997</v>
          </cell>
          <cell r="L383">
            <v>3.9043595541274907E-2</v>
          </cell>
          <cell r="M383">
            <v>2.1872222222222203E-2</v>
          </cell>
          <cell r="N383">
            <v>0.56020000000000003</v>
          </cell>
          <cell r="O383">
            <v>0.58207222222222221</v>
          </cell>
          <cell r="P383">
            <v>2.0692416244228105E-2</v>
          </cell>
          <cell r="Q383">
            <v>2.2514611111111074</v>
          </cell>
          <cell r="R383">
            <v>108.8061</v>
          </cell>
          <cell r="S383">
            <v>111.05756111111111</v>
          </cell>
          <cell r="T383">
            <v>3.6029821067124677E-2</v>
          </cell>
          <cell r="U383">
            <v>1.7317805555555608</v>
          </cell>
          <cell r="V383">
            <v>48.065199999999997</v>
          </cell>
          <cell r="W383">
            <v>49.796980555555557</v>
          </cell>
          <cell r="X383">
            <v>1.5071693460384521E-2</v>
          </cell>
          <cell r="Y383">
            <v>0.69104166666666833</v>
          </cell>
          <cell r="Z383">
            <v>45.850299999999997</v>
          </cell>
          <cell r="AA383">
            <v>46.541341666666668</v>
          </cell>
          <cell r="AB383">
            <v>2.5977994767971177E-2</v>
          </cell>
          <cell r="AC383">
            <v>1.2895138888888908</v>
          </cell>
          <cell r="AD383">
            <v>49.6387</v>
          </cell>
          <cell r="AE383">
            <v>50.928213888888891</v>
          </cell>
          <cell r="AF383">
            <v>2.1500849680706698E-2</v>
          </cell>
          <cell r="AG383">
            <v>0.35581111111111091</v>
          </cell>
          <cell r="AH383">
            <v>16.5487</v>
          </cell>
          <cell r="AI383">
            <v>16.904511111111113</v>
          </cell>
          <cell r="AJ383">
            <v>1.5736252678487633E-2</v>
          </cell>
          <cell r="AK383">
            <v>0.25021428571429255</v>
          </cell>
          <cell r="AL383">
            <v>15.900499999999999</v>
          </cell>
          <cell r="AM383">
            <v>16.15071428571429</v>
          </cell>
          <cell r="AN383">
            <v>2.4350968147362529E-2</v>
          </cell>
          <cell r="AO383">
            <v>0.18599999999999919</v>
          </cell>
          <cell r="AP383">
            <v>7.6383000000000001</v>
          </cell>
          <cell r="AQ383">
            <v>7.8242999999999991</v>
          </cell>
          <cell r="AR383">
            <v>9.6720154752246868E-3</v>
          </cell>
          <cell r="AS383">
            <v>0.40299999999999697</v>
          </cell>
          <cell r="AT383">
            <v>41.666600000000003</v>
          </cell>
          <cell r="AU383">
            <v>42.069600000000001</v>
          </cell>
          <cell r="AV383">
            <v>2.2331139297719346E-2</v>
          </cell>
          <cell r="AW383">
            <v>0.79049999999996701</v>
          </cell>
          <cell r="AX383">
            <v>35.399000000000001</v>
          </cell>
          <cell r="AY383">
            <v>36.189499999999967</v>
          </cell>
          <cell r="AZ383">
            <v>1.5872188388445802E-2</v>
          </cell>
          <cell r="BA383">
            <v>0.1217857142857058</v>
          </cell>
          <cell r="BB383">
            <v>7.6729000000000003</v>
          </cell>
          <cell r="BC383">
            <v>7.7946857142857064</v>
          </cell>
        </row>
        <row r="384">
          <cell r="B384">
            <v>336</v>
          </cell>
          <cell r="C384">
            <v>156</v>
          </cell>
          <cell r="D384">
            <v>2.1843948302564295E-2</v>
          </cell>
          <cell r="E384">
            <v>1.3281666666666656</v>
          </cell>
          <cell r="F384">
            <v>60.802500000000002</v>
          </cell>
          <cell r="G384">
            <v>62.13066666666667</v>
          </cell>
          <cell r="H384">
            <v>3.0426866603679405E-2</v>
          </cell>
          <cell r="I384">
            <v>2.2510799999999942</v>
          </cell>
          <cell r="J384">
            <v>73.9833</v>
          </cell>
          <cell r="K384">
            <v>76.234379999999987</v>
          </cell>
          <cell r="L384">
            <v>3.929548970605732E-2</v>
          </cell>
          <cell r="M384">
            <v>2.2013333333333315E-2</v>
          </cell>
          <cell r="N384">
            <v>0.56020000000000003</v>
          </cell>
          <cell r="O384">
            <v>0.58221333333333336</v>
          </cell>
          <cell r="P384">
            <v>2.0825915703868287E-2</v>
          </cell>
          <cell r="Q384">
            <v>2.265986666666663</v>
          </cell>
          <cell r="R384">
            <v>108.8061</v>
          </cell>
          <cell r="S384">
            <v>111.07208666666666</v>
          </cell>
          <cell r="T384">
            <v>3.6262271525622253E-2</v>
          </cell>
          <cell r="U384">
            <v>1.7429533333333387</v>
          </cell>
          <cell r="V384">
            <v>48.065199999999997</v>
          </cell>
          <cell r="W384">
            <v>49.808153333333337</v>
          </cell>
          <cell r="X384">
            <v>1.5168930192387001E-2</v>
          </cell>
          <cell r="Y384">
            <v>0.69550000000000167</v>
          </cell>
          <cell r="Z384">
            <v>45.850299999999997</v>
          </cell>
          <cell r="AA384">
            <v>46.5458</v>
          </cell>
          <cell r="AB384">
            <v>2.6145594734216151E-2</v>
          </cell>
          <cell r="AC384">
            <v>1.2978333333333354</v>
          </cell>
          <cell r="AD384">
            <v>49.6387</v>
          </cell>
          <cell r="AE384">
            <v>50.936533333333337</v>
          </cell>
          <cell r="AF384">
            <v>2.1639564839937064E-2</v>
          </cell>
          <cell r="AG384">
            <v>0.35810666666666646</v>
          </cell>
          <cell r="AH384">
            <v>16.5487</v>
          </cell>
          <cell r="AI384">
            <v>16.906806666666668</v>
          </cell>
          <cell r="AJ384">
            <v>1.5837776889316584E-2</v>
          </cell>
          <cell r="AK384">
            <v>0.25182857142857834</v>
          </cell>
          <cell r="AL384">
            <v>15.900499999999999</v>
          </cell>
          <cell r="AM384">
            <v>16.152328571428576</v>
          </cell>
          <cell r="AN384">
            <v>2.4508071167668094E-2</v>
          </cell>
          <cell r="AO384">
            <v>0.18719999999999917</v>
          </cell>
          <cell r="AP384">
            <v>7.6383000000000001</v>
          </cell>
          <cell r="AQ384">
            <v>7.825499999999999</v>
          </cell>
          <cell r="AR384">
            <v>9.7344155750648444E-3</v>
          </cell>
          <cell r="AS384">
            <v>0.40559999999999691</v>
          </cell>
          <cell r="AT384">
            <v>41.666600000000003</v>
          </cell>
          <cell r="AU384">
            <v>42.072200000000002</v>
          </cell>
          <cell r="AV384">
            <v>2.2475211164156243E-2</v>
          </cell>
          <cell r="AW384">
            <v>0.79559999999996678</v>
          </cell>
          <cell r="AX384">
            <v>35.399000000000001</v>
          </cell>
          <cell r="AY384">
            <v>36.194599999999966</v>
          </cell>
          <cell r="AZ384">
            <v>1.5974589603855126E-2</v>
          </cell>
          <cell r="BA384">
            <v>0.12257142857142002</v>
          </cell>
          <cell r="BB384">
            <v>7.6729000000000003</v>
          </cell>
          <cell r="BC384">
            <v>7.7954714285714202</v>
          </cell>
        </row>
        <row r="385">
          <cell r="B385">
            <v>337</v>
          </cell>
          <cell r="C385">
            <v>157</v>
          </cell>
          <cell r="D385">
            <v>2.1983973612196117E-2</v>
          </cell>
          <cell r="E385">
            <v>1.3366805555555545</v>
          </cell>
          <cell r="F385">
            <v>60.802500000000002</v>
          </cell>
          <cell r="G385">
            <v>62.139180555555555</v>
          </cell>
          <cell r="H385">
            <v>3.0621910620369657E-2</v>
          </cell>
          <cell r="I385">
            <v>2.2655099999999941</v>
          </cell>
          <cell r="J385">
            <v>73.9833</v>
          </cell>
          <cell r="K385">
            <v>76.248809999999992</v>
          </cell>
          <cell r="L385">
            <v>3.9547383870839739E-2</v>
          </cell>
          <cell r="M385">
            <v>2.2154444444444425E-2</v>
          </cell>
          <cell r="N385">
            <v>0.56020000000000003</v>
          </cell>
          <cell r="O385">
            <v>0.58235444444444451</v>
          </cell>
          <cell r="P385">
            <v>2.0959415163508466E-2</v>
          </cell>
          <cell r="Q385">
            <v>2.2805122222222187</v>
          </cell>
          <cell r="R385">
            <v>108.8061</v>
          </cell>
          <cell r="S385">
            <v>111.08661222222221</v>
          </cell>
          <cell r="T385">
            <v>3.6494721984119828E-2</v>
          </cell>
          <cell r="U385">
            <v>1.7541261111111166</v>
          </cell>
          <cell r="V385">
            <v>48.065199999999997</v>
          </cell>
          <cell r="W385">
            <v>49.819326111111117</v>
          </cell>
          <cell r="X385">
            <v>1.5266166924389483E-2</v>
          </cell>
          <cell r="Y385">
            <v>0.69995833333333513</v>
          </cell>
          <cell r="Z385">
            <v>45.850299999999997</v>
          </cell>
          <cell r="AA385">
            <v>46.550258333333332</v>
          </cell>
          <cell r="AB385">
            <v>2.6313194700461128E-2</v>
          </cell>
          <cell r="AC385">
            <v>1.3061527777777797</v>
          </cell>
          <cell r="AD385">
            <v>49.6387</v>
          </cell>
          <cell r="AE385">
            <v>50.944852777777783</v>
          </cell>
          <cell r="AF385">
            <v>2.177827999916743E-2</v>
          </cell>
          <cell r="AG385">
            <v>0.36040222222222207</v>
          </cell>
          <cell r="AH385">
            <v>16.5487</v>
          </cell>
          <cell r="AI385">
            <v>16.909102222222224</v>
          </cell>
          <cell r="AJ385">
            <v>1.5939301100145537E-2</v>
          </cell>
          <cell r="AK385">
            <v>0.25344285714286408</v>
          </cell>
          <cell r="AL385">
            <v>15.900499999999999</v>
          </cell>
          <cell r="AM385">
            <v>16.153942857142862</v>
          </cell>
          <cell r="AN385">
            <v>2.4665174187973656E-2</v>
          </cell>
          <cell r="AO385">
            <v>0.18839999999999918</v>
          </cell>
          <cell r="AP385">
            <v>7.6383000000000001</v>
          </cell>
          <cell r="AQ385">
            <v>7.8266999999999989</v>
          </cell>
          <cell r="AR385">
            <v>9.7968156749050038E-3</v>
          </cell>
          <cell r="AS385">
            <v>0.40819999999999684</v>
          </cell>
          <cell r="AT385">
            <v>41.666600000000003</v>
          </cell>
          <cell r="AU385">
            <v>42.074799999999996</v>
          </cell>
          <cell r="AV385">
            <v>2.261928303059314E-2</v>
          </cell>
          <cell r="AW385">
            <v>0.80069999999996655</v>
          </cell>
          <cell r="AX385">
            <v>35.399000000000001</v>
          </cell>
          <cell r="AY385">
            <v>36.199699999999964</v>
          </cell>
          <cell r="AZ385">
            <v>1.6076990819264454E-2</v>
          </cell>
          <cell r="BA385">
            <v>0.12335714285713426</v>
          </cell>
          <cell r="BB385">
            <v>7.6729000000000003</v>
          </cell>
          <cell r="BC385">
            <v>7.7962571428571348</v>
          </cell>
        </row>
        <row r="386">
          <cell r="B386">
            <v>338</v>
          </cell>
          <cell r="C386">
            <v>158</v>
          </cell>
          <cell r="D386">
            <v>2.2123998921827939E-2</v>
          </cell>
          <cell r="E386">
            <v>1.3451944444444435</v>
          </cell>
          <cell r="F386">
            <v>60.802500000000002</v>
          </cell>
          <cell r="G386">
            <v>62.147694444444447</v>
          </cell>
          <cell r="H386">
            <v>3.0816954637059909E-2</v>
          </cell>
          <cell r="I386">
            <v>2.2799399999999941</v>
          </cell>
          <cell r="J386">
            <v>73.9833</v>
          </cell>
          <cell r="K386">
            <v>76.263239999999996</v>
          </cell>
          <cell r="L386">
            <v>3.9799278035622158E-2</v>
          </cell>
          <cell r="M386">
            <v>2.2295555555555537E-2</v>
          </cell>
          <cell r="N386">
            <v>0.56020000000000003</v>
          </cell>
          <cell r="O386">
            <v>0.58249555555555554</v>
          </cell>
          <cell r="P386">
            <v>2.1092914623148648E-2</v>
          </cell>
          <cell r="Q386">
            <v>2.295037777777774</v>
          </cell>
          <cell r="R386">
            <v>108.8061</v>
          </cell>
          <cell r="S386">
            <v>111.10113777777778</v>
          </cell>
          <cell r="T386">
            <v>3.672717244261741E-2</v>
          </cell>
          <cell r="U386">
            <v>1.7652988888888943</v>
          </cell>
          <cell r="V386">
            <v>48.065199999999997</v>
          </cell>
          <cell r="W386">
            <v>49.83049888888889</v>
          </cell>
          <cell r="X386">
            <v>1.5363403656391963E-2</v>
          </cell>
          <cell r="Y386">
            <v>0.70441666666666847</v>
          </cell>
          <cell r="Z386">
            <v>45.850299999999997</v>
          </cell>
          <cell r="AA386">
            <v>46.554716666666664</v>
          </cell>
          <cell r="AB386">
            <v>2.6480794666706102E-2</v>
          </cell>
          <cell r="AC386">
            <v>1.3144722222222243</v>
          </cell>
          <cell r="AD386">
            <v>49.6387</v>
          </cell>
          <cell r="AE386">
            <v>50.953172222222221</v>
          </cell>
          <cell r="AF386">
            <v>2.1916995158397796E-2</v>
          </cell>
          <cell r="AG386">
            <v>0.36269777777777756</v>
          </cell>
          <cell r="AH386">
            <v>16.5487</v>
          </cell>
          <cell r="AI386">
            <v>16.911397777777779</v>
          </cell>
          <cell r="AJ386">
            <v>1.6040825310974487E-2</v>
          </cell>
          <cell r="AK386">
            <v>0.25505714285714987</v>
          </cell>
          <cell r="AL386">
            <v>15.900499999999999</v>
          </cell>
          <cell r="AM386">
            <v>16.155557142857148</v>
          </cell>
          <cell r="AN386">
            <v>2.4822277208279224E-2</v>
          </cell>
          <cell r="AO386">
            <v>0.18959999999999916</v>
          </cell>
          <cell r="AP386">
            <v>7.6383000000000001</v>
          </cell>
          <cell r="AQ386">
            <v>7.8278999999999996</v>
          </cell>
          <cell r="AR386">
            <v>9.8592157747451632E-3</v>
          </cell>
          <cell r="AS386">
            <v>0.41079999999999683</v>
          </cell>
          <cell r="AT386">
            <v>41.666600000000003</v>
          </cell>
          <cell r="AU386">
            <v>42.077399999999997</v>
          </cell>
          <cell r="AV386">
            <v>2.2763354897030044E-2</v>
          </cell>
          <cell r="AW386">
            <v>0.80579999999996643</v>
          </cell>
          <cell r="AX386">
            <v>35.399000000000001</v>
          </cell>
          <cell r="AY386">
            <v>36.20479999999997</v>
          </cell>
          <cell r="AZ386">
            <v>1.6179392034673782E-2</v>
          </cell>
          <cell r="BA386">
            <v>0.12414285714284848</v>
          </cell>
          <cell r="BB386">
            <v>7.6729000000000003</v>
          </cell>
          <cell r="BC386">
            <v>7.7970428571428485</v>
          </cell>
        </row>
        <row r="387">
          <cell r="B387">
            <v>339</v>
          </cell>
          <cell r="C387">
            <v>159</v>
          </cell>
          <cell r="D387">
            <v>2.2264024231459765E-2</v>
          </cell>
          <cell r="E387">
            <v>1.3537083333333324</v>
          </cell>
          <cell r="F387">
            <v>60.802500000000002</v>
          </cell>
          <cell r="G387">
            <v>62.156208333333332</v>
          </cell>
          <cell r="H387">
            <v>3.1011998653750164E-2</v>
          </cell>
          <cell r="I387">
            <v>2.294369999999994</v>
          </cell>
          <cell r="J387">
            <v>73.9833</v>
          </cell>
          <cell r="K387">
            <v>76.277670000000001</v>
          </cell>
          <cell r="L387">
            <v>4.0051172200404578E-2</v>
          </cell>
          <cell r="M387">
            <v>2.2436666666666646E-2</v>
          </cell>
          <cell r="N387">
            <v>0.56020000000000003</v>
          </cell>
          <cell r="O387">
            <v>0.58263666666666669</v>
          </cell>
          <cell r="P387">
            <v>2.122641408278883E-2</v>
          </cell>
          <cell r="Q387">
            <v>2.3095633333333296</v>
          </cell>
          <cell r="R387">
            <v>108.8061</v>
          </cell>
          <cell r="S387">
            <v>111.11566333333333</v>
          </cell>
          <cell r="T387">
            <v>3.6959622901114986E-2</v>
          </cell>
          <cell r="U387">
            <v>1.776471666666672</v>
          </cell>
          <cell r="V387">
            <v>48.065199999999997</v>
          </cell>
          <cell r="W387">
            <v>49.84167166666667</v>
          </cell>
          <cell r="X387">
            <v>1.5460640388394443E-2</v>
          </cell>
          <cell r="Y387">
            <v>0.7088750000000017</v>
          </cell>
          <cell r="Z387">
            <v>45.850299999999997</v>
          </cell>
          <cell r="AA387">
            <v>46.559174999999996</v>
          </cell>
          <cell r="AB387">
            <v>2.6648394632951079E-2</v>
          </cell>
          <cell r="AC387">
            <v>1.3227916666666686</v>
          </cell>
          <cell r="AD387">
            <v>49.6387</v>
          </cell>
          <cell r="AE387">
            <v>50.961491666666667</v>
          </cell>
          <cell r="AF387">
            <v>2.2055710317628159E-2</v>
          </cell>
          <cell r="AG387">
            <v>0.36499333333333311</v>
          </cell>
          <cell r="AH387">
            <v>16.5487</v>
          </cell>
          <cell r="AI387">
            <v>16.913693333333335</v>
          </cell>
          <cell r="AJ387">
            <v>1.6142349521803441E-2</v>
          </cell>
          <cell r="AK387">
            <v>0.2566714285714356</v>
          </cell>
          <cell r="AL387">
            <v>15.900499999999999</v>
          </cell>
          <cell r="AM387">
            <v>16.157171428571434</v>
          </cell>
          <cell r="AN387">
            <v>2.4979380228584785E-2</v>
          </cell>
          <cell r="AO387">
            <v>0.19079999999999916</v>
          </cell>
          <cell r="AP387">
            <v>7.6383000000000001</v>
          </cell>
          <cell r="AQ387">
            <v>7.8290999999999995</v>
          </cell>
          <cell r="AR387">
            <v>9.9216158745853225E-3</v>
          </cell>
          <cell r="AS387">
            <v>0.41339999999999688</v>
          </cell>
          <cell r="AT387">
            <v>41.666600000000003</v>
          </cell>
          <cell r="AU387">
            <v>42.08</v>
          </cell>
          <cell r="AV387">
            <v>2.2907426763466941E-2</v>
          </cell>
          <cell r="AW387">
            <v>0.8108999999999662</v>
          </cell>
          <cell r="AX387">
            <v>35.399000000000001</v>
          </cell>
          <cell r="AY387">
            <v>36.209899999999969</v>
          </cell>
          <cell r="AZ387">
            <v>1.6281793250083113E-2</v>
          </cell>
          <cell r="BA387">
            <v>0.12492857142856272</v>
          </cell>
          <cell r="BB387">
            <v>7.6729000000000003</v>
          </cell>
          <cell r="BC387">
            <v>7.7978285714285631</v>
          </cell>
        </row>
        <row r="388">
          <cell r="B388">
            <v>340</v>
          </cell>
          <cell r="C388">
            <v>160</v>
          </cell>
          <cell r="D388">
            <v>2.2404049541091587E-2</v>
          </cell>
          <cell r="E388">
            <v>1.3622222222222211</v>
          </cell>
          <cell r="F388">
            <v>60.802500000000002</v>
          </cell>
          <cell r="G388">
            <v>62.164722222222224</v>
          </cell>
          <cell r="H388">
            <v>3.1207042670440416E-2</v>
          </cell>
          <cell r="I388">
            <v>2.308799999999994</v>
          </cell>
          <cell r="J388">
            <v>73.9833</v>
          </cell>
          <cell r="K388">
            <v>76.292099999999991</v>
          </cell>
          <cell r="L388">
            <v>4.0303066365186997E-2</v>
          </cell>
          <cell r="M388">
            <v>2.2577777777777759E-2</v>
          </cell>
          <cell r="N388">
            <v>0.56020000000000003</v>
          </cell>
          <cell r="O388">
            <v>0.58277777777777784</v>
          </cell>
          <cell r="P388">
            <v>2.1359913542429013E-2</v>
          </cell>
          <cell r="Q388">
            <v>2.3240888888888853</v>
          </cell>
          <cell r="R388">
            <v>108.8061</v>
          </cell>
          <cell r="S388">
            <v>111.13018888888888</v>
          </cell>
          <cell r="T388">
            <v>3.7192073359612568E-2</v>
          </cell>
          <cell r="U388">
            <v>1.7876444444444499</v>
          </cell>
          <cell r="V388">
            <v>48.065199999999997</v>
          </cell>
          <cell r="W388">
            <v>49.85284444444445</v>
          </cell>
          <cell r="X388">
            <v>1.5557877120396925E-2</v>
          </cell>
          <cell r="Y388">
            <v>0.71333333333333515</v>
          </cell>
          <cell r="Z388">
            <v>45.850299999999997</v>
          </cell>
          <cell r="AA388">
            <v>46.563633333333335</v>
          </cell>
          <cell r="AB388">
            <v>2.6815994599196053E-2</v>
          </cell>
          <cell r="AC388">
            <v>1.3311111111111131</v>
          </cell>
          <cell r="AD388">
            <v>49.6387</v>
          </cell>
          <cell r="AE388">
            <v>50.969811111111113</v>
          </cell>
          <cell r="AF388">
            <v>2.2194425476858529E-2</v>
          </cell>
          <cell r="AG388">
            <v>0.36728888888888872</v>
          </cell>
          <cell r="AH388">
            <v>16.5487</v>
          </cell>
          <cell r="AI388">
            <v>16.91598888888889</v>
          </cell>
          <cell r="AJ388">
            <v>1.6243873732632395E-2</v>
          </cell>
          <cell r="AK388">
            <v>0.25828571428572139</v>
          </cell>
          <cell r="AL388">
            <v>15.900499999999999</v>
          </cell>
          <cell r="AM388">
            <v>16.15878571428572</v>
          </cell>
          <cell r="AN388">
            <v>2.513648324889035E-2</v>
          </cell>
          <cell r="AO388">
            <v>0.19199999999999914</v>
          </cell>
          <cell r="AP388">
            <v>7.6383000000000001</v>
          </cell>
          <cell r="AQ388">
            <v>7.8302999999999994</v>
          </cell>
          <cell r="AR388">
            <v>9.9840159744254819E-3</v>
          </cell>
          <cell r="AS388">
            <v>0.41599999999999682</v>
          </cell>
          <cell r="AT388">
            <v>41.666600000000003</v>
          </cell>
          <cell r="AU388">
            <v>42.082599999999999</v>
          </cell>
          <cell r="AV388">
            <v>2.3051498629903838E-2</v>
          </cell>
          <cell r="AW388">
            <v>0.81599999999996597</v>
          </cell>
          <cell r="AX388">
            <v>35.399000000000001</v>
          </cell>
          <cell r="AY388">
            <v>36.214999999999968</v>
          </cell>
          <cell r="AZ388">
            <v>1.6384194465492437E-2</v>
          </cell>
          <cell r="BA388">
            <v>0.12571428571427695</v>
          </cell>
          <cell r="BB388">
            <v>7.6729000000000003</v>
          </cell>
          <cell r="BC388">
            <v>7.7986142857142768</v>
          </cell>
        </row>
        <row r="389">
          <cell r="B389">
            <v>341</v>
          </cell>
          <cell r="C389">
            <v>161</v>
          </cell>
          <cell r="D389">
            <v>2.2544074850723409E-2</v>
          </cell>
          <cell r="E389">
            <v>1.37073611111111</v>
          </cell>
          <cell r="F389">
            <v>60.802500000000002</v>
          </cell>
          <cell r="G389">
            <v>62.173236111111109</v>
          </cell>
          <cell r="H389">
            <v>3.1402086687130661E-2</v>
          </cell>
          <cell r="I389">
            <v>2.3232299999999939</v>
          </cell>
          <cell r="J389">
            <v>73.9833</v>
          </cell>
          <cell r="K389">
            <v>76.306529999999995</v>
          </cell>
          <cell r="L389">
            <v>4.0554960529969417E-2</v>
          </cell>
          <cell r="M389">
            <v>2.2718888888888872E-2</v>
          </cell>
          <cell r="N389">
            <v>0.56020000000000003</v>
          </cell>
          <cell r="O389">
            <v>0.58291888888888888</v>
          </cell>
          <cell r="P389">
            <v>2.1493413002069191E-2</v>
          </cell>
          <cell r="Q389">
            <v>2.3386144444444406</v>
          </cell>
          <cell r="R389">
            <v>108.8061</v>
          </cell>
          <cell r="S389">
            <v>111.14471444444445</v>
          </cell>
          <cell r="T389">
            <v>3.742452381811015E-2</v>
          </cell>
          <cell r="U389">
            <v>1.7988172222222276</v>
          </cell>
          <cell r="V389">
            <v>48.065199999999997</v>
          </cell>
          <cell r="W389">
            <v>49.864017222222223</v>
          </cell>
          <cell r="X389">
            <v>1.5655113852399406E-2</v>
          </cell>
          <cell r="Y389">
            <v>0.71779166666666849</v>
          </cell>
          <cell r="Z389">
            <v>45.850299999999997</v>
          </cell>
          <cell r="AA389">
            <v>46.568091666666668</v>
          </cell>
          <cell r="AB389">
            <v>2.6983594565441027E-2</v>
          </cell>
          <cell r="AC389">
            <v>1.3394305555555577</v>
          </cell>
          <cell r="AD389">
            <v>49.6387</v>
          </cell>
          <cell r="AE389">
            <v>50.978130555555559</v>
          </cell>
          <cell r="AF389">
            <v>2.2333140636088895E-2</v>
          </cell>
          <cell r="AG389">
            <v>0.36958444444444427</v>
          </cell>
          <cell r="AH389">
            <v>16.5487</v>
          </cell>
          <cell r="AI389">
            <v>16.918284444444446</v>
          </cell>
          <cell r="AJ389">
            <v>1.6345397943461345E-2</v>
          </cell>
          <cell r="AK389">
            <v>0.25990000000000713</v>
          </cell>
          <cell r="AL389">
            <v>15.900499999999999</v>
          </cell>
          <cell r="AM389">
            <v>16.160400000000006</v>
          </cell>
          <cell r="AN389">
            <v>2.5293586269195915E-2</v>
          </cell>
          <cell r="AO389">
            <v>0.19319999999999915</v>
          </cell>
          <cell r="AP389">
            <v>7.6383000000000001</v>
          </cell>
          <cell r="AQ389">
            <v>7.8314999999999992</v>
          </cell>
          <cell r="AR389">
            <v>1.0046416074265641E-2</v>
          </cell>
          <cell r="AS389">
            <v>0.41859999999999675</v>
          </cell>
          <cell r="AT389">
            <v>41.666600000000003</v>
          </cell>
          <cell r="AU389">
            <v>42.0852</v>
          </cell>
          <cell r="AV389">
            <v>2.3195570496340738E-2</v>
          </cell>
          <cell r="AW389">
            <v>0.82109999999996575</v>
          </cell>
          <cell r="AX389">
            <v>35.399000000000001</v>
          </cell>
          <cell r="AY389">
            <v>36.220099999999967</v>
          </cell>
          <cell r="AZ389">
            <v>1.6486595680901765E-2</v>
          </cell>
          <cell r="BA389">
            <v>0.12649999999999118</v>
          </cell>
          <cell r="BB389">
            <v>7.6729000000000003</v>
          </cell>
          <cell r="BC389">
            <v>7.7993999999999915</v>
          </cell>
        </row>
        <row r="390">
          <cell r="B390">
            <v>342</v>
          </cell>
          <cell r="C390">
            <v>162</v>
          </cell>
          <cell r="D390">
            <v>2.2684100160355231E-2</v>
          </cell>
          <cell r="E390">
            <v>1.379249999999999</v>
          </cell>
          <cell r="F390">
            <v>60.802500000000002</v>
          </cell>
          <cell r="G390">
            <v>62.181750000000001</v>
          </cell>
          <cell r="H390">
            <v>3.1597130703820912E-2</v>
          </cell>
          <cell r="I390">
            <v>2.3376599999999939</v>
          </cell>
          <cell r="J390">
            <v>73.9833</v>
          </cell>
          <cell r="K390">
            <v>76.320959999999999</v>
          </cell>
          <cell r="L390">
            <v>4.0806854694751836E-2</v>
          </cell>
          <cell r="M390">
            <v>2.2859999999999978E-2</v>
          </cell>
          <cell r="N390">
            <v>0.56020000000000003</v>
          </cell>
          <cell r="O390">
            <v>0.58306000000000002</v>
          </cell>
          <cell r="P390">
            <v>2.1626912461709374E-2</v>
          </cell>
          <cell r="Q390">
            <v>2.3531399999999962</v>
          </cell>
          <cell r="R390">
            <v>108.8061</v>
          </cell>
          <cell r="S390">
            <v>111.15924</v>
          </cell>
          <cell r="T390">
            <v>3.7656974276607719E-2</v>
          </cell>
          <cell r="U390">
            <v>1.8099900000000053</v>
          </cell>
          <cell r="V390">
            <v>48.065199999999997</v>
          </cell>
          <cell r="W390">
            <v>49.875190000000003</v>
          </cell>
          <cell r="X390">
            <v>1.5752350584401886E-2</v>
          </cell>
          <cell r="Y390">
            <v>0.72225000000000183</v>
          </cell>
          <cell r="Z390">
            <v>45.850299999999997</v>
          </cell>
          <cell r="AA390">
            <v>46.57255</v>
          </cell>
          <cell r="AB390">
            <v>2.7151194531686004E-2</v>
          </cell>
          <cell r="AC390">
            <v>1.347750000000002</v>
          </cell>
          <cell r="AD390">
            <v>49.6387</v>
          </cell>
          <cell r="AE390">
            <v>50.986450000000005</v>
          </cell>
          <cell r="AF390">
            <v>2.2471855795319257E-2</v>
          </cell>
          <cell r="AG390">
            <v>0.37187999999999988</v>
          </cell>
          <cell r="AH390">
            <v>16.5487</v>
          </cell>
          <cell r="AI390">
            <v>16.920580000000001</v>
          </cell>
          <cell r="AJ390">
            <v>1.6446922154290299E-2</v>
          </cell>
          <cell r="AK390">
            <v>0.26151428571429286</v>
          </cell>
          <cell r="AL390">
            <v>15.900499999999999</v>
          </cell>
          <cell r="AM390">
            <v>16.162014285714292</v>
          </cell>
          <cell r="AN390">
            <v>2.545068928950148E-2</v>
          </cell>
          <cell r="AO390">
            <v>0.19439999999999916</v>
          </cell>
          <cell r="AP390">
            <v>7.6383000000000001</v>
          </cell>
          <cell r="AQ390">
            <v>7.8326999999999991</v>
          </cell>
          <cell r="AR390">
            <v>1.0108816174105801E-2</v>
          </cell>
          <cell r="AS390">
            <v>0.4211999999999968</v>
          </cell>
          <cell r="AT390">
            <v>41.666600000000003</v>
          </cell>
          <cell r="AU390">
            <v>42.087800000000001</v>
          </cell>
          <cell r="AV390">
            <v>2.3339642362777635E-2</v>
          </cell>
          <cell r="AW390">
            <v>0.82619999999996552</v>
          </cell>
          <cell r="AX390">
            <v>35.399000000000001</v>
          </cell>
          <cell r="AY390">
            <v>36.225199999999965</v>
          </cell>
          <cell r="AZ390">
            <v>1.6588996896311093E-2</v>
          </cell>
          <cell r="BA390">
            <v>0.1272857142857054</v>
          </cell>
          <cell r="BB390">
            <v>7.6729000000000003</v>
          </cell>
          <cell r="BC390">
            <v>7.8001857142857061</v>
          </cell>
        </row>
        <row r="391">
          <cell r="B391">
            <v>343</v>
          </cell>
          <cell r="C391">
            <v>163</v>
          </cell>
          <cell r="D391">
            <v>2.2824125469987053E-2</v>
          </cell>
          <cell r="E391">
            <v>1.3877638888888879</v>
          </cell>
          <cell r="F391">
            <v>60.802500000000002</v>
          </cell>
          <cell r="G391">
            <v>62.190263888888893</v>
          </cell>
          <cell r="H391">
            <v>3.1792174720511171E-2</v>
          </cell>
          <cell r="I391">
            <v>2.3520899999999938</v>
          </cell>
          <cell r="J391">
            <v>73.9833</v>
          </cell>
          <cell r="K391">
            <v>76.33538999999999</v>
          </cell>
          <cell r="L391">
            <v>4.1058748859534255E-2</v>
          </cell>
          <cell r="M391">
            <v>2.300111111111109E-2</v>
          </cell>
          <cell r="N391">
            <v>0.56020000000000003</v>
          </cell>
          <cell r="O391">
            <v>0.58320111111111117</v>
          </cell>
          <cell r="P391">
            <v>2.1760411921349556E-2</v>
          </cell>
          <cell r="Q391">
            <v>2.3676655555555519</v>
          </cell>
          <cell r="R391">
            <v>108.8061</v>
          </cell>
          <cell r="S391">
            <v>111.17376555555555</v>
          </cell>
          <cell r="T391">
            <v>3.7889424735105301E-2</v>
          </cell>
          <cell r="U391">
            <v>1.8211627777777832</v>
          </cell>
          <cell r="V391">
            <v>48.065199999999997</v>
          </cell>
          <cell r="W391">
            <v>49.886362777777784</v>
          </cell>
          <cell r="X391">
            <v>1.5849587316404366E-2</v>
          </cell>
          <cell r="Y391">
            <v>0.72670833333333507</v>
          </cell>
          <cell r="Z391">
            <v>45.850299999999997</v>
          </cell>
          <cell r="AA391">
            <v>46.577008333333332</v>
          </cell>
          <cell r="AB391">
            <v>2.7318794497930978E-2</v>
          </cell>
          <cell r="AC391">
            <v>1.3560694444444465</v>
          </cell>
          <cell r="AD391">
            <v>49.6387</v>
          </cell>
          <cell r="AE391">
            <v>50.994769444444444</v>
          </cell>
          <cell r="AF391">
            <v>2.2610570954549623E-2</v>
          </cell>
          <cell r="AG391">
            <v>0.37417555555555537</v>
          </cell>
          <cell r="AH391">
            <v>16.5487</v>
          </cell>
          <cell r="AI391">
            <v>16.922875555555557</v>
          </cell>
          <cell r="AJ391">
            <v>1.6548446365119252E-2</v>
          </cell>
          <cell r="AK391">
            <v>0.26312857142857865</v>
          </cell>
          <cell r="AL391">
            <v>15.900499999999999</v>
          </cell>
          <cell r="AM391">
            <v>16.163628571428578</v>
          </cell>
          <cell r="AN391">
            <v>2.5607792309807042E-2</v>
          </cell>
          <cell r="AO391">
            <v>0.19559999999999914</v>
          </cell>
          <cell r="AP391">
            <v>7.6383000000000001</v>
          </cell>
          <cell r="AQ391">
            <v>7.833899999999999</v>
          </cell>
          <cell r="AR391">
            <v>1.017121627394596E-2</v>
          </cell>
          <cell r="AS391">
            <v>0.42379999999999679</v>
          </cell>
          <cell r="AT391">
            <v>41.666600000000003</v>
          </cell>
          <cell r="AU391">
            <v>42.090400000000002</v>
          </cell>
          <cell r="AV391">
            <v>2.3483714229214536E-2</v>
          </cell>
          <cell r="AW391">
            <v>0.83129999999996529</v>
          </cell>
          <cell r="AX391">
            <v>35.399000000000001</v>
          </cell>
          <cell r="AY391">
            <v>36.230299999999964</v>
          </cell>
          <cell r="AZ391">
            <v>1.6691398111720421E-2</v>
          </cell>
          <cell r="BA391">
            <v>0.12807142857141965</v>
          </cell>
          <cell r="BB391">
            <v>7.6729000000000003</v>
          </cell>
          <cell r="BC391">
            <v>7.8009714285714198</v>
          </cell>
        </row>
        <row r="392">
          <cell r="B392">
            <v>344</v>
          </cell>
          <cell r="C392">
            <v>164</v>
          </cell>
          <cell r="D392">
            <v>2.2964150779618872E-2</v>
          </cell>
          <cell r="E392">
            <v>1.3962777777777768</v>
          </cell>
          <cell r="F392">
            <v>60.802500000000002</v>
          </cell>
          <cell r="G392">
            <v>62.198777777777778</v>
          </cell>
          <cell r="H392">
            <v>3.1987218737201423E-2</v>
          </cell>
          <cell r="I392">
            <v>2.3665199999999937</v>
          </cell>
          <cell r="J392">
            <v>73.9833</v>
          </cell>
          <cell r="K392">
            <v>76.349819999999994</v>
          </cell>
          <cell r="L392">
            <v>4.1310643024316668E-2</v>
          </cell>
          <cell r="M392">
            <v>2.3142222222222199E-2</v>
          </cell>
          <cell r="N392">
            <v>0.56020000000000003</v>
          </cell>
          <cell r="O392">
            <v>0.58334222222222221</v>
          </cell>
          <cell r="P392">
            <v>2.1893911380989735E-2</v>
          </cell>
          <cell r="Q392">
            <v>2.3821911111111072</v>
          </cell>
          <cell r="R392">
            <v>108.8061</v>
          </cell>
          <cell r="S392">
            <v>111.18829111111111</v>
          </cell>
          <cell r="T392">
            <v>3.8121875193602883E-2</v>
          </cell>
          <cell r="U392">
            <v>1.8323355555555609</v>
          </cell>
          <cell r="V392">
            <v>48.065199999999997</v>
          </cell>
          <cell r="W392">
            <v>49.897535555555557</v>
          </cell>
          <cell r="X392">
            <v>1.5946824048406846E-2</v>
          </cell>
          <cell r="Y392">
            <v>0.73116666666666852</v>
          </cell>
          <cell r="Z392">
            <v>45.850299999999997</v>
          </cell>
          <cell r="AA392">
            <v>46.581466666666664</v>
          </cell>
          <cell r="AB392">
            <v>2.7486394464175952E-2</v>
          </cell>
          <cell r="AC392">
            <v>1.3643888888888909</v>
          </cell>
          <cell r="AD392">
            <v>49.6387</v>
          </cell>
          <cell r="AE392">
            <v>51.00308888888889</v>
          </cell>
          <cell r="AF392">
            <v>2.2749286113779989E-2</v>
          </cell>
          <cell r="AG392">
            <v>0.37647111111111092</v>
          </cell>
          <cell r="AH392">
            <v>16.5487</v>
          </cell>
          <cell r="AI392">
            <v>16.925171111111112</v>
          </cell>
          <cell r="AJ392">
            <v>1.6649970575948202E-2</v>
          </cell>
          <cell r="AK392">
            <v>0.26474285714286439</v>
          </cell>
          <cell r="AL392">
            <v>15.900499999999999</v>
          </cell>
          <cell r="AM392">
            <v>16.165242857142864</v>
          </cell>
          <cell r="AN392">
            <v>2.576489533011261E-2</v>
          </cell>
          <cell r="AO392">
            <v>0.19679999999999914</v>
          </cell>
          <cell r="AP392">
            <v>7.6383000000000001</v>
          </cell>
          <cell r="AQ392">
            <v>7.8350999999999988</v>
          </cell>
          <cell r="AR392">
            <v>1.0233616373786119E-2</v>
          </cell>
          <cell r="AS392">
            <v>0.42639999999999673</v>
          </cell>
          <cell r="AT392">
            <v>41.666600000000003</v>
          </cell>
          <cell r="AU392">
            <v>42.092999999999996</v>
          </cell>
          <cell r="AV392">
            <v>2.3627786095651436E-2</v>
          </cell>
          <cell r="AW392">
            <v>0.83639999999996506</v>
          </cell>
          <cell r="AX392">
            <v>35.399000000000001</v>
          </cell>
          <cell r="AY392">
            <v>36.235399999999963</v>
          </cell>
          <cell r="AZ392">
            <v>1.6793799327129749E-2</v>
          </cell>
          <cell r="BA392">
            <v>0.12885714285713387</v>
          </cell>
          <cell r="BB392">
            <v>7.6729000000000003</v>
          </cell>
          <cell r="BC392">
            <v>7.8017571428571344</v>
          </cell>
        </row>
        <row r="393">
          <cell r="B393">
            <v>345</v>
          </cell>
          <cell r="C393">
            <v>165</v>
          </cell>
          <cell r="D393">
            <v>2.3104176089250694E-2</v>
          </cell>
          <cell r="E393">
            <v>1.4047916666666656</v>
          </cell>
          <cell r="F393">
            <v>60.802500000000002</v>
          </cell>
          <cell r="G393">
            <v>62.20729166666667</v>
          </cell>
          <cell r="H393">
            <v>3.2182262753891674E-2</v>
          </cell>
          <cell r="I393">
            <v>2.3809499999999937</v>
          </cell>
          <cell r="J393">
            <v>73.9833</v>
          </cell>
          <cell r="K393">
            <v>76.364249999999998</v>
          </cell>
          <cell r="L393">
            <v>4.1562537189099087E-2</v>
          </cell>
          <cell r="M393">
            <v>2.3283333333333312E-2</v>
          </cell>
          <cell r="N393">
            <v>0.56020000000000003</v>
          </cell>
          <cell r="O393">
            <v>0.58348333333333335</v>
          </cell>
          <cell r="P393">
            <v>2.2027410840629917E-2</v>
          </cell>
          <cell r="Q393">
            <v>2.3967166666666628</v>
          </cell>
          <cell r="R393">
            <v>108.8061</v>
          </cell>
          <cell r="S393">
            <v>111.20281666666666</v>
          </cell>
          <cell r="T393">
            <v>3.8354325652100459E-2</v>
          </cell>
          <cell r="U393">
            <v>1.8435083333333391</v>
          </cell>
          <cell r="V393">
            <v>48.065199999999997</v>
          </cell>
          <cell r="W393">
            <v>49.908708333333337</v>
          </cell>
          <cell r="X393">
            <v>1.604406078040933E-2</v>
          </cell>
          <cell r="Y393">
            <v>0.73562500000000186</v>
          </cell>
          <cell r="Z393">
            <v>45.850299999999997</v>
          </cell>
          <cell r="AA393">
            <v>46.585924999999996</v>
          </cell>
          <cell r="AB393">
            <v>2.7653994430420929E-2</v>
          </cell>
          <cell r="AC393">
            <v>1.3727083333333354</v>
          </cell>
          <cell r="AD393">
            <v>49.6387</v>
          </cell>
          <cell r="AE393">
            <v>51.011408333333335</v>
          </cell>
          <cell r="AF393">
            <v>2.2888001273010352E-2</v>
          </cell>
          <cell r="AG393">
            <v>0.37876666666666647</v>
          </cell>
          <cell r="AH393">
            <v>16.5487</v>
          </cell>
          <cell r="AI393">
            <v>16.927466666666668</v>
          </cell>
          <cell r="AJ393">
            <v>1.6751494786777156E-2</v>
          </cell>
          <cell r="AK393">
            <v>0.26635714285715018</v>
          </cell>
          <cell r="AL393">
            <v>15.900499999999999</v>
          </cell>
          <cell r="AM393">
            <v>16.16685714285715</v>
          </cell>
          <cell r="AN393">
            <v>2.5921998350418175E-2</v>
          </cell>
          <cell r="AO393">
            <v>0.19799999999999912</v>
          </cell>
          <cell r="AP393">
            <v>7.6383000000000001</v>
          </cell>
          <cell r="AQ393">
            <v>7.8362999999999996</v>
          </cell>
          <cell r="AR393">
            <v>1.0296016473626279E-2</v>
          </cell>
          <cell r="AS393">
            <v>0.42899999999999666</v>
          </cell>
          <cell r="AT393">
            <v>41.666600000000003</v>
          </cell>
          <cell r="AU393">
            <v>42.095599999999997</v>
          </cell>
          <cell r="AV393">
            <v>2.3771857962088333E-2</v>
          </cell>
          <cell r="AW393">
            <v>0.84149999999996494</v>
          </cell>
          <cell r="AX393">
            <v>35.399000000000001</v>
          </cell>
          <cell r="AY393">
            <v>36.240499999999969</v>
          </cell>
          <cell r="AZ393">
            <v>1.6896200542539076E-2</v>
          </cell>
          <cell r="BA393">
            <v>0.12964285714284809</v>
          </cell>
          <cell r="BB393">
            <v>7.6729000000000003</v>
          </cell>
          <cell r="BC393">
            <v>7.8025428571428481</v>
          </cell>
        </row>
        <row r="394">
          <cell r="B394">
            <v>346</v>
          </cell>
          <cell r="C394">
            <v>166</v>
          </cell>
          <cell r="D394">
            <v>2.3244201398882516E-2</v>
          </cell>
          <cell r="E394">
            <v>1.4133055555555545</v>
          </cell>
          <cell r="F394">
            <v>60.802500000000002</v>
          </cell>
          <cell r="G394">
            <v>62.215805555555555</v>
          </cell>
          <cell r="H394">
            <v>3.2377306770581926E-2</v>
          </cell>
          <cell r="I394">
            <v>2.3953799999999936</v>
          </cell>
          <cell r="J394">
            <v>73.9833</v>
          </cell>
          <cell r="K394">
            <v>76.378679999999989</v>
          </cell>
          <cell r="L394">
            <v>4.1814431353881513E-2</v>
          </cell>
          <cell r="M394">
            <v>2.3424444444444425E-2</v>
          </cell>
          <cell r="N394">
            <v>0.56020000000000003</v>
          </cell>
          <cell r="O394">
            <v>0.5836244444444445</v>
          </cell>
          <cell r="P394">
            <v>2.2160910300270099E-2</v>
          </cell>
          <cell r="Q394">
            <v>2.4112422222222185</v>
          </cell>
          <cell r="R394">
            <v>108.8061</v>
          </cell>
          <cell r="S394">
            <v>111.21734222222221</v>
          </cell>
          <cell r="T394">
            <v>3.8586776110598041E-2</v>
          </cell>
          <cell r="U394">
            <v>1.8546811111111168</v>
          </cell>
          <cell r="V394">
            <v>48.065199999999997</v>
          </cell>
          <cell r="W394">
            <v>49.919881111111117</v>
          </cell>
          <cell r="X394">
            <v>1.614129751241181E-2</v>
          </cell>
          <cell r="Y394">
            <v>0.74008333333333509</v>
          </cell>
          <cell r="Z394">
            <v>45.850299999999997</v>
          </cell>
          <cell r="AA394">
            <v>46.590383333333335</v>
          </cell>
          <cell r="AB394">
            <v>2.7821594396665903E-2</v>
          </cell>
          <cell r="AC394">
            <v>1.38102777777778</v>
          </cell>
          <cell r="AD394">
            <v>49.6387</v>
          </cell>
          <cell r="AE394">
            <v>51.019727777777781</v>
          </cell>
          <cell r="AF394">
            <v>2.3026716432240725E-2</v>
          </cell>
          <cell r="AG394">
            <v>0.38106222222222197</v>
          </cell>
          <cell r="AH394">
            <v>16.5487</v>
          </cell>
          <cell r="AI394">
            <v>16.929762222222223</v>
          </cell>
          <cell r="AJ394">
            <v>1.685301899760611E-2</v>
          </cell>
          <cell r="AK394">
            <v>0.26797142857143591</v>
          </cell>
          <cell r="AL394">
            <v>15.900499999999999</v>
          </cell>
          <cell r="AM394">
            <v>16.168471428571436</v>
          </cell>
          <cell r="AN394">
            <v>2.607910137072374E-2</v>
          </cell>
          <cell r="AO394">
            <v>0.19919999999999913</v>
          </cell>
          <cell r="AP394">
            <v>7.6383000000000001</v>
          </cell>
          <cell r="AQ394">
            <v>7.8374999999999995</v>
          </cell>
          <cell r="AR394">
            <v>1.0358416573466438E-2</v>
          </cell>
          <cell r="AS394">
            <v>0.43159999999999671</v>
          </cell>
          <cell r="AT394">
            <v>41.666600000000003</v>
          </cell>
          <cell r="AU394">
            <v>42.098199999999999</v>
          </cell>
          <cell r="AV394">
            <v>2.3915929828525233E-2</v>
          </cell>
          <cell r="AW394">
            <v>0.84659999999996471</v>
          </cell>
          <cell r="AX394">
            <v>35.399000000000001</v>
          </cell>
          <cell r="AY394">
            <v>36.245599999999968</v>
          </cell>
          <cell r="AZ394">
            <v>1.6998601757948404E-2</v>
          </cell>
          <cell r="BA394">
            <v>0.13042857142856232</v>
          </cell>
          <cell r="BB394">
            <v>7.6729000000000003</v>
          </cell>
          <cell r="BC394">
            <v>7.8033285714285627</v>
          </cell>
        </row>
        <row r="395">
          <cell r="B395">
            <v>347</v>
          </cell>
          <cell r="C395">
            <v>167</v>
          </cell>
          <cell r="D395">
            <v>2.3384226708514345E-2</v>
          </cell>
          <cell r="E395">
            <v>1.4218194444444434</v>
          </cell>
          <cell r="F395">
            <v>60.802500000000002</v>
          </cell>
          <cell r="G395">
            <v>62.224319444444447</v>
          </cell>
          <cell r="H395">
            <v>3.2572350787272178E-2</v>
          </cell>
          <cell r="I395">
            <v>2.4098099999999936</v>
          </cell>
          <cell r="J395">
            <v>73.9833</v>
          </cell>
          <cell r="K395">
            <v>76.393109999999993</v>
          </cell>
          <cell r="L395">
            <v>4.2066325518663926E-2</v>
          </cell>
          <cell r="M395">
            <v>2.3565555555555534E-2</v>
          </cell>
          <cell r="N395">
            <v>0.56020000000000003</v>
          </cell>
          <cell r="O395">
            <v>0.58376555555555554</v>
          </cell>
          <cell r="P395">
            <v>2.2294409759910282E-2</v>
          </cell>
          <cell r="Q395">
            <v>2.4257677777777737</v>
          </cell>
          <cell r="R395">
            <v>108.8061</v>
          </cell>
          <cell r="S395">
            <v>111.23186777777778</v>
          </cell>
          <cell r="T395">
            <v>3.8819226569095616E-2</v>
          </cell>
          <cell r="U395">
            <v>1.8658538888888947</v>
          </cell>
          <cell r="V395">
            <v>48.065199999999997</v>
          </cell>
          <cell r="W395">
            <v>49.93105388888889</v>
          </cell>
          <cell r="X395">
            <v>1.623853424441429E-2</v>
          </cell>
          <cell r="Y395">
            <v>0.74454166666666843</v>
          </cell>
          <cell r="Z395">
            <v>45.850299999999997</v>
          </cell>
          <cell r="AA395">
            <v>46.594841666666667</v>
          </cell>
          <cell r="AB395">
            <v>2.7989194362910884E-2</v>
          </cell>
          <cell r="AC395">
            <v>1.3893472222222243</v>
          </cell>
          <cell r="AD395">
            <v>49.6387</v>
          </cell>
          <cell r="AE395">
            <v>51.028047222222227</v>
          </cell>
          <cell r="AF395">
            <v>2.3165431591471088E-2</v>
          </cell>
          <cell r="AG395">
            <v>0.38335777777777758</v>
          </cell>
          <cell r="AH395">
            <v>16.5487</v>
          </cell>
          <cell r="AI395">
            <v>16.932057777777779</v>
          </cell>
          <cell r="AJ395">
            <v>1.695454320843506E-2</v>
          </cell>
          <cell r="AK395">
            <v>0.2695857142857217</v>
          </cell>
          <cell r="AL395">
            <v>15.900499999999999</v>
          </cell>
          <cell r="AM395">
            <v>16.170085714285722</v>
          </cell>
          <cell r="AN395">
            <v>2.6236204391029305E-2</v>
          </cell>
          <cell r="AO395">
            <v>0.20039999999999911</v>
          </cell>
          <cell r="AP395">
            <v>7.6383000000000001</v>
          </cell>
          <cell r="AQ395">
            <v>7.8386999999999993</v>
          </cell>
          <cell r="AR395">
            <v>1.0420816673306596E-2</v>
          </cell>
          <cell r="AS395">
            <v>0.4341999999999967</v>
          </cell>
          <cell r="AT395">
            <v>41.666600000000003</v>
          </cell>
          <cell r="AU395">
            <v>42.1008</v>
          </cell>
          <cell r="AV395">
            <v>2.4060001694962134E-2</v>
          </cell>
          <cell r="AW395">
            <v>0.85169999999996449</v>
          </cell>
          <cell r="AX395">
            <v>35.399000000000001</v>
          </cell>
          <cell r="AY395">
            <v>36.250699999999966</v>
          </cell>
          <cell r="AZ395">
            <v>1.7101002973357732E-2</v>
          </cell>
          <cell r="BA395">
            <v>0.13121428571427657</v>
          </cell>
          <cell r="BB395">
            <v>7.6729000000000003</v>
          </cell>
          <cell r="BC395">
            <v>7.8041142857142765</v>
          </cell>
        </row>
        <row r="396">
          <cell r="B396">
            <v>348</v>
          </cell>
          <cell r="C396">
            <v>168</v>
          </cell>
          <cell r="D396">
            <v>2.3524252018146168E-2</v>
          </cell>
          <cell r="E396">
            <v>1.4303333333333323</v>
          </cell>
          <cell r="F396">
            <v>60.802500000000002</v>
          </cell>
          <cell r="G396">
            <v>62.232833333333332</v>
          </cell>
          <cell r="H396">
            <v>3.276739480396243E-2</v>
          </cell>
          <cell r="I396">
            <v>2.4242399999999935</v>
          </cell>
          <cell r="J396">
            <v>73.9833</v>
          </cell>
          <cell r="K396">
            <v>76.407539999999997</v>
          </cell>
          <cell r="L396">
            <v>4.2318219683446345E-2</v>
          </cell>
          <cell r="M396">
            <v>2.3706666666666647E-2</v>
          </cell>
          <cell r="N396">
            <v>0.56020000000000003</v>
          </cell>
          <cell r="O396">
            <v>0.58390666666666668</v>
          </cell>
          <cell r="P396">
            <v>2.2427909219550464E-2</v>
          </cell>
          <cell r="Q396">
            <v>2.4402933333333294</v>
          </cell>
          <cell r="R396">
            <v>108.8061</v>
          </cell>
          <cell r="S396">
            <v>111.24639333333333</v>
          </cell>
          <cell r="T396">
            <v>3.9051677027593192E-2</v>
          </cell>
          <cell r="U396">
            <v>1.8770266666666724</v>
          </cell>
          <cell r="V396">
            <v>48.065199999999997</v>
          </cell>
          <cell r="W396">
            <v>49.94222666666667</v>
          </cell>
          <cell r="X396">
            <v>1.633577097641677E-2</v>
          </cell>
          <cell r="Y396">
            <v>0.74900000000000189</v>
          </cell>
          <cell r="Z396">
            <v>45.850299999999997</v>
          </cell>
          <cell r="AA396">
            <v>46.599299999999999</v>
          </cell>
          <cell r="AB396">
            <v>2.8156794329155858E-2</v>
          </cell>
          <cell r="AC396">
            <v>1.3976666666666688</v>
          </cell>
          <cell r="AD396">
            <v>49.6387</v>
          </cell>
          <cell r="AE396">
            <v>51.036366666666666</v>
          </cell>
          <cell r="AF396">
            <v>2.3304146750701454E-2</v>
          </cell>
          <cell r="AG396">
            <v>0.38565333333333313</v>
          </cell>
          <cell r="AH396">
            <v>16.5487</v>
          </cell>
          <cell r="AI396">
            <v>16.934353333333334</v>
          </cell>
          <cell r="AJ396">
            <v>1.7056067419264014E-2</v>
          </cell>
          <cell r="AK396">
            <v>0.27120000000000744</v>
          </cell>
          <cell r="AL396">
            <v>15.900499999999999</v>
          </cell>
          <cell r="AM396">
            <v>16.171700000000008</v>
          </cell>
          <cell r="AN396">
            <v>2.6393307411334867E-2</v>
          </cell>
          <cell r="AO396">
            <v>0.20159999999999911</v>
          </cell>
          <cell r="AP396">
            <v>7.6383000000000001</v>
          </cell>
          <cell r="AQ396">
            <v>7.8398999999999992</v>
          </cell>
          <cell r="AR396">
            <v>1.0483216773146757E-2</v>
          </cell>
          <cell r="AS396">
            <v>0.43679999999999664</v>
          </cell>
          <cell r="AT396">
            <v>41.666600000000003</v>
          </cell>
          <cell r="AU396">
            <v>42.103400000000001</v>
          </cell>
          <cell r="AV396">
            <v>2.4204073561399031E-2</v>
          </cell>
          <cell r="AW396">
            <v>0.85679999999996426</v>
          </cell>
          <cell r="AX396">
            <v>35.399000000000001</v>
          </cell>
          <cell r="AY396">
            <v>36.255799999999965</v>
          </cell>
          <cell r="AZ396">
            <v>1.720340418876706E-2</v>
          </cell>
          <cell r="BA396">
            <v>0.13199999999999079</v>
          </cell>
          <cell r="BB396">
            <v>7.6729000000000003</v>
          </cell>
          <cell r="BC396">
            <v>7.8048999999999911</v>
          </cell>
        </row>
        <row r="397">
          <cell r="B397">
            <v>349</v>
          </cell>
          <cell r="C397">
            <v>169</v>
          </cell>
          <cell r="D397">
            <v>2.3664277327777986E-2</v>
          </cell>
          <cell r="E397">
            <v>1.4388472222222213</v>
          </cell>
          <cell r="F397">
            <v>60.802500000000002</v>
          </cell>
          <cell r="G397">
            <v>62.241347222222224</v>
          </cell>
          <cell r="H397">
            <v>3.2962438820652681E-2</v>
          </cell>
          <cell r="I397">
            <v>2.4386699999999939</v>
          </cell>
          <cell r="J397">
            <v>73.9833</v>
          </cell>
          <cell r="K397">
            <v>76.421969999999988</v>
          </cell>
          <cell r="L397">
            <v>4.2570113848228765E-2</v>
          </cell>
          <cell r="M397">
            <v>2.3847777777777759E-2</v>
          </cell>
          <cell r="N397">
            <v>0.56020000000000003</v>
          </cell>
          <cell r="O397">
            <v>0.58404777777777783</v>
          </cell>
          <cell r="P397">
            <v>2.2561408679190639E-2</v>
          </cell>
          <cell r="Q397">
            <v>2.4548188888888851</v>
          </cell>
          <cell r="R397">
            <v>108.8061</v>
          </cell>
          <cell r="S397">
            <v>111.26091888888888</v>
          </cell>
          <cell r="T397">
            <v>3.9284127486090774E-2</v>
          </cell>
          <cell r="U397">
            <v>1.8881994444444501</v>
          </cell>
          <cell r="V397">
            <v>48.065199999999997</v>
          </cell>
          <cell r="W397">
            <v>49.95339944444445</v>
          </cell>
          <cell r="X397">
            <v>1.6433007708419253E-2</v>
          </cell>
          <cell r="Y397">
            <v>0.75345833333333523</v>
          </cell>
          <cell r="Z397">
            <v>45.850299999999997</v>
          </cell>
          <cell r="AA397">
            <v>46.603758333333332</v>
          </cell>
          <cell r="AB397">
            <v>2.8324394295400835E-2</v>
          </cell>
          <cell r="AC397">
            <v>1.4059861111111132</v>
          </cell>
          <cell r="AD397">
            <v>49.6387</v>
          </cell>
          <cell r="AE397">
            <v>51.044686111111112</v>
          </cell>
          <cell r="AF397">
            <v>2.344286190993182E-2</v>
          </cell>
          <cell r="AG397">
            <v>0.38794888888888873</v>
          </cell>
          <cell r="AH397">
            <v>16.5487</v>
          </cell>
          <cell r="AI397">
            <v>16.93664888888889</v>
          </cell>
          <cell r="AJ397">
            <v>1.7157591630092967E-2</v>
          </cell>
          <cell r="AK397">
            <v>0.27281428571429317</v>
          </cell>
          <cell r="AL397">
            <v>15.900499999999999</v>
          </cell>
          <cell r="AM397">
            <v>16.173314285714291</v>
          </cell>
          <cell r="AN397">
            <v>2.6550410431640435E-2</v>
          </cell>
          <cell r="AO397">
            <v>0.20279999999999912</v>
          </cell>
          <cell r="AP397">
            <v>7.6383000000000001</v>
          </cell>
          <cell r="AQ397">
            <v>7.8410999999999991</v>
          </cell>
          <cell r="AR397">
            <v>1.0545616872986916E-2</v>
          </cell>
          <cell r="AS397">
            <v>0.43939999999999657</v>
          </cell>
          <cell r="AT397">
            <v>41.666600000000003</v>
          </cell>
          <cell r="AU397">
            <v>42.106000000000002</v>
          </cell>
          <cell r="AV397">
            <v>2.4348145427835928E-2</v>
          </cell>
          <cell r="AW397">
            <v>0.86189999999996403</v>
          </cell>
          <cell r="AX397">
            <v>35.399000000000001</v>
          </cell>
          <cell r="AY397">
            <v>36.260899999999964</v>
          </cell>
          <cell r="AZ397">
            <v>1.7305805404176387E-2</v>
          </cell>
          <cell r="BA397">
            <v>0.13278571428570501</v>
          </cell>
          <cell r="BB397">
            <v>7.6729000000000003</v>
          </cell>
          <cell r="BC397">
            <v>7.8056857142857057</v>
          </cell>
        </row>
        <row r="398">
          <cell r="B398">
            <v>350</v>
          </cell>
          <cell r="C398">
            <v>170</v>
          </cell>
          <cell r="D398">
            <v>2.3804302637409808E-2</v>
          </cell>
          <cell r="E398">
            <v>1.44736111111111</v>
          </cell>
          <cell r="F398">
            <v>60.802500000000002</v>
          </cell>
          <cell r="G398">
            <v>62.249861111111109</v>
          </cell>
          <cell r="H398">
            <v>3.315748283734294E-2</v>
          </cell>
          <cell r="I398">
            <v>2.4530999999999938</v>
          </cell>
          <cell r="J398">
            <v>73.9833</v>
          </cell>
          <cell r="K398">
            <v>76.436399999999992</v>
          </cell>
          <cell r="L398">
            <v>4.2822008013011184E-2</v>
          </cell>
          <cell r="M398">
            <v>2.3988888888888869E-2</v>
          </cell>
          <cell r="N398">
            <v>0.56020000000000003</v>
          </cell>
          <cell r="O398">
            <v>0.58418888888888887</v>
          </cell>
          <cell r="P398">
            <v>2.2694908138830825E-2</v>
          </cell>
          <cell r="Q398">
            <v>2.4693444444444403</v>
          </cell>
          <cell r="R398">
            <v>108.8061</v>
          </cell>
          <cell r="S398">
            <v>111.27544444444445</v>
          </cell>
          <cell r="T398">
            <v>3.9516577944588356E-2</v>
          </cell>
          <cell r="U398">
            <v>1.899372222222228</v>
          </cell>
          <cell r="V398">
            <v>48.065199999999997</v>
          </cell>
          <cell r="W398">
            <v>49.964572222222223</v>
          </cell>
          <cell r="X398">
            <v>1.6530244440421733E-2</v>
          </cell>
          <cell r="Y398">
            <v>0.75791666666666857</v>
          </cell>
          <cell r="Z398">
            <v>45.850299999999997</v>
          </cell>
          <cell r="AA398">
            <v>46.608216666666664</v>
          </cell>
          <cell r="AB398">
            <v>2.8491994261645809E-2</v>
          </cell>
          <cell r="AC398">
            <v>1.4143055555555577</v>
          </cell>
          <cell r="AD398">
            <v>49.6387</v>
          </cell>
          <cell r="AE398">
            <v>51.053005555555558</v>
          </cell>
          <cell r="AF398">
            <v>2.3581577069162182E-2</v>
          </cell>
          <cell r="AG398">
            <v>0.39024444444444428</v>
          </cell>
          <cell r="AH398">
            <v>16.5487</v>
          </cell>
          <cell r="AI398">
            <v>16.938944444444445</v>
          </cell>
          <cell r="AJ398">
            <v>1.7259115840921917E-2</v>
          </cell>
          <cell r="AK398">
            <v>0.27442857142857896</v>
          </cell>
          <cell r="AL398">
            <v>15.900499999999999</v>
          </cell>
          <cell r="AM398">
            <v>16.174928571428577</v>
          </cell>
          <cell r="AN398">
            <v>2.6707513451945997E-2</v>
          </cell>
          <cell r="AO398">
            <v>0.2039999999999991</v>
          </cell>
          <cell r="AP398">
            <v>7.6383000000000001</v>
          </cell>
          <cell r="AQ398">
            <v>7.8422999999999989</v>
          </cell>
          <cell r="AR398">
            <v>1.0608016972827075E-2</v>
          </cell>
          <cell r="AS398">
            <v>0.44199999999999662</v>
          </cell>
          <cell r="AT398">
            <v>41.666600000000003</v>
          </cell>
          <cell r="AU398">
            <v>42.108599999999996</v>
          </cell>
          <cell r="AV398">
            <v>2.4492217294272828E-2</v>
          </cell>
          <cell r="AW398">
            <v>0.8669999999999638</v>
          </cell>
          <cell r="AX398">
            <v>35.399000000000001</v>
          </cell>
          <cell r="AY398">
            <v>36.265999999999963</v>
          </cell>
          <cell r="AZ398">
            <v>1.7408206619585715E-2</v>
          </cell>
          <cell r="BA398">
            <v>0.13357142857141927</v>
          </cell>
          <cell r="BB398">
            <v>7.6729000000000003</v>
          </cell>
          <cell r="BC398">
            <v>7.8064714285714194</v>
          </cell>
        </row>
        <row r="399">
          <cell r="B399">
            <v>351</v>
          </cell>
          <cell r="C399">
            <v>171</v>
          </cell>
          <cell r="D399">
            <v>2.3944327947041631E-2</v>
          </cell>
          <cell r="E399">
            <v>1.4558749999999987</v>
          </cell>
          <cell r="F399">
            <v>60.802500000000002</v>
          </cell>
          <cell r="G399">
            <v>62.258375000000001</v>
          </cell>
          <cell r="H399">
            <v>3.3352526854033192E-2</v>
          </cell>
          <cell r="I399">
            <v>2.4675299999999938</v>
          </cell>
          <cell r="J399">
            <v>73.9833</v>
          </cell>
          <cell r="K399">
            <v>76.450829999999996</v>
          </cell>
          <cell r="L399">
            <v>4.3073902177793603E-2</v>
          </cell>
          <cell r="M399">
            <v>2.4129999999999981E-2</v>
          </cell>
          <cell r="N399">
            <v>0.56020000000000003</v>
          </cell>
          <cell r="O399">
            <v>0.58433000000000002</v>
          </cell>
          <cell r="P399">
            <v>2.2828407598471007E-2</v>
          </cell>
          <cell r="Q399">
            <v>2.483869999999996</v>
          </cell>
          <cell r="R399">
            <v>108.8061</v>
          </cell>
          <cell r="S399">
            <v>111.28997</v>
          </cell>
          <cell r="T399">
            <v>3.9749028403085931E-2</v>
          </cell>
          <cell r="U399">
            <v>1.9105450000000057</v>
          </cell>
          <cell r="V399">
            <v>48.065199999999997</v>
          </cell>
          <cell r="W399">
            <v>49.975745000000003</v>
          </cell>
          <cell r="X399">
            <v>1.6627481172424213E-2</v>
          </cell>
          <cell r="Y399">
            <v>0.7623750000000018</v>
          </cell>
          <cell r="Z399">
            <v>45.850299999999997</v>
          </cell>
          <cell r="AA399">
            <v>46.612674999999996</v>
          </cell>
          <cell r="AB399">
            <v>2.8659594227890786E-2</v>
          </cell>
          <cell r="AC399">
            <v>1.4226250000000022</v>
          </cell>
          <cell r="AD399">
            <v>49.6387</v>
          </cell>
          <cell r="AE399">
            <v>51.061325000000004</v>
          </cell>
          <cell r="AF399">
            <v>2.3720292228392548E-2</v>
          </cell>
          <cell r="AG399">
            <v>0.39253999999999978</v>
          </cell>
          <cell r="AH399">
            <v>16.5487</v>
          </cell>
          <cell r="AI399">
            <v>16.941240000000001</v>
          </cell>
          <cell r="AJ399">
            <v>1.7360640051750871E-2</v>
          </cell>
          <cell r="AK399">
            <v>0.27604285714286469</v>
          </cell>
          <cell r="AL399">
            <v>15.900499999999999</v>
          </cell>
          <cell r="AM399">
            <v>16.176542857142863</v>
          </cell>
          <cell r="AN399">
            <v>2.6864616472251562E-2</v>
          </cell>
          <cell r="AO399">
            <v>0.20519999999999911</v>
          </cell>
          <cell r="AP399">
            <v>7.6383000000000001</v>
          </cell>
          <cell r="AQ399">
            <v>7.8434999999999988</v>
          </cell>
          <cell r="AR399">
            <v>1.0670417072667233E-2</v>
          </cell>
          <cell r="AS399">
            <v>0.44459999999999666</v>
          </cell>
          <cell r="AT399">
            <v>41.666600000000003</v>
          </cell>
          <cell r="AU399">
            <v>42.111199999999997</v>
          </cell>
          <cell r="AV399">
            <v>2.4636289160709729E-2</v>
          </cell>
          <cell r="AW399">
            <v>0.87209999999996357</v>
          </cell>
          <cell r="AX399">
            <v>35.399000000000001</v>
          </cell>
          <cell r="AY399">
            <v>36.271099999999961</v>
          </cell>
          <cell r="AZ399">
            <v>1.7510607834995043E-2</v>
          </cell>
          <cell r="BA399">
            <v>0.13435714285713349</v>
          </cell>
          <cell r="BB399">
            <v>7.6729000000000003</v>
          </cell>
          <cell r="BC399">
            <v>7.807257142857134</v>
          </cell>
        </row>
        <row r="400">
          <cell r="B400">
            <v>352</v>
          </cell>
          <cell r="C400">
            <v>172</v>
          </cell>
          <cell r="D400">
            <v>2.4084353256673453E-2</v>
          </cell>
          <cell r="E400">
            <v>1.4643888888888879</v>
          </cell>
          <cell r="F400">
            <v>60.802500000000002</v>
          </cell>
          <cell r="G400">
            <v>62.266888888888893</v>
          </cell>
          <cell r="H400">
            <v>3.3547570870723444E-2</v>
          </cell>
          <cell r="I400">
            <v>2.4819599999999937</v>
          </cell>
          <cell r="J400">
            <v>73.9833</v>
          </cell>
          <cell r="K400">
            <v>76.465260000000001</v>
          </cell>
          <cell r="L400">
            <v>4.3325796342576023E-2</v>
          </cell>
          <cell r="M400">
            <v>2.4271111111111094E-2</v>
          </cell>
          <cell r="N400">
            <v>0.56020000000000003</v>
          </cell>
          <cell r="O400">
            <v>0.58447111111111116</v>
          </cell>
          <cell r="P400">
            <v>2.296190705811119E-2</v>
          </cell>
          <cell r="Q400">
            <v>2.4983955555555517</v>
          </cell>
          <cell r="R400">
            <v>108.8061</v>
          </cell>
          <cell r="S400">
            <v>111.30449555555555</v>
          </cell>
          <cell r="T400">
            <v>3.9981478861583507E-2</v>
          </cell>
          <cell r="U400">
            <v>1.9217177777777839</v>
          </cell>
          <cell r="V400">
            <v>48.065199999999997</v>
          </cell>
          <cell r="W400">
            <v>49.986917777777784</v>
          </cell>
          <cell r="X400">
            <v>1.6724717904426693E-2</v>
          </cell>
          <cell r="Y400">
            <v>0.76683333333333525</v>
          </cell>
          <cell r="Z400">
            <v>45.850299999999997</v>
          </cell>
          <cell r="AA400">
            <v>46.617133333333335</v>
          </cell>
          <cell r="AB400">
            <v>2.882719419413576E-2</v>
          </cell>
          <cell r="AC400">
            <v>1.4309444444444466</v>
          </cell>
          <cell r="AD400">
            <v>49.6387</v>
          </cell>
          <cell r="AE400">
            <v>51.06964444444445</v>
          </cell>
          <cell r="AF400">
            <v>2.3859007387622918E-2</v>
          </cell>
          <cell r="AG400">
            <v>0.39483555555555533</v>
          </cell>
          <cell r="AH400">
            <v>16.5487</v>
          </cell>
          <cell r="AI400">
            <v>16.943535555555556</v>
          </cell>
          <cell r="AJ400">
            <v>1.7462164262579825E-2</v>
          </cell>
          <cell r="AK400">
            <v>0.27765714285715049</v>
          </cell>
          <cell r="AL400">
            <v>15.900499999999999</v>
          </cell>
          <cell r="AM400">
            <v>16.178157142857149</v>
          </cell>
          <cell r="AN400">
            <v>2.7021719492557127E-2</v>
          </cell>
          <cell r="AO400">
            <v>0.20639999999999908</v>
          </cell>
          <cell r="AP400">
            <v>7.6383000000000001</v>
          </cell>
          <cell r="AQ400">
            <v>7.8446999999999996</v>
          </cell>
          <cell r="AR400">
            <v>1.0732817172507392E-2</v>
          </cell>
          <cell r="AS400">
            <v>0.4471999999999966</v>
          </cell>
          <cell r="AT400">
            <v>41.666600000000003</v>
          </cell>
          <cell r="AU400">
            <v>42.113799999999998</v>
          </cell>
          <cell r="AV400">
            <v>2.4780361027146626E-2</v>
          </cell>
          <cell r="AW400">
            <v>0.87719999999996345</v>
          </cell>
          <cell r="AX400">
            <v>35.399000000000001</v>
          </cell>
          <cell r="AY400">
            <v>36.276199999999967</v>
          </cell>
          <cell r="AZ400">
            <v>1.7613009050404371E-2</v>
          </cell>
          <cell r="BA400">
            <v>0.13514285714284771</v>
          </cell>
          <cell r="BB400">
            <v>7.6729000000000003</v>
          </cell>
          <cell r="BC400">
            <v>7.8080428571428477</v>
          </cell>
        </row>
        <row r="401">
          <cell r="B401">
            <v>353</v>
          </cell>
          <cell r="C401">
            <v>173</v>
          </cell>
          <cell r="D401">
            <v>2.4224378566305275E-2</v>
          </cell>
          <cell r="E401">
            <v>1.4729027777777768</v>
          </cell>
          <cell r="F401">
            <v>60.802500000000002</v>
          </cell>
          <cell r="G401">
            <v>62.275402777777778</v>
          </cell>
          <cell r="H401">
            <v>3.3742614887413695E-2</v>
          </cell>
          <cell r="I401">
            <v>2.4963899999999937</v>
          </cell>
          <cell r="J401">
            <v>73.9833</v>
          </cell>
          <cell r="K401">
            <v>76.479689999999991</v>
          </cell>
          <cell r="L401">
            <v>4.3577690507358442E-2</v>
          </cell>
          <cell r="M401">
            <v>2.44122222222222E-2</v>
          </cell>
          <cell r="N401">
            <v>0.56020000000000003</v>
          </cell>
          <cell r="O401">
            <v>0.5846122222222222</v>
          </cell>
          <cell r="P401">
            <v>2.3095406517751365E-2</v>
          </cell>
          <cell r="Q401">
            <v>2.5129211111111069</v>
          </cell>
          <cell r="R401">
            <v>108.8061</v>
          </cell>
          <cell r="S401">
            <v>111.31902111111111</v>
          </cell>
          <cell r="T401">
            <v>4.0213929320081089E-2</v>
          </cell>
          <cell r="U401">
            <v>1.9328905555555616</v>
          </cell>
          <cell r="V401">
            <v>48.065199999999997</v>
          </cell>
          <cell r="W401">
            <v>49.998090555555557</v>
          </cell>
          <cell r="X401">
            <v>1.6821954636429177E-2</v>
          </cell>
          <cell r="Y401">
            <v>0.7712916666666686</v>
          </cell>
          <cell r="Z401">
            <v>45.850299999999997</v>
          </cell>
          <cell r="AA401">
            <v>46.621591666666667</v>
          </cell>
          <cell r="AB401">
            <v>2.8994794160380734E-2</v>
          </cell>
          <cell r="AC401">
            <v>1.4392638888888911</v>
          </cell>
          <cell r="AD401">
            <v>49.6387</v>
          </cell>
          <cell r="AE401">
            <v>51.077963888888888</v>
          </cell>
          <cell r="AF401">
            <v>2.3997722546853284E-2</v>
          </cell>
          <cell r="AG401">
            <v>0.39713111111111093</v>
          </cell>
          <cell r="AH401">
            <v>16.5487</v>
          </cell>
          <cell r="AI401">
            <v>16.945831111111112</v>
          </cell>
          <cell r="AJ401">
            <v>1.7563688473408775E-2</v>
          </cell>
          <cell r="AK401">
            <v>0.27927142857143622</v>
          </cell>
          <cell r="AL401">
            <v>15.900499999999999</v>
          </cell>
          <cell r="AM401">
            <v>16.179771428571435</v>
          </cell>
          <cell r="AN401">
            <v>2.7178822512862692E-2</v>
          </cell>
          <cell r="AO401">
            <v>0.20759999999999909</v>
          </cell>
          <cell r="AP401">
            <v>7.6383000000000001</v>
          </cell>
          <cell r="AQ401">
            <v>7.8458999999999994</v>
          </cell>
          <cell r="AR401">
            <v>1.0795217272347552E-2</v>
          </cell>
          <cell r="AS401">
            <v>0.44979999999999654</v>
          </cell>
          <cell r="AT401">
            <v>41.666600000000003</v>
          </cell>
          <cell r="AU401">
            <v>42.116399999999999</v>
          </cell>
          <cell r="AV401">
            <v>2.4924432893583526E-2</v>
          </cell>
          <cell r="AW401">
            <v>0.88229999999996322</v>
          </cell>
          <cell r="AX401">
            <v>35.399000000000001</v>
          </cell>
          <cell r="AY401">
            <v>36.281299999999966</v>
          </cell>
          <cell r="AZ401">
            <v>1.7715410265813698E-2</v>
          </cell>
          <cell r="BA401">
            <v>0.13592857142856193</v>
          </cell>
          <cell r="BB401">
            <v>7.6729000000000003</v>
          </cell>
          <cell r="BC401">
            <v>7.8088285714285623</v>
          </cell>
        </row>
        <row r="402">
          <cell r="B402">
            <v>354</v>
          </cell>
          <cell r="C402">
            <v>174</v>
          </cell>
          <cell r="D402">
            <v>2.4364403875937097E-2</v>
          </cell>
          <cell r="E402">
            <v>1.4814166666666655</v>
          </cell>
          <cell r="F402">
            <v>60.802500000000002</v>
          </cell>
          <cell r="G402">
            <v>62.28391666666667</v>
          </cell>
          <cell r="H402">
            <v>3.3937658904103947E-2</v>
          </cell>
          <cell r="I402">
            <v>2.5108199999999936</v>
          </cell>
          <cell r="J402">
            <v>73.9833</v>
          </cell>
          <cell r="K402">
            <v>76.494119999999995</v>
          </cell>
          <cell r="L402">
            <v>4.3829584672140862E-2</v>
          </cell>
          <cell r="M402">
            <v>2.4553333333333312E-2</v>
          </cell>
          <cell r="N402">
            <v>0.56020000000000003</v>
          </cell>
          <cell r="O402">
            <v>0.58475333333333335</v>
          </cell>
          <cell r="P402">
            <v>2.3228905977391547E-2</v>
          </cell>
          <cell r="Q402">
            <v>2.5274466666666626</v>
          </cell>
          <cell r="R402">
            <v>108.8061</v>
          </cell>
          <cell r="S402">
            <v>111.33354666666666</v>
          </cell>
          <cell r="T402">
            <v>4.0446379778578664E-2</v>
          </cell>
          <cell r="U402">
            <v>1.9440633333333392</v>
          </cell>
          <cell r="V402">
            <v>48.065199999999997</v>
          </cell>
          <cell r="W402">
            <v>50.009263333333337</v>
          </cell>
          <cell r="X402">
            <v>1.6919191368431653E-2</v>
          </cell>
          <cell r="Y402">
            <v>0.77575000000000183</v>
          </cell>
          <cell r="Z402">
            <v>45.850299999999997</v>
          </cell>
          <cell r="AA402">
            <v>46.626049999999999</v>
          </cell>
          <cell r="AB402">
            <v>2.9162394126625711E-2</v>
          </cell>
          <cell r="AC402">
            <v>1.4475833333333354</v>
          </cell>
          <cell r="AD402">
            <v>49.6387</v>
          </cell>
          <cell r="AE402">
            <v>51.086283333333334</v>
          </cell>
          <cell r="AF402">
            <v>2.413643770608365E-2</v>
          </cell>
          <cell r="AG402">
            <v>0.39942666666666643</v>
          </cell>
          <cell r="AH402">
            <v>16.5487</v>
          </cell>
          <cell r="AI402">
            <v>16.948126666666667</v>
          </cell>
          <cell r="AJ402">
            <v>1.7665212684237729E-2</v>
          </cell>
          <cell r="AK402">
            <v>0.28088571428572201</v>
          </cell>
          <cell r="AL402">
            <v>15.900499999999999</v>
          </cell>
          <cell r="AM402">
            <v>16.181385714285721</v>
          </cell>
          <cell r="AN402">
            <v>2.733592553316826E-2</v>
          </cell>
          <cell r="AO402">
            <v>0.20879999999999907</v>
          </cell>
          <cell r="AP402">
            <v>7.6383000000000001</v>
          </cell>
          <cell r="AQ402">
            <v>7.8470999999999993</v>
          </cell>
          <cell r="AR402">
            <v>1.0857617372187711E-2</v>
          </cell>
          <cell r="AS402">
            <v>0.45239999999999653</v>
          </cell>
          <cell r="AT402">
            <v>41.666600000000003</v>
          </cell>
          <cell r="AU402">
            <v>42.119</v>
          </cell>
          <cell r="AV402">
            <v>2.5068504760020427E-2</v>
          </cell>
          <cell r="AW402">
            <v>0.887399999999963</v>
          </cell>
          <cell r="AX402">
            <v>35.399000000000001</v>
          </cell>
          <cell r="AY402">
            <v>36.286399999999965</v>
          </cell>
          <cell r="AZ402">
            <v>1.7817811481223026E-2</v>
          </cell>
          <cell r="BA402">
            <v>0.13671428571427618</v>
          </cell>
          <cell r="BB402">
            <v>7.6729000000000003</v>
          </cell>
          <cell r="BC402">
            <v>7.8096142857142761</v>
          </cell>
        </row>
        <row r="403">
          <cell r="B403">
            <v>355</v>
          </cell>
          <cell r="C403">
            <v>175</v>
          </cell>
          <cell r="D403">
            <v>2.4504429185568923E-2</v>
          </cell>
          <cell r="E403">
            <v>1.4899305555555542</v>
          </cell>
          <cell r="F403">
            <v>60.802500000000002</v>
          </cell>
          <cell r="G403">
            <v>62.292430555555555</v>
          </cell>
          <cell r="H403">
            <v>3.4132702920794199E-2</v>
          </cell>
          <cell r="I403">
            <v>2.5252499999999936</v>
          </cell>
          <cell r="J403">
            <v>73.9833</v>
          </cell>
          <cell r="K403">
            <v>76.50855</v>
          </cell>
          <cell r="L403">
            <v>4.4081478836923274E-2</v>
          </cell>
          <cell r="M403">
            <v>2.4694444444444422E-2</v>
          </cell>
          <cell r="N403">
            <v>0.56020000000000003</v>
          </cell>
          <cell r="O403">
            <v>0.58489444444444449</v>
          </cell>
          <cell r="P403">
            <v>2.3362405437031733E-2</v>
          </cell>
          <cell r="Q403">
            <v>2.5419722222222183</v>
          </cell>
          <cell r="R403">
            <v>108.8061</v>
          </cell>
          <cell r="S403">
            <v>111.34807222222221</v>
          </cell>
          <cell r="T403">
            <v>4.0678830237076247E-2</v>
          </cell>
          <cell r="U403">
            <v>1.9552361111111172</v>
          </cell>
          <cell r="V403">
            <v>48.065199999999997</v>
          </cell>
          <cell r="W403">
            <v>50.020436111111117</v>
          </cell>
          <cell r="X403">
            <v>1.7016428100434137E-2</v>
          </cell>
          <cell r="Y403">
            <v>0.78020833333333528</v>
          </cell>
          <cell r="Z403">
            <v>45.850299999999997</v>
          </cell>
          <cell r="AA403">
            <v>46.630508333333331</v>
          </cell>
          <cell r="AB403">
            <v>2.9329994092870685E-2</v>
          </cell>
          <cell r="AC403">
            <v>1.45590277777778</v>
          </cell>
          <cell r="AD403">
            <v>49.6387</v>
          </cell>
          <cell r="AE403">
            <v>51.09460277777778</v>
          </cell>
          <cell r="AF403">
            <v>2.4275152865314013E-2</v>
          </cell>
          <cell r="AG403">
            <v>0.40172222222222198</v>
          </cell>
          <cell r="AH403">
            <v>16.5487</v>
          </cell>
          <cell r="AI403">
            <v>16.950422222222223</v>
          </cell>
          <cell r="AJ403">
            <v>1.7766736895066682E-2</v>
          </cell>
          <cell r="AK403">
            <v>0.28250000000000774</v>
          </cell>
          <cell r="AL403">
            <v>15.900499999999999</v>
          </cell>
          <cell r="AM403">
            <v>16.183000000000007</v>
          </cell>
          <cell r="AN403">
            <v>2.7493028553473822E-2</v>
          </cell>
          <cell r="AO403">
            <v>0.20999999999999908</v>
          </cell>
          <cell r="AP403">
            <v>7.6383000000000001</v>
          </cell>
          <cell r="AQ403">
            <v>7.8482999999999992</v>
          </cell>
          <cell r="AR403">
            <v>1.0920017472027872E-2</v>
          </cell>
          <cell r="AS403">
            <v>0.45499999999999657</v>
          </cell>
          <cell r="AT403">
            <v>41.666600000000003</v>
          </cell>
          <cell r="AU403">
            <v>42.121600000000001</v>
          </cell>
          <cell r="AV403">
            <v>2.5212576626457324E-2</v>
          </cell>
          <cell r="AW403">
            <v>0.89249999999996277</v>
          </cell>
          <cell r="AX403">
            <v>35.399000000000001</v>
          </cell>
          <cell r="AY403">
            <v>36.291499999999964</v>
          </cell>
          <cell r="AZ403">
            <v>1.7920212696632354E-2</v>
          </cell>
          <cell r="BA403">
            <v>0.13749999999999041</v>
          </cell>
          <cell r="BB403">
            <v>7.6729000000000003</v>
          </cell>
          <cell r="BC403">
            <v>7.8103999999999907</v>
          </cell>
        </row>
        <row r="404">
          <cell r="B404">
            <v>356</v>
          </cell>
          <cell r="C404">
            <v>176</v>
          </cell>
          <cell r="D404">
            <v>2.4644454495200745E-2</v>
          </cell>
          <cell r="E404">
            <v>1.4984444444444434</v>
          </cell>
          <cell r="F404">
            <v>60.802500000000002</v>
          </cell>
          <cell r="G404">
            <v>62.300944444444447</v>
          </cell>
          <cell r="H404">
            <v>3.432774693748445E-2</v>
          </cell>
          <cell r="I404">
            <v>2.5396799999999935</v>
          </cell>
          <cell r="J404">
            <v>73.9833</v>
          </cell>
          <cell r="K404">
            <v>76.52297999999999</v>
          </cell>
          <cell r="L404">
            <v>4.4333373001705693E-2</v>
          </cell>
          <cell r="M404">
            <v>2.4835555555555534E-2</v>
          </cell>
          <cell r="N404">
            <v>0.56020000000000003</v>
          </cell>
          <cell r="O404">
            <v>0.58503555555555553</v>
          </cell>
          <cell r="P404">
            <v>2.3495904896671915E-2</v>
          </cell>
          <cell r="Q404">
            <v>2.5564977777777735</v>
          </cell>
          <cell r="R404">
            <v>108.8061</v>
          </cell>
          <cell r="S404">
            <v>111.36259777777778</v>
          </cell>
          <cell r="T404">
            <v>4.0911280695573822E-2</v>
          </cell>
          <cell r="U404">
            <v>1.9664088888888949</v>
          </cell>
          <cell r="V404">
            <v>48.065199999999997</v>
          </cell>
          <cell r="W404">
            <v>50.03160888888889</v>
          </cell>
          <cell r="X404">
            <v>1.7113664832436617E-2</v>
          </cell>
          <cell r="Y404">
            <v>0.78466666666666862</v>
          </cell>
          <cell r="Z404">
            <v>45.850299999999997</v>
          </cell>
          <cell r="AA404">
            <v>46.634966666666664</v>
          </cell>
          <cell r="AB404">
            <v>2.9497594059115659E-2</v>
          </cell>
          <cell r="AC404">
            <v>1.4642222222222245</v>
          </cell>
          <cell r="AD404">
            <v>49.6387</v>
          </cell>
          <cell r="AE404">
            <v>51.102922222222226</v>
          </cell>
          <cell r="AF404">
            <v>2.4413868024544379E-2</v>
          </cell>
          <cell r="AG404">
            <v>0.40401777777777759</v>
          </cell>
          <cell r="AH404">
            <v>16.5487</v>
          </cell>
          <cell r="AI404">
            <v>16.952717777777778</v>
          </cell>
          <cell r="AJ404">
            <v>1.7868261105895632E-2</v>
          </cell>
          <cell r="AK404">
            <v>0.28411428571429348</v>
          </cell>
          <cell r="AL404">
            <v>15.900499999999999</v>
          </cell>
          <cell r="AM404">
            <v>16.184614285714293</v>
          </cell>
          <cell r="AN404">
            <v>2.7650131573779387E-2</v>
          </cell>
          <cell r="AO404">
            <v>0.21119999999999908</v>
          </cell>
          <cell r="AP404">
            <v>7.6383000000000001</v>
          </cell>
          <cell r="AQ404">
            <v>7.849499999999999</v>
          </cell>
          <cell r="AR404">
            <v>1.098241757186803E-2</v>
          </cell>
          <cell r="AS404">
            <v>0.45759999999999651</v>
          </cell>
          <cell r="AT404">
            <v>41.666600000000003</v>
          </cell>
          <cell r="AU404">
            <v>42.124200000000002</v>
          </cell>
          <cell r="AV404">
            <v>2.5356648492894224E-2</v>
          </cell>
          <cell r="AW404">
            <v>0.89759999999996254</v>
          </cell>
          <cell r="AX404">
            <v>35.399000000000001</v>
          </cell>
          <cell r="AY404">
            <v>36.296599999999962</v>
          </cell>
          <cell r="AZ404">
            <v>1.8022613912041682E-2</v>
          </cell>
          <cell r="BA404">
            <v>0.13828571428570463</v>
          </cell>
          <cell r="BB404">
            <v>7.6729000000000003</v>
          </cell>
          <cell r="BC404">
            <v>7.8111857142857053</v>
          </cell>
        </row>
        <row r="405">
          <cell r="B405">
            <v>357</v>
          </cell>
          <cell r="C405">
            <v>177</v>
          </cell>
          <cell r="D405">
            <v>2.4784479804832567E-2</v>
          </cell>
          <cell r="E405">
            <v>1.5069583333333323</v>
          </cell>
          <cell r="F405">
            <v>60.802500000000002</v>
          </cell>
          <cell r="G405">
            <v>62.309458333333332</v>
          </cell>
          <cell r="H405">
            <v>3.4522790954174702E-2</v>
          </cell>
          <cell r="I405">
            <v>2.5541099999999934</v>
          </cell>
          <cell r="J405">
            <v>73.9833</v>
          </cell>
          <cell r="K405">
            <v>76.537409999999994</v>
          </cell>
          <cell r="L405">
            <v>4.4585267166488113E-2</v>
          </cell>
          <cell r="M405">
            <v>2.4976666666666647E-2</v>
          </cell>
          <cell r="N405">
            <v>0.56020000000000003</v>
          </cell>
          <cell r="O405">
            <v>0.58517666666666668</v>
          </cell>
          <cell r="P405">
            <v>2.3629404356312091E-2</v>
          </cell>
          <cell r="Q405">
            <v>2.5710233333333292</v>
          </cell>
          <cell r="R405">
            <v>108.8061</v>
          </cell>
          <cell r="S405">
            <v>111.37712333333333</v>
          </cell>
          <cell r="T405">
            <v>4.1143731154071397E-2</v>
          </cell>
          <cell r="U405">
            <v>1.9775816666666726</v>
          </cell>
          <cell r="V405">
            <v>48.065199999999997</v>
          </cell>
          <cell r="W405">
            <v>50.04278166666667</v>
          </cell>
          <cell r="X405">
            <v>1.72109015644391E-2</v>
          </cell>
          <cell r="Y405">
            <v>0.78912500000000196</v>
          </cell>
          <cell r="Z405">
            <v>45.850299999999997</v>
          </cell>
          <cell r="AA405">
            <v>46.639424999999996</v>
          </cell>
          <cell r="AB405">
            <v>2.9665194025360636E-2</v>
          </cell>
          <cell r="AC405">
            <v>1.4725416666666689</v>
          </cell>
          <cell r="AD405">
            <v>49.6387</v>
          </cell>
          <cell r="AE405">
            <v>51.111241666666672</v>
          </cell>
          <cell r="AF405">
            <v>2.4552583183774745E-2</v>
          </cell>
          <cell r="AG405">
            <v>0.40631333333333314</v>
          </cell>
          <cell r="AH405">
            <v>16.5487</v>
          </cell>
          <cell r="AI405">
            <v>16.955013333333333</v>
          </cell>
          <cell r="AJ405">
            <v>1.7969785316724586E-2</v>
          </cell>
          <cell r="AK405">
            <v>0.28572857142857927</v>
          </cell>
          <cell r="AL405">
            <v>15.900499999999999</v>
          </cell>
          <cell r="AM405">
            <v>16.186228571428579</v>
          </cell>
          <cell r="AN405">
            <v>2.7807234594084951E-2</v>
          </cell>
          <cell r="AO405">
            <v>0.21239999999999906</v>
          </cell>
          <cell r="AP405">
            <v>7.6383000000000001</v>
          </cell>
          <cell r="AQ405">
            <v>7.8506999999999989</v>
          </cell>
          <cell r="AR405">
            <v>1.1044817671708189E-2</v>
          </cell>
          <cell r="AS405">
            <v>0.46019999999999645</v>
          </cell>
          <cell r="AT405">
            <v>41.666600000000003</v>
          </cell>
          <cell r="AU405">
            <v>42.126799999999996</v>
          </cell>
          <cell r="AV405">
            <v>2.5500720359331121E-2</v>
          </cell>
          <cell r="AW405">
            <v>0.90269999999996231</v>
          </cell>
          <cell r="AX405">
            <v>35.399000000000001</v>
          </cell>
          <cell r="AY405">
            <v>36.301699999999961</v>
          </cell>
          <cell r="AZ405">
            <v>1.8125015127451009E-2</v>
          </cell>
          <cell r="BA405">
            <v>0.13907142857141888</v>
          </cell>
          <cell r="BB405">
            <v>7.6729000000000003</v>
          </cell>
          <cell r="BC405">
            <v>7.811971428571419</v>
          </cell>
        </row>
        <row r="406">
          <cell r="B406">
            <v>358</v>
          </cell>
          <cell r="C406">
            <v>178</v>
          </cell>
          <cell r="D406">
            <v>2.4924505114464389E-2</v>
          </cell>
          <cell r="E406">
            <v>1.515472222222221</v>
          </cell>
          <cell r="F406">
            <v>60.802500000000002</v>
          </cell>
          <cell r="G406">
            <v>62.317972222222224</v>
          </cell>
          <cell r="H406">
            <v>3.4717834970864961E-2</v>
          </cell>
          <cell r="I406">
            <v>2.5685399999999934</v>
          </cell>
          <cell r="J406">
            <v>73.9833</v>
          </cell>
          <cell r="K406">
            <v>76.551839999999999</v>
          </cell>
          <cell r="L406">
            <v>4.4837161331270539E-2</v>
          </cell>
          <cell r="M406">
            <v>2.5117777777777756E-2</v>
          </cell>
          <cell r="N406">
            <v>0.56020000000000003</v>
          </cell>
          <cell r="O406">
            <v>0.58531777777777783</v>
          </cell>
          <cell r="P406">
            <v>2.3762903815952273E-2</v>
          </cell>
          <cell r="Q406">
            <v>2.5855488888888849</v>
          </cell>
          <cell r="R406">
            <v>108.8061</v>
          </cell>
          <cell r="S406">
            <v>111.39164888888888</v>
          </cell>
          <cell r="T406">
            <v>4.137618161256898E-2</v>
          </cell>
          <cell r="U406">
            <v>1.9887544444444505</v>
          </cell>
          <cell r="V406">
            <v>48.065199999999997</v>
          </cell>
          <cell r="W406">
            <v>50.05395444444445</v>
          </cell>
          <cell r="X406">
            <v>1.730813829644158E-2</v>
          </cell>
          <cell r="Y406">
            <v>0.79358333333333542</v>
          </cell>
          <cell r="Z406">
            <v>45.850299999999997</v>
          </cell>
          <cell r="AA406">
            <v>46.643883333333335</v>
          </cell>
          <cell r="AB406">
            <v>2.983279399160561E-2</v>
          </cell>
          <cell r="AC406">
            <v>1.4808611111111134</v>
          </cell>
          <cell r="AD406">
            <v>49.6387</v>
          </cell>
          <cell r="AE406">
            <v>51.119561111111111</v>
          </cell>
          <cell r="AF406">
            <v>2.4691298343005111E-2</v>
          </cell>
          <cell r="AG406">
            <v>0.40860888888888874</v>
          </cell>
          <cell r="AH406">
            <v>16.5487</v>
          </cell>
          <cell r="AI406">
            <v>16.957308888888889</v>
          </cell>
          <cell r="AJ406">
            <v>1.807130952755354E-2</v>
          </cell>
          <cell r="AK406">
            <v>0.287342857142865</v>
          </cell>
          <cell r="AL406">
            <v>15.900499999999999</v>
          </cell>
          <cell r="AM406">
            <v>16.187842857142865</v>
          </cell>
          <cell r="AN406">
            <v>2.7964337614390516E-2</v>
          </cell>
          <cell r="AO406">
            <v>0.21359999999999907</v>
          </cell>
          <cell r="AP406">
            <v>7.6383000000000001</v>
          </cell>
          <cell r="AQ406">
            <v>7.8518999999999988</v>
          </cell>
          <cell r="AR406">
            <v>1.1107217771548349E-2</v>
          </cell>
          <cell r="AS406">
            <v>0.46279999999999644</v>
          </cell>
          <cell r="AT406">
            <v>41.666600000000003</v>
          </cell>
          <cell r="AU406">
            <v>42.129399999999997</v>
          </cell>
          <cell r="AV406">
            <v>2.5644792225768018E-2</v>
          </cell>
          <cell r="AW406">
            <v>0.90779999999996208</v>
          </cell>
          <cell r="AX406">
            <v>35.399000000000001</v>
          </cell>
          <cell r="AY406">
            <v>36.30679999999996</v>
          </cell>
          <cell r="AZ406">
            <v>1.8227416342860341E-2</v>
          </cell>
          <cell r="BA406">
            <v>0.1398571428571331</v>
          </cell>
          <cell r="BB406">
            <v>7.6729000000000003</v>
          </cell>
          <cell r="BC406">
            <v>7.8127571428571336</v>
          </cell>
        </row>
        <row r="407">
          <cell r="B407">
            <v>359</v>
          </cell>
          <cell r="C407">
            <v>179</v>
          </cell>
          <cell r="D407">
            <v>2.5064530424096211E-2</v>
          </cell>
          <cell r="E407">
            <v>1.5239861111111099</v>
          </cell>
          <cell r="F407">
            <v>60.802500000000002</v>
          </cell>
          <cell r="G407">
            <v>62.326486111111109</v>
          </cell>
          <cell r="H407">
            <v>3.4912878987555213E-2</v>
          </cell>
          <cell r="I407">
            <v>2.5829699999999933</v>
          </cell>
          <cell r="J407">
            <v>73.9833</v>
          </cell>
          <cell r="K407">
            <v>76.566269999999989</v>
          </cell>
          <cell r="L407">
            <v>4.5089055496052952E-2</v>
          </cell>
          <cell r="M407">
            <v>2.5258888888888869E-2</v>
          </cell>
          <cell r="N407">
            <v>0.56020000000000003</v>
          </cell>
          <cell r="O407">
            <v>0.58545888888888886</v>
          </cell>
          <cell r="P407">
            <v>2.3896403275592455E-2</v>
          </cell>
          <cell r="Q407">
            <v>2.6000744444444401</v>
          </cell>
          <cell r="R407">
            <v>108.8061</v>
          </cell>
          <cell r="S407">
            <v>111.40617444444445</v>
          </cell>
          <cell r="T407">
            <v>4.1608632071066562E-2</v>
          </cell>
          <cell r="U407">
            <v>1.9999272222222282</v>
          </cell>
          <cell r="V407">
            <v>48.065199999999997</v>
          </cell>
          <cell r="W407">
            <v>50.065127222222223</v>
          </cell>
          <cell r="X407">
            <v>1.740537502844406E-2</v>
          </cell>
          <cell r="Y407">
            <v>0.79804166666666865</v>
          </cell>
          <cell r="Z407">
            <v>45.850299999999997</v>
          </cell>
          <cell r="AA407">
            <v>46.648341666666667</v>
          </cell>
          <cell r="AB407">
            <v>3.0000393957850587E-2</v>
          </cell>
          <cell r="AC407">
            <v>1.4891805555555577</v>
          </cell>
          <cell r="AD407">
            <v>49.6387</v>
          </cell>
          <cell r="AE407">
            <v>51.127880555555556</v>
          </cell>
          <cell r="AF407">
            <v>2.483001350223548E-2</v>
          </cell>
          <cell r="AG407">
            <v>0.41090444444444424</v>
          </cell>
          <cell r="AH407">
            <v>16.5487</v>
          </cell>
          <cell r="AI407">
            <v>16.959604444444444</v>
          </cell>
          <cell r="AJ407">
            <v>1.8172833738382493E-2</v>
          </cell>
          <cell r="AK407">
            <v>0.28895714285715079</v>
          </cell>
          <cell r="AL407">
            <v>15.900499999999999</v>
          </cell>
          <cell r="AM407">
            <v>16.189457142857151</v>
          </cell>
          <cell r="AN407">
            <v>2.8121440634696078E-2</v>
          </cell>
          <cell r="AO407">
            <v>0.21479999999999905</v>
          </cell>
          <cell r="AP407">
            <v>7.6383000000000001</v>
          </cell>
          <cell r="AQ407">
            <v>7.8530999999999995</v>
          </cell>
          <cell r="AR407">
            <v>1.116961787138851E-2</v>
          </cell>
          <cell r="AS407">
            <v>0.46539999999999648</v>
          </cell>
          <cell r="AT407">
            <v>41.666600000000003</v>
          </cell>
          <cell r="AU407">
            <v>42.131999999999998</v>
          </cell>
          <cell r="AV407">
            <v>2.5788864092204922E-2</v>
          </cell>
          <cell r="AW407">
            <v>0.91289999999996196</v>
          </cell>
          <cell r="AX407">
            <v>35.399000000000001</v>
          </cell>
          <cell r="AY407">
            <v>36.311899999999966</v>
          </cell>
          <cell r="AZ407">
            <v>1.8329817558269668E-2</v>
          </cell>
          <cell r="BA407">
            <v>0.14064285714284733</v>
          </cell>
          <cell r="BB407">
            <v>7.6729000000000003</v>
          </cell>
          <cell r="BC407">
            <v>7.8135428571428474</v>
          </cell>
        </row>
        <row r="408">
          <cell r="B408">
            <v>360</v>
          </cell>
          <cell r="C408">
            <v>180</v>
          </cell>
          <cell r="D408">
            <v>2.5204555733728033E-2</v>
          </cell>
          <cell r="E408">
            <v>1.5324999999999989</v>
          </cell>
          <cell r="F408">
            <v>60.802500000000002</v>
          </cell>
          <cell r="G408">
            <v>62.335000000000001</v>
          </cell>
          <cell r="H408">
            <v>3.5107923004245464E-2</v>
          </cell>
          <cell r="I408">
            <v>2.5973999999999933</v>
          </cell>
          <cell r="J408">
            <v>73.9833</v>
          </cell>
          <cell r="K408">
            <v>76.580699999999993</v>
          </cell>
          <cell r="L408">
            <v>4.5340949660835364E-2</v>
          </cell>
          <cell r="M408">
            <v>2.5399999999999975E-2</v>
          </cell>
          <cell r="N408">
            <v>0.56020000000000003</v>
          </cell>
          <cell r="O408">
            <v>0.58560000000000001</v>
          </cell>
          <cell r="P408">
            <v>2.4029902735232641E-2</v>
          </cell>
          <cell r="Q408">
            <v>2.6145999999999958</v>
          </cell>
          <cell r="R408">
            <v>108.8061</v>
          </cell>
          <cell r="S408">
            <v>111.4207</v>
          </cell>
          <cell r="T408">
            <v>4.1841082529564137E-2</v>
          </cell>
          <cell r="U408">
            <v>2.0111000000000061</v>
          </cell>
          <cell r="V408">
            <v>48.065199999999997</v>
          </cell>
          <cell r="W408">
            <v>50.076300000000003</v>
          </cell>
          <cell r="X408">
            <v>1.750261176044654E-2</v>
          </cell>
          <cell r="Y408">
            <v>0.80250000000000199</v>
          </cell>
          <cell r="Z408">
            <v>45.850299999999997</v>
          </cell>
          <cell r="AA408">
            <v>46.652799999999999</v>
          </cell>
          <cell r="AB408">
            <v>3.0167993924095561E-2</v>
          </cell>
          <cell r="AC408">
            <v>1.4975000000000023</v>
          </cell>
          <cell r="AD408">
            <v>49.6387</v>
          </cell>
          <cell r="AE408">
            <v>51.136200000000002</v>
          </cell>
          <cell r="AF408">
            <v>2.4968728661465843E-2</v>
          </cell>
          <cell r="AG408">
            <v>0.41319999999999979</v>
          </cell>
          <cell r="AH408">
            <v>16.5487</v>
          </cell>
          <cell r="AI408">
            <v>16.9619</v>
          </cell>
          <cell r="AJ408">
            <v>1.8274357949211444E-2</v>
          </cell>
          <cell r="AK408">
            <v>0.29057142857143653</v>
          </cell>
          <cell r="AL408">
            <v>15.900499999999999</v>
          </cell>
          <cell r="AM408">
            <v>16.191071428571437</v>
          </cell>
          <cell r="AN408">
            <v>2.8278543655001646E-2</v>
          </cell>
          <cell r="AO408">
            <v>0.21599999999999905</v>
          </cell>
          <cell r="AP408">
            <v>7.6383000000000001</v>
          </cell>
          <cell r="AQ408">
            <v>7.8542999999999994</v>
          </cell>
          <cell r="AR408">
            <v>1.1232017971228667E-2</v>
          </cell>
          <cell r="AS408">
            <v>0.46799999999999642</v>
          </cell>
          <cell r="AT408">
            <v>41.666600000000003</v>
          </cell>
          <cell r="AU408">
            <v>42.134599999999999</v>
          </cell>
          <cell r="AV408">
            <v>2.5932935958641819E-2</v>
          </cell>
          <cell r="AW408">
            <v>0.91799999999996174</v>
          </cell>
          <cell r="AX408">
            <v>35.399000000000001</v>
          </cell>
          <cell r="AY408">
            <v>36.316999999999965</v>
          </cell>
          <cell r="AZ408">
            <v>1.8432218773678993E-2</v>
          </cell>
          <cell r="BA408">
            <v>0.14142857142856155</v>
          </cell>
          <cell r="BB408">
            <v>7.6729000000000003</v>
          </cell>
          <cell r="BC408">
            <v>7.814328571428562</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Implied Rate"/>
      <sheetName val="Market Rates"/>
      <sheetName val="TABLES"/>
      <sheetName val="BS_OVS"/>
      <sheetName val="Macro1"/>
      <sheetName val="INPUT"/>
      <sheetName val="FX"/>
      <sheetName val="Lookups"/>
      <sheetName val="Data-922"/>
      <sheetName val="BSDOMOVS"/>
      <sheetName val="Sheet4"/>
      <sheetName val="Updated  Rates"/>
      <sheetName val="March 110"/>
      <sheetName val="Feb"/>
      <sheetName val="MarchSL904"/>
      <sheetName val="SCRR+CRR"/>
      <sheetName val="N-OUR"/>
      <sheetName val="I-B"/>
      <sheetName val="I-BR"/>
      <sheetName val="1-bwb(cb)"/>
      <sheetName val="B2"/>
      <sheetName val="Sheet1"/>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 val="Currency"/>
      <sheetName val="DropDown"/>
      <sheetName val="Value In Use - Tre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BSDOMOVS"/>
      <sheetName val="Implied Rate"/>
      <sheetName val="Market Rates"/>
      <sheetName val="TABLES"/>
      <sheetName val="BS_OVS"/>
      <sheetName val="Macro1"/>
      <sheetName val="INPUT"/>
      <sheetName val="FX"/>
      <sheetName val="Lookups"/>
      <sheetName val="Data-922"/>
      <sheetName val="Sheet4"/>
      <sheetName val="Updated  Rates"/>
      <sheetName val="March 110"/>
      <sheetName val="Feb"/>
      <sheetName val="MarchSL904"/>
      <sheetName val="SCRR+CRR"/>
      <sheetName val="N-OUR"/>
      <sheetName val="I-B"/>
      <sheetName val="I-BR"/>
      <sheetName val="1-bwb(cb)"/>
      <sheetName val="B2"/>
      <sheetName val="Sheet1"/>
      <sheetName val="Currency"/>
      <sheetName val="DropDown"/>
      <sheetName val="P&amp;L &amp; Notes"/>
      <sheetName val="Iron Curtain Method"/>
      <sheetName val="Investments"/>
      <sheetName val="CE-10th-June-06"/>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EMOF Portfolio"/>
      <sheetName val="Toyota PL ckd"/>
      <sheetName val="TOTAL P&amp;L"/>
      <sheetName val="Input"/>
      <sheetName val="Invetory level"/>
      <sheetName val="Sh__Hamdan"/>
      <sheetName val="AL_AIN"/>
      <sheetName val="Abu_Dhabi"/>
      <sheetName val="FE_-_Summary_-_STD"/>
      <sheetName val="Sh__Hamdan1"/>
      <sheetName val="AL_AIN1"/>
      <sheetName val="Abu_Dhabi1"/>
      <sheetName val="FE_-_Summary_-_ST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
      <sheetName val="F-B-1"/>
      <sheetName val="F-B-2"/>
      <sheetName val="F-B-3"/>
      <sheetName val="F-B-4"/>
      <sheetName val="F-B-4a"/>
      <sheetName val="F-B-5"/>
      <sheetName val="F-B-6"/>
      <sheetName val="F-B-7"/>
      <sheetName val="F-B-8"/>
      <sheetName val="F-B-9"/>
      <sheetName val="F-B-12"/>
      <sheetName val="F-B-12A"/>
      <sheetName val="F-B-12B"/>
      <sheetName val="F-B-13"/>
      <sheetName val="F-B-13A"/>
      <sheetName val="F-B-14"/>
      <sheetName val="F-B-14A"/>
      <sheetName val="F-B-14B"/>
      <sheetName val="F-B-15"/>
      <sheetName val="F-B-15A"/>
      <sheetName val="F-B-16"/>
      <sheetName val="F-B-17"/>
      <sheetName val="F-B-18"/>
      <sheetName val="F-B-19"/>
      <sheetName val="F-B-20"/>
      <sheetName val="F-B-21"/>
      <sheetName val="F-B-22"/>
      <sheetName val="F-B-23"/>
      <sheetName val="AR Drop Downs"/>
      <sheetName val="Input"/>
      <sheetName val="Actualization_Details"/>
      <sheetName val="Accounts"/>
      <sheetName val="03 CC SC"/>
      <sheetName val="Ttl-data"/>
      <sheetName val="Cash &amp; bank"/>
      <sheetName val="F-b_1200"/>
      <sheetName val="betas-barra-march"/>
      <sheetName val="Analytics Summary"/>
      <sheetName val="Asset Verification"/>
      <sheetName val="Feuil2"/>
      <sheetName val="n"/>
      <sheetName val="q"/>
      <sheetName val="@NAT-Fin (Financial summary)"/>
      <sheetName val="concentrate+rawmaterial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2 September (2)"/>
      <sheetName val="Form 1"/>
      <sheetName val="FORM 2 September"/>
      <sheetName val="woRKING"/>
      <sheetName val="Sheet1"/>
      <sheetName val="Aug-2006"/>
      <sheetName val="DPOSITS"/>
      <sheetName val="ADVANCES"/>
      <sheetName val="BAHRAIN"/>
      <sheetName val="DOHA QATAR "/>
      <sheetName val="PAKISTAN"/>
      <sheetName val="rate "/>
      <sheetName val="UAE"/>
      <sheetName val="Abu Dhabi"/>
      <sheetName val="P&amp;L"/>
      <sheetName val="highlights "/>
      <sheetName val="BSDOMOVS"/>
      <sheetName val="A"/>
      <sheetName val="branch code"/>
      <sheetName val="Lookups"/>
      <sheetName val="FX"/>
      <sheetName val="Affair-income Exp September 200"/>
      <sheetName val="FORM_2_September_(2)"/>
      <sheetName val="Form_1"/>
      <sheetName val="FORM_2_September"/>
      <sheetName val="Affair-income_Exp_September_200"/>
      <sheetName val="DOHA_QATAR_"/>
      <sheetName val="rate_"/>
      <sheetName val="Abu_Dhabi"/>
      <sheetName val="highlights_"/>
      <sheetName val="FORM_2_September_(2)2"/>
      <sheetName val="Form_12"/>
      <sheetName val="FORM_2_September2"/>
      <sheetName val="Affair-income_Exp_September_202"/>
      <sheetName val="DOHA_QATAR_2"/>
      <sheetName val="rate_2"/>
      <sheetName val="Abu_Dhabi2"/>
      <sheetName val="highlights_2"/>
      <sheetName val="FORM_2_September_(2)1"/>
      <sheetName val="Form_11"/>
      <sheetName val="FORM_2_September1"/>
      <sheetName val="Affair-income_Exp_September_201"/>
      <sheetName val="DOHA_QATAR_1"/>
      <sheetName val="rate_1"/>
      <sheetName val="Abu_Dhabi1"/>
      <sheetName val="highlights_1"/>
      <sheetName val="BalanceSheet"/>
      <sheetName val="Revenue-Fire-Marine-Motor"/>
      <sheetName val="I-B"/>
      <sheetName val="I-BR"/>
      <sheetName val="BS-OVS"/>
    </sheetNames>
    <sheetDataSet>
      <sheetData sheetId="0"/>
      <sheetData sheetId="1"/>
      <sheetData sheetId="2"/>
      <sheetData sheetId="3" refreshError="1">
        <row r="3">
          <cell r="A3" t="str">
            <v>001001</v>
          </cell>
          <cell r="B3" t="str">
            <v>I/R ON LOANS / SMALL LOANS</v>
          </cell>
          <cell r="C3">
            <v>162514.29999999999</v>
          </cell>
          <cell r="D3">
            <v>162514.29999999999</v>
          </cell>
        </row>
        <row r="4">
          <cell r="A4" t="str">
            <v>001005</v>
          </cell>
          <cell r="B4" t="str">
            <v>I/R ON  L.A.F.B.</v>
          </cell>
          <cell r="C4">
            <v>7410.5889999999999</v>
          </cell>
          <cell r="D4">
            <v>7410.5889999999999</v>
          </cell>
        </row>
        <row r="5">
          <cell r="A5" t="str">
            <v>001006</v>
          </cell>
          <cell r="B5" t="str">
            <v>I/R ON  L.T.R.</v>
          </cell>
          <cell r="C5">
            <v>229177.65299999999</v>
          </cell>
          <cell r="D5">
            <v>229177.65299999999</v>
          </cell>
        </row>
        <row r="6">
          <cell r="A6" t="str">
            <v>001009</v>
          </cell>
          <cell r="B6" t="str">
            <v>SYNDICATION  LOAN</v>
          </cell>
          <cell r="C6">
            <v>225174.889</v>
          </cell>
          <cell r="D6">
            <v>225174.889</v>
          </cell>
        </row>
        <row r="7">
          <cell r="A7" t="str">
            <v>001011</v>
          </cell>
          <cell r="B7" t="str">
            <v>I/R ON FOREIGN BILLS PURCHA</v>
          </cell>
          <cell r="C7">
            <v>8298.2999999999993</v>
          </cell>
          <cell r="D7">
            <v>8298.2999999999993</v>
          </cell>
        </row>
        <row r="8">
          <cell r="A8" t="str">
            <v>001012</v>
          </cell>
          <cell r="B8" t="str">
            <v>I/R ON P.A.D.</v>
          </cell>
          <cell r="C8">
            <v>2856.3890000000001</v>
          </cell>
          <cell r="D8">
            <v>2856.3890000000001</v>
          </cell>
        </row>
        <row r="9">
          <cell r="A9" t="str">
            <v>001020</v>
          </cell>
          <cell r="B9" t="str">
            <v>I/R ON OVERDRAFTS</v>
          </cell>
          <cell r="C9">
            <v>276014.64</v>
          </cell>
          <cell r="D9">
            <v>276014.64</v>
          </cell>
        </row>
        <row r="10">
          <cell r="A10" t="str">
            <v>001053</v>
          </cell>
          <cell r="B10" t="str">
            <v>CONSUMER LOAN</v>
          </cell>
          <cell r="C10">
            <v>1025456.75</v>
          </cell>
          <cell r="D10">
            <v>1025456.75</v>
          </cell>
        </row>
        <row r="11">
          <cell r="A11" t="str">
            <v>001054</v>
          </cell>
          <cell r="B11" t="str">
            <v>CREDIT CARDS SILVER INCOME</v>
          </cell>
          <cell r="C11">
            <v>614.92100000000005</v>
          </cell>
          <cell r="D11">
            <v>614.92100000000005</v>
          </cell>
        </row>
        <row r="12">
          <cell r="A12" t="str">
            <v>001056</v>
          </cell>
          <cell r="B12" t="str">
            <v>CREDIT CARDS GOLD INCOME</v>
          </cell>
          <cell r="C12">
            <v>460.02100000000002</v>
          </cell>
          <cell r="D12">
            <v>460.02100000000002</v>
          </cell>
        </row>
        <row r="13">
          <cell r="A13" t="str">
            <v>002003</v>
          </cell>
          <cell r="B13" t="str">
            <v>PLACEMENTS/SPECIAL NOTICE A</v>
          </cell>
          <cell r="C13">
            <v>32304.632000000001</v>
          </cell>
          <cell r="D13">
            <v>32304.632000000001</v>
          </cell>
        </row>
        <row r="14">
          <cell r="A14" t="str">
            <v>020001</v>
          </cell>
          <cell r="B14" t="str">
            <v>BILLS DISCOUNTED</v>
          </cell>
          <cell r="C14">
            <v>17363.254000000001</v>
          </cell>
          <cell r="D14">
            <v>17363.254000000001</v>
          </cell>
        </row>
        <row r="15">
          <cell r="A15" t="str">
            <v>025011</v>
          </cell>
          <cell r="B15" t="str">
            <v>OTHER AREA BRANCHES - OVERS</v>
          </cell>
          <cell r="C15">
            <v>148349.34400000001</v>
          </cell>
          <cell r="D15">
            <v>148349.34400000001</v>
          </cell>
        </row>
        <row r="16">
          <cell r="A16" t="str">
            <v>025014</v>
          </cell>
          <cell r="B16" t="str">
            <v>MAIN OFFICE ACCOUNT</v>
          </cell>
          <cell r="C16">
            <v>140048.25</v>
          </cell>
          <cell r="D16">
            <v>140048.25</v>
          </cell>
        </row>
        <row r="17">
          <cell r="A17" t="str">
            <v>062001</v>
          </cell>
          <cell r="B17" t="str">
            <v>PLS EX-GAIN/LOSS ON REV. PO</v>
          </cell>
          <cell r="C17">
            <v>2484.0680000000002</v>
          </cell>
          <cell r="D17">
            <v>2484.0680000000002</v>
          </cell>
        </row>
        <row r="18">
          <cell r="A18" t="str">
            <v>062002</v>
          </cell>
          <cell r="B18" t="str">
            <v>PLS EX-GAIN/LOSS ON REV. US</v>
          </cell>
          <cell r="C18">
            <v>23893.205000000002</v>
          </cell>
          <cell r="D18">
            <v>23893.205000000002</v>
          </cell>
        </row>
        <row r="19">
          <cell r="A19" t="str">
            <v>062004</v>
          </cell>
          <cell r="B19" t="str">
            <v>PLS EX-GAIN/LOSS ON REV. OT</v>
          </cell>
          <cell r="C19">
            <v>7121.5590000000002</v>
          </cell>
          <cell r="D19">
            <v>7121.5590000000002</v>
          </cell>
        </row>
        <row r="20">
          <cell r="A20" t="str">
            <v>062008</v>
          </cell>
          <cell r="B20" t="str">
            <v>PLS EX-GAIN/LOSS ON REV. EU</v>
          </cell>
          <cell r="C20">
            <v>2380.9070000000002</v>
          </cell>
          <cell r="D20">
            <v>2380.9070000000002</v>
          </cell>
        </row>
        <row r="21">
          <cell r="A21" t="str">
            <v>062009</v>
          </cell>
          <cell r="B21" t="str">
            <v>PLS EX-GAIN/LOSS ON REV. JA</v>
          </cell>
          <cell r="C21">
            <v>180.917</v>
          </cell>
          <cell r="D21">
            <v>180.917</v>
          </cell>
        </row>
        <row r="22">
          <cell r="A22" t="str">
            <v>062010</v>
          </cell>
          <cell r="B22" t="str">
            <v>PLS EX-GAIN/LOSS ON REV. SW</v>
          </cell>
          <cell r="C22">
            <v>1338.8620000000001</v>
          </cell>
          <cell r="D22">
            <v>1338.8620000000001</v>
          </cell>
        </row>
        <row r="23">
          <cell r="A23" t="str">
            <v>062012</v>
          </cell>
          <cell r="B23" t="str">
            <v>PLS EX-GAIN/LOSS ON REV. PA</v>
          </cell>
          <cell r="C23">
            <v>36564.89</v>
          </cell>
          <cell r="D23">
            <v>36564.89</v>
          </cell>
        </row>
        <row r="24">
          <cell r="A24" t="str">
            <v>064002</v>
          </cell>
          <cell r="B24" t="str">
            <v>PLS COMMISSION-EXPORT BILLS</v>
          </cell>
          <cell r="C24">
            <v>5689.0550000000003</v>
          </cell>
          <cell r="D24">
            <v>5689.0550000000003</v>
          </cell>
        </row>
        <row r="25">
          <cell r="A25" t="str">
            <v>064003</v>
          </cell>
          <cell r="B25" t="str">
            <v>PLS COM ON IMPORT BILL</v>
          </cell>
          <cell r="C25">
            <v>5319.4</v>
          </cell>
          <cell r="D25">
            <v>5319.4</v>
          </cell>
        </row>
        <row r="26">
          <cell r="A26" t="str">
            <v>064004</v>
          </cell>
          <cell r="B26" t="str">
            <v>PLS COMMISSION-OPN. OF L/C</v>
          </cell>
          <cell r="C26">
            <v>18213.874</v>
          </cell>
          <cell r="D26">
            <v>18213.874</v>
          </cell>
        </row>
        <row r="27">
          <cell r="A27" t="str">
            <v>064008</v>
          </cell>
          <cell r="B27" t="str">
            <v>PLS COMMISSION-L.G. (INLAND</v>
          </cell>
          <cell r="C27">
            <v>18283.75</v>
          </cell>
          <cell r="D27">
            <v>18283.75</v>
          </cell>
        </row>
        <row r="28">
          <cell r="A28" t="str">
            <v>064010</v>
          </cell>
          <cell r="B28" t="str">
            <v>PLS COMM. BILLS (FBC,IBC,ET</v>
          </cell>
          <cell r="C28">
            <v>398.97199999999998</v>
          </cell>
          <cell r="D28">
            <v>398.97199999999998</v>
          </cell>
        </row>
        <row r="29">
          <cell r="A29" t="str">
            <v>064019</v>
          </cell>
          <cell r="B29" t="str">
            <v>FEE FOR RENDERING OTHER SER</v>
          </cell>
          <cell r="C29">
            <v>3170.9949999999999</v>
          </cell>
          <cell r="D29">
            <v>3170.9949999999999</v>
          </cell>
        </row>
        <row r="30">
          <cell r="A30" t="str">
            <v>064022</v>
          </cell>
          <cell r="B30" t="str">
            <v>PLS COM ON ISSUE OF NEW CHE</v>
          </cell>
          <cell r="C30">
            <v>3032.5</v>
          </cell>
          <cell r="D30">
            <v>3032.5</v>
          </cell>
        </row>
        <row r="31">
          <cell r="A31" t="str">
            <v>064031</v>
          </cell>
          <cell r="B31" t="str">
            <v>PL.COMMISSION-LC ADVISING (</v>
          </cell>
          <cell r="C31">
            <v>1575.4</v>
          </cell>
          <cell r="D31">
            <v>1575.4</v>
          </cell>
        </row>
        <row r="32">
          <cell r="A32" t="str">
            <v>064089</v>
          </cell>
          <cell r="B32" t="str">
            <v>IFDBC</v>
          </cell>
          <cell r="C32">
            <v>12986.196</v>
          </cell>
          <cell r="D32">
            <v>12986.196</v>
          </cell>
        </row>
        <row r="33">
          <cell r="A33" t="str">
            <v>064090</v>
          </cell>
          <cell r="B33" t="str">
            <v>CREDIT CARDS - INTERCHANGE</v>
          </cell>
          <cell r="C33">
            <v>107.239</v>
          </cell>
          <cell r="D33">
            <v>107.239</v>
          </cell>
        </row>
        <row r="34">
          <cell r="A34" t="str">
            <v>064091</v>
          </cell>
          <cell r="B34" t="str">
            <v>IBG COMMISSION</v>
          </cell>
          <cell r="C34">
            <v>7867.777</v>
          </cell>
          <cell r="D34">
            <v>7867.777</v>
          </cell>
        </row>
        <row r="35">
          <cell r="A35" t="str">
            <v>064092</v>
          </cell>
          <cell r="B35" t="str">
            <v>MASTER CARD CASH ADVANCE FE</v>
          </cell>
          <cell r="C35">
            <v>44.991</v>
          </cell>
          <cell r="D35">
            <v>44.991</v>
          </cell>
        </row>
        <row r="36">
          <cell r="A36" t="str">
            <v>064093</v>
          </cell>
          <cell r="B36" t="str">
            <v>MASTER CARD MISC  FEE</v>
          </cell>
          <cell r="C36">
            <v>32.341999999999999</v>
          </cell>
          <cell r="D36">
            <v>32.341999999999999</v>
          </cell>
        </row>
        <row r="37">
          <cell r="A37" t="str">
            <v>066001</v>
          </cell>
          <cell r="B37" t="str">
            <v>LOCKERS</v>
          </cell>
          <cell r="C37">
            <v>853</v>
          </cell>
          <cell r="D37">
            <v>853</v>
          </cell>
        </row>
        <row r="38">
          <cell r="A38" t="str">
            <v>069022</v>
          </cell>
          <cell r="B38" t="str">
            <v>TREASURY BILLS</v>
          </cell>
          <cell r="C38">
            <v>97982.553</v>
          </cell>
          <cell r="D38">
            <v>97982.553</v>
          </cell>
        </row>
        <row r="39">
          <cell r="A39" t="str">
            <v>069070</v>
          </cell>
          <cell r="B39" t="str">
            <v>OTHERS</v>
          </cell>
          <cell r="C39">
            <v>123607</v>
          </cell>
          <cell r="D39">
            <v>123607</v>
          </cell>
        </row>
        <row r="40">
          <cell r="A40" t="str">
            <v>069072</v>
          </cell>
          <cell r="B40" t="str">
            <v>GOVERNMENT OF INDONESIA USD</v>
          </cell>
          <cell r="C40">
            <v>132833.375</v>
          </cell>
          <cell r="D40">
            <v>132833.375</v>
          </cell>
        </row>
        <row r="41">
          <cell r="A41" t="str">
            <v>069077</v>
          </cell>
          <cell r="B41" t="str">
            <v>INVESTMENT INCOME ON TABREE</v>
          </cell>
          <cell r="C41">
            <v>11752</v>
          </cell>
          <cell r="D41">
            <v>11752</v>
          </cell>
        </row>
        <row r="42">
          <cell r="A42" t="str">
            <v>078001</v>
          </cell>
          <cell r="B42" t="str">
            <v>PLS O/R-INCIDENTAL CHARGES</v>
          </cell>
          <cell r="C42">
            <v>6599.6210000000001</v>
          </cell>
          <cell r="D42">
            <v>6599.6210000000001</v>
          </cell>
        </row>
        <row r="43">
          <cell r="A43" t="str">
            <v>078057</v>
          </cell>
          <cell r="B43" t="str">
            <v>FACILITIES PROCESSING FEES</v>
          </cell>
          <cell r="C43">
            <v>6889.9</v>
          </cell>
          <cell r="D43">
            <v>6889.9</v>
          </cell>
        </row>
        <row r="44">
          <cell r="A44" t="str">
            <v>078077</v>
          </cell>
          <cell r="B44" t="str">
            <v>GAIN ON SALE OF FURNITURE/F</v>
          </cell>
          <cell r="C44">
            <v>80.5</v>
          </cell>
          <cell r="D44">
            <v>80.5</v>
          </cell>
        </row>
        <row r="45">
          <cell r="A45" t="str">
            <v>078084</v>
          </cell>
          <cell r="B45" t="str">
            <v>CONSUMER LOAN - PREPAYMENT</v>
          </cell>
          <cell r="C45">
            <v>23201.046999999999</v>
          </cell>
          <cell r="D45">
            <v>23201.046999999999</v>
          </cell>
        </row>
        <row r="46">
          <cell r="A46" t="str">
            <v>078085</v>
          </cell>
          <cell r="B46" t="str">
            <v>CONSUMER LOAN - MISC FEES</v>
          </cell>
          <cell r="C46">
            <v>124731.41899999999</v>
          </cell>
          <cell r="D46">
            <v>124731.41899999999</v>
          </cell>
        </row>
        <row r="47">
          <cell r="A47" t="str">
            <v>078087</v>
          </cell>
          <cell r="B47" t="str">
            <v>CREDIT CARD - MISC FEES</v>
          </cell>
          <cell r="C47">
            <v>15</v>
          </cell>
          <cell r="D47">
            <v>15</v>
          </cell>
        </row>
        <row r="48">
          <cell r="A48" t="str">
            <v>078090</v>
          </cell>
          <cell r="B48" t="str">
            <v>CORPORATE SERVICE  CHARGES</v>
          </cell>
          <cell r="C48">
            <v>25</v>
          </cell>
          <cell r="D48">
            <v>25</v>
          </cell>
        </row>
        <row r="49">
          <cell r="A49" t="str">
            <v>078094</v>
          </cell>
          <cell r="B49" t="str">
            <v>BENEFIT SWITCH RELATED INCO</v>
          </cell>
          <cell r="C49">
            <v>4842.567</v>
          </cell>
          <cell r="D49">
            <v>4842.567</v>
          </cell>
        </row>
        <row r="50">
          <cell r="A50" t="str">
            <v>080001</v>
          </cell>
          <cell r="B50" t="str">
            <v>POSTAGE RECOVERIES - CORPOR</v>
          </cell>
          <cell r="C50">
            <v>3751.8220000000001</v>
          </cell>
          <cell r="D50">
            <v>3751.8220000000001</v>
          </cell>
        </row>
        <row r="51">
          <cell r="A51" t="str">
            <v>080002</v>
          </cell>
          <cell r="B51" t="str">
            <v>TELEX RECOVERIES</v>
          </cell>
          <cell r="C51">
            <v>15138.383</v>
          </cell>
          <cell r="D51">
            <v>15138.383</v>
          </cell>
        </row>
        <row r="52">
          <cell r="A52" t="str">
            <v>080003</v>
          </cell>
          <cell r="B52" t="str">
            <v>TELEGRAM RECOVERIES</v>
          </cell>
          <cell r="C52">
            <v>4130</v>
          </cell>
          <cell r="D52">
            <v>4130</v>
          </cell>
        </row>
        <row r="53">
          <cell r="A53" t="str">
            <v>080009</v>
          </cell>
          <cell r="B53" t="str">
            <v>CLEARING CHEQUE  RECOVERIES</v>
          </cell>
          <cell r="C53">
            <v>3075</v>
          </cell>
          <cell r="D53">
            <v>3075</v>
          </cell>
        </row>
        <row r="54">
          <cell r="A54" t="str">
            <v>080021</v>
          </cell>
          <cell r="B54" t="str">
            <v>TEZRAFTAAR TT REIMBURSEMENT</v>
          </cell>
          <cell r="C54">
            <v>41797.983</v>
          </cell>
          <cell r="D54">
            <v>41797.983</v>
          </cell>
        </row>
        <row r="55">
          <cell r="A55" t="str">
            <v>080023</v>
          </cell>
          <cell r="B55" t="str">
            <v>INSURANCE RECOVERIES - CONS</v>
          </cell>
          <cell r="C55">
            <v>317574.17599999998</v>
          </cell>
          <cell r="D55">
            <v>317574.17599999998</v>
          </cell>
        </row>
        <row r="56">
          <cell r="A56" t="str">
            <v>086001</v>
          </cell>
          <cell r="B56" t="str">
            <v>MARK UP AUTO CAR FINANCE</v>
          </cell>
          <cell r="C56">
            <v>202.66900000000001</v>
          </cell>
          <cell r="D56">
            <v>202.66900000000001</v>
          </cell>
        </row>
        <row r="57">
          <cell r="A57" t="str">
            <v>110018</v>
          </cell>
          <cell r="B57" t="str">
            <v>BORROWINGS FROM BANKS - FOR</v>
          </cell>
          <cell r="C57">
            <v>-313.75</v>
          </cell>
          <cell r="D57">
            <v>313.75</v>
          </cell>
        </row>
        <row r="58">
          <cell r="A58" t="str">
            <v>114011</v>
          </cell>
          <cell r="B58" t="str">
            <v>INTEREST PAID - CURRENT ACC</v>
          </cell>
          <cell r="C58">
            <v>-339250.09299999999</v>
          </cell>
          <cell r="D58">
            <v>339250.09299999999</v>
          </cell>
        </row>
        <row r="59">
          <cell r="A59" t="str">
            <v>114012</v>
          </cell>
          <cell r="B59" t="str">
            <v>INTEREST PAID - CALL ACCOUN</v>
          </cell>
          <cell r="C59">
            <v>-212.78</v>
          </cell>
          <cell r="D59">
            <v>212.78</v>
          </cell>
        </row>
        <row r="60">
          <cell r="A60" t="str">
            <v>122012</v>
          </cell>
          <cell r="B60" t="str">
            <v>SB DEPOSITS - BD</v>
          </cell>
          <cell r="C60">
            <v>-6990.7020000000002</v>
          </cell>
          <cell r="D60">
            <v>6990.7020000000002</v>
          </cell>
        </row>
        <row r="61">
          <cell r="A61" t="str">
            <v>123013</v>
          </cell>
          <cell r="B61" t="str">
            <v>FIXED DEPOSITS BD</v>
          </cell>
          <cell r="C61">
            <v>-337673.91600000003</v>
          </cell>
          <cell r="D61">
            <v>337673.91600000003</v>
          </cell>
        </row>
        <row r="62">
          <cell r="A62" t="str">
            <v>123019</v>
          </cell>
          <cell r="B62" t="str">
            <v>FIXED DEPOSITS - US $</v>
          </cell>
          <cell r="C62">
            <v>-325185.83299999998</v>
          </cell>
          <cell r="D62">
            <v>325185.83299999998</v>
          </cell>
        </row>
        <row r="63">
          <cell r="A63" t="str">
            <v>123021</v>
          </cell>
          <cell r="B63" t="str">
            <v>FIXED DEPOSITS - POUND STER</v>
          </cell>
          <cell r="C63">
            <v>-9450.81</v>
          </cell>
          <cell r="D63">
            <v>9450.81</v>
          </cell>
        </row>
        <row r="64">
          <cell r="A64" t="str">
            <v>130011</v>
          </cell>
          <cell r="B64" t="str">
            <v>OTHER AREA BRANCHES - OVERS</v>
          </cell>
          <cell r="C64">
            <v>-39140.544000000002</v>
          </cell>
          <cell r="D64">
            <v>39140.544000000002</v>
          </cell>
        </row>
        <row r="65">
          <cell r="A65" t="str">
            <v>130014</v>
          </cell>
          <cell r="B65" t="str">
            <v>MAIN OFFICE ACCOUNT</v>
          </cell>
          <cell r="C65">
            <v>-140048.10800000001</v>
          </cell>
          <cell r="D65">
            <v>140048.10800000001</v>
          </cell>
        </row>
        <row r="66">
          <cell r="A66" t="str">
            <v>140010</v>
          </cell>
          <cell r="B66" t="str">
            <v>BASIC SALARIES - EXECUTIVES</v>
          </cell>
          <cell r="C66">
            <v>-46752.983999999997</v>
          </cell>
          <cell r="D66">
            <v>46752.983999999997</v>
          </cell>
        </row>
        <row r="67">
          <cell r="A67" t="str">
            <v>140011</v>
          </cell>
          <cell r="B67" t="str">
            <v>BASIC SALARIES - OFFICERS</v>
          </cell>
          <cell r="C67">
            <v>-136859.88500000001</v>
          </cell>
          <cell r="D67">
            <v>136859.88500000001</v>
          </cell>
        </row>
        <row r="68">
          <cell r="A68" t="str">
            <v>140012</v>
          </cell>
          <cell r="B68" t="str">
            <v>BASIC SALARIES - CLERICAL</v>
          </cell>
          <cell r="C68">
            <v>-24640.995999999999</v>
          </cell>
          <cell r="D68">
            <v>24640.995999999999</v>
          </cell>
        </row>
        <row r="69">
          <cell r="A69" t="str">
            <v>145020</v>
          </cell>
          <cell r="B69" t="str">
            <v>OTHER ALLOWANCES</v>
          </cell>
          <cell r="C69">
            <v>-138839.894</v>
          </cell>
          <cell r="D69">
            <v>138839.894</v>
          </cell>
        </row>
        <row r="70">
          <cell r="A70" t="str">
            <v>145061</v>
          </cell>
          <cell r="B70" t="str">
            <v>AIR TICKETS TO OVERSEAS STA</v>
          </cell>
          <cell r="C70">
            <v>-24689</v>
          </cell>
          <cell r="D70">
            <v>24689</v>
          </cell>
        </row>
        <row r="71">
          <cell r="A71" t="str">
            <v>145064</v>
          </cell>
          <cell r="B71" t="str">
            <v>DISLOCATION ALLOWANCE</v>
          </cell>
          <cell r="C71">
            <v>-565.5</v>
          </cell>
          <cell r="D71">
            <v>565.5</v>
          </cell>
        </row>
        <row r="72">
          <cell r="A72" t="str">
            <v>145067</v>
          </cell>
          <cell r="B72" t="str">
            <v>TEZRAFTAR EVENING /FRIDAY A</v>
          </cell>
          <cell r="C72">
            <v>-1000.001</v>
          </cell>
          <cell r="D72">
            <v>1000.001</v>
          </cell>
        </row>
        <row r="73">
          <cell r="A73" t="str">
            <v>148001</v>
          </cell>
          <cell r="B73" t="str">
            <v>MESSENGER / OFFICE BOYS</v>
          </cell>
          <cell r="C73">
            <v>-10126.4</v>
          </cell>
          <cell r="D73">
            <v>10126.4</v>
          </cell>
        </row>
        <row r="74">
          <cell r="A74" t="str">
            <v>149004</v>
          </cell>
          <cell r="B74" t="str">
            <v>DSA STAFF SALARY</v>
          </cell>
          <cell r="C74">
            <v>-1657</v>
          </cell>
          <cell r="D74">
            <v>1657</v>
          </cell>
        </row>
        <row r="75">
          <cell r="A75" t="str">
            <v>149007</v>
          </cell>
          <cell r="B75" t="str">
            <v>DSA STAFF SALES COMMISSION</v>
          </cell>
          <cell r="C75">
            <v>-2225</v>
          </cell>
          <cell r="D75">
            <v>2225</v>
          </cell>
        </row>
        <row r="76">
          <cell r="A76" t="str">
            <v>149009</v>
          </cell>
          <cell r="B76" t="str">
            <v>DSA STAFF FOREIGN TRAVEL EX</v>
          </cell>
          <cell r="C76">
            <v>-100</v>
          </cell>
          <cell r="D76">
            <v>100</v>
          </cell>
        </row>
        <row r="77">
          <cell r="A77" t="str">
            <v>150001</v>
          </cell>
          <cell r="B77" t="str">
            <v>OVERTIME</v>
          </cell>
          <cell r="C77">
            <v>-12.5</v>
          </cell>
          <cell r="D77">
            <v>12.5</v>
          </cell>
        </row>
        <row r="78">
          <cell r="A78" t="str">
            <v>152003</v>
          </cell>
          <cell r="B78" t="str">
            <v>MEDICAL CHECKUP EXPENSES</v>
          </cell>
          <cell r="C78">
            <v>-270</v>
          </cell>
          <cell r="D78">
            <v>270</v>
          </cell>
        </row>
        <row r="79">
          <cell r="A79" t="str">
            <v>152012</v>
          </cell>
          <cell r="B79" t="str">
            <v>MEDIACAL INSURANCE-OVS</v>
          </cell>
          <cell r="C79">
            <v>-12988.362999999999</v>
          </cell>
          <cell r="D79">
            <v>12988.362999999999</v>
          </cell>
        </row>
        <row r="80">
          <cell r="A80" t="str">
            <v>155011</v>
          </cell>
          <cell r="B80" t="str">
            <v>EOSB EXPATS</v>
          </cell>
          <cell r="C80">
            <v>-6867.63</v>
          </cell>
          <cell r="D80">
            <v>6867.63</v>
          </cell>
        </row>
        <row r="81">
          <cell r="A81" t="str">
            <v>160010</v>
          </cell>
          <cell r="B81" t="str">
            <v>PROVIDENT FUND - EXECUTIVES</v>
          </cell>
          <cell r="C81">
            <v>-400.322</v>
          </cell>
          <cell r="D81">
            <v>400.322</v>
          </cell>
        </row>
        <row r="82">
          <cell r="A82" t="str">
            <v>162001</v>
          </cell>
          <cell r="B82" t="str">
            <v>BENEVOLENT FUND</v>
          </cell>
          <cell r="C82">
            <v>-16.931999999999999</v>
          </cell>
          <cell r="D82">
            <v>16.931999999999999</v>
          </cell>
        </row>
        <row r="83">
          <cell r="A83" t="str">
            <v>165001</v>
          </cell>
          <cell r="B83" t="str">
            <v>BONUS PAID  - (OFFICERS)</v>
          </cell>
          <cell r="C83">
            <v>-22050</v>
          </cell>
          <cell r="D83">
            <v>22050</v>
          </cell>
        </row>
        <row r="84">
          <cell r="A84" t="str">
            <v>172001</v>
          </cell>
          <cell r="B84" t="str">
            <v>PERFORMANCE AWARDS</v>
          </cell>
          <cell r="C84">
            <v>-28274</v>
          </cell>
          <cell r="D84">
            <v>28274</v>
          </cell>
        </row>
        <row r="85">
          <cell r="A85" t="str">
            <v>172002</v>
          </cell>
          <cell r="B85" t="str">
            <v>SALES DEVELOPMENT INCENTIVE</v>
          </cell>
          <cell r="C85">
            <v>-2121</v>
          </cell>
          <cell r="D85">
            <v>2121</v>
          </cell>
        </row>
        <row r="86">
          <cell r="A86" t="str">
            <v>172003</v>
          </cell>
          <cell r="B86" t="str">
            <v>BRANCH PERFORMANCE AWARDS</v>
          </cell>
          <cell r="C86">
            <v>-1130</v>
          </cell>
          <cell r="D86">
            <v>1130</v>
          </cell>
        </row>
        <row r="87">
          <cell r="A87" t="str">
            <v>180001</v>
          </cell>
          <cell r="B87" t="str">
            <v>RENT - OFFICE</v>
          </cell>
          <cell r="C87">
            <v>-60912.5</v>
          </cell>
          <cell r="D87">
            <v>60912.5</v>
          </cell>
        </row>
        <row r="88">
          <cell r="A88" t="str">
            <v>180011</v>
          </cell>
          <cell r="B88" t="str">
            <v>RATES &amp; TAXES - TRADE LICEN</v>
          </cell>
          <cell r="C88">
            <v>-15938</v>
          </cell>
          <cell r="D88">
            <v>15938</v>
          </cell>
        </row>
        <row r="89">
          <cell r="A89" t="str">
            <v>180012</v>
          </cell>
          <cell r="B89" t="str">
            <v>RATES &amp; TAXES - COMMERCIAL</v>
          </cell>
          <cell r="C89">
            <v>-43349.497000000003</v>
          </cell>
          <cell r="D89">
            <v>43349.497000000003</v>
          </cell>
        </row>
        <row r="90">
          <cell r="A90" t="str">
            <v>190001</v>
          </cell>
          <cell r="B90" t="str">
            <v>GAS - ELECTRICITY-OFFICE</v>
          </cell>
          <cell r="C90">
            <v>-4941.92</v>
          </cell>
          <cell r="D90">
            <v>4941.92</v>
          </cell>
        </row>
        <row r="91">
          <cell r="A91" t="str">
            <v>190002</v>
          </cell>
          <cell r="B91" t="str">
            <v>GAS - ELECTRICITY-RESIDENCE</v>
          </cell>
          <cell r="C91">
            <v>-193.07</v>
          </cell>
          <cell r="D91">
            <v>193.07</v>
          </cell>
        </row>
        <row r="92">
          <cell r="A92" t="str">
            <v>195001</v>
          </cell>
          <cell r="B92" t="str">
            <v>INSURANCE-FIRE/THEIFT</v>
          </cell>
          <cell r="C92">
            <v>-3105.326</v>
          </cell>
          <cell r="D92">
            <v>3105.326</v>
          </cell>
        </row>
        <row r="93">
          <cell r="A93" t="str">
            <v>195011</v>
          </cell>
          <cell r="B93" t="str">
            <v>GOSI LOCAL</v>
          </cell>
          <cell r="C93">
            <v>-22138.544999999998</v>
          </cell>
          <cell r="D93">
            <v>22138.544999999998</v>
          </cell>
        </row>
        <row r="94">
          <cell r="A94" t="str">
            <v>195012</v>
          </cell>
          <cell r="B94" t="str">
            <v>GROUP INSURANCE PREMIUM   -</v>
          </cell>
          <cell r="C94">
            <v>-770.80399999999997</v>
          </cell>
          <cell r="D94">
            <v>770.80399999999997</v>
          </cell>
        </row>
        <row r="95">
          <cell r="A95" t="str">
            <v>200002</v>
          </cell>
          <cell r="B95" t="str">
            <v>RETAINER'S FEES</v>
          </cell>
          <cell r="C95">
            <v>14104.5</v>
          </cell>
          <cell r="D95">
            <v>-14104.5</v>
          </cell>
        </row>
        <row r="96">
          <cell r="A96" t="str">
            <v>200003</v>
          </cell>
          <cell r="B96" t="str">
            <v>STAMPS, POWER OF ATTORNEY E</v>
          </cell>
          <cell r="C96">
            <v>-16.190999999999999</v>
          </cell>
          <cell r="D96">
            <v>16.190999999999999</v>
          </cell>
        </row>
        <row r="97">
          <cell r="A97" t="str">
            <v>200006</v>
          </cell>
          <cell r="B97" t="str">
            <v>LEGAL CHARGES - STAFF MATTE</v>
          </cell>
          <cell r="C97">
            <v>-950</v>
          </cell>
          <cell r="D97">
            <v>950</v>
          </cell>
        </row>
        <row r="98">
          <cell r="A98" t="str">
            <v>200007</v>
          </cell>
          <cell r="B98" t="str">
            <v>LEGAL CHARGES - OPERATIONS</v>
          </cell>
          <cell r="C98">
            <v>970</v>
          </cell>
          <cell r="D98">
            <v>-970</v>
          </cell>
        </row>
        <row r="99">
          <cell r="A99" t="str">
            <v>200008</v>
          </cell>
          <cell r="B99" t="str">
            <v>PROFESSIONAL &amp; CONSULTANCY</v>
          </cell>
          <cell r="C99">
            <v>-40</v>
          </cell>
          <cell r="D99">
            <v>40</v>
          </cell>
        </row>
        <row r="100">
          <cell r="A100" t="str">
            <v>200015</v>
          </cell>
          <cell r="B100" t="str">
            <v>ARABIC TRANSLATION CHARGES</v>
          </cell>
          <cell r="C100">
            <v>-513.65899999999999</v>
          </cell>
          <cell r="D100">
            <v>513.65899999999999</v>
          </cell>
        </row>
        <row r="101">
          <cell r="A101" t="str">
            <v>205001</v>
          </cell>
          <cell r="B101" t="str">
            <v>POSTAGE</v>
          </cell>
          <cell r="C101">
            <v>-1690.451</v>
          </cell>
          <cell r="D101">
            <v>1690.451</v>
          </cell>
        </row>
        <row r="102">
          <cell r="A102" t="str">
            <v>205002</v>
          </cell>
          <cell r="B102" t="str">
            <v>TELEX / T.P</v>
          </cell>
          <cell r="C102">
            <v>-63.83</v>
          </cell>
          <cell r="D102">
            <v>63.83</v>
          </cell>
        </row>
        <row r="103">
          <cell r="A103" t="str">
            <v>205005</v>
          </cell>
          <cell r="B103" t="str">
            <v>COURIER CHARGES - CORPORATE</v>
          </cell>
          <cell r="C103">
            <v>-2395.971</v>
          </cell>
          <cell r="D103">
            <v>2395.971</v>
          </cell>
        </row>
        <row r="104">
          <cell r="A104" t="str">
            <v>206001</v>
          </cell>
          <cell r="B104" t="str">
            <v>TELEPHONE / TRUNK CALL - OF</v>
          </cell>
          <cell r="C104">
            <v>-14563.983</v>
          </cell>
          <cell r="D104">
            <v>14563.983</v>
          </cell>
        </row>
        <row r="105">
          <cell r="A105" t="str">
            <v>206011</v>
          </cell>
          <cell r="B105" t="str">
            <v>FAX - OFFICE</v>
          </cell>
          <cell r="C105">
            <v>-811.44600000000003</v>
          </cell>
          <cell r="D105">
            <v>811.44600000000003</v>
          </cell>
        </row>
        <row r="106">
          <cell r="A106" t="str">
            <v>207011</v>
          </cell>
          <cell r="B106" t="str">
            <v>TELEPHONE LINE FOR REUTERS/</v>
          </cell>
          <cell r="C106">
            <v>-12143.481</v>
          </cell>
          <cell r="D106">
            <v>12143.481</v>
          </cell>
        </row>
        <row r="107">
          <cell r="A107" t="str">
            <v>208002</v>
          </cell>
          <cell r="B107" t="str">
            <v>RUETER FEE / SWIFT EXPENSES</v>
          </cell>
          <cell r="C107">
            <v>-4849.2489999999998</v>
          </cell>
          <cell r="D107">
            <v>4849.2489999999998</v>
          </cell>
        </row>
        <row r="108">
          <cell r="A108" t="str">
            <v>208003</v>
          </cell>
          <cell r="B108" t="str">
            <v>SOFTWARE CHARGES</v>
          </cell>
          <cell r="C108">
            <v>1678.0650000000001</v>
          </cell>
          <cell r="D108">
            <v>-1678.0650000000001</v>
          </cell>
        </row>
        <row r="109">
          <cell r="A109" t="str">
            <v>208004</v>
          </cell>
          <cell r="B109" t="str">
            <v>USER LICENSE CHARGES</v>
          </cell>
          <cell r="C109">
            <v>-9425</v>
          </cell>
          <cell r="D109">
            <v>9425</v>
          </cell>
        </row>
        <row r="110">
          <cell r="A110" t="str">
            <v>208011</v>
          </cell>
          <cell r="B110" t="str">
            <v>TELERATE CHARGES</v>
          </cell>
          <cell r="C110">
            <v>-678.6</v>
          </cell>
          <cell r="D110">
            <v>678.6</v>
          </cell>
        </row>
        <row r="111">
          <cell r="A111" t="str">
            <v>208012</v>
          </cell>
          <cell r="B111" t="str">
            <v>BENEFIT SWITCH EXPENSES</v>
          </cell>
          <cell r="C111">
            <v>-24514.199000000001</v>
          </cell>
          <cell r="D111">
            <v>24514.199000000001</v>
          </cell>
        </row>
        <row r="112">
          <cell r="A112" t="str">
            <v>215001</v>
          </cell>
          <cell r="B112" t="str">
            <v>AUDITOR'S FEES</v>
          </cell>
          <cell r="C112">
            <v>-11621</v>
          </cell>
          <cell r="D112">
            <v>11621</v>
          </cell>
        </row>
        <row r="113">
          <cell r="A113" t="str">
            <v>218001</v>
          </cell>
          <cell r="B113" t="str">
            <v>ELECTRIC &amp; OFFICE APPLIANCE</v>
          </cell>
          <cell r="C113">
            <v>-8712.652</v>
          </cell>
          <cell r="D113">
            <v>8712.652</v>
          </cell>
        </row>
        <row r="114">
          <cell r="A114" t="str">
            <v>218002</v>
          </cell>
          <cell r="B114" t="str">
            <v>FIRE EXTINGUISHERS / ALARMS</v>
          </cell>
          <cell r="C114">
            <v>-146</v>
          </cell>
          <cell r="D114">
            <v>146</v>
          </cell>
        </row>
        <row r="115">
          <cell r="A115" t="str">
            <v>219001</v>
          </cell>
          <cell r="B115" t="str">
            <v>DEPRECIATION -VEHICLE OFFIC</v>
          </cell>
          <cell r="C115">
            <v>-2448.0309999999999</v>
          </cell>
          <cell r="D115">
            <v>2448.0309999999999</v>
          </cell>
        </row>
        <row r="116">
          <cell r="A116" t="str">
            <v>220012</v>
          </cell>
          <cell r="B116" t="str">
            <v>FURNITURE &amp; FIXTURES WOODEN</v>
          </cell>
          <cell r="C116">
            <v>-2820.7420000000002</v>
          </cell>
          <cell r="D116">
            <v>2820.7420000000002</v>
          </cell>
        </row>
        <row r="117">
          <cell r="A117" t="str">
            <v>221003</v>
          </cell>
          <cell r="B117" t="str">
            <v>AMORTIZATION -LEASEHOLD IMP</v>
          </cell>
          <cell r="C117">
            <v>-6572.5209999999997</v>
          </cell>
          <cell r="D117">
            <v>6572.5209999999997</v>
          </cell>
        </row>
        <row r="118">
          <cell r="A118" t="str">
            <v>222001</v>
          </cell>
          <cell r="B118" t="str">
            <v>PC / SERVER</v>
          </cell>
          <cell r="C118">
            <v>-5915.9949999999999</v>
          </cell>
          <cell r="D118">
            <v>5915.9949999999999</v>
          </cell>
        </row>
        <row r="119">
          <cell r="A119" t="str">
            <v>223001</v>
          </cell>
          <cell r="B119" t="str">
            <v>I T SOFTWARE</v>
          </cell>
          <cell r="C119">
            <v>-3812.029</v>
          </cell>
          <cell r="D119">
            <v>3812.029</v>
          </cell>
        </row>
        <row r="120">
          <cell r="A120" t="str">
            <v>225002</v>
          </cell>
          <cell r="B120" t="str">
            <v>REPAIR - MACHINE/EQUIPMENT</v>
          </cell>
          <cell r="C120">
            <v>-984</v>
          </cell>
          <cell r="D120">
            <v>984</v>
          </cell>
        </row>
        <row r="121">
          <cell r="A121" t="str">
            <v>225007</v>
          </cell>
          <cell r="B121" t="str">
            <v>REPAIRS - I T HARDWARE</v>
          </cell>
          <cell r="C121">
            <v>-3808.4389999999999</v>
          </cell>
          <cell r="D121">
            <v>3808.4389999999999</v>
          </cell>
        </row>
        <row r="122">
          <cell r="A122" t="str">
            <v>225010</v>
          </cell>
          <cell r="B122" t="str">
            <v>VEHICLE REPAIR OFFICERS</v>
          </cell>
          <cell r="C122">
            <v>-45</v>
          </cell>
          <cell r="D122">
            <v>45</v>
          </cell>
        </row>
        <row r="123">
          <cell r="A123" t="str">
            <v>226001</v>
          </cell>
          <cell r="B123" t="str">
            <v>REPAIR REN &amp; MAINT. PREMISE</v>
          </cell>
          <cell r="C123">
            <v>-33.200000000000003</v>
          </cell>
          <cell r="D123">
            <v>33.200000000000003</v>
          </cell>
        </row>
        <row r="124">
          <cell r="A124" t="str">
            <v>235001</v>
          </cell>
          <cell r="B124" t="str">
            <v>OFFICE STATIONERY</v>
          </cell>
          <cell r="C124">
            <v>-5581.9</v>
          </cell>
          <cell r="D124">
            <v>5581.9</v>
          </cell>
        </row>
        <row r="125">
          <cell r="A125" t="str">
            <v>235002</v>
          </cell>
          <cell r="B125" t="str">
            <v>SECURITY STATIONERY</v>
          </cell>
          <cell r="C125">
            <v>-671.63499999999999</v>
          </cell>
          <cell r="D125">
            <v>671.63499999999999</v>
          </cell>
        </row>
        <row r="126">
          <cell r="A126" t="str">
            <v>235003</v>
          </cell>
          <cell r="B126" t="str">
            <v>PETTY STATIONERY</v>
          </cell>
          <cell r="C126">
            <v>-97.65</v>
          </cell>
          <cell r="D126">
            <v>97.65</v>
          </cell>
        </row>
        <row r="127">
          <cell r="A127" t="str">
            <v>235004</v>
          </cell>
          <cell r="B127" t="str">
            <v>PRINTING STATIONERY</v>
          </cell>
          <cell r="C127">
            <v>-5340.134</v>
          </cell>
          <cell r="D127">
            <v>5340.134</v>
          </cell>
        </row>
        <row r="128">
          <cell r="A128" t="str">
            <v>235006</v>
          </cell>
          <cell r="B128" t="str">
            <v>COMPUTER STATIONERY (CONSUM</v>
          </cell>
          <cell r="C128">
            <v>-137.5</v>
          </cell>
          <cell r="D128">
            <v>137.5</v>
          </cell>
        </row>
        <row r="129">
          <cell r="A129" t="str">
            <v>237001</v>
          </cell>
          <cell r="B129" t="str">
            <v>OFFICE RUNNING EXPENSES</v>
          </cell>
          <cell r="C129">
            <v>-4459.2550000000001</v>
          </cell>
          <cell r="D129">
            <v>4459.2550000000001</v>
          </cell>
        </row>
        <row r="130">
          <cell r="A130" t="str">
            <v>237002</v>
          </cell>
          <cell r="B130" t="str">
            <v>JANITORIAL CHARGES</v>
          </cell>
          <cell r="C130">
            <v>-2960</v>
          </cell>
          <cell r="D130">
            <v>2960</v>
          </cell>
        </row>
        <row r="131">
          <cell r="A131" t="str">
            <v>240009</v>
          </cell>
          <cell r="B131" t="str">
            <v>RESS ADVERTISING</v>
          </cell>
          <cell r="C131">
            <v>-8854.4830000000002</v>
          </cell>
          <cell r="D131">
            <v>8854.4830000000002</v>
          </cell>
        </row>
        <row r="132">
          <cell r="A132" t="str">
            <v>240015</v>
          </cell>
          <cell r="B132" t="str">
            <v>MISCELLANEOUS</v>
          </cell>
          <cell r="C132">
            <v>-18523.963</v>
          </cell>
          <cell r="D132">
            <v>18523.963</v>
          </cell>
        </row>
        <row r="133">
          <cell r="A133" t="str">
            <v>240021</v>
          </cell>
          <cell r="B133" t="str">
            <v>TELEPHONE DIRECTORY</v>
          </cell>
          <cell r="C133">
            <v>-857.25</v>
          </cell>
          <cell r="D133">
            <v>857.25</v>
          </cell>
        </row>
        <row r="134">
          <cell r="A134" t="str">
            <v>245001</v>
          </cell>
          <cell r="B134" t="str">
            <v>ENTERTAINMENT</v>
          </cell>
          <cell r="C134">
            <v>-3072.51</v>
          </cell>
          <cell r="D134">
            <v>3072.51</v>
          </cell>
        </row>
        <row r="135">
          <cell r="A135" t="str">
            <v>245002</v>
          </cell>
          <cell r="B135" t="str">
            <v>PARTIES/DINNERS</v>
          </cell>
          <cell r="C135">
            <v>-951.99599999999998</v>
          </cell>
          <cell r="D135">
            <v>951.99599999999998</v>
          </cell>
        </row>
        <row r="136">
          <cell r="A136" t="str">
            <v>255006</v>
          </cell>
          <cell r="B136" t="str">
            <v>VEHICLE FUEL -OFFICE</v>
          </cell>
          <cell r="C136">
            <v>-555.4</v>
          </cell>
          <cell r="D136">
            <v>555.4</v>
          </cell>
        </row>
        <row r="137">
          <cell r="A137" t="str">
            <v>255007</v>
          </cell>
          <cell r="B137" t="str">
            <v>VEHICLE TAXES &amp; INS. EXECUT</v>
          </cell>
          <cell r="C137">
            <v>-420</v>
          </cell>
          <cell r="D137">
            <v>420</v>
          </cell>
        </row>
        <row r="138">
          <cell r="A138" t="str">
            <v>255008</v>
          </cell>
          <cell r="B138" t="str">
            <v>VEHICLE TAXES &amp; INS.OFFICE</v>
          </cell>
          <cell r="C138">
            <v>-392</v>
          </cell>
          <cell r="D138">
            <v>392</v>
          </cell>
        </row>
        <row r="139">
          <cell r="A139" t="str">
            <v>255009</v>
          </cell>
          <cell r="B139" t="str">
            <v>VEHICLE REPAIR -EXECUTIVES</v>
          </cell>
          <cell r="C139">
            <v>-336</v>
          </cell>
          <cell r="D139">
            <v>336</v>
          </cell>
        </row>
        <row r="140">
          <cell r="A140" t="str">
            <v>255010</v>
          </cell>
          <cell r="B140" t="str">
            <v>VEHICLE REPAIR -OFFICE</v>
          </cell>
          <cell r="C140">
            <v>-175</v>
          </cell>
          <cell r="D140">
            <v>175</v>
          </cell>
        </row>
        <row r="141">
          <cell r="A141" t="str">
            <v>260001</v>
          </cell>
          <cell r="B141" t="str">
            <v>SUBSCRIPTIONS PERIODICAL /</v>
          </cell>
          <cell r="C141">
            <v>-274.2</v>
          </cell>
          <cell r="D141">
            <v>274.2</v>
          </cell>
        </row>
        <row r="142">
          <cell r="A142" t="str">
            <v>260002</v>
          </cell>
          <cell r="B142" t="str">
            <v>SUBSCRIPTIONS INSTITUTIONS</v>
          </cell>
          <cell r="C142">
            <v>-582.5</v>
          </cell>
          <cell r="D142">
            <v>582.5</v>
          </cell>
        </row>
        <row r="143">
          <cell r="A143" t="str">
            <v>265011</v>
          </cell>
          <cell r="B143" t="str">
            <v>DONATIONS -- OTHERS</v>
          </cell>
          <cell r="C143">
            <v>-105</v>
          </cell>
          <cell r="D143">
            <v>105</v>
          </cell>
        </row>
        <row r="144">
          <cell r="A144" t="str">
            <v>270006</v>
          </cell>
          <cell r="B144" t="str">
            <v>TRAVELLING INLAND HOTEL STA</v>
          </cell>
          <cell r="C144">
            <v>-1649.1980000000001</v>
          </cell>
          <cell r="D144">
            <v>1649.1980000000001</v>
          </cell>
        </row>
        <row r="145">
          <cell r="A145" t="str">
            <v>270007</v>
          </cell>
          <cell r="B145" t="str">
            <v>TRAVELLING INLAND AIR-FARE</v>
          </cell>
          <cell r="C145">
            <v>-2283.33</v>
          </cell>
          <cell r="D145">
            <v>2283.33</v>
          </cell>
        </row>
        <row r="146">
          <cell r="A146" t="str">
            <v>270008</v>
          </cell>
          <cell r="B146" t="str">
            <v>TRAVELLING FOREIGN TA / DA</v>
          </cell>
          <cell r="C146">
            <v>-4731.3959999999997</v>
          </cell>
          <cell r="D146">
            <v>4731.3959999999997</v>
          </cell>
        </row>
        <row r="147">
          <cell r="A147" t="str">
            <v>270009</v>
          </cell>
          <cell r="B147" t="str">
            <v>TRAVELLING FOREIGN HOTEL ST</v>
          </cell>
          <cell r="C147">
            <v>-6631.8440000000001</v>
          </cell>
          <cell r="D147">
            <v>6631.8440000000001</v>
          </cell>
        </row>
        <row r="148">
          <cell r="A148" t="str">
            <v>270010</v>
          </cell>
          <cell r="B148" t="str">
            <v>TRAVELLING FOREIGN AIR-FARE</v>
          </cell>
          <cell r="C148">
            <v>36.625999999999998</v>
          </cell>
          <cell r="D148">
            <v>-36.625999999999998</v>
          </cell>
        </row>
        <row r="149">
          <cell r="A149" t="str">
            <v>271001</v>
          </cell>
          <cell r="B149" t="str">
            <v>SECURITY GUARDS CHARGES</v>
          </cell>
          <cell r="C149">
            <v>-39420</v>
          </cell>
          <cell r="D149">
            <v>39420</v>
          </cell>
        </row>
        <row r="150">
          <cell r="A150" t="str">
            <v>272001</v>
          </cell>
          <cell r="B150" t="str">
            <v>CASH TRANSPORT CHARGES</v>
          </cell>
          <cell r="C150">
            <v>-3195.63</v>
          </cell>
          <cell r="D150">
            <v>3195.63</v>
          </cell>
        </row>
        <row r="151">
          <cell r="A151" t="str">
            <v>275001</v>
          </cell>
          <cell r="B151" t="str">
            <v>CONVEYANCE (LOCAL)</v>
          </cell>
          <cell r="C151">
            <v>-21</v>
          </cell>
          <cell r="D151">
            <v>21</v>
          </cell>
        </row>
        <row r="152">
          <cell r="A152" t="str">
            <v>275003</v>
          </cell>
          <cell r="B152" t="str">
            <v>FREIGHT</v>
          </cell>
          <cell r="C152">
            <v>-1363.307</v>
          </cell>
          <cell r="D152">
            <v>1363.307</v>
          </cell>
        </row>
        <row r="153">
          <cell r="A153" t="str">
            <v>278009</v>
          </cell>
          <cell r="B153" t="str">
            <v>WRITE OFF - OTHER ASSETS</v>
          </cell>
          <cell r="C153">
            <v>-46316.618000000002</v>
          </cell>
          <cell r="D153">
            <v>46316.618000000002</v>
          </cell>
        </row>
        <row r="154">
          <cell r="A154" t="str">
            <v>278011</v>
          </cell>
          <cell r="B154" t="str">
            <v>PROVISION - CONSUMER RISK C</v>
          </cell>
          <cell r="C154">
            <v>-26312.615000000002</v>
          </cell>
          <cell r="D154">
            <v>26312.615000000002</v>
          </cell>
        </row>
        <row r="155">
          <cell r="A155" t="str">
            <v>278021</v>
          </cell>
          <cell r="B155" t="str">
            <v>WRITE OFF - CONSUMER LOANS</v>
          </cell>
          <cell r="C155">
            <v>-3937.9609999999998</v>
          </cell>
          <cell r="D155">
            <v>3937.9609999999998</v>
          </cell>
        </row>
        <row r="156">
          <cell r="A156" t="str">
            <v>278024</v>
          </cell>
          <cell r="B156" t="str">
            <v>WRITE OFF - FIXED ASSETS</v>
          </cell>
          <cell r="C156">
            <v>-504.86500000000001</v>
          </cell>
          <cell r="D156">
            <v>504.86500000000001</v>
          </cell>
        </row>
        <row r="157">
          <cell r="A157" t="str">
            <v>283001</v>
          </cell>
          <cell r="B157" t="str">
            <v>HOTEL</v>
          </cell>
          <cell r="C157">
            <v>-1103.8</v>
          </cell>
          <cell r="D157">
            <v>1103.8</v>
          </cell>
        </row>
        <row r="158">
          <cell r="A158" t="str">
            <v>283003</v>
          </cell>
          <cell r="B158" t="str">
            <v>SEMINAR</v>
          </cell>
          <cell r="C158">
            <v>-535.322</v>
          </cell>
          <cell r="D158">
            <v>535.322</v>
          </cell>
        </row>
        <row r="159">
          <cell r="A159" t="str">
            <v>283004</v>
          </cell>
          <cell r="B159" t="str">
            <v>TRAINING EXPENSES -- OTHERS</v>
          </cell>
          <cell r="C159">
            <v>-2722.0859999999998</v>
          </cell>
          <cell r="D159">
            <v>2722.0859999999998</v>
          </cell>
        </row>
        <row r="160">
          <cell r="A160" t="str">
            <v>285007</v>
          </cell>
          <cell r="B160" t="str">
            <v>VISA EXP -VISITORS</v>
          </cell>
          <cell r="C160">
            <v>-898</v>
          </cell>
          <cell r="D160">
            <v>898</v>
          </cell>
        </row>
        <row r="161">
          <cell r="A161" t="str">
            <v>285008</v>
          </cell>
          <cell r="B161" t="str">
            <v>VISA EXP -STAFF</v>
          </cell>
          <cell r="C161">
            <v>-2302.346</v>
          </cell>
          <cell r="D161">
            <v>2302.346</v>
          </cell>
        </row>
        <row r="162">
          <cell r="A162" t="str">
            <v>285021</v>
          </cell>
          <cell r="B162" t="str">
            <v>GUESTS EXPENSES</v>
          </cell>
          <cell r="C162">
            <v>-300</v>
          </cell>
          <cell r="D162">
            <v>300</v>
          </cell>
        </row>
        <row r="163">
          <cell r="A163" t="str">
            <v>285042</v>
          </cell>
          <cell r="B163" t="str">
            <v>CHEQUE RETURN CHARGES</v>
          </cell>
          <cell r="C163">
            <v>-1160</v>
          </cell>
          <cell r="D163">
            <v>1160</v>
          </cell>
        </row>
        <row r="164">
          <cell r="A164" t="str">
            <v>285088</v>
          </cell>
          <cell r="B164" t="str">
            <v>CREDIT CARD &amp; CONSUMER LOAN</v>
          </cell>
          <cell r="C164">
            <v>-27195.333999999999</v>
          </cell>
          <cell r="D164">
            <v>27195.333999999999</v>
          </cell>
        </row>
        <row r="165">
          <cell r="A165" t="str">
            <v>285090</v>
          </cell>
          <cell r="B165" t="str">
            <v>AFS MISC EXPENSES</v>
          </cell>
          <cell r="C165">
            <v>-5806.6980000000003</v>
          </cell>
          <cell r="D165">
            <v>5806.6980000000003</v>
          </cell>
        </row>
        <row r="166">
          <cell r="A166" t="str">
            <v>285091</v>
          </cell>
          <cell r="B166" t="str">
            <v>MASTER CARD MISC EXPENSES</v>
          </cell>
          <cell r="C166">
            <v>-111.104</v>
          </cell>
          <cell r="D166">
            <v>111.104</v>
          </cell>
        </row>
        <row r="167">
          <cell r="A167" t="str">
            <v>285092</v>
          </cell>
          <cell r="B167" t="str">
            <v>GIFT/GIVEWAYS EXP</v>
          </cell>
          <cell r="C167">
            <v>-191.25</v>
          </cell>
          <cell r="D167">
            <v>191.25</v>
          </cell>
        </row>
        <row r="168">
          <cell r="A168" t="str">
            <v>285094</v>
          </cell>
          <cell r="B168" t="str">
            <v>FOREIGN BANK CHARGES</v>
          </cell>
          <cell r="C168">
            <v>-3198.607</v>
          </cell>
          <cell r="D168">
            <v>3198.607</v>
          </cell>
        </row>
        <row r="169">
          <cell r="A169" t="str">
            <v>285099</v>
          </cell>
          <cell r="B169" t="str">
            <v>SUNDRY (DETAILS STATEMENT R</v>
          </cell>
          <cell r="C169">
            <v>-2687.6019999999999</v>
          </cell>
          <cell r="D169">
            <v>2687.6019999999999</v>
          </cell>
        </row>
        <row r="170">
          <cell r="A170" t="str">
            <v>288001</v>
          </cell>
          <cell r="B170" t="str">
            <v>HO SHARE OF EXPENSES</v>
          </cell>
          <cell r="C170">
            <v>-60660</v>
          </cell>
          <cell r="D170">
            <v>60660</v>
          </cell>
        </row>
        <row r="171">
          <cell r="A171" t="str">
            <v>290011</v>
          </cell>
          <cell r="B171" t="str">
            <v>SOFTWARE FEE PAID TO HEAD O</v>
          </cell>
          <cell r="C171">
            <v>-5654.9970000000003</v>
          </cell>
          <cell r="D171">
            <v>5654.9970000000003</v>
          </cell>
        </row>
        <row r="172">
          <cell r="A172" t="str">
            <v>290012</v>
          </cell>
          <cell r="B172" t="str">
            <v>SOFTWARE FEE / LINE RENT PA</v>
          </cell>
          <cell r="C172">
            <v>-158.27600000000001</v>
          </cell>
          <cell r="D172">
            <v>158.27600000000001</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FX"/>
      <sheetName val="Lookups"/>
      <sheetName val="BSDOMOVS"/>
      <sheetName val="BS-OVS"/>
      <sheetName val="Implied Rate"/>
    </sheetNames>
    <sheetDataSet>
      <sheetData sheetId="0" refreshError="1"/>
      <sheetData sheetId="1" refreshError="1"/>
      <sheetData sheetId="2" refreshError="1">
        <row r="5">
          <cell r="A5" t="str">
            <v>000010</v>
          </cell>
          <cell r="B5" t="str">
            <v>I/R ON LOANS / SMALL LOANS</v>
          </cell>
          <cell r="C5">
            <v>12392.715</v>
          </cell>
          <cell r="D5">
            <v>12392.715</v>
          </cell>
        </row>
        <row r="6">
          <cell r="A6" t="str">
            <v>000010</v>
          </cell>
          <cell r="B6" t="str">
            <v>I/R ON  L.T.R.</v>
          </cell>
          <cell r="C6">
            <v>11650.895</v>
          </cell>
          <cell r="D6">
            <v>11650.895</v>
          </cell>
        </row>
        <row r="7">
          <cell r="A7" t="str">
            <v>000010</v>
          </cell>
          <cell r="B7" t="str">
            <v>I/R ON P.A.D.</v>
          </cell>
          <cell r="C7">
            <v>459.9</v>
          </cell>
          <cell r="D7">
            <v>459.9</v>
          </cell>
        </row>
        <row r="8">
          <cell r="A8" t="str">
            <v>000010</v>
          </cell>
          <cell r="B8" t="str">
            <v>I/R ON OVERDRAFTS</v>
          </cell>
          <cell r="C8">
            <v>30278.506000000001</v>
          </cell>
          <cell r="D8">
            <v>30278.506000000001</v>
          </cell>
        </row>
        <row r="9">
          <cell r="A9" t="str">
            <v>000010</v>
          </cell>
          <cell r="B9" t="str">
            <v>CONSUMER LOAN</v>
          </cell>
          <cell r="C9">
            <v>743215.51300000004</v>
          </cell>
          <cell r="D9">
            <v>743215.51300000004</v>
          </cell>
        </row>
        <row r="10">
          <cell r="A10" t="str">
            <v>002501</v>
          </cell>
          <cell r="B10" t="str">
            <v>MAIN OFFICE ACCOUNT</v>
          </cell>
          <cell r="C10">
            <v>80734.81</v>
          </cell>
          <cell r="D10">
            <v>80734.81</v>
          </cell>
        </row>
        <row r="11">
          <cell r="A11" t="str">
            <v>006200</v>
          </cell>
          <cell r="B11" t="str">
            <v>PLS EXCHANGE-POUND STERLING</v>
          </cell>
          <cell r="C11">
            <v>23.611000000000001</v>
          </cell>
          <cell r="D11">
            <v>23.611000000000001</v>
          </cell>
        </row>
        <row r="12">
          <cell r="A12" t="str">
            <v>006200</v>
          </cell>
          <cell r="B12" t="str">
            <v>PLS EXCHANGE-DOLLAR</v>
          </cell>
          <cell r="C12">
            <v>4083.944</v>
          </cell>
          <cell r="D12">
            <v>4083.944</v>
          </cell>
        </row>
        <row r="13">
          <cell r="A13" t="str">
            <v>006200</v>
          </cell>
          <cell r="B13" t="str">
            <v>PLS EXCHANGE OTHER CURRENCI</v>
          </cell>
          <cell r="C13">
            <v>3804.8310000000001</v>
          </cell>
          <cell r="D13">
            <v>3804.8310000000001</v>
          </cell>
        </row>
        <row r="14">
          <cell r="A14" t="str">
            <v>006201</v>
          </cell>
          <cell r="B14" t="str">
            <v>PLS EX-GAIN/LOSS ON REV. PA</v>
          </cell>
          <cell r="C14">
            <v>2225.6010000000001</v>
          </cell>
          <cell r="D14">
            <v>2225.6010000000001</v>
          </cell>
        </row>
        <row r="15">
          <cell r="A15" t="str">
            <v>006400</v>
          </cell>
          <cell r="B15" t="str">
            <v>PLS COMMISSION-EXPORT BILLS</v>
          </cell>
          <cell r="C15">
            <v>636.20000000000005</v>
          </cell>
          <cell r="D15">
            <v>636.20000000000005</v>
          </cell>
        </row>
        <row r="16">
          <cell r="A16" t="str">
            <v>006400</v>
          </cell>
          <cell r="B16" t="str">
            <v>PLS COM ON IMPORT BILL</v>
          </cell>
          <cell r="C16">
            <v>1269.5999999999999</v>
          </cell>
          <cell r="D16">
            <v>1269.5999999999999</v>
          </cell>
        </row>
        <row r="17">
          <cell r="A17" t="str">
            <v>006400</v>
          </cell>
          <cell r="B17" t="str">
            <v>PLS COMMISSION-OPN. OF L/C</v>
          </cell>
          <cell r="C17">
            <v>5059.01</v>
          </cell>
          <cell r="D17">
            <v>5059.01</v>
          </cell>
        </row>
        <row r="18">
          <cell r="A18" t="str">
            <v>006400</v>
          </cell>
          <cell r="B18" t="str">
            <v>PLS COMMISSION-L.G. (INLAND</v>
          </cell>
          <cell r="C18">
            <v>1618.65</v>
          </cell>
          <cell r="D18">
            <v>1618.65</v>
          </cell>
        </row>
        <row r="19">
          <cell r="A19" t="str">
            <v>006401</v>
          </cell>
          <cell r="B19" t="str">
            <v>PLS COMM. BILLS (FBC,IBC,ET</v>
          </cell>
          <cell r="C19">
            <v>60</v>
          </cell>
          <cell r="D19">
            <v>60</v>
          </cell>
        </row>
        <row r="20">
          <cell r="A20" t="str">
            <v>006401</v>
          </cell>
          <cell r="B20" t="str">
            <v>FEE FOR RENDERING OTHER SER</v>
          </cell>
          <cell r="C20">
            <v>1778.0340000000001</v>
          </cell>
          <cell r="D20">
            <v>1778.0340000000001</v>
          </cell>
        </row>
        <row r="21">
          <cell r="A21" t="str">
            <v>006402</v>
          </cell>
          <cell r="B21" t="str">
            <v>PLS COM ON ISSUE OF NEW CHE</v>
          </cell>
          <cell r="C21">
            <v>1951</v>
          </cell>
          <cell r="D21">
            <v>1951</v>
          </cell>
        </row>
        <row r="22">
          <cell r="A22" t="str">
            <v>006403</v>
          </cell>
          <cell r="B22" t="str">
            <v>PL.COMMISSION-LC ADVISING (</v>
          </cell>
          <cell r="C22">
            <v>120</v>
          </cell>
          <cell r="D22">
            <v>120</v>
          </cell>
        </row>
        <row r="23">
          <cell r="A23" t="str">
            <v>006408</v>
          </cell>
          <cell r="B23" t="str">
            <v>IFDBC</v>
          </cell>
          <cell r="C23">
            <v>3448.4</v>
          </cell>
          <cell r="D23">
            <v>3448.4</v>
          </cell>
        </row>
        <row r="24">
          <cell r="A24" t="str">
            <v>006600</v>
          </cell>
          <cell r="B24" t="str">
            <v>LOCKERS</v>
          </cell>
          <cell r="C24">
            <v>952.5</v>
          </cell>
          <cell r="D24">
            <v>952.5</v>
          </cell>
        </row>
        <row r="25">
          <cell r="A25" t="str">
            <v>007800</v>
          </cell>
          <cell r="B25" t="str">
            <v>PLS O/R-INCIDENTAL CHARGES</v>
          </cell>
          <cell r="C25">
            <v>4336.6390000000001</v>
          </cell>
          <cell r="D25">
            <v>4336.6390000000001</v>
          </cell>
        </row>
        <row r="26">
          <cell r="A26" t="str">
            <v>007805</v>
          </cell>
          <cell r="B26" t="str">
            <v>FACILITIES PROCESSING FEES</v>
          </cell>
          <cell r="C26">
            <v>610.9</v>
          </cell>
          <cell r="D26">
            <v>610.9</v>
          </cell>
        </row>
        <row r="27">
          <cell r="A27" t="str">
            <v>007808</v>
          </cell>
          <cell r="B27" t="str">
            <v>CONSUMER LOAN - PREPAYMENT</v>
          </cell>
          <cell r="C27">
            <v>20278.798999999999</v>
          </cell>
          <cell r="D27">
            <v>20278.798999999999</v>
          </cell>
        </row>
        <row r="28">
          <cell r="A28" t="str">
            <v>007808</v>
          </cell>
          <cell r="B28" t="str">
            <v>CONSUMER LOAN - MISC FEES</v>
          </cell>
          <cell r="C28">
            <v>68230.862999999998</v>
          </cell>
          <cell r="D28">
            <v>68230.862999999998</v>
          </cell>
        </row>
        <row r="29">
          <cell r="A29" t="str">
            <v>007809</v>
          </cell>
          <cell r="B29" t="str">
            <v>BENEFIT SWITCH RELATED INCO</v>
          </cell>
          <cell r="C29">
            <v>1676.25</v>
          </cell>
          <cell r="D29">
            <v>1676.25</v>
          </cell>
        </row>
        <row r="30">
          <cell r="A30" t="str">
            <v>008000</v>
          </cell>
          <cell r="B30" t="str">
            <v>POSTAGE RECOVERIES - CORPOR</v>
          </cell>
          <cell r="C30">
            <v>1410</v>
          </cell>
          <cell r="D30">
            <v>1410</v>
          </cell>
        </row>
        <row r="31">
          <cell r="A31" t="str">
            <v>008000</v>
          </cell>
          <cell r="B31" t="str">
            <v>TELEX RECOVERIES</v>
          </cell>
          <cell r="C31">
            <v>5728.8</v>
          </cell>
          <cell r="D31">
            <v>5728.8</v>
          </cell>
        </row>
        <row r="32">
          <cell r="A32" t="str">
            <v>008000</v>
          </cell>
          <cell r="B32" t="str">
            <v>TELEGRAM RECOVERIES</v>
          </cell>
          <cell r="C32">
            <v>2100</v>
          </cell>
          <cell r="D32">
            <v>2100</v>
          </cell>
        </row>
        <row r="33">
          <cell r="A33" t="str">
            <v>008000</v>
          </cell>
          <cell r="B33" t="str">
            <v>CLEARING CHEQUE  RECOVERIES</v>
          </cell>
          <cell r="C33">
            <v>1415</v>
          </cell>
          <cell r="D33">
            <v>1415</v>
          </cell>
        </row>
        <row r="34">
          <cell r="A34" t="str">
            <v>008002</v>
          </cell>
          <cell r="B34" t="str">
            <v>TEZRAFTAAR TT REIMBURSEMENT</v>
          </cell>
          <cell r="C34">
            <v>27346.585999999999</v>
          </cell>
          <cell r="D34">
            <v>27346.585999999999</v>
          </cell>
        </row>
        <row r="35">
          <cell r="A35" t="str">
            <v>008002</v>
          </cell>
          <cell r="B35" t="str">
            <v>INSURANCE RECOVERIES - CONS</v>
          </cell>
          <cell r="C35">
            <v>161238.01999999999</v>
          </cell>
          <cell r="D35">
            <v>161238.01999999999</v>
          </cell>
        </row>
        <row r="36">
          <cell r="A36" t="str">
            <v>114011</v>
          </cell>
          <cell r="B36" t="str">
            <v>INTEREST PAID - CURRENT ACC</v>
          </cell>
          <cell r="C36">
            <v>-3241.9940000000001</v>
          </cell>
          <cell r="D36">
            <v>3241.9940000000001</v>
          </cell>
        </row>
        <row r="37">
          <cell r="A37" t="str">
            <v>114012</v>
          </cell>
          <cell r="B37" t="str">
            <v>INTEREST PAID - CALL ACCOUN</v>
          </cell>
          <cell r="C37">
            <v>-248.22800000000001</v>
          </cell>
          <cell r="D37">
            <v>248.22800000000001</v>
          </cell>
        </row>
        <row r="38">
          <cell r="A38" t="str">
            <v>122012</v>
          </cell>
          <cell r="B38" t="str">
            <v>SB DEPOSITS - BD</v>
          </cell>
          <cell r="C38">
            <v>-3137.1680000000001</v>
          </cell>
          <cell r="D38">
            <v>3137.1680000000001</v>
          </cell>
        </row>
        <row r="39">
          <cell r="A39" t="str">
            <v>123013</v>
          </cell>
          <cell r="B39" t="str">
            <v>FIXED DEPOSITS BD</v>
          </cell>
          <cell r="C39">
            <v>-166831.80300000001</v>
          </cell>
          <cell r="D39">
            <v>166831.80300000001</v>
          </cell>
        </row>
        <row r="40">
          <cell r="A40" t="str">
            <v>123019</v>
          </cell>
          <cell r="B40" t="str">
            <v>FIXED DEPOSITS - US $</v>
          </cell>
          <cell r="C40">
            <v>-72403.532000000007</v>
          </cell>
          <cell r="D40">
            <v>72403.532000000007</v>
          </cell>
        </row>
        <row r="41">
          <cell r="A41" t="str">
            <v>123021</v>
          </cell>
          <cell r="B41" t="str">
            <v>FIXED DEPOSITS - POUND STER</v>
          </cell>
          <cell r="C41">
            <v>-257.048</v>
          </cell>
          <cell r="D41">
            <v>257.048</v>
          </cell>
        </row>
        <row r="42">
          <cell r="A42" t="str">
            <v>130014</v>
          </cell>
          <cell r="B42" t="str">
            <v>MAIN OFFICE ACCOUNT</v>
          </cell>
          <cell r="C42">
            <v>-42406</v>
          </cell>
          <cell r="D42">
            <v>42406</v>
          </cell>
        </row>
        <row r="43">
          <cell r="A43" t="str">
            <v>140011</v>
          </cell>
          <cell r="B43" t="str">
            <v>BASIC SALARIES - OFFICERS</v>
          </cell>
          <cell r="C43">
            <v>-24425.839</v>
          </cell>
          <cell r="D43">
            <v>24425.839</v>
          </cell>
        </row>
        <row r="44">
          <cell r="A44" t="str">
            <v>140012</v>
          </cell>
          <cell r="B44" t="str">
            <v>BASIC SALARIES - CLERICAL</v>
          </cell>
          <cell r="C44">
            <v>-9953</v>
          </cell>
          <cell r="D44">
            <v>9953</v>
          </cell>
        </row>
        <row r="45">
          <cell r="A45" t="str">
            <v>145020</v>
          </cell>
          <cell r="B45" t="str">
            <v>OTHER ALLOWANCES</v>
          </cell>
          <cell r="C45">
            <v>-22919.225999999999</v>
          </cell>
          <cell r="D45">
            <v>22919.225999999999</v>
          </cell>
        </row>
        <row r="46">
          <cell r="A46" t="str">
            <v>145067</v>
          </cell>
          <cell r="B46" t="str">
            <v>TEZRAFTAR EVENING /FRIDAY A</v>
          </cell>
          <cell r="C46">
            <v>-746.25</v>
          </cell>
          <cell r="D46">
            <v>746.25</v>
          </cell>
        </row>
        <row r="47">
          <cell r="A47" t="str">
            <v>148001</v>
          </cell>
          <cell r="B47" t="str">
            <v>MESSENGER / OFFICE BOYS</v>
          </cell>
          <cell r="C47">
            <v>-2328</v>
          </cell>
          <cell r="D47">
            <v>2328</v>
          </cell>
        </row>
        <row r="48">
          <cell r="A48" t="str">
            <v>152012</v>
          </cell>
          <cell r="B48" t="str">
            <v>MEDIACAL INSURANCE-OVS</v>
          </cell>
          <cell r="C48">
            <v>-7040.7569999999996</v>
          </cell>
          <cell r="D48">
            <v>7040.7569999999996</v>
          </cell>
        </row>
        <row r="49">
          <cell r="A49" t="str">
            <v>155011</v>
          </cell>
          <cell r="B49" t="str">
            <v>EOSB EXPATS</v>
          </cell>
          <cell r="C49">
            <v>-1626.9190000000001</v>
          </cell>
          <cell r="D49">
            <v>1626.9190000000001</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-6282.308</v>
          </cell>
          <cell r="D52">
            <v>6282.308</v>
          </cell>
        </row>
        <row r="53">
          <cell r="A53" t="str">
            <v>172003</v>
          </cell>
          <cell r="B53" t="str">
            <v>BRANCH PERFORMANCE AWARDS</v>
          </cell>
          <cell r="C53">
            <v>0</v>
          </cell>
          <cell r="D53">
            <v>0</v>
          </cell>
        </row>
        <row r="54">
          <cell r="A54" t="str">
            <v>180001</v>
          </cell>
          <cell r="B54" t="str">
            <v>RENT - OFFICE</v>
          </cell>
          <cell r="C54">
            <v>-26400</v>
          </cell>
          <cell r="D54">
            <v>26400</v>
          </cell>
        </row>
        <row r="55">
          <cell r="A55" t="str">
            <v>180011</v>
          </cell>
          <cell r="B55" t="str">
            <v>RATES &amp; TAXES - TRADE LICEN</v>
          </cell>
          <cell r="C55">
            <v>-2000</v>
          </cell>
          <cell r="D55">
            <v>2000</v>
          </cell>
        </row>
        <row r="56">
          <cell r="A56" t="str">
            <v>180012</v>
          </cell>
          <cell r="B56" t="str">
            <v>RATES &amp; TAXES - COMMERCIAL</v>
          </cell>
          <cell r="C56">
            <v>-23182.396000000001</v>
          </cell>
          <cell r="D56">
            <v>23182.396000000001</v>
          </cell>
        </row>
        <row r="57">
          <cell r="A57" t="str">
            <v>190001</v>
          </cell>
          <cell r="B57" t="str">
            <v>GAS - ELECTRICITY-OFFICE</v>
          </cell>
          <cell r="C57">
            <v>-2377.16</v>
          </cell>
          <cell r="D57">
            <v>2377.16</v>
          </cell>
        </row>
        <row r="58">
          <cell r="A58" t="str">
            <v>195001</v>
          </cell>
          <cell r="B58" t="str">
            <v>INSURANCE-FIRE/THEIFT</v>
          </cell>
          <cell r="C58">
            <v>-2599.9070000000002</v>
          </cell>
          <cell r="D58">
            <v>2599.9070000000002</v>
          </cell>
        </row>
        <row r="59">
          <cell r="A59" t="str">
            <v>195011</v>
          </cell>
          <cell r="B59" t="str">
            <v>GOSI LOCAL</v>
          </cell>
          <cell r="C59">
            <v>-3893.65</v>
          </cell>
          <cell r="D59">
            <v>3893.65</v>
          </cell>
        </row>
        <row r="60">
          <cell r="A60" t="str">
            <v>195012</v>
          </cell>
          <cell r="B60" t="str">
            <v>INSURANCE-FIRE/THEFT</v>
          </cell>
          <cell r="C60">
            <v>-146.16499999999999</v>
          </cell>
          <cell r="D60">
            <v>146.16499999999999</v>
          </cell>
        </row>
        <row r="61">
          <cell r="A61" t="str">
            <v>205001</v>
          </cell>
          <cell r="B61" t="str">
            <v>POSTAGE</v>
          </cell>
          <cell r="C61">
            <v>-396.49599999999998</v>
          </cell>
          <cell r="D61">
            <v>396.49599999999998</v>
          </cell>
        </row>
        <row r="62">
          <cell r="A62" t="str">
            <v>205002</v>
          </cell>
          <cell r="B62" t="str">
            <v>TELEX / T.P</v>
          </cell>
          <cell r="C62">
            <v>-35.341000000000001</v>
          </cell>
          <cell r="D62">
            <v>35.341000000000001</v>
          </cell>
        </row>
        <row r="63">
          <cell r="A63" t="str">
            <v>206001</v>
          </cell>
          <cell r="B63" t="str">
            <v>TELEPHONE / TRUNK CALL - OF</v>
          </cell>
          <cell r="C63">
            <v>-3068.68</v>
          </cell>
          <cell r="D63">
            <v>3068.68</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-2228.5160000000001</v>
          </cell>
          <cell r="D66">
            <v>2228.5160000000001</v>
          </cell>
        </row>
        <row r="67">
          <cell r="A67" t="str">
            <v>208003</v>
          </cell>
          <cell r="B67" t="str">
            <v>SOFTWARE CHARGES</v>
          </cell>
          <cell r="C67">
            <v>865.18</v>
          </cell>
          <cell r="D67">
            <v>-865.18</v>
          </cell>
        </row>
        <row r="68">
          <cell r="A68" t="str">
            <v>208012</v>
          </cell>
          <cell r="B68" t="str">
            <v>BENEFIT SWITCH EXPENSES</v>
          </cell>
          <cell r="C68">
            <v>-12229.349</v>
          </cell>
          <cell r="D68">
            <v>12229.349</v>
          </cell>
        </row>
        <row r="69">
          <cell r="A69" t="str">
            <v>218001</v>
          </cell>
          <cell r="B69" t="str">
            <v>DEPRECIATION-ELECTRICAL &amp; O</v>
          </cell>
          <cell r="C69">
            <v>-3409.4929999999999</v>
          </cell>
          <cell r="D69">
            <v>3409.4929999999999</v>
          </cell>
        </row>
        <row r="70">
          <cell r="A70" t="str">
            <v>218002</v>
          </cell>
          <cell r="B70" t="str">
            <v>DEPRECIATION-FIRE EXTINGUIS</v>
          </cell>
          <cell r="C70">
            <v>-20</v>
          </cell>
          <cell r="D70">
            <v>20</v>
          </cell>
        </row>
        <row r="71">
          <cell r="A71" t="str">
            <v>220012</v>
          </cell>
          <cell r="B71" t="str">
            <v>FURNITURE &amp; FIXTURES WOODEN</v>
          </cell>
          <cell r="C71">
            <v>-500.34699999999998</v>
          </cell>
          <cell r="D71">
            <v>500.34699999999998</v>
          </cell>
        </row>
        <row r="72">
          <cell r="A72" t="str">
            <v>221003</v>
          </cell>
          <cell r="B72" t="str">
            <v>DEPRECIATION-LEASE HOLD IMP</v>
          </cell>
          <cell r="C72">
            <v>-2499.1120000000001</v>
          </cell>
          <cell r="D72">
            <v>2499.1120000000001</v>
          </cell>
        </row>
        <row r="73">
          <cell r="A73" t="str">
            <v>222001</v>
          </cell>
          <cell r="B73" t="str">
            <v>DEPRECIATION IT HARDWARE-PC</v>
          </cell>
          <cell r="C73">
            <v>-2878.8670000000002</v>
          </cell>
          <cell r="D73">
            <v>2878.8670000000002</v>
          </cell>
        </row>
        <row r="74">
          <cell r="A74" t="str">
            <v>225002</v>
          </cell>
          <cell r="B74" t="str">
            <v>REPAIR - MACHINE/EQUIPMENT</v>
          </cell>
          <cell r="C74">
            <v>1</v>
          </cell>
          <cell r="D74">
            <v>-1</v>
          </cell>
        </row>
        <row r="75">
          <cell r="A75" t="str">
            <v>225007</v>
          </cell>
          <cell r="B75" t="str">
            <v>REPAIRS - I T HARDWARE</v>
          </cell>
          <cell r="C75">
            <v>-2481.1999999999998</v>
          </cell>
          <cell r="D75">
            <v>2481.1999999999998</v>
          </cell>
        </row>
        <row r="76">
          <cell r="A76" t="str">
            <v>235001</v>
          </cell>
          <cell r="B76" t="str">
            <v>OFFICE STATIONERY</v>
          </cell>
          <cell r="C76">
            <v>-1293.3119999999999</v>
          </cell>
          <cell r="D76">
            <v>1293.3119999999999</v>
          </cell>
        </row>
        <row r="77">
          <cell r="A77" t="str">
            <v>235002</v>
          </cell>
          <cell r="B77" t="str">
            <v>SECURITY STATIONERY</v>
          </cell>
          <cell r="C77">
            <v>-331.52</v>
          </cell>
          <cell r="D77">
            <v>331.52</v>
          </cell>
        </row>
        <row r="78">
          <cell r="A78" t="str">
            <v>235003</v>
          </cell>
          <cell r="B78" t="str">
            <v>PETTY STATIONERY</v>
          </cell>
          <cell r="C78">
            <v>-41.85</v>
          </cell>
          <cell r="D78">
            <v>41.85</v>
          </cell>
        </row>
        <row r="79">
          <cell r="A79" t="str">
            <v>235004</v>
          </cell>
          <cell r="B79" t="str">
            <v>PRINTING STATIONERY</v>
          </cell>
          <cell r="C79">
            <v>-3303.366</v>
          </cell>
          <cell r="D79">
            <v>3303.366</v>
          </cell>
        </row>
        <row r="80">
          <cell r="A80" t="str">
            <v>235006</v>
          </cell>
          <cell r="B80" t="str">
            <v>COMPUTER STATIONERY (CONSUM</v>
          </cell>
          <cell r="C80">
            <v>-108</v>
          </cell>
          <cell r="D80">
            <v>108</v>
          </cell>
        </row>
        <row r="81">
          <cell r="A81" t="str">
            <v>237001</v>
          </cell>
          <cell r="B81" t="str">
            <v>OFFICE RUNNING EXPENSES</v>
          </cell>
          <cell r="C81">
            <v>-681.298</v>
          </cell>
          <cell r="D81">
            <v>681.298</v>
          </cell>
        </row>
        <row r="82">
          <cell r="A82" t="str">
            <v>237002</v>
          </cell>
          <cell r="B82" t="str">
            <v>JANITORIAL CHARGES</v>
          </cell>
          <cell r="C82">
            <v>-840</v>
          </cell>
          <cell r="D82">
            <v>840</v>
          </cell>
        </row>
        <row r="83">
          <cell r="A83" t="str">
            <v>240005</v>
          </cell>
          <cell r="B83" t="str">
            <v>BILLBOARDS AND SIGNAGE</v>
          </cell>
          <cell r="C83">
            <v>-872.10599999999999</v>
          </cell>
          <cell r="D83">
            <v>872.10599999999999</v>
          </cell>
        </row>
        <row r="84">
          <cell r="A84" t="str">
            <v>240009</v>
          </cell>
          <cell r="B84" t="str">
            <v>PRESS ADVERTISING</v>
          </cell>
          <cell r="C84">
            <v>-3402.634</v>
          </cell>
          <cell r="D84">
            <v>3402.634</v>
          </cell>
        </row>
        <row r="85">
          <cell r="A85" t="str">
            <v>240015</v>
          </cell>
          <cell r="B85" t="str">
            <v>MISCELLANEOUS</v>
          </cell>
          <cell r="C85">
            <v>-9116.6290000000008</v>
          </cell>
          <cell r="D85">
            <v>9116.6290000000008</v>
          </cell>
        </row>
        <row r="86">
          <cell r="A86" t="str">
            <v>245001</v>
          </cell>
          <cell r="B86" t="str">
            <v>ENTERTAINMENT</v>
          </cell>
          <cell r="C86">
            <v>-338.52499999999998</v>
          </cell>
          <cell r="D86">
            <v>338.52499999999998</v>
          </cell>
        </row>
        <row r="87">
          <cell r="A87" t="str">
            <v>260001</v>
          </cell>
          <cell r="B87" t="str">
            <v>SUBSCRIPTIONS PERIODICAL /</v>
          </cell>
          <cell r="C87">
            <v>-49.4</v>
          </cell>
          <cell r="D87">
            <v>49.4</v>
          </cell>
        </row>
        <row r="88">
          <cell r="A88" t="str">
            <v>260002</v>
          </cell>
          <cell r="B88" t="str">
            <v>SUBSCRIPTIONS INSTITUTIONS</v>
          </cell>
          <cell r="C88">
            <v>-6.6669999999999998</v>
          </cell>
          <cell r="D88">
            <v>6.6669999999999998</v>
          </cell>
        </row>
        <row r="89">
          <cell r="A89" t="str">
            <v>271001</v>
          </cell>
          <cell r="B89" t="str">
            <v>SECURITY GUARDS CHARGES</v>
          </cell>
          <cell r="C89">
            <v>-17520</v>
          </cell>
          <cell r="D89">
            <v>17520</v>
          </cell>
        </row>
        <row r="90">
          <cell r="A90" t="str">
            <v>272001</v>
          </cell>
          <cell r="B90" t="str">
            <v>CASH TRANSPORT CHARGES</v>
          </cell>
          <cell r="C90">
            <v>-1673.0170000000001</v>
          </cell>
          <cell r="D90">
            <v>1673.0170000000001</v>
          </cell>
        </row>
        <row r="91">
          <cell r="A91" t="str">
            <v>275003</v>
          </cell>
          <cell r="B91" t="str">
            <v>FREIGHT</v>
          </cell>
          <cell r="C91">
            <v>-77.7</v>
          </cell>
          <cell r="D91">
            <v>77.7</v>
          </cell>
        </row>
        <row r="92">
          <cell r="A92" t="str">
            <v>278009</v>
          </cell>
          <cell r="B92" t="str">
            <v>WRITE OFF - OTHER ASSETS</v>
          </cell>
          <cell r="C92">
            <v>-221.715</v>
          </cell>
          <cell r="D92">
            <v>-221.715</v>
          </cell>
        </row>
        <row r="93">
          <cell r="A93" t="str">
            <v>278011</v>
          </cell>
          <cell r="B93" t="str">
            <v>PROVISION - CONSUMER RISK C</v>
          </cell>
          <cell r="C93">
            <v>-1416.606</v>
          </cell>
          <cell r="D93">
            <v>-1416.606</v>
          </cell>
        </row>
        <row r="94">
          <cell r="A94" t="str">
            <v>278021</v>
          </cell>
          <cell r="B94" t="str">
            <v>WRITE OFF - CONSUMER LOANS</v>
          </cell>
          <cell r="C94">
            <v>-2605.1010000000001</v>
          </cell>
          <cell r="D94">
            <v>-2605.1010000000001</v>
          </cell>
        </row>
        <row r="95">
          <cell r="A95" t="str">
            <v>283004</v>
          </cell>
          <cell r="B95" t="str">
            <v>OTHERS</v>
          </cell>
          <cell r="C95">
            <v>-1371.5519999999999</v>
          </cell>
          <cell r="D95">
            <v>1371.5519999999999</v>
          </cell>
        </row>
        <row r="96">
          <cell r="A96" t="str">
            <v>285042</v>
          </cell>
          <cell r="B96" t="str">
            <v>CHEQUE RETURN CHARGES</v>
          </cell>
          <cell r="C96">
            <v>-615</v>
          </cell>
          <cell r="D96">
            <v>615</v>
          </cell>
        </row>
        <row r="97">
          <cell r="A97" t="str">
            <v>285088</v>
          </cell>
          <cell r="B97" t="str">
            <v>CREDIT CARD &amp; CONSUMER LOAN</v>
          </cell>
          <cell r="C97">
            <v>-14814.817999999999</v>
          </cell>
          <cell r="D97">
            <v>14814.817999999999</v>
          </cell>
        </row>
        <row r="98">
          <cell r="A98" t="str">
            <v>285092</v>
          </cell>
          <cell r="B98" t="str">
            <v>GIFT/GIVEWAYS EXP</v>
          </cell>
          <cell r="C98">
            <v>-76.5</v>
          </cell>
          <cell r="D98">
            <v>76.5</v>
          </cell>
        </row>
        <row r="99">
          <cell r="A99" t="str">
            <v>285099</v>
          </cell>
          <cell r="B99" t="str">
            <v>SUNDRY (DETAILS STATEMENT R</v>
          </cell>
          <cell r="C99">
            <v>-1255.45</v>
          </cell>
          <cell r="D99">
            <v>1255.45</v>
          </cell>
        </row>
        <row r="100">
          <cell r="A100" t="str">
            <v>288001</v>
          </cell>
          <cell r="B100" t="str">
            <v>HO SHARE OF EXPENSES</v>
          </cell>
          <cell r="C100">
            <v>-20100</v>
          </cell>
          <cell r="D100">
            <v>20100</v>
          </cell>
        </row>
        <row r="101">
          <cell r="A101" t="str">
            <v>290011</v>
          </cell>
          <cell r="B101" t="str">
            <v>IT CHARGES PAID TO HO</v>
          </cell>
          <cell r="C101">
            <v>-3015.9960000000001</v>
          </cell>
          <cell r="D101">
            <v>3015.9960000000001</v>
          </cell>
        </row>
        <row r="102">
          <cell r="A102" t="str">
            <v>290012</v>
          </cell>
          <cell r="B102" t="str">
            <v>SOFTWARE FEE / LINE RENT PA</v>
          </cell>
          <cell r="C102">
            <v>-63.31</v>
          </cell>
          <cell r="D102">
            <v>63.31</v>
          </cell>
        </row>
      </sheetData>
      <sheetData sheetId="3" refreshError="1">
        <row r="5">
          <cell r="A5" t="str">
            <v>001001</v>
          </cell>
          <cell r="B5" t="str">
            <v>I/R ON LOANS / SMALL LOANS</v>
          </cell>
          <cell r="C5">
            <v>10847.868</v>
          </cell>
          <cell r="D5">
            <v>10847.868</v>
          </cell>
        </row>
        <row r="6">
          <cell r="A6" t="str">
            <v>001006</v>
          </cell>
          <cell r="B6" t="str">
            <v>I/R ON  L.T.R.</v>
          </cell>
          <cell r="C6">
            <v>11318.468999999999</v>
          </cell>
          <cell r="D6">
            <v>11318.468999999999</v>
          </cell>
        </row>
        <row r="7">
          <cell r="A7" t="str">
            <v>001012</v>
          </cell>
          <cell r="B7" t="str">
            <v>I/R ON P.A.D.</v>
          </cell>
          <cell r="C7">
            <v>458.1</v>
          </cell>
          <cell r="D7">
            <v>458.1</v>
          </cell>
        </row>
        <row r="8">
          <cell r="A8" t="str">
            <v>001020</v>
          </cell>
          <cell r="B8" t="str">
            <v>I/R ON OVERDRAFTS</v>
          </cell>
          <cell r="C8">
            <v>27824.312999999998</v>
          </cell>
          <cell r="D8">
            <v>27824.312999999998</v>
          </cell>
        </row>
        <row r="9">
          <cell r="A9" t="str">
            <v>001053</v>
          </cell>
          <cell r="B9" t="str">
            <v>CONSUMER LOAN</v>
          </cell>
          <cell r="C9">
            <v>678437.12699999998</v>
          </cell>
          <cell r="D9">
            <v>678437.12699999998</v>
          </cell>
        </row>
        <row r="10">
          <cell r="A10" t="str">
            <v>025014</v>
          </cell>
          <cell r="B10" t="str">
            <v>MAIN OFFICE ACCOUNT</v>
          </cell>
          <cell r="C10">
            <v>64505.777000000002</v>
          </cell>
          <cell r="D10">
            <v>64505.777000000002</v>
          </cell>
        </row>
        <row r="11">
          <cell r="A11" t="str">
            <v>062001</v>
          </cell>
          <cell r="B11" t="str">
            <v>PLS EXCHANGE-POUND STERLING</v>
          </cell>
          <cell r="C11">
            <v>23.311</v>
          </cell>
          <cell r="D11">
            <v>23.311</v>
          </cell>
        </row>
        <row r="12">
          <cell r="A12" t="str">
            <v>062002</v>
          </cell>
          <cell r="B12" t="str">
            <v>PLS EXCHANGE-DOLLAR</v>
          </cell>
          <cell r="C12">
            <v>3736.375</v>
          </cell>
          <cell r="D12">
            <v>3736.375</v>
          </cell>
        </row>
        <row r="13">
          <cell r="A13" t="str">
            <v>062004</v>
          </cell>
          <cell r="B13" t="str">
            <v>PLS EXCHANGE OTHER CURRENCI</v>
          </cell>
          <cell r="C13">
            <v>3521.1790000000001</v>
          </cell>
          <cell r="D13">
            <v>3521.1790000000001</v>
          </cell>
        </row>
        <row r="14">
          <cell r="A14" t="str">
            <v>062012</v>
          </cell>
          <cell r="B14" t="str">
            <v>PLS EX-GAIN/LOSS ON REV. PA</v>
          </cell>
          <cell r="C14">
            <v>1720.529</v>
          </cell>
          <cell r="D14">
            <v>1720.529</v>
          </cell>
        </row>
        <row r="15">
          <cell r="A15" t="str">
            <v>064002</v>
          </cell>
          <cell r="B15" t="str">
            <v>PLS COMMISSION-EXPORT BILLS</v>
          </cell>
          <cell r="C15">
            <v>598.67499999999995</v>
          </cell>
          <cell r="D15">
            <v>598.67499999999995</v>
          </cell>
        </row>
        <row r="16">
          <cell r="A16" t="str">
            <v>064003</v>
          </cell>
          <cell r="B16" t="str">
            <v>PLS COM ON IMPORT BILL</v>
          </cell>
          <cell r="C16">
            <v>1170.4000000000001</v>
          </cell>
          <cell r="D16">
            <v>1170.4000000000001</v>
          </cell>
        </row>
        <row r="17">
          <cell r="A17" t="str">
            <v>064004</v>
          </cell>
          <cell r="B17" t="str">
            <v>PLS COMMISSION-OPN. OF L/C</v>
          </cell>
          <cell r="C17">
            <v>4595.0600000000004</v>
          </cell>
          <cell r="D17">
            <v>4595.0600000000004</v>
          </cell>
        </row>
        <row r="18">
          <cell r="A18" t="str">
            <v>064008</v>
          </cell>
          <cell r="B18" t="str">
            <v>PLS COMMISSION-L.G. (INLAND</v>
          </cell>
          <cell r="C18">
            <v>1618.65</v>
          </cell>
          <cell r="D18">
            <v>1618.65</v>
          </cell>
        </row>
        <row r="19">
          <cell r="A19" t="str">
            <v>064010</v>
          </cell>
          <cell r="B19" t="str">
            <v>PLS COMM. BILLS (FBC,IBC,ET</v>
          </cell>
          <cell r="C19">
            <v>60</v>
          </cell>
          <cell r="D19">
            <v>60</v>
          </cell>
        </row>
        <row r="20">
          <cell r="A20" t="str">
            <v>064019</v>
          </cell>
          <cell r="B20" t="str">
            <v>FEE FOR RENDERING OTHER SER</v>
          </cell>
          <cell r="C20">
            <v>1556.0039999999999</v>
          </cell>
          <cell r="D20">
            <v>1556.0039999999999</v>
          </cell>
        </row>
        <row r="21">
          <cell r="A21" t="str">
            <v>064022</v>
          </cell>
          <cell r="B21" t="str">
            <v>PLS COM ON ISSUE OF NEW CHE</v>
          </cell>
          <cell r="C21">
            <v>1828.5</v>
          </cell>
          <cell r="D21">
            <v>1828.5</v>
          </cell>
        </row>
        <row r="22">
          <cell r="A22" t="str">
            <v>064031</v>
          </cell>
          <cell r="B22" t="str">
            <v>PL.COMMISSION-LC ADVISING (</v>
          </cell>
          <cell r="C22">
            <v>120</v>
          </cell>
          <cell r="D22">
            <v>120</v>
          </cell>
        </row>
        <row r="23">
          <cell r="A23" t="str">
            <v>064089</v>
          </cell>
          <cell r="B23" t="str">
            <v>IFDBC</v>
          </cell>
          <cell r="C23">
            <v>3179.9</v>
          </cell>
          <cell r="D23">
            <v>3179.9</v>
          </cell>
        </row>
        <row r="24">
          <cell r="A24" t="str">
            <v>066001</v>
          </cell>
          <cell r="B24" t="str">
            <v>LOCKERS</v>
          </cell>
          <cell r="C24">
            <v>877.5</v>
          </cell>
          <cell r="D24">
            <v>877.5</v>
          </cell>
        </row>
        <row r="25">
          <cell r="A25" t="str">
            <v>078001</v>
          </cell>
          <cell r="B25" t="str">
            <v>PLS O/R-INCIDENTAL CHARGES</v>
          </cell>
          <cell r="C25">
            <v>4084.0050000000001</v>
          </cell>
          <cell r="D25">
            <v>4084.0050000000001</v>
          </cell>
        </row>
        <row r="26">
          <cell r="A26" t="str">
            <v>078057</v>
          </cell>
          <cell r="B26" t="str">
            <v>FACILITIES PROCESSING FEES</v>
          </cell>
          <cell r="C26">
            <v>160.9</v>
          </cell>
          <cell r="D26">
            <v>160.9</v>
          </cell>
        </row>
        <row r="27">
          <cell r="A27" t="str">
            <v>078084</v>
          </cell>
          <cell r="B27" t="str">
            <v>CONSUMER LOAN - PREPAYMENT</v>
          </cell>
          <cell r="C27">
            <v>16380.96</v>
          </cell>
          <cell r="D27">
            <v>16380.96</v>
          </cell>
        </row>
        <row r="28">
          <cell r="A28" t="str">
            <v>078085</v>
          </cell>
          <cell r="B28" t="str">
            <v>CONSUMER LOAN - MISC FEES</v>
          </cell>
          <cell r="C28">
            <v>64611.862999999998</v>
          </cell>
          <cell r="D28">
            <v>64611.862999999998</v>
          </cell>
        </row>
        <row r="29">
          <cell r="A29" t="str">
            <v>078094</v>
          </cell>
          <cell r="B29" t="str">
            <v>BENEFIT SWITCH RELATED INCO</v>
          </cell>
          <cell r="C29">
            <v>1533.25</v>
          </cell>
          <cell r="D29">
            <v>1533.25</v>
          </cell>
        </row>
        <row r="30">
          <cell r="A30" t="str">
            <v>080001</v>
          </cell>
          <cell r="B30" t="str">
            <v>POSTAGE RECOVERIES - CORPOR</v>
          </cell>
          <cell r="C30">
            <v>1222</v>
          </cell>
          <cell r="D30">
            <v>1222</v>
          </cell>
        </row>
        <row r="31">
          <cell r="A31" t="str">
            <v>080002</v>
          </cell>
          <cell r="B31" t="str">
            <v>TELEX RECOVERIES</v>
          </cell>
          <cell r="C31">
            <v>5266.9</v>
          </cell>
          <cell r="D31">
            <v>5266.9</v>
          </cell>
        </row>
        <row r="32">
          <cell r="A32" t="str">
            <v>080003</v>
          </cell>
          <cell r="B32" t="str">
            <v>TELEGRAM RECOVERIES</v>
          </cell>
          <cell r="C32">
            <v>1967</v>
          </cell>
          <cell r="D32">
            <v>1967</v>
          </cell>
        </row>
        <row r="33">
          <cell r="A33" t="str">
            <v>080009</v>
          </cell>
          <cell r="B33" t="str">
            <v>CLEARING CHEQUE  RECOVERIES</v>
          </cell>
          <cell r="C33">
            <v>1285</v>
          </cell>
          <cell r="D33">
            <v>1285</v>
          </cell>
        </row>
        <row r="34">
          <cell r="A34" t="str">
            <v>080021</v>
          </cell>
          <cell r="B34" t="str">
            <v>TEZRAFTAAR TT REIMBURSEMENT</v>
          </cell>
          <cell r="C34">
            <v>29998.348000000002</v>
          </cell>
          <cell r="D34">
            <v>29998.348000000002</v>
          </cell>
        </row>
        <row r="35">
          <cell r="A35" t="str">
            <v>080023</v>
          </cell>
          <cell r="B35" t="str">
            <v>INSURANCE RECOVERIES - CONS</v>
          </cell>
          <cell r="C35">
            <v>155219.073</v>
          </cell>
          <cell r="D35">
            <v>155219.073</v>
          </cell>
        </row>
        <row r="36">
          <cell r="A36" t="str">
            <v>114011</v>
          </cell>
          <cell r="B36" t="str">
            <v>INTEREST PAID - CURRENT ACC</v>
          </cell>
          <cell r="C36">
            <v>-2888.1460000000002</v>
          </cell>
          <cell r="D36">
            <v>2888.1460000000002</v>
          </cell>
        </row>
        <row r="37">
          <cell r="A37" t="str">
            <v>114012</v>
          </cell>
          <cell r="B37" t="str">
            <v>INTEREST PAID - CALL ACCOUN</v>
          </cell>
          <cell r="C37">
            <v>-228.84</v>
          </cell>
          <cell r="D37">
            <v>228.84</v>
          </cell>
        </row>
        <row r="38">
          <cell r="A38" t="str">
            <v>122012</v>
          </cell>
          <cell r="B38" t="str">
            <v>SB DEPOSITS - BD</v>
          </cell>
          <cell r="C38">
            <v>-2948.4180000000001</v>
          </cell>
          <cell r="D38">
            <v>2948.4180000000001</v>
          </cell>
        </row>
        <row r="39">
          <cell r="A39" t="str">
            <v>123013</v>
          </cell>
          <cell r="B39" t="str">
            <v>FIXED DEPOSITS BD</v>
          </cell>
          <cell r="C39">
            <v>-140526.29199999999</v>
          </cell>
          <cell r="D39">
            <v>140526.29199999999</v>
          </cell>
        </row>
        <row r="40">
          <cell r="A40" t="str">
            <v>123019</v>
          </cell>
          <cell r="B40" t="str">
            <v>FIXED DEPOSITS - US $</v>
          </cell>
          <cell r="C40">
            <v>-65749.209000000003</v>
          </cell>
          <cell r="D40">
            <v>65749.209000000003</v>
          </cell>
        </row>
        <row r="41">
          <cell r="A41" t="str">
            <v>123021</v>
          </cell>
          <cell r="B41" t="str">
            <v>FIXED DEPOSITS - POUND STER</v>
          </cell>
          <cell r="C41">
            <v>-236.048</v>
          </cell>
          <cell r="D41">
            <v>236.048</v>
          </cell>
        </row>
        <row r="42">
          <cell r="A42" t="str">
            <v>130014</v>
          </cell>
          <cell r="B42" t="str">
            <v>MAIN OFFICE ACCOUNT</v>
          </cell>
          <cell r="C42">
            <v>-36483</v>
          </cell>
          <cell r="D42">
            <v>36483</v>
          </cell>
        </row>
        <row r="43">
          <cell r="A43" t="str">
            <v>140011</v>
          </cell>
          <cell r="B43" t="str">
            <v>BASIC SALARIES - OFFICERS</v>
          </cell>
          <cell r="C43">
            <v>-22274.839</v>
          </cell>
          <cell r="D43">
            <v>22274.839</v>
          </cell>
        </row>
        <row r="44">
          <cell r="A44" t="str">
            <v>140012</v>
          </cell>
          <cell r="B44" t="str">
            <v>BASIC SALARIES - CLERICAL</v>
          </cell>
          <cell r="C44">
            <v>-9326</v>
          </cell>
          <cell r="D44">
            <v>9326</v>
          </cell>
        </row>
        <row r="45">
          <cell r="A45" t="str">
            <v>145020</v>
          </cell>
          <cell r="B45" t="str">
            <v>OTHER ALLOWANCES</v>
          </cell>
          <cell r="C45">
            <v>-21067.225999999999</v>
          </cell>
          <cell r="D45">
            <v>21067.225999999999</v>
          </cell>
        </row>
        <row r="46">
          <cell r="A46" t="str">
            <v>145067</v>
          </cell>
          <cell r="B46" t="str">
            <v>TEZRAFTAR EVENING /FRIDAY A</v>
          </cell>
          <cell r="C46">
            <v>-491.5</v>
          </cell>
          <cell r="D46">
            <v>491.5</v>
          </cell>
        </row>
        <row r="47">
          <cell r="A47" t="str">
            <v>148001</v>
          </cell>
          <cell r="B47" t="str">
            <v>MESSENGER / OFFICE BOYS</v>
          </cell>
          <cell r="C47">
            <v>-2028</v>
          </cell>
          <cell r="D47">
            <v>2028</v>
          </cell>
        </row>
        <row r="48">
          <cell r="A48" t="str">
            <v>152012</v>
          </cell>
          <cell r="B48" t="str">
            <v>MEDIACAL INSURANCE-OVS</v>
          </cell>
          <cell r="C48">
            <v>-4140.9120000000003</v>
          </cell>
          <cell r="D48">
            <v>4140.9120000000003</v>
          </cell>
        </row>
        <row r="49">
          <cell r="A49" t="str">
            <v>155011</v>
          </cell>
          <cell r="B49" t="str">
            <v>EOSB EXPATS</v>
          </cell>
          <cell r="C49">
            <v>-1518.6659999999999</v>
          </cell>
          <cell r="D49">
            <v>1518.6659999999999</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-6283.08</v>
          </cell>
          <cell r="D52">
            <v>6283.08</v>
          </cell>
        </row>
        <row r="53">
          <cell r="A53" t="str">
            <v>172003</v>
          </cell>
          <cell r="B53" t="str">
            <v>BRANCH PERFORMANCE AWARDS</v>
          </cell>
          <cell r="C53">
            <v>-251.08</v>
          </cell>
          <cell r="D53">
            <v>251.08</v>
          </cell>
        </row>
        <row r="54">
          <cell r="A54" t="str">
            <v>180001</v>
          </cell>
          <cell r="B54" t="str">
            <v>RENT - OFFICE</v>
          </cell>
          <cell r="C54">
            <v>-24200</v>
          </cell>
          <cell r="D54">
            <v>24200</v>
          </cell>
        </row>
        <row r="55">
          <cell r="A55" t="str">
            <v>180011</v>
          </cell>
          <cell r="B55" t="str">
            <v>RATES &amp; TAXES - TRADE LICEN</v>
          </cell>
          <cell r="C55">
            <v>-2000</v>
          </cell>
          <cell r="D55">
            <v>2000</v>
          </cell>
        </row>
        <row r="56">
          <cell r="A56" t="str">
            <v>180012</v>
          </cell>
          <cell r="B56" t="str">
            <v>RATES &amp; TAXES - COMMERCIAL</v>
          </cell>
          <cell r="C56">
            <v>-21268.863000000001</v>
          </cell>
          <cell r="D56">
            <v>21268.863000000001</v>
          </cell>
        </row>
        <row r="57">
          <cell r="A57" t="str">
            <v>190001</v>
          </cell>
          <cell r="B57" t="str">
            <v>GAS - ELECTRICITY-OFFICE</v>
          </cell>
          <cell r="C57">
            <v>-2170.3200000000002</v>
          </cell>
          <cell r="D57">
            <v>2170.3200000000002</v>
          </cell>
        </row>
        <row r="58">
          <cell r="A58" t="str">
            <v>195001</v>
          </cell>
          <cell r="B58" t="str">
            <v>INSURANCE-FIRE/THEIFT</v>
          </cell>
          <cell r="C58">
            <v>-840.70699999999999</v>
          </cell>
          <cell r="D58">
            <v>840.70699999999999</v>
          </cell>
        </row>
        <row r="59">
          <cell r="A59" t="str">
            <v>195011</v>
          </cell>
          <cell r="B59" t="str">
            <v>GOSI LOCAL</v>
          </cell>
          <cell r="C59">
            <v>-3542.3</v>
          </cell>
          <cell r="D59">
            <v>3542.3</v>
          </cell>
        </row>
        <row r="60">
          <cell r="A60" t="str">
            <v>195012</v>
          </cell>
          <cell r="B60" t="str">
            <v>INSURANCE-FIRE/THEFT</v>
          </cell>
          <cell r="C60">
            <v>-133.94999999999999</v>
          </cell>
          <cell r="D60">
            <v>133.94999999999999</v>
          </cell>
        </row>
        <row r="61">
          <cell r="A61" t="str">
            <v>205001</v>
          </cell>
          <cell r="B61" t="str">
            <v>POSTAGE</v>
          </cell>
          <cell r="C61">
            <v>-363.16300000000001</v>
          </cell>
          <cell r="D61">
            <v>363.16300000000001</v>
          </cell>
        </row>
        <row r="62">
          <cell r="A62" t="str">
            <v>205002</v>
          </cell>
          <cell r="B62" t="str">
            <v>TELEX / T.P</v>
          </cell>
          <cell r="C62">
            <v>-35.341000000000001</v>
          </cell>
          <cell r="D62">
            <v>35.341000000000001</v>
          </cell>
        </row>
        <row r="63">
          <cell r="A63" t="str">
            <v>206001</v>
          </cell>
          <cell r="B63" t="str">
            <v>TELEPHONE / TRUNK CALL - OF</v>
          </cell>
          <cell r="C63">
            <v>-2757.93</v>
          </cell>
          <cell r="D63">
            <v>2757.93</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-1246.7439999999999</v>
          </cell>
          <cell r="D66">
            <v>1246.7439999999999</v>
          </cell>
        </row>
        <row r="67">
          <cell r="A67" t="str">
            <v>208003</v>
          </cell>
          <cell r="B67" t="str">
            <v>SOFTWARE CHARGES</v>
          </cell>
          <cell r="C67">
            <v>885.91499999999996</v>
          </cell>
          <cell r="D67">
            <v>-885.91499999999996</v>
          </cell>
        </row>
        <row r="68">
          <cell r="A68" t="str">
            <v>208012</v>
          </cell>
          <cell r="B68" t="str">
            <v>BENEFIT SWITCH EXPENSES</v>
          </cell>
          <cell r="C68">
            <v>-11692.999</v>
          </cell>
          <cell r="D68">
            <v>11692.999</v>
          </cell>
        </row>
        <row r="69">
          <cell r="A69" t="str">
            <v>218001</v>
          </cell>
          <cell r="B69" t="str">
            <v>DEPRECIATION-ELECTRICAL &amp; O</v>
          </cell>
          <cell r="C69">
            <v>-3116.913</v>
          </cell>
          <cell r="D69">
            <v>3116.913</v>
          </cell>
        </row>
        <row r="70">
          <cell r="A70" t="str">
            <v>218002</v>
          </cell>
          <cell r="B70" t="str">
            <v>DEPRECIATION-FIRE EXTINGUIS</v>
          </cell>
          <cell r="C70">
            <v>-20</v>
          </cell>
          <cell r="D70">
            <v>20</v>
          </cell>
        </row>
        <row r="71">
          <cell r="A71" t="str">
            <v>220012</v>
          </cell>
          <cell r="B71" t="str">
            <v>FURNITURE &amp; FIXTURES WOODEN</v>
          </cell>
          <cell r="C71">
            <v>-287.47800000000001</v>
          </cell>
          <cell r="D71">
            <v>287.47800000000001</v>
          </cell>
        </row>
        <row r="72">
          <cell r="A72" t="str">
            <v>221003</v>
          </cell>
          <cell r="B72" t="str">
            <v>DEPRECIATION-LEASE HOLD IMP</v>
          </cell>
          <cell r="C72">
            <v>-2271.92</v>
          </cell>
          <cell r="D72">
            <v>2271.92</v>
          </cell>
        </row>
        <row r="73">
          <cell r="A73" t="str">
            <v>222001</v>
          </cell>
          <cell r="B73" t="str">
            <v>DEPRECIATION IT HARDWARE-PC</v>
          </cell>
          <cell r="C73">
            <v>-2120.902</v>
          </cell>
          <cell r="D73">
            <v>2120.902</v>
          </cell>
        </row>
        <row r="74">
          <cell r="A74" t="str">
            <v>225002</v>
          </cell>
          <cell r="B74" t="str">
            <v>REPAIR - MACHINE/EQUIPMENT</v>
          </cell>
          <cell r="C74">
            <v>1</v>
          </cell>
          <cell r="D74">
            <v>-1</v>
          </cell>
        </row>
        <row r="75">
          <cell r="A75" t="str">
            <v>225007</v>
          </cell>
          <cell r="B75" t="str">
            <v>REPAIRS - I T HARDWARE</v>
          </cell>
          <cell r="C75">
            <v>-2166.1</v>
          </cell>
          <cell r="D75">
            <v>2166.1</v>
          </cell>
        </row>
        <row r="76">
          <cell r="A76" t="str">
            <v>235001</v>
          </cell>
          <cell r="B76" t="str">
            <v>OFFICE STATIONERY</v>
          </cell>
          <cell r="C76">
            <v>-1278.6790000000001</v>
          </cell>
          <cell r="D76">
            <v>1278.6790000000001</v>
          </cell>
        </row>
        <row r="77">
          <cell r="A77" t="str">
            <v>235002</v>
          </cell>
          <cell r="B77" t="str">
            <v>SECURITY STATIONERY</v>
          </cell>
          <cell r="C77">
            <v>-293.01499999999999</v>
          </cell>
          <cell r="D77">
            <v>293.01499999999999</v>
          </cell>
        </row>
        <row r="78">
          <cell r="A78" t="str">
            <v>235003</v>
          </cell>
          <cell r="B78" t="str">
            <v>PETTY STATIONERY</v>
          </cell>
          <cell r="C78">
            <v>-38.35</v>
          </cell>
          <cell r="D78">
            <v>38.35</v>
          </cell>
        </row>
        <row r="79">
          <cell r="A79" t="str">
            <v>235004</v>
          </cell>
          <cell r="B79" t="str">
            <v>PRINTING STATIONERY</v>
          </cell>
          <cell r="C79">
            <v>-2595.1509999999998</v>
          </cell>
          <cell r="D79">
            <v>2595.1509999999998</v>
          </cell>
        </row>
        <row r="80">
          <cell r="A80" t="str">
            <v>235006</v>
          </cell>
          <cell r="B80" t="str">
            <v>COMPUTER STATIONERY (CONSUM</v>
          </cell>
          <cell r="C80">
            <v>-108</v>
          </cell>
          <cell r="D80">
            <v>108</v>
          </cell>
        </row>
        <row r="81">
          <cell r="A81" t="str">
            <v>237001</v>
          </cell>
          <cell r="B81" t="str">
            <v>OFFICE RUNNING EXPENSES</v>
          </cell>
          <cell r="C81">
            <v>-655.69799999999998</v>
          </cell>
          <cell r="D81">
            <v>655.69799999999998</v>
          </cell>
        </row>
        <row r="82">
          <cell r="A82" t="str">
            <v>237002</v>
          </cell>
          <cell r="B82" t="str">
            <v>JANITORIAL CHARGES</v>
          </cell>
          <cell r="C82">
            <v>-700</v>
          </cell>
          <cell r="D82">
            <v>700</v>
          </cell>
        </row>
        <row r="83">
          <cell r="A83" t="str">
            <v>240009</v>
          </cell>
          <cell r="B83" t="str">
            <v>PRESS ADVERTISING</v>
          </cell>
          <cell r="C83">
            <v>-3265.77</v>
          </cell>
          <cell r="D83">
            <v>3265.77</v>
          </cell>
        </row>
        <row r="84">
          <cell r="A84" t="str">
            <v>240015</v>
          </cell>
          <cell r="B84" t="str">
            <v>MISCELLANEOUS</v>
          </cell>
          <cell r="C84">
            <v>-8010.6819999999998</v>
          </cell>
          <cell r="D84">
            <v>8010.6819999999998</v>
          </cell>
        </row>
        <row r="85">
          <cell r="A85" t="str">
            <v>245001</v>
          </cell>
          <cell r="B85" t="str">
            <v>ENTERTAINMENT</v>
          </cell>
          <cell r="C85">
            <v>-334.92500000000001</v>
          </cell>
          <cell r="D85">
            <v>334.92500000000001</v>
          </cell>
        </row>
        <row r="86">
          <cell r="A86" t="str">
            <v>260001</v>
          </cell>
          <cell r="B86" t="str">
            <v>SUBSCRIPTIONS PERIODICAL /</v>
          </cell>
          <cell r="C86">
            <v>-45</v>
          </cell>
          <cell r="D86">
            <v>45</v>
          </cell>
        </row>
        <row r="87">
          <cell r="A87" t="str">
            <v>260002</v>
          </cell>
          <cell r="B87" t="str">
            <v>SUBSCRIPTIONS INSTITUTIONS</v>
          </cell>
          <cell r="C87">
            <v>-6.6669999999999998</v>
          </cell>
          <cell r="D87">
            <v>6.6669999999999998</v>
          </cell>
        </row>
        <row r="88">
          <cell r="A88" t="str">
            <v>271001</v>
          </cell>
          <cell r="B88" t="str">
            <v>SECURITY GUARDS CHARGES</v>
          </cell>
          <cell r="C88">
            <v>-16060</v>
          </cell>
          <cell r="D88">
            <v>16060</v>
          </cell>
        </row>
        <row r="89">
          <cell r="A89" t="str">
            <v>272001</v>
          </cell>
          <cell r="B89" t="str">
            <v>CASH TRANSPORT CHARGES</v>
          </cell>
          <cell r="C89">
            <v>-1673.0170000000001</v>
          </cell>
          <cell r="D89">
            <v>1673.0170000000001</v>
          </cell>
        </row>
        <row r="90">
          <cell r="A90" t="str">
            <v>275003</v>
          </cell>
          <cell r="B90" t="str">
            <v>FREIGHT</v>
          </cell>
          <cell r="C90">
            <v>-77.7</v>
          </cell>
          <cell r="D90">
            <v>77.7</v>
          </cell>
        </row>
        <row r="91">
          <cell r="A91" t="str">
            <v>278009</v>
          </cell>
          <cell r="B91" t="str">
            <v>WRITE OFF - OTHER ASSETS</v>
          </cell>
          <cell r="C91">
            <v>-221.715</v>
          </cell>
          <cell r="D91">
            <v>-221.715</v>
          </cell>
        </row>
        <row r="92">
          <cell r="A92" t="str">
            <v>278011</v>
          </cell>
          <cell r="B92" t="str">
            <v>PROVISION - CONSUMER RISK C</v>
          </cell>
          <cell r="C92">
            <v>-1416.606</v>
          </cell>
          <cell r="D92">
            <v>-1416.606</v>
          </cell>
        </row>
        <row r="93">
          <cell r="A93" t="str">
            <v>278021</v>
          </cell>
          <cell r="B93" t="str">
            <v>WRITE OFF - CONSUMER LOANS</v>
          </cell>
          <cell r="C93">
            <v>-2605.1010000000001</v>
          </cell>
          <cell r="D93">
            <v>-2605.1010000000001</v>
          </cell>
        </row>
        <row r="94">
          <cell r="A94" t="str">
            <v>283004</v>
          </cell>
          <cell r="B94" t="str">
            <v>OTHERS</v>
          </cell>
          <cell r="C94">
            <v>-527.20000000000005</v>
          </cell>
          <cell r="D94">
            <v>527.20000000000005</v>
          </cell>
        </row>
        <row r="95">
          <cell r="A95" t="str">
            <v>285042</v>
          </cell>
          <cell r="B95" t="str">
            <v>CHEQUE RETURN CHARGES</v>
          </cell>
          <cell r="C95">
            <v>-570</v>
          </cell>
          <cell r="D95">
            <v>570</v>
          </cell>
        </row>
        <row r="96">
          <cell r="A96" t="str">
            <v>285088</v>
          </cell>
          <cell r="B96" t="str">
            <v>CREDIT CARD &amp; CONSUMER LOAN</v>
          </cell>
          <cell r="C96">
            <v>-14814.817999999999</v>
          </cell>
          <cell r="D96">
            <v>14814.817999999999</v>
          </cell>
        </row>
        <row r="97">
          <cell r="A97" t="str">
            <v>285092</v>
          </cell>
          <cell r="B97" t="str">
            <v>GIFT/GIVEWAYS EXP</v>
          </cell>
          <cell r="C97">
            <v>-76.5</v>
          </cell>
          <cell r="D97">
            <v>76.5</v>
          </cell>
        </row>
        <row r="98">
          <cell r="A98" t="str">
            <v>285099</v>
          </cell>
          <cell r="B98" t="str">
            <v>SUNDRY (DETAILS STATEMENT R</v>
          </cell>
          <cell r="C98">
            <v>-1255.45</v>
          </cell>
          <cell r="D98">
            <v>1255.45</v>
          </cell>
        </row>
        <row r="99">
          <cell r="A99" t="str">
            <v>288001</v>
          </cell>
          <cell r="B99" t="str">
            <v>HO SHARE OF EXPENSES</v>
          </cell>
          <cell r="C99">
            <v>-18425</v>
          </cell>
          <cell r="D99">
            <v>18425</v>
          </cell>
        </row>
        <row r="100">
          <cell r="A100" t="str">
            <v>290011</v>
          </cell>
          <cell r="B100" t="str">
            <v>IT CHARGES PAID TO HO</v>
          </cell>
          <cell r="C100">
            <v>-2764.663</v>
          </cell>
          <cell r="D100">
            <v>2764.663</v>
          </cell>
        </row>
        <row r="101">
          <cell r="A101" t="str">
            <v>290012</v>
          </cell>
          <cell r="B101" t="str">
            <v>SOFTWARE FEE / LINE RENT PA</v>
          </cell>
          <cell r="C101">
            <v>-63.31</v>
          </cell>
          <cell r="D101">
            <v>63.31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s>
    <sheetDataSet>
      <sheetData sheetId="0"/>
      <sheetData sheetId="1"/>
      <sheetData sheetId="2"/>
      <sheetData sheetId="3"/>
      <sheetData sheetId="4"/>
      <sheetData sheetId="5" refreshError="1">
        <row r="4">
          <cell r="A4" t="str">
            <v>001001</v>
          </cell>
          <cell r="B4" t="str">
            <v>I/R ON LOANS / SMALL LOANS</v>
          </cell>
          <cell r="C4">
            <v>62045.063000000002</v>
          </cell>
        </row>
        <row r="5">
          <cell r="A5" t="str">
            <v>001005</v>
          </cell>
          <cell r="B5" t="str">
            <v>I/R ON  L.A.F.B.</v>
          </cell>
          <cell r="C5">
            <v>16.131</v>
          </cell>
        </row>
        <row r="6">
          <cell r="A6" t="str">
            <v>001006</v>
          </cell>
          <cell r="B6" t="str">
            <v>I/R ON  L.T.R.</v>
          </cell>
          <cell r="C6">
            <v>27877.401000000002</v>
          </cell>
        </row>
        <row r="7">
          <cell r="A7" t="str">
            <v>001009</v>
          </cell>
          <cell r="B7" t="str">
            <v>SYNDICATION  LOAN</v>
          </cell>
          <cell r="C7">
            <v>91126.183999999994</v>
          </cell>
        </row>
        <row r="8">
          <cell r="A8" t="str">
            <v>001011</v>
          </cell>
          <cell r="B8" t="str">
            <v>I/R ON FOREIGN BILLS PURCHA</v>
          </cell>
          <cell r="C8">
            <v>384.83300000000003</v>
          </cell>
        </row>
        <row r="9">
          <cell r="A9" t="str">
            <v>001012</v>
          </cell>
          <cell r="B9" t="str">
            <v>I/R ON P.A.D.</v>
          </cell>
          <cell r="C9">
            <v>40.752000000000002</v>
          </cell>
        </row>
        <row r="10">
          <cell r="A10" t="str">
            <v>001020</v>
          </cell>
          <cell r="B10" t="str">
            <v>I/R ON OVERDRAFTS</v>
          </cell>
          <cell r="C10">
            <v>13393.522999999999</v>
          </cell>
        </row>
        <row r="11">
          <cell r="A11" t="str">
            <v>001053</v>
          </cell>
          <cell r="B11" t="str">
            <v>CONSUMER LOAN</v>
          </cell>
          <cell r="C11">
            <v>109976.643</v>
          </cell>
        </row>
        <row r="12">
          <cell r="A12" t="str">
            <v>002003</v>
          </cell>
          <cell r="B12" t="str">
            <v>PLACEMENTS/SPECIAL NOTICE A</v>
          </cell>
          <cell r="C12">
            <v>17119.082999999999</v>
          </cell>
        </row>
        <row r="13">
          <cell r="A13" t="str">
            <v>020001</v>
          </cell>
          <cell r="B13" t="str">
            <v>BILLS DISCOUNTED</v>
          </cell>
          <cell r="C13">
            <v>6286.1</v>
          </cell>
        </row>
        <row r="14">
          <cell r="A14" t="str">
            <v>025011</v>
          </cell>
          <cell r="B14" t="str">
            <v>OTHER AREA BRANCHES - OVERS</v>
          </cell>
          <cell r="C14">
            <v>39087.078000000001</v>
          </cell>
        </row>
        <row r="15">
          <cell r="A15" t="str">
            <v>025014</v>
          </cell>
          <cell r="B15" t="str">
            <v>MAIN OFFICE ACCOUNT</v>
          </cell>
          <cell r="C15">
            <v>8089</v>
          </cell>
        </row>
        <row r="16">
          <cell r="A16" t="str">
            <v>062001</v>
          </cell>
          <cell r="B16" t="str">
            <v>PLS EXCHANGE-POUND STERLING</v>
          </cell>
          <cell r="C16">
            <v>740.75199999999995</v>
          </cell>
        </row>
        <row r="17">
          <cell r="A17" t="str">
            <v>062002</v>
          </cell>
          <cell r="B17" t="str">
            <v>PLS EXCHANGE-DOLLAR</v>
          </cell>
          <cell r="C17">
            <v>5216.3320000000003</v>
          </cell>
        </row>
        <row r="18">
          <cell r="A18" t="str">
            <v>062004</v>
          </cell>
          <cell r="B18" t="str">
            <v>PLS EXCHANGE OTHER CURRENCI</v>
          </cell>
          <cell r="C18">
            <v>253.953</v>
          </cell>
        </row>
        <row r="19">
          <cell r="A19" t="str">
            <v>062008</v>
          </cell>
          <cell r="B19" t="str">
            <v>INCOME ON EXCHANGE-EURO-OVE</v>
          </cell>
          <cell r="C19">
            <v>343.46699999999998</v>
          </cell>
        </row>
        <row r="20">
          <cell r="A20" t="str">
            <v>062009</v>
          </cell>
          <cell r="B20" t="str">
            <v>INCOME ON EXCHANGE-JAPAN YE</v>
          </cell>
          <cell r="C20">
            <v>28.573</v>
          </cell>
        </row>
        <row r="21">
          <cell r="A21" t="str">
            <v>062010</v>
          </cell>
          <cell r="B21" t="str">
            <v>PLS EX-GAIN/LOSS ON REV. SW</v>
          </cell>
          <cell r="C21">
            <v>68.247</v>
          </cell>
        </row>
        <row r="22">
          <cell r="A22" t="str">
            <v>062012</v>
          </cell>
          <cell r="B22" t="str">
            <v>PLS EX-GAIN/LOSS ON REV. PA</v>
          </cell>
          <cell r="C22">
            <v>12106.597</v>
          </cell>
        </row>
        <row r="23">
          <cell r="A23" t="str">
            <v>064002</v>
          </cell>
          <cell r="B23" t="str">
            <v>PLS COMMISSION-EXPORT BILLS</v>
          </cell>
          <cell r="C23">
            <v>517.10900000000004</v>
          </cell>
        </row>
        <row r="24">
          <cell r="A24" t="str">
            <v>064003</v>
          </cell>
          <cell r="B24" t="str">
            <v>PLS COM ON IMPORT BILL</v>
          </cell>
          <cell r="C24">
            <v>534.70000000000005</v>
          </cell>
        </row>
        <row r="25">
          <cell r="A25" t="str">
            <v>064004</v>
          </cell>
          <cell r="B25" t="str">
            <v>PLS COMMISSION-OPN. OF L/C</v>
          </cell>
          <cell r="C25">
            <v>2084.953</v>
          </cell>
        </row>
        <row r="26">
          <cell r="A26" t="str">
            <v>064008</v>
          </cell>
          <cell r="B26" t="str">
            <v>PLS COMMISSION-L.G. (INLAND</v>
          </cell>
          <cell r="C26">
            <v>2357.1819999999998</v>
          </cell>
        </row>
        <row r="27">
          <cell r="A27" t="str">
            <v>064010</v>
          </cell>
          <cell r="B27" t="str">
            <v>PLS COMM. BILLS (FBC,IBC,ET</v>
          </cell>
          <cell r="C27">
            <v>50</v>
          </cell>
        </row>
        <row r="28">
          <cell r="A28" t="str">
            <v>064019</v>
          </cell>
          <cell r="B28" t="str">
            <v>FEE FOR RENDERING OTHER SER</v>
          </cell>
          <cell r="C28">
            <v>369.988</v>
          </cell>
        </row>
        <row r="29">
          <cell r="A29" t="str">
            <v>064022</v>
          </cell>
          <cell r="B29" t="str">
            <v>PLS COM ON ISSUE OF NEW CHE</v>
          </cell>
          <cell r="C29">
            <v>243</v>
          </cell>
        </row>
        <row r="30">
          <cell r="A30" t="str">
            <v>064031</v>
          </cell>
          <cell r="B30" t="str">
            <v>PL.COMMISSION-LC ADVISING (</v>
          </cell>
          <cell r="C30">
            <v>95</v>
          </cell>
        </row>
        <row r="31">
          <cell r="A31" t="str">
            <v>064089</v>
          </cell>
          <cell r="B31" t="str">
            <v>IFDBC</v>
          </cell>
          <cell r="C31">
            <v>2273.31</v>
          </cell>
        </row>
        <row r="32">
          <cell r="A32" t="str">
            <v>064091</v>
          </cell>
          <cell r="B32" t="str">
            <v>IBG COMMISSION</v>
          </cell>
          <cell r="C32">
            <v>782.78</v>
          </cell>
        </row>
        <row r="33">
          <cell r="A33" t="str">
            <v>065004</v>
          </cell>
          <cell r="B33" t="str">
            <v>SERVICE CHARGES ON STAFF LO</v>
          </cell>
          <cell r="C33">
            <v>0</v>
          </cell>
        </row>
        <row r="34">
          <cell r="A34" t="str">
            <v>069070</v>
          </cell>
          <cell r="B34" t="str">
            <v>OTHERS</v>
          </cell>
          <cell r="C34">
            <v>29054.92</v>
          </cell>
        </row>
        <row r="35">
          <cell r="A35" t="str">
            <v>069072</v>
          </cell>
          <cell r="B35" t="str">
            <v>GOVERNMENT OF INDONESIA USD</v>
          </cell>
          <cell r="C35">
            <v>34414.462</v>
          </cell>
        </row>
        <row r="36">
          <cell r="A36" t="str">
            <v>069077</v>
          </cell>
          <cell r="B36" t="str">
            <v>INVESTMENT INCOME ON TABREE</v>
          </cell>
          <cell r="C36">
            <v>9498.4560000000001</v>
          </cell>
        </row>
        <row r="37">
          <cell r="A37" t="str">
            <v>078001</v>
          </cell>
          <cell r="B37" t="str">
            <v>PLS O/R-INCIDENTAL CHARGES</v>
          </cell>
          <cell r="C37">
            <v>372.13400000000001</v>
          </cell>
        </row>
        <row r="38">
          <cell r="A38" t="str">
            <v>078078</v>
          </cell>
          <cell r="B38" t="str">
            <v>AMORTIZATION GAINS - GOP US</v>
          </cell>
          <cell r="C38">
            <v>-1123.5909999999999</v>
          </cell>
        </row>
        <row r="39">
          <cell r="A39" t="str">
            <v>078084</v>
          </cell>
          <cell r="B39" t="str">
            <v>CONSUMER LOAN - PREPAYMENT</v>
          </cell>
          <cell r="C39">
            <v>2044.7860000000001</v>
          </cell>
        </row>
        <row r="40">
          <cell r="A40" t="str">
            <v>078085</v>
          </cell>
          <cell r="B40" t="str">
            <v>CONSUMER LOAN - MISC FEES</v>
          </cell>
          <cell r="C40">
            <v>26927.03</v>
          </cell>
        </row>
        <row r="41">
          <cell r="A41" t="str">
            <v>078094</v>
          </cell>
          <cell r="B41" t="str">
            <v>BENEFIT SWITCH RELATED INCO</v>
          </cell>
          <cell r="C41">
            <v>92.5</v>
          </cell>
        </row>
        <row r="42">
          <cell r="A42" t="str">
            <v>078099</v>
          </cell>
          <cell r="B42" t="str">
            <v>MISCELLANEOUS</v>
          </cell>
          <cell r="C42">
            <v>10</v>
          </cell>
        </row>
        <row r="43">
          <cell r="A43" t="str">
            <v>080001</v>
          </cell>
          <cell r="B43" t="str">
            <v>POSTAGE RECOVERIES - CORPOR</v>
          </cell>
          <cell r="C43">
            <v>603.27</v>
          </cell>
        </row>
        <row r="44">
          <cell r="A44" t="str">
            <v>080002</v>
          </cell>
          <cell r="B44" t="str">
            <v>TELEX RECOVERIES</v>
          </cell>
          <cell r="C44">
            <v>2221.4720000000002</v>
          </cell>
        </row>
        <row r="45">
          <cell r="A45" t="str">
            <v>080003</v>
          </cell>
          <cell r="B45" t="str">
            <v>TELEGRAM RECOVERIES</v>
          </cell>
          <cell r="C45">
            <v>512.5</v>
          </cell>
        </row>
        <row r="46">
          <cell r="A46" t="str">
            <v>080009</v>
          </cell>
          <cell r="B46" t="str">
            <v>CLEARING CHEQUE  RECOVERIES</v>
          </cell>
          <cell r="C46">
            <v>390</v>
          </cell>
        </row>
        <row r="47">
          <cell r="A47" t="str">
            <v>080021</v>
          </cell>
          <cell r="B47" t="str">
            <v>TEZRAFTAAR TT REIMBURSEMENT</v>
          </cell>
          <cell r="C47">
            <v>3640</v>
          </cell>
        </row>
        <row r="48">
          <cell r="A48" t="str">
            <v>080023</v>
          </cell>
          <cell r="B48" t="str">
            <v>INSURANCE RECOVERIES - CONS</v>
          </cell>
          <cell r="C48">
            <v>48220.822</v>
          </cell>
        </row>
        <row r="49">
          <cell r="A49" t="str">
            <v>086001</v>
          </cell>
          <cell r="B49" t="str">
            <v>MARK UP AUTO CAR FINANCE</v>
          </cell>
          <cell r="C49">
            <v>424.89299999999997</v>
          </cell>
        </row>
        <row r="50">
          <cell r="A50" t="str">
            <v>087081</v>
          </cell>
          <cell r="B50" t="str">
            <v>GAIN ON SALE OF INDONESIA U</v>
          </cell>
          <cell r="C50">
            <v>110376.18</v>
          </cell>
        </row>
        <row r="51">
          <cell r="A51" t="str">
            <v>110018</v>
          </cell>
          <cell r="B51" t="str">
            <v>BORROWINGS FROM BANKS - FOR</v>
          </cell>
          <cell r="C51">
            <v>611.80499999999995</v>
          </cell>
        </row>
        <row r="52">
          <cell r="A52" t="str">
            <v>114011</v>
          </cell>
          <cell r="B52" t="str">
            <v>INTEREST PAID - CURRENT ACC</v>
          </cell>
          <cell r="C52">
            <v>819.03899999999999</v>
          </cell>
        </row>
        <row r="53">
          <cell r="A53" t="str">
            <v>114012</v>
          </cell>
          <cell r="B53" t="str">
            <v>INTEREST PAID - CALL ACCOUN</v>
          </cell>
          <cell r="C53">
            <v>2.2250000000000001</v>
          </cell>
        </row>
        <row r="54">
          <cell r="A54" t="str">
            <v>122012</v>
          </cell>
          <cell r="B54" t="str">
            <v>SB DEPOSITS - BD</v>
          </cell>
          <cell r="C54">
            <v>504.02100000000002</v>
          </cell>
        </row>
        <row r="55">
          <cell r="A55" t="str">
            <v>123013</v>
          </cell>
          <cell r="B55" t="str">
            <v>FIXED DEPOSITS BD</v>
          </cell>
          <cell r="C55">
            <v>66007.278000000006</v>
          </cell>
        </row>
        <row r="56">
          <cell r="A56" t="str">
            <v>123019</v>
          </cell>
          <cell r="B56" t="str">
            <v>FIXED DEPOSITS - US $</v>
          </cell>
          <cell r="C56">
            <v>151961.408</v>
          </cell>
        </row>
        <row r="57">
          <cell r="A57" t="str">
            <v>123021</v>
          </cell>
          <cell r="B57" t="str">
            <v>FIXED DEPOSITS - POUND STER</v>
          </cell>
          <cell r="C57">
            <v>4215.8029999999999</v>
          </cell>
        </row>
        <row r="58">
          <cell r="A58" t="str">
            <v>130011</v>
          </cell>
          <cell r="B58" t="str">
            <v>OTHER AREA BRANCHES - OVERS</v>
          </cell>
          <cell r="C58">
            <v>8.5939999999999994</v>
          </cell>
        </row>
        <row r="59">
          <cell r="A59" t="str">
            <v>130014</v>
          </cell>
          <cell r="B59" t="str">
            <v>MAIN OFFICE ACCOUNT</v>
          </cell>
          <cell r="C59">
            <v>19037.254000000001</v>
          </cell>
        </row>
        <row r="60">
          <cell r="A60" t="str">
            <v>140010</v>
          </cell>
          <cell r="B60" t="str">
            <v>BASIC SALARIES - EXECUTIVES</v>
          </cell>
          <cell r="C60">
            <v>15642</v>
          </cell>
        </row>
        <row r="61">
          <cell r="A61" t="str">
            <v>140011</v>
          </cell>
          <cell r="B61" t="str">
            <v>BASIC SALARIES - OFFICERS</v>
          </cell>
          <cell r="C61">
            <v>28179</v>
          </cell>
        </row>
        <row r="62">
          <cell r="A62" t="str">
            <v>140012</v>
          </cell>
          <cell r="B62" t="str">
            <v>BASIC SALARIES - CLERICAL</v>
          </cell>
          <cell r="C62">
            <v>3540</v>
          </cell>
        </row>
        <row r="63">
          <cell r="A63" t="str">
            <v>142001</v>
          </cell>
          <cell r="B63" t="str">
            <v>CASUAL LABOUR</v>
          </cell>
          <cell r="C63">
            <v>58</v>
          </cell>
        </row>
        <row r="64">
          <cell r="A64" t="str">
            <v>145020</v>
          </cell>
          <cell r="B64" t="str">
            <v>OTHER ALLOWANCES</v>
          </cell>
          <cell r="C64">
            <v>31574</v>
          </cell>
        </row>
        <row r="65">
          <cell r="A65" t="str">
            <v>145061</v>
          </cell>
          <cell r="B65" t="str">
            <v>AIR TICKETS TO OVERSEAS STA</v>
          </cell>
          <cell r="C65">
            <v>128.38</v>
          </cell>
        </row>
        <row r="66">
          <cell r="A66" t="str">
            <v>145064</v>
          </cell>
          <cell r="B66" t="str">
            <v>DISLOCATION ALLOWANCE</v>
          </cell>
          <cell r="C66">
            <v>95.929000000000002</v>
          </cell>
        </row>
        <row r="67">
          <cell r="A67" t="str">
            <v>145067</v>
          </cell>
          <cell r="B67" t="str">
            <v>TEZRAFTAR EVENING /FRIDAY A</v>
          </cell>
          <cell r="C67">
            <v>231.5</v>
          </cell>
        </row>
        <row r="68">
          <cell r="A68" t="str">
            <v>148001</v>
          </cell>
          <cell r="B68" t="str">
            <v>MESSENGER / OFFICE BOYS</v>
          </cell>
          <cell r="C68">
            <v>800</v>
          </cell>
        </row>
        <row r="69">
          <cell r="A69" t="str">
            <v>148005</v>
          </cell>
          <cell r="B69" t="str">
            <v>OUTSOURCED DRIVER CHARGES</v>
          </cell>
          <cell r="C69">
            <v>150</v>
          </cell>
        </row>
        <row r="70">
          <cell r="A70" t="str">
            <v>149004</v>
          </cell>
          <cell r="B70" t="str">
            <v>DSA STAFF SALARY</v>
          </cell>
          <cell r="C70">
            <v>2400</v>
          </cell>
        </row>
        <row r="71">
          <cell r="A71" t="str">
            <v>149005</v>
          </cell>
          <cell r="B71" t="str">
            <v>DSA STAFF AGENCY FEE</v>
          </cell>
          <cell r="C71">
            <v>300</v>
          </cell>
        </row>
        <row r="72">
          <cell r="A72" t="str">
            <v>149007</v>
          </cell>
          <cell r="B72" t="str">
            <v>DSA STAFF SALES COMMISSION</v>
          </cell>
          <cell r="C72">
            <v>9541.65</v>
          </cell>
        </row>
        <row r="73">
          <cell r="A73" t="str">
            <v>149008</v>
          </cell>
          <cell r="B73" t="str">
            <v>DSA STAFF VISA EXPENSES</v>
          </cell>
          <cell r="C73">
            <v>221</v>
          </cell>
        </row>
        <row r="74">
          <cell r="A74" t="str">
            <v>149009</v>
          </cell>
          <cell r="B74" t="str">
            <v>DSA STAFF FOREIGN TRAVEL EX</v>
          </cell>
          <cell r="C74">
            <v>800</v>
          </cell>
        </row>
        <row r="75">
          <cell r="A75" t="str">
            <v>150001</v>
          </cell>
          <cell r="B75" t="str">
            <v>OVERTIME</v>
          </cell>
          <cell r="C75">
            <v>149</v>
          </cell>
        </row>
        <row r="76">
          <cell r="A76" t="str">
            <v>152012</v>
          </cell>
          <cell r="B76" t="str">
            <v>MEDIACAL INSURANCE-OVS</v>
          </cell>
          <cell r="C76">
            <v>3389.6909999999998</v>
          </cell>
        </row>
        <row r="77">
          <cell r="A77" t="str">
            <v>155011</v>
          </cell>
          <cell r="B77" t="str">
            <v>EOSB EXPATS</v>
          </cell>
          <cell r="C77">
            <v>758.22</v>
          </cell>
        </row>
        <row r="78">
          <cell r="A78" t="str">
            <v>160010</v>
          </cell>
          <cell r="B78" t="str">
            <v>PROVIDENT FUND - EXECUTIVES</v>
          </cell>
          <cell r="C78">
            <v>88.128</v>
          </cell>
        </row>
        <row r="79">
          <cell r="A79" t="str">
            <v>162001</v>
          </cell>
          <cell r="B79" t="str">
            <v>BENEVOLENT FUND</v>
          </cell>
          <cell r="C79">
            <v>3.7290000000000001</v>
          </cell>
        </row>
        <row r="80">
          <cell r="A80" t="str">
            <v>165001</v>
          </cell>
          <cell r="B80" t="str">
            <v>BONUS PAID  - (OFFICERS)</v>
          </cell>
          <cell r="C80">
            <v>4838.9799999999996</v>
          </cell>
        </row>
        <row r="81">
          <cell r="A81" t="str">
            <v>172001</v>
          </cell>
          <cell r="B81" t="str">
            <v>PERFORMANCE AWARDS</v>
          </cell>
          <cell r="C81">
            <v>13306.35</v>
          </cell>
        </row>
        <row r="82">
          <cell r="A82" t="str">
            <v>172002</v>
          </cell>
          <cell r="B82" t="str">
            <v>SALES DEVELOPMENT INCENTIVE</v>
          </cell>
          <cell r="C82">
            <v>1782.41</v>
          </cell>
        </row>
        <row r="83">
          <cell r="A83" t="str">
            <v>180001</v>
          </cell>
          <cell r="B83" t="str">
            <v>RENT - OFFICE</v>
          </cell>
          <cell r="C83">
            <v>11559.42</v>
          </cell>
        </row>
        <row r="84">
          <cell r="A84" t="str">
            <v>180002</v>
          </cell>
          <cell r="B84" t="str">
            <v>RENT - GODOWN</v>
          </cell>
          <cell r="C84">
            <v>177.81800000000001</v>
          </cell>
        </row>
        <row r="85">
          <cell r="A85" t="str">
            <v>180011</v>
          </cell>
          <cell r="B85" t="str">
            <v>RATES &amp; TAXES - TRADE LICEN</v>
          </cell>
          <cell r="C85">
            <v>3000</v>
          </cell>
        </row>
        <row r="86">
          <cell r="A86" t="str">
            <v>180012</v>
          </cell>
          <cell r="B86" t="str">
            <v>RATES &amp; TAXES - COMMERCIAL</v>
          </cell>
          <cell r="C86">
            <v>4783.8329999999996</v>
          </cell>
        </row>
        <row r="87">
          <cell r="A87" t="str">
            <v>190001</v>
          </cell>
          <cell r="B87" t="str">
            <v>GAS - ELECTRICITY-OFFICE</v>
          </cell>
          <cell r="C87">
            <v>507.51</v>
          </cell>
        </row>
        <row r="88">
          <cell r="A88" t="str">
            <v>190002</v>
          </cell>
          <cell r="B88" t="str">
            <v>GAS - ELECTRICITY-RESIDENCE</v>
          </cell>
          <cell r="C88">
            <v>5.74</v>
          </cell>
        </row>
        <row r="89">
          <cell r="A89" t="str">
            <v>195001</v>
          </cell>
          <cell r="B89" t="str">
            <v>INSURANCE-FIRE/THEIFT</v>
          </cell>
          <cell r="C89">
            <v>570.43600000000004</v>
          </cell>
        </row>
        <row r="90">
          <cell r="A90" t="str">
            <v>195011</v>
          </cell>
          <cell r="B90" t="str">
            <v>GOSI LOCAL</v>
          </cell>
          <cell r="C90">
            <v>4539.674</v>
          </cell>
        </row>
        <row r="91">
          <cell r="A91" t="str">
            <v>195012</v>
          </cell>
          <cell r="B91" t="str">
            <v>INSURANCE-FIRE/THEFT</v>
          </cell>
          <cell r="C91">
            <v>167.886</v>
          </cell>
        </row>
        <row r="92">
          <cell r="A92" t="str">
            <v>200002</v>
          </cell>
          <cell r="B92" t="str">
            <v>RETAINER'S FEES</v>
          </cell>
          <cell r="C92">
            <v>1170.194</v>
          </cell>
        </row>
        <row r="93">
          <cell r="A93" t="str">
            <v>200006</v>
          </cell>
          <cell r="B93" t="str">
            <v>LEGAL CHARGES - STAFF MATTE</v>
          </cell>
          <cell r="C93">
            <v>15080</v>
          </cell>
        </row>
        <row r="94">
          <cell r="A94" t="str">
            <v>200007</v>
          </cell>
          <cell r="B94" t="str">
            <v>LEGAL CHARGES - OPERATIONS</v>
          </cell>
          <cell r="C94">
            <v>3126.3620000000001</v>
          </cell>
        </row>
        <row r="95">
          <cell r="A95" t="str">
            <v>200008</v>
          </cell>
          <cell r="B95" t="str">
            <v>PROFESSIONAL &amp; CONSULTANCY</v>
          </cell>
          <cell r="C95">
            <v>1283</v>
          </cell>
        </row>
        <row r="96">
          <cell r="A96" t="str">
            <v>205001</v>
          </cell>
          <cell r="B96" t="str">
            <v>POSTAGE</v>
          </cell>
          <cell r="C96">
            <v>865</v>
          </cell>
        </row>
        <row r="97">
          <cell r="A97" t="str">
            <v>205005</v>
          </cell>
          <cell r="B97" t="str">
            <v>COURIER CHARGES - CORPORATE</v>
          </cell>
          <cell r="C97">
            <v>647.77800000000002</v>
          </cell>
        </row>
        <row r="98">
          <cell r="A98" t="str">
            <v>206001</v>
          </cell>
          <cell r="B98" t="str">
            <v>TELEPHONE / TRUNK CALL - OF</v>
          </cell>
          <cell r="C98">
            <v>7656.8890000000001</v>
          </cell>
        </row>
        <row r="99">
          <cell r="A99" t="str">
            <v>206011</v>
          </cell>
          <cell r="B99" t="str">
            <v>FAX - OFFICE</v>
          </cell>
          <cell r="C99">
            <v>200</v>
          </cell>
        </row>
        <row r="100">
          <cell r="A100" t="str">
            <v>207011</v>
          </cell>
          <cell r="B100" t="str">
            <v>TELEPHONE LINE FOR REUTERS/</v>
          </cell>
          <cell r="C100">
            <v>1209.8879999999999</v>
          </cell>
        </row>
        <row r="101">
          <cell r="A101" t="str">
            <v>208002</v>
          </cell>
          <cell r="B101" t="str">
            <v>RUETER FEE / SWIFT EXPENSES</v>
          </cell>
          <cell r="C101">
            <v>230.99100000000001</v>
          </cell>
        </row>
        <row r="102">
          <cell r="A102" t="str">
            <v>208003</v>
          </cell>
          <cell r="B102" t="str">
            <v>SOFTWARE CHARGES</v>
          </cell>
          <cell r="C102">
            <v>251.83799999999999</v>
          </cell>
        </row>
        <row r="103">
          <cell r="A103" t="str">
            <v>208004</v>
          </cell>
          <cell r="B103" t="str">
            <v>USER LICENSE CHARGES</v>
          </cell>
          <cell r="C103">
            <v>26.77</v>
          </cell>
        </row>
        <row r="104">
          <cell r="A104" t="str">
            <v>208012</v>
          </cell>
          <cell r="B104" t="str">
            <v>BENEFIT SWITCH EXPENSES</v>
          </cell>
          <cell r="C104">
            <v>-2321.0500000000002</v>
          </cell>
        </row>
        <row r="105">
          <cell r="A105" t="str">
            <v>215001</v>
          </cell>
          <cell r="B105" t="str">
            <v>AUDITOR'S FEES</v>
          </cell>
          <cell r="C105">
            <v>2292.16</v>
          </cell>
        </row>
        <row r="106">
          <cell r="A106" t="str">
            <v>215003</v>
          </cell>
          <cell r="B106" t="str">
            <v>OUT OF POCKET EXPENSES</v>
          </cell>
          <cell r="C106">
            <v>1200</v>
          </cell>
        </row>
        <row r="107">
          <cell r="A107" t="str">
            <v>218001</v>
          </cell>
          <cell r="B107" t="str">
            <v>DEPRECIATION-ELECTRICAL &amp; O</v>
          </cell>
          <cell r="C107">
            <v>1349.7560000000001</v>
          </cell>
        </row>
        <row r="108">
          <cell r="A108" t="str">
            <v>219001</v>
          </cell>
          <cell r="B108" t="str">
            <v>DEPRECIATION -VEHICLE OFFIC</v>
          </cell>
          <cell r="C108">
            <v>635.779</v>
          </cell>
        </row>
        <row r="109">
          <cell r="A109" t="str">
            <v>220012</v>
          </cell>
          <cell r="B109" t="str">
            <v>FURNITURE &amp; FIXTURES WOODEN</v>
          </cell>
          <cell r="C109">
            <v>1517.134</v>
          </cell>
        </row>
        <row r="110">
          <cell r="A110" t="str">
            <v>221003</v>
          </cell>
          <cell r="B110" t="str">
            <v>DEPRECIATION-LEASE HOLD IMP</v>
          </cell>
          <cell r="C110">
            <v>636.91600000000005</v>
          </cell>
        </row>
        <row r="111">
          <cell r="A111" t="str">
            <v>223001</v>
          </cell>
          <cell r="B111" t="str">
            <v>I T SOFTWARE</v>
          </cell>
          <cell r="C111">
            <v>2954.2719999999999</v>
          </cell>
        </row>
        <row r="112">
          <cell r="A112" t="str">
            <v>225002</v>
          </cell>
          <cell r="B112" t="str">
            <v>REPAIR - MACHINE/EQUIPMENT</v>
          </cell>
          <cell r="C112">
            <v>85</v>
          </cell>
        </row>
        <row r="113">
          <cell r="A113" t="str">
            <v>225007</v>
          </cell>
          <cell r="B113" t="str">
            <v>REPAIRS - I T HARDWARE</v>
          </cell>
          <cell r="C113">
            <v>922.45799999999997</v>
          </cell>
        </row>
        <row r="114">
          <cell r="A114" t="str">
            <v>225008</v>
          </cell>
          <cell r="B114" t="str">
            <v>REPAIRS - CABLING</v>
          </cell>
          <cell r="C114">
            <v>6.718</v>
          </cell>
        </row>
        <row r="115">
          <cell r="A115" t="str">
            <v>225010</v>
          </cell>
          <cell r="B115" t="str">
            <v>VEHICLE REPAIR OFFICERS</v>
          </cell>
          <cell r="C115">
            <v>10</v>
          </cell>
        </row>
        <row r="116">
          <cell r="A116" t="str">
            <v>235001</v>
          </cell>
          <cell r="B116" t="str">
            <v>OFFICE STATIONERY</v>
          </cell>
          <cell r="C116">
            <v>874.20699999999999</v>
          </cell>
        </row>
        <row r="117">
          <cell r="A117" t="str">
            <v>235004</v>
          </cell>
          <cell r="B117" t="str">
            <v>PRINTING STATIONERY</v>
          </cell>
          <cell r="C117">
            <v>703.29600000000005</v>
          </cell>
        </row>
        <row r="118">
          <cell r="A118" t="str">
            <v>235006</v>
          </cell>
          <cell r="B118" t="str">
            <v>COMPUTER STATIONERY (CONSUM</v>
          </cell>
          <cell r="C118">
            <v>269.8</v>
          </cell>
        </row>
        <row r="119">
          <cell r="A119" t="str">
            <v>237001</v>
          </cell>
          <cell r="B119" t="str">
            <v>OFFICE RUNNING EXPENSES</v>
          </cell>
          <cell r="C119">
            <v>300.2</v>
          </cell>
        </row>
        <row r="120">
          <cell r="A120" t="str">
            <v>237002</v>
          </cell>
          <cell r="B120" t="str">
            <v>JANITORIAL CHARGES</v>
          </cell>
          <cell r="C120">
            <v>230</v>
          </cell>
        </row>
        <row r="121">
          <cell r="A121" t="str">
            <v>240005</v>
          </cell>
          <cell r="B121" t="str">
            <v>BILLBOARDS AND SIGNAGE</v>
          </cell>
          <cell r="C121">
            <v>35.271000000000001</v>
          </cell>
        </row>
        <row r="122">
          <cell r="A122" t="str">
            <v>240009</v>
          </cell>
          <cell r="B122" t="str">
            <v>PRESS ADVERTISING</v>
          </cell>
          <cell r="C122">
            <v>236.286</v>
          </cell>
        </row>
        <row r="123">
          <cell r="A123" t="str">
            <v>240015</v>
          </cell>
          <cell r="B123" t="str">
            <v>MISCELLANEOUS</v>
          </cell>
          <cell r="C123">
            <v>4771.8890000000001</v>
          </cell>
        </row>
        <row r="124">
          <cell r="A124" t="str">
            <v>245001</v>
          </cell>
          <cell r="B124" t="str">
            <v>ENTERTAINMENT</v>
          </cell>
          <cell r="C124">
            <v>419.495</v>
          </cell>
        </row>
        <row r="125">
          <cell r="A125" t="str">
            <v>245002</v>
          </cell>
          <cell r="B125" t="str">
            <v>CUSTOMERS GUESTS-OUTSIDE BA</v>
          </cell>
          <cell r="C125">
            <v>140.72</v>
          </cell>
        </row>
        <row r="126">
          <cell r="A126" t="str">
            <v>255006</v>
          </cell>
          <cell r="B126" t="str">
            <v>VEHICLE FUEL -OFFICE</v>
          </cell>
          <cell r="C126">
            <v>90</v>
          </cell>
        </row>
        <row r="127">
          <cell r="A127" t="str">
            <v>255007</v>
          </cell>
          <cell r="B127" t="str">
            <v>VEHICLE TAXES &amp; INS. EXECUT</v>
          </cell>
          <cell r="C127">
            <v>62.277000000000001</v>
          </cell>
        </row>
        <row r="128">
          <cell r="A128" t="str">
            <v>255009</v>
          </cell>
          <cell r="B128" t="str">
            <v>VEHICLE REPAIR -EXECUTIVES</v>
          </cell>
          <cell r="C128">
            <v>43.8</v>
          </cell>
        </row>
        <row r="129">
          <cell r="A129" t="str">
            <v>260001</v>
          </cell>
          <cell r="B129" t="str">
            <v>SUBSCRIPTIONS PERIODICAL /</v>
          </cell>
          <cell r="C129">
            <v>16.399999999999999</v>
          </cell>
        </row>
        <row r="130">
          <cell r="A130" t="str">
            <v>260002</v>
          </cell>
          <cell r="B130" t="str">
            <v>SUBSCRIPTIONS INSTITUTIONS</v>
          </cell>
          <cell r="C130">
            <v>125</v>
          </cell>
        </row>
        <row r="131">
          <cell r="A131" t="str">
            <v>270006</v>
          </cell>
          <cell r="B131" t="str">
            <v>TRAVELLING INLAND HOTEL STA</v>
          </cell>
          <cell r="C131">
            <v>874.71</v>
          </cell>
        </row>
        <row r="132">
          <cell r="A132" t="str">
            <v>270008</v>
          </cell>
          <cell r="B132" t="str">
            <v>TRAVELLING FOREIGN TA / DA</v>
          </cell>
          <cell r="C132">
            <v>347.14499999999998</v>
          </cell>
        </row>
        <row r="133">
          <cell r="A133" t="str">
            <v>270009</v>
          </cell>
          <cell r="B133" t="str">
            <v>TRAVELLING FOREIGN HOTEL ST</v>
          </cell>
          <cell r="C133">
            <v>1377.4</v>
          </cell>
        </row>
        <row r="134">
          <cell r="A134" t="str">
            <v>270010</v>
          </cell>
          <cell r="B134" t="str">
            <v>TRAVELLING FOREIGN AIR-FARE</v>
          </cell>
          <cell r="C134">
            <v>333</v>
          </cell>
        </row>
        <row r="135">
          <cell r="A135" t="str">
            <v>271001</v>
          </cell>
          <cell r="B135" t="str">
            <v>SECURITY GUARDS CHARGES</v>
          </cell>
          <cell r="C135">
            <v>5256</v>
          </cell>
        </row>
        <row r="136">
          <cell r="A136" t="str">
            <v>272001</v>
          </cell>
          <cell r="B136" t="str">
            <v>CASH TRANSPORT CHARGES</v>
          </cell>
          <cell r="C136">
            <v>334.69600000000003</v>
          </cell>
        </row>
        <row r="137">
          <cell r="A137" t="str">
            <v>275001</v>
          </cell>
          <cell r="B137" t="str">
            <v>CONVEYANCE (LOCAL)</v>
          </cell>
          <cell r="C137">
            <v>50.7</v>
          </cell>
        </row>
        <row r="138">
          <cell r="A138" t="str">
            <v>283003</v>
          </cell>
          <cell r="B138" t="str">
            <v>SEMINAR</v>
          </cell>
          <cell r="C138">
            <v>536.95500000000004</v>
          </cell>
        </row>
        <row r="139">
          <cell r="A139" t="str">
            <v>283004</v>
          </cell>
          <cell r="B139" t="str">
            <v>OTHERS</v>
          </cell>
          <cell r="C139">
            <v>133.51400000000001</v>
          </cell>
        </row>
        <row r="140">
          <cell r="A140" t="str">
            <v>285007</v>
          </cell>
          <cell r="B140" t="str">
            <v>VISA EXP -VISITORS</v>
          </cell>
          <cell r="C140">
            <v>30</v>
          </cell>
        </row>
        <row r="141">
          <cell r="A141" t="str">
            <v>285008</v>
          </cell>
          <cell r="B141" t="str">
            <v>VISA EXP -STAFF</v>
          </cell>
          <cell r="C141">
            <v>313.08100000000002</v>
          </cell>
        </row>
        <row r="142">
          <cell r="A142" t="str">
            <v>285042</v>
          </cell>
          <cell r="B142" t="str">
            <v>CHEQUE RETURN CHARGES</v>
          </cell>
          <cell r="C142">
            <v>190</v>
          </cell>
        </row>
        <row r="143">
          <cell r="A143" t="str">
            <v>285088</v>
          </cell>
          <cell r="B143" t="str">
            <v>CREDIT CARD &amp; CONSUMER LOAN</v>
          </cell>
          <cell r="C143">
            <v>5127.085</v>
          </cell>
        </row>
        <row r="144">
          <cell r="A144" t="str">
            <v>285090</v>
          </cell>
          <cell r="B144" t="str">
            <v>AFS MISC EXPENSES</v>
          </cell>
          <cell r="C144">
            <v>743.30499999999995</v>
          </cell>
        </row>
        <row r="145">
          <cell r="A145" t="str">
            <v>285091</v>
          </cell>
          <cell r="B145" t="str">
            <v>MASTER CARD MISC EXPENSES</v>
          </cell>
          <cell r="C145">
            <v>905</v>
          </cell>
        </row>
        <row r="146">
          <cell r="A146" t="str">
            <v>285092</v>
          </cell>
          <cell r="B146" t="str">
            <v>GIFT/GIVEWAYS EXP</v>
          </cell>
          <cell r="C146">
            <v>46</v>
          </cell>
        </row>
        <row r="147">
          <cell r="A147" t="str">
            <v>285094</v>
          </cell>
          <cell r="B147" t="str">
            <v>FOREIGN BANK CHARGES</v>
          </cell>
          <cell r="C147">
            <v>60.47</v>
          </cell>
        </row>
        <row r="148">
          <cell r="A148" t="str">
            <v>288001</v>
          </cell>
          <cell r="B148" t="str">
            <v>HO SHARE OF EXPENSES</v>
          </cell>
          <cell r="C148">
            <v>8088</v>
          </cell>
        </row>
        <row r="149">
          <cell r="A149" t="str">
            <v>290011</v>
          </cell>
          <cell r="B149" t="str">
            <v>IT CHARGES PAID TO HO</v>
          </cell>
          <cell r="C149">
            <v>753.99900000000002</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 val="last_qrt2001"/>
      <sheetName val="last_qrt20011"/>
      <sheetName val="Links"/>
      <sheetName val="Lead"/>
      <sheetName val="Note-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sheetName val="AC-CODES"/>
      <sheetName val="Sheet13"/>
      <sheetName val="Cash Flow  HOH"/>
      <sheetName val="LS-UAE"/>
    </sheetNames>
    <sheetDataSet>
      <sheetData sheetId="0"/>
      <sheetData sheetId="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Cap_Spnd"/>
      <sheetName val="Marketing"/>
      <sheetName val="All Deptt."/>
      <sheetName val="MIS"/>
      <sheetName val="2000_ Projects Summary"/>
      <sheetName val="Capital_Spending"/>
      <sheetName val="All Data"/>
      <sheetName val="AR Drop Downs"/>
      <sheetName val="Tobac WACC"/>
      <sheetName val="Prvnth Analysis"/>
      <sheetName val="2000_Cap_Spnd"/>
      <sheetName val="All_Deptt_"/>
      <sheetName val="2000__Projects_Summary"/>
      <sheetName val="23 - 24"/>
      <sheetName val="100082"/>
      <sheetName val="NNPL_P1"/>
      <sheetName val="Links"/>
      <sheetName val="2000_Cap_Spnd1"/>
      <sheetName val="All_Deptt_1"/>
      <sheetName val="2000__Projects_Summary1"/>
      <sheetName val="Prvnth_Analysis"/>
      <sheetName val="23_-_24"/>
      <sheetName val="Prod"/>
      <sheetName val="Front Sheet"/>
      <sheetName val="Raw Data retrieve CEE - MYO"/>
      <sheetName val="Graph retrieve data"/>
      <sheetName val="Raw Data retrieve - 2006 Plan"/>
      <sheetName val="Sheet1"/>
      <sheetName val=" Geography Summary"/>
      <sheetName val="CEE Detail"/>
      <sheetName val="Geography Headcount"/>
      <sheetName val="CEE Trend"/>
      <sheetName val=" Trend "/>
      <sheetName val="Poland trend ($)"/>
      <sheetName val="USD"/>
      <sheetName val="LOCAL"/>
      <sheetName val="Trend Graph"/>
      <sheetName val="FOREX Schedule"/>
      <sheetName val="BSDOMOVS"/>
    </sheetNames>
    <sheetDataSet>
      <sheetData sheetId="0"/>
      <sheetData sheetId="1"/>
      <sheetData sheetId="2"/>
      <sheetData sheetId="3"/>
      <sheetData sheetId="4" refreshError="1">
        <row r="1">
          <cell r="A1" t="str">
            <v>BRISTOL MYERS SQUIBB PAKISTAN</v>
          </cell>
        </row>
        <row r="2">
          <cell r="A2" t="str">
            <v>Capital Worksheet</v>
          </cell>
        </row>
        <row r="3">
          <cell r="A3" t="str">
            <v>2000 CAPITAL SPENDING - By Major Projects</v>
          </cell>
        </row>
        <row r="4">
          <cell r="A4" t="str">
            <v>DEPARTMENT:</v>
          </cell>
        </row>
        <row r="9">
          <cell r="B9" t="str">
            <v>Project Information</v>
          </cell>
          <cell r="J9" t="str">
            <v>Project Spending</v>
          </cell>
        </row>
        <row r="10">
          <cell r="B10" t="str">
            <v>CAR #</v>
          </cell>
          <cell r="C10" t="str">
            <v>Priority</v>
          </cell>
          <cell r="D10" t="str">
            <v>Project Title</v>
          </cell>
          <cell r="E10" t="str">
            <v>Units (Qty)</v>
          </cell>
          <cell r="F10" t="str">
            <v>Status</v>
          </cell>
          <cell r="G10" t="str">
            <v>Category</v>
          </cell>
          <cell r="H10" t="str">
            <v>Profit Class</v>
          </cell>
          <cell r="I10" t="str">
            <v>1999-2004 Strat Plan (Yes / No)</v>
          </cell>
          <cell r="J10" t="str">
            <v>Total Spending</v>
          </cell>
          <cell r="K10" t="str">
            <v>Projected 1999</v>
          </cell>
          <cell r="L10" t="str">
            <v>Total 2000</v>
          </cell>
          <cell r="M10" t="str">
            <v>QTY-1</v>
          </cell>
          <cell r="N10" t="str">
            <v>QTY-2</v>
          </cell>
          <cell r="O10" t="str">
            <v>QTY-3</v>
          </cell>
          <cell r="P10" t="str">
            <v>QTY-4</v>
          </cell>
          <cell r="Q10" t="str">
            <v>Future Years</v>
          </cell>
        </row>
        <row r="11">
          <cell r="J11">
            <v>0</v>
          </cell>
          <cell r="L11">
            <v>0</v>
          </cell>
        </row>
        <row r="12">
          <cell r="J12">
            <v>0</v>
          </cell>
          <cell r="L12">
            <v>0</v>
          </cell>
        </row>
        <row r="13">
          <cell r="J13">
            <v>0</v>
          </cell>
          <cell r="L13">
            <v>0</v>
          </cell>
        </row>
        <row r="14">
          <cell r="J14">
            <v>0</v>
          </cell>
          <cell r="L14">
            <v>0</v>
          </cell>
        </row>
        <row r="15">
          <cell r="J15">
            <v>0</v>
          </cell>
          <cell r="L15">
            <v>0</v>
          </cell>
        </row>
        <row r="16">
          <cell r="J16">
            <v>0</v>
          </cell>
          <cell r="L16">
            <v>0</v>
          </cell>
        </row>
        <row r="17">
          <cell r="J17">
            <v>0</v>
          </cell>
          <cell r="L17">
            <v>0</v>
          </cell>
        </row>
        <row r="18">
          <cell r="J18">
            <v>0</v>
          </cell>
          <cell r="L18">
            <v>0</v>
          </cell>
        </row>
        <row r="19">
          <cell r="J19">
            <v>0</v>
          </cell>
          <cell r="L19">
            <v>0</v>
          </cell>
        </row>
        <row r="20">
          <cell r="J20">
            <v>0</v>
          </cell>
          <cell r="L20">
            <v>0</v>
          </cell>
        </row>
        <row r="21">
          <cell r="J21">
            <v>0</v>
          </cell>
          <cell r="L21">
            <v>0</v>
          </cell>
        </row>
        <row r="22">
          <cell r="J22">
            <v>0</v>
          </cell>
          <cell r="L22">
            <v>0</v>
          </cell>
        </row>
        <row r="23">
          <cell r="J23">
            <v>0</v>
          </cell>
          <cell r="L23">
            <v>0</v>
          </cell>
        </row>
        <row r="24">
          <cell r="J24">
            <v>0</v>
          </cell>
          <cell r="L24">
            <v>0</v>
          </cell>
        </row>
        <row r="25">
          <cell r="J25">
            <v>0</v>
          </cell>
          <cell r="L25">
            <v>0</v>
          </cell>
        </row>
        <row r="26">
          <cell r="J26">
            <v>0</v>
          </cell>
          <cell r="L26">
            <v>0</v>
          </cell>
        </row>
        <row r="27">
          <cell r="J27">
            <v>0</v>
          </cell>
          <cell r="L27">
            <v>0</v>
          </cell>
        </row>
        <row r="28">
          <cell r="J28">
            <v>0</v>
          </cell>
          <cell r="L28">
            <v>0</v>
          </cell>
        </row>
        <row r="29">
          <cell r="J29">
            <v>0</v>
          </cell>
          <cell r="L29">
            <v>0</v>
          </cell>
        </row>
        <row r="30">
          <cell r="J30">
            <v>0</v>
          </cell>
          <cell r="L30">
            <v>0</v>
          </cell>
        </row>
        <row r="31">
          <cell r="J31">
            <v>0</v>
          </cell>
          <cell r="L31">
            <v>0</v>
          </cell>
        </row>
        <row r="32">
          <cell r="J32">
            <v>0</v>
          </cell>
          <cell r="L32">
            <v>0</v>
          </cell>
        </row>
        <row r="33">
          <cell r="J33">
            <v>0</v>
          </cell>
          <cell r="L33">
            <v>0</v>
          </cell>
        </row>
      </sheetData>
      <sheetData sheetId="5"/>
      <sheetData sheetId="6" refreshError="1"/>
      <sheetData sheetId="7" refreshError="1"/>
      <sheetData sheetId="8" refreshError="1"/>
      <sheetData sheetId="9" refreshError="1"/>
      <sheetData sheetId="10" refreshError="1"/>
      <sheetData sheetId="11">
        <row r="1">
          <cell r="A1" t="str">
            <v>BRISTOL MYERS SQUIBB PAKISTAN</v>
          </cell>
        </row>
      </sheetData>
      <sheetData sheetId="12">
        <row r="1">
          <cell r="A1" t="str">
            <v>BRISTOL MYERS SQUIBB PAKISTAN</v>
          </cell>
        </row>
      </sheetData>
      <sheetData sheetId="13" refreshError="1"/>
      <sheetData sheetId="14" refreshError="1"/>
      <sheetData sheetId="15" refreshError="1"/>
      <sheetData sheetId="16" refreshError="1"/>
      <sheetData sheetId="17">
        <row r="1">
          <cell r="A1" t="str">
            <v>BRISTOL MYERS SQUIBB PAKISTAN</v>
          </cell>
        </row>
      </sheetData>
      <sheetData sheetId="18">
        <row r="1">
          <cell r="A1" t="str">
            <v>BRISTOL MYERS SQUIBB PAKISTAN</v>
          </cell>
        </row>
      </sheetData>
      <sheetData sheetId="19">
        <row r="1">
          <cell r="A1" t="str">
            <v>BRISTOL MYERS SQUIBB PAKISTAN</v>
          </cell>
        </row>
      </sheetData>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sheetData sheetId="30" refreshError="1"/>
      <sheetData sheetId="31"/>
      <sheetData sheetId="32" refreshError="1"/>
      <sheetData sheetId="33"/>
      <sheetData sheetId="34" refreshError="1"/>
      <sheetData sheetId="35"/>
      <sheetData sheetId="36" refreshError="1"/>
      <sheetData sheetId="37" refreshError="1"/>
      <sheetData sheetId="3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e"/>
      <sheetName val="Oversea"/>
      <sheetName val="SBP"/>
      <sheetName val="Quetta Rice"/>
      <sheetName val="Collection"/>
      <sheetName val="Agri-sam"/>
      <sheetName val="Yellow"/>
      <sheetName val="Agri-cb"/>
      <sheetName val="Staff"/>
      <sheetName val="FIG'S"/>
      <sheetName val="Corporate"/>
      <sheetName val="SAM"/>
      <sheetName val="cb's"/>
      <sheetName val="Top summary"/>
      <sheetName val="Summary"/>
      <sheetName val="Grid DEC"/>
      <sheetName val="Macro1"/>
      <sheetName val="BSDOMOVS"/>
      <sheetName val="CB3(2)"/>
      <sheetName val="Rate"/>
      <sheetName val="December 06"/>
      <sheetName val="November 06"/>
      <sheetName val="I-B"/>
      <sheetName val="I-BR"/>
      <sheetName val="FEb"/>
      <sheetName val="Lookups"/>
      <sheetName val="OUTSTANDING FX-SWAP"/>
      <sheetName val="SOA "/>
      <sheetName val="woRKING"/>
      <sheetName val="Main1"/>
      <sheetName val="BS-OVS"/>
      <sheetName val="Updated  Rates"/>
      <sheetName val="Sheet4"/>
      <sheetName val="Legend"/>
      <sheetName val="Sheet1"/>
      <sheetName val="Quetta_Rice"/>
      <sheetName val="Top_summary"/>
      <sheetName val="Grid_DEC"/>
      <sheetName val="December_06"/>
      <sheetName val="November_06"/>
      <sheetName val="SOA_"/>
      <sheetName val="OUTSTANDING_FX-SWAP"/>
      <sheetName val="Updated__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70">
          <cell r="A170" t="str">
            <v>Recover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cN Local Students"/>
      <sheetName val="BScN Generic Students"/>
      <sheetName val="EPI Masters"/>
      <sheetName val="GN Foreign Students"/>
      <sheetName val="HPM Students"/>
      <sheetName val="Medical Foreign"/>
      <sheetName val="Medical Students - Withdrawn"/>
      <sheetName val="Medical Students - Graduates"/>
      <sheetName val="Medical Students - Local"/>
      <sheetName val="MSCN Students"/>
      <sheetName val="PhD Students"/>
      <sheetName val="RN Local"/>
      <sheetName val="RN Foreign"/>
      <sheetName val="SON Withdrawn"/>
    </sheetNames>
    <sheetDataSet>
      <sheetData sheetId="0">
        <row r="9">
          <cell r="A9">
            <v>1</v>
          </cell>
          <cell r="B9" t="str">
            <v xml:space="preserve">  ANN R. FERNANDES</v>
          </cell>
          <cell r="C9" t="str">
            <v>B88006</v>
          </cell>
          <cell r="D9">
            <v>30000</v>
          </cell>
          <cell r="E9">
            <v>2647.9961177984001</v>
          </cell>
          <cell r="F9">
            <v>32647.996117798401</v>
          </cell>
          <cell r="G9">
            <v>0</v>
          </cell>
          <cell r="H9">
            <v>0</v>
          </cell>
          <cell r="I9">
            <v>32647.996117798401</v>
          </cell>
          <cell r="J9">
            <v>20</v>
          </cell>
          <cell r="K9">
            <v>1632.3998058899201</v>
          </cell>
          <cell r="L9">
            <v>32647.996117798401</v>
          </cell>
          <cell r="M9">
            <v>32648</v>
          </cell>
          <cell r="P9">
            <v>0</v>
          </cell>
          <cell r="Q9">
            <v>-3.8822015994810499E-3</v>
          </cell>
        </row>
        <row r="10">
          <cell r="A10">
            <v>2</v>
          </cell>
          <cell r="B10" t="str">
            <v xml:space="preserve">  MOHD. AUSIF KHAN</v>
          </cell>
          <cell r="C10" t="str">
            <v>B88002</v>
          </cell>
          <cell r="D10">
            <v>63600</v>
          </cell>
          <cell r="E10">
            <v>12407.887364378976</v>
          </cell>
          <cell r="F10">
            <v>76007.88736437897</v>
          </cell>
          <cell r="G10">
            <v>0</v>
          </cell>
          <cell r="H10">
            <v>0</v>
          </cell>
          <cell r="I10">
            <v>76007.88736437897</v>
          </cell>
          <cell r="J10">
            <v>20</v>
          </cell>
          <cell r="K10">
            <v>3800.3943682189483</v>
          </cell>
          <cell r="L10">
            <v>76007.88736437897</v>
          </cell>
          <cell r="M10">
            <v>76008</v>
          </cell>
          <cell r="Q10">
            <v>-0.11263562102976721</v>
          </cell>
        </row>
        <row r="11">
          <cell r="A11">
            <v>3</v>
          </cell>
          <cell r="B11" t="str">
            <v xml:space="preserve">  SEEMA BUKHARIL</v>
          </cell>
          <cell r="C11" t="str">
            <v>B88027</v>
          </cell>
          <cell r="D11">
            <v>19500</v>
          </cell>
          <cell r="E11">
            <v>2899.3779295441796</v>
          </cell>
          <cell r="F11">
            <v>22399.377929544178</v>
          </cell>
          <cell r="G11">
            <v>0</v>
          </cell>
          <cell r="H11">
            <v>0</v>
          </cell>
          <cell r="I11">
            <v>22399.377929544178</v>
          </cell>
          <cell r="J11">
            <v>20</v>
          </cell>
          <cell r="K11">
            <v>1119.968896477209</v>
          </cell>
          <cell r="L11">
            <v>22399.377929544178</v>
          </cell>
          <cell r="M11">
            <v>22399</v>
          </cell>
          <cell r="Q11">
            <v>0</v>
          </cell>
        </row>
        <row r="12">
          <cell r="A12" t="str">
            <v>PRIOR - From Dec 31, 91</v>
          </cell>
          <cell r="D12">
            <v>113100</v>
          </cell>
          <cell r="E12">
            <v>17955.261411721556</v>
          </cell>
          <cell r="F12">
            <v>131055.26141172154</v>
          </cell>
          <cell r="G12">
            <v>0</v>
          </cell>
          <cell r="H12">
            <v>0</v>
          </cell>
          <cell r="I12">
            <v>131055.26141172154</v>
          </cell>
          <cell r="K12">
            <v>6552.7630705860774</v>
          </cell>
          <cell r="L12">
            <v>131055.26141172154</v>
          </cell>
          <cell r="M12">
            <v>131055</v>
          </cell>
          <cell r="N12">
            <v>0</v>
          </cell>
          <cell r="P12">
            <v>0</v>
          </cell>
          <cell r="Q12">
            <v>-0.11651782262924826</v>
          </cell>
          <cell r="R12">
            <v>0</v>
          </cell>
        </row>
        <row r="13">
          <cell r="A13">
            <v>1</v>
          </cell>
          <cell r="B13" t="str">
            <v xml:space="preserve">  SALINA ZAIDI</v>
          </cell>
          <cell r="C13" t="str">
            <v>B88022</v>
          </cell>
          <cell r="D13">
            <v>5400</v>
          </cell>
          <cell r="E13">
            <v>929.45065482344376</v>
          </cell>
          <cell r="F13">
            <v>6329.450654823444</v>
          </cell>
          <cell r="G13">
            <v>0</v>
          </cell>
          <cell r="H13">
            <v>0</v>
          </cell>
          <cell r="I13">
            <v>6329.450654823444</v>
          </cell>
          <cell r="J13">
            <v>20</v>
          </cell>
          <cell r="K13">
            <v>316.47253274117219</v>
          </cell>
          <cell r="L13">
            <v>6329.450654823444</v>
          </cell>
          <cell r="M13">
            <v>6329</v>
          </cell>
          <cell r="Q13">
            <v>0</v>
          </cell>
        </row>
        <row r="14">
          <cell r="A14" t="str">
            <v>CLASS OF 1990  - From Dec 31, 92</v>
          </cell>
          <cell r="D14">
            <v>5400</v>
          </cell>
          <cell r="E14">
            <v>929.45065482344376</v>
          </cell>
          <cell r="F14">
            <v>6329.450654823444</v>
          </cell>
          <cell r="G14">
            <v>0</v>
          </cell>
          <cell r="H14">
            <v>0</v>
          </cell>
          <cell r="I14">
            <v>6329.450654823444</v>
          </cell>
          <cell r="K14">
            <v>316.47253274117219</v>
          </cell>
          <cell r="L14">
            <v>6329.450654823444</v>
          </cell>
          <cell r="M14">
            <v>6329</v>
          </cell>
          <cell r="N14">
            <v>0</v>
          </cell>
          <cell r="P14">
            <v>0</v>
          </cell>
          <cell r="Q14">
            <v>0</v>
          </cell>
          <cell r="R14">
            <v>0</v>
          </cell>
        </row>
        <row r="15">
          <cell r="A15">
            <v>1</v>
          </cell>
          <cell r="B15" t="str">
            <v xml:space="preserve">  SYEDA SADIQA BUKHARI</v>
          </cell>
          <cell r="C15" t="str">
            <v>B88001</v>
          </cell>
          <cell r="D15">
            <v>43000</v>
          </cell>
          <cell r="E15">
            <v>15090.09869636751</v>
          </cell>
          <cell r="F15">
            <v>58090.09869636751</v>
          </cell>
          <cell r="G15">
            <v>0</v>
          </cell>
          <cell r="H15">
            <v>0</v>
          </cell>
          <cell r="I15">
            <v>58090.09869636751</v>
          </cell>
          <cell r="J15">
            <v>20</v>
          </cell>
          <cell r="K15">
            <v>2904.5049348183757</v>
          </cell>
          <cell r="L15">
            <v>58090.09869636751</v>
          </cell>
          <cell r="M15">
            <v>5500</v>
          </cell>
          <cell r="P15">
            <v>52590.09869636751</v>
          </cell>
          <cell r="Q15">
            <v>0</v>
          </cell>
          <cell r="R15">
            <v>52590.09869636751</v>
          </cell>
        </row>
        <row r="16">
          <cell r="A16">
            <v>2</v>
          </cell>
          <cell r="B16" t="str">
            <v xml:space="preserve">  FARIDA KAUSAR</v>
          </cell>
          <cell r="C16" t="str">
            <v>B89010</v>
          </cell>
          <cell r="D16">
            <v>19000</v>
          </cell>
          <cell r="E16">
            <v>2342.4223670430465</v>
          </cell>
          <cell r="F16">
            <v>21342.422367043047</v>
          </cell>
          <cell r="G16">
            <v>0</v>
          </cell>
          <cell r="H16">
            <v>0</v>
          </cell>
          <cell r="I16">
            <v>21342.422367043047</v>
          </cell>
          <cell r="J16">
            <v>20</v>
          </cell>
          <cell r="K16">
            <v>1067.1211183521523</v>
          </cell>
          <cell r="L16">
            <v>21342.422367043044</v>
          </cell>
          <cell r="M16">
            <v>21342</v>
          </cell>
          <cell r="Q16">
            <v>0</v>
          </cell>
        </row>
        <row r="17">
          <cell r="A17">
            <v>3</v>
          </cell>
          <cell r="B17" t="str">
            <v xml:space="preserve">  YASMIN KARIMI</v>
          </cell>
          <cell r="C17" t="str">
            <v>B89013</v>
          </cell>
          <cell r="D17">
            <v>10400</v>
          </cell>
          <cell r="E17">
            <v>420.18018598708221</v>
          </cell>
          <cell r="F17">
            <v>10820.180185987083</v>
          </cell>
          <cell r="G17">
            <v>0</v>
          </cell>
          <cell r="H17">
            <v>0</v>
          </cell>
          <cell r="I17">
            <v>10820.180185987083</v>
          </cell>
          <cell r="J17">
            <v>20</v>
          </cell>
          <cell r="K17">
            <v>541.00900929935415</v>
          </cell>
          <cell r="L17">
            <v>10820.180185987083</v>
          </cell>
          <cell r="M17">
            <v>10820</v>
          </cell>
          <cell r="Q17">
            <v>0</v>
          </cell>
        </row>
        <row r="18">
          <cell r="A18">
            <v>4</v>
          </cell>
          <cell r="B18" t="str">
            <v xml:space="preserve">  ESHRAT ROOMI MADHANI</v>
          </cell>
          <cell r="C18" t="str">
            <v>B89020</v>
          </cell>
          <cell r="D18">
            <v>24000</v>
          </cell>
          <cell r="E18">
            <v>7046.8634014716545</v>
          </cell>
          <cell r="F18">
            <v>31046.863401471655</v>
          </cell>
          <cell r="G18">
            <v>0</v>
          </cell>
          <cell r="H18">
            <v>0</v>
          </cell>
          <cell r="I18">
            <v>31046.863401471655</v>
          </cell>
          <cell r="J18">
            <v>20</v>
          </cell>
          <cell r="K18">
            <v>1552.3431700735828</v>
          </cell>
          <cell r="L18">
            <v>31046.863401471655</v>
          </cell>
          <cell r="M18">
            <v>31047</v>
          </cell>
          <cell r="P18">
            <v>0</v>
          </cell>
          <cell r="Q18">
            <v>-0.13659852834462072</v>
          </cell>
          <cell r="R18">
            <v>-0.13659852834462072</v>
          </cell>
        </row>
        <row r="19">
          <cell r="A19">
            <v>5</v>
          </cell>
          <cell r="B19" t="str">
            <v xml:space="preserve">  RUBINA BAROLIA</v>
          </cell>
          <cell r="C19" t="str">
            <v>B89031</v>
          </cell>
          <cell r="D19">
            <v>24000</v>
          </cell>
          <cell r="E19">
            <v>4920.1118400000005</v>
          </cell>
          <cell r="F19">
            <v>28920.111840000001</v>
          </cell>
          <cell r="G19">
            <v>0</v>
          </cell>
          <cell r="H19">
            <v>0</v>
          </cell>
          <cell r="I19">
            <v>28920.111840000001</v>
          </cell>
          <cell r="J19">
            <v>20</v>
          </cell>
          <cell r="K19">
            <v>1446.005592</v>
          </cell>
          <cell r="L19">
            <v>28920.111839999998</v>
          </cell>
          <cell r="M19">
            <v>28920</v>
          </cell>
          <cell r="Q19">
            <v>0</v>
          </cell>
        </row>
        <row r="20">
          <cell r="A20">
            <v>6</v>
          </cell>
          <cell r="B20" t="str">
            <v xml:space="preserve">  ROZINA SHAMJI</v>
          </cell>
          <cell r="C20" t="str">
            <v>B89033</v>
          </cell>
          <cell r="D20">
            <v>23500</v>
          </cell>
          <cell r="E20">
            <v>3781.2902988038081</v>
          </cell>
          <cell r="F20">
            <v>27281.290298803808</v>
          </cell>
          <cell r="G20">
            <v>0</v>
          </cell>
          <cell r="H20">
            <v>0</v>
          </cell>
          <cell r="I20">
            <v>27281.290298803808</v>
          </cell>
          <cell r="J20">
            <v>20</v>
          </cell>
          <cell r="K20">
            <v>1364.0645149401903</v>
          </cell>
          <cell r="L20">
            <v>27281.290298803804</v>
          </cell>
          <cell r="M20">
            <v>27281</v>
          </cell>
          <cell r="Q20">
            <v>0</v>
          </cell>
        </row>
        <row r="21">
          <cell r="A21">
            <v>7</v>
          </cell>
          <cell r="B21" t="str">
            <v xml:space="preserve">  NAZLEEN RAMZANALI</v>
          </cell>
          <cell r="C21" t="str">
            <v>B89038</v>
          </cell>
          <cell r="D21">
            <v>48000</v>
          </cell>
          <cell r="E21">
            <v>10511.443293870923</v>
          </cell>
          <cell r="F21">
            <v>58511.443293870921</v>
          </cell>
          <cell r="G21">
            <v>0</v>
          </cell>
          <cell r="H21">
            <v>0</v>
          </cell>
          <cell r="I21">
            <v>58511.443293870921</v>
          </cell>
          <cell r="J21">
            <v>20</v>
          </cell>
          <cell r="K21">
            <v>2925.5721646935463</v>
          </cell>
          <cell r="L21">
            <v>58511.443293870921</v>
          </cell>
          <cell r="M21">
            <v>58511</v>
          </cell>
          <cell r="Q21">
            <v>0</v>
          </cell>
        </row>
        <row r="22">
          <cell r="A22" t="str">
            <v>CLASS OF 1991 - From Dec 31, 93</v>
          </cell>
          <cell r="D22">
            <v>191900</v>
          </cell>
          <cell r="E22">
            <v>44112.410083544026</v>
          </cell>
          <cell r="F22">
            <v>236012.41008354403</v>
          </cell>
          <cell r="G22">
            <v>0</v>
          </cell>
          <cell r="I22">
            <v>236012.41008354403</v>
          </cell>
          <cell r="K22">
            <v>11800.620504177201</v>
          </cell>
          <cell r="L22">
            <v>236012.41008354403</v>
          </cell>
          <cell r="M22">
            <v>183421</v>
          </cell>
          <cell r="N22">
            <v>0</v>
          </cell>
          <cell r="P22">
            <v>52590.09869636751</v>
          </cell>
          <cell r="Q22">
            <v>-0.13659852834462072</v>
          </cell>
          <cell r="R22">
            <v>52589.962097839161</v>
          </cell>
        </row>
        <row r="23">
          <cell r="A23">
            <v>1</v>
          </cell>
          <cell r="B23" t="str">
            <v xml:space="preserve">  SHAHIDA PARVEEN</v>
          </cell>
          <cell r="C23" t="str">
            <v>B90019</v>
          </cell>
          <cell r="D23">
            <v>59000</v>
          </cell>
          <cell r="E23">
            <v>21187.848176867905</v>
          </cell>
          <cell r="F23">
            <v>80187.848176867905</v>
          </cell>
          <cell r="G23">
            <v>0</v>
          </cell>
          <cell r="H23">
            <v>0</v>
          </cell>
          <cell r="I23">
            <v>80187.848176867905</v>
          </cell>
          <cell r="J23">
            <v>20</v>
          </cell>
          <cell r="K23">
            <v>4009.3924088433951</v>
          </cell>
          <cell r="L23">
            <v>80187.848176867905</v>
          </cell>
          <cell r="M23">
            <v>0</v>
          </cell>
          <cell r="P23">
            <v>80187.848176867905</v>
          </cell>
          <cell r="Q23">
            <v>0</v>
          </cell>
          <cell r="R23">
            <v>80187.848176867905</v>
          </cell>
          <cell r="S23">
            <v>0</v>
          </cell>
        </row>
        <row r="24">
          <cell r="A24" t="str">
            <v>CLASS OF 1992 - From Dec 31, 94</v>
          </cell>
          <cell r="D24">
            <v>59000</v>
          </cell>
          <cell r="E24">
            <v>21187.848176867905</v>
          </cell>
          <cell r="F24">
            <v>80187.848176867905</v>
          </cell>
          <cell r="G24">
            <v>0</v>
          </cell>
          <cell r="H24">
            <v>0</v>
          </cell>
          <cell r="I24">
            <v>80187.848176867905</v>
          </cell>
          <cell r="J24">
            <v>20</v>
          </cell>
          <cell r="K24">
            <v>4009.3924088433951</v>
          </cell>
          <cell r="L24">
            <v>80187.848176867905</v>
          </cell>
          <cell r="M24">
            <v>0</v>
          </cell>
          <cell r="P24">
            <v>80187.848176867905</v>
          </cell>
          <cell r="Q24">
            <v>0</v>
          </cell>
          <cell r="R24">
            <v>80187.848176867905</v>
          </cell>
        </row>
        <row r="25">
          <cell r="A25">
            <v>1</v>
          </cell>
          <cell r="B25" t="str">
            <v xml:space="preserve">  AFSHAN NAZLIN</v>
          </cell>
          <cell r="C25" t="str">
            <v>B91009</v>
          </cell>
          <cell r="D25">
            <v>8783</v>
          </cell>
          <cell r="E25">
            <v>1883.684343342899</v>
          </cell>
          <cell r="F25">
            <v>10666.684343342899</v>
          </cell>
          <cell r="G25">
            <v>0</v>
          </cell>
          <cell r="H25">
            <v>0</v>
          </cell>
          <cell r="I25">
            <v>10666.684343342899</v>
          </cell>
          <cell r="J25">
            <v>20</v>
          </cell>
          <cell r="K25">
            <v>533.33421716714497</v>
          </cell>
          <cell r="L25">
            <v>10666.684343342899</v>
          </cell>
          <cell r="M25">
            <v>10667</v>
          </cell>
          <cell r="Q25">
            <v>-0.31565665710149915</v>
          </cell>
        </row>
        <row r="26">
          <cell r="A26">
            <v>2</v>
          </cell>
          <cell r="B26" t="str">
            <v xml:space="preserve">  REHANA AFGHANI</v>
          </cell>
          <cell r="C26" t="str">
            <v>B91033</v>
          </cell>
          <cell r="D26">
            <v>30783</v>
          </cell>
          <cell r="E26">
            <v>2618.1381516270585</v>
          </cell>
          <cell r="F26">
            <v>33401.138151627056</v>
          </cell>
          <cell r="G26">
            <v>0</v>
          </cell>
          <cell r="H26">
            <v>0</v>
          </cell>
          <cell r="I26">
            <v>33401.138151627056</v>
          </cell>
          <cell r="J26">
            <v>20</v>
          </cell>
          <cell r="K26">
            <v>1670.0569075813528</v>
          </cell>
          <cell r="L26">
            <v>33401.138151627056</v>
          </cell>
          <cell r="M26">
            <v>33401</v>
          </cell>
          <cell r="Q26">
            <v>0</v>
          </cell>
        </row>
        <row r="27">
          <cell r="A27" t="str">
            <v>CLASS OF 1993  - From Dec 31, 95</v>
          </cell>
          <cell r="D27">
            <v>39566</v>
          </cell>
          <cell r="E27">
            <v>4501.8224949699579</v>
          </cell>
          <cell r="F27">
            <v>44067.822494969951</v>
          </cell>
          <cell r="G27">
            <v>0</v>
          </cell>
          <cell r="H27">
            <v>0</v>
          </cell>
          <cell r="I27">
            <v>44067.822494969951</v>
          </cell>
          <cell r="J27">
            <v>40</v>
          </cell>
          <cell r="K27">
            <v>2203.3911247484975</v>
          </cell>
          <cell r="L27">
            <v>44067.822494969951</v>
          </cell>
          <cell r="M27">
            <v>44068</v>
          </cell>
          <cell r="N27">
            <v>0</v>
          </cell>
          <cell r="P27">
            <v>0</v>
          </cell>
          <cell r="Q27">
            <v>-0.31565665710149915</v>
          </cell>
          <cell r="R27">
            <v>0</v>
          </cell>
        </row>
        <row r="28">
          <cell r="A28">
            <v>1</v>
          </cell>
          <cell r="B28" t="str">
            <v xml:space="preserve">  ROBINA JAFFAR</v>
          </cell>
          <cell r="C28" t="str">
            <v>B92014</v>
          </cell>
          <cell r="D28">
            <v>38000</v>
          </cell>
          <cell r="E28">
            <v>11371.794815634003</v>
          </cell>
          <cell r="F28">
            <v>49371.794815633999</v>
          </cell>
          <cell r="G28">
            <v>0</v>
          </cell>
          <cell r="H28">
            <v>0</v>
          </cell>
          <cell r="I28">
            <v>49371.794815633999</v>
          </cell>
          <cell r="J28">
            <v>20</v>
          </cell>
          <cell r="K28">
            <v>2468.5897407817001</v>
          </cell>
          <cell r="L28">
            <v>49371.794815633999</v>
          </cell>
          <cell r="M28">
            <v>0</v>
          </cell>
          <cell r="P28">
            <v>49371.794815633999</v>
          </cell>
          <cell r="Q28">
            <v>0</v>
          </cell>
          <cell r="R28">
            <v>49371.794815633999</v>
          </cell>
          <cell r="S28">
            <v>0</v>
          </cell>
        </row>
        <row r="29">
          <cell r="A29">
            <v>2</v>
          </cell>
          <cell r="B29" t="str">
            <v xml:space="preserve">  SHABNUM PIRANI</v>
          </cell>
          <cell r="C29" t="str">
            <v>B92024</v>
          </cell>
          <cell r="D29">
            <v>15000</v>
          </cell>
          <cell r="E29">
            <v>1125.05556</v>
          </cell>
          <cell r="F29">
            <v>16125.055560000001</v>
          </cell>
          <cell r="G29">
            <v>0</v>
          </cell>
          <cell r="H29">
            <v>0</v>
          </cell>
          <cell r="I29">
            <v>16125.055560000001</v>
          </cell>
          <cell r="J29">
            <v>20</v>
          </cell>
          <cell r="K29">
            <v>806.25277800000003</v>
          </cell>
          <cell r="L29">
            <v>16125.055560000001</v>
          </cell>
          <cell r="M29">
            <v>16125</v>
          </cell>
          <cell r="Q29">
            <v>0</v>
          </cell>
        </row>
        <row r="30">
          <cell r="A30">
            <v>3</v>
          </cell>
          <cell r="B30" t="str">
            <v xml:space="preserve">  GULZAREEN EMMANUEL</v>
          </cell>
          <cell r="C30" t="str">
            <v>B92025</v>
          </cell>
          <cell r="D30">
            <v>32000</v>
          </cell>
          <cell r="E30">
            <v>4293.3495613139203</v>
          </cell>
          <cell r="F30">
            <v>36293.349561313924</v>
          </cell>
          <cell r="G30">
            <v>0</v>
          </cell>
          <cell r="H30">
            <v>0</v>
          </cell>
          <cell r="I30">
            <v>36293.349561313924</v>
          </cell>
          <cell r="J30">
            <v>20</v>
          </cell>
          <cell r="K30">
            <v>1814.6674780656963</v>
          </cell>
          <cell r="L30">
            <v>36293.349561313924</v>
          </cell>
          <cell r="M30">
            <v>36293</v>
          </cell>
          <cell r="Q30">
            <v>0</v>
          </cell>
        </row>
        <row r="31">
          <cell r="A31">
            <v>4</v>
          </cell>
          <cell r="B31" t="str">
            <v xml:space="preserve">  ANJUNA RANI ROY</v>
          </cell>
          <cell r="C31" t="str">
            <v>B92034</v>
          </cell>
          <cell r="D31">
            <v>166959.17000000001</v>
          </cell>
          <cell r="E31">
            <v>46989.966722808218</v>
          </cell>
          <cell r="F31">
            <v>213949.13672280824</v>
          </cell>
          <cell r="G31">
            <v>0</v>
          </cell>
          <cell r="H31">
            <v>0</v>
          </cell>
          <cell r="I31">
            <v>213949.13672280824</v>
          </cell>
          <cell r="J31">
            <v>20</v>
          </cell>
          <cell r="K31">
            <v>10697.456836140413</v>
          </cell>
          <cell r="L31">
            <v>213949.13672280824</v>
          </cell>
          <cell r="M31">
            <v>18000</v>
          </cell>
          <cell r="N31">
            <v>2000</v>
          </cell>
          <cell r="P31">
            <v>193949.13672280824</v>
          </cell>
          <cell r="Q31">
            <v>0</v>
          </cell>
          <cell r="R31">
            <v>193949.13672280824</v>
          </cell>
        </row>
        <row r="32">
          <cell r="A32">
            <v>5</v>
          </cell>
          <cell r="B32" t="str">
            <v xml:space="preserve">  MUSSARAT ASAD</v>
          </cell>
          <cell r="C32" t="str">
            <v>B92046</v>
          </cell>
          <cell r="D32">
            <v>8000</v>
          </cell>
          <cell r="E32">
            <v>320.98399999999998</v>
          </cell>
          <cell r="F32">
            <v>8320.9840000000004</v>
          </cell>
          <cell r="G32">
            <v>0</v>
          </cell>
          <cell r="H32">
            <v>0</v>
          </cell>
          <cell r="I32">
            <v>8320.9840000000004</v>
          </cell>
          <cell r="J32">
            <v>20</v>
          </cell>
          <cell r="K32">
            <v>416.04920000000004</v>
          </cell>
          <cell r="L32">
            <v>8320.9840000000004</v>
          </cell>
          <cell r="M32">
            <v>8321</v>
          </cell>
          <cell r="P32">
            <v>0</v>
          </cell>
        </row>
        <row r="33">
          <cell r="A33">
            <v>6</v>
          </cell>
          <cell r="B33" t="str">
            <v xml:space="preserve">  JACOLINE PARKASH</v>
          </cell>
          <cell r="C33" t="str">
            <v>B93003</v>
          </cell>
          <cell r="D33">
            <v>35000</v>
          </cell>
          <cell r="E33">
            <v>4598.3568353631999</v>
          </cell>
          <cell r="F33">
            <v>39598.3568353632</v>
          </cell>
          <cell r="G33">
            <v>0</v>
          </cell>
          <cell r="H33">
            <v>0</v>
          </cell>
          <cell r="I33">
            <v>39598.3568353632</v>
          </cell>
          <cell r="J33">
            <v>20</v>
          </cell>
          <cell r="K33">
            <v>1979.9178417681601</v>
          </cell>
          <cell r="L33">
            <v>39598.3568353632</v>
          </cell>
          <cell r="M33">
            <v>39598</v>
          </cell>
          <cell r="Q33">
            <v>0</v>
          </cell>
        </row>
        <row r="34">
          <cell r="A34" t="str">
            <v>CLASS OF 1994 - From Dec 31, 96</v>
          </cell>
          <cell r="D34">
            <v>294959.17000000004</v>
          </cell>
          <cell r="E34">
            <v>68699.507495119338</v>
          </cell>
          <cell r="F34">
            <v>363658.67749511934</v>
          </cell>
          <cell r="G34">
            <v>0</v>
          </cell>
          <cell r="H34">
            <v>0</v>
          </cell>
          <cell r="I34">
            <v>363658.67749511934</v>
          </cell>
          <cell r="K34">
            <v>18182.93387475597</v>
          </cell>
          <cell r="L34">
            <v>363658.67749511934</v>
          </cell>
          <cell r="M34">
            <v>118337</v>
          </cell>
          <cell r="N34">
            <v>2000</v>
          </cell>
          <cell r="P34">
            <v>243320.93153844224</v>
          </cell>
          <cell r="Q34">
            <v>0</v>
          </cell>
          <cell r="R34">
            <v>243320.93153844224</v>
          </cell>
        </row>
        <row r="35">
          <cell r="A35">
            <v>1</v>
          </cell>
          <cell r="B35" t="str">
            <v xml:space="preserve">  NARGIS ALI</v>
          </cell>
          <cell r="C35" t="str">
            <v>B90006</v>
          </cell>
          <cell r="D35">
            <v>15500</v>
          </cell>
          <cell r="E35">
            <v>1256.8002240000001</v>
          </cell>
          <cell r="F35">
            <v>16756.800223999999</v>
          </cell>
          <cell r="G35">
            <v>0</v>
          </cell>
          <cell r="H35">
            <v>0</v>
          </cell>
          <cell r="I35">
            <v>16756.800223999999</v>
          </cell>
          <cell r="J35">
            <v>20</v>
          </cell>
          <cell r="K35">
            <v>837.84001119999994</v>
          </cell>
          <cell r="L35">
            <v>16756.800223999999</v>
          </cell>
          <cell r="M35">
            <v>16757</v>
          </cell>
          <cell r="P35">
            <v>0</v>
          </cell>
          <cell r="Q35">
            <v>-0.19977600000129314</v>
          </cell>
        </row>
        <row r="36">
          <cell r="A36">
            <v>2</v>
          </cell>
          <cell r="B36" t="str">
            <v xml:space="preserve">  ISMAT PARVEEN</v>
          </cell>
          <cell r="C36" t="str">
            <v>B91057</v>
          </cell>
          <cell r="D36">
            <v>35000</v>
          </cell>
          <cell r="E36">
            <v>5710.413776623288</v>
          </cell>
          <cell r="F36">
            <v>40710.413776623289</v>
          </cell>
          <cell r="G36">
            <v>0</v>
          </cell>
          <cell r="H36">
            <v>0</v>
          </cell>
          <cell r="I36">
            <v>40710.413776623289</v>
          </cell>
          <cell r="J36">
            <v>20</v>
          </cell>
          <cell r="K36">
            <v>2035.5206888311645</v>
          </cell>
          <cell r="L36">
            <v>40710.413776623289</v>
          </cell>
          <cell r="M36">
            <v>28748</v>
          </cell>
          <cell r="P36">
            <v>11962.413776623289</v>
          </cell>
          <cell r="Q36">
            <v>0</v>
          </cell>
          <cell r="R36">
            <v>11962.413776623289</v>
          </cell>
          <cell r="S36">
            <v>0</v>
          </cell>
        </row>
        <row r="37">
          <cell r="A37">
            <v>3</v>
          </cell>
          <cell r="B37" t="str">
            <v xml:space="preserve">  TAMIZA LAKHANI</v>
          </cell>
          <cell r="C37" t="str">
            <v>B93018</v>
          </cell>
          <cell r="D37">
            <v>20000</v>
          </cell>
          <cell r="E37">
            <v>3442.4485930365413</v>
          </cell>
          <cell r="F37">
            <v>23442.448593036541</v>
          </cell>
          <cell r="G37">
            <v>0</v>
          </cell>
          <cell r="H37">
            <v>0</v>
          </cell>
          <cell r="I37">
            <v>23442.448593036541</v>
          </cell>
          <cell r="J37">
            <v>20</v>
          </cell>
          <cell r="K37">
            <v>1172.1224296518271</v>
          </cell>
          <cell r="L37">
            <v>23442.448593036541</v>
          </cell>
          <cell r="M37">
            <v>8075</v>
          </cell>
          <cell r="P37">
            <v>15367.448593036541</v>
          </cell>
          <cell r="Q37">
            <v>0</v>
          </cell>
          <cell r="R37">
            <v>15367.448593036541</v>
          </cell>
          <cell r="S37">
            <v>0</v>
          </cell>
        </row>
        <row r="38">
          <cell r="A38">
            <v>4</v>
          </cell>
          <cell r="B38" t="str">
            <v xml:space="preserve">  HAMIDAH LAKHANI</v>
          </cell>
          <cell r="C38" t="str">
            <v>B93035</v>
          </cell>
          <cell r="D38">
            <v>20000</v>
          </cell>
          <cell r="E38">
            <v>5502.8152956326594</v>
          </cell>
          <cell r="F38">
            <v>25502.815295632659</v>
          </cell>
          <cell r="G38">
            <v>0</v>
          </cell>
          <cell r="H38">
            <v>0</v>
          </cell>
          <cell r="I38">
            <v>25502.815295632659</v>
          </cell>
          <cell r="J38">
            <v>20</v>
          </cell>
          <cell r="K38">
            <v>1275.1407647816329</v>
          </cell>
          <cell r="L38">
            <v>25502.815295632659</v>
          </cell>
          <cell r="M38">
            <v>500</v>
          </cell>
          <cell r="P38">
            <v>25002.815295632659</v>
          </cell>
          <cell r="Q38">
            <v>0</v>
          </cell>
          <cell r="R38">
            <v>25002.815295632659</v>
          </cell>
          <cell r="S38">
            <v>0</v>
          </cell>
        </row>
        <row r="39">
          <cell r="A39">
            <v>5</v>
          </cell>
          <cell r="B39" t="str">
            <v xml:space="preserve">  SHAGUFTA KAMRAN</v>
          </cell>
          <cell r="C39" t="str">
            <v>B93039</v>
          </cell>
          <cell r="D39">
            <v>22000</v>
          </cell>
          <cell r="E39">
            <v>6211.7297254833056</v>
          </cell>
          <cell r="F39">
            <v>28211.729725483307</v>
          </cell>
          <cell r="G39">
            <v>0</v>
          </cell>
          <cell r="H39">
            <v>0</v>
          </cell>
          <cell r="I39">
            <v>28211.729725483307</v>
          </cell>
          <cell r="J39">
            <v>20</v>
          </cell>
          <cell r="K39">
            <v>1410.5864862741653</v>
          </cell>
          <cell r="L39">
            <v>28211.729725483307</v>
          </cell>
          <cell r="M39">
            <v>0</v>
          </cell>
          <cell r="P39">
            <v>28211.729725483307</v>
          </cell>
          <cell r="Q39">
            <v>0</v>
          </cell>
          <cell r="R39">
            <v>28211.729725483307</v>
          </cell>
          <cell r="S39">
            <v>0</v>
          </cell>
        </row>
        <row r="40">
          <cell r="A40">
            <v>6</v>
          </cell>
          <cell r="B40" t="str">
            <v xml:space="preserve">  NADIA QADANI</v>
          </cell>
          <cell r="C40" t="str">
            <v>B93055</v>
          </cell>
          <cell r="D40">
            <v>24400</v>
          </cell>
          <cell r="E40">
            <v>1752.4181510400001</v>
          </cell>
          <cell r="F40">
            <v>26152.418151040001</v>
          </cell>
          <cell r="G40">
            <v>0</v>
          </cell>
          <cell r="H40">
            <v>0</v>
          </cell>
          <cell r="I40">
            <v>26152.418151040001</v>
          </cell>
          <cell r="J40">
            <v>20</v>
          </cell>
          <cell r="K40">
            <v>1307.6209075520001</v>
          </cell>
          <cell r="L40">
            <v>26152.418151040001</v>
          </cell>
          <cell r="M40">
            <v>26152</v>
          </cell>
          <cell r="P40">
            <v>0.41815104000124848</v>
          </cell>
          <cell r="Q40">
            <v>0</v>
          </cell>
        </row>
        <row r="41">
          <cell r="A41">
            <v>7</v>
          </cell>
          <cell r="B41" t="str">
            <v xml:space="preserve">  ZEENAT RAJAN</v>
          </cell>
          <cell r="C41" t="str">
            <v>B93056</v>
          </cell>
          <cell r="D41">
            <v>36000</v>
          </cell>
          <cell r="E41">
            <v>3326.98219208928</v>
          </cell>
          <cell r="F41">
            <v>39326.982192089279</v>
          </cell>
          <cell r="G41">
            <v>0</v>
          </cell>
          <cell r="H41">
            <v>0</v>
          </cell>
          <cell r="I41">
            <v>39326.982192089279</v>
          </cell>
          <cell r="J41">
            <v>20</v>
          </cell>
          <cell r="K41">
            <v>1966.349109604464</v>
          </cell>
          <cell r="L41">
            <v>39326.982192089279</v>
          </cell>
          <cell r="M41">
            <v>39327</v>
          </cell>
          <cell r="P41">
            <v>0</v>
          </cell>
          <cell r="Q41">
            <v>-1.7807910720875952E-2</v>
          </cell>
          <cell r="R41">
            <v>-1.7807910720875952E-2</v>
          </cell>
        </row>
        <row r="42">
          <cell r="A42" t="str">
            <v>CLASS OF 1995 - From Dec 31, 97</v>
          </cell>
          <cell r="D42">
            <v>172900</v>
          </cell>
          <cell r="E42">
            <v>27203.607957905075</v>
          </cell>
          <cell r="F42">
            <v>200103.6079579051</v>
          </cell>
          <cell r="G42">
            <v>0</v>
          </cell>
          <cell r="H42">
            <v>0</v>
          </cell>
          <cell r="I42">
            <v>200103.6079579051</v>
          </cell>
          <cell r="J42">
            <v>140</v>
          </cell>
          <cell r="K42">
            <v>10005.180397895254</v>
          </cell>
          <cell r="L42">
            <v>200103.6079579051</v>
          </cell>
          <cell r="M42">
            <v>119559</v>
          </cell>
          <cell r="N42">
            <v>0</v>
          </cell>
          <cell r="P42">
            <v>80544.825541815808</v>
          </cell>
          <cell r="Q42">
            <v>-0.21758391072216909</v>
          </cell>
          <cell r="R42">
            <v>80544.389582865086</v>
          </cell>
        </row>
        <row r="43">
          <cell r="A43">
            <v>1</v>
          </cell>
          <cell r="B43" t="str">
            <v xml:space="preserve">  WASIM AHMAD KHAN</v>
          </cell>
          <cell r="C43" t="str">
            <v>B91064</v>
          </cell>
          <cell r="D43">
            <v>43800</v>
          </cell>
          <cell r="E43">
            <v>11977.07580852785</v>
          </cell>
          <cell r="F43">
            <v>55777.07580852785</v>
          </cell>
          <cell r="G43">
            <v>0</v>
          </cell>
          <cell r="H43">
            <v>0</v>
          </cell>
          <cell r="I43">
            <v>55777.07580852785</v>
          </cell>
          <cell r="J43">
            <v>20</v>
          </cell>
          <cell r="K43">
            <v>2788.8537904263926</v>
          </cell>
          <cell r="L43">
            <v>55777.07580852785</v>
          </cell>
          <cell r="M43">
            <v>0</v>
          </cell>
          <cell r="P43">
            <v>55777.07580852785</v>
          </cell>
          <cell r="Q43">
            <v>0</v>
          </cell>
          <cell r="R43">
            <v>55777.07580852785</v>
          </cell>
        </row>
        <row r="44">
          <cell r="A44">
            <v>2</v>
          </cell>
          <cell r="B44" t="str">
            <v xml:space="preserve">  SHAMIM IQBAL</v>
          </cell>
          <cell r="C44" t="str">
            <v>B92027</v>
          </cell>
          <cell r="D44">
            <v>83000</v>
          </cell>
          <cell r="E44">
            <v>17413.942773859184</v>
          </cell>
          <cell r="F44">
            <v>100413.94277385919</v>
          </cell>
          <cell r="G44">
            <v>0</v>
          </cell>
          <cell r="H44">
            <v>0</v>
          </cell>
          <cell r="I44">
            <v>100413.94277385919</v>
          </cell>
          <cell r="J44">
            <v>20</v>
          </cell>
          <cell r="K44">
            <v>5020.6971386929599</v>
          </cell>
          <cell r="L44">
            <v>100413.94277385919</v>
          </cell>
          <cell r="M44">
            <v>13425</v>
          </cell>
          <cell r="P44">
            <v>86988.942773859191</v>
          </cell>
          <cell r="Q44">
            <v>0</v>
          </cell>
          <cell r="R44">
            <v>86988.942773859191</v>
          </cell>
        </row>
        <row r="45">
          <cell r="A45">
            <v>3</v>
          </cell>
          <cell r="B45" t="str">
            <v xml:space="preserve">  ROZINA LALJEE</v>
          </cell>
          <cell r="C45" t="str">
            <v>B93062</v>
          </cell>
          <cell r="D45">
            <v>15000</v>
          </cell>
          <cell r="E45">
            <v>2042.5078046240001</v>
          </cell>
          <cell r="F45">
            <v>17042.507804624001</v>
          </cell>
          <cell r="G45">
            <v>0</v>
          </cell>
          <cell r="H45">
            <v>0</v>
          </cell>
          <cell r="I45">
            <v>17042.507804624001</v>
          </cell>
          <cell r="J45">
            <v>20</v>
          </cell>
          <cell r="K45">
            <v>852.12539023120007</v>
          </cell>
          <cell r="L45">
            <v>17042.507804624001</v>
          </cell>
          <cell r="M45">
            <v>17043</v>
          </cell>
          <cell r="P45">
            <v>0</v>
          </cell>
          <cell r="Q45">
            <v>-0.49219537599856267</v>
          </cell>
        </row>
        <row r="46">
          <cell r="A46">
            <v>4</v>
          </cell>
          <cell r="B46" t="str">
            <v xml:space="preserve">  SHAHANA A.R. KHAN</v>
          </cell>
          <cell r="C46" t="str">
            <v>B94004</v>
          </cell>
          <cell r="D46">
            <v>50200</v>
          </cell>
          <cell r="E46">
            <v>5224.8563206399995</v>
          </cell>
          <cell r="F46">
            <v>55424.856320639999</v>
          </cell>
          <cell r="G46">
            <v>0</v>
          </cell>
          <cell r="H46">
            <v>0</v>
          </cell>
          <cell r="I46">
            <v>55424.856320639999</v>
          </cell>
          <cell r="J46">
            <v>20</v>
          </cell>
          <cell r="K46">
            <v>2771.2428160320001</v>
          </cell>
          <cell r="L46">
            <v>55424.856320639999</v>
          </cell>
          <cell r="M46">
            <v>55425</v>
          </cell>
          <cell r="P46">
            <v>0</v>
          </cell>
          <cell r="Q46">
            <v>-0.14367936000053305</v>
          </cell>
        </row>
        <row r="47">
          <cell r="A47">
            <v>5</v>
          </cell>
          <cell r="B47" t="str">
            <v xml:space="preserve">  SARFARAZ ASLAM</v>
          </cell>
          <cell r="C47" t="str">
            <v>B94015</v>
          </cell>
          <cell r="D47">
            <v>17100</v>
          </cell>
          <cell r="E47">
            <v>690.83999999999992</v>
          </cell>
          <cell r="F47">
            <v>17790.84</v>
          </cell>
          <cell r="G47">
            <v>0</v>
          </cell>
          <cell r="H47">
            <v>0</v>
          </cell>
          <cell r="I47">
            <v>17790.84</v>
          </cell>
          <cell r="J47">
            <v>20</v>
          </cell>
          <cell r="K47">
            <v>889.54200000000003</v>
          </cell>
          <cell r="L47">
            <v>17790.84</v>
          </cell>
          <cell r="M47">
            <v>17791</v>
          </cell>
          <cell r="P47">
            <v>0</v>
          </cell>
          <cell r="Q47">
            <v>-0.15999999999985448</v>
          </cell>
        </row>
        <row r="48">
          <cell r="A48">
            <v>6</v>
          </cell>
          <cell r="B48" t="str">
            <v xml:space="preserve">  ALIA SAIFULLAH</v>
          </cell>
          <cell r="C48" t="str">
            <v>B94030</v>
          </cell>
          <cell r="D48">
            <v>57600</v>
          </cell>
          <cell r="E48">
            <v>7245.8725496063998</v>
          </cell>
          <cell r="F48">
            <v>64845.8725496064</v>
          </cell>
          <cell r="G48">
            <v>0</v>
          </cell>
          <cell r="H48">
            <v>0</v>
          </cell>
          <cell r="I48">
            <v>64845.8725496064</v>
          </cell>
          <cell r="J48">
            <v>20</v>
          </cell>
          <cell r="K48">
            <v>3242.2936274803201</v>
          </cell>
          <cell r="L48">
            <v>64845.8725496064</v>
          </cell>
          <cell r="M48">
            <v>64846</v>
          </cell>
          <cell r="P48">
            <v>0</v>
          </cell>
          <cell r="Q48">
            <v>-0.12745039360015653</v>
          </cell>
          <cell r="R48">
            <v>-0.12745039360015653</v>
          </cell>
        </row>
        <row r="49">
          <cell r="A49">
            <v>7</v>
          </cell>
          <cell r="B49" t="str">
            <v xml:space="preserve">  ASGHAR KHAN</v>
          </cell>
          <cell r="C49" t="str">
            <v>B94033</v>
          </cell>
          <cell r="D49">
            <v>0</v>
          </cell>
          <cell r="E49">
            <v>8.0000000000000002E-3</v>
          </cell>
          <cell r="F49">
            <v>8.0000000000000002E-3</v>
          </cell>
          <cell r="G49">
            <v>0</v>
          </cell>
          <cell r="H49">
            <v>0</v>
          </cell>
          <cell r="I49">
            <v>8.0000000000000002E-3</v>
          </cell>
          <cell r="J49">
            <v>20</v>
          </cell>
          <cell r="K49">
            <v>4.0000000000000002E-4</v>
          </cell>
          <cell r="L49">
            <v>8.0000000000000002E-3</v>
          </cell>
          <cell r="P49">
            <v>8.0000000000000002E-3</v>
          </cell>
          <cell r="Q49">
            <v>0</v>
          </cell>
          <cell r="R49">
            <v>8.0000000000000002E-3</v>
          </cell>
        </row>
        <row r="50">
          <cell r="A50">
            <v>8</v>
          </cell>
          <cell r="B50" t="str">
            <v xml:space="preserve">  NAHEED BARKETALI</v>
          </cell>
          <cell r="C50" t="str">
            <v>B94037</v>
          </cell>
          <cell r="D50">
            <v>24400</v>
          </cell>
          <cell r="E50">
            <v>3104.2952800000003</v>
          </cell>
          <cell r="F50">
            <v>27504.295279999998</v>
          </cell>
          <cell r="G50">
            <v>0</v>
          </cell>
          <cell r="H50">
            <v>0</v>
          </cell>
          <cell r="I50">
            <v>27504.295279999998</v>
          </cell>
          <cell r="J50">
            <v>20</v>
          </cell>
          <cell r="K50">
            <v>1375.2147639999998</v>
          </cell>
          <cell r="L50">
            <v>27504.295279999998</v>
          </cell>
          <cell r="M50">
            <v>27504</v>
          </cell>
          <cell r="P50">
            <v>0.29527999999845633</v>
          </cell>
          <cell r="Q50">
            <v>0</v>
          </cell>
          <cell r="R50">
            <v>0.29527999999845633</v>
          </cell>
        </row>
        <row r="51">
          <cell r="A51">
            <v>9</v>
          </cell>
          <cell r="B51" t="str">
            <v xml:space="preserve">  NADIA A. RAHIM</v>
          </cell>
          <cell r="C51" t="str">
            <v>B94038</v>
          </cell>
          <cell r="D51">
            <v>59000</v>
          </cell>
          <cell r="E51">
            <v>5980.2557055999996</v>
          </cell>
          <cell r="F51">
            <v>64980.255705600001</v>
          </cell>
          <cell r="G51">
            <v>0</v>
          </cell>
          <cell r="H51">
            <v>0</v>
          </cell>
          <cell r="I51">
            <v>64980.255705600001</v>
          </cell>
          <cell r="J51">
            <v>20</v>
          </cell>
          <cell r="K51">
            <v>3249.0127852800001</v>
          </cell>
          <cell r="L51">
            <v>64980.255705600001</v>
          </cell>
          <cell r="M51">
            <v>64980</v>
          </cell>
          <cell r="P51">
            <v>0.25570560000051046</v>
          </cell>
          <cell r="Q51">
            <v>0</v>
          </cell>
          <cell r="R51">
            <v>0.25570560000051046</v>
          </cell>
        </row>
        <row r="52">
          <cell r="A52" t="str">
            <v>CLASS OF 1996 - From Dec 31, 98</v>
          </cell>
          <cell r="D52">
            <v>350100</v>
          </cell>
          <cell r="E52">
            <v>53679.654242857432</v>
          </cell>
          <cell r="F52">
            <v>403779.65424285748</v>
          </cell>
          <cell r="G52">
            <v>0</v>
          </cell>
          <cell r="H52">
            <v>0</v>
          </cell>
          <cell r="I52">
            <v>403779.65424285748</v>
          </cell>
          <cell r="K52">
            <v>20188.982712142872</v>
          </cell>
          <cell r="L52">
            <v>403779.65424285748</v>
          </cell>
          <cell r="M52">
            <v>261014</v>
          </cell>
          <cell r="N52">
            <v>0</v>
          </cell>
          <cell r="P52">
            <v>142766.57756798703</v>
          </cell>
          <cell r="Q52">
            <v>-0.92332512959910673</v>
          </cell>
          <cell r="R52">
            <v>142766.45011759343</v>
          </cell>
        </row>
        <row r="53">
          <cell r="A53">
            <v>1</v>
          </cell>
          <cell r="B53" t="str">
            <v xml:space="preserve">  ASHRAF VIRANI</v>
          </cell>
          <cell r="C53" t="str">
            <v>B95033</v>
          </cell>
          <cell r="D53">
            <v>59000</v>
          </cell>
          <cell r="E53">
            <v>4078.2712000000001</v>
          </cell>
          <cell r="F53">
            <v>63078.271200000003</v>
          </cell>
          <cell r="G53">
            <v>0</v>
          </cell>
          <cell r="H53">
            <v>0</v>
          </cell>
          <cell r="I53">
            <v>63078.271200000003</v>
          </cell>
          <cell r="J53">
            <v>20</v>
          </cell>
          <cell r="K53">
            <v>3153.91356</v>
          </cell>
          <cell r="L53">
            <v>63078.271200000003</v>
          </cell>
          <cell r="M53">
            <v>63078.6</v>
          </cell>
          <cell r="P53">
            <v>0</v>
          </cell>
          <cell r="Q53">
            <v>-0.32879999999568099</v>
          </cell>
        </row>
        <row r="54">
          <cell r="A54">
            <v>2</v>
          </cell>
          <cell r="B54" t="str">
            <v xml:space="preserve">  NASREEN RAJANI</v>
          </cell>
          <cell r="C54" t="str">
            <v>B95026</v>
          </cell>
          <cell r="D54">
            <v>57200</v>
          </cell>
          <cell r="E54">
            <v>4010.0888000000004</v>
          </cell>
          <cell r="F54">
            <v>61210.088799999998</v>
          </cell>
          <cell r="G54">
            <v>0</v>
          </cell>
          <cell r="H54">
            <v>0</v>
          </cell>
          <cell r="I54">
            <v>61210.088799999998</v>
          </cell>
          <cell r="J54">
            <v>20</v>
          </cell>
          <cell r="K54">
            <v>3060.5044399999997</v>
          </cell>
          <cell r="L54">
            <v>61210.088799999998</v>
          </cell>
          <cell r="M54">
            <v>61210</v>
          </cell>
          <cell r="P54">
            <v>8.879999999771826E-2</v>
          </cell>
          <cell r="Q54">
            <v>0</v>
          </cell>
        </row>
        <row r="55">
          <cell r="A55" t="str">
            <v>CLASS OF 1997 - From DEC 31, 99</v>
          </cell>
          <cell r="D55">
            <v>116200</v>
          </cell>
          <cell r="E55">
            <v>8088.3600000000006</v>
          </cell>
          <cell r="F55">
            <v>124288.36</v>
          </cell>
          <cell r="G55">
            <v>0</v>
          </cell>
          <cell r="I55">
            <v>124288.36</v>
          </cell>
          <cell r="J55">
            <v>40</v>
          </cell>
          <cell r="K55">
            <v>6214.4179999999997</v>
          </cell>
          <cell r="L55">
            <v>124288.36</v>
          </cell>
          <cell r="M55">
            <v>124288.6</v>
          </cell>
          <cell r="N55">
            <v>0</v>
          </cell>
          <cell r="P55">
            <v>8.879999999771826E-2</v>
          </cell>
          <cell r="Q55">
            <v>-0.32879999999568099</v>
          </cell>
          <cell r="R55">
            <v>0</v>
          </cell>
        </row>
        <row r="56">
          <cell r="A56">
            <v>1</v>
          </cell>
          <cell r="B56" t="str">
            <v xml:space="preserve">  SHEHNAZ ABDUL MALIK</v>
          </cell>
          <cell r="C56" t="str">
            <v>B96015</v>
          </cell>
          <cell r="D56">
            <v>32200</v>
          </cell>
          <cell r="E56">
            <v>6666.7712026638073</v>
          </cell>
          <cell r="F56">
            <v>38866.771202663804</v>
          </cell>
          <cell r="G56">
            <v>0</v>
          </cell>
          <cell r="H56">
            <v>0</v>
          </cell>
          <cell r="I56">
            <v>38866.771202663804</v>
          </cell>
          <cell r="J56">
            <v>20</v>
          </cell>
          <cell r="K56">
            <v>1943.3385601331902</v>
          </cell>
          <cell r="L56">
            <v>38866.771202663804</v>
          </cell>
          <cell r="M56">
            <v>0</v>
          </cell>
          <cell r="P56">
            <v>38866.771202663804</v>
          </cell>
          <cell r="Q56">
            <v>0</v>
          </cell>
          <cell r="R56">
            <v>38866.771202663804</v>
          </cell>
          <cell r="S56">
            <v>0</v>
          </cell>
        </row>
        <row r="57">
          <cell r="A57">
            <v>2</v>
          </cell>
          <cell r="B57" t="str">
            <v xml:space="preserve">  ROZINA SHERALI SAJAN</v>
          </cell>
          <cell r="C57" t="str">
            <v>B94046</v>
          </cell>
          <cell r="D57">
            <v>30400</v>
          </cell>
          <cell r="E57">
            <v>1523.4968000000001</v>
          </cell>
          <cell r="F57">
            <v>31923.496800000001</v>
          </cell>
          <cell r="G57">
            <v>0</v>
          </cell>
          <cell r="H57">
            <v>0</v>
          </cell>
          <cell r="I57">
            <v>31923.496800000001</v>
          </cell>
          <cell r="J57">
            <v>20</v>
          </cell>
          <cell r="K57">
            <v>1596.1748400000001</v>
          </cell>
          <cell r="L57">
            <v>31923.496800000001</v>
          </cell>
          <cell r="M57">
            <v>31923.599999999999</v>
          </cell>
          <cell r="P57">
            <v>0</v>
          </cell>
          <cell r="Q57">
            <v>-0.10319999999774154</v>
          </cell>
          <cell r="R57">
            <v>-0.10319999999774154</v>
          </cell>
        </row>
        <row r="58">
          <cell r="A58">
            <v>3</v>
          </cell>
          <cell r="B58" t="str">
            <v xml:space="preserve">  KULSOOM KAUSER</v>
          </cell>
          <cell r="C58" t="str">
            <v>B96029</v>
          </cell>
          <cell r="D58">
            <v>79645</v>
          </cell>
          <cell r="E58">
            <v>14093.159003776002</v>
          </cell>
          <cell r="F58">
            <v>93738.159003776003</v>
          </cell>
          <cell r="G58">
            <v>0</v>
          </cell>
          <cell r="H58">
            <v>0</v>
          </cell>
          <cell r="I58">
            <v>93738.159003776003</v>
          </cell>
          <cell r="J58">
            <v>20</v>
          </cell>
          <cell r="K58">
            <v>4686.9079501888</v>
          </cell>
          <cell r="L58">
            <v>93738.159003776003</v>
          </cell>
          <cell r="M58">
            <v>8168</v>
          </cell>
          <cell r="P58">
            <v>85570.159003776003</v>
          </cell>
          <cell r="Q58">
            <v>0</v>
          </cell>
          <cell r="R58">
            <v>85570.159003776003</v>
          </cell>
        </row>
        <row r="59">
          <cell r="A59" t="str">
            <v>CLASS OF 1998 - From Dec 31, 2000</v>
          </cell>
          <cell r="D59">
            <v>142245</v>
          </cell>
          <cell r="E59">
            <v>22283.427006439808</v>
          </cell>
          <cell r="F59">
            <v>164528.4270064398</v>
          </cell>
          <cell r="G59">
            <v>0</v>
          </cell>
          <cell r="I59">
            <v>164528.4270064398</v>
          </cell>
          <cell r="K59">
            <v>8226.4213503219908</v>
          </cell>
          <cell r="L59">
            <v>164528.4270064398</v>
          </cell>
          <cell r="M59">
            <v>40091.599999999999</v>
          </cell>
          <cell r="N59">
            <v>0</v>
          </cell>
          <cell r="P59">
            <v>124436.93020643981</v>
          </cell>
          <cell r="Q59">
            <v>-0.10319999999774154</v>
          </cell>
          <cell r="R59">
            <v>124436.82700643981</v>
          </cell>
        </row>
        <row r="60">
          <cell r="A60">
            <v>1</v>
          </cell>
          <cell r="B60" t="str">
            <v>RAISA KAUSAR</v>
          </cell>
          <cell r="C60" t="str">
            <v>B97014</v>
          </cell>
          <cell r="D60">
            <v>79000</v>
          </cell>
          <cell r="E60">
            <v>10612.232126995201</v>
          </cell>
          <cell r="F60">
            <v>89612.232126995194</v>
          </cell>
          <cell r="G60">
            <v>0</v>
          </cell>
          <cell r="H60">
            <v>0</v>
          </cell>
          <cell r="I60">
            <v>89612.232126995194</v>
          </cell>
          <cell r="J60">
            <v>20</v>
          </cell>
          <cell r="K60">
            <v>4480.6116063497593</v>
          </cell>
          <cell r="L60">
            <v>89612.232126995194</v>
          </cell>
          <cell r="M60">
            <v>40000</v>
          </cell>
          <cell r="P60">
            <v>49612.232126995194</v>
          </cell>
          <cell r="Q60">
            <v>0</v>
          </cell>
          <cell r="R60">
            <v>49612.232126995194</v>
          </cell>
        </row>
        <row r="61">
          <cell r="A61">
            <v>2</v>
          </cell>
          <cell r="B61" t="str">
            <v>ROZINA SHIVJI</v>
          </cell>
          <cell r="C61" t="str">
            <v>B97027</v>
          </cell>
          <cell r="D61">
            <v>76350</v>
          </cell>
          <cell r="E61">
            <v>1917</v>
          </cell>
          <cell r="F61">
            <v>78267</v>
          </cell>
          <cell r="G61">
            <v>0</v>
          </cell>
          <cell r="H61">
            <v>0</v>
          </cell>
          <cell r="I61">
            <v>78267</v>
          </cell>
          <cell r="J61">
            <v>20</v>
          </cell>
          <cell r="K61">
            <v>3913.35</v>
          </cell>
          <cell r="L61">
            <v>78267</v>
          </cell>
          <cell r="M61">
            <v>78267</v>
          </cell>
          <cell r="P61">
            <v>0</v>
          </cell>
          <cell r="Q61">
            <v>0</v>
          </cell>
          <cell r="R61">
            <v>0</v>
          </cell>
        </row>
        <row r="62">
          <cell r="A62">
            <v>3</v>
          </cell>
          <cell r="B62" t="str">
            <v xml:space="preserve">  LAILA JAN MOHAMMAD KHOWAJA</v>
          </cell>
          <cell r="C62" t="str">
            <v>B94025</v>
          </cell>
          <cell r="D62">
            <v>36900</v>
          </cell>
          <cell r="E62">
            <v>6757.9960929984009</v>
          </cell>
          <cell r="F62">
            <v>43657.996092998401</v>
          </cell>
          <cell r="G62">
            <v>0</v>
          </cell>
          <cell r="H62">
            <v>0</v>
          </cell>
          <cell r="I62">
            <v>43657.996092998401</v>
          </cell>
          <cell r="J62">
            <v>20</v>
          </cell>
          <cell r="K62">
            <v>2182.89980464992</v>
          </cell>
          <cell r="L62">
            <v>43657.996092998401</v>
          </cell>
          <cell r="M62">
            <v>0</v>
          </cell>
          <cell r="P62">
            <v>43657.996092998401</v>
          </cell>
          <cell r="Q62">
            <v>0</v>
          </cell>
          <cell r="R62">
            <v>43657.996092998401</v>
          </cell>
        </row>
        <row r="63">
          <cell r="A63">
            <v>4</v>
          </cell>
          <cell r="B63" t="str">
            <v>DAULAT HIRANI</v>
          </cell>
          <cell r="C63" t="str">
            <v>B97013</v>
          </cell>
          <cell r="D63">
            <v>38600</v>
          </cell>
          <cell r="E63">
            <v>2971.02</v>
          </cell>
          <cell r="F63">
            <v>41571.019999999997</v>
          </cell>
          <cell r="G63">
            <v>0</v>
          </cell>
          <cell r="H63">
            <v>0</v>
          </cell>
          <cell r="I63">
            <v>41571.019999999997</v>
          </cell>
          <cell r="J63">
            <v>20</v>
          </cell>
          <cell r="K63">
            <v>2078.5509999999999</v>
          </cell>
          <cell r="L63">
            <v>41571.019999999997</v>
          </cell>
          <cell r="M63">
            <v>41571</v>
          </cell>
          <cell r="P63">
            <v>1.9999999996798579E-2</v>
          </cell>
          <cell r="Q63">
            <v>0</v>
          </cell>
          <cell r="R63">
            <v>1.9999999996798579E-2</v>
          </cell>
        </row>
        <row r="64">
          <cell r="A64" t="str">
            <v>CLASS OF 1999 - From Dec 31, 2000</v>
          </cell>
          <cell r="D64">
            <v>230850</v>
          </cell>
          <cell r="E64">
            <v>22258.248219993602</v>
          </cell>
          <cell r="F64">
            <v>253108.24821999358</v>
          </cell>
          <cell r="G64">
            <v>0</v>
          </cell>
          <cell r="I64">
            <v>253108.24821999358</v>
          </cell>
          <cell r="K64">
            <v>12655.412410999679</v>
          </cell>
          <cell r="L64">
            <v>253108.24821999358</v>
          </cell>
          <cell r="M64">
            <v>159838</v>
          </cell>
          <cell r="N64">
            <v>0</v>
          </cell>
          <cell r="P64">
            <v>93270.248219993577</v>
          </cell>
          <cell r="Q64">
            <v>0</v>
          </cell>
          <cell r="R64">
            <v>93270.248219993577</v>
          </cell>
        </row>
        <row r="65">
          <cell r="A65">
            <v>1</v>
          </cell>
          <cell r="B65" t="str">
            <v>Zehra Hassan Ali Bana</v>
          </cell>
          <cell r="C65" t="str">
            <v>B98006</v>
          </cell>
          <cell r="D65">
            <v>66500</v>
          </cell>
          <cell r="E65">
            <v>4133.3030799999997</v>
          </cell>
          <cell r="F65">
            <v>70633.303079999998</v>
          </cell>
          <cell r="G65">
            <v>0</v>
          </cell>
          <cell r="H65">
            <v>0</v>
          </cell>
          <cell r="I65">
            <v>70633.303079999998</v>
          </cell>
          <cell r="J65">
            <v>20</v>
          </cell>
          <cell r="K65">
            <v>3531.6651539999998</v>
          </cell>
          <cell r="L65">
            <v>70633.303079999998</v>
          </cell>
          <cell r="M65">
            <v>47742</v>
          </cell>
          <cell r="N65">
            <v>22891</v>
          </cell>
          <cell r="P65">
            <v>0.30307999999786261</v>
          </cell>
          <cell r="Q65">
            <v>0</v>
          </cell>
          <cell r="R65">
            <v>0.30307999999786261</v>
          </cell>
        </row>
        <row r="66">
          <cell r="A66">
            <v>2</v>
          </cell>
          <cell r="B66" t="str">
            <v>Zehra Khan Mohd. Dhamji</v>
          </cell>
          <cell r="C66" t="str">
            <v>B98008</v>
          </cell>
          <cell r="D66">
            <v>54500</v>
          </cell>
          <cell r="E66">
            <v>4023.1391920000001</v>
          </cell>
          <cell r="F66">
            <v>58523.139192000002</v>
          </cell>
          <cell r="G66">
            <v>0</v>
          </cell>
          <cell r="H66">
            <v>0</v>
          </cell>
          <cell r="I66">
            <v>58523.139192000002</v>
          </cell>
          <cell r="J66">
            <v>20</v>
          </cell>
          <cell r="K66">
            <v>2926.1569595999999</v>
          </cell>
          <cell r="L66">
            <v>58523.139192000002</v>
          </cell>
          <cell r="M66">
            <v>39900</v>
          </cell>
          <cell r="P66">
            <v>18623.139192000002</v>
          </cell>
          <cell r="Q66">
            <v>0</v>
          </cell>
          <cell r="R66">
            <v>18623.139192000002</v>
          </cell>
        </row>
        <row r="67">
          <cell r="A67">
            <v>3</v>
          </cell>
          <cell r="B67" t="str">
            <v>Laila S. Khimani</v>
          </cell>
          <cell r="C67" t="str">
            <v>B98016</v>
          </cell>
          <cell r="D67">
            <v>81000</v>
          </cell>
          <cell r="E67">
            <v>6513.8596479999997</v>
          </cell>
          <cell r="F67">
            <v>87513.859647999998</v>
          </cell>
          <cell r="G67">
            <v>0</v>
          </cell>
          <cell r="H67">
            <v>0</v>
          </cell>
          <cell r="I67">
            <v>87513.859647999998</v>
          </cell>
          <cell r="J67">
            <v>20</v>
          </cell>
          <cell r="K67">
            <v>4375.6929823999999</v>
          </cell>
          <cell r="L67">
            <v>87513.859647999998</v>
          </cell>
          <cell r="M67">
            <v>67114</v>
          </cell>
          <cell r="N67">
            <v>20400</v>
          </cell>
          <cell r="P67">
            <v>0</v>
          </cell>
          <cell r="Q67">
            <v>-0.14035200000216719</v>
          </cell>
          <cell r="R67">
            <v>-0.14035200000216719</v>
          </cell>
        </row>
        <row r="68">
          <cell r="A68">
            <v>4</v>
          </cell>
          <cell r="B68" t="str">
            <v>Ajmal Khan</v>
          </cell>
          <cell r="C68" t="str">
            <v>B98027</v>
          </cell>
          <cell r="D68">
            <v>32500</v>
          </cell>
          <cell r="E68">
            <v>5349.190184</v>
          </cell>
          <cell r="F68">
            <v>37849.190183999999</v>
          </cell>
          <cell r="G68">
            <v>0</v>
          </cell>
          <cell r="H68">
            <v>0</v>
          </cell>
          <cell r="I68">
            <v>37849.190183999999</v>
          </cell>
          <cell r="J68">
            <v>20</v>
          </cell>
          <cell r="K68">
            <v>1892.4595092</v>
          </cell>
          <cell r="L68">
            <v>37849.190183999999</v>
          </cell>
          <cell r="M68">
            <v>0</v>
          </cell>
          <cell r="P68">
            <v>37849.190183999999</v>
          </cell>
          <cell r="Q68">
            <v>0</v>
          </cell>
          <cell r="R68">
            <v>37849.190183999999</v>
          </cell>
        </row>
        <row r="69">
          <cell r="A69" t="str">
            <v>CLASS OF 2000 - From Dec 31, 2000</v>
          </cell>
          <cell r="C69">
            <v>0</v>
          </cell>
          <cell r="D69">
            <v>234500</v>
          </cell>
          <cell r="E69">
            <v>20019.492104000001</v>
          </cell>
          <cell r="F69">
            <v>254519.492104</v>
          </cell>
          <cell r="G69">
            <v>0</v>
          </cell>
          <cell r="I69">
            <v>254519.492104</v>
          </cell>
          <cell r="K69">
            <v>12725.974605199999</v>
          </cell>
          <cell r="L69">
            <v>254519.492104</v>
          </cell>
          <cell r="M69">
            <v>154756</v>
          </cell>
          <cell r="N69">
            <v>43291</v>
          </cell>
          <cell r="P69">
            <v>56472.632455999999</v>
          </cell>
          <cell r="Q69">
            <v>-0.14035200000216719</v>
          </cell>
          <cell r="R69">
            <v>56472.492103999997</v>
          </cell>
        </row>
        <row r="70">
          <cell r="A70">
            <v>1</v>
          </cell>
          <cell r="B70" t="str">
            <v>Afshan Saleem Daredia</v>
          </cell>
          <cell r="C70" t="str">
            <v>B98024</v>
          </cell>
          <cell r="D70">
            <v>48000</v>
          </cell>
          <cell r="E70">
            <v>3862.1123052799994</v>
          </cell>
          <cell r="F70">
            <v>51862.112305279996</v>
          </cell>
          <cell r="G70">
            <v>0</v>
          </cell>
          <cell r="H70">
            <v>0</v>
          </cell>
          <cell r="I70">
            <v>51862.112305279996</v>
          </cell>
          <cell r="J70">
            <v>17</v>
          </cell>
          <cell r="K70">
            <v>2593.1056152639999</v>
          </cell>
          <cell r="L70">
            <v>44082.795459487999</v>
          </cell>
          <cell r="M70">
            <v>29646</v>
          </cell>
          <cell r="N70">
            <v>14306</v>
          </cell>
          <cell r="P70">
            <v>130.79545948799932</v>
          </cell>
          <cell r="Q70">
            <v>0</v>
          </cell>
          <cell r="R70">
            <v>7910.1123052799958</v>
          </cell>
        </row>
        <row r="71">
          <cell r="A71">
            <v>2</v>
          </cell>
          <cell r="B71" t="str">
            <v>Syeda Lubna Ghazal</v>
          </cell>
          <cell r="C71" t="str">
            <v>B99006</v>
          </cell>
          <cell r="D71">
            <v>91475</v>
          </cell>
          <cell r="E71">
            <v>8399.6118148799997</v>
          </cell>
          <cell r="F71">
            <v>99874.611814880001</v>
          </cell>
          <cell r="G71">
            <v>0</v>
          </cell>
          <cell r="H71">
            <v>0</v>
          </cell>
          <cell r="I71">
            <v>99874.611814880001</v>
          </cell>
          <cell r="J71">
            <v>17</v>
          </cell>
          <cell r="K71">
            <v>4993.7305907440004</v>
          </cell>
          <cell r="L71">
            <v>84893.420042648009</v>
          </cell>
          <cell r="M71">
            <v>38566</v>
          </cell>
          <cell r="N71">
            <v>4000</v>
          </cell>
          <cell r="P71">
            <v>42327.420042648009</v>
          </cell>
          <cell r="Q71">
            <v>0</v>
          </cell>
          <cell r="R71">
            <v>57308.611814880001</v>
          </cell>
        </row>
        <row r="72">
          <cell r="A72">
            <v>3</v>
          </cell>
          <cell r="B72" t="str">
            <v>Almas Karim Dawoodani</v>
          </cell>
          <cell r="C72" t="str">
            <v>B99007</v>
          </cell>
          <cell r="D72">
            <v>33950</v>
          </cell>
          <cell r="E72">
            <v>1955.5904</v>
          </cell>
          <cell r="F72">
            <v>35905.590400000001</v>
          </cell>
          <cell r="G72">
            <v>0</v>
          </cell>
          <cell r="H72">
            <v>0</v>
          </cell>
          <cell r="I72">
            <v>35905.590400000001</v>
          </cell>
          <cell r="J72">
            <v>17</v>
          </cell>
          <cell r="K72">
            <v>1795.27952</v>
          </cell>
          <cell r="L72">
            <v>30519.751840000001</v>
          </cell>
          <cell r="M72">
            <v>35906</v>
          </cell>
          <cell r="O72">
            <v>0</v>
          </cell>
          <cell r="P72">
            <v>0</v>
          </cell>
          <cell r="Q72">
            <v>-5386.2481599999992</v>
          </cell>
          <cell r="R72">
            <v>-0.40959999999904539</v>
          </cell>
        </row>
        <row r="73">
          <cell r="A73">
            <v>4</v>
          </cell>
          <cell r="B73" t="str">
            <v>Rozina Roshan Essani</v>
          </cell>
          <cell r="C73" t="str">
            <v>B99008</v>
          </cell>
          <cell r="D73">
            <v>20300</v>
          </cell>
          <cell r="E73">
            <v>760</v>
          </cell>
          <cell r="F73">
            <v>21060</v>
          </cell>
          <cell r="G73">
            <v>0</v>
          </cell>
          <cell r="H73">
            <v>0</v>
          </cell>
          <cell r="I73">
            <v>21060</v>
          </cell>
          <cell r="J73">
            <v>17</v>
          </cell>
          <cell r="K73">
            <v>1053</v>
          </cell>
          <cell r="L73">
            <v>17901</v>
          </cell>
          <cell r="M73">
            <v>21060</v>
          </cell>
          <cell r="P73">
            <v>0</v>
          </cell>
          <cell r="Q73">
            <v>-3159</v>
          </cell>
          <cell r="R73">
            <v>0</v>
          </cell>
        </row>
        <row r="74">
          <cell r="A74">
            <v>5</v>
          </cell>
          <cell r="B74" t="str">
            <v>Aftab Hussain Khan</v>
          </cell>
          <cell r="C74" t="str">
            <v>B99014</v>
          </cell>
          <cell r="D74">
            <v>69310</v>
          </cell>
          <cell r="E74">
            <v>3776.4300000000003</v>
          </cell>
          <cell r="F74">
            <v>73086.429999999993</v>
          </cell>
          <cell r="G74">
            <v>0</v>
          </cell>
          <cell r="H74">
            <v>0</v>
          </cell>
          <cell r="I74">
            <v>73086.429999999993</v>
          </cell>
          <cell r="J74">
            <v>17</v>
          </cell>
          <cell r="K74">
            <v>3654.3214999999996</v>
          </cell>
          <cell r="L74">
            <v>62123.465499999991</v>
          </cell>
          <cell r="M74">
            <v>73086</v>
          </cell>
          <cell r="P74">
            <v>0</v>
          </cell>
          <cell r="Q74">
            <v>-10962.534500000009</v>
          </cell>
          <cell r="R74">
            <v>0.42999999999301508</v>
          </cell>
        </row>
        <row r="75">
          <cell r="A75">
            <v>6</v>
          </cell>
          <cell r="B75" t="str">
            <v>Nusrat Khawaja</v>
          </cell>
          <cell r="C75" t="str">
            <v>B99015</v>
          </cell>
          <cell r="D75">
            <v>59500</v>
          </cell>
          <cell r="E75">
            <v>830</v>
          </cell>
          <cell r="F75">
            <v>60330</v>
          </cell>
          <cell r="G75">
            <v>0</v>
          </cell>
          <cell r="H75">
            <v>0</v>
          </cell>
          <cell r="I75">
            <v>60330</v>
          </cell>
          <cell r="J75">
            <v>17</v>
          </cell>
          <cell r="K75">
            <v>3016.5</v>
          </cell>
          <cell r="L75">
            <v>51280.5</v>
          </cell>
          <cell r="M75">
            <v>60330</v>
          </cell>
          <cell r="P75">
            <v>0</v>
          </cell>
          <cell r="Q75">
            <v>-9049.5</v>
          </cell>
          <cell r="R75">
            <v>0</v>
          </cell>
        </row>
        <row r="76">
          <cell r="A76">
            <v>7</v>
          </cell>
          <cell r="B76" t="str">
            <v xml:space="preserve">Shaneela S. Khawaja </v>
          </cell>
          <cell r="C76" t="str">
            <v>B99016</v>
          </cell>
          <cell r="D76">
            <v>134175</v>
          </cell>
          <cell r="E76">
            <v>7068.9436535200002</v>
          </cell>
          <cell r="F76">
            <v>141243.94365351999</v>
          </cell>
          <cell r="G76">
            <v>0</v>
          </cell>
          <cell r="H76">
            <v>0</v>
          </cell>
          <cell r="I76">
            <v>141243.94365351999</v>
          </cell>
          <cell r="J76">
            <v>17</v>
          </cell>
          <cell r="K76">
            <v>7062.197182676</v>
          </cell>
          <cell r="L76">
            <v>120057.352105492</v>
          </cell>
          <cell r="M76">
            <v>121265</v>
          </cell>
          <cell r="N76">
            <v>5000</v>
          </cell>
          <cell r="P76">
            <v>0</v>
          </cell>
          <cell r="Q76">
            <v>-6207.6478945080016</v>
          </cell>
          <cell r="R76">
            <v>14978.943653519993</v>
          </cell>
        </row>
        <row r="77">
          <cell r="A77">
            <v>8</v>
          </cell>
          <cell r="B77" t="str">
            <v>Rozina A. Memon</v>
          </cell>
          <cell r="C77" t="str">
            <v>B99018</v>
          </cell>
          <cell r="D77">
            <v>116175</v>
          </cell>
          <cell r="E77">
            <v>7791.6407125599999</v>
          </cell>
          <cell r="F77">
            <v>123966.64071255999</v>
          </cell>
          <cell r="G77">
            <v>0</v>
          </cell>
          <cell r="H77">
            <v>0</v>
          </cell>
          <cell r="I77">
            <v>123966.64071255999</v>
          </cell>
          <cell r="J77">
            <v>17</v>
          </cell>
          <cell r="K77">
            <v>6198.3320356280001</v>
          </cell>
          <cell r="L77">
            <v>105371.644605676</v>
          </cell>
          <cell r="M77">
            <v>85108</v>
          </cell>
          <cell r="N77">
            <v>25200</v>
          </cell>
          <cell r="P77">
            <v>0</v>
          </cell>
          <cell r="Q77">
            <v>-4936.3553943239967</v>
          </cell>
          <cell r="R77">
            <v>13658.640712559994</v>
          </cell>
        </row>
        <row r="78">
          <cell r="A78">
            <v>9</v>
          </cell>
          <cell r="B78" t="str">
            <v xml:space="preserve">Kahkashan Mughal </v>
          </cell>
          <cell r="C78" t="str">
            <v>B99020</v>
          </cell>
          <cell r="D78">
            <v>133700</v>
          </cell>
          <cell r="E78">
            <v>8058.109512</v>
          </cell>
          <cell r="F78">
            <v>141758.109512</v>
          </cell>
          <cell r="G78">
            <v>0</v>
          </cell>
          <cell r="H78">
            <v>0</v>
          </cell>
          <cell r="I78">
            <v>141758.109512</v>
          </cell>
          <cell r="J78">
            <v>17</v>
          </cell>
          <cell r="K78">
            <v>7087.9054755999996</v>
          </cell>
          <cell r="L78">
            <v>120494.39308519999</v>
          </cell>
          <cell r="M78">
            <v>115778</v>
          </cell>
          <cell r="N78">
            <v>25980</v>
          </cell>
          <cell r="P78">
            <v>0</v>
          </cell>
          <cell r="Q78">
            <v>-21263.60691480001</v>
          </cell>
          <cell r="R78">
            <v>0.1095119999954477</v>
          </cell>
        </row>
        <row r="79">
          <cell r="A79">
            <v>10</v>
          </cell>
          <cell r="B79" t="str">
            <v>Lubna Rizvi</v>
          </cell>
          <cell r="C79" t="str">
            <v>B99024</v>
          </cell>
          <cell r="D79">
            <v>33950</v>
          </cell>
          <cell r="E79">
            <v>1252</v>
          </cell>
          <cell r="F79">
            <v>35202</v>
          </cell>
          <cell r="G79">
            <v>0</v>
          </cell>
          <cell r="H79">
            <v>0</v>
          </cell>
          <cell r="I79">
            <v>35202</v>
          </cell>
          <cell r="J79">
            <v>17</v>
          </cell>
          <cell r="K79">
            <v>1760.1</v>
          </cell>
          <cell r="L79">
            <v>29921.699999999997</v>
          </cell>
          <cell r="M79">
            <v>35202</v>
          </cell>
          <cell r="P79">
            <v>0</v>
          </cell>
          <cell r="Q79">
            <v>-5280.3000000000029</v>
          </cell>
          <cell r="R79">
            <v>0</v>
          </cell>
        </row>
        <row r="80">
          <cell r="A80">
            <v>11</v>
          </cell>
          <cell r="B80" t="str">
            <v>Nadia Ismail Saifuddin</v>
          </cell>
          <cell r="C80" t="str">
            <v>B99026</v>
          </cell>
          <cell r="D80">
            <v>86950</v>
          </cell>
          <cell r="E80">
            <v>6944.1810116799998</v>
          </cell>
          <cell r="F80">
            <v>93894.181011680004</v>
          </cell>
          <cell r="G80">
            <v>0</v>
          </cell>
          <cell r="H80">
            <v>0</v>
          </cell>
          <cell r="I80">
            <v>93894.181011680004</v>
          </cell>
          <cell r="J80">
            <v>17</v>
          </cell>
          <cell r="K80">
            <v>4694.7090505840006</v>
          </cell>
          <cell r="L80">
            <v>79810.053859928012</v>
          </cell>
          <cell r="M80">
            <v>56063</v>
          </cell>
          <cell r="N80">
            <v>21144</v>
          </cell>
          <cell r="P80">
            <v>2603.0538599280117</v>
          </cell>
          <cell r="Q80">
            <v>0</v>
          </cell>
          <cell r="R80">
            <v>16687.181011680004</v>
          </cell>
        </row>
        <row r="81">
          <cell r="A81">
            <v>12</v>
          </cell>
          <cell r="B81" t="str">
            <v xml:space="preserve">Johan Peter </v>
          </cell>
          <cell r="C81" t="str">
            <v>B99028</v>
          </cell>
          <cell r="D81">
            <v>53950</v>
          </cell>
          <cell r="E81">
            <v>1968</v>
          </cell>
          <cell r="F81">
            <v>55918</v>
          </cell>
          <cell r="G81">
            <v>0</v>
          </cell>
          <cell r="H81">
            <v>0</v>
          </cell>
          <cell r="I81">
            <v>55918</v>
          </cell>
          <cell r="J81">
            <v>17</v>
          </cell>
          <cell r="K81">
            <v>2795.9</v>
          </cell>
          <cell r="L81">
            <v>47530.3</v>
          </cell>
          <cell r="M81">
            <v>55918</v>
          </cell>
          <cell r="P81">
            <v>0</v>
          </cell>
          <cell r="Q81">
            <v>-8387.6999999999971</v>
          </cell>
          <cell r="R81">
            <v>0</v>
          </cell>
        </row>
        <row r="82">
          <cell r="A82">
            <v>13</v>
          </cell>
          <cell r="B82" t="str">
            <v>Gul Muhammad Sanai</v>
          </cell>
          <cell r="C82" t="str">
            <v>B99029</v>
          </cell>
          <cell r="D82">
            <v>115700</v>
          </cell>
          <cell r="E82">
            <v>7070.6812319999999</v>
          </cell>
          <cell r="F82">
            <v>122770.681232</v>
          </cell>
          <cell r="G82">
            <v>0</v>
          </cell>
          <cell r="H82">
            <v>0</v>
          </cell>
          <cell r="I82">
            <v>122770.681232</v>
          </cell>
          <cell r="J82">
            <v>17</v>
          </cell>
          <cell r="K82">
            <v>6138.5340616000003</v>
          </cell>
          <cell r="L82">
            <v>104355.07904720001</v>
          </cell>
          <cell r="M82">
            <v>89687</v>
          </cell>
          <cell r="N82">
            <v>33084</v>
          </cell>
          <cell r="P82">
            <v>0</v>
          </cell>
          <cell r="Q82">
            <v>-18415.920952799992</v>
          </cell>
          <cell r="R82">
            <v>-0.31876799999736249</v>
          </cell>
        </row>
        <row r="83">
          <cell r="A83" t="str">
            <v>CLASS OF 2001 - From Dec 31, 2001</v>
          </cell>
          <cell r="D83">
            <v>997135</v>
          </cell>
          <cell r="E83">
            <v>59737.300641920003</v>
          </cell>
          <cell r="F83">
            <v>1056872.30064192</v>
          </cell>
          <cell r="G83">
            <v>0</v>
          </cell>
          <cell r="H83">
            <v>0</v>
          </cell>
          <cell r="I83">
            <v>1056872.30064192</v>
          </cell>
          <cell r="K83">
            <v>52843.615032096001</v>
          </cell>
          <cell r="L83">
            <v>898341.45554563205</v>
          </cell>
          <cell r="M83">
            <v>817615</v>
          </cell>
          <cell r="N83">
            <v>128714</v>
          </cell>
          <cell r="O83">
            <v>0</v>
          </cell>
          <cell r="P83">
            <v>45061.26936206402</v>
          </cell>
          <cell r="Q83">
            <v>-93048.813816432012</v>
          </cell>
          <cell r="R83">
            <v>110543.30064191998</v>
          </cell>
          <cell r="S83">
            <v>0</v>
          </cell>
        </row>
        <row r="84">
          <cell r="A84" t="str">
            <v>1</v>
          </cell>
          <cell r="B84" t="str">
            <v>Samina Gulzar</v>
          </cell>
          <cell r="C84" t="str">
            <v>B97012</v>
          </cell>
          <cell r="D84">
            <v>20500</v>
          </cell>
          <cell r="E84">
            <v>1615.5859096000002</v>
          </cell>
          <cell r="F84">
            <v>22115.585909599999</v>
          </cell>
          <cell r="G84">
            <v>0</v>
          </cell>
          <cell r="H84">
            <v>0</v>
          </cell>
          <cell r="I84">
            <v>22115.585909599999</v>
          </cell>
          <cell r="J84">
            <v>13</v>
          </cell>
          <cell r="K84">
            <v>1105.77929548</v>
          </cell>
          <cell r="L84">
            <v>14375.130841239999</v>
          </cell>
          <cell r="M84">
            <v>5165</v>
          </cell>
          <cell r="P84">
            <v>9210.1308412399994</v>
          </cell>
          <cell r="Q84">
            <v>0</v>
          </cell>
          <cell r="R84">
            <v>16950.585909599999</v>
          </cell>
          <cell r="S84">
            <v>0</v>
          </cell>
        </row>
        <row r="85">
          <cell r="A85">
            <v>2</v>
          </cell>
          <cell r="B85" t="str">
            <v>Nasreen Gulam Ali Alwani</v>
          </cell>
          <cell r="C85" t="str">
            <v>B99002</v>
          </cell>
          <cell r="D85">
            <v>42000</v>
          </cell>
          <cell r="E85">
            <v>3047.0991836800004</v>
          </cell>
          <cell r="F85">
            <v>45047.099183680002</v>
          </cell>
          <cell r="G85">
            <v>0</v>
          </cell>
          <cell r="H85">
            <v>0</v>
          </cell>
          <cell r="I85">
            <v>45047.099183680002</v>
          </cell>
          <cell r="J85">
            <v>13</v>
          </cell>
          <cell r="K85">
            <v>2252.3549591840001</v>
          </cell>
          <cell r="L85">
            <v>29280.614469392</v>
          </cell>
          <cell r="M85">
            <v>21200</v>
          </cell>
          <cell r="N85">
            <v>6500</v>
          </cell>
          <cell r="P85">
            <v>1580.6144693919996</v>
          </cell>
          <cell r="Q85">
            <v>0</v>
          </cell>
          <cell r="R85">
            <v>17347.099183680002</v>
          </cell>
        </row>
        <row r="86">
          <cell r="A86">
            <v>3</v>
          </cell>
          <cell r="B86" t="str">
            <v>Fatima Abdul Aziz Khan</v>
          </cell>
          <cell r="C86" t="str">
            <v>B99013</v>
          </cell>
          <cell r="D86">
            <v>42000</v>
          </cell>
          <cell r="E86">
            <v>1835.6531179199999</v>
          </cell>
          <cell r="F86">
            <v>43835.653117920003</v>
          </cell>
          <cell r="G86">
            <v>0</v>
          </cell>
          <cell r="H86">
            <v>0</v>
          </cell>
          <cell r="I86">
            <v>43835.653117920003</v>
          </cell>
          <cell r="J86">
            <v>13</v>
          </cell>
          <cell r="K86">
            <v>2191.7826558960001</v>
          </cell>
          <cell r="L86">
            <v>28493.174526647999</v>
          </cell>
          <cell r="M86">
            <v>36762</v>
          </cell>
          <cell r="N86">
            <v>6000</v>
          </cell>
          <cell r="P86">
            <v>0</v>
          </cell>
          <cell r="Q86">
            <v>-14268.825473352001</v>
          </cell>
          <cell r="R86">
            <v>1073.6531179200028</v>
          </cell>
        </row>
        <row r="87">
          <cell r="A87">
            <v>4</v>
          </cell>
          <cell r="B87" t="str">
            <v>Shamshad Begum Ali</v>
          </cell>
          <cell r="C87" t="str">
            <v>BSCN-00001</v>
          </cell>
          <cell r="D87">
            <v>143500</v>
          </cell>
          <cell r="E87">
            <v>8771.4666572799997</v>
          </cell>
          <cell r="F87">
            <v>152271.46665727999</v>
          </cell>
          <cell r="G87">
            <v>0</v>
          </cell>
          <cell r="H87">
            <v>0</v>
          </cell>
          <cell r="I87">
            <v>152271.46665727999</v>
          </cell>
          <cell r="J87">
            <v>13</v>
          </cell>
          <cell r="K87">
            <v>7613.5733328639999</v>
          </cell>
          <cell r="L87">
            <v>98976.453327231997</v>
          </cell>
          <cell r="M87">
            <v>82835</v>
          </cell>
          <cell r="N87">
            <v>48699</v>
          </cell>
          <cell r="P87">
            <v>0</v>
          </cell>
          <cell r="Q87">
            <v>-32557.546672768003</v>
          </cell>
          <cell r="R87">
            <v>20737.466657279991</v>
          </cell>
        </row>
        <row r="88">
          <cell r="A88">
            <v>5</v>
          </cell>
          <cell r="B88" t="str">
            <v>Farida Dhanani</v>
          </cell>
          <cell r="C88" t="str">
            <v>BSCN-00006</v>
          </cell>
          <cell r="D88">
            <v>46000</v>
          </cell>
          <cell r="E88">
            <v>1382.72</v>
          </cell>
          <cell r="F88">
            <v>47382.720000000001</v>
          </cell>
          <cell r="G88">
            <v>0</v>
          </cell>
          <cell r="H88">
            <v>0</v>
          </cell>
          <cell r="I88">
            <v>47382.720000000001</v>
          </cell>
          <cell r="J88">
            <v>13</v>
          </cell>
          <cell r="K88">
            <v>2369.136</v>
          </cell>
          <cell r="L88">
            <v>30798.768</v>
          </cell>
          <cell r="M88">
            <v>47383</v>
          </cell>
          <cell r="P88">
            <v>0</v>
          </cell>
          <cell r="Q88">
            <v>-16584.232</v>
          </cell>
          <cell r="R88">
            <v>-0.27999999999883585</v>
          </cell>
        </row>
        <row r="89">
          <cell r="A89">
            <v>6</v>
          </cell>
          <cell r="B89" t="str">
            <v>Saleema Gulzar</v>
          </cell>
          <cell r="C89" t="str">
            <v>BSCN-00008</v>
          </cell>
          <cell r="D89">
            <v>69500</v>
          </cell>
          <cell r="E89">
            <v>3449.7693279999994</v>
          </cell>
          <cell r="F89">
            <v>72949.769327999995</v>
          </cell>
          <cell r="G89">
            <v>0</v>
          </cell>
          <cell r="H89">
            <v>0</v>
          </cell>
          <cell r="I89">
            <v>72949.769327999995</v>
          </cell>
          <cell r="J89">
            <v>13</v>
          </cell>
          <cell r="K89">
            <v>3647.4884663999997</v>
          </cell>
          <cell r="L89">
            <v>47417.350063199992</v>
          </cell>
          <cell r="M89">
            <v>62463</v>
          </cell>
          <cell r="N89">
            <v>10487</v>
          </cell>
          <cell r="P89">
            <v>0</v>
          </cell>
          <cell r="Q89">
            <v>-25532.649936800008</v>
          </cell>
          <cell r="R89">
            <v>-0.23067200000514276</v>
          </cell>
        </row>
        <row r="90">
          <cell r="A90">
            <v>7</v>
          </cell>
          <cell r="B90" t="str">
            <v>Karima Karimi</v>
          </cell>
          <cell r="C90" t="str">
            <v>BSCN-00014</v>
          </cell>
          <cell r="D90">
            <v>73500</v>
          </cell>
          <cell r="E90">
            <v>5237.9031360000008</v>
          </cell>
          <cell r="F90">
            <v>78737.903136000008</v>
          </cell>
          <cell r="G90">
            <v>0</v>
          </cell>
          <cell r="H90">
            <v>0</v>
          </cell>
          <cell r="I90">
            <v>78737.903136000008</v>
          </cell>
          <cell r="J90">
            <v>13</v>
          </cell>
          <cell r="K90">
            <v>3936.8951568000002</v>
          </cell>
          <cell r="L90">
            <v>51179.637038400004</v>
          </cell>
          <cell r="M90">
            <v>30882</v>
          </cell>
          <cell r="N90">
            <v>16971</v>
          </cell>
          <cell r="P90">
            <v>3326.6370384000038</v>
          </cell>
          <cell r="Q90">
            <v>0</v>
          </cell>
          <cell r="R90">
            <v>30884.903136000008</v>
          </cell>
        </row>
        <row r="91">
          <cell r="A91">
            <v>8</v>
          </cell>
          <cell r="B91" t="str">
            <v>Humaira Waheed</v>
          </cell>
          <cell r="C91" t="str">
            <v>BSCN-00031</v>
          </cell>
          <cell r="D91">
            <v>17500</v>
          </cell>
          <cell r="E91">
            <v>752.86639999999989</v>
          </cell>
          <cell r="F91">
            <v>18252.866399999999</v>
          </cell>
          <cell r="G91">
            <v>0</v>
          </cell>
          <cell r="H91">
            <v>0</v>
          </cell>
          <cell r="I91">
            <v>18252.866399999999</v>
          </cell>
          <cell r="J91">
            <v>13</v>
          </cell>
          <cell r="K91">
            <v>912.6433199999999</v>
          </cell>
          <cell r="L91">
            <v>11864.363159999999</v>
          </cell>
          <cell r="M91">
            <v>18253</v>
          </cell>
          <cell r="P91">
            <v>0</v>
          </cell>
          <cell r="Q91">
            <v>-6388.636840000001</v>
          </cell>
          <cell r="R91">
            <v>-0.13360000000102445</v>
          </cell>
        </row>
        <row r="92">
          <cell r="A92">
            <v>9</v>
          </cell>
          <cell r="B92" t="str">
            <v>Veronica William</v>
          </cell>
          <cell r="C92" t="str">
            <v>BSCN-00033</v>
          </cell>
          <cell r="D92">
            <v>35000</v>
          </cell>
          <cell r="E92">
            <v>585.6508</v>
          </cell>
          <cell r="F92">
            <v>35585.650800000003</v>
          </cell>
          <cell r="G92">
            <v>0</v>
          </cell>
          <cell r="H92">
            <v>0</v>
          </cell>
          <cell r="I92">
            <v>35585.650800000003</v>
          </cell>
          <cell r="J92">
            <v>13</v>
          </cell>
          <cell r="K92">
            <v>1779.2825400000002</v>
          </cell>
          <cell r="L92">
            <v>23130.673020000002</v>
          </cell>
          <cell r="M92">
            <v>31500</v>
          </cell>
          <cell r="P92">
            <v>0</v>
          </cell>
          <cell r="Q92">
            <v>-8369.326979999998</v>
          </cell>
          <cell r="R92">
            <v>4085.6508000000031</v>
          </cell>
        </row>
        <row r="93">
          <cell r="A93" t="str">
            <v>CLASS OF 2002 - From Dec 31, 2002</v>
          </cell>
          <cell r="D93">
            <v>489500</v>
          </cell>
          <cell r="E93">
            <v>26678.71453248</v>
          </cell>
          <cell r="F93">
            <v>516178.71453247999</v>
          </cell>
          <cell r="G93">
            <v>0</v>
          </cell>
          <cell r="H93">
            <v>0</v>
          </cell>
          <cell r="I93">
            <v>516178.71453247999</v>
          </cell>
          <cell r="K93">
            <v>25808.935726624</v>
          </cell>
          <cell r="L93">
            <v>335516.164446112</v>
          </cell>
          <cell r="M93">
            <v>336443</v>
          </cell>
          <cell r="N93">
            <v>88657</v>
          </cell>
          <cell r="P93">
            <v>14117.382349032003</v>
          </cell>
          <cell r="Q93">
            <v>-103701.21790292002</v>
          </cell>
          <cell r="R93">
            <v>91078.714532479993</v>
          </cell>
          <cell r="S93">
            <v>0</v>
          </cell>
        </row>
        <row r="94">
          <cell r="A94">
            <v>1</v>
          </cell>
          <cell r="B94" t="str">
            <v>Parvin Roshan Ali</v>
          </cell>
          <cell r="C94" t="str">
            <v>BSCN01002</v>
          </cell>
          <cell r="D94">
            <v>81000</v>
          </cell>
          <cell r="E94">
            <v>4260.7467200000001</v>
          </cell>
          <cell r="F94">
            <v>85260.746719999996</v>
          </cell>
          <cell r="G94">
            <v>0</v>
          </cell>
          <cell r="H94">
            <v>0</v>
          </cell>
          <cell r="I94">
            <v>85260.746719999996</v>
          </cell>
          <cell r="J94">
            <v>9</v>
          </cell>
          <cell r="K94">
            <v>4263.0373359999994</v>
          </cell>
          <cell r="L94">
            <v>38367.336023999997</v>
          </cell>
          <cell r="M94">
            <v>27620</v>
          </cell>
          <cell r="N94">
            <v>57641</v>
          </cell>
          <cell r="P94">
            <v>0</v>
          </cell>
          <cell r="Q94">
            <v>-46893.663976000003</v>
          </cell>
          <cell r="R94">
            <v>-0.25328000000445172</v>
          </cell>
        </row>
        <row r="95">
          <cell r="A95">
            <v>2</v>
          </cell>
          <cell r="B95" t="str">
            <v>Imran Jan-e-Anjum</v>
          </cell>
          <cell r="C95" t="str">
            <v>BSCN01003</v>
          </cell>
          <cell r="D95">
            <v>106000</v>
          </cell>
          <cell r="E95">
            <v>7227.8295583999998</v>
          </cell>
          <cell r="F95">
            <v>113227.8295584</v>
          </cell>
          <cell r="G95">
            <v>0</v>
          </cell>
          <cell r="H95">
            <v>0</v>
          </cell>
          <cell r="I95">
            <v>113227.8295584</v>
          </cell>
          <cell r="J95">
            <v>9</v>
          </cell>
          <cell r="K95">
            <v>5661.3914779200004</v>
          </cell>
          <cell r="L95">
            <v>50952.523301280002</v>
          </cell>
          <cell r="M95">
            <v>37365</v>
          </cell>
          <cell r="N95">
            <v>14946</v>
          </cell>
          <cell r="P95">
            <v>0</v>
          </cell>
          <cell r="Q95">
            <v>-1358.4766987199982</v>
          </cell>
          <cell r="R95">
            <v>60916.829558400001</v>
          </cell>
        </row>
        <row r="96">
          <cell r="A96">
            <v>3</v>
          </cell>
          <cell r="B96" t="str">
            <v>Laila Badruddin Charania</v>
          </cell>
          <cell r="C96" t="str">
            <v>BSCN01005</v>
          </cell>
          <cell r="D96">
            <v>97500</v>
          </cell>
          <cell r="E96">
            <v>4521.6761263999997</v>
          </cell>
          <cell r="F96">
            <v>102021.67612639999</v>
          </cell>
          <cell r="G96">
            <v>0</v>
          </cell>
          <cell r="H96">
            <v>0</v>
          </cell>
          <cell r="I96">
            <v>102021.67612639999</v>
          </cell>
          <cell r="J96">
            <v>9</v>
          </cell>
          <cell r="K96">
            <v>5101.0838063199999</v>
          </cell>
          <cell r="L96">
            <v>45909.754256879998</v>
          </cell>
          <cell r="M96">
            <v>86916</v>
          </cell>
          <cell r="N96">
            <v>500</v>
          </cell>
          <cell r="P96">
            <v>0</v>
          </cell>
          <cell r="Q96">
            <v>-41506.245743120002</v>
          </cell>
          <cell r="R96">
            <v>14605.676126399994</v>
          </cell>
        </row>
        <row r="97">
          <cell r="A97">
            <v>4</v>
          </cell>
          <cell r="B97" t="str">
            <v>Shair Mohammad Hazara Noor Mohammad Hazara</v>
          </cell>
          <cell r="C97" t="str">
            <v>BSCN01014</v>
          </cell>
          <cell r="D97">
            <v>144663</v>
          </cell>
          <cell r="E97">
            <v>12019.140056640001</v>
          </cell>
          <cell r="F97">
            <v>156682.14005664</v>
          </cell>
          <cell r="G97">
            <v>0</v>
          </cell>
          <cell r="H97">
            <v>0</v>
          </cell>
          <cell r="I97">
            <v>156682.14005664</v>
          </cell>
          <cell r="J97">
            <v>9</v>
          </cell>
          <cell r="K97">
            <v>7834.107002832</v>
          </cell>
          <cell r="L97">
            <v>70506.963025488003</v>
          </cell>
          <cell r="M97">
            <v>0</v>
          </cell>
          <cell r="P97">
            <v>70506.963025488003</v>
          </cell>
          <cell r="Q97">
            <v>0</v>
          </cell>
          <cell r="R97">
            <v>156682.14005664</v>
          </cell>
        </row>
        <row r="98">
          <cell r="A98">
            <v>5</v>
          </cell>
          <cell r="B98" t="str">
            <v>Azmat Hakim Khan</v>
          </cell>
          <cell r="C98" t="str">
            <v>BSCN01016</v>
          </cell>
          <cell r="D98">
            <v>52500</v>
          </cell>
          <cell r="E98">
            <v>1168.7031999999999</v>
          </cell>
          <cell r="F98">
            <v>53668.703200000004</v>
          </cell>
          <cell r="G98">
            <v>0</v>
          </cell>
          <cell r="H98">
            <v>0</v>
          </cell>
          <cell r="I98">
            <v>53668.703200000004</v>
          </cell>
          <cell r="J98">
            <v>9</v>
          </cell>
          <cell r="K98">
            <v>2683.43516</v>
          </cell>
          <cell r="L98">
            <v>24150.916440000001</v>
          </cell>
          <cell r="M98">
            <v>42574</v>
          </cell>
          <cell r="N98">
            <v>11098</v>
          </cell>
          <cell r="O98">
            <v>-3</v>
          </cell>
          <cell r="P98">
            <v>0</v>
          </cell>
          <cell r="Q98">
            <v>-29518.083559999999</v>
          </cell>
          <cell r="R98">
            <v>-0.29679999999643769</v>
          </cell>
        </row>
        <row r="99">
          <cell r="A99">
            <v>6</v>
          </cell>
          <cell r="B99" t="str">
            <v>Shirin Yousuf Ali</v>
          </cell>
          <cell r="C99" t="str">
            <v>BSCN01020</v>
          </cell>
          <cell r="D99">
            <v>97300</v>
          </cell>
          <cell r="E99">
            <v>5880.1829583999997</v>
          </cell>
          <cell r="F99">
            <v>103180.18295839999</v>
          </cell>
          <cell r="G99">
            <v>0</v>
          </cell>
          <cell r="H99">
            <v>0</v>
          </cell>
          <cell r="I99">
            <v>103180.18295839999</v>
          </cell>
          <cell r="J99">
            <v>9</v>
          </cell>
          <cell r="K99">
            <v>5159.00914792</v>
          </cell>
          <cell r="L99">
            <v>46431.082331279998</v>
          </cell>
          <cell r="M99">
            <v>33860</v>
          </cell>
          <cell r="N99">
            <v>23898</v>
          </cell>
          <cell r="P99">
            <v>0</v>
          </cell>
          <cell r="Q99">
            <v>-11326.917668720002</v>
          </cell>
          <cell r="R99">
            <v>45422.182958399993</v>
          </cell>
        </row>
        <row r="100">
          <cell r="A100">
            <v>7</v>
          </cell>
          <cell r="B100" t="str">
            <v>Basnama Mastano</v>
          </cell>
          <cell r="C100" t="str">
            <v>BSCN01021</v>
          </cell>
          <cell r="D100">
            <v>164400</v>
          </cell>
          <cell r="E100">
            <v>10984.958699792001</v>
          </cell>
          <cell r="F100">
            <v>175384.95869979201</v>
          </cell>
          <cell r="G100">
            <v>0</v>
          </cell>
          <cell r="H100">
            <v>0</v>
          </cell>
          <cell r="I100">
            <v>175384.95869979201</v>
          </cell>
          <cell r="J100">
            <v>9</v>
          </cell>
          <cell r="K100">
            <v>8769.2479349896003</v>
          </cell>
          <cell r="L100">
            <v>78923.231414906404</v>
          </cell>
          <cell r="M100">
            <v>44250</v>
          </cell>
          <cell r="N100">
            <v>29135</v>
          </cell>
          <cell r="P100">
            <v>5538.2314149064041</v>
          </cell>
          <cell r="Q100">
            <v>0</v>
          </cell>
          <cell r="R100">
            <v>101999.95869979201</v>
          </cell>
        </row>
        <row r="101">
          <cell r="A101">
            <v>8</v>
          </cell>
          <cell r="B101" t="str">
            <v>Rozina Rajab Ali</v>
          </cell>
          <cell r="C101" t="str">
            <v>BSCN01025</v>
          </cell>
          <cell r="D101">
            <v>50000</v>
          </cell>
          <cell r="E101">
            <v>447.2</v>
          </cell>
          <cell r="F101">
            <v>50447.199999999997</v>
          </cell>
          <cell r="G101">
            <v>0</v>
          </cell>
          <cell r="H101">
            <v>0</v>
          </cell>
          <cell r="I101">
            <v>50447.199999999997</v>
          </cell>
          <cell r="J101">
            <v>9</v>
          </cell>
          <cell r="K101">
            <v>2522.3599999999997</v>
          </cell>
          <cell r="L101">
            <v>22701.239999999998</v>
          </cell>
          <cell r="M101">
            <v>50447</v>
          </cell>
          <cell r="P101">
            <v>0</v>
          </cell>
          <cell r="Q101">
            <v>-27745.760000000002</v>
          </cell>
          <cell r="R101">
            <v>0.19999999999708962</v>
          </cell>
        </row>
        <row r="102">
          <cell r="A102">
            <v>9</v>
          </cell>
          <cell r="B102" t="str">
            <v xml:space="preserve"> Shamim Abid Hussain Shah</v>
          </cell>
          <cell r="C102" t="str">
            <v>BSCN01027</v>
          </cell>
          <cell r="D102">
            <v>28000</v>
          </cell>
          <cell r="E102">
            <v>560</v>
          </cell>
          <cell r="F102">
            <v>28560</v>
          </cell>
          <cell r="G102">
            <v>0</v>
          </cell>
          <cell r="H102">
            <v>0</v>
          </cell>
          <cell r="I102">
            <v>28560</v>
          </cell>
          <cell r="J102">
            <v>9</v>
          </cell>
          <cell r="K102">
            <v>1428</v>
          </cell>
          <cell r="L102">
            <v>12852</v>
          </cell>
          <cell r="M102">
            <v>28560</v>
          </cell>
          <cell r="P102">
            <v>0</v>
          </cell>
          <cell r="Q102">
            <v>-15708</v>
          </cell>
          <cell r="R102">
            <v>0</v>
          </cell>
        </row>
        <row r="103">
          <cell r="A103">
            <v>10</v>
          </cell>
          <cell r="B103" t="str">
            <v>Rozmin Subzali</v>
          </cell>
          <cell r="C103" t="str">
            <v>BSCN01030</v>
          </cell>
          <cell r="D103">
            <v>74600</v>
          </cell>
          <cell r="E103">
            <v>4797.95010232</v>
          </cell>
          <cell r="F103">
            <v>79397.950102319999</v>
          </cell>
          <cell r="G103">
            <v>0</v>
          </cell>
          <cell r="H103">
            <v>0</v>
          </cell>
          <cell r="I103">
            <v>79397.950102319999</v>
          </cell>
          <cell r="J103">
            <v>9</v>
          </cell>
          <cell r="K103">
            <v>3969.897505116</v>
          </cell>
          <cell r="L103">
            <v>35729.077546043998</v>
          </cell>
          <cell r="M103">
            <v>20085</v>
          </cell>
          <cell r="N103">
            <v>23847</v>
          </cell>
          <cell r="P103">
            <v>0</v>
          </cell>
          <cell r="Q103">
            <v>-8202.9224539560018</v>
          </cell>
          <cell r="R103">
            <v>35465.950102319999</v>
          </cell>
        </row>
        <row r="104">
          <cell r="A104" t="str">
            <v>CLASS OF 2003 - From Dec 31, 2003</v>
          </cell>
          <cell r="D104">
            <v>895963</v>
          </cell>
          <cell r="E104">
            <v>51868.387421951993</v>
          </cell>
          <cell r="F104">
            <v>947831.38742195186</v>
          </cell>
          <cell r="G104">
            <v>0</v>
          </cell>
          <cell r="H104">
            <v>0</v>
          </cell>
          <cell r="I104">
            <v>947831.38742195186</v>
          </cell>
          <cell r="K104">
            <v>47391.569371097605</v>
          </cell>
          <cell r="L104">
            <v>426524.12433987838</v>
          </cell>
          <cell r="M104">
            <v>371677</v>
          </cell>
          <cell r="N104">
            <v>161065</v>
          </cell>
          <cell r="P104">
            <v>76045.194440394407</v>
          </cell>
          <cell r="Q104">
            <v>-182260.07010051602</v>
          </cell>
          <cell r="R104">
            <v>415092.38742195198</v>
          </cell>
          <cell r="S104">
            <v>0</v>
          </cell>
        </row>
        <row r="105">
          <cell r="A105">
            <v>1</v>
          </cell>
          <cell r="B105" t="str">
            <v>Shahroz Shoukat Ali</v>
          </cell>
          <cell r="C105" t="str">
            <v>BSCN02001</v>
          </cell>
          <cell r="D105">
            <v>101000</v>
          </cell>
          <cell r="E105">
            <v>5905.9716040000003</v>
          </cell>
          <cell r="F105">
            <v>106905.97160400001</v>
          </cell>
          <cell r="H105">
            <v>0</v>
          </cell>
          <cell r="I105">
            <v>106905.97160400001</v>
          </cell>
          <cell r="J105">
            <v>1</v>
          </cell>
          <cell r="K105">
            <v>5345.2985802000003</v>
          </cell>
          <cell r="L105">
            <v>5345.2985802000003</v>
          </cell>
          <cell r="M105">
            <v>6000</v>
          </cell>
          <cell r="N105">
            <v>6000</v>
          </cell>
          <cell r="P105">
            <v>0</v>
          </cell>
          <cell r="Q105">
            <v>-6654.7014197999997</v>
          </cell>
          <cell r="R105">
            <v>94905.971604000006</v>
          </cell>
        </row>
        <row r="106">
          <cell r="A106">
            <v>2</v>
          </cell>
          <cell r="B106" t="str">
            <v>Shirin Ahmed Bassaria</v>
          </cell>
          <cell r="C106" t="str">
            <v>BSCN02003</v>
          </cell>
          <cell r="D106">
            <v>80310</v>
          </cell>
          <cell r="E106">
            <v>4584.0806160000002</v>
          </cell>
          <cell r="F106">
            <v>84894.080616000007</v>
          </cell>
          <cell r="H106">
            <v>0</v>
          </cell>
          <cell r="I106">
            <v>84894.080616000007</v>
          </cell>
          <cell r="J106">
            <v>1</v>
          </cell>
          <cell r="K106">
            <v>4244.7040308000005</v>
          </cell>
          <cell r="L106">
            <v>4244.7040308000005</v>
          </cell>
          <cell r="M106">
            <v>0</v>
          </cell>
          <cell r="P106">
            <v>4244.7040308000005</v>
          </cell>
          <cell r="Q106">
            <v>0</v>
          </cell>
          <cell r="R106">
            <v>84894.080616000007</v>
          </cell>
        </row>
        <row r="107">
          <cell r="A107">
            <v>3</v>
          </cell>
          <cell r="B107" t="str">
            <v>Parveen Amir Ali Hajiyani</v>
          </cell>
          <cell r="C107" t="str">
            <v>BSCN02006</v>
          </cell>
          <cell r="D107">
            <v>52500</v>
          </cell>
          <cell r="E107">
            <v>2820.5</v>
          </cell>
          <cell r="F107">
            <v>55320.5</v>
          </cell>
          <cell r="H107">
            <v>0</v>
          </cell>
          <cell r="I107">
            <v>55320.5</v>
          </cell>
          <cell r="J107">
            <v>1</v>
          </cell>
          <cell r="K107">
            <v>2766.0250000000001</v>
          </cell>
          <cell r="L107">
            <v>2766.0250000000001</v>
          </cell>
          <cell r="M107">
            <v>2000</v>
          </cell>
          <cell r="P107">
            <v>766.02500000000009</v>
          </cell>
          <cell r="Q107">
            <v>0</v>
          </cell>
          <cell r="R107">
            <v>53320.5</v>
          </cell>
        </row>
        <row r="108">
          <cell r="A108">
            <v>4</v>
          </cell>
          <cell r="B108" t="str">
            <v>Tania Abdul Rehman Hooda</v>
          </cell>
          <cell r="C108" t="str">
            <v>BSCN02007</v>
          </cell>
          <cell r="D108">
            <v>92510</v>
          </cell>
          <cell r="E108">
            <v>5700.6492040000003</v>
          </cell>
          <cell r="F108">
            <v>98210.649204000001</v>
          </cell>
          <cell r="H108">
            <v>0</v>
          </cell>
          <cell r="I108">
            <v>98210.649204000001</v>
          </cell>
          <cell r="J108">
            <v>1</v>
          </cell>
          <cell r="K108">
            <v>4910.5324602000001</v>
          </cell>
          <cell r="L108">
            <v>4910.5324602000001</v>
          </cell>
          <cell r="M108">
            <v>0</v>
          </cell>
          <cell r="P108">
            <v>4910.5324602000001</v>
          </cell>
          <cell r="Q108">
            <v>0</v>
          </cell>
          <cell r="R108">
            <v>98210.649204000001</v>
          </cell>
        </row>
        <row r="109">
          <cell r="A109">
            <v>5</v>
          </cell>
          <cell r="B109" t="str">
            <v>Ambreen Abdul Aziz Jiwani</v>
          </cell>
          <cell r="C109" t="str">
            <v>BSCN02009</v>
          </cell>
          <cell r="D109">
            <v>103025</v>
          </cell>
          <cell r="E109">
            <v>2402.7496000000001</v>
          </cell>
          <cell r="F109">
            <v>105427.7496</v>
          </cell>
          <cell r="H109">
            <v>0</v>
          </cell>
          <cell r="I109">
            <v>105427.7496</v>
          </cell>
          <cell r="J109">
            <v>1</v>
          </cell>
          <cell r="K109">
            <v>5271.3874799999994</v>
          </cell>
          <cell r="L109">
            <v>5271.3874799999994</v>
          </cell>
          <cell r="M109">
            <v>56250</v>
          </cell>
          <cell r="N109">
            <v>49178</v>
          </cell>
          <cell r="P109">
            <v>0</v>
          </cell>
          <cell r="Q109">
            <v>-100156.61252</v>
          </cell>
          <cell r="R109">
            <v>-0.25040000000444707</v>
          </cell>
        </row>
        <row r="110">
          <cell r="A110">
            <v>6</v>
          </cell>
          <cell r="B110" t="str">
            <v>Munira Faiz Muhammad Jumani</v>
          </cell>
          <cell r="C110" t="str">
            <v>BSCN02011</v>
          </cell>
          <cell r="D110">
            <v>25500</v>
          </cell>
          <cell r="E110">
            <v>2102.0200800000002</v>
          </cell>
          <cell r="F110">
            <v>27602.020080000002</v>
          </cell>
          <cell r="H110">
            <v>0</v>
          </cell>
          <cell r="I110">
            <v>27602.020080000002</v>
          </cell>
          <cell r="J110">
            <v>1</v>
          </cell>
          <cell r="K110">
            <v>1380.1010040000001</v>
          </cell>
          <cell r="L110">
            <v>1380.1010040000001</v>
          </cell>
          <cell r="M110">
            <v>0</v>
          </cell>
          <cell r="P110">
            <v>1380.1010040000001</v>
          </cell>
          <cell r="Q110">
            <v>0</v>
          </cell>
          <cell r="R110">
            <v>27602.020080000002</v>
          </cell>
        </row>
        <row r="111">
          <cell r="A111">
            <v>7</v>
          </cell>
          <cell r="B111" t="str">
            <v>Karima Dostmohammad Badruddin Karim</v>
          </cell>
          <cell r="C111" t="str">
            <v>BSCN02012</v>
          </cell>
          <cell r="D111">
            <v>91550</v>
          </cell>
          <cell r="E111">
            <v>4855.492776</v>
          </cell>
          <cell r="F111">
            <v>96405.492775999999</v>
          </cell>
          <cell r="H111">
            <v>0</v>
          </cell>
          <cell r="I111">
            <v>96405.492775999999</v>
          </cell>
          <cell r="J111">
            <v>1</v>
          </cell>
          <cell r="K111">
            <v>4820.2746387999996</v>
          </cell>
          <cell r="L111">
            <v>4820.2746387999996</v>
          </cell>
          <cell r="M111">
            <v>7880</v>
          </cell>
          <cell r="P111">
            <v>0</v>
          </cell>
          <cell r="Q111">
            <v>-3059.7253612000004</v>
          </cell>
          <cell r="R111">
            <v>88525.492775999999</v>
          </cell>
        </row>
        <row r="112">
          <cell r="A112">
            <v>8</v>
          </cell>
          <cell r="B112" t="str">
            <v>Saima Sadruddin Khaddiwala</v>
          </cell>
          <cell r="C112" t="str">
            <v>BSCN02013</v>
          </cell>
          <cell r="D112">
            <v>53350</v>
          </cell>
          <cell r="E112">
            <v>906.6</v>
          </cell>
          <cell r="F112">
            <v>54256.6</v>
          </cell>
          <cell r="H112">
            <v>0</v>
          </cell>
          <cell r="I112">
            <v>54256.6</v>
          </cell>
          <cell r="J112">
            <v>1</v>
          </cell>
          <cell r="K112">
            <v>2712.83</v>
          </cell>
          <cell r="L112">
            <v>2712.83</v>
          </cell>
          <cell r="M112">
            <v>26737</v>
          </cell>
          <cell r="N112">
            <v>27520</v>
          </cell>
          <cell r="P112">
            <v>0</v>
          </cell>
          <cell r="Q112">
            <v>-51544.17</v>
          </cell>
          <cell r="R112">
            <v>-0.40000000000145519</v>
          </cell>
        </row>
        <row r="113">
          <cell r="A113">
            <v>9</v>
          </cell>
          <cell r="B113" t="str">
            <v>Zabunissa Badruddin Makani</v>
          </cell>
          <cell r="C113" t="str">
            <v>BSCN02019</v>
          </cell>
          <cell r="D113">
            <v>108000</v>
          </cell>
          <cell r="E113">
            <v>6909.4217919999992</v>
          </cell>
          <cell r="F113">
            <v>114909.42179199999</v>
          </cell>
          <cell r="H113">
            <v>0</v>
          </cell>
          <cell r="I113">
            <v>114909.42179199999</v>
          </cell>
          <cell r="J113">
            <v>1</v>
          </cell>
          <cell r="K113">
            <v>5745.4710895999997</v>
          </cell>
          <cell r="L113">
            <v>5745.4710895999997</v>
          </cell>
          <cell r="M113">
            <v>3892</v>
          </cell>
          <cell r="P113">
            <v>1853.4710895999997</v>
          </cell>
          <cell r="Q113">
            <v>0</v>
          </cell>
          <cell r="R113">
            <v>111017.42179199999</v>
          </cell>
        </row>
        <row r="114">
          <cell r="A114">
            <v>10</v>
          </cell>
          <cell r="B114" t="str">
            <v>Saima Abdul Aziz Sachwani</v>
          </cell>
          <cell r="C114" t="str">
            <v>BSCN02025</v>
          </cell>
          <cell r="D114">
            <v>111060</v>
          </cell>
          <cell r="E114">
            <v>5805.6482159999996</v>
          </cell>
          <cell r="F114">
            <v>116865.648216</v>
          </cell>
          <cell r="H114">
            <v>0</v>
          </cell>
          <cell r="I114">
            <v>116865.648216</v>
          </cell>
          <cell r="J114">
            <v>1</v>
          </cell>
          <cell r="K114">
            <v>5843.2824108000004</v>
          </cell>
          <cell r="L114">
            <v>5843.2824108000004</v>
          </cell>
          <cell r="M114">
            <v>14265</v>
          </cell>
          <cell r="P114">
            <v>0</v>
          </cell>
          <cell r="Q114">
            <v>-8421.7175891999996</v>
          </cell>
          <cell r="R114">
            <v>102600.648216</v>
          </cell>
        </row>
        <row r="115">
          <cell r="A115">
            <v>11</v>
          </cell>
          <cell r="B115" t="str">
            <v>Erum Akber Ali Sharif</v>
          </cell>
          <cell r="C115" t="str">
            <v>BSCN02027</v>
          </cell>
          <cell r="D115">
            <v>109260</v>
          </cell>
          <cell r="E115">
            <v>5118.4866160000001</v>
          </cell>
          <cell r="F115">
            <v>114378.48661599999</v>
          </cell>
          <cell r="H115">
            <v>0</v>
          </cell>
          <cell r="I115">
            <v>114378.48661599999</v>
          </cell>
          <cell r="J115">
            <v>1</v>
          </cell>
          <cell r="K115">
            <v>5718.9243307999996</v>
          </cell>
          <cell r="L115">
            <v>5718.9243307999996</v>
          </cell>
          <cell r="M115">
            <v>14214</v>
          </cell>
          <cell r="N115">
            <v>33166</v>
          </cell>
          <cell r="P115">
            <v>0</v>
          </cell>
          <cell r="Q115">
            <v>-41661.0756692</v>
          </cell>
          <cell r="R115">
            <v>66998.486615999995</v>
          </cell>
        </row>
        <row r="116">
          <cell r="A116" t="str">
            <v>CLASS OF 2004 - From Dec 31, 2005</v>
          </cell>
          <cell r="D116">
            <v>928065</v>
          </cell>
          <cell r="E116">
            <v>47111.620504000006</v>
          </cell>
          <cell r="F116">
            <v>975176.62050399987</v>
          </cell>
          <cell r="G116">
            <v>0</v>
          </cell>
          <cell r="H116">
            <v>0</v>
          </cell>
          <cell r="I116">
            <v>975176.62050399987</v>
          </cell>
          <cell r="K116">
            <v>48758.831025200001</v>
          </cell>
          <cell r="L116">
            <v>48758.831025200001</v>
          </cell>
          <cell r="M116">
            <v>131238</v>
          </cell>
          <cell r="N116">
            <v>115864</v>
          </cell>
          <cell r="P116">
            <v>13154.833584600001</v>
          </cell>
          <cell r="Q116">
            <v>-211498.00255939999</v>
          </cell>
          <cell r="R116">
            <v>728074.62050399987</v>
          </cell>
          <cell r="S116">
            <v>0</v>
          </cell>
        </row>
        <row r="117">
          <cell r="A117">
            <v>1</v>
          </cell>
          <cell r="B117" t="str">
            <v>Azmina Shahnool Sikander Ali Khowaja</v>
          </cell>
          <cell r="C117" t="str">
            <v>BSCN02015</v>
          </cell>
          <cell r="D117">
            <v>165725</v>
          </cell>
          <cell r="E117">
            <v>10338.604336</v>
          </cell>
          <cell r="F117">
            <v>176063.60433599999</v>
          </cell>
          <cell r="G117">
            <v>0</v>
          </cell>
          <cell r="I117">
            <v>176063.60433599999</v>
          </cell>
          <cell r="M117">
            <v>0</v>
          </cell>
          <cell r="P117">
            <v>0</v>
          </cell>
          <cell r="Q117">
            <v>0</v>
          </cell>
          <cell r="R117">
            <v>176063.60433599999</v>
          </cell>
        </row>
        <row r="118">
          <cell r="A118">
            <v>2</v>
          </cell>
          <cell r="B118" t="str">
            <v>Hashmi Farida Shah</v>
          </cell>
          <cell r="C118" t="str">
            <v>BSCN03007</v>
          </cell>
          <cell r="D118">
            <v>158445</v>
          </cell>
          <cell r="E118">
            <v>6438.4202400000004</v>
          </cell>
          <cell r="F118">
            <v>164883.42024000001</v>
          </cell>
          <cell r="G118">
            <v>0</v>
          </cell>
          <cell r="I118">
            <v>164883.42024000001</v>
          </cell>
          <cell r="M118">
            <v>0</v>
          </cell>
          <cell r="P118">
            <v>0</v>
          </cell>
          <cell r="Q118">
            <v>0</v>
          </cell>
          <cell r="R118">
            <v>164883.42024000001</v>
          </cell>
        </row>
        <row r="119">
          <cell r="A119">
            <v>3</v>
          </cell>
          <cell r="B119" t="str">
            <v>Yasmin.A. Hashwani</v>
          </cell>
          <cell r="C119" t="str">
            <v>BSCN03008</v>
          </cell>
          <cell r="D119">
            <v>41563</v>
          </cell>
          <cell r="E119">
            <v>381.26</v>
          </cell>
          <cell r="F119">
            <v>41944.26</v>
          </cell>
          <cell r="G119">
            <v>0</v>
          </cell>
          <cell r="I119">
            <v>41944.26</v>
          </cell>
          <cell r="M119">
            <v>0</v>
          </cell>
          <cell r="N119">
            <v>22500</v>
          </cell>
          <cell r="P119">
            <v>0</v>
          </cell>
          <cell r="Q119">
            <v>-22500</v>
          </cell>
          <cell r="R119">
            <v>19444.260000000002</v>
          </cell>
        </row>
        <row r="120">
          <cell r="A120">
            <v>4</v>
          </cell>
          <cell r="B120" t="str">
            <v>Nadya Riaz Jindani</v>
          </cell>
          <cell r="C120" t="str">
            <v>BSCN03010</v>
          </cell>
          <cell r="D120">
            <v>40250</v>
          </cell>
          <cell r="E120">
            <v>1340.5</v>
          </cell>
          <cell r="F120">
            <v>41590.5</v>
          </cell>
          <cell r="G120">
            <v>0</v>
          </cell>
          <cell r="I120">
            <v>41590.5</v>
          </cell>
          <cell r="M120">
            <v>0</v>
          </cell>
          <cell r="P120">
            <v>0</v>
          </cell>
          <cell r="Q120">
            <v>0</v>
          </cell>
          <cell r="R120">
            <v>41590.5</v>
          </cell>
        </row>
        <row r="121">
          <cell r="A121">
            <v>5</v>
          </cell>
          <cell r="B121" t="str">
            <v xml:space="preserve">Amber Qurban Ali Khowaja </v>
          </cell>
          <cell r="C121" t="str">
            <v>BSCN03015</v>
          </cell>
          <cell r="D121">
            <v>132405</v>
          </cell>
          <cell r="E121">
            <v>2357.1120000000001</v>
          </cell>
          <cell r="F121">
            <v>134762.11199999999</v>
          </cell>
          <cell r="G121">
            <v>0</v>
          </cell>
          <cell r="I121">
            <v>134762.11199999999</v>
          </cell>
          <cell r="M121">
            <v>0</v>
          </cell>
          <cell r="N121">
            <v>134762</v>
          </cell>
          <cell r="P121">
            <v>0</v>
          </cell>
          <cell r="Q121">
            <v>-134762</v>
          </cell>
          <cell r="R121">
            <v>0.11199999999371357</v>
          </cell>
        </row>
        <row r="122">
          <cell r="A122">
            <v>6</v>
          </cell>
          <cell r="B122" t="str">
            <v xml:space="preserve">Anila Amir Ali Noorani </v>
          </cell>
          <cell r="C122" t="str">
            <v>BSCN03027</v>
          </cell>
          <cell r="D122">
            <v>52500</v>
          </cell>
          <cell r="E122">
            <v>2807.58</v>
          </cell>
          <cell r="F122">
            <v>55307.58</v>
          </cell>
          <cell r="G122">
            <v>0</v>
          </cell>
          <cell r="I122">
            <v>55307.58</v>
          </cell>
          <cell r="M122">
            <v>0</v>
          </cell>
          <cell r="N122">
            <v>4686</v>
          </cell>
          <cell r="P122">
            <v>0</v>
          </cell>
          <cell r="Q122">
            <v>-4686</v>
          </cell>
          <cell r="R122">
            <v>50621.58</v>
          </cell>
        </row>
        <row r="123">
          <cell r="A123">
            <v>7</v>
          </cell>
          <cell r="B123" t="str">
            <v xml:space="preserve">Khairunnisa Nadeem </v>
          </cell>
          <cell r="C123" t="str">
            <v>BSCN03031</v>
          </cell>
          <cell r="D123">
            <v>107625</v>
          </cell>
          <cell r="E123">
            <v>4029.3</v>
          </cell>
          <cell r="F123">
            <v>111654.3</v>
          </cell>
          <cell r="G123">
            <v>0</v>
          </cell>
          <cell r="I123">
            <v>111654.3</v>
          </cell>
          <cell r="M123">
            <v>0</v>
          </cell>
          <cell r="P123">
            <v>0</v>
          </cell>
          <cell r="Q123">
            <v>0</v>
          </cell>
          <cell r="R123">
            <v>111654.3</v>
          </cell>
        </row>
        <row r="124">
          <cell r="A124">
            <v>8</v>
          </cell>
          <cell r="B124" t="str">
            <v>Mumtaz Jannat Ali</v>
          </cell>
          <cell r="C124" t="str">
            <v>BSCN03033</v>
          </cell>
          <cell r="D124">
            <v>17010</v>
          </cell>
          <cell r="E124">
            <v>687.20399999999995</v>
          </cell>
          <cell r="F124">
            <v>17697.204000000002</v>
          </cell>
          <cell r="G124">
            <v>0</v>
          </cell>
          <cell r="I124">
            <v>17697.204000000002</v>
          </cell>
          <cell r="M124">
            <v>0</v>
          </cell>
          <cell r="P124">
            <v>0</v>
          </cell>
          <cell r="Q124">
            <v>0</v>
          </cell>
          <cell r="R124">
            <v>17697.204000000002</v>
          </cell>
        </row>
        <row r="125">
          <cell r="A125">
            <v>9</v>
          </cell>
          <cell r="B125" t="str">
            <v xml:space="preserve">Mehtab Sikander Khan </v>
          </cell>
          <cell r="C125" t="str">
            <v>BSCN03036</v>
          </cell>
          <cell r="D125">
            <v>80500</v>
          </cell>
          <cell r="E125">
            <v>3071.15</v>
          </cell>
          <cell r="F125">
            <v>83571.149999999994</v>
          </cell>
          <cell r="G125">
            <v>0</v>
          </cell>
          <cell r="I125">
            <v>83571.149999999994</v>
          </cell>
          <cell r="M125">
            <v>0</v>
          </cell>
          <cell r="P125">
            <v>0</v>
          </cell>
          <cell r="Q125">
            <v>0</v>
          </cell>
          <cell r="R125">
            <v>83571.149999999994</v>
          </cell>
        </row>
        <row r="126">
          <cell r="A126">
            <v>10</v>
          </cell>
          <cell r="B126" t="str">
            <v>Zehra Habib Tharwani</v>
          </cell>
          <cell r="C126" t="str">
            <v>BSCN03039</v>
          </cell>
          <cell r="D126">
            <v>52500</v>
          </cell>
          <cell r="E126">
            <v>2511.15</v>
          </cell>
          <cell r="F126">
            <v>55011.15</v>
          </cell>
          <cell r="G126">
            <v>0</v>
          </cell>
          <cell r="I126">
            <v>55011.15</v>
          </cell>
          <cell r="M126">
            <v>0</v>
          </cell>
          <cell r="P126">
            <v>0</v>
          </cell>
          <cell r="Q126">
            <v>0</v>
          </cell>
          <cell r="R126">
            <v>55011.15</v>
          </cell>
        </row>
        <row r="127">
          <cell r="A127" t="str">
            <v>CLASS OF 2005 - From Dec 31, 2006</v>
          </cell>
          <cell r="D127">
            <v>848523</v>
          </cell>
          <cell r="E127">
            <v>33962.280576000005</v>
          </cell>
          <cell r="F127">
            <v>882485.28057600011</v>
          </cell>
          <cell r="G127">
            <v>0</v>
          </cell>
          <cell r="H127">
            <v>0</v>
          </cell>
          <cell r="I127">
            <v>882485.28057600011</v>
          </cell>
          <cell r="J127">
            <v>0</v>
          </cell>
          <cell r="K127">
            <v>0</v>
          </cell>
          <cell r="L127">
            <v>0</v>
          </cell>
          <cell r="M127">
            <v>0</v>
          </cell>
          <cell r="N127">
            <v>161948</v>
          </cell>
          <cell r="O127">
            <v>0</v>
          </cell>
          <cell r="P127">
            <v>0</v>
          </cell>
          <cell r="Q127">
            <v>-161948</v>
          </cell>
          <cell r="R127">
            <v>720537.28057600011</v>
          </cell>
        </row>
        <row r="128">
          <cell r="A128">
            <v>1</v>
          </cell>
          <cell r="B128" t="str">
            <v>Umme -e-Kulsum</v>
          </cell>
          <cell r="C128" t="str">
            <v>BSCN04003</v>
          </cell>
          <cell r="D128">
            <v>72225</v>
          </cell>
          <cell r="E128">
            <v>2321.3000000000002</v>
          </cell>
          <cell r="F128">
            <v>74546.3</v>
          </cell>
          <cell r="G128">
            <v>43840</v>
          </cell>
          <cell r="I128">
            <v>118386.3</v>
          </cell>
          <cell r="P128">
            <v>0</v>
          </cell>
          <cell r="R128">
            <v>118386.3</v>
          </cell>
          <cell r="S128">
            <v>0</v>
          </cell>
        </row>
        <row r="129">
          <cell r="A129">
            <v>2</v>
          </cell>
          <cell r="B129" t="str">
            <v>FatimaGohar Ayoub</v>
          </cell>
          <cell r="C129" t="str">
            <v>BSCN04006</v>
          </cell>
          <cell r="D129">
            <v>55125</v>
          </cell>
          <cell r="E129">
            <v>1929.5</v>
          </cell>
          <cell r="F129">
            <v>57054.5</v>
          </cell>
          <cell r="G129">
            <v>41350</v>
          </cell>
          <cell r="I129">
            <v>98404.5</v>
          </cell>
          <cell r="P129">
            <v>0</v>
          </cell>
          <cell r="R129">
            <v>98404.5</v>
          </cell>
        </row>
        <row r="130">
          <cell r="A130">
            <v>3</v>
          </cell>
          <cell r="B130" t="str">
            <v xml:space="preserve">Shahina Ayub </v>
          </cell>
          <cell r="C130" t="str">
            <v>BSCN04007</v>
          </cell>
          <cell r="D130">
            <v>72225</v>
          </cell>
          <cell r="E130">
            <v>2321.3000000000002</v>
          </cell>
          <cell r="F130">
            <v>74546.3</v>
          </cell>
          <cell r="G130">
            <v>43840</v>
          </cell>
          <cell r="I130">
            <v>118386.3</v>
          </cell>
          <cell r="P130">
            <v>0</v>
          </cell>
          <cell r="R130">
            <v>118386.3</v>
          </cell>
        </row>
        <row r="131">
          <cell r="A131">
            <v>4</v>
          </cell>
          <cell r="B131" t="str">
            <v>Shahida begum Nazar</v>
          </cell>
          <cell r="C131" t="str">
            <v>BSCN04025</v>
          </cell>
          <cell r="D131">
            <v>81165</v>
          </cell>
          <cell r="E131">
            <v>2500.1</v>
          </cell>
          <cell r="F131">
            <v>83665.100000000006</v>
          </cell>
          <cell r="G131">
            <v>43840</v>
          </cell>
          <cell r="I131">
            <v>127505.1</v>
          </cell>
          <cell r="P131">
            <v>0</v>
          </cell>
          <cell r="R131">
            <v>127505.1</v>
          </cell>
        </row>
        <row r="132">
          <cell r="A132">
            <v>5</v>
          </cell>
          <cell r="B132" t="str">
            <v>Sobia Parveen Abdul Rashid</v>
          </cell>
          <cell r="C132" t="str">
            <v>BSCN04028</v>
          </cell>
          <cell r="D132">
            <v>81165</v>
          </cell>
          <cell r="E132">
            <v>2500.1</v>
          </cell>
          <cell r="F132">
            <v>83665.100000000006</v>
          </cell>
          <cell r="G132">
            <v>43840</v>
          </cell>
          <cell r="I132">
            <v>127505.1</v>
          </cell>
          <cell r="P132">
            <v>0</v>
          </cell>
          <cell r="R132">
            <v>127505.1</v>
          </cell>
        </row>
        <row r="133">
          <cell r="A133">
            <v>6</v>
          </cell>
          <cell r="B133" t="str">
            <v>Zeenat Amrali Keswani</v>
          </cell>
          <cell r="C133" t="str">
            <v>BSCN03013</v>
          </cell>
          <cell r="D133">
            <v>44310</v>
          </cell>
          <cell r="E133">
            <v>1790.124</v>
          </cell>
          <cell r="F133">
            <v>46100.124000000003</v>
          </cell>
          <cell r="G133">
            <v>0</v>
          </cell>
          <cell r="I133">
            <v>46100.124000000003</v>
          </cell>
          <cell r="P133">
            <v>0</v>
          </cell>
          <cell r="R133">
            <v>46100.124000000003</v>
          </cell>
        </row>
        <row r="134">
          <cell r="A134">
            <v>7</v>
          </cell>
          <cell r="B134" t="str">
            <v>Navroz Bibi Hazir</v>
          </cell>
          <cell r="C134" t="str">
            <v>BSCN04030</v>
          </cell>
          <cell r="D134">
            <v>81165</v>
          </cell>
          <cell r="E134">
            <v>2500.1</v>
          </cell>
          <cell r="F134">
            <v>83665.100000000006</v>
          </cell>
          <cell r="G134">
            <v>43840</v>
          </cell>
          <cell r="I134">
            <v>127505.1</v>
          </cell>
          <cell r="P134">
            <v>0</v>
          </cell>
          <cell r="R134">
            <v>127505.1</v>
          </cell>
        </row>
        <row r="135">
          <cell r="A135">
            <v>8</v>
          </cell>
          <cell r="B135" t="str">
            <v>Anita Ashiq Ali</v>
          </cell>
          <cell r="C135" t="str">
            <v>BSCN04032</v>
          </cell>
          <cell r="D135">
            <v>41300</v>
          </cell>
          <cell r="E135">
            <v>826</v>
          </cell>
          <cell r="F135">
            <v>42126</v>
          </cell>
          <cell r="G135">
            <v>0</v>
          </cell>
          <cell r="I135">
            <v>42126</v>
          </cell>
          <cell r="P135">
            <v>0</v>
          </cell>
          <cell r="R135">
            <v>42126</v>
          </cell>
        </row>
        <row r="136">
          <cell r="A136" t="str">
            <v>CLASS OF 2006 - From Dec 31, 2007</v>
          </cell>
          <cell r="D136">
            <v>528680</v>
          </cell>
          <cell r="E136">
            <v>16688.524000000001</v>
          </cell>
          <cell r="F136">
            <v>545368.52399999998</v>
          </cell>
          <cell r="G136">
            <v>260550</v>
          </cell>
          <cell r="H136">
            <v>0</v>
          </cell>
          <cell r="I136">
            <v>805918.52399999986</v>
          </cell>
          <cell r="K136">
            <v>0</v>
          </cell>
          <cell r="L136">
            <v>0</v>
          </cell>
          <cell r="M136">
            <v>0</v>
          </cell>
          <cell r="N136">
            <v>0</v>
          </cell>
          <cell r="O136">
            <v>0</v>
          </cell>
          <cell r="P136">
            <v>0</v>
          </cell>
          <cell r="Q136">
            <v>0</v>
          </cell>
          <cell r="R136">
            <v>805918.52399999986</v>
          </cell>
        </row>
        <row r="137">
          <cell r="A137">
            <v>110</v>
          </cell>
          <cell r="B137" t="str">
            <v>TOTAL</v>
          </cell>
          <cell r="D137">
            <v>6638586.1699999999</v>
          </cell>
          <cell r="E137">
            <v>546965.91752459446</v>
          </cell>
          <cell r="F137">
            <v>7185552.0875245957</v>
          </cell>
          <cell r="G137">
            <v>260550</v>
          </cell>
          <cell r="H137">
            <v>0</v>
          </cell>
          <cell r="I137">
            <v>7446102.0875245957</v>
          </cell>
          <cell r="K137">
            <v>287884.91414742963</v>
          </cell>
          <cell r="L137">
            <v>3970779.8352050656</v>
          </cell>
          <cell r="M137">
            <v>2999730.2</v>
          </cell>
          <cell r="N137">
            <v>701539</v>
          </cell>
          <cell r="O137">
            <v>-1.5</v>
          </cell>
          <cell r="P137">
            <v>1021968.8609400042</v>
          </cell>
          <cell r="Q137">
            <v>-752458.38641331648</v>
          </cell>
          <cell r="R137">
            <v>3744833.9765203926</v>
          </cell>
          <cell r="S13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Revised"/>
      <sheetName val="CCP 05"/>
      <sheetName val="base sheet"/>
      <sheetName val="Depreciation"/>
      <sheetName val="BS"/>
      <sheetName val="PL"/>
      <sheetName val="TB"/>
      <sheetName val="capex"/>
      <sheetName val="Investments"/>
      <sheetName val="budget"/>
      <sheetName val="CCP 04"/>
      <sheetName val="sales"/>
      <sheetName val="COGS"/>
      <sheetName val="COMP OF BUDGET"/>
      <sheetName val="annexure"/>
      <sheetName val="revised production sch june18"/>
      <sheetName val="Production"/>
      <sheetName val="Cotton"/>
      <sheetName val="July 03"/>
      <sheetName val="Aug 03"/>
      <sheetName val="Sept 03"/>
      <sheetName val="Oct 03"/>
      <sheetName val="Nov 03"/>
      <sheetName val="Dec 03"/>
      <sheetName val="Jan 04"/>
      <sheetName val="Feb 04"/>
      <sheetName val="Mar 04"/>
      <sheetName val="Apr 04"/>
      <sheetName val="May 04"/>
      <sheetName val="Jun 04"/>
      <sheetName val="P &amp; L for scenarios"/>
      <sheetName val="Sheet2"/>
      <sheetName val="RiskSim Summary 1"/>
      <sheetName val="Regression results"/>
      <sheetName val="Regression "/>
      <sheetName val="Budget vs actual"/>
      <sheetName val="break even (1)"/>
      <sheetName val="scenario 1"/>
      <sheetName val="what if sheet"/>
      <sheetName val="balance Sheet"/>
      <sheetName val="Sheet1"/>
      <sheetName val="Sheet3"/>
      <sheetName val="AC-CODES"/>
      <sheetName val="INCOME 2004"/>
      <sheetName val="Cash Flow  HOH"/>
      <sheetName val="12"/>
      <sheetName val="Links"/>
      <sheetName val="FundsNW"/>
      <sheetName val="GP Analysis"/>
      <sheetName val="POWER"/>
      <sheetName val="Macro1"/>
      <sheetName val="Provision Patient Diet"/>
      <sheetName val="Provision Utility"/>
      <sheetName val="Provision R&amp;M"/>
      <sheetName val="Provision Legal"/>
      <sheetName val="Provision Sanitation "/>
      <sheetName val="Provision for Implants"/>
    </sheetNames>
    <sheetDataSet>
      <sheetData sheetId="0" refreshError="1"/>
      <sheetData sheetId="1" refreshError="1"/>
      <sheetData sheetId="2" refreshError="1"/>
      <sheetData sheetId="3">
        <row r="2">
          <cell r="B2">
            <v>-47484930.867525369</v>
          </cell>
        </row>
      </sheetData>
      <sheetData sheetId="4">
        <row r="2">
          <cell r="B2">
            <v>-47484930.867525369</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2">
          <cell r="B2">
            <v>-47484930.867525369</v>
          </cell>
          <cell r="I2">
            <v>-60000000</v>
          </cell>
          <cell r="J2">
            <v>0</v>
          </cell>
        </row>
        <row r="3">
          <cell r="B3">
            <v>-5312348.103807535</v>
          </cell>
          <cell r="I3">
            <v>-50000000</v>
          </cell>
          <cell r="J3">
            <v>2</v>
          </cell>
        </row>
        <row r="4">
          <cell r="B4">
            <v>-11832872.255787458</v>
          </cell>
          <cell r="I4">
            <v>-40000000</v>
          </cell>
          <cell r="J4">
            <v>19</v>
          </cell>
        </row>
        <row r="5">
          <cell r="B5">
            <v>7170843.8065362908</v>
          </cell>
          <cell r="I5">
            <v>-30000000</v>
          </cell>
          <cell r="J5">
            <v>34</v>
          </cell>
        </row>
        <row r="6">
          <cell r="B6">
            <v>-26722653.668225911</v>
          </cell>
          <cell r="I6">
            <v>-20000000</v>
          </cell>
          <cell r="J6">
            <v>51</v>
          </cell>
        </row>
        <row r="7">
          <cell r="B7">
            <v>-9006840.1133766435</v>
          </cell>
          <cell r="I7">
            <v>-10000000</v>
          </cell>
          <cell r="J7">
            <v>72</v>
          </cell>
        </row>
        <row r="8">
          <cell r="B8">
            <v>8150181.9953878857</v>
          </cell>
          <cell r="I8">
            <v>0</v>
          </cell>
          <cell r="J8">
            <v>70</v>
          </cell>
        </row>
        <row r="9">
          <cell r="B9">
            <v>9324318.5963191129</v>
          </cell>
          <cell r="I9">
            <v>10000000</v>
          </cell>
          <cell r="J9">
            <v>48</v>
          </cell>
        </row>
        <row r="10">
          <cell r="B10">
            <v>-9098578.1762243174</v>
          </cell>
          <cell r="I10">
            <v>20000000</v>
          </cell>
          <cell r="J10">
            <v>4</v>
          </cell>
        </row>
        <row r="11">
          <cell r="B11">
            <v>-6047094.7006564997</v>
          </cell>
          <cell r="J11">
            <v>0</v>
          </cell>
        </row>
        <row r="12">
          <cell r="B12">
            <v>-16132675.14973804</v>
          </cell>
        </row>
        <row r="13">
          <cell r="B13">
            <v>-21832823.774503436</v>
          </cell>
        </row>
        <row r="14">
          <cell r="B14">
            <v>-14187064.531299379</v>
          </cell>
        </row>
        <row r="15">
          <cell r="B15">
            <v>-499225.58452644572</v>
          </cell>
        </row>
        <row r="16">
          <cell r="B16">
            <v>-11411145.723555353</v>
          </cell>
        </row>
        <row r="17">
          <cell r="B17">
            <v>-35846113.333010167</v>
          </cell>
        </row>
        <row r="18">
          <cell r="B18">
            <v>11020745.398523007</v>
          </cell>
        </row>
        <row r="19">
          <cell r="B19">
            <v>-16307625.386413541</v>
          </cell>
        </row>
        <row r="20">
          <cell r="B20">
            <v>-4251217.5010077618</v>
          </cell>
        </row>
        <row r="21">
          <cell r="B21">
            <v>810264.56890342012</v>
          </cell>
        </row>
        <row r="22">
          <cell r="B22">
            <v>-15047276.699233916</v>
          </cell>
        </row>
        <row r="23">
          <cell r="B23">
            <v>-14710633.631831791</v>
          </cell>
        </row>
        <row r="24">
          <cell r="B24">
            <v>4609373.5578334667</v>
          </cell>
        </row>
        <row r="25">
          <cell r="B25">
            <v>-9173750.2068627141</v>
          </cell>
        </row>
        <row r="26">
          <cell r="B26">
            <v>4794490.9952434041</v>
          </cell>
        </row>
        <row r="27">
          <cell r="B27">
            <v>5194770.4523809887</v>
          </cell>
        </row>
        <row r="28">
          <cell r="B28">
            <v>-41046938.472919732</v>
          </cell>
        </row>
        <row r="29">
          <cell r="B29">
            <v>-17705422.061628487</v>
          </cell>
        </row>
        <row r="30">
          <cell r="B30">
            <v>-40968220.709881276</v>
          </cell>
        </row>
        <row r="31">
          <cell r="B31">
            <v>-28080042.640007105</v>
          </cell>
        </row>
        <row r="32">
          <cell r="B32">
            <v>-12340563.205852415</v>
          </cell>
        </row>
        <row r="33">
          <cell r="B33">
            <v>-24667365.63921931</v>
          </cell>
        </row>
        <row r="34">
          <cell r="B34">
            <v>4444456.0402362682</v>
          </cell>
        </row>
        <row r="35">
          <cell r="B35">
            <v>-7386004.5017544292</v>
          </cell>
        </row>
        <row r="36">
          <cell r="B36">
            <v>-27161060.708701756</v>
          </cell>
        </row>
        <row r="37">
          <cell r="B37">
            <v>-131199.9044819735</v>
          </cell>
        </row>
        <row r="38">
          <cell r="B38">
            <v>-9681583.8668152951</v>
          </cell>
        </row>
        <row r="39">
          <cell r="B39">
            <v>-2984987.8908607624</v>
          </cell>
        </row>
        <row r="40">
          <cell r="B40">
            <v>-18124592.689183738</v>
          </cell>
        </row>
        <row r="41">
          <cell r="B41">
            <v>-26638567.508353617</v>
          </cell>
        </row>
        <row r="42">
          <cell r="B42">
            <v>-12708216.311735</v>
          </cell>
        </row>
        <row r="43">
          <cell r="B43">
            <v>5389793.0943759419</v>
          </cell>
        </row>
        <row r="44">
          <cell r="B44">
            <v>-14030716.042445149</v>
          </cell>
        </row>
        <row r="45">
          <cell r="B45">
            <v>2497828.3501562811</v>
          </cell>
        </row>
        <row r="46">
          <cell r="B46">
            <v>-2956868.9705332778</v>
          </cell>
        </row>
        <row r="47">
          <cell r="B47">
            <v>-27164937.866854455</v>
          </cell>
        </row>
        <row r="48">
          <cell r="B48">
            <v>-35810748.603422135</v>
          </cell>
        </row>
        <row r="49">
          <cell r="B49">
            <v>-38437942.923436433</v>
          </cell>
        </row>
        <row r="50">
          <cell r="B50">
            <v>-23743783.33110049</v>
          </cell>
        </row>
        <row r="51">
          <cell r="B51">
            <v>-9677913.7190187834</v>
          </cell>
        </row>
        <row r="52">
          <cell r="B52">
            <v>-23090716.929416504</v>
          </cell>
        </row>
        <row r="53">
          <cell r="B53">
            <v>-2792478.0703662895</v>
          </cell>
        </row>
        <row r="54">
          <cell r="B54">
            <v>-23760718.534685757</v>
          </cell>
        </row>
        <row r="55">
          <cell r="B55">
            <v>-16235152.856592264</v>
          </cell>
        </row>
        <row r="56">
          <cell r="B56">
            <v>-25357155.001513686</v>
          </cell>
        </row>
        <row r="57">
          <cell r="B57">
            <v>-27132012.907870796</v>
          </cell>
        </row>
        <row r="58">
          <cell r="B58">
            <v>-25354339.96942487</v>
          </cell>
        </row>
        <row r="59">
          <cell r="B59">
            <v>2414812.9889974929</v>
          </cell>
        </row>
        <row r="60">
          <cell r="B60">
            <v>-15609555.248239961</v>
          </cell>
        </row>
        <row r="61">
          <cell r="B61">
            <v>-15617997.052016225</v>
          </cell>
        </row>
        <row r="62">
          <cell r="B62">
            <v>12780760.637151692</v>
          </cell>
        </row>
        <row r="63">
          <cell r="B63">
            <v>-25081806.391064193</v>
          </cell>
        </row>
        <row r="64">
          <cell r="B64">
            <v>7617077.9909385182</v>
          </cell>
        </row>
        <row r="65">
          <cell r="B65">
            <v>-18277968.609684076</v>
          </cell>
        </row>
        <row r="66">
          <cell r="B66">
            <v>-11782666.775232818</v>
          </cell>
        </row>
        <row r="67">
          <cell r="B67">
            <v>2773435.6947269179</v>
          </cell>
        </row>
        <row r="68">
          <cell r="B68">
            <v>6354881.8538458683</v>
          </cell>
        </row>
        <row r="69">
          <cell r="B69">
            <v>-20748763.193895247</v>
          </cell>
        </row>
        <row r="70">
          <cell r="B70">
            <v>-2292783.7548620962</v>
          </cell>
        </row>
        <row r="71">
          <cell r="B71">
            <v>-38479367.810686499</v>
          </cell>
        </row>
        <row r="72">
          <cell r="B72">
            <v>-21752714.993916895</v>
          </cell>
        </row>
        <row r="73">
          <cell r="B73">
            <v>3490786.7264026739</v>
          </cell>
        </row>
        <row r="74">
          <cell r="B74">
            <v>-31612551.809486654</v>
          </cell>
        </row>
        <row r="75">
          <cell r="B75">
            <v>-6555458.3892348073</v>
          </cell>
        </row>
        <row r="76">
          <cell r="B76">
            <v>-22396119.312322523</v>
          </cell>
        </row>
        <row r="77">
          <cell r="B77">
            <v>2417306.8661893345</v>
          </cell>
        </row>
        <row r="78">
          <cell r="B78">
            <v>-2526948.538489487</v>
          </cell>
        </row>
        <row r="79">
          <cell r="B79">
            <v>4319627.1156497337</v>
          </cell>
        </row>
        <row r="80">
          <cell r="B80">
            <v>2655216.5541765429</v>
          </cell>
        </row>
        <row r="81">
          <cell r="B81">
            <v>-13974055.636777308</v>
          </cell>
        </row>
        <row r="82">
          <cell r="B82">
            <v>-1415359.8127318285</v>
          </cell>
        </row>
        <row r="83">
          <cell r="B83">
            <v>658109.14219394699</v>
          </cell>
        </row>
        <row r="84">
          <cell r="B84">
            <v>60062.553475413471</v>
          </cell>
        </row>
        <row r="85">
          <cell r="B85">
            <v>-6017038.4718019627</v>
          </cell>
        </row>
        <row r="86">
          <cell r="B86">
            <v>-5958745.6112504862</v>
          </cell>
        </row>
        <row r="87">
          <cell r="B87">
            <v>-32517136.119168844</v>
          </cell>
        </row>
        <row r="88">
          <cell r="B88">
            <v>-38568441.531676561</v>
          </cell>
        </row>
        <row r="89">
          <cell r="B89">
            <v>-1843727.944805827</v>
          </cell>
        </row>
        <row r="90">
          <cell r="B90">
            <v>-2366906.9612095617</v>
          </cell>
        </row>
        <row r="91">
          <cell r="B91">
            <v>1357282.5542763211</v>
          </cell>
        </row>
        <row r="92">
          <cell r="B92">
            <v>-20821594.879812326</v>
          </cell>
        </row>
        <row r="93">
          <cell r="B93">
            <v>8234385.1696446277</v>
          </cell>
        </row>
        <row r="94">
          <cell r="B94">
            <v>2296124.9012145139</v>
          </cell>
        </row>
        <row r="95">
          <cell r="B95">
            <v>-527709.24113413319</v>
          </cell>
        </row>
        <row r="96">
          <cell r="B96">
            <v>-16804924.938080397</v>
          </cell>
        </row>
        <row r="97">
          <cell r="B97">
            <v>-13076550.366373923</v>
          </cell>
        </row>
        <row r="98">
          <cell r="B98">
            <v>-4742380.5600909851</v>
          </cell>
        </row>
        <row r="99">
          <cell r="B99">
            <v>4604299.9655344822</v>
          </cell>
        </row>
        <row r="100">
          <cell r="B100">
            <v>-14424117.452324476</v>
          </cell>
        </row>
        <row r="101">
          <cell r="B101">
            <v>9151168.561559055</v>
          </cell>
        </row>
        <row r="102">
          <cell r="B102">
            <v>-41360387.190150887</v>
          </cell>
        </row>
        <row r="103">
          <cell r="B103">
            <v>3922515.438094113</v>
          </cell>
        </row>
        <row r="104">
          <cell r="B104">
            <v>7735221.6129802801</v>
          </cell>
        </row>
        <row r="105">
          <cell r="B105">
            <v>-10715008.046465721</v>
          </cell>
        </row>
        <row r="106">
          <cell r="B106">
            <v>-23930286.662104573</v>
          </cell>
        </row>
        <row r="107">
          <cell r="B107">
            <v>-41419348.833945423</v>
          </cell>
        </row>
        <row r="108">
          <cell r="B108">
            <v>-38959927.41510579</v>
          </cell>
        </row>
        <row r="109">
          <cell r="B109">
            <v>-16368451.327957597</v>
          </cell>
        </row>
        <row r="110">
          <cell r="B110">
            <v>-8755822.7707791589</v>
          </cell>
        </row>
        <row r="111">
          <cell r="B111">
            <v>-35216545.03944096</v>
          </cell>
        </row>
        <row r="112">
          <cell r="B112">
            <v>-1138459.3893122338</v>
          </cell>
        </row>
        <row r="113">
          <cell r="B113">
            <v>-16404147.48876157</v>
          </cell>
        </row>
        <row r="114">
          <cell r="B114">
            <v>2113579.1915930249</v>
          </cell>
        </row>
        <row r="115">
          <cell r="B115">
            <v>380120.93483636156</v>
          </cell>
        </row>
        <row r="116">
          <cell r="B116">
            <v>-4134214.0622067116</v>
          </cell>
        </row>
        <row r="117">
          <cell r="B117">
            <v>15262138.452911053</v>
          </cell>
        </row>
        <row r="118">
          <cell r="B118">
            <v>-35982985.23807165</v>
          </cell>
        </row>
        <row r="119">
          <cell r="B119">
            <v>-30639357.213342633</v>
          </cell>
        </row>
        <row r="120">
          <cell r="B120">
            <v>-3286911.104066696</v>
          </cell>
        </row>
        <row r="121">
          <cell r="B121">
            <v>-20904089.925725009</v>
          </cell>
        </row>
        <row r="122">
          <cell r="B122">
            <v>-44601605.000577718</v>
          </cell>
        </row>
        <row r="123">
          <cell r="B123">
            <v>493267.89466497675</v>
          </cell>
        </row>
        <row r="124">
          <cell r="B124">
            <v>-31488768.610045698</v>
          </cell>
        </row>
        <row r="125">
          <cell r="B125">
            <v>-23281876.64024904</v>
          </cell>
        </row>
        <row r="126">
          <cell r="B126">
            <v>-16955879.08909246</v>
          </cell>
        </row>
        <row r="127">
          <cell r="B127">
            <v>974915.48498794809</v>
          </cell>
        </row>
        <row r="128">
          <cell r="B128">
            <v>-16344306.56834152</v>
          </cell>
        </row>
        <row r="129">
          <cell r="B129">
            <v>-44862.127741422504</v>
          </cell>
        </row>
        <row r="130">
          <cell r="B130">
            <v>-11153397.515137162</v>
          </cell>
        </row>
        <row r="131">
          <cell r="B131">
            <v>2645927.9587660171</v>
          </cell>
        </row>
        <row r="132">
          <cell r="B132">
            <v>-8793578.2081912421</v>
          </cell>
        </row>
        <row r="133">
          <cell r="B133">
            <v>-16588156.133207228</v>
          </cell>
        </row>
        <row r="134">
          <cell r="B134">
            <v>-14583193.796018805</v>
          </cell>
        </row>
        <row r="135">
          <cell r="B135">
            <v>-12799220.718857493</v>
          </cell>
        </row>
        <row r="136">
          <cell r="B136">
            <v>-3976425.5111606978</v>
          </cell>
        </row>
        <row r="137">
          <cell r="B137">
            <v>-7083756.7493223809</v>
          </cell>
        </row>
        <row r="138">
          <cell r="B138">
            <v>4247480.0114642717</v>
          </cell>
        </row>
        <row r="139">
          <cell r="B139">
            <v>-9948561.4800008796</v>
          </cell>
        </row>
        <row r="140">
          <cell r="B140">
            <v>14578557.729997907</v>
          </cell>
        </row>
        <row r="141">
          <cell r="B141">
            <v>-18639903.343002882</v>
          </cell>
        </row>
        <row r="142">
          <cell r="B142">
            <v>-1747703.5704805516</v>
          </cell>
        </row>
        <row r="143">
          <cell r="B143">
            <v>-16422717.01080313</v>
          </cell>
        </row>
        <row r="144">
          <cell r="B144">
            <v>-17859247.232121017</v>
          </cell>
        </row>
        <row r="145">
          <cell r="B145">
            <v>-17748095.094636764</v>
          </cell>
        </row>
        <row r="146">
          <cell r="B146">
            <v>-11897576.084493127</v>
          </cell>
        </row>
        <row r="147">
          <cell r="B147">
            <v>-42152288.664007872</v>
          </cell>
        </row>
        <row r="148">
          <cell r="B148">
            <v>-44217260.026510984</v>
          </cell>
        </row>
        <row r="149">
          <cell r="B149">
            <v>-33569894.758126289</v>
          </cell>
        </row>
        <row r="150">
          <cell r="B150">
            <v>-16008859.452101734</v>
          </cell>
        </row>
        <row r="151">
          <cell r="B151">
            <v>-21612879.256760146</v>
          </cell>
        </row>
        <row r="152">
          <cell r="B152">
            <v>-27049521.122559574</v>
          </cell>
        </row>
        <row r="153">
          <cell r="B153">
            <v>-24687173.943595257</v>
          </cell>
        </row>
        <row r="154">
          <cell r="B154">
            <v>-9459963.3971468471</v>
          </cell>
        </row>
        <row r="155">
          <cell r="B155">
            <v>7020023.4140230753</v>
          </cell>
        </row>
        <row r="156">
          <cell r="B156">
            <v>662167.4280420281</v>
          </cell>
        </row>
        <row r="157">
          <cell r="B157">
            <v>-20422223.53482106</v>
          </cell>
        </row>
        <row r="158">
          <cell r="B158">
            <v>-1959327.9597234987</v>
          </cell>
        </row>
        <row r="159">
          <cell r="B159">
            <v>1058346.616852615</v>
          </cell>
        </row>
        <row r="160">
          <cell r="B160">
            <v>-3401584.3981201313</v>
          </cell>
        </row>
        <row r="161">
          <cell r="B161">
            <v>-23960906.708705273</v>
          </cell>
        </row>
        <row r="162">
          <cell r="B162">
            <v>-20083381.550207105</v>
          </cell>
        </row>
        <row r="163">
          <cell r="B163">
            <v>-29309363.91168591</v>
          </cell>
        </row>
        <row r="164">
          <cell r="B164">
            <v>-18207382.479620781</v>
          </cell>
        </row>
        <row r="165">
          <cell r="B165">
            <v>-7165226.1293267272</v>
          </cell>
        </row>
        <row r="166">
          <cell r="B166">
            <v>-34271384.651872545</v>
          </cell>
        </row>
        <row r="167">
          <cell r="B167">
            <v>-28247537.18139514</v>
          </cell>
        </row>
        <row r="168">
          <cell r="B168">
            <v>-20398754.68030211</v>
          </cell>
        </row>
        <row r="169">
          <cell r="B169">
            <v>-1744305.7627974413</v>
          </cell>
        </row>
        <row r="170">
          <cell r="B170">
            <v>-38728992.145433456</v>
          </cell>
        </row>
        <row r="171">
          <cell r="B171">
            <v>-23535471.425961759</v>
          </cell>
        </row>
        <row r="172">
          <cell r="B172">
            <v>-14461381.101863649</v>
          </cell>
        </row>
        <row r="173">
          <cell r="B173">
            <v>-7659087.4438450597</v>
          </cell>
        </row>
        <row r="174">
          <cell r="B174">
            <v>-8198800.4066758417</v>
          </cell>
        </row>
        <row r="175">
          <cell r="B175">
            <v>-37333215.286400288</v>
          </cell>
        </row>
        <row r="176">
          <cell r="B176">
            <v>-25769885.556405809</v>
          </cell>
        </row>
        <row r="177">
          <cell r="B177">
            <v>-5859005.3904407881</v>
          </cell>
        </row>
        <row r="178">
          <cell r="B178">
            <v>-9446024.3954004906</v>
          </cell>
        </row>
        <row r="179">
          <cell r="B179">
            <v>-26829342.755277123</v>
          </cell>
        </row>
        <row r="180">
          <cell r="B180">
            <v>6208507.2915591933</v>
          </cell>
        </row>
        <row r="181">
          <cell r="B181">
            <v>-342181.28454342112</v>
          </cell>
        </row>
        <row r="182">
          <cell r="B182">
            <v>5613295.6633069254</v>
          </cell>
        </row>
        <row r="183">
          <cell r="B183">
            <v>4143201.6971167065</v>
          </cell>
        </row>
        <row r="184">
          <cell r="B184">
            <v>-42748023.360378176</v>
          </cell>
        </row>
        <row r="185">
          <cell r="B185">
            <v>-14094861.371356156</v>
          </cell>
        </row>
        <row r="186">
          <cell r="B186">
            <v>-14458801.026547041</v>
          </cell>
        </row>
        <row r="187">
          <cell r="B187">
            <v>6218028.1781050898</v>
          </cell>
        </row>
        <row r="188">
          <cell r="B188">
            <v>-4403677.2212624811</v>
          </cell>
        </row>
        <row r="189">
          <cell r="B189">
            <v>-43961157.159751028</v>
          </cell>
        </row>
        <row r="190">
          <cell r="B190">
            <v>-18321535.837232199</v>
          </cell>
        </row>
        <row r="191">
          <cell r="B191">
            <v>-16931585.596959379</v>
          </cell>
        </row>
        <row r="192">
          <cell r="B192">
            <v>2018864.170688007</v>
          </cell>
        </row>
        <row r="193">
          <cell r="B193">
            <v>-12627050.261585619</v>
          </cell>
        </row>
        <row r="194">
          <cell r="B194">
            <v>-42086291.452635139</v>
          </cell>
        </row>
        <row r="195">
          <cell r="B195">
            <v>-2055518.1912740134</v>
          </cell>
        </row>
        <row r="196">
          <cell r="B196">
            <v>-18651671.712489691</v>
          </cell>
        </row>
        <row r="197">
          <cell r="B197">
            <v>-14085832.213164594</v>
          </cell>
        </row>
        <row r="198">
          <cell r="B198">
            <v>-14235004.307895627</v>
          </cell>
        </row>
        <row r="199">
          <cell r="B199">
            <v>-6499696.2149623297</v>
          </cell>
        </row>
        <row r="200">
          <cell r="B200">
            <v>-2383584.5365737341</v>
          </cell>
        </row>
        <row r="201">
          <cell r="B201">
            <v>-18839874.271820094</v>
          </cell>
        </row>
        <row r="202">
          <cell r="B202">
            <v>-29617725.006442454</v>
          </cell>
        </row>
        <row r="203">
          <cell r="B203">
            <v>-34293749.723051339</v>
          </cell>
        </row>
        <row r="204">
          <cell r="B204">
            <v>-15556675.066940274</v>
          </cell>
        </row>
        <row r="205">
          <cell r="B205">
            <v>8683628.8815102316</v>
          </cell>
        </row>
        <row r="206">
          <cell r="B206">
            <v>-5308906.3888238333</v>
          </cell>
        </row>
        <row r="207">
          <cell r="B207">
            <v>-14725146.581185963</v>
          </cell>
        </row>
        <row r="208">
          <cell r="B208">
            <v>-37000134.595025748</v>
          </cell>
        </row>
        <row r="209">
          <cell r="B209">
            <v>-11982.960818137974</v>
          </cell>
        </row>
        <row r="210">
          <cell r="B210">
            <v>9617785.6068533994</v>
          </cell>
        </row>
        <row r="211">
          <cell r="B211">
            <v>-41849421.454282314</v>
          </cell>
        </row>
        <row r="212">
          <cell r="B212">
            <v>-20515533.216832485</v>
          </cell>
        </row>
        <row r="213">
          <cell r="B213">
            <v>-11568135.61270323</v>
          </cell>
        </row>
        <row r="214">
          <cell r="B214">
            <v>-5246653.6924466752</v>
          </cell>
        </row>
        <row r="215">
          <cell r="B215">
            <v>-11316662.712978806</v>
          </cell>
        </row>
        <row r="216">
          <cell r="B216">
            <v>-4585827.0954939388</v>
          </cell>
        </row>
        <row r="217">
          <cell r="B217">
            <v>-49998979.186377734</v>
          </cell>
        </row>
        <row r="218">
          <cell r="B218">
            <v>-6652123.8744168542</v>
          </cell>
        </row>
        <row r="219">
          <cell r="B219">
            <v>-15882845.831135835</v>
          </cell>
        </row>
        <row r="220">
          <cell r="B220">
            <v>-10357574.382290687</v>
          </cell>
        </row>
        <row r="221">
          <cell r="B221">
            <v>-32328066.155932214</v>
          </cell>
        </row>
        <row r="222">
          <cell r="B222">
            <v>-12464039.54446378</v>
          </cell>
        </row>
        <row r="223">
          <cell r="B223">
            <v>-9870211.6656124257</v>
          </cell>
        </row>
        <row r="224">
          <cell r="B224">
            <v>-36069457.995797068</v>
          </cell>
        </row>
        <row r="225">
          <cell r="B225">
            <v>-5242951.6884408258</v>
          </cell>
        </row>
        <row r="226">
          <cell r="B226">
            <v>-17624684.92093071</v>
          </cell>
        </row>
        <row r="227">
          <cell r="B227">
            <v>-15730715.427573469</v>
          </cell>
        </row>
        <row r="228">
          <cell r="B228">
            <v>-42109408.120071739</v>
          </cell>
        </row>
        <row r="229">
          <cell r="B229">
            <v>-8906846.7210520171</v>
          </cell>
        </row>
        <row r="230">
          <cell r="B230">
            <v>-28606982.261108842</v>
          </cell>
        </row>
        <row r="231">
          <cell r="B231">
            <v>-21807300.011813369</v>
          </cell>
        </row>
        <row r="232">
          <cell r="B232">
            <v>-15926547.827514794</v>
          </cell>
        </row>
        <row r="233">
          <cell r="B233">
            <v>-36480540.752164334</v>
          </cell>
        </row>
        <row r="234">
          <cell r="B234">
            <v>-36203831.010031313</v>
          </cell>
        </row>
        <row r="235">
          <cell r="B235">
            <v>-16821409.19760647</v>
          </cell>
        </row>
        <row r="236">
          <cell r="B236">
            <v>-12114491.977967348</v>
          </cell>
        </row>
        <row r="237">
          <cell r="B237">
            <v>-6017199.5861426257</v>
          </cell>
        </row>
        <row r="238">
          <cell r="B238">
            <v>-11832840.772406902</v>
          </cell>
        </row>
        <row r="239">
          <cell r="B239">
            <v>-24415636.208389606</v>
          </cell>
        </row>
        <row r="240">
          <cell r="B240">
            <v>-31813321.346272316</v>
          </cell>
        </row>
        <row r="241">
          <cell r="B241">
            <v>-31484141.650161114</v>
          </cell>
        </row>
        <row r="242">
          <cell r="B242">
            <v>-7124645.4228619002</v>
          </cell>
        </row>
        <row r="243">
          <cell r="B243">
            <v>-31384679.462332513</v>
          </cell>
        </row>
        <row r="244">
          <cell r="B244">
            <v>-34650184.28811577</v>
          </cell>
        </row>
        <row r="245">
          <cell r="B245">
            <v>-8868202.864781823</v>
          </cell>
        </row>
        <row r="246">
          <cell r="B246">
            <v>-21418170.733191993</v>
          </cell>
        </row>
        <row r="247">
          <cell r="B247">
            <v>-19549335.233442452</v>
          </cell>
        </row>
        <row r="248">
          <cell r="B248">
            <v>-24623732.384938087</v>
          </cell>
        </row>
        <row r="249">
          <cell r="B249">
            <v>-7363842.2508297227</v>
          </cell>
        </row>
        <row r="250">
          <cell r="B250">
            <v>-45737448.062055677</v>
          </cell>
        </row>
        <row r="251">
          <cell r="B251">
            <v>-417099.61526068673</v>
          </cell>
        </row>
        <row r="252">
          <cell r="B252">
            <v>-13392886.70943078</v>
          </cell>
        </row>
        <row r="253">
          <cell r="B253">
            <v>5714653.3899780847</v>
          </cell>
        </row>
        <row r="254">
          <cell r="B254">
            <v>-14474542.685753729</v>
          </cell>
        </row>
        <row r="255">
          <cell r="B255">
            <v>-13274530.123043265</v>
          </cell>
        </row>
        <row r="256">
          <cell r="B256">
            <v>-26395371.19468322</v>
          </cell>
        </row>
        <row r="257">
          <cell r="B257">
            <v>-30895567.419835236</v>
          </cell>
        </row>
        <row r="258">
          <cell r="B258">
            <v>-19384366.357239809</v>
          </cell>
        </row>
        <row r="259">
          <cell r="B259">
            <v>566538.09185180441</v>
          </cell>
        </row>
        <row r="260">
          <cell r="B260">
            <v>-15072171.699745979</v>
          </cell>
        </row>
        <row r="261">
          <cell r="B261">
            <v>-2130816.8374499939</v>
          </cell>
        </row>
        <row r="262">
          <cell r="B262">
            <v>-21480124.907175388</v>
          </cell>
        </row>
        <row r="263">
          <cell r="B263">
            <v>-32947103.832889345</v>
          </cell>
        </row>
        <row r="264">
          <cell r="B264">
            <v>-25485661.328802671</v>
          </cell>
        </row>
        <row r="265">
          <cell r="B265">
            <v>-22311929.265002098</v>
          </cell>
        </row>
        <row r="266">
          <cell r="B266">
            <v>-20090077.332832005</v>
          </cell>
        </row>
        <row r="267">
          <cell r="B267">
            <v>-3342197.2020561956</v>
          </cell>
        </row>
        <row r="268">
          <cell r="B268">
            <v>-13879661.931876626</v>
          </cell>
        </row>
        <row r="269">
          <cell r="B269">
            <v>-3863433.1434642933</v>
          </cell>
        </row>
        <row r="270">
          <cell r="B270">
            <v>-50483038.025924951</v>
          </cell>
        </row>
        <row r="271">
          <cell r="B271">
            <v>-21543437.141250279</v>
          </cell>
        </row>
        <row r="272">
          <cell r="B272">
            <v>-48265700.985754877</v>
          </cell>
        </row>
        <row r="273">
          <cell r="B273">
            <v>-16222902.939170685</v>
          </cell>
        </row>
        <row r="274">
          <cell r="B274">
            <v>-30396483.119835343</v>
          </cell>
        </row>
        <row r="275">
          <cell r="B275">
            <v>-32300083.115407851</v>
          </cell>
        </row>
        <row r="276">
          <cell r="B276">
            <v>-49312763.55332908</v>
          </cell>
        </row>
        <row r="277">
          <cell r="B277">
            <v>1092130.9275410511</v>
          </cell>
        </row>
        <row r="278">
          <cell r="B278">
            <v>-38976157.309883565</v>
          </cell>
        </row>
        <row r="279">
          <cell r="B279">
            <v>-1335100.9561496042</v>
          </cell>
        </row>
        <row r="280">
          <cell r="B280">
            <v>-6301369.1268682145</v>
          </cell>
        </row>
        <row r="281">
          <cell r="B281">
            <v>-979939.0259093307</v>
          </cell>
        </row>
        <row r="282">
          <cell r="B282">
            <v>-52124501.684455544</v>
          </cell>
        </row>
        <row r="283">
          <cell r="B283">
            <v>6257468.5772409774</v>
          </cell>
        </row>
        <row r="284">
          <cell r="B284">
            <v>-24949580.912249532</v>
          </cell>
        </row>
        <row r="285">
          <cell r="B285">
            <v>-44810588.376427621</v>
          </cell>
        </row>
        <row r="286">
          <cell r="B286">
            <v>-26850676.356302109</v>
          </cell>
        </row>
        <row r="287">
          <cell r="B287">
            <v>-17990036.869896796</v>
          </cell>
        </row>
        <row r="288">
          <cell r="B288">
            <v>-25770869.475576546</v>
          </cell>
        </row>
        <row r="289">
          <cell r="B289">
            <v>-46589866.971598655</v>
          </cell>
        </row>
        <row r="290">
          <cell r="B290">
            <v>-27124435.095012989</v>
          </cell>
        </row>
        <row r="291">
          <cell r="B291">
            <v>-8930599.1427575611</v>
          </cell>
        </row>
        <row r="292">
          <cell r="B292">
            <v>6502385.7426023819</v>
          </cell>
        </row>
        <row r="293">
          <cell r="B293">
            <v>-33175012.836436298</v>
          </cell>
        </row>
        <row r="294">
          <cell r="B294">
            <v>-13185813.30352458</v>
          </cell>
        </row>
        <row r="295">
          <cell r="B295">
            <v>-33999511.155248374</v>
          </cell>
        </row>
        <row r="296">
          <cell r="B296">
            <v>-28908450.261539068</v>
          </cell>
        </row>
        <row r="297">
          <cell r="B297">
            <v>-16029637.925913896</v>
          </cell>
        </row>
        <row r="298">
          <cell r="B298">
            <v>-32134240.912300672</v>
          </cell>
        </row>
        <row r="299">
          <cell r="B299">
            <v>-18033093.648733761</v>
          </cell>
        </row>
        <row r="300">
          <cell r="B300">
            <v>-3672635.3662449978</v>
          </cell>
        </row>
        <row r="301">
          <cell r="B301">
            <v>-3858780.208824899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I5">
            <v>0</v>
          </cell>
        </row>
      </sheetData>
      <sheetData sheetId="53"/>
      <sheetData sheetId="54"/>
      <sheetData sheetId="55"/>
      <sheetData sheetId="56"/>
      <sheetData sheetId="5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SDOMOVS"/>
      <sheetName val="BAHRAIN"/>
      <sheetName val="DOHA QATAR "/>
      <sheetName val="PAKISTAN"/>
      <sheetName val="rate "/>
      <sheetName val="UAE"/>
      <sheetName val="SCRR+CRR"/>
      <sheetName val="N-OUR"/>
      <sheetName val="Investments - PnL"/>
      <sheetName val="Sheet4"/>
    </sheetNames>
    <sheetDataSet>
      <sheetData sheetId="0"/>
      <sheetData sheetId="1"/>
      <sheetData sheetId="2"/>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certification"/>
      <sheetName val="Balance Sheet"/>
      <sheetName val="Income Statement"/>
      <sheetName val="Distribution statement"/>
      <sheetName val="UHF"/>
      <sheetName val="Cash Flow"/>
      <sheetName val="Notes 8-15"/>
      <sheetName val="Notes 1 - 7.1.1"/>
      <sheetName val="Notes 7.1.4 - 5"/>
      <sheetName val="Note 7.1.2-7.1.3.1"/>
      <sheetName val="Notes 16-19"/>
      <sheetName val="Lead"/>
      <sheetName val="Notes 7.1.2-7"/>
      <sheetName val="Notes 7.1.1.1-2"/>
      <sheetName val="Adjust-entry"/>
      <sheetName val="Notes 19.1"/>
      <sheetName val="Note 20-21"/>
      <sheetName val="Note 22-25"/>
      <sheetName val="Notes 27-28"/>
    </sheetNames>
    <sheetDataSet>
      <sheetData sheetId="0"/>
      <sheetData sheetId="1"/>
      <sheetData sheetId="2"/>
      <sheetData sheetId="3"/>
      <sheetData sheetId="4"/>
      <sheetData sheetId="5"/>
      <sheetData sheetId="6"/>
      <sheetData sheetId="7"/>
      <sheetData sheetId="8"/>
      <sheetData sheetId="9"/>
      <sheetData sheetId="10"/>
      <sheetData sheetId="11">
        <row r="2">
          <cell r="D2" t="str">
            <v>June 30, 2008</v>
          </cell>
        </row>
        <row r="4">
          <cell r="D4">
            <v>50</v>
          </cell>
        </row>
        <row r="5">
          <cell r="D5">
            <v>7740</v>
          </cell>
        </row>
        <row r="6">
          <cell r="D6">
            <v>10</v>
          </cell>
        </row>
        <row r="7">
          <cell r="D7">
            <v>50</v>
          </cell>
        </row>
        <row r="8">
          <cell r="D8">
            <v>49</v>
          </cell>
        </row>
        <row r="9">
          <cell r="D9">
            <v>47</v>
          </cell>
        </row>
        <row r="10">
          <cell r="D10">
            <v>3227</v>
          </cell>
        </row>
        <row r="11">
          <cell r="D11">
            <v>55</v>
          </cell>
        </row>
        <row r="12">
          <cell r="D12">
            <v>50</v>
          </cell>
        </row>
        <row r="13">
          <cell r="D13">
            <v>33</v>
          </cell>
        </row>
        <row r="14">
          <cell r="D14">
            <v>52</v>
          </cell>
        </row>
        <row r="15">
          <cell r="D15">
            <v>50</v>
          </cell>
        </row>
        <row r="16">
          <cell r="D16">
            <v>141311</v>
          </cell>
        </row>
        <row r="17">
          <cell r="D17">
            <v>152724</v>
          </cell>
        </row>
        <row r="19">
          <cell r="D19">
            <v>60</v>
          </cell>
        </row>
        <row r="20">
          <cell r="D20">
            <v>60</v>
          </cell>
        </row>
        <row r="22">
          <cell r="D22">
            <v>400000</v>
          </cell>
        </row>
        <row r="23">
          <cell r="D23">
            <v>1170000</v>
          </cell>
        </row>
        <row r="24">
          <cell r="D24">
            <v>0</v>
          </cell>
        </row>
        <row r="25">
          <cell r="D25">
            <v>0</v>
          </cell>
        </row>
        <row r="26">
          <cell r="D26">
            <v>0</v>
          </cell>
        </row>
        <row r="27">
          <cell r="D27">
            <v>0</v>
          </cell>
        </row>
        <row r="28">
          <cell r="D28">
            <v>1570000</v>
          </cell>
        </row>
        <row r="30">
          <cell r="D30">
            <v>267569</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267569</v>
          </cell>
        </row>
        <row r="51">
          <cell r="D51">
            <v>0</v>
          </cell>
        </row>
        <row r="52">
          <cell r="D52">
            <v>0</v>
          </cell>
        </row>
        <row r="53">
          <cell r="D53">
            <v>0</v>
          </cell>
        </row>
        <row r="54">
          <cell r="D54">
            <v>0</v>
          </cell>
        </row>
        <row r="55">
          <cell r="D55">
            <v>0</v>
          </cell>
        </row>
        <row r="56">
          <cell r="D56">
            <v>0</v>
          </cell>
        </row>
        <row r="57">
          <cell r="D57">
            <v>0</v>
          </cell>
        </row>
        <row r="58">
          <cell r="D58">
            <v>0</v>
          </cell>
        </row>
        <row r="59">
          <cell r="D59">
            <v>0</v>
          </cell>
        </row>
        <row r="60">
          <cell r="D60">
            <v>0</v>
          </cell>
        </row>
        <row r="61">
          <cell r="D61">
            <v>0</v>
          </cell>
        </row>
        <row r="62">
          <cell r="D62">
            <v>0</v>
          </cell>
        </row>
        <row r="63">
          <cell r="D63">
            <v>0</v>
          </cell>
        </row>
        <row r="64">
          <cell r="D64">
            <v>0</v>
          </cell>
        </row>
        <row r="65">
          <cell r="D65">
            <v>0</v>
          </cell>
        </row>
        <row r="66">
          <cell r="D66">
            <v>3046</v>
          </cell>
        </row>
        <row r="67">
          <cell r="D67">
            <v>7497</v>
          </cell>
        </row>
        <row r="68">
          <cell r="D68">
            <v>10543</v>
          </cell>
        </row>
        <row r="70">
          <cell r="D70">
            <v>34000</v>
          </cell>
        </row>
        <row r="71">
          <cell r="D71">
            <v>34000</v>
          </cell>
        </row>
        <row r="73">
          <cell r="D73">
            <v>0</v>
          </cell>
        </row>
        <row r="74">
          <cell r="D74">
            <v>0</v>
          </cell>
        </row>
        <row r="76">
          <cell r="D76">
            <v>0</v>
          </cell>
        </row>
        <row r="77">
          <cell r="D77">
            <v>100000</v>
          </cell>
        </row>
        <row r="78">
          <cell r="D78">
            <v>50000</v>
          </cell>
        </row>
        <row r="79">
          <cell r="D79">
            <v>200000</v>
          </cell>
        </row>
        <row r="80">
          <cell r="D80">
            <v>350000</v>
          </cell>
        </row>
        <row r="82">
          <cell r="D82">
            <v>0</v>
          </cell>
        </row>
        <row r="83">
          <cell r="D83">
            <v>0</v>
          </cell>
        </row>
        <row r="84">
          <cell r="D84">
            <v>0</v>
          </cell>
        </row>
        <row r="85">
          <cell r="D85">
            <v>0</v>
          </cell>
        </row>
        <row r="86">
          <cell r="D86">
            <v>0</v>
          </cell>
        </row>
        <row r="87">
          <cell r="D87">
            <v>0</v>
          </cell>
        </row>
        <row r="88">
          <cell r="D88">
            <v>0</v>
          </cell>
        </row>
        <row r="89">
          <cell r="D89">
            <v>0</v>
          </cell>
        </row>
        <row r="90">
          <cell r="D90">
            <v>5072</v>
          </cell>
        </row>
        <row r="91">
          <cell r="D91">
            <v>41152</v>
          </cell>
        </row>
        <row r="92">
          <cell r="D92">
            <v>0</v>
          </cell>
        </row>
        <row r="93">
          <cell r="D93">
            <v>126987</v>
          </cell>
        </row>
        <row r="94">
          <cell r="D94">
            <v>0</v>
          </cell>
        </row>
        <row r="95">
          <cell r="D95">
            <v>0</v>
          </cell>
        </row>
        <row r="96">
          <cell r="D96">
            <v>0</v>
          </cell>
        </row>
        <row r="97">
          <cell r="D97">
            <v>194853</v>
          </cell>
        </row>
        <row r="98">
          <cell r="D98">
            <v>25265</v>
          </cell>
        </row>
        <row r="99">
          <cell r="D99">
            <v>0</v>
          </cell>
        </row>
        <row r="100">
          <cell r="D100">
            <v>47419</v>
          </cell>
        </row>
        <row r="101">
          <cell r="D101">
            <v>0</v>
          </cell>
        </row>
        <row r="102">
          <cell r="D102">
            <v>0</v>
          </cell>
        </row>
        <row r="103">
          <cell r="D103">
            <v>60300</v>
          </cell>
        </row>
        <row r="104">
          <cell r="D104">
            <v>101750</v>
          </cell>
        </row>
        <row r="105">
          <cell r="D105">
            <v>25576</v>
          </cell>
        </row>
        <row r="106">
          <cell r="D106">
            <v>99580</v>
          </cell>
        </row>
        <row r="107">
          <cell r="D107">
            <v>0</v>
          </cell>
        </row>
        <row r="108">
          <cell r="D108">
            <v>35182</v>
          </cell>
        </row>
        <row r="109">
          <cell r="D109">
            <v>0</v>
          </cell>
        </row>
        <row r="110">
          <cell r="D110">
            <v>763136</v>
          </cell>
        </row>
        <row r="112">
          <cell r="D112">
            <v>0</v>
          </cell>
        </row>
        <row r="113">
          <cell r="D113">
            <v>0</v>
          </cell>
        </row>
        <row r="114">
          <cell r="D114">
            <v>0</v>
          </cell>
        </row>
        <row r="115">
          <cell r="D115">
            <v>0</v>
          </cell>
        </row>
        <row r="116">
          <cell r="D116">
            <v>0</v>
          </cell>
        </row>
        <row r="117">
          <cell r="D117">
            <v>0</v>
          </cell>
        </row>
        <row r="118">
          <cell r="D118">
            <v>0</v>
          </cell>
        </row>
        <row r="119">
          <cell r="D119">
            <v>0</v>
          </cell>
        </row>
        <row r="120">
          <cell r="D120">
            <v>0</v>
          </cell>
        </row>
        <row r="121">
          <cell r="D121">
            <v>0</v>
          </cell>
        </row>
        <row r="122">
          <cell r="D122">
            <v>0</v>
          </cell>
        </row>
        <row r="123">
          <cell r="D123">
            <v>0</v>
          </cell>
        </row>
        <row r="124">
          <cell r="D124">
            <v>0</v>
          </cell>
        </row>
        <row r="125">
          <cell r="D125">
            <v>0</v>
          </cell>
        </row>
        <row r="126">
          <cell r="D126">
            <v>0</v>
          </cell>
        </row>
        <row r="127">
          <cell r="D127">
            <v>0</v>
          </cell>
        </row>
        <row r="128">
          <cell r="D128">
            <v>0</v>
          </cell>
        </row>
        <row r="129">
          <cell r="D129">
            <v>0</v>
          </cell>
        </row>
        <row r="130">
          <cell r="D130">
            <v>0</v>
          </cell>
        </row>
        <row r="131">
          <cell r="D131">
            <v>0</v>
          </cell>
        </row>
        <row r="132">
          <cell r="D132">
            <v>0</v>
          </cell>
        </row>
        <row r="133">
          <cell r="D133">
            <v>0</v>
          </cell>
        </row>
        <row r="134">
          <cell r="D134">
            <v>0</v>
          </cell>
        </row>
        <row r="135">
          <cell r="D135">
            <v>0</v>
          </cell>
        </row>
        <row r="136">
          <cell r="D136">
            <v>0</v>
          </cell>
        </row>
        <row r="137">
          <cell r="D137">
            <v>0</v>
          </cell>
        </row>
        <row r="138">
          <cell r="D138">
            <v>0</v>
          </cell>
        </row>
        <row r="139">
          <cell r="D139">
            <v>0</v>
          </cell>
        </row>
        <row r="140">
          <cell r="D140">
            <v>0</v>
          </cell>
        </row>
        <row r="141">
          <cell r="D141">
            <v>0</v>
          </cell>
        </row>
        <row r="142">
          <cell r="D142">
            <v>0</v>
          </cell>
        </row>
        <row r="143">
          <cell r="D143">
            <v>2583</v>
          </cell>
        </row>
        <row r="144">
          <cell r="D144">
            <v>0</v>
          </cell>
        </row>
        <row r="145">
          <cell r="D145">
            <v>0</v>
          </cell>
        </row>
        <row r="146">
          <cell r="D146">
            <v>0</v>
          </cell>
        </row>
        <row r="147">
          <cell r="D147">
            <v>0</v>
          </cell>
        </row>
        <row r="148">
          <cell r="D148">
            <v>0</v>
          </cell>
        </row>
        <row r="149">
          <cell r="D149">
            <v>0</v>
          </cell>
        </row>
        <row r="150">
          <cell r="D150">
            <v>0</v>
          </cell>
        </row>
        <row r="151">
          <cell r="D151">
            <v>0</v>
          </cell>
        </row>
        <row r="152">
          <cell r="D152">
            <v>2583</v>
          </cell>
        </row>
        <row r="154">
          <cell r="D154">
            <v>0</v>
          </cell>
        </row>
        <row r="155">
          <cell r="D155">
            <v>0</v>
          </cell>
        </row>
        <row r="156">
          <cell r="D156">
            <v>0</v>
          </cell>
        </row>
        <row r="158">
          <cell r="D158">
            <v>0</v>
          </cell>
        </row>
        <row r="160">
          <cell r="D160">
            <v>75045</v>
          </cell>
        </row>
        <row r="161">
          <cell r="D161">
            <v>60402</v>
          </cell>
        </row>
        <row r="162">
          <cell r="D162">
            <v>50200</v>
          </cell>
        </row>
        <row r="163">
          <cell r="D163">
            <v>120868</v>
          </cell>
        </row>
        <row r="164">
          <cell r="D164">
            <v>226305</v>
          </cell>
        </row>
        <row r="165">
          <cell r="D165">
            <v>96822</v>
          </cell>
        </row>
        <row r="166">
          <cell r="D166">
            <v>152175</v>
          </cell>
        </row>
        <row r="167">
          <cell r="D167">
            <v>75563</v>
          </cell>
        </row>
        <row r="168">
          <cell r="D168">
            <v>857380</v>
          </cell>
        </row>
        <row r="170">
          <cell r="D170">
            <v>0</v>
          </cell>
        </row>
        <row r="171">
          <cell r="D171">
            <v>0</v>
          </cell>
        </row>
        <row r="172">
          <cell r="D172">
            <v>0</v>
          </cell>
        </row>
        <row r="173">
          <cell r="D173">
            <v>48154</v>
          </cell>
        </row>
        <row r="174">
          <cell r="D174">
            <v>49941</v>
          </cell>
        </row>
        <row r="175">
          <cell r="D175">
            <v>0</v>
          </cell>
        </row>
        <row r="176">
          <cell r="D176">
            <v>0</v>
          </cell>
        </row>
        <row r="177">
          <cell r="D177">
            <v>0</v>
          </cell>
        </row>
        <row r="178">
          <cell r="D178">
            <v>24901</v>
          </cell>
        </row>
        <row r="179">
          <cell r="D179">
            <v>9681</v>
          </cell>
        </row>
        <row r="180">
          <cell r="D180">
            <v>132677</v>
          </cell>
        </row>
        <row r="182">
          <cell r="D182">
            <v>200000</v>
          </cell>
        </row>
        <row r="183">
          <cell r="D183">
            <v>150000</v>
          </cell>
        </row>
        <row r="184">
          <cell r="D184">
            <v>200000</v>
          </cell>
        </row>
        <row r="185">
          <cell r="D185">
            <v>0</v>
          </cell>
        </row>
        <row r="186">
          <cell r="D186">
            <v>200000</v>
          </cell>
        </row>
        <row r="187">
          <cell r="D187">
            <v>750000</v>
          </cell>
        </row>
        <row r="189">
          <cell r="D189">
            <v>207</v>
          </cell>
        </row>
        <row r="190">
          <cell r="D190">
            <v>389</v>
          </cell>
        </row>
        <row r="191">
          <cell r="D191">
            <v>0</v>
          </cell>
        </row>
        <row r="192">
          <cell r="D192">
            <v>0</v>
          </cell>
        </row>
        <row r="193">
          <cell r="D193">
            <v>2</v>
          </cell>
        </row>
        <row r="194">
          <cell r="D194">
            <v>0</v>
          </cell>
        </row>
        <row r="195">
          <cell r="D195">
            <v>0</v>
          </cell>
        </row>
        <row r="196">
          <cell r="D196">
            <v>0</v>
          </cell>
        </row>
        <row r="197">
          <cell r="D197">
            <v>126</v>
          </cell>
        </row>
        <row r="198">
          <cell r="D198">
            <v>41077</v>
          </cell>
        </row>
        <row r="199">
          <cell r="D199">
            <v>16</v>
          </cell>
        </row>
        <row r="200">
          <cell r="D200">
            <v>0</v>
          </cell>
        </row>
        <row r="201">
          <cell r="D201">
            <v>0</v>
          </cell>
        </row>
        <row r="202">
          <cell r="D202">
            <v>0</v>
          </cell>
        </row>
        <row r="203">
          <cell r="D203">
            <v>0</v>
          </cell>
        </row>
        <row r="204">
          <cell r="D204">
            <v>41817</v>
          </cell>
        </row>
        <row r="206">
          <cell r="D206">
            <v>138</v>
          </cell>
        </row>
        <row r="207">
          <cell r="D207">
            <v>138</v>
          </cell>
        </row>
        <row r="209">
          <cell r="D209">
            <v>0</v>
          </cell>
        </row>
        <row r="210">
          <cell r="D210">
            <v>0</v>
          </cell>
        </row>
        <row r="211">
          <cell r="D211">
            <v>110</v>
          </cell>
        </row>
        <row r="212">
          <cell r="D212">
            <v>0</v>
          </cell>
        </row>
        <row r="213">
          <cell r="D213">
            <v>0</v>
          </cell>
        </row>
        <row r="214">
          <cell r="D214">
            <v>0</v>
          </cell>
        </row>
        <row r="215">
          <cell r="D215">
            <v>0</v>
          </cell>
        </row>
        <row r="216">
          <cell r="D216">
            <v>0</v>
          </cell>
        </row>
        <row r="217">
          <cell r="D217">
            <v>0</v>
          </cell>
        </row>
        <row r="218">
          <cell r="D218">
            <v>0</v>
          </cell>
        </row>
        <row r="219">
          <cell r="D219">
            <v>0</v>
          </cell>
        </row>
        <row r="220">
          <cell r="D220">
            <v>0</v>
          </cell>
        </row>
        <row r="221">
          <cell r="D221">
            <v>0</v>
          </cell>
        </row>
        <row r="222">
          <cell r="D222">
            <v>0</v>
          </cell>
        </row>
        <row r="223">
          <cell r="D223">
            <v>0</v>
          </cell>
        </row>
        <row r="224">
          <cell r="D224">
            <v>0</v>
          </cell>
        </row>
        <row r="225">
          <cell r="D225">
            <v>110</v>
          </cell>
        </row>
        <row r="227">
          <cell r="D227">
            <v>3462</v>
          </cell>
        </row>
        <row r="228">
          <cell r="D228">
            <v>87</v>
          </cell>
        </row>
        <row r="229">
          <cell r="D229">
            <v>0</v>
          </cell>
        </row>
        <row r="230">
          <cell r="D230">
            <v>3549</v>
          </cell>
        </row>
        <row r="232">
          <cell r="D232">
            <v>0</v>
          </cell>
        </row>
        <row r="233">
          <cell r="D233">
            <v>0</v>
          </cell>
        </row>
        <row r="234">
          <cell r="D234">
            <v>0</v>
          </cell>
        </row>
        <row r="235">
          <cell r="D235">
            <v>0</v>
          </cell>
        </row>
        <row r="236">
          <cell r="D236">
            <v>0</v>
          </cell>
        </row>
        <row r="237">
          <cell r="D237">
            <v>0</v>
          </cell>
        </row>
        <row r="238">
          <cell r="D238">
            <v>0</v>
          </cell>
        </row>
        <row r="239">
          <cell r="D239">
            <v>0</v>
          </cell>
        </row>
        <row r="240">
          <cell r="D240">
            <v>74</v>
          </cell>
        </row>
        <row r="241">
          <cell r="D241">
            <v>1475</v>
          </cell>
        </row>
        <row r="242">
          <cell r="D242">
            <v>0</v>
          </cell>
        </row>
        <row r="243">
          <cell r="D243">
            <v>1933</v>
          </cell>
        </row>
        <row r="244">
          <cell r="D244">
            <v>0</v>
          </cell>
        </row>
        <row r="245">
          <cell r="D245">
            <v>0</v>
          </cell>
        </row>
        <row r="246">
          <cell r="D246">
            <v>0</v>
          </cell>
        </row>
        <row r="247">
          <cell r="D247">
            <v>2496</v>
          </cell>
        </row>
        <row r="248">
          <cell r="D248">
            <v>1430</v>
          </cell>
        </row>
        <row r="249">
          <cell r="D249">
            <v>0</v>
          </cell>
        </row>
        <row r="250">
          <cell r="D250">
            <v>1897</v>
          </cell>
        </row>
        <row r="251">
          <cell r="D251">
            <v>0</v>
          </cell>
        </row>
        <row r="252">
          <cell r="D252">
            <v>0</v>
          </cell>
        </row>
        <row r="253">
          <cell r="D253">
            <v>970</v>
          </cell>
        </row>
        <row r="254">
          <cell r="D254">
            <v>908</v>
          </cell>
        </row>
        <row r="255">
          <cell r="D255">
            <v>2895</v>
          </cell>
        </row>
        <row r="256">
          <cell r="D256">
            <v>0</v>
          </cell>
        </row>
        <row r="257">
          <cell r="D257">
            <v>511</v>
          </cell>
        </row>
        <row r="258">
          <cell r="D258">
            <v>3466</v>
          </cell>
        </row>
        <row r="259">
          <cell r="D259">
            <v>268</v>
          </cell>
        </row>
        <row r="260">
          <cell r="D260">
            <v>18323</v>
          </cell>
        </row>
        <row r="262">
          <cell r="D262">
            <v>1594</v>
          </cell>
        </row>
        <row r="263">
          <cell r="D263">
            <v>2005</v>
          </cell>
        </row>
        <row r="264">
          <cell r="D264">
            <v>0</v>
          </cell>
        </row>
        <row r="265">
          <cell r="D265">
            <v>3768</v>
          </cell>
        </row>
        <row r="266">
          <cell r="D266">
            <v>8952</v>
          </cell>
        </row>
        <row r="267">
          <cell r="D267">
            <v>0</v>
          </cell>
        </row>
        <row r="268">
          <cell r="D268">
            <v>0</v>
          </cell>
        </row>
        <row r="269">
          <cell r="D269">
            <v>0</v>
          </cell>
        </row>
        <row r="270">
          <cell r="D270">
            <v>0</v>
          </cell>
        </row>
        <row r="271">
          <cell r="D271">
            <v>0</v>
          </cell>
        </row>
        <row r="272">
          <cell r="D272">
            <v>0</v>
          </cell>
        </row>
        <row r="273">
          <cell r="D273">
            <v>0</v>
          </cell>
        </row>
        <row r="274">
          <cell r="D274">
            <v>917</v>
          </cell>
        </row>
        <row r="275">
          <cell r="D275">
            <v>0</v>
          </cell>
        </row>
        <row r="276">
          <cell r="D276">
            <v>17236</v>
          </cell>
        </row>
        <row r="278">
          <cell r="D278">
            <v>957</v>
          </cell>
        </row>
        <row r="279">
          <cell r="D279">
            <v>1356</v>
          </cell>
        </row>
        <row r="280">
          <cell r="D280">
            <v>1734</v>
          </cell>
        </row>
        <row r="281">
          <cell r="D281">
            <v>3496</v>
          </cell>
        </row>
        <row r="282">
          <cell r="D282">
            <v>2296</v>
          </cell>
        </row>
        <row r="283">
          <cell r="D283">
            <v>435</v>
          </cell>
        </row>
        <row r="284">
          <cell r="D284">
            <v>9375</v>
          </cell>
        </row>
        <row r="285">
          <cell r="D285">
            <v>8786</v>
          </cell>
        </row>
        <row r="286">
          <cell r="D286">
            <v>327</v>
          </cell>
        </row>
        <row r="287">
          <cell r="D287">
            <v>28762</v>
          </cell>
        </row>
        <row r="289">
          <cell r="D289">
            <v>0</v>
          </cell>
        </row>
        <row r="290">
          <cell r="D290">
            <v>0</v>
          </cell>
        </row>
        <row r="292">
          <cell r="D292">
            <v>100</v>
          </cell>
        </row>
        <row r="293">
          <cell r="D293">
            <v>100</v>
          </cell>
        </row>
        <row r="295">
          <cell r="D295">
            <v>3500</v>
          </cell>
        </row>
        <row r="296">
          <cell r="D296">
            <v>3500</v>
          </cell>
        </row>
        <row r="298">
          <cell r="D298">
            <v>0</v>
          </cell>
        </row>
        <row r="299">
          <cell r="D299">
            <v>0</v>
          </cell>
        </row>
        <row r="301">
          <cell r="D301">
            <v>0</v>
          </cell>
        </row>
        <row r="302">
          <cell r="D302">
            <v>0</v>
          </cell>
        </row>
        <row r="303">
          <cell r="D303">
            <v>0</v>
          </cell>
        </row>
        <row r="304">
          <cell r="D304">
            <v>0</v>
          </cell>
        </row>
        <row r="305">
          <cell r="D305">
            <v>0</v>
          </cell>
        </row>
        <row r="306">
          <cell r="D306">
            <v>0</v>
          </cell>
        </row>
        <row r="307">
          <cell r="D307">
            <v>828</v>
          </cell>
        </row>
        <row r="308">
          <cell r="D308">
            <v>248</v>
          </cell>
        </row>
        <row r="309">
          <cell r="D309">
            <v>1076</v>
          </cell>
        </row>
        <row r="311">
          <cell r="D311">
            <v>1008</v>
          </cell>
        </row>
        <row r="312">
          <cell r="D312">
            <v>1008</v>
          </cell>
        </row>
        <row r="314">
          <cell r="D314">
            <v>-34495</v>
          </cell>
        </row>
        <row r="315">
          <cell r="D315">
            <v>0</v>
          </cell>
        </row>
        <row r="316">
          <cell r="D316">
            <v>0</v>
          </cell>
        </row>
        <row r="317">
          <cell r="D317">
            <v>0</v>
          </cell>
        </row>
        <row r="318">
          <cell r="D318">
            <v>0</v>
          </cell>
        </row>
        <row r="319">
          <cell r="D319">
            <v>0</v>
          </cell>
        </row>
        <row r="320">
          <cell r="D320">
            <v>0</v>
          </cell>
        </row>
        <row r="321">
          <cell r="D321">
            <v>0</v>
          </cell>
        </row>
        <row r="322">
          <cell r="D322">
            <v>0</v>
          </cell>
        </row>
        <row r="323">
          <cell r="D323">
            <v>0</v>
          </cell>
        </row>
        <row r="324">
          <cell r="D324">
            <v>0</v>
          </cell>
        </row>
        <row r="325">
          <cell r="D325">
            <v>0</v>
          </cell>
        </row>
        <row r="326">
          <cell r="D326">
            <v>0</v>
          </cell>
        </row>
        <row r="327">
          <cell r="D327">
            <v>0</v>
          </cell>
        </row>
        <row r="328">
          <cell r="D328">
            <v>0</v>
          </cell>
        </row>
        <row r="329">
          <cell r="D329">
            <v>0</v>
          </cell>
        </row>
        <row r="330">
          <cell r="D330">
            <v>0</v>
          </cell>
        </row>
        <row r="331">
          <cell r="D331">
            <v>0</v>
          </cell>
        </row>
        <row r="332">
          <cell r="D332">
            <v>-34495</v>
          </cell>
        </row>
        <row r="334">
          <cell r="D334">
            <v>-4633</v>
          </cell>
        </row>
        <row r="335">
          <cell r="D335">
            <v>-4633</v>
          </cell>
        </row>
        <row r="337">
          <cell r="D337">
            <v>-55</v>
          </cell>
        </row>
        <row r="338">
          <cell r="D338">
            <v>0</v>
          </cell>
        </row>
        <row r="339">
          <cell r="D339">
            <v>-55</v>
          </cell>
        </row>
        <row r="341">
          <cell r="D341">
            <v>-443</v>
          </cell>
        </row>
        <row r="342">
          <cell r="D342">
            <v>-443</v>
          </cell>
        </row>
        <row r="344">
          <cell r="D344">
            <v>-25</v>
          </cell>
        </row>
        <row r="345">
          <cell r="D345">
            <v>-25</v>
          </cell>
        </row>
        <row r="347">
          <cell r="D347">
            <v>-5771</v>
          </cell>
        </row>
        <row r="348">
          <cell r="D348">
            <v>-5771</v>
          </cell>
        </row>
        <row r="350">
          <cell r="D350">
            <v>15</v>
          </cell>
        </row>
        <row r="351">
          <cell r="D351">
            <v>15</v>
          </cell>
        </row>
        <row r="353">
          <cell r="D353">
            <v>-175</v>
          </cell>
        </row>
        <row r="354">
          <cell r="D354">
            <v>0</v>
          </cell>
        </row>
        <row r="355">
          <cell r="D355">
            <v>-175</v>
          </cell>
        </row>
        <row r="357">
          <cell r="D357">
            <v>0</v>
          </cell>
        </row>
        <row r="359">
          <cell r="D359">
            <v>0</v>
          </cell>
        </row>
        <row r="360">
          <cell r="D360">
            <v>0</v>
          </cell>
        </row>
        <row r="362">
          <cell r="D362">
            <v>0</v>
          </cell>
        </row>
        <row r="363">
          <cell r="D363">
            <v>0</v>
          </cell>
        </row>
        <row r="364">
          <cell r="D364">
            <v>0</v>
          </cell>
        </row>
        <row r="365">
          <cell r="D365">
            <v>0</v>
          </cell>
        </row>
        <row r="366">
          <cell r="D366">
            <v>0</v>
          </cell>
        </row>
        <row r="367">
          <cell r="D367">
            <v>0</v>
          </cell>
        </row>
        <row r="368">
          <cell r="D368">
            <v>0</v>
          </cell>
        </row>
        <row r="369">
          <cell r="D369">
            <v>0</v>
          </cell>
        </row>
        <row r="370">
          <cell r="D370">
            <v>0</v>
          </cell>
        </row>
        <row r="371">
          <cell r="D371">
            <v>0</v>
          </cell>
        </row>
        <row r="372">
          <cell r="D372">
            <v>0</v>
          </cell>
        </row>
        <row r="373">
          <cell r="D373">
            <v>0</v>
          </cell>
        </row>
        <row r="374">
          <cell r="D374">
            <v>0</v>
          </cell>
        </row>
        <row r="375">
          <cell r="D375">
            <v>0</v>
          </cell>
        </row>
        <row r="376">
          <cell r="D376">
            <v>0</v>
          </cell>
        </row>
        <row r="377">
          <cell r="D377">
            <v>0</v>
          </cell>
        </row>
        <row r="378">
          <cell r="D378">
            <v>0</v>
          </cell>
        </row>
        <row r="379">
          <cell r="D379">
            <v>0</v>
          </cell>
        </row>
        <row r="380">
          <cell r="D380">
            <v>0</v>
          </cell>
        </row>
        <row r="381">
          <cell r="D381">
            <v>0</v>
          </cell>
        </row>
        <row r="382">
          <cell r="D382">
            <v>0</v>
          </cell>
        </row>
        <row r="383">
          <cell r="D383">
            <v>0</v>
          </cell>
        </row>
        <row r="384">
          <cell r="D384">
            <v>0</v>
          </cell>
        </row>
        <row r="385">
          <cell r="D385">
            <v>-3</v>
          </cell>
        </row>
        <row r="386">
          <cell r="D386">
            <v>0</v>
          </cell>
        </row>
        <row r="387">
          <cell r="D387">
            <v>-174</v>
          </cell>
        </row>
        <row r="388">
          <cell r="D388">
            <v>0</v>
          </cell>
        </row>
        <row r="389">
          <cell r="D389">
            <v>0</v>
          </cell>
        </row>
        <row r="390">
          <cell r="D390">
            <v>0</v>
          </cell>
        </row>
        <row r="391">
          <cell r="D391">
            <v>0</v>
          </cell>
        </row>
        <row r="392">
          <cell r="D392">
            <v>0</v>
          </cell>
        </row>
        <row r="393">
          <cell r="D393">
            <v>0</v>
          </cell>
        </row>
        <row r="394">
          <cell r="D394">
            <v>-7</v>
          </cell>
        </row>
        <row r="395">
          <cell r="D395">
            <v>0</v>
          </cell>
        </row>
        <row r="396">
          <cell r="D396">
            <v>0</v>
          </cell>
        </row>
        <row r="397">
          <cell r="D397">
            <v>0</v>
          </cell>
        </row>
        <row r="398">
          <cell r="D398">
            <v>0</v>
          </cell>
        </row>
        <row r="399">
          <cell r="D399">
            <v>0</v>
          </cell>
        </row>
        <row r="400">
          <cell r="D400">
            <v>0</v>
          </cell>
        </row>
        <row r="401">
          <cell r="D401">
            <v>0</v>
          </cell>
        </row>
        <row r="402">
          <cell r="D402">
            <v>0</v>
          </cell>
        </row>
        <row r="403">
          <cell r="D403">
            <v>0</v>
          </cell>
        </row>
        <row r="404">
          <cell r="D404">
            <v>0</v>
          </cell>
        </row>
        <row r="405">
          <cell r="D405">
            <v>0</v>
          </cell>
        </row>
        <row r="406">
          <cell r="D406">
            <v>0</v>
          </cell>
        </row>
        <row r="407">
          <cell r="D407">
            <v>0</v>
          </cell>
        </row>
        <row r="408">
          <cell r="D408">
            <v>0</v>
          </cell>
        </row>
        <row r="409">
          <cell r="D409">
            <v>0</v>
          </cell>
        </row>
        <row r="410">
          <cell r="D410">
            <v>0</v>
          </cell>
        </row>
        <row r="411">
          <cell r="D411">
            <v>0</v>
          </cell>
        </row>
        <row r="412">
          <cell r="D412">
            <v>0</v>
          </cell>
        </row>
        <row r="413">
          <cell r="D413">
            <v>0</v>
          </cell>
        </row>
        <row r="414">
          <cell r="D414">
            <v>0</v>
          </cell>
        </row>
        <row r="415">
          <cell r="D415">
            <v>0</v>
          </cell>
        </row>
        <row r="416">
          <cell r="D416">
            <v>0</v>
          </cell>
        </row>
        <row r="417">
          <cell r="D417">
            <v>0</v>
          </cell>
        </row>
        <row r="418">
          <cell r="D418">
            <v>0</v>
          </cell>
        </row>
        <row r="419">
          <cell r="D419">
            <v>0</v>
          </cell>
        </row>
        <row r="420">
          <cell r="D420">
            <v>0</v>
          </cell>
        </row>
        <row r="421">
          <cell r="D421">
            <v>0</v>
          </cell>
        </row>
        <row r="422">
          <cell r="D422">
            <v>0</v>
          </cell>
        </row>
        <row r="423">
          <cell r="D423">
            <v>0</v>
          </cell>
        </row>
        <row r="424">
          <cell r="D424">
            <v>0</v>
          </cell>
        </row>
        <row r="425">
          <cell r="D425">
            <v>0</v>
          </cell>
        </row>
        <row r="426">
          <cell r="D426">
            <v>0</v>
          </cell>
        </row>
        <row r="427">
          <cell r="D427">
            <v>0</v>
          </cell>
        </row>
        <row r="428">
          <cell r="D428">
            <v>0</v>
          </cell>
        </row>
        <row r="429">
          <cell r="D429">
            <v>0</v>
          </cell>
        </row>
        <row r="430">
          <cell r="D430">
            <v>0</v>
          </cell>
        </row>
        <row r="431">
          <cell r="D431">
            <v>0</v>
          </cell>
        </row>
        <row r="432">
          <cell r="D432">
            <v>0</v>
          </cell>
        </row>
        <row r="433">
          <cell r="D433">
            <v>0</v>
          </cell>
        </row>
        <row r="434">
          <cell r="D434">
            <v>0</v>
          </cell>
        </row>
        <row r="435">
          <cell r="D435">
            <v>0</v>
          </cell>
        </row>
        <row r="436">
          <cell r="D436">
            <v>0</v>
          </cell>
        </row>
        <row r="437">
          <cell r="D437">
            <v>-184</v>
          </cell>
        </row>
        <row r="439">
          <cell r="D439">
            <v>-75</v>
          </cell>
        </row>
        <row r="440">
          <cell r="D440">
            <v>-54989</v>
          </cell>
        </row>
        <row r="441">
          <cell r="D441">
            <v>0</v>
          </cell>
        </row>
        <row r="442">
          <cell r="D442">
            <v>-11</v>
          </cell>
        </row>
        <row r="443">
          <cell r="D443">
            <v>-98</v>
          </cell>
        </row>
        <row r="444">
          <cell r="D444">
            <v>-69</v>
          </cell>
        </row>
        <row r="445">
          <cell r="D445">
            <v>-19</v>
          </cell>
        </row>
        <row r="446">
          <cell r="D446">
            <v>-2283</v>
          </cell>
        </row>
        <row r="447">
          <cell r="D447">
            <v>0</v>
          </cell>
        </row>
        <row r="448">
          <cell r="D448">
            <v>-57</v>
          </cell>
        </row>
        <row r="449">
          <cell r="D449">
            <v>0</v>
          </cell>
        </row>
        <row r="450">
          <cell r="D450">
            <v>0</v>
          </cell>
        </row>
        <row r="451">
          <cell r="D451">
            <v>-57601</v>
          </cell>
        </row>
        <row r="453">
          <cell r="D453">
            <v>-4537717</v>
          </cell>
        </row>
        <row r="454">
          <cell r="D454">
            <v>-20436</v>
          </cell>
        </row>
        <row r="455">
          <cell r="D455">
            <v>213282</v>
          </cell>
        </row>
        <row r="456">
          <cell r="D456">
            <v>-4254</v>
          </cell>
        </row>
        <row r="457">
          <cell r="D457">
            <v>-4349125</v>
          </cell>
        </row>
        <row r="459">
          <cell r="D459">
            <v>-4343</v>
          </cell>
        </row>
        <row r="460">
          <cell r="D460">
            <v>0</v>
          </cell>
        </row>
        <row r="461">
          <cell r="D461">
            <v>-134</v>
          </cell>
        </row>
        <row r="462">
          <cell r="D462">
            <v>-51533</v>
          </cell>
        </row>
        <row r="463">
          <cell r="D463">
            <v>-3060</v>
          </cell>
        </row>
        <row r="464">
          <cell r="D464">
            <v>0</v>
          </cell>
        </row>
        <row r="465">
          <cell r="D465">
            <v>-45</v>
          </cell>
        </row>
        <row r="466">
          <cell r="D466">
            <v>-194</v>
          </cell>
        </row>
        <row r="467">
          <cell r="D467">
            <v>-261</v>
          </cell>
        </row>
        <row r="468">
          <cell r="D468">
            <v>-1302</v>
          </cell>
        </row>
        <row r="469">
          <cell r="D469">
            <v>-60872</v>
          </cell>
        </row>
        <row r="471">
          <cell r="D471">
            <v>0</v>
          </cell>
        </row>
        <row r="472">
          <cell r="D472">
            <v>-4</v>
          </cell>
        </row>
        <row r="473">
          <cell r="D473">
            <v>-1</v>
          </cell>
        </row>
        <row r="474">
          <cell r="D474">
            <v>0</v>
          </cell>
        </row>
        <row r="475">
          <cell r="D475">
            <v>0</v>
          </cell>
        </row>
        <row r="476">
          <cell r="D476">
            <v>-83</v>
          </cell>
        </row>
        <row r="477">
          <cell r="D477">
            <v>0</v>
          </cell>
        </row>
        <row r="478">
          <cell r="D478">
            <v>-3146</v>
          </cell>
        </row>
        <row r="479">
          <cell r="D479">
            <v>0</v>
          </cell>
        </row>
        <row r="480">
          <cell r="D480">
            <v>-7926</v>
          </cell>
        </row>
        <row r="481">
          <cell r="D481">
            <v>-962</v>
          </cell>
        </row>
        <row r="482">
          <cell r="D482">
            <v>-1</v>
          </cell>
        </row>
        <row r="483">
          <cell r="D483">
            <v>0</v>
          </cell>
        </row>
        <row r="484">
          <cell r="D484">
            <v>0</v>
          </cell>
        </row>
        <row r="485">
          <cell r="D485">
            <v>0</v>
          </cell>
        </row>
        <row r="486">
          <cell r="D486">
            <v>0</v>
          </cell>
        </row>
        <row r="487">
          <cell r="D487">
            <v>-95</v>
          </cell>
        </row>
        <row r="488">
          <cell r="D488">
            <v>0</v>
          </cell>
        </row>
        <row r="489">
          <cell r="D489">
            <v>-1694</v>
          </cell>
        </row>
        <row r="490">
          <cell r="D490">
            <v>-10</v>
          </cell>
        </row>
        <row r="491">
          <cell r="D491">
            <v>-940</v>
          </cell>
        </row>
        <row r="492">
          <cell r="D492">
            <v>0</v>
          </cell>
        </row>
        <row r="493">
          <cell r="D493">
            <v>-549</v>
          </cell>
        </row>
        <row r="494">
          <cell r="D494">
            <v>0</v>
          </cell>
        </row>
        <row r="495">
          <cell r="D495">
            <v>0</v>
          </cell>
        </row>
        <row r="496">
          <cell r="D496">
            <v>-12</v>
          </cell>
        </row>
        <row r="497">
          <cell r="D497">
            <v>-2317</v>
          </cell>
        </row>
        <row r="498">
          <cell r="D498">
            <v>-3341</v>
          </cell>
        </row>
        <row r="499">
          <cell r="D499">
            <v>-91</v>
          </cell>
        </row>
        <row r="500">
          <cell r="D500">
            <v>-13</v>
          </cell>
        </row>
        <row r="501">
          <cell r="D501">
            <v>-5758</v>
          </cell>
        </row>
        <row r="502">
          <cell r="D502">
            <v>-7531</v>
          </cell>
        </row>
        <row r="503">
          <cell r="D503">
            <v>-5375</v>
          </cell>
        </row>
        <row r="504">
          <cell r="D504">
            <v>-2083</v>
          </cell>
        </row>
        <row r="505">
          <cell r="D505">
            <v>-59</v>
          </cell>
        </row>
        <row r="506">
          <cell r="D506">
            <v>-136</v>
          </cell>
        </row>
        <row r="507">
          <cell r="D507">
            <v>0</v>
          </cell>
        </row>
        <row r="508">
          <cell r="D508">
            <v>-3451</v>
          </cell>
        </row>
        <row r="509">
          <cell r="D509">
            <v>0</v>
          </cell>
        </row>
        <row r="510">
          <cell r="D510">
            <v>0</v>
          </cell>
        </row>
        <row r="511">
          <cell r="D511">
            <v>0</v>
          </cell>
        </row>
        <row r="512">
          <cell r="D512">
            <v>0</v>
          </cell>
        </row>
        <row r="513">
          <cell r="D513">
            <v>-45578</v>
          </cell>
        </row>
        <row r="515">
          <cell r="D515">
            <v>-4558</v>
          </cell>
        </row>
        <row r="516">
          <cell r="D516">
            <v>-114041</v>
          </cell>
        </row>
        <row r="517">
          <cell r="D517">
            <v>-35398</v>
          </cell>
        </row>
        <row r="518">
          <cell r="D518">
            <v>-17988</v>
          </cell>
        </row>
        <row r="519">
          <cell r="D519">
            <v>-168</v>
          </cell>
        </row>
        <row r="520">
          <cell r="D520">
            <v>-111</v>
          </cell>
        </row>
        <row r="521">
          <cell r="D521">
            <v>-1223</v>
          </cell>
        </row>
        <row r="522">
          <cell r="D522">
            <v>-359</v>
          </cell>
        </row>
        <row r="523">
          <cell r="D523">
            <v>-10830</v>
          </cell>
        </row>
        <row r="524">
          <cell r="D524">
            <v>-1685</v>
          </cell>
        </row>
        <row r="525">
          <cell r="D525">
            <v>-187</v>
          </cell>
        </row>
        <row r="526">
          <cell r="D526">
            <v>-33</v>
          </cell>
        </row>
        <row r="527">
          <cell r="D527">
            <v>-186581</v>
          </cell>
        </row>
        <row r="529">
          <cell r="D529">
            <v>0</v>
          </cell>
        </row>
        <row r="530">
          <cell r="D530">
            <v>-18204</v>
          </cell>
        </row>
        <row r="531">
          <cell r="D531">
            <v>-23853</v>
          </cell>
        </row>
        <row r="532">
          <cell r="D532">
            <v>-1405</v>
          </cell>
        </row>
        <row r="533">
          <cell r="D533">
            <v>-20953</v>
          </cell>
        </row>
        <row r="534">
          <cell r="D534">
            <v>-20704</v>
          </cell>
        </row>
        <row r="535">
          <cell r="D535">
            <v>-85119</v>
          </cell>
        </row>
        <row r="537">
          <cell r="D537">
            <v>0</v>
          </cell>
        </row>
        <row r="538">
          <cell r="D538">
            <v>-353</v>
          </cell>
        </row>
        <row r="539">
          <cell r="D539">
            <v>-6</v>
          </cell>
        </row>
        <row r="540">
          <cell r="D540">
            <v>-273</v>
          </cell>
        </row>
        <row r="541">
          <cell r="D541">
            <v>-434</v>
          </cell>
        </row>
        <row r="542">
          <cell r="D542">
            <v>0</v>
          </cell>
        </row>
        <row r="543">
          <cell r="D543">
            <v>-273</v>
          </cell>
        </row>
        <row r="544">
          <cell r="D544">
            <v>-151</v>
          </cell>
        </row>
        <row r="545">
          <cell r="D545">
            <v>0</v>
          </cell>
        </row>
        <row r="546">
          <cell r="D546">
            <v>-2494</v>
          </cell>
        </row>
        <row r="547">
          <cell r="D547">
            <v>-656</v>
          </cell>
        </row>
        <row r="548">
          <cell r="D548">
            <v>-5017</v>
          </cell>
        </row>
        <row r="549">
          <cell r="D549">
            <v>0</v>
          </cell>
        </row>
        <row r="550">
          <cell r="D550">
            <v>-4744</v>
          </cell>
        </row>
        <row r="551">
          <cell r="D551">
            <v>-1248</v>
          </cell>
        </row>
        <row r="552">
          <cell r="D552">
            <v>-15356</v>
          </cell>
        </row>
        <row r="553">
          <cell r="D553">
            <v>-2842</v>
          </cell>
        </row>
        <row r="554">
          <cell r="D554">
            <v>-12851</v>
          </cell>
        </row>
        <row r="555">
          <cell r="D555">
            <v>-480</v>
          </cell>
        </row>
        <row r="556">
          <cell r="D556">
            <v>-24729</v>
          </cell>
        </row>
        <row r="557">
          <cell r="D557">
            <v>-2843</v>
          </cell>
        </row>
        <row r="558">
          <cell r="D558">
            <v>-9341</v>
          </cell>
        </row>
        <row r="559">
          <cell r="D559">
            <v>-10179</v>
          </cell>
        </row>
        <row r="560">
          <cell r="D560">
            <v>-5447</v>
          </cell>
        </row>
        <row r="561">
          <cell r="D561">
            <v>-1320</v>
          </cell>
        </row>
        <row r="562">
          <cell r="D562">
            <v>-6058</v>
          </cell>
        </row>
        <row r="563">
          <cell r="D563">
            <v>-8834</v>
          </cell>
        </row>
        <row r="564">
          <cell r="D564">
            <v>-2311</v>
          </cell>
        </row>
        <row r="565">
          <cell r="D565">
            <v>-7678</v>
          </cell>
        </row>
        <row r="566">
          <cell r="D566">
            <v>-1973</v>
          </cell>
        </row>
        <row r="567">
          <cell r="D567">
            <v>-1440</v>
          </cell>
        </row>
        <row r="568">
          <cell r="D568">
            <v>-2528</v>
          </cell>
        </row>
        <row r="569">
          <cell r="D569">
            <v>0</v>
          </cell>
        </row>
        <row r="570">
          <cell r="D570">
            <v>-114</v>
          </cell>
        </row>
        <row r="571">
          <cell r="D571">
            <v>-131973</v>
          </cell>
        </row>
        <row r="573">
          <cell r="D573">
            <v>-1723</v>
          </cell>
        </row>
        <row r="574">
          <cell r="D574">
            <v>-85</v>
          </cell>
        </row>
        <row r="575">
          <cell r="D575">
            <v>-1808</v>
          </cell>
        </row>
        <row r="577">
          <cell r="D577">
            <v>-9219</v>
          </cell>
        </row>
        <row r="578">
          <cell r="D578">
            <v>-6923</v>
          </cell>
        </row>
        <row r="579">
          <cell r="D579">
            <v>-4596</v>
          </cell>
        </row>
        <row r="580">
          <cell r="D580">
            <v>-5707</v>
          </cell>
        </row>
        <row r="581">
          <cell r="D581">
            <v>-14196</v>
          </cell>
        </row>
        <row r="582">
          <cell r="D582">
            <v>-6531</v>
          </cell>
        </row>
        <row r="583">
          <cell r="D583">
            <v>-9375</v>
          </cell>
        </row>
        <row r="584">
          <cell r="D584">
            <v>-327</v>
          </cell>
        </row>
        <row r="585">
          <cell r="D585">
            <v>-56874</v>
          </cell>
        </row>
        <row r="587">
          <cell r="D587">
            <v>-1035</v>
          </cell>
        </row>
        <row r="588">
          <cell r="D588">
            <v>-3933</v>
          </cell>
        </row>
        <row r="589">
          <cell r="D589">
            <v>-2140</v>
          </cell>
        </row>
        <row r="590">
          <cell r="D590">
            <v>-5849</v>
          </cell>
        </row>
        <row r="591">
          <cell r="D591">
            <v>-3504</v>
          </cell>
        </row>
        <row r="592">
          <cell r="D592">
            <v>-252</v>
          </cell>
        </row>
        <row r="593">
          <cell r="D593">
            <v>-3275</v>
          </cell>
        </row>
        <row r="594">
          <cell r="D594">
            <v>-2499</v>
          </cell>
        </row>
        <row r="595">
          <cell r="D595">
            <v>-1139</v>
          </cell>
        </row>
        <row r="596">
          <cell r="D596">
            <v>-180</v>
          </cell>
        </row>
        <row r="597">
          <cell r="D597">
            <v>-23806</v>
          </cell>
        </row>
        <row r="599">
          <cell r="D599">
            <v>-4924</v>
          </cell>
        </row>
        <row r="600">
          <cell r="D600">
            <v>-458</v>
          </cell>
        </row>
        <row r="601">
          <cell r="D601">
            <v>-400</v>
          </cell>
        </row>
        <row r="602">
          <cell r="D602">
            <v>-5782</v>
          </cell>
        </row>
        <row r="604">
          <cell r="D604">
            <v>0</v>
          </cell>
        </row>
        <row r="605">
          <cell r="D605">
            <v>-840</v>
          </cell>
        </row>
        <row r="606">
          <cell r="D606">
            <v>0</v>
          </cell>
        </row>
        <row r="607">
          <cell r="D607">
            <v>-34191</v>
          </cell>
        </row>
        <row r="608">
          <cell r="D608">
            <v>-20880</v>
          </cell>
        </row>
        <row r="609">
          <cell r="D609">
            <v>-15008</v>
          </cell>
        </row>
        <row r="610">
          <cell r="D610">
            <v>-56</v>
          </cell>
        </row>
        <row r="611">
          <cell r="D611">
            <v>4635</v>
          </cell>
        </row>
        <row r="612">
          <cell r="D612">
            <v>-529</v>
          </cell>
        </row>
        <row r="613">
          <cell r="D613">
            <v>430</v>
          </cell>
        </row>
        <row r="614">
          <cell r="D614">
            <v>-1222</v>
          </cell>
        </row>
        <row r="615">
          <cell r="D615">
            <v>-67661</v>
          </cell>
        </row>
        <row r="617">
          <cell r="D617">
            <v>0</v>
          </cell>
        </row>
        <row r="618">
          <cell r="D618">
            <v>0</v>
          </cell>
        </row>
        <row r="619">
          <cell r="D619">
            <v>0</v>
          </cell>
        </row>
        <row r="620">
          <cell r="D620">
            <v>0</v>
          </cell>
        </row>
        <row r="621">
          <cell r="D621">
            <v>0</v>
          </cell>
        </row>
        <row r="622">
          <cell r="D622">
            <v>0</v>
          </cell>
        </row>
        <row r="623">
          <cell r="D623">
            <v>0</v>
          </cell>
        </row>
        <row r="624">
          <cell r="D624">
            <v>0</v>
          </cell>
        </row>
        <row r="625">
          <cell r="D625">
            <v>0</v>
          </cell>
        </row>
        <row r="626">
          <cell r="D626">
            <v>0</v>
          </cell>
        </row>
        <row r="627">
          <cell r="D627">
            <v>0</v>
          </cell>
        </row>
        <row r="628">
          <cell r="D628">
            <v>0</v>
          </cell>
        </row>
        <row r="629">
          <cell r="D629">
            <v>0</v>
          </cell>
        </row>
        <row r="630">
          <cell r="D630">
            <v>0</v>
          </cell>
        </row>
        <row r="631">
          <cell r="D631">
            <v>0</v>
          </cell>
        </row>
        <row r="632">
          <cell r="D632">
            <v>0</v>
          </cell>
        </row>
        <row r="633">
          <cell r="D633">
            <v>0</v>
          </cell>
        </row>
        <row r="634">
          <cell r="D634">
            <v>0</v>
          </cell>
        </row>
        <row r="635">
          <cell r="D635">
            <v>0</v>
          </cell>
        </row>
        <row r="636">
          <cell r="D636">
            <v>0</v>
          </cell>
        </row>
        <row r="637">
          <cell r="D637">
            <v>0</v>
          </cell>
        </row>
        <row r="638">
          <cell r="D638">
            <v>0</v>
          </cell>
        </row>
        <row r="639">
          <cell r="D639">
            <v>0</v>
          </cell>
        </row>
        <row r="640">
          <cell r="D640">
            <v>0</v>
          </cell>
        </row>
        <row r="641">
          <cell r="D641">
            <v>0</v>
          </cell>
        </row>
        <row r="642">
          <cell r="D642">
            <v>0</v>
          </cell>
        </row>
        <row r="643">
          <cell r="D643">
            <v>0</v>
          </cell>
        </row>
        <row r="644">
          <cell r="D644">
            <v>0</v>
          </cell>
        </row>
        <row r="645">
          <cell r="D645">
            <v>0</v>
          </cell>
        </row>
        <row r="646">
          <cell r="D646">
            <v>0</v>
          </cell>
        </row>
        <row r="647">
          <cell r="D647">
            <v>0</v>
          </cell>
        </row>
        <row r="649">
          <cell r="D649">
            <v>-433</v>
          </cell>
        </row>
        <row r="650">
          <cell r="D650">
            <v>8313</v>
          </cell>
        </row>
        <row r="651">
          <cell r="D651">
            <v>0</v>
          </cell>
        </row>
        <row r="652">
          <cell r="D652">
            <v>0</v>
          </cell>
        </row>
        <row r="653">
          <cell r="D653">
            <v>0</v>
          </cell>
        </row>
        <row r="654">
          <cell r="D654">
            <v>7880</v>
          </cell>
        </row>
        <row r="656">
          <cell r="D656">
            <v>0</v>
          </cell>
        </row>
        <row r="658">
          <cell r="D658">
            <v>72156</v>
          </cell>
        </row>
        <row r="659">
          <cell r="D659">
            <v>72156</v>
          </cell>
        </row>
        <row r="661">
          <cell r="D661">
            <v>6773</v>
          </cell>
        </row>
        <row r="662">
          <cell r="D662">
            <v>6773</v>
          </cell>
        </row>
        <row r="664">
          <cell r="D664">
            <v>5771</v>
          </cell>
        </row>
        <row r="665">
          <cell r="D665">
            <v>5771</v>
          </cell>
        </row>
        <row r="667">
          <cell r="D667">
            <v>155</v>
          </cell>
        </row>
        <row r="668">
          <cell r="D668">
            <v>58</v>
          </cell>
        </row>
        <row r="669">
          <cell r="D669">
            <v>25</v>
          </cell>
        </row>
        <row r="670">
          <cell r="D670">
            <v>238</v>
          </cell>
        </row>
        <row r="672">
          <cell r="D672">
            <v>3454</v>
          </cell>
        </row>
        <row r="673">
          <cell r="D673">
            <v>7061</v>
          </cell>
        </row>
        <row r="674">
          <cell r="D674">
            <v>520</v>
          </cell>
        </row>
        <row r="675">
          <cell r="D675">
            <v>0</v>
          </cell>
        </row>
        <row r="676">
          <cell r="D676">
            <v>0</v>
          </cell>
        </row>
        <row r="677">
          <cell r="D677">
            <v>1405</v>
          </cell>
        </row>
        <row r="678">
          <cell r="D678">
            <v>0</v>
          </cell>
        </row>
        <row r="679">
          <cell r="D679">
            <v>1</v>
          </cell>
        </row>
        <row r="680">
          <cell r="D680">
            <v>0</v>
          </cell>
        </row>
        <row r="681">
          <cell r="D681">
            <v>0</v>
          </cell>
        </row>
        <row r="682">
          <cell r="D682">
            <v>0</v>
          </cell>
        </row>
        <row r="683">
          <cell r="D683">
            <v>0</v>
          </cell>
        </row>
        <row r="684">
          <cell r="D684">
            <v>0</v>
          </cell>
        </row>
        <row r="685">
          <cell r="D685">
            <v>0</v>
          </cell>
        </row>
        <row r="686">
          <cell r="D686">
            <v>0</v>
          </cell>
        </row>
        <row r="687">
          <cell r="D687">
            <v>7</v>
          </cell>
        </row>
        <row r="688">
          <cell r="D688">
            <v>0</v>
          </cell>
        </row>
        <row r="689">
          <cell r="D689">
            <v>15</v>
          </cell>
        </row>
        <row r="690">
          <cell r="D690">
            <v>0</v>
          </cell>
        </row>
        <row r="691">
          <cell r="D691">
            <v>0</v>
          </cell>
        </row>
        <row r="692">
          <cell r="D692">
            <v>0</v>
          </cell>
        </row>
        <row r="693">
          <cell r="D693">
            <v>0</v>
          </cell>
        </row>
        <row r="694">
          <cell r="D694">
            <v>0</v>
          </cell>
        </row>
        <row r="695">
          <cell r="D695">
            <v>0</v>
          </cell>
        </row>
        <row r="696">
          <cell r="D696">
            <v>0</v>
          </cell>
        </row>
        <row r="697">
          <cell r="D697">
            <v>0</v>
          </cell>
        </row>
        <row r="698">
          <cell r="D698">
            <v>0</v>
          </cell>
        </row>
        <row r="699">
          <cell r="D699">
            <v>1932</v>
          </cell>
        </row>
        <row r="700">
          <cell r="D700">
            <v>43</v>
          </cell>
        </row>
        <row r="701">
          <cell r="D701">
            <v>775</v>
          </cell>
        </row>
        <row r="702">
          <cell r="D702">
            <v>191</v>
          </cell>
        </row>
        <row r="703">
          <cell r="D703">
            <v>2164</v>
          </cell>
        </row>
        <row r="704">
          <cell r="D704">
            <v>17568</v>
          </cell>
        </row>
        <row r="706">
          <cell r="D706">
            <v>406</v>
          </cell>
        </row>
        <row r="707">
          <cell r="D707">
            <v>0</v>
          </cell>
        </row>
        <row r="708">
          <cell r="D708">
            <v>170</v>
          </cell>
        </row>
        <row r="709">
          <cell r="D709">
            <v>32</v>
          </cell>
        </row>
        <row r="710">
          <cell r="D710">
            <v>35</v>
          </cell>
        </row>
        <row r="711">
          <cell r="D711">
            <v>375</v>
          </cell>
        </row>
        <row r="712">
          <cell r="D712">
            <v>42</v>
          </cell>
        </row>
        <row r="713">
          <cell r="D713">
            <v>108</v>
          </cell>
        </row>
        <row r="714">
          <cell r="D714">
            <v>172</v>
          </cell>
        </row>
        <row r="715">
          <cell r="D715">
            <v>73</v>
          </cell>
        </row>
        <row r="716">
          <cell r="D716">
            <v>75</v>
          </cell>
        </row>
        <row r="717">
          <cell r="D717">
            <v>1488</v>
          </cell>
        </row>
        <row r="719">
          <cell r="D719">
            <v>381</v>
          </cell>
        </row>
        <row r="720">
          <cell r="D720">
            <v>381</v>
          </cell>
        </row>
        <row r="722">
          <cell r="D722">
            <v>0</v>
          </cell>
        </row>
        <row r="723">
          <cell r="D723">
            <v>0</v>
          </cell>
        </row>
      </sheetData>
      <sheetData sheetId="12"/>
      <sheetData sheetId="13"/>
      <sheetData sheetId="14"/>
      <sheetData sheetId="15"/>
      <sheetData sheetId="16"/>
      <sheetData sheetId="17"/>
      <sheetData sheetId="18"/>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Assignmentform"/>
      <sheetName val="acct"/>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A"/>
      <sheetName val="CliftonMain-1003-P&amp;L"/>
      <sheetName val="CliftonMain-1003-EXP"/>
      <sheetName val="nt²"/>
      <sheetName val="nt__2"/>
      <sheetName val="nt__3"/>
      <sheetName val="nt__4"/>
      <sheetName val="SALARY"/>
      <sheetName val="Parameters"/>
      <sheetName val="broker sheet-2"/>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 val="PDF1"/>
      <sheetName val="Note1_11"/>
      <sheetName val="Notes _2_"/>
      <sheetName val="PL_Million_"/>
      <sheetName val="Fin_Histo_PL"/>
      <sheetName val="Deposit"/>
      <sheetName val="2000_ Projects Summary"/>
      <sheetName val="Non-Statistical Sampling"/>
      <sheetName val="REV VAR INC"/>
      <sheetName val="Sheet5"/>
      <sheetName val="Augbkp98"/>
      <sheetName val="Statement of Claims"/>
      <sheetName val="Revenue-Fire-Marine-Motor"/>
      <sheetName val="Final Accounts 2001As per Audit"/>
      <sheetName val="Graphs 1"/>
      <sheetName val="Macro1"/>
      <sheetName val="Summary"/>
      <sheetName val="Grouping"/>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Report .1"/>
      <sheetName val="Net"/>
      <sheetName val="Profiles"/>
      <sheetName val="Currency"/>
      <sheetName val="DropDown"/>
      <sheetName val="Segment new 1"/>
      <sheetName val="Drop down"/>
      <sheetName val="16-Avg Sales Price"/>
      <sheetName val="stdd costBPCS"/>
      <sheetName val="ៀFinal Accou"/>
      <sheetName val="ḜFinal Accou"/>
      <sheetName val="⒐Final Accou"/>
      <sheetName val="nt__5"/>
      <sheetName val="nt__6"/>
      <sheetName val="nt__7"/>
      <sheetName val="nt__8"/>
      <sheetName val="nt__9"/>
      <sheetName val="DATABASE"/>
      <sheetName val="A-C CODE &amp; NAME"/>
      <sheetName val="Code"/>
      <sheetName val="Abu Dhabi"/>
      <sheetName val="B-S(p)"/>
      <sheetName val="BS-OVS"/>
      <sheetName val="BSDOMOVS"/>
      <sheetName val="会社別"/>
      <sheetName val="Lead"/>
      <sheetName val="SETUP"/>
      <sheetName val="PPC-ORD DTL"/>
      <sheetName val="Note Line"/>
      <sheetName val="pinex_(2)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Total_Adjustments3"/>
      <sheetName val="Rate_Input3"/>
      <sheetName val="Profit_Worksheet3"/>
      <sheetName val="broker_sheet-21"/>
      <sheetName val="Notes__2_1"/>
      <sheetName val="2000__Projects_Summary1"/>
      <sheetName val="Non-Statistical_Sampling1"/>
      <sheetName val="REV_VAR_INC1"/>
      <sheetName val="Statement_of_Claims1"/>
      <sheetName val="Graphs_1"/>
      <sheetName val="Final_Accounts_2001As_per_Audit"/>
      <sheetName val="Report__1"/>
      <sheetName val="Segment_new_1"/>
      <sheetName val="Drop_down"/>
      <sheetName val="16-Avg_Sales_Price"/>
      <sheetName val="stdd_costBPCS"/>
      <sheetName val="New Employee"/>
      <sheetName val="P &amp; L"/>
      <sheetName val="Finance Cost Top Sheet"/>
      <sheetName val="Payroll Costs"/>
      <sheetName val="Neat 9"/>
      <sheetName val="112209"/>
      <sheetName val="Fixed Asset"/>
      <sheetName val="recon-cons"/>
      <sheetName val="BS"/>
      <sheetName val="EDP_Euros"/>
      <sheetName val="Iberdrola_Euros"/>
      <sheetName val="MMR"/>
      <sheetName val="IIM"/>
      <sheetName val="Aylık"/>
      <sheetName val="Sheet 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PDF1"/>
      <sheetName val="Notes1_5"/>
      <sheetName val="CFR-5"/>
      <sheetName val="Links"/>
      <sheetName val="Code"/>
      <sheetName val="A-C CODE &amp; NAME"/>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 val="Notes _2_"/>
      <sheetName val="PL_Million_"/>
      <sheetName val="Fin_Histo_PL"/>
      <sheetName val="Non-Statistical Sampling"/>
      <sheetName val="General"/>
      <sheetName val="P&amp;L Commentary"/>
      <sheetName val="Consolidated"/>
      <sheetName val="TABLES"/>
      <sheetName val="PLC"/>
      <sheetName val="Notes7-8_(2)1"/>
      <sheetName val="Note_9_7-9_8_(2)1"/>
      <sheetName val="Other_Assets_Notes1"/>
      <sheetName val="Notes_1-6_(2)1"/>
      <sheetName val="Investment_(2)1"/>
      <sheetName val="Notes_1-61"/>
      <sheetName val="Notes_9-101"/>
      <sheetName val="Notes10_11"/>
      <sheetName val="notes_5-60001"/>
      <sheetName val="A-C_CODE_&amp;_NAME1"/>
      <sheetName val="Notes__2_"/>
      <sheetName val="Non-Statistical_Sampling"/>
      <sheetName val="Rates"/>
      <sheetName val="NST ( Cap Gain)"/>
      <sheetName val="Notes7-8_(2)3"/>
      <sheetName val="Note_9_7-9_8_(2)3"/>
      <sheetName val="Other_Assets_Notes3"/>
      <sheetName val="Notes_1-6_(2)3"/>
      <sheetName val="Investment_(2)3"/>
      <sheetName val="Notes_1-63"/>
      <sheetName val="Notes_9-103"/>
      <sheetName val="Notes10_13"/>
      <sheetName val="notes_5-60003"/>
      <sheetName val="A-C_CODE_&amp;_NAME3"/>
      <sheetName val="Notes7-8_(2)2"/>
      <sheetName val="Note_9_7-9_8_(2)2"/>
      <sheetName val="Other_Assets_Notes2"/>
      <sheetName val="Notes_1-6_(2)2"/>
      <sheetName val="Investment_(2)2"/>
      <sheetName val="Notes_1-62"/>
      <sheetName val="Notes_9-102"/>
      <sheetName val="Notes10_12"/>
      <sheetName val="notes_5-60002"/>
      <sheetName val="A-C_CODE_&amp;_NAME2"/>
      <sheetName val="BSDOMOVS"/>
      <sheetName val="Lead Schedule"/>
      <sheetName val="E"/>
      <sheetName val="Notes 7 - 23"/>
      <sheetName val="Notes__2_1"/>
      <sheetName val="P&amp;L_Commentary"/>
      <sheetName val="Non-Statistical_Sampling1"/>
      <sheetName val="UK"/>
      <sheetName val="New Employee"/>
      <sheetName val="NED09-10 SW"/>
      <sheetName val="Sheet3"/>
      <sheetName val="Stat. Changes Equity"/>
      <sheetName val="Support"/>
      <sheetName val="revenue-fire-marine-motor"/>
      <sheetName val="navlun_cetveli"/>
      <sheetName val="INIT"/>
      <sheetName val="Institutions List"/>
      <sheetName val="SOURCE"/>
      <sheetName val="Lead"/>
      <sheetName val="RiskSim Summary 1"/>
      <sheetName val="Notes7-8_(2)4"/>
      <sheetName val="Note_9_7-9_8_(2)4"/>
      <sheetName val="Other_Assets_Notes4"/>
      <sheetName val="Notes_1-6_(2)4"/>
      <sheetName val="Investment_(2)4"/>
      <sheetName val="Notes_1-64"/>
      <sheetName val="Notes_9-104"/>
      <sheetName val="Notes10_14"/>
      <sheetName val="notes_5-60004"/>
      <sheetName val="A-C_CODE_&amp;_NAME4"/>
      <sheetName val="NST_(_Cap_Gain)"/>
      <sheetName val="Lead_Schedule"/>
      <sheetName val="Sheet4"/>
      <sheetName val="P&amp; L"/>
      <sheetName val="Non-Statistical Sampling Master"/>
      <sheetName val="Two Step Revenue Testing Master"/>
      <sheetName val="Global Data"/>
      <sheetName val="REPORT ON S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Others"/>
      <sheetName val="Stancom 29"/>
      <sheetName val="Code"/>
      <sheetName val=""/>
      <sheetName val="IE"/>
      <sheetName val="N-Debts"/>
      <sheetName val="S-Rental"/>
      <sheetName val="T-Debts"/>
      <sheetName val="broker sheet-2"/>
      <sheetName val="Abu_Dhabi"/>
      <sheetName val="TOTAL_OVS_BRS_ST_AUG_02"/>
      <sheetName val="A-C_CODE_&amp;_NAME"/>
      <sheetName val="OUTSTANDING_FX-SWAP"/>
      <sheetName val="Stancom_29"/>
      <sheetName val="LOCAL STUDENTS"/>
      <sheetName val="1-bwb(c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inked Disclosure"/>
      <sheetName val="2.Disclosure 5.2-5.4"/>
      <sheetName val="3.Movement"/>
      <sheetName val="4.Valuation as at June 30,2017"/>
      <sheetName val="5.Moving Average"/>
      <sheetName val="6.Summary of Capital Gain"/>
      <sheetName val="Moving Average Report"/>
    </sheetNames>
    <sheetDataSet>
      <sheetData sheetId="0" refreshError="1"/>
      <sheetData sheetId="1" refreshError="1"/>
      <sheetData sheetId="2" refreshError="1"/>
      <sheetData sheetId="3" refreshError="1"/>
      <sheetData sheetId="4">
        <row r="14">
          <cell r="B14" t="str">
            <v>Nishat Mills Limited</v>
          </cell>
        </row>
      </sheetData>
      <sheetData sheetId="5">
        <row r="78">
          <cell r="O78">
            <v>-225541.94000000041</v>
          </cell>
        </row>
      </sheetData>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inked Disclosure"/>
      <sheetName val="2.Disclosure 5.2-5.4"/>
      <sheetName val="3.Movement"/>
      <sheetName val="4.Valuation as at June 30,2017"/>
      <sheetName val="5.Moving Average"/>
      <sheetName val="6.Summary of Capital Gain"/>
      <sheetName val="Moving Average Report"/>
    </sheetNames>
    <sheetDataSet>
      <sheetData sheetId="0" refreshError="1"/>
      <sheetData sheetId="1" refreshError="1"/>
      <sheetData sheetId="2" refreshError="1"/>
      <sheetData sheetId="3" refreshError="1"/>
      <sheetData sheetId="4">
        <row r="14">
          <cell r="B14" t="str">
            <v>Nishat Mills Limited</v>
          </cell>
        </row>
      </sheetData>
      <sheetData sheetId="5">
        <row r="78">
          <cell r="O78">
            <v>-225541.94000000041</v>
          </cell>
        </row>
      </sheetData>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ncome Stat"/>
      <sheetName val="SCI"/>
      <sheetName val="Cashflow"/>
      <sheetName val="Distribution"/>
      <sheetName val="UHF (New)"/>
      <sheetName val="UHF"/>
      <sheetName val="Note 1-8"/>
      <sheetName val="8.1"/>
      <sheetName val="8.1 latest old"/>
      <sheetName val="8.1 old"/>
      <sheetName val="8.2 to 8.4"/>
      <sheetName val="Note 9-16"/>
      <sheetName val="Note. 18"/>
      <sheetName val="Note 19-20"/>
      <sheetName val="Note19.1"/>
      <sheetName val="21-24"/>
      <sheetName val="CF Working"/>
      <sheetName val="Lead."/>
      <sheetName val="TB"/>
      <sheetName val="Lead"/>
      <sheetName val="Realised working"/>
    </sheetNames>
    <sheetDataSet>
      <sheetData sheetId="0">
        <row r="32">
          <cell r="I32">
            <v>702210143.45000005</v>
          </cell>
        </row>
      </sheetData>
      <sheetData sheetId="1">
        <row r="3">
          <cell r="A3" t="str">
            <v>FOR THE PERIOD ENDED DECEMBER 31, 2017 (UN-AUDITED)</v>
          </cell>
        </row>
      </sheetData>
      <sheetData sheetId="2">
        <row r="13">
          <cell r="G13">
            <v>10735123</v>
          </cell>
        </row>
      </sheetData>
      <sheetData sheetId="3" refreshError="1"/>
      <sheetData sheetId="4">
        <row r="11">
          <cell r="G11">
            <v>-179372056</v>
          </cell>
        </row>
      </sheetData>
      <sheetData sheetId="5"/>
      <sheetData sheetId="6">
        <row r="15">
          <cell r="G15">
            <v>450238575</v>
          </cell>
        </row>
      </sheetData>
      <sheetData sheetId="7" refreshError="1"/>
      <sheetData sheetId="8" refreshError="1"/>
      <sheetData sheetId="9" refreshError="1"/>
      <sheetData sheetId="10">
        <row r="121">
          <cell r="K121">
            <v>355378719.52999997</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ncome Stat"/>
      <sheetName val="SCI"/>
      <sheetName val="Cashflow"/>
      <sheetName val="Distribution"/>
      <sheetName val="UHF (New)"/>
      <sheetName val="UHF"/>
      <sheetName val="Note 1-8"/>
      <sheetName val="8.1"/>
      <sheetName val="8.1 latest old"/>
      <sheetName val="8.1 old"/>
      <sheetName val="8.2 to 8.4"/>
      <sheetName val="Note 9-16"/>
      <sheetName val="Note. 18"/>
      <sheetName val="Note 19-20"/>
      <sheetName val="Note19.1"/>
      <sheetName val="21-24"/>
      <sheetName val="CF Working"/>
      <sheetName val="Lead."/>
      <sheetName val="TB"/>
      <sheetName val="Lead"/>
      <sheetName val="Realised working"/>
    </sheetNames>
    <sheetDataSet>
      <sheetData sheetId="0">
        <row r="32">
          <cell r="I32">
            <v>702210143.45000005</v>
          </cell>
        </row>
      </sheetData>
      <sheetData sheetId="1">
        <row r="3">
          <cell r="A3" t="str">
            <v>FOR THE PERIOD ENDED DECEMBER 31, 2017 (UN-AUDITED)</v>
          </cell>
        </row>
      </sheetData>
      <sheetData sheetId="2">
        <row r="13">
          <cell r="G13">
            <v>10735123</v>
          </cell>
        </row>
      </sheetData>
      <sheetData sheetId="3" refreshError="1"/>
      <sheetData sheetId="4">
        <row r="11">
          <cell r="G11">
            <v>-179372056</v>
          </cell>
        </row>
      </sheetData>
      <sheetData sheetId="5"/>
      <sheetData sheetId="6">
        <row r="15">
          <cell r="G15">
            <v>450238575</v>
          </cell>
        </row>
      </sheetData>
      <sheetData sheetId="7" refreshError="1"/>
      <sheetData sheetId="8" refreshError="1"/>
      <sheetData sheetId="9" refreshError="1"/>
      <sheetData sheetId="10">
        <row r="121">
          <cell r="K121">
            <v>355378719.52999997</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56"/>
  <sheetViews>
    <sheetView tabSelected="1" view="pageBreakPreview" zoomScaleNormal="100" zoomScaleSheetLayoutView="100" workbookViewId="0">
      <selection activeCell="I2" sqref="I2"/>
    </sheetView>
  </sheetViews>
  <sheetFormatPr defaultColWidth="9" defaultRowHeight="13.8"/>
  <cols>
    <col min="1" max="1" width="5.09765625" style="1402" customWidth="1"/>
    <col min="2" max="2" width="3.59765625" style="1402" customWidth="1"/>
    <col min="3" max="3" width="31" style="1402" customWidth="1"/>
    <col min="4" max="4" width="17.09765625" style="1402" customWidth="1"/>
    <col min="5" max="5" width="5.59765625" style="1402" customWidth="1"/>
    <col min="6" max="6" width="15.59765625" style="1402" customWidth="1"/>
    <col min="7" max="7" width="0.59765625" style="1402" customWidth="1"/>
    <col min="8" max="9" width="15.59765625" style="1402" customWidth="1"/>
    <col min="10" max="10" width="11.59765625" style="1402" customWidth="1"/>
    <col min="11" max="11" width="11.09765625" style="1402" customWidth="1"/>
    <col min="12" max="12" width="12.09765625" style="1402" bestFit="1" customWidth="1"/>
    <col min="13" max="13" width="7.09765625" style="1402" customWidth="1"/>
    <col min="14" max="14" width="13" style="1402" bestFit="1" customWidth="1"/>
    <col min="15" max="16384" width="9" style="1402"/>
  </cols>
  <sheetData>
    <row r="1" spans="1:17" ht="18.75" customHeight="1">
      <c r="A1" s="2326" t="s">
        <v>1069</v>
      </c>
      <c r="B1" s="2326"/>
      <c r="C1" s="2326"/>
      <c r="D1" s="2326"/>
      <c r="E1" s="2326"/>
      <c r="F1" s="2326"/>
      <c r="G1" s="2326"/>
      <c r="H1" s="2326"/>
      <c r="I1" s="2089"/>
      <c r="J1" s="1401"/>
      <c r="K1" s="1401"/>
    </row>
    <row r="2" spans="1:17" ht="18.75" customHeight="1">
      <c r="A2" s="2326" t="s">
        <v>634</v>
      </c>
      <c r="B2" s="2326"/>
      <c r="C2" s="2326"/>
      <c r="D2" s="2326"/>
      <c r="E2" s="2326"/>
      <c r="F2" s="2326"/>
      <c r="G2" s="2326"/>
      <c r="H2" s="2326"/>
      <c r="I2" s="2089"/>
      <c r="J2" s="1401"/>
      <c r="K2" s="1401"/>
    </row>
    <row r="3" spans="1:17" ht="18.75" customHeight="1">
      <c r="A3" s="2326" t="s">
        <v>2793</v>
      </c>
      <c r="B3" s="2326"/>
      <c r="C3" s="2326"/>
      <c r="D3" s="2326"/>
      <c r="E3" s="2326"/>
      <c r="F3" s="2326"/>
      <c r="G3" s="2326"/>
      <c r="H3" s="2326"/>
      <c r="I3" s="2089"/>
      <c r="J3" s="1401"/>
      <c r="K3" s="1401"/>
    </row>
    <row r="4" spans="1:17" ht="15" customHeight="1">
      <c r="A4" s="1401"/>
      <c r="B4" s="1401"/>
      <c r="C4" s="1401"/>
      <c r="D4" s="1401"/>
      <c r="E4" s="1401"/>
      <c r="F4" s="1401"/>
      <c r="H4" s="1401"/>
      <c r="I4" s="1401"/>
      <c r="J4" s="1401"/>
      <c r="K4" s="1401"/>
    </row>
    <row r="5" spans="1:17" ht="15" customHeight="1">
      <c r="A5" s="1401"/>
      <c r="B5" s="1401"/>
      <c r="C5" s="1401"/>
      <c r="D5" s="1401"/>
      <c r="E5" s="1401"/>
      <c r="F5" s="1401"/>
      <c r="H5" s="1401"/>
      <c r="I5" s="1401"/>
      <c r="J5" s="1401"/>
      <c r="K5" s="1401"/>
    </row>
    <row r="6" spans="1:17" ht="15" customHeight="1">
      <c r="A6" s="1401"/>
      <c r="B6" s="1401"/>
      <c r="C6" s="1401"/>
      <c r="D6" s="1401"/>
      <c r="E6" s="1401"/>
      <c r="F6" s="1406" t="s">
        <v>716</v>
      </c>
      <c r="G6" s="1404"/>
      <c r="H6" s="1406" t="s">
        <v>632</v>
      </c>
      <c r="I6" s="1406"/>
      <c r="J6" s="1401"/>
      <c r="K6" s="1401"/>
    </row>
    <row r="7" spans="1:17" ht="15" customHeight="1">
      <c r="A7" s="1401"/>
      <c r="B7" s="1401"/>
      <c r="C7" s="1401"/>
      <c r="D7" s="1401"/>
      <c r="E7" s="1401"/>
      <c r="F7" s="1617" t="s">
        <v>2676</v>
      </c>
      <c r="G7" s="1618"/>
      <c r="H7" s="1617" t="s">
        <v>2469</v>
      </c>
      <c r="I7" s="1617"/>
      <c r="J7" s="1403"/>
      <c r="K7" s="1403"/>
    </row>
    <row r="8" spans="1:17" ht="15" customHeight="1">
      <c r="E8" s="1401"/>
      <c r="F8" s="1619">
        <v>2022</v>
      </c>
      <c r="G8" s="1620"/>
      <c r="H8" s="1619">
        <v>2021</v>
      </c>
      <c r="I8" s="1619"/>
      <c r="J8" s="1403"/>
      <c r="K8" s="1403"/>
    </row>
    <row r="9" spans="1:17" ht="15" customHeight="1">
      <c r="E9" s="2081" t="s">
        <v>51</v>
      </c>
      <c r="F9" s="2320" t="s">
        <v>2552</v>
      </c>
      <c r="G9" s="2321"/>
      <c r="H9" s="2321"/>
      <c r="I9" s="2085"/>
      <c r="J9" s="2080"/>
      <c r="K9" s="2080">
        <v>645307</v>
      </c>
      <c r="L9" s="1481">
        <v>3169886.01</v>
      </c>
      <c r="M9" s="1481">
        <f>L9+386</f>
        <v>3170272.01</v>
      </c>
    </row>
    <row r="10" spans="1:17" ht="15" customHeight="1">
      <c r="A10" s="1401" t="s">
        <v>463</v>
      </c>
      <c r="B10" s="1401"/>
      <c r="C10" s="1401"/>
      <c r="D10" s="1401"/>
      <c r="E10" s="2081"/>
      <c r="F10" s="1407"/>
      <c r="H10" s="1407"/>
      <c r="I10" s="1407"/>
      <c r="J10" s="1407"/>
      <c r="K10" s="1407"/>
      <c r="L10" s="2103">
        <v>69882577.939999998</v>
      </c>
    </row>
    <row r="11" spans="1:17" ht="15" customHeight="1">
      <c r="A11" s="1402" t="s">
        <v>196</v>
      </c>
      <c r="E11" s="1408" t="str">
        <f>+'1-6'!A80</f>
        <v>5.</v>
      </c>
      <c r="F11" s="2069">
        <f>ROUND('1-6'!J84,0)</f>
        <v>522936</v>
      </c>
      <c r="G11" s="1409"/>
      <c r="H11" s="2078">
        <v>265332</v>
      </c>
      <c r="I11" s="2109">
        <f>F11-H11</f>
        <v>257604</v>
      </c>
      <c r="J11" s="1410"/>
      <c r="K11" s="1410"/>
      <c r="L11" s="1411"/>
      <c r="M11" s="1412"/>
      <c r="N11" s="1411">
        <f>+F12-H12-IS!F16</f>
        <v>-1462066.3019999994</v>
      </c>
      <c r="O11" s="1405"/>
      <c r="P11" s="1410"/>
      <c r="Q11" s="1405"/>
    </row>
    <row r="12" spans="1:17" ht="15" customHeight="1">
      <c r="A12" s="1402" t="s">
        <v>112</v>
      </c>
      <c r="E12" s="1408" t="str">
        <f>+'1-6'!A96</f>
        <v>6.</v>
      </c>
      <c r="F12" s="1785">
        <f>'1-6'!J101</f>
        <v>10122239.016000001</v>
      </c>
      <c r="G12" s="1409"/>
      <c r="H12" s="1950">
        <v>11903844</v>
      </c>
      <c r="I12" s="2109">
        <f t="shared" ref="I12:I15" si="0">F12-H12</f>
        <v>-1781604.9839999992</v>
      </c>
      <c r="J12" s="1414">
        <f>F12/F28</f>
        <v>0.9474490803390907</v>
      </c>
      <c r="K12" s="1410"/>
      <c r="L12" s="1411"/>
      <c r="M12" s="1412"/>
      <c r="N12" s="1405"/>
      <c r="O12" s="1405"/>
      <c r="P12" s="1405"/>
      <c r="Q12" s="1405"/>
    </row>
    <row r="13" spans="1:17" ht="15" customHeight="1">
      <c r="A13" s="1402" t="s">
        <v>197</v>
      </c>
      <c r="E13" s="1408"/>
      <c r="F13" s="2253">
        <f>'TB-31 Dec'!H34</f>
        <v>205018</v>
      </c>
      <c r="G13" s="1409"/>
      <c r="H13" s="1413">
        <v>499859</v>
      </c>
      <c r="I13" s="2109">
        <f t="shared" si="0"/>
        <v>-294841</v>
      </c>
      <c r="J13" s="1410"/>
      <c r="K13" s="1410"/>
      <c r="L13" s="1411"/>
      <c r="M13" s="1412"/>
      <c r="N13" s="1933">
        <f>H13-F13</f>
        <v>294841</v>
      </c>
      <c r="O13" s="1405"/>
      <c r="P13" s="1405"/>
      <c r="Q13" s="1405"/>
    </row>
    <row r="14" spans="1:17" ht="15" customHeight="1">
      <c r="A14" s="1415" t="s">
        <v>2400</v>
      </c>
      <c r="E14" s="1408"/>
      <c r="F14" s="1787">
        <f>'TB-31 Dec'!H37</f>
        <v>73053</v>
      </c>
      <c r="G14" s="1409"/>
      <c r="H14" s="1416">
        <v>16830</v>
      </c>
      <c r="I14" s="2109">
        <f t="shared" si="0"/>
        <v>56223</v>
      </c>
      <c r="J14" s="1417"/>
      <c r="K14" s="1417"/>
      <c r="L14" s="1411">
        <f>842562.23+
12711373.85</f>
        <v>13553936.08</v>
      </c>
      <c r="M14" s="1412"/>
      <c r="N14" s="1933">
        <f>H14-F14</f>
        <v>-56223</v>
      </c>
      <c r="O14" s="1405"/>
      <c r="P14" s="1405"/>
      <c r="Q14" s="1405"/>
    </row>
    <row r="15" spans="1:17" ht="15" customHeight="1">
      <c r="A15" s="1402" t="s">
        <v>2371</v>
      </c>
      <c r="E15" s="1408"/>
      <c r="F15" s="1788">
        <f>'TB-31 Dec'!H48</f>
        <v>17713</v>
      </c>
      <c r="G15" s="1409"/>
      <c r="H15" s="1418">
        <v>74522</v>
      </c>
      <c r="I15" s="2109">
        <f t="shared" si="0"/>
        <v>-56809</v>
      </c>
      <c r="J15" s="1417"/>
      <c r="K15" s="1417"/>
      <c r="L15" s="1411"/>
      <c r="M15" s="1412"/>
      <c r="N15" s="1933">
        <f>H15-F15</f>
        <v>56809</v>
      </c>
      <c r="O15" s="1405"/>
      <c r="P15" s="1405"/>
      <c r="Q15" s="1405"/>
    </row>
    <row r="16" spans="1:17" s="1401" customFormat="1" ht="15" customHeight="1">
      <c r="A16" s="1401" t="s">
        <v>53</v>
      </c>
      <c r="E16" s="1402"/>
      <c r="F16" s="1789">
        <f>SUM(F11:F15)</f>
        <v>10940959.016000001</v>
      </c>
      <c r="H16" s="1419">
        <f>SUM(H11:H15)-0.5</f>
        <v>12760386.5</v>
      </c>
      <c r="I16" s="1419"/>
      <c r="J16" s="1417">
        <v>10970875</v>
      </c>
      <c r="K16" s="1417">
        <f>F16-J16</f>
        <v>-29915.98399999924</v>
      </c>
      <c r="L16" s="1411"/>
      <c r="M16" s="1412"/>
      <c r="N16" s="1433"/>
      <c r="O16" s="1420"/>
      <c r="P16" s="1420"/>
      <c r="Q16" s="1420"/>
    </row>
    <row r="17" spans="1:17" ht="15" customHeight="1">
      <c r="F17" s="1789"/>
      <c r="H17" s="1419"/>
      <c r="I17" s="1419">
        <f>10940959-257283</f>
        <v>10683676</v>
      </c>
      <c r="J17" s="1417"/>
      <c r="K17" s="1417"/>
      <c r="L17" s="1405"/>
      <c r="M17" s="1405"/>
      <c r="N17" s="1433"/>
      <c r="O17" s="1405"/>
      <c r="P17" s="1405"/>
      <c r="Q17" s="1405"/>
    </row>
    <row r="18" spans="1:17" ht="15" customHeight="1">
      <c r="A18" s="1401" t="s">
        <v>54</v>
      </c>
      <c r="B18" s="1401"/>
      <c r="C18" s="1401"/>
      <c r="D18" s="1401"/>
      <c r="F18" s="1789"/>
      <c r="H18" s="1419"/>
      <c r="I18" s="1419"/>
      <c r="J18" s="1417"/>
      <c r="K18" s="1417"/>
      <c r="L18" s="1405"/>
      <c r="M18" s="1405"/>
      <c r="N18" s="2259">
        <v>960314.49</v>
      </c>
      <c r="O18" s="1405"/>
      <c r="P18" s="1405"/>
      <c r="Q18" s="1405"/>
    </row>
    <row r="19" spans="1:17" ht="14.1" hidden="1" customHeight="1">
      <c r="A19" s="1421"/>
      <c r="E19" s="1422"/>
      <c r="F19" s="1423"/>
      <c r="G19" s="1401"/>
      <c r="H19" s="1424"/>
      <c r="I19" s="1933"/>
      <c r="J19" s="1410"/>
      <c r="K19" s="1410">
        <v>2</v>
      </c>
      <c r="L19" s="1410"/>
      <c r="M19" s="1412"/>
      <c r="N19" s="1405"/>
      <c r="O19" s="1405"/>
      <c r="P19" s="1405"/>
      <c r="Q19" s="1405"/>
    </row>
    <row r="20" spans="1:17" ht="15" customHeight="1">
      <c r="A20" s="1624" t="s">
        <v>2595</v>
      </c>
      <c r="E20" s="1422"/>
      <c r="F20" s="1423">
        <f>'TB-31 Dec'!H83</f>
        <v>56154</v>
      </c>
      <c r="G20" s="1401"/>
      <c r="H20" s="1424">
        <v>63617</v>
      </c>
      <c r="I20" s="2109">
        <f t="shared" ref="I20:I25" si="1">F20-H20</f>
        <v>-7463</v>
      </c>
      <c r="J20" s="1410">
        <f>35666</f>
        <v>35666</v>
      </c>
      <c r="K20" s="1410">
        <f>F20-J20</f>
        <v>20488</v>
      </c>
      <c r="L20" s="1410">
        <f>H20-F20</f>
        <v>7463</v>
      </c>
      <c r="M20" s="1412">
        <v>17496763.66</v>
      </c>
      <c r="N20" s="2259">
        <v>124851.32</v>
      </c>
      <c r="O20" s="1405"/>
      <c r="P20" s="1405"/>
      <c r="Q20" s="1405"/>
    </row>
    <row r="21" spans="1:17" ht="15" customHeight="1">
      <c r="A21" s="1624" t="s">
        <v>2596</v>
      </c>
      <c r="B21" s="1425"/>
      <c r="C21" s="1425"/>
      <c r="D21" s="1425"/>
      <c r="E21" s="1426"/>
      <c r="F21" s="1787">
        <f>'TB-31 Dec'!H88</f>
        <v>1085</v>
      </c>
      <c r="G21" s="1401"/>
      <c r="H21" s="1427">
        <v>1258</v>
      </c>
      <c r="I21" s="2109">
        <f t="shared" si="1"/>
        <v>-173</v>
      </c>
      <c r="J21" s="1410"/>
      <c r="K21" s="1410">
        <v>2</v>
      </c>
      <c r="L21" s="1410">
        <f t="shared" ref="L21:L25" si="2">H21-F21</f>
        <v>173</v>
      </c>
      <c r="M21" s="1412">
        <v>450446.55</v>
      </c>
      <c r="N21" s="2319"/>
      <c r="O21" s="2319"/>
      <c r="P21" s="1405"/>
      <c r="Q21" s="1405"/>
    </row>
    <row r="22" spans="1:17" ht="15" customHeight="1">
      <c r="A22" s="1428" t="s">
        <v>988</v>
      </c>
      <c r="E22" s="1426"/>
      <c r="F22" s="1798">
        <f>'TB-31 Dec'!G92</f>
        <v>1751</v>
      </c>
      <c r="G22" s="1401"/>
      <c r="H22" s="1429">
        <v>2286</v>
      </c>
      <c r="I22" s="2109">
        <f t="shared" si="1"/>
        <v>-535</v>
      </c>
      <c r="J22" s="1430"/>
      <c r="K22" s="1430">
        <v>3</v>
      </c>
      <c r="L22" s="1410">
        <f t="shared" si="2"/>
        <v>535</v>
      </c>
      <c r="M22" s="1412">
        <v>2274689.25</v>
      </c>
      <c r="N22" s="1410"/>
      <c r="O22" s="1405"/>
      <c r="P22" s="1405"/>
      <c r="Q22" s="1405"/>
    </row>
    <row r="23" spans="1:17" ht="15" customHeight="1">
      <c r="A23" s="1402" t="s">
        <v>989</v>
      </c>
      <c r="E23" s="1426"/>
      <c r="F23" s="2139">
        <f>'TB-31 Dec'!G93</f>
        <v>117894</v>
      </c>
      <c r="G23" s="1401"/>
      <c r="H23" s="1429">
        <v>24138</v>
      </c>
      <c r="I23" s="2109">
        <f t="shared" si="1"/>
        <v>93756</v>
      </c>
      <c r="J23" s="1430"/>
      <c r="K23" s="1430">
        <v>8</v>
      </c>
      <c r="L23" s="1410">
        <f t="shared" si="2"/>
        <v>-93756</v>
      </c>
      <c r="M23" s="1412">
        <v>874668.84</v>
      </c>
      <c r="N23" s="1410"/>
      <c r="O23" s="1405"/>
      <c r="P23" s="1405"/>
      <c r="Q23" s="1405"/>
    </row>
    <row r="24" spans="1:17" ht="15" customHeight="1">
      <c r="A24" s="1402" t="s">
        <v>55</v>
      </c>
      <c r="E24" s="1426" t="str">
        <f>'7-12'!A6</f>
        <v>7.</v>
      </c>
      <c r="F24" s="2070">
        <f>'7-12'!J18</f>
        <v>80013</v>
      </c>
      <c r="G24" s="1401"/>
      <c r="H24" s="1823">
        <v>202766</v>
      </c>
      <c r="I24" s="2109">
        <f t="shared" si="1"/>
        <v>-122753</v>
      </c>
      <c r="J24" s="1417"/>
      <c r="K24" s="1417">
        <v>4</v>
      </c>
      <c r="L24" s="1410">
        <f t="shared" si="2"/>
        <v>122753</v>
      </c>
      <c r="M24" s="1412">
        <v>35058921.619999997</v>
      </c>
      <c r="N24" s="1405"/>
      <c r="O24" s="1405"/>
      <c r="P24" s="1405"/>
      <c r="Q24" s="1405"/>
    </row>
    <row r="25" spans="1:17" ht="15" customHeight="1">
      <c r="A25" s="1402" t="s">
        <v>154</v>
      </c>
      <c r="E25" s="1426"/>
      <c r="F25" s="1879">
        <f>'TB-31 Dec'!G94</f>
        <v>386</v>
      </c>
      <c r="H25" s="1880">
        <v>69140</v>
      </c>
      <c r="I25" s="2109">
        <f t="shared" si="1"/>
        <v>-68754</v>
      </c>
      <c r="J25" s="1431">
        <f>J26/F28</f>
        <v>-0.16038544050136225</v>
      </c>
      <c r="K25" s="1432">
        <v>8</v>
      </c>
      <c r="L25" s="1410">
        <f t="shared" si="2"/>
        <v>68754</v>
      </c>
      <c r="M25" s="1412"/>
      <c r="N25" s="1405"/>
      <c r="O25" s="1405"/>
      <c r="P25" s="1405"/>
      <c r="Q25" s="1405"/>
    </row>
    <row r="26" spans="1:17" s="1401" customFormat="1" ht="15" customHeight="1">
      <c r="A26" s="1401" t="s">
        <v>56</v>
      </c>
      <c r="E26" s="1402"/>
      <c r="F26" s="1789">
        <f>SUM(F19:F25)</f>
        <v>257283</v>
      </c>
      <c r="H26" s="1419">
        <f>SUM(H19:H25)-0.6</f>
        <v>363204.4</v>
      </c>
      <c r="I26" s="1419"/>
      <c r="J26" s="1417">
        <f>F28-H28</f>
        <v>-1713506.0839999989</v>
      </c>
      <c r="K26" s="1433">
        <f>SUM(K19:K25)</f>
        <v>20515</v>
      </c>
      <c r="L26" s="1410"/>
      <c r="M26" s="1405"/>
      <c r="N26" s="1420"/>
      <c r="O26" s="1420"/>
      <c r="P26" s="1420"/>
      <c r="Q26" s="1420"/>
    </row>
    <row r="27" spans="1:17" s="1401" customFormat="1" ht="15" customHeight="1">
      <c r="E27" s="1402"/>
      <c r="F27" s="1434"/>
      <c r="H27" s="1434"/>
      <c r="I27" s="1434"/>
      <c r="J27" s="1435"/>
      <c r="K27" s="1435"/>
      <c r="L27" s="1420"/>
      <c r="M27" s="1420"/>
      <c r="N27" s="1420"/>
      <c r="O27" s="1420"/>
      <c r="P27" s="1420"/>
      <c r="Q27" s="1420"/>
    </row>
    <row r="28" spans="1:17" ht="15" customHeight="1" thickBot="1">
      <c r="A28" s="1401" t="s">
        <v>57</v>
      </c>
      <c r="B28" s="1401"/>
      <c r="C28" s="1401"/>
      <c r="D28" s="1401"/>
      <c r="F28" s="1799">
        <f>+F16-F26</f>
        <v>10683676.016000001</v>
      </c>
      <c r="H28" s="1436">
        <f>H16-H26</f>
        <v>12397182.1</v>
      </c>
      <c r="I28" s="1410"/>
      <c r="J28" s="1437" t="e">
        <f>F28-UHF!E44</f>
        <v>#REF!</v>
      </c>
      <c r="K28" s="1410"/>
      <c r="L28" s="1410"/>
      <c r="M28" s="1405"/>
      <c r="N28" s="1405"/>
      <c r="O28" s="1405"/>
      <c r="P28" s="1405"/>
      <c r="Q28" s="1405"/>
    </row>
    <row r="29" spans="1:17" ht="15" customHeight="1" thickTop="1">
      <c r="F29" s="1434"/>
      <c r="H29" s="1428"/>
      <c r="I29" s="1428"/>
      <c r="J29" s="1410"/>
      <c r="K29" s="1410"/>
      <c r="L29" s="1412"/>
      <c r="M29" s="1405"/>
      <c r="N29" s="1410"/>
      <c r="O29" s="1405"/>
      <c r="P29" s="1405"/>
      <c r="Q29" s="1405"/>
    </row>
    <row r="30" spans="1:17" ht="15" customHeight="1" thickBot="1">
      <c r="A30" s="1401" t="s">
        <v>2481</v>
      </c>
      <c r="B30" s="1401"/>
      <c r="C30" s="1401"/>
      <c r="D30" s="1401"/>
      <c r="F30" s="2116">
        <f>UHF.!G28</f>
        <v>10683675.99</v>
      </c>
      <c r="H30" s="1438">
        <f>H28</f>
        <v>12397182.1</v>
      </c>
      <c r="I30" s="1410"/>
      <c r="J30" s="1412">
        <v>10982994.800000001</v>
      </c>
      <c r="K30" s="1412">
        <f>F28-J30</f>
        <v>-299318.78399999999</v>
      </c>
      <c r="L30" s="1410">
        <f>F28-F30</f>
        <v>2.6000000536441803E-2</v>
      </c>
      <c r="M30" s="1405"/>
      <c r="N30" s="1405"/>
      <c r="O30" s="1405"/>
      <c r="P30" s="1405"/>
      <c r="Q30" s="1405"/>
    </row>
    <row r="31" spans="1:17" ht="15" customHeight="1" thickTop="1">
      <c r="F31" s="1434"/>
      <c r="H31" s="1428"/>
      <c r="I31" s="1428"/>
      <c r="J31" s="1410"/>
      <c r="K31" s="1410"/>
      <c r="L31" s="1439"/>
      <c r="M31" s="1405"/>
      <c r="N31" s="1405"/>
      <c r="O31" s="1405"/>
      <c r="P31" s="1405"/>
      <c r="Q31" s="1405"/>
    </row>
    <row r="32" spans="1:17" ht="15" customHeight="1">
      <c r="A32" s="1401" t="s">
        <v>2482</v>
      </c>
      <c r="B32" s="1401"/>
      <c r="C32" s="1401"/>
      <c r="D32" s="1401"/>
      <c r="E32" s="1426" t="str">
        <f>+'7-12'!A40</f>
        <v>8.</v>
      </c>
      <c r="F32" s="1434"/>
      <c r="H32" s="1428"/>
      <c r="I32" s="1428"/>
      <c r="J32" s="2112">
        <f>F28-F30</f>
        <v>2.6000000536441803E-2</v>
      </c>
      <c r="K32" s="1410"/>
      <c r="L32" s="1405"/>
      <c r="M32" s="1405"/>
      <c r="N32" s="1405"/>
      <c r="O32" s="1405"/>
      <c r="P32" s="1405"/>
      <c r="Q32" s="1405"/>
    </row>
    <row r="33" spans="1:17" ht="15" customHeight="1">
      <c r="F33" s="1428"/>
      <c r="H33" s="1428"/>
      <c r="I33" s="1428"/>
      <c r="J33" s="1410"/>
      <c r="K33" s="1410"/>
      <c r="L33" s="1412"/>
      <c r="M33" s="1405"/>
      <c r="N33" s="1405"/>
      <c r="O33" s="1405"/>
      <c r="P33" s="1405"/>
      <c r="Q33" s="1405"/>
    </row>
    <row r="34" spans="1:17" s="1401" customFormat="1" ht="15" customHeight="1">
      <c r="E34" s="1402"/>
      <c r="F34" s="2322" t="s">
        <v>2483</v>
      </c>
      <c r="G34" s="2323"/>
      <c r="H34" s="2323"/>
      <c r="I34" s="2086"/>
      <c r="J34" s="1440"/>
      <c r="K34" s="1440"/>
      <c r="L34" s="1420"/>
      <c r="M34" s="1420"/>
      <c r="N34" s="1420"/>
      <c r="O34" s="1420"/>
      <c r="P34" s="1420"/>
      <c r="Q34" s="1420"/>
    </row>
    <row r="35" spans="1:17" s="1401" customFormat="1" ht="15" customHeight="1">
      <c r="E35" s="1402"/>
      <c r="F35" s="1441"/>
      <c r="H35" s="1441"/>
      <c r="I35" s="1441"/>
      <c r="J35" s="1442"/>
      <c r="K35" s="1442"/>
      <c r="L35" s="1420"/>
      <c r="M35" s="1420"/>
      <c r="N35" s="1420"/>
      <c r="O35" s="1420"/>
      <c r="P35" s="1420"/>
      <c r="Q35" s="1420"/>
    </row>
    <row r="36" spans="1:17" s="1401" customFormat="1" ht="15" customHeight="1" thickBot="1">
      <c r="A36" s="1401" t="s">
        <v>316</v>
      </c>
      <c r="E36" s="1426"/>
      <c r="F36" s="2031">
        <v>108372550.25650001</v>
      </c>
      <c r="H36" s="1443">
        <v>119629978</v>
      </c>
      <c r="I36" s="1933"/>
      <c r="J36" s="1410">
        <v>58707</v>
      </c>
      <c r="K36" s="1410">
        <f>H36*10%</f>
        <v>11962997.800000001</v>
      </c>
      <c r="L36" s="1420"/>
      <c r="M36" s="1420"/>
      <c r="N36" s="1420"/>
      <c r="O36" s="1420"/>
      <c r="P36" s="1420"/>
      <c r="Q36" s="1420"/>
    </row>
    <row r="37" spans="1:17" s="1401" customFormat="1" ht="15" customHeight="1" thickTop="1">
      <c r="E37" s="1402"/>
      <c r="F37" s="1434"/>
      <c r="H37" s="1434"/>
      <c r="I37" s="1434"/>
      <c r="J37" s="1435">
        <f>H28+J36</f>
        <v>12455889.1</v>
      </c>
      <c r="K37" s="1435"/>
      <c r="L37" s="1420"/>
      <c r="M37" s="1420"/>
      <c r="N37" s="1420"/>
      <c r="O37" s="1420"/>
      <c r="P37" s="1420"/>
      <c r="Q37" s="1420"/>
    </row>
    <row r="38" spans="1:17" s="1401" customFormat="1" ht="15" customHeight="1">
      <c r="E38" s="1402"/>
      <c r="F38" s="2325" t="s">
        <v>2484</v>
      </c>
      <c r="G38" s="2325"/>
      <c r="H38" s="2325"/>
      <c r="I38" s="2088"/>
      <c r="J38" s="1444">
        <f>J37/H36*1000</f>
        <v>104.12013199567753</v>
      </c>
      <c r="K38" s="1440"/>
      <c r="L38" s="1420"/>
      <c r="M38" s="1420"/>
      <c r="N38" s="1420"/>
      <c r="O38" s="1420"/>
      <c r="P38" s="1420"/>
      <c r="Q38" s="1420"/>
    </row>
    <row r="39" spans="1:17" s="1401" customFormat="1" ht="15" customHeight="1">
      <c r="E39" s="1402"/>
      <c r="F39" s="1445"/>
      <c r="H39" s="1445"/>
      <c r="I39" s="1445"/>
      <c r="J39" s="1446">
        <f>J38-H40</f>
        <v>0.49073819941685315</v>
      </c>
      <c r="K39" s="1447"/>
      <c r="L39" s="1420"/>
      <c r="M39" s="1420"/>
      <c r="N39" s="1420"/>
      <c r="O39" s="1420"/>
      <c r="P39" s="1420"/>
      <c r="Q39" s="1420"/>
    </row>
    <row r="40" spans="1:17" s="1401" customFormat="1" ht="15" customHeight="1" thickBot="1">
      <c r="A40" s="1448" t="s">
        <v>157</v>
      </c>
      <c r="B40" s="1449"/>
      <c r="C40" s="1449"/>
      <c r="E40" s="1426"/>
      <c r="F40" s="1800">
        <f>ROUND(F28/F36*1000,4)</f>
        <v>98.582899999999995</v>
      </c>
      <c r="H40" s="1450">
        <f>H28/H36*1000</f>
        <v>103.62939379626067</v>
      </c>
      <c r="I40" s="1451"/>
      <c r="J40" s="1451"/>
      <c r="K40" s="1451"/>
      <c r="L40" s="1420"/>
      <c r="M40" s="1420"/>
      <c r="N40" s="1420"/>
      <c r="O40" s="1420"/>
      <c r="P40" s="1420"/>
      <c r="Q40" s="1420"/>
    </row>
    <row r="41" spans="1:17" ht="15" customHeight="1" thickTop="1">
      <c r="F41" s="1434"/>
      <c r="H41" s="1428"/>
      <c r="I41" s="1428"/>
      <c r="J41" s="1410"/>
      <c r="K41" s="1410"/>
      <c r="L41" s="1405"/>
      <c r="M41" s="1405"/>
      <c r="N41" s="1405"/>
      <c r="O41" s="1405"/>
      <c r="P41" s="1405"/>
      <c r="Q41" s="1405"/>
    </row>
    <row r="42" spans="1:17" ht="15" customHeight="1">
      <c r="F42" s="1428"/>
      <c r="H42" s="1428"/>
      <c r="I42" s="1428"/>
      <c r="J42" s="1410"/>
      <c r="K42" s="1410"/>
      <c r="L42" s="1405"/>
      <c r="M42" s="1405"/>
      <c r="N42" s="1405"/>
      <c r="O42" s="1405"/>
      <c r="P42" s="1405"/>
      <c r="Q42" s="1405"/>
    </row>
    <row r="43" spans="1:17" ht="15" customHeight="1">
      <c r="A43" s="1452" t="s">
        <v>2834</v>
      </c>
      <c r="J43" s="1405"/>
      <c r="K43" s="1405"/>
      <c r="L43" s="1405"/>
      <c r="M43" s="1405"/>
      <c r="N43" s="1405"/>
      <c r="O43" s="1405"/>
      <c r="P43" s="1405"/>
      <c r="Q43" s="1405"/>
    </row>
    <row r="44" spans="1:17">
      <c r="J44" s="1405"/>
      <c r="K44" s="1405"/>
      <c r="L44" s="1405"/>
      <c r="M44" s="1405"/>
      <c r="N44" s="1405"/>
      <c r="O44" s="1405"/>
      <c r="P44" s="1405"/>
      <c r="Q44" s="1405"/>
    </row>
    <row r="45" spans="1:17" s="1454" customFormat="1">
      <c r="A45" s="1453"/>
      <c r="B45" s="1453"/>
      <c r="C45" s="1453"/>
      <c r="D45" s="1453"/>
      <c r="E45" s="1453"/>
      <c r="F45" s="1453"/>
      <c r="G45" s="1453"/>
      <c r="H45" s="1453"/>
      <c r="I45" s="1453"/>
      <c r="J45" s="1453"/>
      <c r="K45" s="1453"/>
    </row>
    <row r="46" spans="1:17" s="1454" customFormat="1" ht="15" customHeight="1">
      <c r="A46" s="2324" t="s">
        <v>2488</v>
      </c>
      <c r="B46" s="2324"/>
      <c r="C46" s="2324"/>
      <c r="D46" s="2324"/>
      <c r="E46" s="2324"/>
      <c r="F46" s="2324"/>
      <c r="G46" s="2324"/>
      <c r="H46" s="2324"/>
      <c r="I46" s="2087"/>
      <c r="J46" s="1455"/>
      <c r="K46" s="1455"/>
    </row>
    <row r="47" spans="1:17" s="1461" customFormat="1" ht="15" customHeight="1">
      <c r="A47" s="2324" t="s">
        <v>149</v>
      </c>
      <c r="B47" s="2324"/>
      <c r="C47" s="2324"/>
      <c r="D47" s="2324"/>
      <c r="E47" s="2324"/>
      <c r="F47" s="2324"/>
      <c r="G47" s="2324"/>
      <c r="H47" s="2324"/>
      <c r="I47" s="2087"/>
      <c r="J47" s="2079"/>
      <c r="K47" s="1459"/>
    </row>
    <row r="48" spans="1:17" s="1461" customFormat="1">
      <c r="A48" s="2079"/>
      <c r="B48" s="2079"/>
      <c r="C48" s="2079"/>
      <c r="D48" s="2079"/>
      <c r="E48" s="2079"/>
      <c r="F48" s="2079"/>
      <c r="G48" s="2079"/>
      <c r="H48" s="2079"/>
      <c r="I48" s="2087"/>
      <c r="J48" s="2079"/>
      <c r="K48" s="1459"/>
    </row>
    <row r="49" spans="1:11" s="1461" customFormat="1">
      <c r="A49" s="2079"/>
      <c r="B49" s="2079"/>
      <c r="C49" s="2079"/>
      <c r="D49" s="2079"/>
      <c r="E49" s="2079"/>
      <c r="F49" s="2079"/>
      <c r="G49" s="2079"/>
      <c r="H49" s="2079"/>
      <c r="I49" s="2087"/>
      <c r="J49" s="2079"/>
      <c r="K49" s="1459"/>
    </row>
    <row r="50" spans="1:11" s="1461" customFormat="1">
      <c r="B50" s="2079"/>
      <c r="C50" s="2079"/>
      <c r="D50" s="2079"/>
      <c r="E50" s="1458"/>
      <c r="F50" s="2079"/>
      <c r="G50" s="1459"/>
      <c r="H50" s="1460"/>
      <c r="I50" s="1460"/>
      <c r="J50" s="2079"/>
      <c r="K50" s="1459"/>
    </row>
    <row r="51" spans="1:11" s="1461" customFormat="1">
      <c r="B51" s="2079"/>
      <c r="C51" s="2079"/>
      <c r="D51" s="2079"/>
      <c r="E51" s="1458"/>
      <c r="F51" s="2079"/>
      <c r="G51" s="1459"/>
      <c r="H51" s="1460"/>
      <c r="I51" s="1460"/>
      <c r="J51" s="2079"/>
      <c r="K51" s="1459"/>
    </row>
    <row r="52" spans="1:11" s="1461" customFormat="1">
      <c r="A52" s="1461" t="s">
        <v>2618</v>
      </c>
      <c r="B52" s="2079"/>
      <c r="C52" s="2079"/>
      <c r="D52" s="1627" t="s">
        <v>2490</v>
      </c>
      <c r="E52" s="1458"/>
      <c r="F52" s="2079"/>
      <c r="G52" s="1459"/>
      <c r="H52" s="2083" t="s">
        <v>2492</v>
      </c>
      <c r="I52" s="2092"/>
      <c r="J52" s="2079"/>
      <c r="K52" s="1459"/>
    </row>
    <row r="53" spans="1:11" s="1461" customFormat="1">
      <c r="A53" s="1456" t="s">
        <v>2489</v>
      </c>
      <c r="B53" s="1463"/>
      <c r="C53" s="2079"/>
      <c r="D53" s="1628" t="s">
        <v>2493</v>
      </c>
      <c r="E53" s="1458"/>
      <c r="F53" s="2079"/>
      <c r="G53" s="1464"/>
      <c r="H53" s="2079" t="s">
        <v>2491</v>
      </c>
      <c r="I53" s="2087"/>
      <c r="J53" s="2079"/>
      <c r="K53" s="1459"/>
    </row>
    <row r="54" spans="1:11" s="1461" customFormat="1">
      <c r="A54" s="1465"/>
      <c r="B54" s="1463"/>
      <c r="C54" s="2079"/>
      <c r="D54" s="2079"/>
      <c r="E54" s="1458"/>
      <c r="F54" s="2079"/>
      <c r="G54" s="1466"/>
      <c r="H54" s="1460"/>
      <c r="I54" s="1460"/>
      <c r="J54" s="2079"/>
      <c r="K54" s="1459"/>
    </row>
    <row r="55" spans="1:11" s="1461" customFormat="1">
      <c r="A55" s="1467"/>
      <c r="B55" s="1468"/>
      <c r="C55" s="1469"/>
      <c r="D55" s="1469"/>
      <c r="E55" s="1470"/>
      <c r="F55" s="2111"/>
      <c r="G55" s="1471"/>
      <c r="H55" s="1472"/>
      <c r="I55" s="1472"/>
      <c r="J55" s="2079"/>
      <c r="K55" s="1459"/>
    </row>
    <row r="56" spans="1:11">
      <c r="A56" s="1465"/>
    </row>
  </sheetData>
  <mergeCells count="9">
    <mergeCell ref="A1:H1"/>
    <mergeCell ref="A2:H2"/>
    <mergeCell ref="A3:H3"/>
    <mergeCell ref="N21:O21"/>
    <mergeCell ref="F9:H9"/>
    <mergeCell ref="F34:H34"/>
    <mergeCell ref="A46:H46"/>
    <mergeCell ref="A47:H47"/>
    <mergeCell ref="F38:H38"/>
  </mergeCells>
  <phoneticPr fontId="38" type="noConversion"/>
  <pageMargins left="0.75" right="0.25" top="0.75" bottom="0" header="0.25" footer="0"/>
  <pageSetup paperSize="9" scale="90" fitToHeight="0" orientation="portrait" useFirstPageNumber="1" r:id="rId1"/>
  <headerFooter>
    <oddHeader>&amp;C&amp;"Arial Black,Regular"&amp;11&amp;P</oddHeader>
  </headerFooter>
  <cellWatches>
    <cellWatch r="L33"/>
    <cellWatch r="J28"/>
    <cellWatch r="J32"/>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
  <sheetViews>
    <sheetView view="pageBreakPreview" topLeftCell="A47" zoomScale="90" zoomScaleNormal="110" zoomScaleSheetLayoutView="90" workbookViewId="0">
      <selection activeCell="K50" sqref="K50"/>
    </sheetView>
  </sheetViews>
  <sheetFormatPr defaultColWidth="10.09765625" defaultRowHeight="13.8"/>
  <cols>
    <col min="1" max="1" width="4.09765625" style="1402" customWidth="1"/>
    <col min="2" max="2" width="28.09765625" style="1402" customWidth="1"/>
    <col min="3" max="3" width="13.5" style="1402" customWidth="1"/>
    <col min="4" max="4" width="10.09765625" style="1402" customWidth="1"/>
    <col min="5" max="5" width="11.09765625" style="1402" customWidth="1"/>
    <col min="6" max="6" width="14.59765625" style="1402" customWidth="1"/>
    <col min="7" max="7" width="13.59765625" style="1402" customWidth="1"/>
    <col min="8" max="8" width="13.09765625" style="1402" customWidth="1"/>
    <col min="9" max="10" width="14.59765625" style="1402" customWidth="1"/>
    <col min="11" max="11" width="5.59765625" style="1402" customWidth="1"/>
    <col min="12" max="12" width="9.09765625" style="1402" customWidth="1"/>
    <col min="13" max="13" width="9.5" style="1402" customWidth="1"/>
    <col min="14" max="14" width="12.09765625" style="1402" customWidth="1"/>
    <col min="15" max="16" width="5.59765625" style="1402" customWidth="1"/>
    <col min="17" max="17" width="13" style="1402" customWidth="1"/>
    <col min="18" max="18" width="9.09765625" style="1402" customWidth="1"/>
    <col min="19" max="42" width="10.09765625" style="1402" customWidth="1"/>
    <col min="43" max="16384" width="10.09765625" style="1402"/>
  </cols>
  <sheetData>
    <row r="1" spans="1:21" hidden="1">
      <c r="A1" s="1693">
        <v>5.2</v>
      </c>
      <c r="B1" s="1401" t="s">
        <v>2528</v>
      </c>
    </row>
    <row r="2" spans="1:21" hidden="1"/>
    <row r="3" spans="1:21" ht="15" hidden="1" customHeight="1">
      <c r="A3" s="1533"/>
      <c r="B3" s="2366" t="s">
        <v>116</v>
      </c>
      <c r="C3" s="2362" t="s">
        <v>2532</v>
      </c>
      <c r="D3" s="2391"/>
      <c r="E3" s="2392"/>
      <c r="F3" s="2370" t="s">
        <v>2529</v>
      </c>
      <c r="G3" s="2371"/>
      <c r="H3" s="2372"/>
      <c r="I3" s="2366" t="s">
        <v>2516</v>
      </c>
      <c r="J3" s="2381" t="s">
        <v>2517</v>
      </c>
      <c r="K3" s="1638"/>
      <c r="L3" s="1639"/>
      <c r="M3" s="1638"/>
      <c r="N3" s="1638"/>
      <c r="O3" s="1638"/>
      <c r="P3" s="1638"/>
      <c r="R3" s="1562" t="s">
        <v>167</v>
      </c>
      <c r="S3" s="1563">
        <f>ROUND(BS!$F$28,0)</f>
        <v>10683676</v>
      </c>
      <c r="T3" s="1530" t="e">
        <f>#REF!/S3</f>
        <v>#REF!</v>
      </c>
    </row>
    <row r="4" spans="1:21" ht="15" hidden="1" customHeight="1">
      <c r="A4" s="1533"/>
      <c r="B4" s="2367"/>
      <c r="C4" s="2393" t="s">
        <v>2446</v>
      </c>
      <c r="D4" s="2366" t="s">
        <v>2514</v>
      </c>
      <c r="E4" s="2366" t="s">
        <v>2442</v>
      </c>
      <c r="F4" s="2367" t="s">
        <v>985</v>
      </c>
      <c r="G4" s="2367" t="s">
        <v>2443</v>
      </c>
      <c r="H4" s="2366" t="s">
        <v>2530</v>
      </c>
      <c r="I4" s="2367"/>
      <c r="J4" s="2382"/>
      <c r="K4" s="1638"/>
      <c r="L4" s="1639"/>
      <c r="M4" s="1638"/>
      <c r="N4" s="1638"/>
      <c r="O4" s="1638"/>
      <c r="P4" s="1638"/>
      <c r="R4" s="1477" t="s">
        <v>168</v>
      </c>
      <c r="S4" s="1635">
        <f>ROUND(BS!$F$12,0)</f>
        <v>10122239</v>
      </c>
      <c r="T4" s="1530"/>
      <c r="U4" s="1648">
        <f>S4/S3</f>
        <v>0.94744908026038976</v>
      </c>
    </row>
    <row r="5" spans="1:21" ht="15" hidden="1" customHeight="1">
      <c r="A5" s="1533"/>
      <c r="B5" s="2367"/>
      <c r="C5" s="2394"/>
      <c r="D5" s="2367"/>
      <c r="E5" s="2367"/>
      <c r="F5" s="2367"/>
      <c r="G5" s="2367"/>
      <c r="H5" s="2367"/>
      <c r="I5" s="2367"/>
      <c r="J5" s="2382"/>
      <c r="K5" s="1638"/>
      <c r="L5" s="1639"/>
      <c r="M5" s="1638"/>
      <c r="N5" s="1638"/>
      <c r="O5" s="1638"/>
      <c r="P5" s="1638"/>
      <c r="R5" s="1562"/>
      <c r="S5" s="1563"/>
      <c r="T5" s="1530"/>
    </row>
    <row r="6" spans="1:21" hidden="1">
      <c r="A6" s="1533"/>
      <c r="B6" s="2373"/>
      <c r="C6" s="2395"/>
      <c r="D6" s="2373"/>
      <c r="E6" s="2373"/>
      <c r="F6" s="2384"/>
      <c r="G6" s="2384"/>
      <c r="H6" s="2367"/>
      <c r="I6" s="2373"/>
      <c r="J6" s="2383"/>
      <c r="K6" s="1638"/>
      <c r="L6" s="1639"/>
      <c r="M6" s="1638"/>
      <c r="N6" s="1638"/>
      <c r="O6" s="1638"/>
      <c r="P6" s="1638"/>
      <c r="S6" s="1489"/>
    </row>
    <row r="7" spans="1:21" hidden="1">
      <c r="A7" s="1533"/>
      <c r="B7" s="1641"/>
      <c r="C7" s="1697"/>
      <c r="D7" s="1699"/>
      <c r="E7" s="1698"/>
      <c r="F7" s="2362" t="s">
        <v>2518</v>
      </c>
      <c r="G7" s="2362"/>
      <c r="H7" s="2362"/>
      <c r="I7" s="2362" t="s">
        <v>2531</v>
      </c>
      <c r="J7" s="2362"/>
      <c r="K7" s="1643"/>
      <c r="L7" s="1576"/>
      <c r="M7" s="1643"/>
      <c r="N7" s="1643"/>
      <c r="O7" s="1643"/>
      <c r="P7" s="1643"/>
      <c r="S7" s="1489"/>
    </row>
    <row r="8" spans="1:21" hidden="1">
      <c r="A8" s="1533"/>
      <c r="B8" s="1665" t="s">
        <v>2512</v>
      </c>
      <c r="C8" s="1668"/>
      <c r="D8" s="1695"/>
      <c r="E8" s="1695"/>
      <c r="F8" s="1668"/>
      <c r="G8" s="1404"/>
      <c r="H8" s="1696"/>
      <c r="I8" s="1643"/>
      <c r="J8" s="1643"/>
      <c r="K8" s="1643"/>
      <c r="L8" s="1576"/>
      <c r="M8" s="1643"/>
      <c r="N8" s="1643"/>
      <c r="O8" s="1643"/>
      <c r="P8" s="1643"/>
      <c r="S8" s="1489"/>
    </row>
    <row r="9" spans="1:21" hidden="1">
      <c r="A9" s="1533"/>
      <c r="B9" s="1530"/>
      <c r="C9" s="1668"/>
      <c r="D9" s="1695"/>
      <c r="E9" s="1695"/>
      <c r="F9" s="1668"/>
      <c r="G9" s="1404"/>
      <c r="H9" s="1696"/>
      <c r="I9" s="1643"/>
      <c r="J9" s="1643"/>
      <c r="K9" s="1643"/>
      <c r="L9" s="1576"/>
      <c r="M9" s="1643"/>
      <c r="N9" s="1643"/>
      <c r="O9" s="1643"/>
      <c r="P9" s="1643"/>
      <c r="S9" s="1489"/>
    </row>
    <row r="10" spans="1:21" hidden="1">
      <c r="A10" s="1533"/>
      <c r="B10" s="1644" t="s">
        <v>2513</v>
      </c>
      <c r="C10" s="1573"/>
      <c r="D10" s="1645"/>
      <c r="E10" s="1633"/>
      <c r="F10" s="1633"/>
      <c r="G10" s="1645"/>
      <c r="H10" s="1634"/>
      <c r="I10" s="1674"/>
      <c r="J10" s="1634"/>
      <c r="K10" s="1634"/>
      <c r="L10" s="1635"/>
      <c r="M10" s="1634"/>
      <c r="N10" s="1634"/>
      <c r="O10" s="1634"/>
      <c r="P10" s="1634"/>
      <c r="Q10" s="1563"/>
      <c r="R10" s="1646"/>
      <c r="S10" s="1489"/>
    </row>
    <row r="11" spans="1:21" hidden="1">
      <c r="A11" s="1533"/>
      <c r="B11" s="1647" t="s">
        <v>337</v>
      </c>
      <c r="C11" s="1645">
        <v>10</v>
      </c>
      <c r="D11" s="1645">
        <v>10</v>
      </c>
      <c r="E11" s="1633">
        <f>C11-D11</f>
        <v>0</v>
      </c>
      <c r="F11" s="1700">
        <v>0</v>
      </c>
      <c r="G11" s="1700">
        <v>0</v>
      </c>
      <c r="H11" s="1701">
        <f>G11-F11</f>
        <v>0</v>
      </c>
      <c r="I11" s="1666">
        <f>ROUND(G11/'5.1'!$X$41,2)</f>
        <v>0</v>
      </c>
      <c r="J11" s="1666">
        <v>0</v>
      </c>
      <c r="K11" s="1652"/>
      <c r="L11" s="1636"/>
      <c r="M11" s="1675"/>
      <c r="N11" s="1675"/>
      <c r="O11" s="1675"/>
      <c r="P11" s="1675"/>
      <c r="Q11" s="1481"/>
      <c r="R11" s="1676"/>
      <c r="S11" s="1502"/>
    </row>
    <row r="12" spans="1:21" hidden="1">
      <c r="A12" s="1533"/>
      <c r="B12" s="1572"/>
      <c r="C12" s="1573"/>
      <c r="D12" s="1645"/>
      <c r="E12" s="1645"/>
      <c r="F12" s="1645"/>
      <c r="G12" s="1645"/>
      <c r="H12" s="1659"/>
      <c r="I12" s="1660"/>
      <c r="J12" s="1652"/>
      <c r="K12" s="1652"/>
      <c r="L12" s="1636"/>
      <c r="M12" s="1659"/>
      <c r="N12" s="1659"/>
      <c r="O12" s="1659"/>
      <c r="P12" s="1659"/>
      <c r="Q12" s="1563"/>
      <c r="R12" s="1563"/>
      <c r="S12" s="1489"/>
    </row>
    <row r="13" spans="1:21" hidden="1">
      <c r="A13" s="1533"/>
      <c r="B13" s="1644" t="s">
        <v>1029</v>
      </c>
      <c r="C13" s="1574"/>
      <c r="D13" s="1531"/>
      <c r="E13" s="1531"/>
      <c r="F13" s="1531"/>
      <c r="G13" s="1531"/>
      <c r="H13" s="1648"/>
      <c r="I13" s="1649"/>
      <c r="J13" s="1652"/>
      <c r="K13" s="1652"/>
      <c r="L13" s="1636"/>
      <c r="M13" s="1659"/>
      <c r="N13" s="1659"/>
      <c r="O13" s="1659"/>
      <c r="P13" s="1659"/>
      <c r="Q13" s="1563"/>
      <c r="R13" s="1563"/>
      <c r="S13" s="1489"/>
    </row>
    <row r="14" spans="1:21" hidden="1">
      <c r="A14" s="1533"/>
      <c r="B14" s="1624" t="s">
        <v>125</v>
      </c>
      <c r="C14" s="1677">
        <v>290100</v>
      </c>
      <c r="D14" s="1645">
        <v>290100</v>
      </c>
      <c r="E14" s="1633">
        <f>C14-D14</f>
        <v>0</v>
      </c>
      <c r="F14" s="1700">
        <v>0</v>
      </c>
      <c r="G14" s="1700">
        <v>0</v>
      </c>
      <c r="H14" s="1701">
        <f>G14-F14</f>
        <v>0</v>
      </c>
      <c r="I14" s="1666">
        <f>G14/'5.1'!$X$41</f>
        <v>0</v>
      </c>
      <c r="J14" s="1669">
        <v>0</v>
      </c>
      <c r="K14" s="1652"/>
      <c r="L14" s="1636"/>
      <c r="M14" s="1675"/>
      <c r="N14" s="1675"/>
      <c r="O14" s="1675"/>
      <c r="P14" s="1675"/>
      <c r="R14" s="1646"/>
      <c r="S14" s="1489"/>
    </row>
    <row r="15" spans="1:21" hidden="1">
      <c r="A15" s="1533"/>
      <c r="B15" s="1624"/>
      <c r="C15" s="1677"/>
      <c r="D15" s="1645"/>
      <c r="E15" s="1633"/>
      <c r="F15" s="1645"/>
      <c r="G15" s="1645"/>
      <c r="H15" s="1651"/>
      <c r="I15" s="1652"/>
      <c r="J15" s="1660"/>
      <c r="K15" s="1652"/>
      <c r="L15" s="1636"/>
      <c r="M15" s="1675"/>
      <c r="N15" s="1675"/>
      <c r="O15" s="1675"/>
      <c r="P15" s="1675"/>
      <c r="R15" s="1646"/>
      <c r="S15" s="1489"/>
    </row>
    <row r="16" spans="1:21" hidden="1">
      <c r="A16" s="1533"/>
      <c r="B16" s="1644" t="s">
        <v>2519</v>
      </c>
      <c r="C16" s="1574"/>
      <c r="D16" s="1633"/>
      <c r="E16" s="1633"/>
      <c r="F16" s="1633"/>
      <c r="G16" s="1633"/>
      <c r="H16" s="1656"/>
      <c r="I16" s="1656"/>
      <c r="J16" s="1652"/>
      <c r="K16" s="1652"/>
      <c r="L16" s="1636"/>
      <c r="M16" s="1659"/>
      <c r="N16" s="1659"/>
      <c r="O16" s="1659"/>
      <c r="P16" s="1659"/>
      <c r="R16" s="1563"/>
      <c r="S16" s="1489"/>
    </row>
    <row r="17" spans="1:19" hidden="1">
      <c r="A17" s="1533"/>
      <c r="B17" s="1647" t="s">
        <v>1063</v>
      </c>
      <c r="C17" s="1573">
        <v>5050</v>
      </c>
      <c r="D17" s="1573">
        <v>5050</v>
      </c>
      <c r="E17" s="1633">
        <f>C17-D17</f>
        <v>0</v>
      </c>
      <c r="F17" s="1645">
        <v>0</v>
      </c>
      <c r="G17" s="1645">
        <v>0</v>
      </c>
      <c r="H17" s="1659">
        <f>G17-F17</f>
        <v>0</v>
      </c>
      <c r="I17" s="1660">
        <f>ROUND(G17/'5.1'!$X$41,2)</f>
        <v>0</v>
      </c>
      <c r="J17" s="1660">
        <v>0</v>
      </c>
      <c r="K17" s="1652"/>
      <c r="L17" s="1636"/>
      <c r="M17" s="1675"/>
      <c r="N17" s="1675"/>
      <c r="O17" s="1675"/>
      <c r="P17" s="1675"/>
      <c r="Q17" s="1481"/>
      <c r="R17" s="1646"/>
      <c r="S17" s="1489"/>
    </row>
    <row r="18" spans="1:19" hidden="1">
      <c r="A18" s="1533"/>
      <c r="B18" s="1647" t="s">
        <v>2116</v>
      </c>
      <c r="C18" s="1573">
        <v>64000</v>
      </c>
      <c r="D18" s="1573">
        <v>64000</v>
      </c>
      <c r="E18" s="1633">
        <f>C18-D18</f>
        <v>0</v>
      </c>
      <c r="F18" s="1645">
        <v>0</v>
      </c>
      <c r="G18" s="1645">
        <v>0</v>
      </c>
      <c r="H18" s="1659">
        <f>G18-F18</f>
        <v>0</v>
      </c>
      <c r="I18" s="1652">
        <f>G18/'5.1'!$X$41</f>
        <v>0</v>
      </c>
      <c r="J18" s="1660">
        <v>0</v>
      </c>
      <c r="K18" s="1652"/>
      <c r="L18" s="1636"/>
      <c r="M18" s="1675"/>
      <c r="N18" s="1675"/>
      <c r="O18" s="1675"/>
      <c r="P18" s="1675"/>
      <c r="Q18" s="1481"/>
      <c r="R18" s="1646"/>
      <c r="S18" s="1489"/>
    </row>
    <row r="19" spans="1:19" hidden="1">
      <c r="A19" s="1533"/>
      <c r="B19" s="1655"/>
      <c r="C19" s="1573"/>
      <c r="D19" s="1645"/>
      <c r="E19" s="1645"/>
      <c r="F19" s="1702">
        <f>SUM(F17:F18)</f>
        <v>0</v>
      </c>
      <c r="G19" s="1702">
        <f>SUM(G17:G18)</f>
        <v>0</v>
      </c>
      <c r="H19" s="1703">
        <f>SUM(H17:H18)</f>
        <v>0</v>
      </c>
      <c r="I19" s="1667">
        <f>SUM(I17:I18)</f>
        <v>0</v>
      </c>
      <c r="J19" s="1667">
        <f>SUM(J17:J18)</f>
        <v>0</v>
      </c>
      <c r="K19" s="1648"/>
      <c r="L19" s="1636"/>
      <c r="M19" s="1659"/>
      <c r="N19" s="1659"/>
      <c r="O19" s="1659"/>
      <c r="P19" s="1659"/>
      <c r="Q19" s="1563"/>
      <c r="R19" s="1646"/>
      <c r="S19" s="1489"/>
    </row>
    <row r="20" spans="1:19" hidden="1">
      <c r="A20" s="1533"/>
      <c r="B20" s="1663" t="s">
        <v>2533</v>
      </c>
      <c r="C20" s="1564"/>
      <c r="D20" s="1564"/>
      <c r="E20" s="1645"/>
      <c r="F20" s="1564"/>
      <c r="G20" s="1564"/>
      <c r="H20" s="1651"/>
      <c r="I20" s="1652"/>
      <c r="J20" s="1678"/>
      <c r="K20" s="1678"/>
      <c r="L20" s="1679"/>
      <c r="M20" s="1680"/>
      <c r="N20" s="1680"/>
      <c r="O20" s="1680"/>
      <c r="P20" s="1680"/>
      <c r="S20" s="1489"/>
    </row>
    <row r="21" spans="1:19" hidden="1">
      <c r="A21" s="1533"/>
      <c r="B21" s="1694" t="s">
        <v>725</v>
      </c>
      <c r="C21" s="1645">
        <v>10455</v>
      </c>
      <c r="D21" s="1645">
        <v>10455</v>
      </c>
      <c r="E21" s="1633">
        <f>C21-D21</f>
        <v>0</v>
      </c>
      <c r="F21" s="1700">
        <v>0</v>
      </c>
      <c r="G21" s="1700">
        <v>0</v>
      </c>
      <c r="H21" s="1701">
        <f>G21-F21</f>
        <v>0</v>
      </c>
      <c r="I21" s="1669">
        <f>ROUND(G21/'5.1'!$X$41,2)</f>
        <v>0</v>
      </c>
      <c r="J21" s="1669">
        <v>0</v>
      </c>
      <c r="K21" s="1652"/>
      <c r="L21" s="1636"/>
      <c r="M21" s="1675"/>
      <c r="N21" s="1675"/>
      <c r="O21" s="1675"/>
      <c r="P21" s="1675"/>
      <c r="S21" s="1489"/>
    </row>
    <row r="22" spans="1:19" hidden="1">
      <c r="A22" s="1533"/>
      <c r="B22" s="1663"/>
      <c r="C22" s="1573"/>
      <c r="D22" s="1574"/>
      <c r="E22" s="1664"/>
      <c r="F22" s="1645"/>
      <c r="G22" s="1645"/>
      <c r="H22" s="1659"/>
      <c r="I22" s="1660"/>
      <c r="J22" s="1658"/>
      <c r="K22" s="1648"/>
      <c r="L22" s="1576"/>
      <c r="M22" s="1575"/>
      <c r="N22" s="1575"/>
      <c r="O22" s="1575"/>
      <c r="P22" s="1575"/>
      <c r="S22" s="1489"/>
    </row>
    <row r="23" spans="1:19" hidden="1">
      <c r="A23" s="1533"/>
      <c r="B23" s="1477" t="s">
        <v>2520</v>
      </c>
      <c r="C23" s="1677"/>
      <c r="D23" s="1645"/>
      <c r="E23" s="1645"/>
      <c r="F23" s="1645"/>
      <c r="G23" s="1645"/>
      <c r="H23" s="1651"/>
      <c r="I23" s="1652"/>
      <c r="J23" s="1652"/>
      <c r="K23" s="1652"/>
      <c r="L23" s="1636"/>
      <c r="M23" s="1659"/>
      <c r="N23" s="1659"/>
      <c r="O23" s="1659"/>
      <c r="P23" s="1659"/>
      <c r="Q23" s="1542"/>
      <c r="R23" s="1646"/>
      <c r="S23" s="1489"/>
    </row>
    <row r="24" spans="1:19" hidden="1">
      <c r="A24" s="1654"/>
      <c r="B24" s="1624" t="s">
        <v>2431</v>
      </c>
      <c r="C24" s="1677">
        <v>968800</v>
      </c>
      <c r="D24" s="1633">
        <v>968800</v>
      </c>
      <c r="E24" s="1633">
        <f>C24-D24</f>
        <v>0</v>
      </c>
      <c r="F24" s="1645">
        <v>0</v>
      </c>
      <c r="G24" s="1645">
        <v>0</v>
      </c>
      <c r="H24" s="1659">
        <f>G24-F24</f>
        <v>0</v>
      </c>
      <c r="I24" s="1652">
        <f>G24/'5.1'!$X$41</f>
        <v>0</v>
      </c>
      <c r="J24" s="1652">
        <v>0</v>
      </c>
      <c r="K24" s="1652"/>
      <c r="L24" s="1636"/>
      <c r="M24" s="1675"/>
      <c r="N24" s="1675"/>
      <c r="O24" s="1675"/>
      <c r="P24" s="1675"/>
      <c r="Q24" s="1481"/>
      <c r="R24" s="1646"/>
      <c r="S24" s="1489"/>
    </row>
    <row r="25" spans="1:19" hidden="1">
      <c r="A25" s="1654"/>
      <c r="B25" s="1624" t="s">
        <v>123</v>
      </c>
      <c r="C25" s="1677">
        <v>466600</v>
      </c>
      <c r="D25" s="1633">
        <v>466600</v>
      </c>
      <c r="E25" s="1633">
        <f>C25-D25</f>
        <v>0</v>
      </c>
      <c r="F25" s="1645">
        <v>0</v>
      </c>
      <c r="G25" s="1645">
        <v>0</v>
      </c>
      <c r="H25" s="1659">
        <f>G25-F25</f>
        <v>0</v>
      </c>
      <c r="I25" s="1652">
        <f>G25/'5.1'!$X$41</f>
        <v>0</v>
      </c>
      <c r="J25" s="1652">
        <v>0</v>
      </c>
      <c r="K25" s="1652"/>
      <c r="L25" s="1636"/>
      <c r="M25" s="1675"/>
      <c r="N25" s="1675"/>
      <c r="O25" s="1675"/>
      <c r="P25" s="1675"/>
      <c r="Q25" s="1481"/>
      <c r="R25" s="1646"/>
      <c r="S25" s="1489"/>
    </row>
    <row r="26" spans="1:19" hidden="1">
      <c r="A26" s="1533"/>
      <c r="B26" s="1624" t="s">
        <v>1047</v>
      </c>
      <c r="C26" s="1677">
        <v>215670</v>
      </c>
      <c r="D26" s="1633">
        <v>215670</v>
      </c>
      <c r="E26" s="1633">
        <f>C26-D26</f>
        <v>0</v>
      </c>
      <c r="F26" s="1645">
        <v>0</v>
      </c>
      <c r="G26" s="1645">
        <v>0</v>
      </c>
      <c r="H26" s="1659">
        <f>G26-F26</f>
        <v>0</v>
      </c>
      <c r="I26" s="1652">
        <f>G26/'5.1'!$X$41</f>
        <v>0</v>
      </c>
      <c r="J26" s="1652">
        <v>0</v>
      </c>
      <c r="K26" s="1652"/>
      <c r="L26" s="1636"/>
      <c r="M26" s="1675"/>
      <c r="N26" s="1675"/>
      <c r="O26" s="1675"/>
      <c r="P26" s="1675"/>
      <c r="Q26" s="1481"/>
      <c r="R26" s="1646"/>
      <c r="S26" s="1489"/>
    </row>
    <row r="27" spans="1:19" hidden="1">
      <c r="A27" s="1533"/>
      <c r="B27" s="1644"/>
      <c r="C27" s="1574"/>
      <c r="D27" s="1645"/>
      <c r="E27" s="1645"/>
      <c r="F27" s="1702">
        <f>SUM(F24:F26)</f>
        <v>0</v>
      </c>
      <c r="G27" s="1702">
        <f>SUM(G24:G26)</f>
        <v>0</v>
      </c>
      <c r="H27" s="1702">
        <f>SUM(H24:H26)</f>
        <v>0</v>
      </c>
      <c r="I27" s="1667">
        <f>SUM(I24:I26)</f>
        <v>0</v>
      </c>
      <c r="J27" s="1667">
        <f>SUM(J24:J26)</f>
        <v>0</v>
      </c>
      <c r="K27" s="1648"/>
      <c r="L27" s="1636"/>
      <c r="M27" s="1659"/>
      <c r="N27" s="1659"/>
      <c r="O27" s="1659"/>
      <c r="P27" s="1659"/>
      <c r="Q27" s="1542"/>
      <c r="R27" s="1646"/>
      <c r="S27" s="1489"/>
    </row>
    <row r="28" spans="1:19" hidden="1">
      <c r="B28" s="1401" t="s">
        <v>1054</v>
      </c>
      <c r="C28" s="1564"/>
      <c r="D28" s="1531"/>
      <c r="E28" s="1531"/>
      <c r="F28" s="1531"/>
      <c r="G28" s="1531"/>
      <c r="H28" s="1648"/>
      <c r="I28" s="1649"/>
      <c r="J28" s="1661"/>
      <c r="K28" s="1661"/>
      <c r="L28" s="1433"/>
      <c r="M28" s="1412"/>
      <c r="N28" s="1412"/>
      <c r="O28" s="1412"/>
      <c r="P28" s="1412"/>
      <c r="Q28" s="1405"/>
      <c r="S28" s="1489"/>
    </row>
    <row r="29" spans="1:19" hidden="1">
      <c r="B29" s="1402" t="s">
        <v>500</v>
      </c>
      <c r="C29" s="1564">
        <v>5540.4</v>
      </c>
      <c r="D29" s="1564">
        <v>5540.4</v>
      </c>
      <c r="E29" s="1633">
        <f>C29-D29</f>
        <v>0</v>
      </c>
      <c r="F29" s="1705">
        <v>0</v>
      </c>
      <c r="G29" s="1705">
        <v>0</v>
      </c>
      <c r="H29" s="1706">
        <f>G29-F29</f>
        <v>0</v>
      </c>
      <c r="I29" s="1704">
        <f>ROUND(G29/'5.1'!$X$41,2)</f>
        <v>0</v>
      </c>
      <c r="J29" s="1669">
        <v>0</v>
      </c>
      <c r="K29" s="1652"/>
      <c r="L29" s="1636"/>
      <c r="M29" s="1675"/>
      <c r="N29" s="1675"/>
      <c r="O29" s="1675"/>
      <c r="P29" s="1675"/>
      <c r="Q29" s="1405"/>
      <c r="R29" s="1481"/>
      <c r="S29" s="1489"/>
    </row>
    <row r="30" spans="1:19" hidden="1">
      <c r="C30" s="1531"/>
      <c r="D30" s="1531"/>
      <c r="E30" s="1633"/>
      <c r="F30" s="1633"/>
      <c r="G30" s="1564"/>
      <c r="H30" s="1648"/>
      <c r="I30" s="1649"/>
      <c r="J30" s="1661"/>
      <c r="K30" s="1648"/>
      <c r="L30" s="1433"/>
      <c r="M30" s="1412"/>
      <c r="N30" s="1412"/>
      <c r="O30" s="1412"/>
      <c r="P30" s="1412"/>
      <c r="Q30" s="1405"/>
      <c r="R30" s="1481"/>
      <c r="S30" s="1489"/>
    </row>
    <row r="31" spans="1:19" hidden="1">
      <c r="B31" s="1401" t="s">
        <v>2521</v>
      </c>
      <c r="C31" s="1531"/>
      <c r="D31" s="1531"/>
      <c r="E31" s="1633"/>
      <c r="F31" s="1633"/>
      <c r="G31" s="1564"/>
      <c r="H31" s="1648"/>
      <c r="I31" s="1652"/>
      <c r="J31" s="1661"/>
      <c r="K31" s="1661"/>
      <c r="L31" s="1433"/>
      <c r="M31" s="1412"/>
      <c r="N31" s="1412"/>
      <c r="O31" s="1412"/>
      <c r="P31" s="1412"/>
      <c r="Q31" s="1405"/>
      <c r="R31" s="1481"/>
      <c r="S31" s="1489"/>
    </row>
    <row r="32" spans="1:19" hidden="1">
      <c r="B32" s="1402" t="s">
        <v>2563</v>
      </c>
      <c r="C32" s="1531">
        <v>1872400</v>
      </c>
      <c r="D32" s="1531">
        <v>1872400</v>
      </c>
      <c r="E32" s="1633">
        <f>C32-D32</f>
        <v>0</v>
      </c>
      <c r="F32" s="1659">
        <v>0</v>
      </c>
      <c r="G32" s="1659">
        <v>0</v>
      </c>
      <c r="H32" s="1659">
        <f>G32-F32</f>
        <v>0</v>
      </c>
      <c r="I32" s="1652">
        <f>G32/'5.1'!$X$41</f>
        <v>0</v>
      </c>
      <c r="J32" s="1660">
        <v>0</v>
      </c>
      <c r="K32" s="1648"/>
      <c r="L32" s="1636"/>
      <c r="M32" s="1675"/>
      <c r="N32" s="1675"/>
      <c r="O32" s="1675"/>
      <c r="P32" s="1675"/>
      <c r="Q32" s="1681"/>
      <c r="R32" s="1481"/>
      <c r="S32" s="1489"/>
    </row>
    <row r="33" spans="1:19" hidden="1">
      <c r="A33" s="1654"/>
      <c r="B33" s="1402" t="s">
        <v>503</v>
      </c>
      <c r="C33" s="1531">
        <v>15500</v>
      </c>
      <c r="D33" s="1531">
        <v>15500</v>
      </c>
      <c r="E33" s="1633">
        <f>C33-D33</f>
        <v>0</v>
      </c>
      <c r="F33" s="1659">
        <v>0</v>
      </c>
      <c r="G33" s="1659">
        <v>0</v>
      </c>
      <c r="H33" s="1659">
        <f>G33-F33</f>
        <v>0</v>
      </c>
      <c r="I33" s="1652">
        <f>G33/'5.1'!$X$41</f>
        <v>0</v>
      </c>
      <c r="J33" s="1660">
        <v>0</v>
      </c>
      <c r="K33" s="1648"/>
      <c r="L33" s="1636"/>
      <c r="M33" s="1675"/>
      <c r="N33" s="1675"/>
      <c r="O33" s="1675"/>
      <c r="P33" s="1675"/>
      <c r="Q33" s="1405"/>
      <c r="R33" s="1481"/>
      <c r="S33" s="1489"/>
    </row>
    <row r="34" spans="1:19" hidden="1">
      <c r="A34" s="1654"/>
      <c r="B34" s="1402" t="s">
        <v>1066</v>
      </c>
      <c r="C34" s="1531">
        <v>327000</v>
      </c>
      <c r="D34" s="1531">
        <v>327000</v>
      </c>
      <c r="E34" s="1633">
        <f>C34-D34</f>
        <v>0</v>
      </c>
      <c r="F34" s="1659">
        <v>0</v>
      </c>
      <c r="G34" s="1659">
        <v>0</v>
      </c>
      <c r="H34" s="1659">
        <f>G34-F34</f>
        <v>0</v>
      </c>
      <c r="I34" s="1661">
        <f>G34/'5.1'!$X$41</f>
        <v>0</v>
      </c>
      <c r="J34" s="1660">
        <v>0</v>
      </c>
      <c r="K34" s="1648"/>
      <c r="L34" s="1636"/>
      <c r="M34" s="1675"/>
      <c r="N34" s="1675"/>
      <c r="O34" s="1675"/>
      <c r="P34" s="1675"/>
      <c r="Q34" s="1405"/>
      <c r="R34" s="1481">
        <v>50172522</v>
      </c>
      <c r="S34" s="1489">
        <f>ROUND(R34/1000,0)</f>
        <v>50173</v>
      </c>
    </row>
    <row r="35" spans="1:19" hidden="1">
      <c r="C35" s="1531"/>
      <c r="D35" s="1531"/>
      <c r="E35" s="1633"/>
      <c r="F35" s="1703">
        <f>SUM(F32:F34)</f>
        <v>0</v>
      </c>
      <c r="G35" s="1703">
        <f>SUM(G32:G34)</f>
        <v>0</v>
      </c>
      <c r="H35" s="1703">
        <f>SUM(H32:H34)</f>
        <v>0</v>
      </c>
      <c r="I35" s="1670">
        <f>SUM(I32:I34)</f>
        <v>0</v>
      </c>
      <c r="J35" s="1670">
        <f>SUM(J32:J34)</f>
        <v>0</v>
      </c>
      <c r="K35" s="1648"/>
      <c r="L35" s="1433"/>
      <c r="M35" s="1412"/>
      <c r="N35" s="1412"/>
      <c r="O35" s="1412"/>
      <c r="P35" s="1412"/>
      <c r="Q35" s="1405"/>
      <c r="R35" s="1481"/>
      <c r="S35" s="1489"/>
    </row>
    <row r="36" spans="1:19" hidden="1">
      <c r="B36" s="1401" t="s">
        <v>2522</v>
      </c>
      <c r="C36" s="1531"/>
      <c r="D36" s="1531"/>
      <c r="E36" s="1633"/>
      <c r="F36" s="1633"/>
      <c r="G36" s="1564"/>
      <c r="H36" s="1648"/>
      <c r="I36" s="1649"/>
      <c r="J36" s="1661"/>
      <c r="K36" s="1661"/>
      <c r="L36" s="1433"/>
      <c r="M36" s="1412"/>
      <c r="N36" s="1412"/>
      <c r="O36" s="1412"/>
      <c r="P36" s="1412"/>
      <c r="Q36" s="1405"/>
      <c r="R36" s="1481"/>
      <c r="S36" s="1489"/>
    </row>
    <row r="37" spans="1:19" hidden="1">
      <c r="B37" s="1402" t="s">
        <v>1067</v>
      </c>
      <c r="C37" s="1531">
        <v>750</v>
      </c>
      <c r="D37" s="1531">
        <v>750</v>
      </c>
      <c r="E37" s="1633">
        <f>C37-D37</f>
        <v>0</v>
      </c>
      <c r="F37" s="1645">
        <v>0</v>
      </c>
      <c r="G37" s="1567">
        <v>0</v>
      </c>
      <c r="H37" s="1567">
        <f>G37-F37</f>
        <v>0</v>
      </c>
      <c r="I37" s="1671">
        <f>ROUND(G37/'5.1'!$X$41,2)</f>
        <v>0</v>
      </c>
      <c r="J37" s="1660">
        <v>0</v>
      </c>
      <c r="K37" s="1652"/>
      <c r="L37" s="1636"/>
      <c r="M37" s="1675"/>
      <c r="N37" s="1675"/>
      <c r="O37" s="1675"/>
      <c r="P37" s="1675"/>
      <c r="Q37" s="1405"/>
      <c r="R37" s="1481"/>
      <c r="S37" s="1489"/>
    </row>
    <row r="38" spans="1:19" hidden="1">
      <c r="B38" s="1402" t="s">
        <v>2052</v>
      </c>
      <c r="C38" s="1531">
        <v>631500</v>
      </c>
      <c r="D38" s="1531">
        <v>631500</v>
      </c>
      <c r="E38" s="1633">
        <f>C38-D38</f>
        <v>0</v>
      </c>
      <c r="F38" s="1645">
        <v>0</v>
      </c>
      <c r="G38" s="1567">
        <v>0</v>
      </c>
      <c r="H38" s="1567">
        <f>G38-F38</f>
        <v>0</v>
      </c>
      <c r="I38" s="1661">
        <f>G38/'5.1'!$X$41</f>
        <v>0</v>
      </c>
      <c r="J38" s="1660">
        <v>0</v>
      </c>
      <c r="K38" s="1652"/>
      <c r="L38" s="1636"/>
      <c r="M38" s="1675"/>
      <c r="N38" s="1675"/>
      <c r="O38" s="1675"/>
      <c r="P38" s="1675"/>
      <c r="Q38" s="1405"/>
      <c r="R38" s="1481"/>
      <c r="S38" s="1489"/>
    </row>
    <row r="39" spans="1:19" hidden="1">
      <c r="C39" s="1531"/>
      <c r="D39" s="1531"/>
      <c r="E39" s="1633"/>
      <c r="F39" s="1702">
        <f>SUM(F37:F38)</f>
        <v>0</v>
      </c>
      <c r="G39" s="1707">
        <f>SUM(G37:G38)</f>
        <v>0</v>
      </c>
      <c r="H39" s="1707">
        <f>SUM(H37:H38)</f>
        <v>0</v>
      </c>
      <c r="I39" s="1670">
        <f>SUM(I37:I38)</f>
        <v>0</v>
      </c>
      <c r="J39" s="1670">
        <f>SUM(J37:J38)</f>
        <v>0</v>
      </c>
      <c r="K39" s="1648"/>
      <c r="L39" s="1433"/>
      <c r="M39" s="1412"/>
      <c r="N39" s="1412"/>
      <c r="O39" s="1412"/>
      <c r="P39" s="1412"/>
      <c r="Q39" s="1405"/>
      <c r="R39" s="1481"/>
      <c r="S39" s="1489"/>
    </row>
    <row r="40" spans="1:19" hidden="1">
      <c r="B40" s="1401" t="s">
        <v>1059</v>
      </c>
      <c r="C40" s="1531"/>
      <c r="D40" s="1531"/>
      <c r="E40" s="1633"/>
      <c r="F40" s="1633"/>
      <c r="G40" s="1564"/>
      <c r="H40" s="1648"/>
      <c r="I40" s="1649"/>
      <c r="J40" s="1661"/>
      <c r="K40" s="1661"/>
      <c r="L40" s="1433"/>
      <c r="M40" s="1412"/>
      <c r="N40" s="1412"/>
      <c r="O40" s="1412"/>
      <c r="P40" s="1412"/>
      <c r="Q40" s="1405"/>
      <c r="R40" s="1481"/>
      <c r="S40" s="1489"/>
    </row>
    <row r="41" spans="1:19" hidden="1">
      <c r="B41" s="1402" t="s">
        <v>338</v>
      </c>
      <c r="C41" s="1531">
        <v>995340</v>
      </c>
      <c r="D41" s="1531">
        <v>995340</v>
      </c>
      <c r="E41" s="1633">
        <f>C41-D41</f>
        <v>0</v>
      </c>
      <c r="F41" s="1700">
        <v>0</v>
      </c>
      <c r="G41" s="1705">
        <v>0</v>
      </c>
      <c r="H41" s="1705">
        <f>G41-F41</f>
        <v>0</v>
      </c>
      <c r="I41" s="1672">
        <f>G41/'5.1'!$X$41</f>
        <v>0</v>
      </c>
      <c r="J41" s="1669">
        <v>0</v>
      </c>
      <c r="K41" s="1652"/>
      <c r="L41" s="1636"/>
      <c r="M41" s="1675"/>
      <c r="N41" s="1675"/>
      <c r="O41" s="1675"/>
      <c r="P41" s="1675"/>
      <c r="Q41" s="1405"/>
      <c r="R41" s="1481"/>
      <c r="S41" s="1489"/>
    </row>
    <row r="42" spans="1:19" hidden="1">
      <c r="C42" s="1564"/>
      <c r="D42" s="1564"/>
      <c r="E42" s="1564"/>
      <c r="F42" s="1564"/>
      <c r="G42" s="1564"/>
      <c r="H42" s="1648"/>
      <c r="I42" s="1648"/>
      <c r="J42" s="1662"/>
      <c r="K42" s="1412"/>
      <c r="L42" s="1433"/>
      <c r="M42" s="1412"/>
      <c r="N42" s="1412"/>
      <c r="O42" s="1412"/>
      <c r="P42" s="1412"/>
      <c r="Q42" s="1405"/>
      <c r="R42" s="1481"/>
      <c r="S42" s="1489"/>
    </row>
    <row r="43" spans="1:19" ht="14.4" hidden="1" thickBot="1">
      <c r="A43" s="1528"/>
      <c r="B43" s="1528" t="s">
        <v>2523</v>
      </c>
      <c r="C43" s="1564"/>
      <c r="D43" s="1564"/>
      <c r="E43" s="1573"/>
      <c r="F43" s="1708">
        <v>0</v>
      </c>
      <c r="G43" s="1708">
        <v>0</v>
      </c>
      <c r="H43" s="1708">
        <v>0</v>
      </c>
      <c r="I43" s="1650"/>
      <c r="J43" s="1650"/>
      <c r="K43" s="1648"/>
      <c r="L43" s="1651"/>
      <c r="M43" s="1659"/>
      <c r="N43" s="1659"/>
      <c r="O43" s="1659"/>
      <c r="P43" s="1659"/>
      <c r="S43" s="1489"/>
    </row>
    <row r="44" spans="1:19" hidden="1">
      <c r="A44" s="1528"/>
      <c r="B44" s="1528"/>
      <c r="C44" s="1564"/>
      <c r="D44" s="1564"/>
      <c r="E44" s="1571"/>
      <c r="F44" s="1571"/>
      <c r="G44" s="1571"/>
      <c r="H44" s="1657"/>
      <c r="I44" s="1657"/>
      <c r="J44" s="1682"/>
      <c r="K44" s="1405"/>
      <c r="L44" s="1433"/>
      <c r="M44" s="1405"/>
      <c r="N44" s="1405"/>
      <c r="O44" s="1405"/>
      <c r="P44" s="1405"/>
      <c r="R44" s="1481"/>
      <c r="S44" s="1489"/>
    </row>
    <row r="45" spans="1:19" ht="14.4" hidden="1" thickBot="1">
      <c r="A45" s="1528"/>
      <c r="B45" s="1527" t="s">
        <v>2524</v>
      </c>
      <c r="C45" s="1564"/>
      <c r="D45" s="1564"/>
      <c r="E45" s="1567"/>
      <c r="F45" s="1683">
        <v>939517</v>
      </c>
      <c r="G45" s="1684">
        <v>1309693</v>
      </c>
      <c r="H45" s="1709">
        <f>G45-F45</f>
        <v>370176</v>
      </c>
      <c r="I45" s="1657"/>
      <c r="J45" s="1685"/>
      <c r="L45" s="1489"/>
      <c r="S45" s="1489"/>
    </row>
    <row r="46" spans="1:19" hidden="1"/>
    <row r="47" spans="1:19" ht="15" customHeight="1">
      <c r="A47" s="1693">
        <v>6.2</v>
      </c>
      <c r="B47" s="1401" t="s">
        <v>37</v>
      </c>
    </row>
    <row r="48" spans="1:19" ht="12" customHeight="1"/>
    <row r="49" spans="1:10" ht="15" customHeight="1">
      <c r="A49" s="1726"/>
      <c r="B49" s="2378" t="s">
        <v>2564</v>
      </c>
      <c r="C49" s="2378" t="s">
        <v>128</v>
      </c>
      <c r="D49" s="2396" t="s">
        <v>183</v>
      </c>
      <c r="E49" s="2397"/>
      <c r="F49" s="2397"/>
      <c r="G49" s="2398"/>
      <c r="H49" s="2385" t="s">
        <v>2813</v>
      </c>
      <c r="I49" s="2386"/>
      <c r="J49" s="2387"/>
    </row>
    <row r="50" spans="1:10" ht="15" customHeight="1">
      <c r="A50" s="1726"/>
      <c r="B50" s="2379"/>
      <c r="C50" s="2379"/>
      <c r="D50" s="2388" t="s">
        <v>2809</v>
      </c>
      <c r="E50" s="2388" t="s">
        <v>2515</v>
      </c>
      <c r="F50" s="2388" t="s">
        <v>2565</v>
      </c>
      <c r="G50" s="2388" t="s">
        <v>2810</v>
      </c>
      <c r="H50" s="2388" t="s">
        <v>985</v>
      </c>
      <c r="I50" s="2388" t="s">
        <v>2566</v>
      </c>
      <c r="J50" s="2375" t="s">
        <v>2594</v>
      </c>
    </row>
    <row r="51" spans="1:10" ht="15" customHeight="1">
      <c r="A51" s="1726"/>
      <c r="B51" s="2379"/>
      <c r="C51" s="2379"/>
      <c r="D51" s="2389"/>
      <c r="E51" s="2389"/>
      <c r="F51" s="2389"/>
      <c r="G51" s="2389"/>
      <c r="H51" s="2389"/>
      <c r="I51" s="2389"/>
      <c r="J51" s="2376"/>
    </row>
    <row r="52" spans="1:10" ht="15" customHeight="1">
      <c r="A52" s="1726"/>
      <c r="B52" s="2379"/>
      <c r="C52" s="2379"/>
      <c r="D52" s="2390"/>
      <c r="E52" s="2390"/>
      <c r="F52" s="2390"/>
      <c r="G52" s="2390"/>
      <c r="H52" s="2390"/>
      <c r="I52" s="2390"/>
      <c r="J52" s="2377"/>
    </row>
    <row r="53" spans="1:10" ht="24.6" customHeight="1">
      <c r="A53" s="1577"/>
      <c r="B53" s="1686"/>
      <c r="C53" s="1687"/>
      <c r="D53" s="2380" t="s">
        <v>2790</v>
      </c>
      <c r="E53" s="2380"/>
      <c r="F53" s="2380"/>
      <c r="G53" s="2380"/>
      <c r="H53" s="2380"/>
      <c r="I53" s="2380"/>
      <c r="J53" s="2380"/>
    </row>
    <row r="54" spans="1:10" ht="15" customHeight="1">
      <c r="A54" s="1577"/>
      <c r="B54" s="2230" t="s">
        <v>2567</v>
      </c>
      <c r="C54" s="2231"/>
      <c r="D54" s="2232"/>
      <c r="E54" s="2233"/>
      <c r="F54" s="2233"/>
      <c r="G54" s="2233"/>
      <c r="H54" s="1689"/>
      <c r="I54" s="1689"/>
    </row>
    <row r="55" spans="1:10" ht="15" customHeight="1">
      <c r="A55" s="1577"/>
      <c r="B55" s="1402" t="s">
        <v>2568</v>
      </c>
      <c r="C55" s="2239">
        <v>44379</v>
      </c>
      <c r="D55" s="1531">
        <v>0</v>
      </c>
      <c r="E55" s="1531">
        <v>500000</v>
      </c>
      <c r="F55" s="1531">
        <v>500000</v>
      </c>
      <c r="G55" s="1531">
        <v>0</v>
      </c>
      <c r="H55" s="1632">
        <v>0</v>
      </c>
      <c r="I55" s="1632">
        <v>0</v>
      </c>
      <c r="J55" s="1632">
        <v>0</v>
      </c>
    </row>
    <row r="56" spans="1:10" ht="15" customHeight="1">
      <c r="A56" s="1577"/>
      <c r="C56" s="2239">
        <v>44392</v>
      </c>
      <c r="D56" s="1531">
        <v>0</v>
      </c>
      <c r="E56" s="1531">
        <v>500000</v>
      </c>
      <c r="F56" s="1531">
        <v>500000</v>
      </c>
      <c r="G56" s="1531">
        <v>0</v>
      </c>
      <c r="H56" s="1632">
        <v>0</v>
      </c>
      <c r="I56" s="1632">
        <v>0</v>
      </c>
      <c r="J56" s="1632">
        <v>0</v>
      </c>
    </row>
    <row r="57" spans="1:10" ht="15" customHeight="1">
      <c r="A57" s="1577"/>
      <c r="C57" s="2240">
        <v>44406</v>
      </c>
      <c r="D57" s="1531">
        <v>0</v>
      </c>
      <c r="E57" s="1531">
        <v>500000</v>
      </c>
      <c r="F57" s="1531">
        <v>500000</v>
      </c>
      <c r="G57" s="1531">
        <v>0</v>
      </c>
      <c r="H57" s="1632">
        <v>0</v>
      </c>
      <c r="I57" s="1632">
        <v>0</v>
      </c>
      <c r="J57" s="1632">
        <v>0</v>
      </c>
    </row>
    <row r="58" spans="1:10" ht="15" customHeight="1">
      <c r="A58" s="1577"/>
      <c r="C58" s="2239">
        <v>44420</v>
      </c>
      <c r="D58" s="1531">
        <v>0</v>
      </c>
      <c r="E58" s="1531">
        <v>5500000</v>
      </c>
      <c r="F58" s="1531">
        <v>5500000</v>
      </c>
      <c r="G58" s="1531">
        <v>0</v>
      </c>
      <c r="H58" s="1632">
        <v>0</v>
      </c>
      <c r="I58" s="1632">
        <v>0</v>
      </c>
      <c r="J58" s="1632">
        <v>0</v>
      </c>
    </row>
    <row r="59" spans="1:10" ht="15" customHeight="1">
      <c r="A59" s="1577"/>
      <c r="C59" s="2239">
        <v>44434</v>
      </c>
      <c r="D59" s="1531">
        <v>0</v>
      </c>
      <c r="E59" s="1531">
        <v>3500000</v>
      </c>
      <c r="F59" s="1531">
        <v>3500000</v>
      </c>
      <c r="G59" s="1531">
        <v>0</v>
      </c>
      <c r="H59" s="1632">
        <v>0</v>
      </c>
      <c r="I59" s="1632">
        <v>0</v>
      </c>
      <c r="J59" s="1632">
        <v>0</v>
      </c>
    </row>
    <row r="60" spans="1:10" ht="15" customHeight="1">
      <c r="A60" s="1577"/>
      <c r="C60" s="2239">
        <v>44448</v>
      </c>
      <c r="D60" s="1531">
        <v>0</v>
      </c>
      <c r="E60" s="1531">
        <v>6000000</v>
      </c>
      <c r="F60" s="1531">
        <v>6000000</v>
      </c>
      <c r="G60" s="1531">
        <v>0</v>
      </c>
      <c r="H60" s="1632">
        <v>0</v>
      </c>
      <c r="I60" s="1632">
        <v>0</v>
      </c>
      <c r="J60" s="1632">
        <v>0</v>
      </c>
    </row>
    <row r="61" spans="1:10" ht="15" customHeight="1">
      <c r="A61" s="1577"/>
      <c r="C61" s="2240">
        <v>44462</v>
      </c>
      <c r="D61" s="1531">
        <v>0</v>
      </c>
      <c r="E61" s="1531">
        <v>1000000</v>
      </c>
      <c r="F61" s="1531">
        <v>1000000</v>
      </c>
      <c r="G61" s="1531">
        <v>0</v>
      </c>
      <c r="H61" s="1632">
        <v>0</v>
      </c>
      <c r="I61" s="1632">
        <v>0</v>
      </c>
      <c r="J61" s="1632">
        <v>0</v>
      </c>
    </row>
    <row r="62" spans="1:10" ht="15" customHeight="1">
      <c r="A62" s="1577"/>
      <c r="C62" s="2240">
        <v>44476</v>
      </c>
      <c r="D62" s="1531">
        <v>0</v>
      </c>
      <c r="E62" s="1531">
        <v>850000</v>
      </c>
      <c r="F62" s="1531">
        <v>850000</v>
      </c>
      <c r="G62" s="1531">
        <v>0</v>
      </c>
      <c r="H62" s="1632">
        <v>0</v>
      </c>
      <c r="I62" s="1632">
        <v>0</v>
      </c>
      <c r="J62" s="1632">
        <v>0</v>
      </c>
    </row>
    <row r="63" spans="1:10" ht="15" customHeight="1">
      <c r="A63" s="1577"/>
      <c r="C63" s="2240">
        <v>44588</v>
      </c>
      <c r="D63" s="1531">
        <v>0</v>
      </c>
      <c r="E63" s="1531">
        <v>500000</v>
      </c>
      <c r="F63" s="1531">
        <v>500000</v>
      </c>
      <c r="G63" s="1531">
        <v>0</v>
      </c>
      <c r="H63" s="1632">
        <v>0</v>
      </c>
      <c r="I63" s="1632">
        <v>0</v>
      </c>
      <c r="J63" s="1632">
        <v>0</v>
      </c>
    </row>
    <row r="64" spans="1:10" ht="15" customHeight="1">
      <c r="A64" s="1577"/>
      <c r="B64" s="1402" t="s">
        <v>2709</v>
      </c>
      <c r="C64" s="2239"/>
      <c r="D64" s="1531"/>
      <c r="E64" s="1531"/>
      <c r="F64" s="1531"/>
      <c r="G64" s="1531"/>
      <c r="H64" s="1632"/>
      <c r="I64" s="1632"/>
      <c r="J64" s="1632"/>
    </row>
    <row r="65" spans="1:14" ht="15" customHeight="1">
      <c r="A65" s="1577"/>
      <c r="C65" s="2240">
        <v>44308</v>
      </c>
      <c r="D65" s="1531">
        <v>0</v>
      </c>
      <c r="E65" s="1531">
        <v>6000000</v>
      </c>
      <c r="F65" s="1531">
        <v>6000000</v>
      </c>
      <c r="G65" s="1531">
        <v>0</v>
      </c>
      <c r="H65" s="1632">
        <v>0</v>
      </c>
      <c r="I65" s="1632">
        <v>0</v>
      </c>
      <c r="J65" s="1632">
        <v>0</v>
      </c>
    </row>
    <row r="66" spans="1:14" ht="15" customHeight="1">
      <c r="A66" s="1577"/>
      <c r="C66" s="1727"/>
      <c r="D66" s="1531"/>
      <c r="E66" s="1531"/>
      <c r="F66" s="1531"/>
      <c r="G66" s="1531"/>
      <c r="H66" s="1632"/>
      <c r="I66" s="1632"/>
      <c r="J66" s="1632"/>
    </row>
    <row r="67" spans="1:14" ht="15" customHeight="1" thickBot="1">
      <c r="A67" s="1577"/>
      <c r="B67" s="1528" t="s">
        <v>2814</v>
      </c>
      <c r="C67" s="1531"/>
      <c r="D67" s="1690"/>
      <c r="E67" s="1691"/>
      <c r="G67" s="1531"/>
      <c r="H67" s="2049">
        <f>SUM(H55:H65)</f>
        <v>0</v>
      </c>
      <c r="I67" s="2049">
        <f>SUM(I55:I65)</f>
        <v>0</v>
      </c>
      <c r="J67" s="2049">
        <f>SUM(J55:J65)</f>
        <v>0</v>
      </c>
    </row>
    <row r="68" spans="1:14" ht="15" customHeight="1" thickTop="1">
      <c r="A68" s="1577"/>
      <c r="B68" s="1528"/>
      <c r="C68" s="1531"/>
      <c r="D68" s="1690"/>
      <c r="E68" s="1691"/>
      <c r="G68" s="1691"/>
      <c r="H68" s="1692"/>
      <c r="I68" s="1692"/>
      <c r="J68" s="1688"/>
    </row>
    <row r="69" spans="1:14" ht="15" customHeight="1" thickBot="1">
      <c r="A69" s="1577"/>
      <c r="B69" s="1527" t="s">
        <v>2815</v>
      </c>
      <c r="C69" s="1531"/>
      <c r="D69" s="1691"/>
      <c r="E69" s="1691"/>
      <c r="G69" s="1691"/>
      <c r="H69" s="2050">
        <v>0</v>
      </c>
      <c r="I69" s="2050">
        <v>0</v>
      </c>
      <c r="J69" s="2050">
        <v>0</v>
      </c>
    </row>
    <row r="70" spans="1:14" ht="15" customHeight="1" thickTop="1">
      <c r="C70" s="1531"/>
    </row>
    <row r="71" spans="1:14" ht="15.6">
      <c r="A71" s="1530"/>
      <c r="B71" s="1530"/>
      <c r="C71" s="1555"/>
      <c r="D71" s="1530"/>
      <c r="E71" s="1530"/>
      <c r="F71" s="1588"/>
      <c r="G71" s="1588"/>
      <c r="H71" s="1588"/>
      <c r="I71" s="1653"/>
      <c r="J71" s="1570"/>
      <c r="L71" s="1010"/>
      <c r="M71" s="1010"/>
      <c r="N71" s="1010"/>
    </row>
    <row r="75" spans="1:14">
      <c r="N75" s="1428"/>
    </row>
  </sheetData>
  <mergeCells count="25">
    <mergeCell ref="D4:D6"/>
    <mergeCell ref="D50:D52"/>
    <mergeCell ref="C49:C52"/>
    <mergeCell ref="D49:G49"/>
    <mergeCell ref="E50:E52"/>
    <mergeCell ref="F50:F52"/>
    <mergeCell ref="G50:G52"/>
    <mergeCell ref="E4:E6"/>
    <mergeCell ref="F7:H7"/>
    <mergeCell ref="J50:J52"/>
    <mergeCell ref="B3:B6"/>
    <mergeCell ref="B49:B52"/>
    <mergeCell ref="D53:J53"/>
    <mergeCell ref="I3:I6"/>
    <mergeCell ref="I7:J7"/>
    <mergeCell ref="J3:J6"/>
    <mergeCell ref="G4:G6"/>
    <mergeCell ref="H49:J49"/>
    <mergeCell ref="H50:H52"/>
    <mergeCell ref="I50:I52"/>
    <mergeCell ref="F4:F6"/>
    <mergeCell ref="C3:E3"/>
    <mergeCell ref="C4:C6"/>
    <mergeCell ref="F3:H3"/>
    <mergeCell ref="H4:H6"/>
  </mergeCells>
  <pageMargins left="0.75" right="0.25" top="0.75" bottom="0" header="0.25" footer="0"/>
  <pageSetup paperSize="9" scale="72" firstPageNumber="11" orientation="landscape" useFirstPageNumber="1" r:id="rId1"/>
  <headerFooter>
    <oddHeader>&amp;C&amp;"Arial Black,Regular"&amp;11&amp;P&amp;R&amp;"Arial Black,Regular"&amp;11MCB PAKISTAN STOCK MARKET FUND</oddHeader>
  </headerFooter>
  <rowBreaks count="1" manualBreakCount="1">
    <brk id="4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8"/>
  <sheetViews>
    <sheetView view="pageBreakPreview" topLeftCell="A65" zoomScaleNormal="100" zoomScaleSheetLayoutView="100" workbookViewId="0">
      <selection activeCell="N2" sqref="N2"/>
    </sheetView>
  </sheetViews>
  <sheetFormatPr defaultColWidth="9" defaultRowHeight="15.6"/>
  <cols>
    <col min="1" max="1" width="3.59765625" style="1010" customWidth="1"/>
    <col min="2" max="2" width="4.5" style="1010" customWidth="1"/>
    <col min="3" max="3" width="9" style="1010"/>
    <col min="4" max="4" width="9.59765625" style="1010" customWidth="1"/>
    <col min="5" max="5" width="9.09765625" style="1010" customWidth="1"/>
    <col min="6" max="6" width="7.09765625" style="1010" customWidth="1"/>
    <col min="7" max="7" width="7.59765625" style="1010" customWidth="1"/>
    <col min="8" max="8" width="6.59765625" style="1010" customWidth="1"/>
    <col min="9" max="9" width="7.09765625" style="1010" customWidth="1"/>
    <col min="10" max="10" width="14.59765625" style="1010" customWidth="1"/>
    <col min="11" max="11" width="1" style="1010" customWidth="1"/>
    <col min="12" max="12" width="14.59765625" style="1010" customWidth="1"/>
    <col min="13" max="13" width="9" style="1010"/>
    <col min="14" max="14" width="14.59765625" style="1010" bestFit="1" customWidth="1"/>
    <col min="15" max="15" width="12.3984375" style="1010" bestFit="1" customWidth="1"/>
    <col min="16" max="16" width="11.5" style="1010" bestFit="1" customWidth="1"/>
    <col min="17" max="16384" width="9" style="1010"/>
  </cols>
  <sheetData>
    <row r="1" spans="1:16" ht="15" customHeight="1">
      <c r="G1" s="1598"/>
      <c r="H1" s="1598"/>
      <c r="I1" s="1598"/>
      <c r="J1" s="1598"/>
      <c r="K1" s="1530"/>
      <c r="L1" s="1530"/>
    </row>
    <row r="2" spans="1:16" ht="15" customHeight="1">
      <c r="A2" s="1556"/>
      <c r="B2" s="1554"/>
      <c r="C2" s="1556"/>
      <c r="D2" s="1556"/>
      <c r="E2" s="1530"/>
      <c r="F2" s="1558"/>
      <c r="G2" s="1558"/>
      <c r="H2" s="2094"/>
      <c r="J2" s="1560" t="s">
        <v>716</v>
      </c>
      <c r="K2" s="1556"/>
      <c r="L2" s="1561" t="s">
        <v>632</v>
      </c>
      <c r="O2" s="2254"/>
      <c r="P2" s="2254"/>
    </row>
    <row r="3" spans="1:16" ht="15" customHeight="1">
      <c r="A3" s="1556"/>
      <c r="B3" s="1554"/>
      <c r="C3" s="1556"/>
      <c r="D3" s="1556"/>
      <c r="E3" s="1530"/>
      <c r="F3" s="1558"/>
      <c r="G3" s="1558"/>
      <c r="H3" s="1561"/>
      <c r="I3" s="1557"/>
      <c r="J3" s="1558" t="s">
        <v>2676</v>
      </c>
      <c r="K3" s="1559"/>
      <c r="L3" s="1558" t="s">
        <v>2469</v>
      </c>
      <c r="O3" s="2254"/>
      <c r="P3" s="2254"/>
    </row>
    <row r="4" spans="1:16" ht="15" customHeight="1">
      <c r="A4" s="1556"/>
      <c r="B4" s="1554"/>
      <c r="C4" s="1556"/>
      <c r="D4" s="1556"/>
      <c r="E4" s="1530"/>
      <c r="F4" s="1558"/>
      <c r="G4" s="1558"/>
      <c r="H4" s="1561"/>
      <c r="I4" s="1557"/>
      <c r="J4" s="1558" t="s">
        <v>2795</v>
      </c>
      <c r="K4" s="1836"/>
      <c r="L4" s="1558" t="s">
        <v>2678</v>
      </c>
      <c r="O4" s="2254"/>
      <c r="P4" s="2254"/>
    </row>
    <row r="5" spans="1:16" ht="15" customHeight="1">
      <c r="C5" s="1530"/>
      <c r="D5" s="1537"/>
      <c r="E5" s="1537"/>
      <c r="F5" s="1583"/>
      <c r="G5" s="1583"/>
      <c r="H5" s="1561"/>
      <c r="I5" s="1557" t="s">
        <v>51</v>
      </c>
      <c r="J5" s="2347" t="s">
        <v>2480</v>
      </c>
      <c r="K5" s="2347"/>
      <c r="L5" s="2347"/>
      <c r="O5" s="2254"/>
      <c r="P5" s="1989"/>
    </row>
    <row r="6" spans="1:16" ht="15" customHeight="1">
      <c r="A6" s="1538" t="str">
        <f>'1-6'!A96+1&amp;"."</f>
        <v>7.</v>
      </c>
      <c r="B6" s="1582" t="s">
        <v>995</v>
      </c>
      <c r="C6" s="1530"/>
      <c r="D6" s="1584"/>
      <c r="E6" s="1584"/>
      <c r="F6" s="1584"/>
      <c r="G6" s="1584"/>
      <c r="H6" s="2211"/>
      <c r="I6" s="1584"/>
      <c r="J6" s="1584"/>
      <c r="K6" s="1584"/>
      <c r="L6" s="1584"/>
      <c r="O6" s="2254"/>
      <c r="P6" s="1776"/>
    </row>
    <row r="7" spans="1:16" ht="15" customHeight="1">
      <c r="A7" s="1581"/>
      <c r="B7" s="1582"/>
      <c r="C7" s="1530"/>
      <c r="D7" s="1584"/>
      <c r="E7" s="1584"/>
      <c r="F7" s="1584"/>
      <c r="G7" s="1584"/>
      <c r="H7" s="2211"/>
      <c r="I7" s="1584"/>
      <c r="J7" s="1584"/>
      <c r="K7" s="1584"/>
      <c r="L7" s="1584"/>
      <c r="O7" s="2254"/>
      <c r="P7" s="1989"/>
    </row>
    <row r="8" spans="1:16" ht="15" customHeight="1">
      <c r="A8" s="1581"/>
      <c r="B8" s="1530" t="s">
        <v>2342</v>
      </c>
      <c r="C8" s="1530"/>
      <c r="D8" s="1584"/>
      <c r="E8" s="1584"/>
      <c r="F8" s="1585"/>
      <c r="G8" s="1586"/>
      <c r="H8" s="2212"/>
      <c r="I8" s="1587" t="str">
        <f>'7-12'!A20</f>
        <v>7.1.</v>
      </c>
      <c r="J8" s="1653">
        <v>0</v>
      </c>
      <c r="K8" s="1710"/>
      <c r="L8" s="1570">
        <v>120605</v>
      </c>
      <c r="O8" s="1989"/>
      <c r="P8" s="1989"/>
    </row>
    <row r="9" spans="1:16" ht="15" customHeight="1">
      <c r="A9" s="1581"/>
      <c r="B9" s="1530" t="s">
        <v>2404</v>
      </c>
      <c r="C9" s="1530"/>
      <c r="D9" s="1584"/>
      <c r="E9" s="1584"/>
      <c r="F9" s="1585"/>
      <c r="G9" s="1586"/>
      <c r="H9" s="2212"/>
      <c r="I9" s="1587" t="str">
        <f>+'7-12'!A34</f>
        <v>7.2</v>
      </c>
      <c r="J9" s="1653">
        <f>'TB-31 Dec'!$G$87</f>
        <v>54774</v>
      </c>
      <c r="K9" s="1710"/>
      <c r="L9" s="1570">
        <v>54773.5</v>
      </c>
      <c r="O9" s="1776"/>
      <c r="P9" s="1990"/>
    </row>
    <row r="10" spans="1:16" ht="15" customHeight="1">
      <c r="A10" s="1581"/>
      <c r="B10" s="1530" t="s">
        <v>2560</v>
      </c>
      <c r="C10" s="1530"/>
      <c r="D10" s="1584"/>
      <c r="E10" s="1584"/>
      <c r="F10" s="1585"/>
      <c r="G10" s="1586"/>
      <c r="H10" s="2212"/>
      <c r="I10" s="1587"/>
      <c r="J10" s="1653">
        <f>'TB-31 Dec'!$G$89</f>
        <v>3933</v>
      </c>
      <c r="K10" s="1710"/>
      <c r="L10" s="1570">
        <v>3932.5</v>
      </c>
      <c r="O10" s="1989"/>
      <c r="P10" s="1990"/>
    </row>
    <row r="11" spans="1:16" ht="15" customHeight="1">
      <c r="A11" s="1589"/>
      <c r="B11" s="1530" t="s">
        <v>2405</v>
      </c>
      <c r="C11" s="1530"/>
      <c r="D11" s="1584"/>
      <c r="E11" s="1584"/>
      <c r="F11" s="1590"/>
      <c r="G11" s="1590"/>
      <c r="H11" s="1590"/>
      <c r="I11" s="1590"/>
      <c r="J11" s="1653">
        <f>'TB-31 Dec'!$I$95</f>
        <v>9722</v>
      </c>
      <c r="K11" s="1711"/>
      <c r="L11" s="2237">
        <v>9722</v>
      </c>
      <c r="O11" s="2259">
        <v>4667</v>
      </c>
      <c r="P11" s="2005"/>
    </row>
    <row r="12" spans="1:16" ht="15" customHeight="1">
      <c r="A12" s="1530"/>
      <c r="B12" s="1530" t="s">
        <v>621</v>
      </c>
      <c r="C12" s="1530"/>
      <c r="D12" s="1530"/>
      <c r="E12" s="1530"/>
      <c r="F12" s="1537"/>
      <c r="G12" s="1530"/>
      <c r="H12" s="1537"/>
      <c r="I12" s="1530"/>
      <c r="J12" s="1653">
        <f>'TB-31 Dec'!$H$106</f>
        <v>9440</v>
      </c>
      <c r="K12" s="1606"/>
      <c r="L12" s="1606">
        <v>9821</v>
      </c>
      <c r="O12" s="2259">
        <v>265437.03999999998</v>
      </c>
    </row>
    <row r="13" spans="1:16" ht="15" customHeight="1">
      <c r="A13" s="1530"/>
      <c r="B13" s="1530" t="s">
        <v>1023</v>
      </c>
      <c r="C13" s="1530"/>
      <c r="D13" s="1530"/>
      <c r="E13" s="1530"/>
      <c r="F13" s="1537"/>
      <c r="G13" s="1530"/>
      <c r="H13" s="1537"/>
      <c r="I13" s="1530"/>
      <c r="J13" s="1653">
        <f>'TB-31 Dec'!$G$108</f>
        <v>419</v>
      </c>
      <c r="K13" s="1606"/>
      <c r="L13" s="1606">
        <v>624</v>
      </c>
      <c r="O13" s="1990"/>
      <c r="P13" s="2254"/>
    </row>
    <row r="14" spans="1:16" ht="15" customHeight="1">
      <c r="A14" s="1530"/>
      <c r="B14" s="1530" t="s">
        <v>2407</v>
      </c>
      <c r="C14" s="1530"/>
      <c r="D14" s="1530"/>
      <c r="E14" s="1530"/>
      <c r="F14" s="1537"/>
      <c r="G14" s="1530"/>
      <c r="H14" s="1537"/>
      <c r="I14" s="1530"/>
      <c r="J14" s="1653">
        <f>'TB-31 Dec'!$G$109</f>
        <v>898</v>
      </c>
      <c r="K14" s="1606"/>
      <c r="L14" s="1606">
        <v>3113</v>
      </c>
      <c r="O14" s="2005"/>
      <c r="P14" s="2254"/>
    </row>
    <row r="15" spans="1:16" ht="15" customHeight="1">
      <c r="A15" s="1530"/>
      <c r="B15" s="1530" t="s">
        <v>2406</v>
      </c>
      <c r="C15" s="1530"/>
      <c r="D15" s="1530"/>
      <c r="E15" s="1530"/>
      <c r="F15" s="1537"/>
      <c r="G15" s="1530"/>
      <c r="H15" s="1537"/>
      <c r="I15" s="1530"/>
      <c r="J15" s="1653">
        <f>'TB-31 Dec'!$G$111</f>
        <v>35</v>
      </c>
      <c r="K15" s="1606"/>
      <c r="L15" s="1606">
        <v>40</v>
      </c>
      <c r="P15" s="2254"/>
    </row>
    <row r="16" spans="1:16" ht="15" customHeight="1">
      <c r="A16" s="1530"/>
      <c r="B16" s="1530" t="s">
        <v>2624</v>
      </c>
      <c r="C16" s="1530"/>
      <c r="D16" s="1530"/>
      <c r="E16" s="1530"/>
      <c r="F16" s="1591"/>
      <c r="G16" s="1530"/>
      <c r="H16" s="1537"/>
      <c r="I16" s="1530"/>
      <c r="J16" s="1653">
        <f>'TB-31 Dec'!$G$110</f>
        <v>520</v>
      </c>
      <c r="K16" s="1606"/>
      <c r="L16" s="1606">
        <v>130</v>
      </c>
      <c r="P16" s="2254"/>
    </row>
    <row r="17" spans="1:16" ht="15" customHeight="1">
      <c r="A17" s="1530"/>
      <c r="B17" s="1530" t="s">
        <v>270</v>
      </c>
      <c r="C17" s="1530"/>
      <c r="D17" s="1530"/>
      <c r="E17" s="1530"/>
      <c r="F17" s="1591"/>
      <c r="G17" s="1530"/>
      <c r="H17" s="1537"/>
      <c r="I17" s="1530"/>
      <c r="J17" s="1653">
        <f>'TB-31 Dec'!$G$91+'TB-31 Dec'!H39+'TB-31 Dec'!G112+2</f>
        <v>272</v>
      </c>
      <c r="K17" s="1606"/>
      <c r="L17" s="1606">
        <v>5</v>
      </c>
      <c r="P17" s="2254"/>
    </row>
    <row r="18" spans="1:16" ht="15" customHeight="1" thickBot="1">
      <c r="A18" s="1530"/>
      <c r="B18" s="1530"/>
      <c r="C18" s="1555"/>
      <c r="D18" s="1530"/>
      <c r="E18" s="1530"/>
      <c r="F18" s="1588"/>
      <c r="G18" s="1588"/>
      <c r="H18" s="1588"/>
      <c r="I18" s="1588"/>
      <c r="J18" s="1673">
        <f>SUM(J8:J17)</f>
        <v>80013</v>
      </c>
      <c r="K18" s="1606"/>
      <c r="L18" s="2238">
        <f>SUM(L8:L17)</f>
        <v>202766</v>
      </c>
    </row>
    <row r="19" spans="1:16" ht="15" customHeight="1" thickTop="1">
      <c r="G19" s="1598"/>
      <c r="H19" s="1598"/>
      <c r="I19" s="1598"/>
      <c r="J19" s="1598"/>
      <c r="K19" s="1530"/>
      <c r="L19" s="1530"/>
    </row>
    <row r="20" spans="1:16" ht="15" customHeight="1">
      <c r="A20" s="2164" t="s">
        <v>2792</v>
      </c>
      <c r="B20" s="2401" t="s">
        <v>2827</v>
      </c>
      <c r="C20" s="2401"/>
      <c r="D20" s="2401"/>
      <c r="E20" s="2401"/>
      <c r="F20" s="2401"/>
      <c r="G20" s="2401"/>
      <c r="H20" s="2401"/>
      <c r="I20" s="2401"/>
      <c r="J20" s="2401"/>
      <c r="K20" s="2401"/>
      <c r="L20" s="2401"/>
    </row>
    <row r="21" spans="1:16" ht="15" customHeight="1">
      <c r="A21" s="1592"/>
      <c r="B21" s="2401"/>
      <c r="C21" s="2401"/>
      <c r="D21" s="2401"/>
      <c r="E21" s="2401"/>
      <c r="F21" s="2401"/>
      <c r="G21" s="2401"/>
      <c r="H21" s="2401"/>
      <c r="I21" s="2401"/>
      <c r="J21" s="2401"/>
      <c r="K21" s="2401"/>
      <c r="L21" s="2401"/>
      <c r="N21" s="1010" t="s">
        <v>2628</v>
      </c>
      <c r="O21" s="1989">
        <f>BS!$F$30</f>
        <v>10683675.99</v>
      </c>
    </row>
    <row r="22" spans="1:16" ht="15" customHeight="1">
      <c r="A22" s="1592"/>
      <c r="B22" s="2401"/>
      <c r="C22" s="2401"/>
      <c r="D22" s="2401"/>
      <c r="E22" s="2401"/>
      <c r="F22" s="2401"/>
      <c r="G22" s="2401"/>
      <c r="H22" s="2401"/>
      <c r="I22" s="2401"/>
      <c r="J22" s="2401"/>
      <c r="K22" s="2401"/>
      <c r="L22" s="2401"/>
      <c r="N22" s="1010" t="s">
        <v>2627</v>
      </c>
      <c r="O22" s="1776">
        <f>$J$8</f>
        <v>0</v>
      </c>
    </row>
    <row r="23" spans="1:16" ht="15" customHeight="1">
      <c r="A23" s="1592"/>
      <c r="B23" s="2401"/>
      <c r="C23" s="2401"/>
      <c r="D23" s="2401"/>
      <c r="E23" s="2401"/>
      <c r="F23" s="2401"/>
      <c r="G23" s="2401"/>
      <c r="H23" s="2401"/>
      <c r="I23" s="2401"/>
      <c r="J23" s="2401"/>
      <c r="K23" s="2401"/>
      <c r="L23" s="2401"/>
      <c r="N23" s="1010" t="s">
        <v>2629</v>
      </c>
      <c r="O23" s="1989">
        <f>O21+O22</f>
        <v>10683675.99</v>
      </c>
    </row>
    <row r="24" spans="1:16" ht="15" customHeight="1">
      <c r="A24" s="1592"/>
      <c r="B24" s="2401"/>
      <c r="C24" s="2401"/>
      <c r="D24" s="2401"/>
      <c r="E24" s="2401"/>
      <c r="F24" s="2401"/>
      <c r="G24" s="2401"/>
      <c r="H24" s="2401"/>
      <c r="I24" s="2401"/>
      <c r="J24" s="2401"/>
      <c r="K24" s="2401"/>
      <c r="L24" s="2401"/>
      <c r="N24" s="1010" t="s">
        <v>2390</v>
      </c>
      <c r="O24" s="1989">
        <f>BS!$F$36</f>
        <v>108372550.25650001</v>
      </c>
    </row>
    <row r="25" spans="1:16" ht="15" customHeight="1">
      <c r="A25" s="1592"/>
      <c r="B25" s="2401"/>
      <c r="C25" s="2401"/>
      <c r="D25" s="2401"/>
      <c r="E25" s="2401"/>
      <c r="F25" s="2401"/>
      <c r="G25" s="2401"/>
      <c r="H25" s="2401"/>
      <c r="I25" s="2401"/>
      <c r="J25" s="2401"/>
      <c r="K25" s="2401"/>
      <c r="L25" s="2401"/>
      <c r="N25" s="1010" t="s">
        <v>2630</v>
      </c>
      <c r="O25" s="1990">
        <f>O23/O24*1000</f>
        <v>98.582860371131773</v>
      </c>
    </row>
    <row r="26" spans="1:16" ht="15" customHeight="1">
      <c r="A26" s="1592"/>
      <c r="B26" s="2401"/>
      <c r="C26" s="2401"/>
      <c r="D26" s="2401"/>
      <c r="E26" s="2401"/>
      <c r="F26" s="2401"/>
      <c r="G26" s="2401"/>
      <c r="H26" s="2401"/>
      <c r="I26" s="2401"/>
      <c r="J26" s="2401"/>
      <c r="K26" s="2401"/>
      <c r="L26" s="2401"/>
      <c r="N26" s="1010" t="s">
        <v>2631</v>
      </c>
      <c r="O26" s="1990">
        <f>BS!$F$40</f>
        <v>98.582899999999995</v>
      </c>
    </row>
    <row r="27" spans="1:16" ht="15" customHeight="1">
      <c r="A27" s="1592"/>
      <c r="B27" s="2222"/>
      <c r="C27" s="2222"/>
      <c r="D27" s="2222"/>
      <c r="E27" s="2222"/>
      <c r="F27" s="2222"/>
      <c r="G27" s="2222"/>
      <c r="H27" s="2222"/>
      <c r="I27" s="2222"/>
      <c r="J27" s="2222"/>
      <c r="K27" s="2222"/>
      <c r="L27" s="2222"/>
      <c r="N27" s="1010" t="s">
        <v>2816</v>
      </c>
      <c r="O27" s="2005">
        <f>O25-O26</f>
        <v>-3.9628868222507663E-5</v>
      </c>
    </row>
    <row r="28" spans="1:16" ht="15" customHeight="1">
      <c r="A28" s="1592"/>
      <c r="B28" s="2403" t="s">
        <v>2828</v>
      </c>
      <c r="C28" s="2403"/>
      <c r="D28" s="2403"/>
      <c r="E28" s="2403"/>
      <c r="F28" s="2403"/>
      <c r="G28" s="2403"/>
      <c r="H28" s="2403"/>
      <c r="I28" s="2403"/>
      <c r="J28" s="2403"/>
      <c r="K28" s="2403"/>
      <c r="L28" s="2403"/>
      <c r="O28" s="2005"/>
    </row>
    <row r="29" spans="1:16" ht="15" customHeight="1">
      <c r="A29" s="1592"/>
      <c r="B29" s="2403"/>
      <c r="C29" s="2403"/>
      <c r="D29" s="2403"/>
      <c r="E29" s="2403"/>
      <c r="F29" s="2403"/>
      <c r="G29" s="2403"/>
      <c r="H29" s="2403"/>
      <c r="I29" s="2403"/>
      <c r="J29" s="2403"/>
      <c r="K29" s="2403"/>
      <c r="L29" s="2403"/>
      <c r="O29" s="2005"/>
    </row>
    <row r="30" spans="1:16" ht="15" customHeight="1">
      <c r="A30" s="1592"/>
      <c r="B30" s="2403"/>
      <c r="C30" s="2403"/>
      <c r="D30" s="2403"/>
      <c r="E30" s="2403"/>
      <c r="F30" s="2403"/>
      <c r="G30" s="2403"/>
      <c r="H30" s="2403"/>
      <c r="I30" s="2403"/>
      <c r="J30" s="2403"/>
      <c r="K30" s="2403"/>
      <c r="L30" s="2403"/>
      <c r="O30" s="2005"/>
    </row>
    <row r="31" spans="1:16" ht="15" customHeight="1">
      <c r="A31" s="1592"/>
      <c r="B31" s="2222"/>
      <c r="C31" s="2222"/>
      <c r="D31" s="2222"/>
      <c r="E31" s="2222"/>
      <c r="F31" s="2222"/>
      <c r="G31" s="2222"/>
      <c r="H31" s="2222"/>
      <c r="I31" s="2222"/>
      <c r="J31" s="2222"/>
      <c r="K31" s="2222"/>
      <c r="L31" s="2222"/>
      <c r="O31" s="2005"/>
    </row>
    <row r="32" spans="1:16" ht="15" customHeight="1">
      <c r="A32" s="1592"/>
      <c r="B32" s="2404" t="s">
        <v>2829</v>
      </c>
      <c r="C32" s="2404"/>
      <c r="D32" s="2404"/>
      <c r="E32" s="2404"/>
      <c r="F32" s="2404"/>
      <c r="G32" s="2404"/>
      <c r="H32" s="2404"/>
      <c r="I32" s="2404"/>
      <c r="J32" s="2404"/>
      <c r="K32" s="2404"/>
      <c r="L32" s="2404"/>
      <c r="O32" s="2005"/>
    </row>
    <row r="33" spans="1:16" ht="15" customHeight="1">
      <c r="A33" s="1592"/>
      <c r="B33" s="1615"/>
      <c r="C33" s="1615"/>
      <c r="D33" s="1615"/>
      <c r="E33" s="1615"/>
      <c r="F33" s="1615"/>
      <c r="G33" s="1615"/>
      <c r="H33" s="1615"/>
      <c r="I33" s="1615"/>
      <c r="J33" s="1615"/>
      <c r="K33" s="1615"/>
      <c r="L33" s="1615"/>
      <c r="N33" s="1010" t="s">
        <v>2628</v>
      </c>
      <c r="O33" s="1989">
        <f>BS!$F$30</f>
        <v>10683675.99</v>
      </c>
    </row>
    <row r="34" spans="1:16" ht="15" customHeight="1">
      <c r="A34" s="2164" t="s">
        <v>2791</v>
      </c>
      <c r="B34" s="2401" t="s">
        <v>2911</v>
      </c>
      <c r="C34" s="2401"/>
      <c r="D34" s="2401"/>
      <c r="E34" s="2401"/>
      <c r="F34" s="2401"/>
      <c r="G34" s="2401"/>
      <c r="H34" s="2401"/>
      <c r="I34" s="2401"/>
      <c r="J34" s="2401"/>
      <c r="K34" s="2401"/>
      <c r="L34" s="2401"/>
      <c r="N34" s="1010" t="s">
        <v>2627</v>
      </c>
      <c r="O34" s="1776">
        <f>$J$9+$J$10</f>
        <v>58707</v>
      </c>
      <c r="P34" s="1776">
        <f>+J9+J10+BS!F28</f>
        <v>10742383.016000001</v>
      </c>
    </row>
    <row r="35" spans="1:16" ht="15" customHeight="1">
      <c r="A35" s="1595"/>
      <c r="B35" s="2401"/>
      <c r="C35" s="2401"/>
      <c r="D35" s="2401"/>
      <c r="E35" s="2401"/>
      <c r="F35" s="2401"/>
      <c r="G35" s="2401"/>
      <c r="H35" s="2401"/>
      <c r="I35" s="2401"/>
      <c r="J35" s="2401"/>
      <c r="K35" s="2401"/>
      <c r="L35" s="2401"/>
      <c r="N35" s="1010" t="s">
        <v>2629</v>
      </c>
      <c r="O35" s="1989">
        <f>O33+O34</f>
        <v>10742382.99</v>
      </c>
      <c r="P35" s="1010">
        <f>+P34/BS!F36*1000</f>
        <v>99.124575278283544</v>
      </c>
    </row>
    <row r="36" spans="1:16" ht="15" customHeight="1">
      <c r="A36" s="1595"/>
      <c r="B36" s="2401"/>
      <c r="C36" s="2401"/>
      <c r="D36" s="2401"/>
      <c r="E36" s="2401"/>
      <c r="F36" s="2401"/>
      <c r="G36" s="2401"/>
      <c r="H36" s="2401"/>
      <c r="I36" s="2401"/>
      <c r="J36" s="2401"/>
      <c r="K36" s="2401"/>
      <c r="L36" s="2401"/>
      <c r="N36" s="1010" t="s">
        <v>2390</v>
      </c>
      <c r="O36" s="1989">
        <f>BS!$F$36</f>
        <v>108372550.25650001</v>
      </c>
      <c r="P36" s="1010">
        <f>+P35-BS!F40</f>
        <v>0.54167527828354878</v>
      </c>
    </row>
    <row r="37" spans="1:16" ht="15" customHeight="1">
      <c r="A37" s="1595"/>
      <c r="B37" s="2401"/>
      <c r="C37" s="2401"/>
      <c r="D37" s="2401"/>
      <c r="E37" s="2401"/>
      <c r="F37" s="2401"/>
      <c r="G37" s="2401"/>
      <c r="H37" s="2401"/>
      <c r="I37" s="2401"/>
      <c r="J37" s="2401"/>
      <c r="K37" s="2401"/>
      <c r="L37" s="2401"/>
      <c r="N37" s="1010" t="s">
        <v>2630</v>
      </c>
      <c r="O37" s="1990">
        <f>O35/O36*1000</f>
        <v>99.124575038370381</v>
      </c>
    </row>
    <row r="38" spans="1:16" ht="15" customHeight="1">
      <c r="A38" s="1595"/>
      <c r="B38" s="2401"/>
      <c r="C38" s="2401"/>
      <c r="D38" s="2401"/>
      <c r="E38" s="2401"/>
      <c r="F38" s="2401"/>
      <c r="G38" s="2401"/>
      <c r="H38" s="2401"/>
      <c r="I38" s="2401"/>
      <c r="J38" s="2401"/>
      <c r="K38" s="2401"/>
      <c r="L38" s="2401"/>
      <c r="N38" s="1010" t="s">
        <v>2631</v>
      </c>
      <c r="O38" s="1990">
        <f>BS!$F$40</f>
        <v>98.582899999999995</v>
      </c>
    </row>
    <row r="39" spans="1:16" ht="15" customHeight="1">
      <c r="A39" s="1538"/>
      <c r="B39" s="1595"/>
      <c r="C39" s="1530"/>
      <c r="D39" s="1596"/>
      <c r="E39" s="1597"/>
      <c r="F39" s="1598"/>
      <c r="G39" s="1598"/>
      <c r="H39" s="1598"/>
      <c r="I39" s="1598"/>
      <c r="J39" s="1598"/>
      <c r="K39" s="1530"/>
      <c r="L39" s="1530"/>
      <c r="N39" s="1010" t="s">
        <v>2816</v>
      </c>
      <c r="O39" s="2005">
        <f>O37-O38</f>
        <v>0.54167503837038566</v>
      </c>
    </row>
    <row r="40" spans="1:16" ht="15" customHeight="1">
      <c r="A40" s="1538" t="str">
        <f>'1-6'!A96+2&amp;"."</f>
        <v>8.</v>
      </c>
      <c r="B40" s="1595" t="s">
        <v>137</v>
      </c>
      <c r="C40" s="1530"/>
      <c r="D40" s="1596"/>
      <c r="E40" s="1597"/>
      <c r="F40" s="1598"/>
      <c r="G40" s="1598"/>
      <c r="H40" s="1598"/>
      <c r="I40" s="1598"/>
      <c r="J40" s="1598"/>
      <c r="K40" s="1530"/>
      <c r="L40" s="1530"/>
    </row>
    <row r="41" spans="1:16" ht="15" customHeight="1">
      <c r="A41" s="1594"/>
      <c r="B41" s="1595"/>
      <c r="C41" s="1530"/>
      <c r="D41" s="1596"/>
      <c r="E41" s="1597"/>
      <c r="F41" s="1598"/>
      <c r="G41" s="1598"/>
      <c r="H41" s="1598"/>
      <c r="I41" s="1598"/>
      <c r="J41" s="1598"/>
      <c r="K41" s="1530"/>
      <c r="L41" s="1530"/>
    </row>
    <row r="42" spans="1:16" ht="15" customHeight="1">
      <c r="A42" s="2146"/>
      <c r="B42" s="1599" t="s">
        <v>2817</v>
      </c>
      <c r="C42" s="1530"/>
      <c r="D42" s="1596"/>
      <c r="E42" s="1597"/>
      <c r="F42" s="1598"/>
      <c r="G42" s="1598"/>
      <c r="H42" s="1598"/>
      <c r="I42" s="1598"/>
      <c r="J42" s="1598"/>
      <c r="K42" s="1530"/>
      <c r="L42" s="1530"/>
    </row>
    <row r="43" spans="1:16" ht="15" customHeight="1">
      <c r="A43" s="2146"/>
      <c r="B43" s="1599"/>
      <c r="C43" s="1530"/>
      <c r="D43" s="1596"/>
      <c r="E43" s="1597"/>
      <c r="F43" s="1598"/>
      <c r="G43" s="1598"/>
      <c r="H43" s="1598"/>
      <c r="I43" s="1598"/>
      <c r="J43" s="1598"/>
      <c r="K43" s="1530"/>
      <c r="L43" s="1530"/>
    </row>
    <row r="44" spans="1:16" ht="15" hidden="1" customHeight="1">
      <c r="A44" s="2146"/>
      <c r="B44" s="1593"/>
      <c r="C44" s="1593"/>
      <c r="D44" s="1593"/>
      <c r="E44" s="1593"/>
      <c r="F44" s="1593"/>
      <c r="G44" s="1593"/>
      <c r="H44" s="1593"/>
      <c r="I44" s="1593"/>
      <c r="J44" s="1593"/>
      <c r="K44" s="1593"/>
      <c r="L44" s="1593"/>
    </row>
    <row r="45" spans="1:16" ht="15" hidden="1" customHeight="1">
      <c r="A45" s="2146"/>
      <c r="B45" s="2359" t="s">
        <v>2642</v>
      </c>
      <c r="C45" s="2359"/>
      <c r="D45" s="2359"/>
      <c r="E45" s="2359"/>
      <c r="F45" s="2359"/>
      <c r="G45" s="2359"/>
      <c r="H45" s="2359"/>
      <c r="I45" s="2359"/>
      <c r="J45" s="2359"/>
      <c r="K45" s="2359"/>
      <c r="L45" s="2359"/>
      <c r="M45" s="1010" t="s">
        <v>2657</v>
      </c>
    </row>
    <row r="46" spans="1:16" ht="15" hidden="1" customHeight="1">
      <c r="A46" s="2146"/>
      <c r="B46" s="2359"/>
      <c r="C46" s="2359"/>
      <c r="D46" s="2359"/>
      <c r="E46" s="2359"/>
      <c r="F46" s="2359"/>
      <c r="G46" s="2359"/>
      <c r="H46" s="2359"/>
      <c r="I46" s="2359"/>
      <c r="J46" s="2359"/>
      <c r="K46" s="2359"/>
      <c r="L46" s="2359"/>
    </row>
    <row r="47" spans="1:16" ht="15" customHeight="1">
      <c r="A47" s="1538" t="str">
        <f>A40+1&amp;"."</f>
        <v>9.</v>
      </c>
      <c r="B47" s="1552" t="s">
        <v>138</v>
      </c>
      <c r="C47" s="1530"/>
      <c r="D47" s="1530"/>
      <c r="E47" s="1530"/>
      <c r="F47" s="1600"/>
      <c r="G47" s="1600"/>
      <c r="H47" s="1600"/>
      <c r="I47" s="1600"/>
      <c r="J47" s="1600"/>
      <c r="K47" s="1600"/>
      <c r="L47" s="1542"/>
    </row>
    <row r="48" spans="1:16" ht="15" customHeight="1">
      <c r="A48" s="2146"/>
      <c r="B48" s="1594"/>
      <c r="C48" s="1555"/>
      <c r="D48" s="1530"/>
      <c r="E48" s="1530"/>
      <c r="F48" s="1600"/>
      <c r="G48" s="1600"/>
      <c r="H48" s="1600"/>
      <c r="I48" s="1600"/>
      <c r="J48" s="1600"/>
      <c r="K48" s="1600"/>
      <c r="L48" s="1542"/>
    </row>
    <row r="49" spans="1:20" ht="15" customHeight="1">
      <c r="A49" s="2146"/>
      <c r="B49" s="2355" t="s">
        <v>2711</v>
      </c>
      <c r="C49" s="2355"/>
      <c r="D49" s="2355"/>
      <c r="E49" s="2355"/>
      <c r="F49" s="2355"/>
      <c r="G49" s="2355"/>
      <c r="H49" s="2355"/>
      <c r="I49" s="2355"/>
      <c r="J49" s="2355"/>
      <c r="K49" s="2355"/>
      <c r="L49" s="2355"/>
    </row>
    <row r="50" spans="1:20" ht="15" customHeight="1">
      <c r="A50" s="2146"/>
      <c r="B50" s="2355"/>
      <c r="C50" s="2355"/>
      <c r="D50" s="2355"/>
      <c r="E50" s="2355"/>
      <c r="F50" s="2355"/>
      <c r="G50" s="2355"/>
      <c r="H50" s="2355"/>
      <c r="I50" s="2355"/>
      <c r="J50" s="2355"/>
      <c r="K50" s="2355"/>
      <c r="L50" s="2355"/>
    </row>
    <row r="51" spans="1:20" ht="15" customHeight="1">
      <c r="A51" s="2146"/>
      <c r="B51" s="2355"/>
      <c r="C51" s="2355"/>
      <c r="D51" s="2355"/>
      <c r="E51" s="2355"/>
      <c r="F51" s="2355"/>
      <c r="G51" s="2355"/>
      <c r="H51" s="2355"/>
      <c r="I51" s="2355"/>
      <c r="J51" s="2355"/>
      <c r="K51" s="2355"/>
      <c r="L51" s="2355"/>
    </row>
    <row r="52" spans="1:20" ht="15" customHeight="1">
      <c r="A52" s="2146"/>
      <c r="B52" s="2355"/>
      <c r="C52" s="2355"/>
      <c r="D52" s="2355"/>
      <c r="E52" s="2355"/>
      <c r="F52" s="2355"/>
      <c r="G52" s="2355"/>
      <c r="H52" s="2355"/>
      <c r="I52" s="2355"/>
      <c r="J52" s="2355"/>
      <c r="K52" s="2355"/>
      <c r="L52" s="2355"/>
    </row>
    <row r="53" spans="1:20" ht="15" customHeight="1">
      <c r="A53" s="2146"/>
      <c r="B53" s="2355"/>
      <c r="C53" s="2355"/>
      <c r="D53" s="2355"/>
      <c r="E53" s="2355"/>
      <c r="F53" s="2355"/>
      <c r="G53" s="2355"/>
      <c r="H53" s="2355"/>
      <c r="I53" s="2355"/>
      <c r="J53" s="2355"/>
      <c r="K53" s="2355"/>
      <c r="L53" s="2355"/>
    </row>
    <row r="54" spans="1:20" ht="15" customHeight="1">
      <c r="A54" s="2146"/>
      <c r="B54" s="2355"/>
      <c r="C54" s="2355"/>
      <c r="D54" s="2355"/>
      <c r="E54" s="2355"/>
      <c r="F54" s="2355"/>
      <c r="G54" s="2355"/>
      <c r="H54" s="2355"/>
      <c r="I54" s="2355"/>
      <c r="J54" s="2355"/>
      <c r="K54" s="2355"/>
      <c r="L54" s="2355"/>
    </row>
    <row r="55" spans="1:20" ht="15" customHeight="1">
      <c r="A55" s="2146"/>
      <c r="B55" s="2355"/>
      <c r="C55" s="2355"/>
      <c r="D55" s="2355"/>
      <c r="E55" s="2355"/>
      <c r="F55" s="2355"/>
      <c r="G55" s="2355"/>
      <c r="H55" s="2355"/>
      <c r="I55" s="2355"/>
      <c r="J55" s="2355"/>
      <c r="K55" s="2355"/>
      <c r="L55" s="2355"/>
      <c r="N55" s="2402" t="s">
        <v>2609</v>
      </c>
      <c r="O55" s="2402"/>
      <c r="P55" s="2402"/>
      <c r="Q55" s="2402"/>
      <c r="R55" s="2402"/>
      <c r="S55" s="2402"/>
      <c r="T55" s="2402"/>
    </row>
    <row r="56" spans="1:20" ht="15" customHeight="1">
      <c r="A56" s="2146"/>
      <c r="B56" s="2355"/>
      <c r="C56" s="2355"/>
      <c r="D56" s="2355"/>
      <c r="E56" s="2355"/>
      <c r="F56" s="2355"/>
      <c r="G56" s="2355"/>
      <c r="H56" s="2355"/>
      <c r="I56" s="2355"/>
      <c r="J56" s="2355"/>
      <c r="K56" s="2355"/>
      <c r="L56" s="2355"/>
      <c r="N56" s="2402"/>
      <c r="O56" s="2402"/>
      <c r="P56" s="2402"/>
      <c r="Q56" s="2402"/>
      <c r="R56" s="2402"/>
      <c r="S56" s="2402"/>
      <c r="T56" s="2402"/>
    </row>
    <row r="57" spans="1:20" ht="15" customHeight="1">
      <c r="A57" s="2146"/>
      <c r="B57" s="2355"/>
      <c r="C57" s="2355"/>
      <c r="D57" s="2355"/>
      <c r="E57" s="2355"/>
      <c r="F57" s="2355"/>
      <c r="G57" s="2355"/>
      <c r="H57" s="2355"/>
      <c r="I57" s="2355"/>
      <c r="J57" s="2355"/>
      <c r="K57" s="2355"/>
      <c r="L57" s="2355"/>
      <c r="N57" s="2402"/>
      <c r="O57" s="2402"/>
      <c r="P57" s="2402"/>
      <c r="Q57" s="2402"/>
      <c r="R57" s="2402"/>
      <c r="S57" s="2402"/>
      <c r="T57" s="2402"/>
    </row>
    <row r="58" spans="1:20" ht="15" customHeight="1">
      <c r="A58" s="2146"/>
      <c r="B58" s="2355"/>
      <c r="C58" s="2355"/>
      <c r="D58" s="2355"/>
      <c r="E58" s="2355"/>
      <c r="F58" s="2355"/>
      <c r="G58" s="2355"/>
      <c r="H58" s="2355"/>
      <c r="I58" s="2355"/>
      <c r="J58" s="2355"/>
      <c r="K58" s="2355"/>
      <c r="L58" s="2355"/>
      <c r="N58" s="2402"/>
      <c r="O58" s="2402"/>
      <c r="P58" s="2402"/>
      <c r="Q58" s="2402"/>
      <c r="R58" s="2402"/>
      <c r="S58" s="2402"/>
      <c r="T58" s="2402"/>
    </row>
    <row r="59" spans="1:20" ht="15" customHeight="1">
      <c r="A59" s="2146"/>
      <c r="B59" s="2355"/>
      <c r="C59" s="2355"/>
      <c r="D59" s="2355"/>
      <c r="E59" s="2355"/>
      <c r="F59" s="2355"/>
      <c r="G59" s="2355"/>
      <c r="H59" s="2355"/>
      <c r="I59" s="2355"/>
      <c r="J59" s="2355"/>
      <c r="K59" s="2355"/>
      <c r="L59" s="2355"/>
      <c r="N59" s="2402"/>
      <c r="O59" s="2402"/>
      <c r="P59" s="2402"/>
      <c r="Q59" s="2402"/>
      <c r="R59" s="2402"/>
      <c r="S59" s="2402"/>
      <c r="T59" s="2402"/>
    </row>
    <row r="60" spans="1:20" ht="15" customHeight="1">
      <c r="A60" s="1538" t="str">
        <f>A47+1&amp;"."</f>
        <v>10.</v>
      </c>
      <c r="B60" s="1602" t="s">
        <v>2665</v>
      </c>
      <c r="C60" s="1530"/>
      <c r="D60" s="1596"/>
      <c r="E60" s="1596"/>
      <c r="F60" s="1601"/>
      <c r="G60" s="1601"/>
      <c r="H60" s="1601"/>
      <c r="I60" s="1601"/>
      <c r="J60" s="1601"/>
      <c r="K60" s="1601"/>
      <c r="L60" s="1601"/>
    </row>
    <row r="61" spans="1:20" ht="15" customHeight="1">
      <c r="A61" s="2146"/>
      <c r="B61" s="1594"/>
      <c r="C61" s="1603"/>
      <c r="D61" s="1596"/>
      <c r="E61" s="1596"/>
      <c r="F61" s="1601"/>
      <c r="G61" s="1601"/>
      <c r="H61" s="1601"/>
      <c r="I61" s="1601"/>
      <c r="J61" s="1601"/>
      <c r="K61" s="1601"/>
      <c r="L61" s="1601"/>
    </row>
    <row r="62" spans="1:20" ht="15" customHeight="1">
      <c r="A62" s="2146"/>
      <c r="B62" s="2355" t="s">
        <v>2666</v>
      </c>
      <c r="C62" s="2355"/>
      <c r="D62" s="2355"/>
      <c r="E62" s="2355"/>
      <c r="F62" s="2355"/>
      <c r="G62" s="2355"/>
      <c r="H62" s="2355"/>
      <c r="I62" s="2355"/>
      <c r="J62" s="2355"/>
      <c r="K62" s="2355"/>
      <c r="L62" s="2355"/>
      <c r="N62" s="2251">
        <v>44378</v>
      </c>
      <c r="O62" s="2251">
        <v>44651</v>
      </c>
    </row>
    <row r="63" spans="1:20" ht="15" customHeight="1">
      <c r="A63" s="2146"/>
      <c r="B63" s="2355"/>
      <c r="C63" s="2355"/>
      <c r="D63" s="2355"/>
      <c r="E63" s="2355"/>
      <c r="F63" s="2355"/>
      <c r="G63" s="2355"/>
      <c r="H63" s="2355"/>
      <c r="I63" s="2355"/>
      <c r="J63" s="2355"/>
      <c r="K63" s="2355"/>
      <c r="L63" s="2355"/>
      <c r="O63" s="1010">
        <f>O62-N62+1</f>
        <v>274</v>
      </c>
      <c r="P63" s="2011">
        <v>365</v>
      </c>
    </row>
    <row r="64" spans="1:20" ht="15" customHeight="1">
      <c r="A64" s="2146"/>
      <c r="B64" s="1594"/>
      <c r="C64" s="1555"/>
      <c r="D64" s="1596"/>
      <c r="E64" s="1596"/>
      <c r="F64" s="1601"/>
      <c r="G64" s="1601"/>
      <c r="H64" s="1601"/>
      <c r="I64" s="1601"/>
      <c r="J64" s="1601"/>
      <c r="K64" s="1601"/>
      <c r="L64" s="1601"/>
      <c r="N64" s="2250">
        <v>2.9899999999999999E-2</v>
      </c>
      <c r="O64" s="2250">
        <v>3.2099999999999997E-2</v>
      </c>
    </row>
    <row r="65" spans="1:23" ht="15" customHeight="1">
      <c r="A65" s="1538" t="str">
        <f>A60+1&amp;"."</f>
        <v>11.</v>
      </c>
      <c r="B65" s="1562" t="s">
        <v>2551</v>
      </c>
      <c r="C65" s="1537"/>
      <c r="D65" s="1537"/>
      <c r="E65" s="1537"/>
      <c r="F65" s="1537"/>
      <c r="G65" s="1537"/>
      <c r="H65" s="1537"/>
      <c r="I65" s="1537"/>
      <c r="J65" s="1537"/>
      <c r="K65" s="1537"/>
      <c r="L65" s="1372"/>
      <c r="M65" s="1372"/>
      <c r="N65" s="1649">
        <f>N64/$O$63*$P$63</f>
        <v>3.9830291970802914E-2</v>
      </c>
      <c r="O65" s="1649">
        <f>O64/$O$63*$P$63</f>
        <v>4.276094890510948E-2</v>
      </c>
      <c r="P65" s="1372"/>
      <c r="Q65" s="1372"/>
      <c r="R65" s="1372"/>
      <c r="S65" s="1372"/>
      <c r="T65" s="1372"/>
      <c r="U65" s="1372"/>
      <c r="V65" s="1372"/>
      <c r="W65" s="1372"/>
    </row>
    <row r="66" spans="1:23" ht="15" customHeight="1">
      <c r="A66" s="2146"/>
      <c r="B66" s="1537"/>
      <c r="C66" s="1537"/>
      <c r="D66" s="1537"/>
      <c r="E66" s="1537"/>
      <c r="F66" s="1537"/>
      <c r="G66" s="1537"/>
      <c r="H66" s="1537"/>
      <c r="I66" s="1537"/>
      <c r="J66" s="1537"/>
      <c r="K66" s="1537"/>
      <c r="L66" s="1372"/>
      <c r="M66" s="1372"/>
      <c r="N66" s="1372"/>
      <c r="O66" s="1648">
        <f>O65-N65</f>
        <v>2.9306569343065664E-3</v>
      </c>
      <c r="P66" s="1372"/>
      <c r="Q66" s="1372"/>
      <c r="R66" s="1372"/>
      <c r="S66" s="1372"/>
      <c r="T66" s="1372"/>
      <c r="U66" s="1372"/>
      <c r="V66" s="1372"/>
      <c r="W66" s="1372"/>
    </row>
    <row r="67" spans="1:23" ht="15" customHeight="1">
      <c r="A67" s="2146"/>
      <c r="B67" s="2357" t="s">
        <v>2900</v>
      </c>
      <c r="C67" s="2357"/>
      <c r="D67" s="2357"/>
      <c r="E67" s="2357"/>
      <c r="F67" s="2357"/>
      <c r="G67" s="2357"/>
      <c r="H67" s="2357"/>
      <c r="I67" s="2357"/>
      <c r="J67" s="2357"/>
      <c r="K67" s="2357"/>
      <c r="L67" s="2357"/>
      <c r="M67" s="2138"/>
      <c r="N67" s="2138"/>
      <c r="O67" s="2138"/>
      <c r="P67" s="2138"/>
      <c r="Q67" s="2138"/>
      <c r="R67" s="2138"/>
      <c r="S67" s="2138"/>
      <c r="T67" s="2138"/>
      <c r="U67" s="2138"/>
      <c r="V67" s="2138"/>
      <c r="W67" s="2138"/>
    </row>
    <row r="68" spans="1:23" ht="15" customHeight="1">
      <c r="A68" s="2146"/>
      <c r="B68" s="2357"/>
      <c r="C68" s="2357"/>
      <c r="D68" s="2357"/>
      <c r="E68" s="2357"/>
      <c r="F68" s="2357"/>
      <c r="G68" s="2357"/>
      <c r="H68" s="2357"/>
      <c r="I68" s="2357"/>
      <c r="J68" s="2357"/>
      <c r="K68" s="2357"/>
      <c r="L68" s="2357"/>
      <c r="M68" s="2138"/>
      <c r="N68" s="2138"/>
      <c r="O68" s="2138"/>
      <c r="P68" s="2138"/>
      <c r="Q68" s="2138"/>
      <c r="R68" s="2138"/>
      <c r="S68" s="2138"/>
      <c r="T68" s="2138"/>
      <c r="U68" s="2138"/>
      <c r="V68" s="2138"/>
      <c r="W68" s="2138"/>
    </row>
    <row r="69" spans="1:23" ht="15" customHeight="1">
      <c r="A69" s="2146"/>
      <c r="B69" s="2357"/>
      <c r="C69" s="2357"/>
      <c r="D69" s="2357"/>
      <c r="E69" s="2357"/>
      <c r="F69" s="2357"/>
      <c r="G69" s="2357"/>
      <c r="H69" s="2357"/>
      <c r="I69" s="2357"/>
      <c r="J69" s="2357"/>
      <c r="K69" s="2357"/>
      <c r="L69" s="2357"/>
      <c r="M69" s="2138"/>
      <c r="N69" s="2138"/>
      <c r="O69" s="2138"/>
      <c r="P69" s="2138"/>
      <c r="Q69" s="2138"/>
      <c r="R69" s="2138"/>
      <c r="S69" s="2138"/>
      <c r="T69" s="2138"/>
      <c r="U69" s="2138"/>
      <c r="V69" s="2138"/>
      <c r="W69" s="2138"/>
    </row>
    <row r="70" spans="1:23" ht="15" customHeight="1">
      <c r="A70" s="2146"/>
      <c r="B70" s="2137"/>
      <c r="C70" s="2137"/>
      <c r="D70" s="2137"/>
      <c r="E70" s="2137"/>
      <c r="F70" s="2137"/>
      <c r="G70" s="2137"/>
      <c r="H70" s="2137"/>
      <c r="I70" s="2137"/>
      <c r="J70" s="2137"/>
      <c r="K70" s="2137"/>
      <c r="L70" s="2138"/>
      <c r="M70" s="2138"/>
      <c r="N70" s="2138"/>
      <c r="O70" s="2138"/>
      <c r="P70" s="2138"/>
      <c r="Q70" s="2138"/>
      <c r="R70" s="2138"/>
      <c r="S70" s="2138"/>
      <c r="T70" s="2138"/>
      <c r="U70" s="2138"/>
      <c r="V70" s="2138"/>
      <c r="W70" s="2138"/>
    </row>
    <row r="71" spans="1:23" ht="15" customHeight="1">
      <c r="A71" s="1538" t="str">
        <f>A65+1&amp;"."</f>
        <v>12.</v>
      </c>
      <c r="B71" s="1552" t="s">
        <v>717</v>
      </c>
      <c r="C71" s="1530"/>
      <c r="D71" s="1530"/>
      <c r="E71" s="1530"/>
      <c r="F71" s="1600"/>
      <c r="G71" s="1600"/>
      <c r="H71" s="1600"/>
      <c r="I71" s="1600"/>
      <c r="J71" s="1600"/>
      <c r="K71" s="1600"/>
      <c r="L71" s="1530"/>
    </row>
    <row r="72" spans="1:23" ht="15" customHeight="1">
      <c r="A72" s="2146"/>
      <c r="B72" s="1554"/>
      <c r="C72" s="1595"/>
      <c r="D72" s="1530"/>
      <c r="E72" s="1530"/>
      <c r="F72" s="1600"/>
      <c r="G72" s="1600"/>
      <c r="H72" s="1600"/>
      <c r="I72" s="1600"/>
      <c r="J72" s="1600"/>
      <c r="K72" s="1600"/>
      <c r="L72" s="1530"/>
    </row>
    <row r="73" spans="1:23" ht="15" customHeight="1">
      <c r="A73" s="2146"/>
      <c r="B73" s="2400" t="s">
        <v>2534</v>
      </c>
      <c r="C73" s="2399"/>
      <c r="D73" s="2399"/>
      <c r="E73" s="2399"/>
      <c r="F73" s="2399"/>
      <c r="G73" s="2399"/>
      <c r="H73" s="2399"/>
      <c r="I73" s="2399"/>
      <c r="J73" s="2399"/>
      <c r="K73" s="2399"/>
      <c r="L73" s="2399"/>
    </row>
    <row r="74" spans="1:23" ht="15" customHeight="1">
      <c r="A74" s="2146"/>
      <c r="B74" s="2400"/>
      <c r="C74" s="2399"/>
      <c r="D74" s="2399"/>
      <c r="E74" s="2399"/>
      <c r="F74" s="2399"/>
      <c r="G74" s="2399"/>
      <c r="H74" s="2399"/>
      <c r="I74" s="2399"/>
      <c r="J74" s="2399"/>
      <c r="K74" s="2399"/>
      <c r="L74" s="2399"/>
    </row>
    <row r="75" spans="1:23" ht="15" customHeight="1">
      <c r="A75" s="2146"/>
      <c r="B75" s="2399"/>
      <c r="C75" s="2399"/>
      <c r="D75" s="2399"/>
      <c r="E75" s="2399"/>
      <c r="F75" s="2399"/>
      <c r="G75" s="2399"/>
      <c r="H75" s="2399"/>
      <c r="I75" s="2399"/>
      <c r="J75" s="2399"/>
      <c r="K75" s="2399"/>
      <c r="L75" s="2399"/>
    </row>
    <row r="76" spans="1:23" ht="15" customHeight="1">
      <c r="A76" s="2146"/>
      <c r="B76" s="2399"/>
      <c r="C76" s="2399"/>
      <c r="D76" s="2399"/>
      <c r="E76" s="2399"/>
      <c r="F76" s="2399"/>
      <c r="G76" s="2399"/>
      <c r="H76" s="2399"/>
      <c r="I76" s="2399"/>
      <c r="J76" s="2399"/>
      <c r="K76" s="2399"/>
      <c r="L76" s="2399"/>
    </row>
    <row r="77" spans="1:23" ht="15" customHeight="1">
      <c r="A77" s="2146"/>
      <c r="B77" s="2399"/>
      <c r="C77" s="2399"/>
      <c r="D77" s="2399"/>
      <c r="E77" s="2399"/>
      <c r="F77" s="2399"/>
      <c r="G77" s="2399"/>
      <c r="H77" s="2399"/>
      <c r="I77" s="2399"/>
      <c r="J77" s="2399"/>
      <c r="K77" s="2399"/>
      <c r="L77" s="2399"/>
    </row>
    <row r="78" spans="1:23" ht="15" customHeight="1">
      <c r="A78" s="2146"/>
      <c r="B78" s="1554"/>
      <c r="C78" s="1530"/>
      <c r="D78" s="1530"/>
      <c r="E78" s="1530"/>
      <c r="F78" s="1530"/>
      <c r="G78" s="1530"/>
      <c r="H78" s="1530"/>
      <c r="I78" s="1530"/>
      <c r="J78" s="1530"/>
      <c r="K78" s="1530"/>
      <c r="L78" s="1530"/>
    </row>
    <row r="79" spans="1:23" ht="15" customHeight="1">
      <c r="A79" s="2146"/>
      <c r="B79" s="2400" t="s">
        <v>2607</v>
      </c>
      <c r="C79" s="2399"/>
      <c r="D79" s="2399"/>
      <c r="E79" s="2399"/>
      <c r="F79" s="2399"/>
      <c r="G79" s="2399"/>
      <c r="H79" s="2399"/>
      <c r="I79" s="2399"/>
      <c r="J79" s="2399"/>
      <c r="K79" s="2399"/>
      <c r="L79" s="2399"/>
    </row>
    <row r="80" spans="1:23" ht="15" customHeight="1">
      <c r="A80" s="2146"/>
      <c r="B80" s="2400"/>
      <c r="C80" s="2399"/>
      <c r="D80" s="2399"/>
      <c r="E80" s="2399"/>
      <c r="F80" s="2399"/>
      <c r="G80" s="2399"/>
      <c r="H80" s="2399"/>
      <c r="I80" s="2399"/>
      <c r="J80" s="2399"/>
      <c r="K80" s="2399"/>
      <c r="L80" s="2399"/>
    </row>
    <row r="81" spans="1:12" ht="15" customHeight="1">
      <c r="A81" s="2146"/>
      <c r="B81" s="2400"/>
      <c r="C81" s="2399"/>
      <c r="D81" s="2399"/>
      <c r="E81" s="2399"/>
      <c r="F81" s="2399"/>
      <c r="G81" s="2399"/>
      <c r="H81" s="2399"/>
      <c r="I81" s="2399"/>
      <c r="J81" s="2399"/>
      <c r="K81" s="2399"/>
      <c r="L81" s="2399"/>
    </row>
    <row r="82" spans="1:12" ht="15" customHeight="1">
      <c r="A82" s="2146"/>
      <c r="B82" s="2399"/>
      <c r="C82" s="2399"/>
      <c r="D82" s="2399"/>
      <c r="E82" s="2399"/>
      <c r="F82" s="2399"/>
      <c r="G82" s="2399"/>
      <c r="H82" s="2399"/>
      <c r="I82" s="2399"/>
      <c r="J82" s="2399"/>
      <c r="K82" s="2399"/>
      <c r="L82" s="2399"/>
    </row>
    <row r="83" spans="1:12" ht="15" customHeight="1">
      <c r="A83" s="2146"/>
      <c r="B83" s="1963"/>
      <c r="C83" s="2147"/>
      <c r="D83" s="2147"/>
      <c r="E83" s="2147"/>
      <c r="F83" s="2147"/>
      <c r="G83" s="2147"/>
      <c r="H83" s="2147"/>
      <c r="I83" s="2147"/>
      <c r="J83" s="2147"/>
      <c r="K83" s="2147"/>
      <c r="L83" s="2147"/>
    </row>
    <row r="84" spans="1:12">
      <c r="A84" s="2146"/>
      <c r="B84" s="2399" t="s">
        <v>2608</v>
      </c>
      <c r="C84" s="2399"/>
      <c r="D84" s="2399"/>
      <c r="E84" s="2399"/>
      <c r="F84" s="2399"/>
      <c r="G84" s="2399"/>
      <c r="H84" s="2399"/>
      <c r="I84" s="2399"/>
      <c r="J84" s="2399"/>
      <c r="K84" s="2399"/>
      <c r="L84" s="2399"/>
    </row>
    <row r="85" spans="1:12">
      <c r="A85" s="2146"/>
      <c r="B85" s="2399"/>
      <c r="C85" s="2399"/>
      <c r="D85" s="2399"/>
      <c r="E85" s="2399"/>
      <c r="F85" s="2399"/>
      <c r="G85" s="2399"/>
      <c r="H85" s="2399"/>
      <c r="I85" s="2399"/>
      <c r="J85" s="2399"/>
      <c r="K85" s="2399"/>
      <c r="L85" s="2399"/>
    </row>
    <row r="86" spans="1:12">
      <c r="A86" s="2146"/>
      <c r="B86" s="2149"/>
      <c r="C86" s="2149"/>
      <c r="D86" s="2149"/>
      <c r="E86" s="2149"/>
      <c r="F86" s="2149"/>
      <c r="G86" s="2149"/>
      <c r="H86" s="2149"/>
      <c r="I86" s="2149"/>
      <c r="J86" s="2149"/>
      <c r="K86" s="2149"/>
      <c r="L86" s="2149"/>
    </row>
    <row r="87" spans="1:12" ht="15.75" customHeight="1">
      <c r="B87" s="2399" t="s">
        <v>2667</v>
      </c>
      <c r="C87" s="2399"/>
      <c r="D87" s="2399"/>
      <c r="E87" s="2399"/>
      <c r="F87" s="2399"/>
      <c r="G87" s="2399"/>
      <c r="H87" s="2399"/>
      <c r="I87" s="2399"/>
      <c r="J87" s="2399"/>
      <c r="K87" s="2399"/>
      <c r="L87" s="2399"/>
    </row>
    <row r="88" spans="1:12">
      <c r="B88" s="2399"/>
      <c r="C88" s="2399"/>
      <c r="D88" s="2399"/>
      <c r="E88" s="2399"/>
      <c r="F88" s="2399"/>
      <c r="G88" s="2399"/>
      <c r="H88" s="2399"/>
      <c r="I88" s="2399"/>
      <c r="J88" s="2399"/>
      <c r="K88" s="2399"/>
      <c r="L88" s="2399"/>
    </row>
  </sheetData>
  <mergeCells count="14">
    <mergeCell ref="N55:T59"/>
    <mergeCell ref="B73:L77"/>
    <mergeCell ref="B67:L69"/>
    <mergeCell ref="B84:L85"/>
    <mergeCell ref="J5:L5"/>
    <mergeCell ref="B20:L26"/>
    <mergeCell ref="B28:L30"/>
    <mergeCell ref="B32:L32"/>
    <mergeCell ref="B87:L88"/>
    <mergeCell ref="B79:L82"/>
    <mergeCell ref="B49:L59"/>
    <mergeCell ref="B62:L63"/>
    <mergeCell ref="B34:L38"/>
    <mergeCell ref="B45:L46"/>
  </mergeCells>
  <pageMargins left="0.75" right="0.25" top="0.75" bottom="0" header="0.25" footer="0"/>
  <pageSetup paperSize="9" scale="90" firstPageNumber="13" orientation="portrait" useFirstPageNumber="1" r:id="rId1"/>
  <headerFooter>
    <oddHeader>&amp;C&amp;"Arial Black,Regular"&amp;11&amp;P&amp;R&amp;"Arial Black,Regular"&amp;11MCB PAKISTAN STOCK MARKET FUND</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07"/>
  <sheetViews>
    <sheetView showGridLines="0" zoomScale="130" zoomScaleNormal="130" workbookViewId="0">
      <selection activeCell="A2" sqref="A2:K14"/>
    </sheetView>
  </sheetViews>
  <sheetFormatPr defaultColWidth="10.09765625" defaultRowHeight="11.4"/>
  <cols>
    <col min="1" max="1" width="5.09765625" style="875" customWidth="1"/>
    <col min="2" max="2" width="16.59765625" style="875" customWidth="1"/>
    <col min="3" max="11" width="6.59765625" style="875" customWidth="1"/>
    <col min="12" max="12" width="5.59765625" style="875" customWidth="1"/>
    <col min="13" max="13" width="9.09765625" style="875" customWidth="1"/>
    <col min="14" max="17" width="5.59765625" style="875" customWidth="1"/>
    <col min="18" max="18" width="13" style="875" customWidth="1"/>
    <col min="19" max="19" width="9.09765625" style="875" customWidth="1"/>
    <col min="20" max="43" width="10.09765625" style="875" customWidth="1"/>
    <col min="44" max="16384" width="10.09765625" style="875"/>
  </cols>
  <sheetData>
    <row r="2" spans="1:13" ht="12">
      <c r="A2" s="1172">
        <v>5.4</v>
      </c>
      <c r="B2" s="1172" t="s">
        <v>2322</v>
      </c>
    </row>
    <row r="4" spans="1:13" s="1038" customFormat="1" ht="10.35" customHeight="1">
      <c r="A4" s="1037"/>
      <c r="B4" s="2407" t="s">
        <v>129</v>
      </c>
      <c r="C4" s="2409" t="s">
        <v>183</v>
      </c>
      <c r="D4" s="2409"/>
      <c r="E4" s="2409"/>
      <c r="F4" s="2409"/>
      <c r="G4" s="2409" t="s">
        <v>2447</v>
      </c>
      <c r="H4" s="2409"/>
      <c r="I4" s="2409"/>
      <c r="J4" s="2410" t="s">
        <v>2323</v>
      </c>
      <c r="K4" s="2410" t="s">
        <v>2324</v>
      </c>
      <c r="M4" s="1039"/>
    </row>
    <row r="5" spans="1:13" s="1038" customFormat="1" ht="10.35" customHeight="1">
      <c r="A5" s="1037"/>
      <c r="B5" s="2408"/>
      <c r="C5" s="2410" t="s">
        <v>2446</v>
      </c>
      <c r="D5" s="2410" t="s">
        <v>2325</v>
      </c>
      <c r="E5" s="2412" t="s">
        <v>2362</v>
      </c>
      <c r="F5" s="2410" t="s">
        <v>2442</v>
      </c>
      <c r="G5" s="2410" t="s">
        <v>2326</v>
      </c>
      <c r="H5" s="2410" t="s">
        <v>2327</v>
      </c>
      <c r="I5" s="2410" t="s">
        <v>2328</v>
      </c>
      <c r="J5" s="2411"/>
      <c r="K5" s="2411"/>
      <c r="M5" s="1039"/>
    </row>
    <row r="6" spans="1:13" s="1038" customFormat="1" ht="10.35" customHeight="1">
      <c r="A6" s="1037"/>
      <c r="B6" s="2408"/>
      <c r="C6" s="2410"/>
      <c r="D6" s="2410"/>
      <c r="E6" s="2412"/>
      <c r="F6" s="2410"/>
      <c r="G6" s="2410"/>
      <c r="H6" s="2410"/>
      <c r="I6" s="2410"/>
      <c r="J6" s="2411"/>
      <c r="K6" s="2411"/>
      <c r="M6" s="1039"/>
    </row>
    <row r="7" spans="1:13" s="1038" customFormat="1" ht="10.35" customHeight="1">
      <c r="A7" s="1037"/>
      <c r="B7" s="2408"/>
      <c r="C7" s="2410"/>
      <c r="D7" s="2410"/>
      <c r="E7" s="2412"/>
      <c r="F7" s="2410"/>
      <c r="G7" s="2410"/>
      <c r="H7" s="2410"/>
      <c r="I7" s="2410"/>
      <c r="J7" s="2411"/>
      <c r="K7" s="2411"/>
      <c r="M7" s="1039"/>
    </row>
    <row r="8" spans="1:13" s="1038" customFormat="1" ht="10.35" customHeight="1">
      <c r="A8" s="1037"/>
      <c r="B8" s="2408"/>
      <c r="C8" s="2410"/>
      <c r="D8" s="2410"/>
      <c r="E8" s="2412"/>
      <c r="F8" s="2410"/>
      <c r="G8" s="2410"/>
      <c r="H8" s="2410"/>
      <c r="I8" s="2410"/>
      <c r="J8" s="2411"/>
      <c r="K8" s="2411"/>
      <c r="M8" s="1039"/>
    </row>
    <row r="9" spans="1:13" s="1038" customFormat="1" ht="10.35" customHeight="1">
      <c r="A9" s="1037"/>
      <c r="B9" s="1040"/>
      <c r="C9" s="2406" t="s">
        <v>2329</v>
      </c>
      <c r="D9" s="2406"/>
      <c r="E9" s="2406"/>
      <c r="F9" s="2406"/>
      <c r="G9" s="2406"/>
      <c r="H9" s="2406"/>
      <c r="I9" s="2406"/>
      <c r="J9" s="1041" t="s">
        <v>22</v>
      </c>
      <c r="K9" s="1041" t="s">
        <v>22</v>
      </c>
      <c r="M9" s="1039"/>
    </row>
    <row r="10" spans="1:13" s="1038" customFormat="1" ht="10.35" customHeight="1">
      <c r="A10" s="1037"/>
      <c r="B10" s="1042"/>
      <c r="C10" s="1043"/>
      <c r="D10" s="1044"/>
      <c r="E10" s="1045"/>
      <c r="F10" s="1045"/>
      <c r="G10" s="1045"/>
      <c r="H10" s="1046"/>
      <c r="I10" s="1046"/>
      <c r="J10" s="1044"/>
      <c r="K10" s="1044"/>
      <c r="M10" s="1039"/>
    </row>
    <row r="11" spans="1:13" s="1038" customFormat="1" ht="10.35" customHeight="1">
      <c r="A11" s="1037"/>
      <c r="B11" s="976" t="s">
        <v>2330</v>
      </c>
      <c r="C11" s="986">
        <v>0</v>
      </c>
      <c r="D11" s="986">
        <f>12981700000/1000</f>
        <v>12981700</v>
      </c>
      <c r="E11" s="986">
        <f>D11</f>
        <v>12981700</v>
      </c>
      <c r="F11" s="986">
        <f>C11+D11-E11</f>
        <v>0</v>
      </c>
      <c r="G11" s="986">
        <v>0</v>
      </c>
      <c r="H11" s="986">
        <v>0</v>
      </c>
      <c r="I11" s="986">
        <v>0</v>
      </c>
      <c r="J11" s="986">
        <v>0</v>
      </c>
      <c r="K11" s="986">
        <v>0</v>
      </c>
      <c r="M11" s="1039"/>
    </row>
    <row r="12" spans="1:13" s="1038" customFormat="1" ht="10.35" customHeight="1" thickBot="1">
      <c r="A12" s="1037"/>
      <c r="B12" s="982" t="s">
        <v>2444</v>
      </c>
      <c r="C12" s="1047"/>
      <c r="D12" s="1047"/>
      <c r="E12" s="1048"/>
      <c r="F12" s="1048"/>
      <c r="G12" s="1049">
        <f>SUM(G11:G11)</f>
        <v>0</v>
      </c>
      <c r="H12" s="1049">
        <f>SUM(H11:H11)</f>
        <v>0</v>
      </c>
      <c r="I12" s="1049">
        <f>SUM(I11:I11)</f>
        <v>0</v>
      </c>
      <c r="J12" s="1044"/>
      <c r="K12" s="1044"/>
      <c r="M12" s="1039"/>
    </row>
    <row r="13" spans="1:13" s="1038" customFormat="1" ht="6" customHeight="1" thickTop="1">
      <c r="A13" s="1037"/>
      <c r="B13" s="1042"/>
      <c r="C13" s="1047"/>
      <c r="D13" s="1047"/>
      <c r="E13" s="1048"/>
      <c r="F13" s="1048"/>
      <c r="G13" s="1048"/>
      <c r="H13" s="1050"/>
      <c r="I13" s="1050"/>
      <c r="J13" s="1044"/>
      <c r="K13" s="1044"/>
      <c r="M13" s="1039"/>
    </row>
    <row r="14" spans="1:13" s="1038" customFormat="1" ht="10.35" customHeight="1" thickBot="1">
      <c r="A14" s="1037"/>
      <c r="B14" s="982" t="s">
        <v>2445</v>
      </c>
      <c r="C14" s="1047"/>
      <c r="D14" s="1048"/>
      <c r="E14" s="1048"/>
      <c r="F14" s="1048"/>
      <c r="G14" s="1051">
        <v>0</v>
      </c>
      <c r="H14" s="1052">
        <v>0</v>
      </c>
      <c r="I14" s="1052">
        <v>0</v>
      </c>
      <c r="J14" s="1044"/>
      <c r="K14" s="1044"/>
      <c r="M14" s="1039"/>
    </row>
    <row r="15" spans="1:13" ht="6" customHeight="1" thickTop="1"/>
    <row r="552" spans="1:12">
      <c r="B552" s="2405" t="s">
        <v>2408</v>
      </c>
      <c r="C552" s="2405"/>
      <c r="D552" s="2405"/>
      <c r="E552" s="2405"/>
      <c r="F552" s="2405"/>
      <c r="G552" s="2405"/>
      <c r="H552" s="2405"/>
      <c r="I552" s="2405"/>
      <c r="J552" s="2405"/>
      <c r="K552" s="2405"/>
      <c r="L552" s="2405"/>
    </row>
    <row r="553" spans="1:12">
      <c r="B553" s="2405"/>
      <c r="C553" s="2405"/>
      <c r="D553" s="2405"/>
      <c r="E553" s="2405"/>
      <c r="F553" s="2405"/>
      <c r="G553" s="2405"/>
      <c r="H553" s="2405"/>
      <c r="I553" s="2405"/>
      <c r="J553" s="2405"/>
      <c r="K553" s="2405"/>
      <c r="L553" s="2405"/>
    </row>
    <row r="554" spans="1:12">
      <c r="B554" s="2405"/>
      <c r="C554" s="2405"/>
      <c r="D554" s="2405"/>
      <c r="E554" s="2405"/>
      <c r="F554" s="2405"/>
      <c r="G554" s="2405"/>
      <c r="H554" s="2405"/>
      <c r="I554" s="2405"/>
      <c r="J554" s="2405"/>
      <c r="K554" s="2405"/>
      <c r="L554" s="2405"/>
    </row>
    <row r="556" spans="1:12">
      <c r="A556" s="875">
        <f>A552+0.1</f>
        <v>0.1</v>
      </c>
    </row>
    <row r="693" spans="3:3">
      <c r="C693" s="875" t="s">
        <v>2409</v>
      </c>
    </row>
    <row r="707" spans="3:3">
      <c r="C707" s="875" t="s">
        <v>2410</v>
      </c>
    </row>
  </sheetData>
  <mergeCells count="14">
    <mergeCell ref="B552:L554"/>
    <mergeCell ref="C9:I9"/>
    <mergeCell ref="B4:B8"/>
    <mergeCell ref="C4:F4"/>
    <mergeCell ref="G4:I4"/>
    <mergeCell ref="K4:K8"/>
    <mergeCell ref="J4:J8"/>
    <mergeCell ref="C5:C8"/>
    <mergeCell ref="D5:D8"/>
    <mergeCell ref="E5:E8"/>
    <mergeCell ref="F5:F8"/>
    <mergeCell ref="G5:G8"/>
    <mergeCell ref="H5:H8"/>
    <mergeCell ref="I5:I8"/>
  </mergeCells>
  <pageMargins left="0.75" right="0.5" top="0.7" bottom="0.4" header="0.45"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100"/>
  <sheetViews>
    <sheetView showGridLines="0" view="pageBreakPreview" zoomScale="120" zoomScaleNormal="100" zoomScaleSheetLayoutView="120" workbookViewId="0">
      <selection activeCell="F1" sqref="F1"/>
    </sheetView>
  </sheetViews>
  <sheetFormatPr defaultColWidth="9" defaultRowHeight="10.199999999999999"/>
  <cols>
    <col min="1" max="1" width="5.09765625" style="317" customWidth="1"/>
    <col min="2" max="2" width="3.59765625" style="317" customWidth="1"/>
    <col min="3" max="3" width="26.09765625" style="317" customWidth="1"/>
    <col min="4" max="4" width="3.59765625" style="317" customWidth="1"/>
    <col min="5" max="5" width="5.5" style="317" customWidth="1"/>
    <col min="6" max="6" width="6.59765625" style="317" customWidth="1"/>
    <col min="7" max="7" width="5.5" style="317" customWidth="1"/>
    <col min="8" max="8" width="5.59765625" style="317" customWidth="1"/>
    <col min="9" max="9" width="0.59765625" style="317" customWidth="1"/>
    <col min="10" max="10" width="5.5" style="317" customWidth="1"/>
    <col min="11" max="11" width="6.59765625" style="317" customWidth="1"/>
    <col min="12" max="12" width="5.5" style="317" customWidth="1"/>
    <col min="13" max="13" width="5.59765625" style="317" customWidth="1"/>
    <col min="14" max="16" width="10" style="317" customWidth="1"/>
    <col min="17" max="17" width="10.09765625" style="317" customWidth="1"/>
    <col min="18" max="18" width="1.59765625" style="317" customWidth="1"/>
    <col min="19" max="19" width="10.09765625" style="317" customWidth="1"/>
    <col min="20" max="20" width="1" style="317" customWidth="1"/>
    <col min="21" max="21" width="8.09765625" style="317" hidden="1" customWidth="1"/>
    <col min="22" max="22" width="1" style="317" hidden="1" customWidth="1"/>
    <col min="23" max="23" width="8.59765625" style="317" hidden="1" customWidth="1"/>
    <col min="24" max="24" width="8.59765625" style="317" customWidth="1"/>
    <col min="25" max="25" width="13.09765625" style="317" customWidth="1"/>
    <col min="26" max="26" width="14.5" style="317" bestFit="1" customWidth="1"/>
    <col min="27" max="27" width="9" style="317"/>
    <col min="28" max="28" width="9.59765625" style="317" bestFit="1" customWidth="1"/>
    <col min="29" max="30" width="9" style="317"/>
    <col min="31" max="31" width="9.5" style="317" bestFit="1" customWidth="1"/>
    <col min="32" max="16384" width="9" style="317"/>
  </cols>
  <sheetData>
    <row r="1" spans="1:32">
      <c r="A1" s="1170" t="str">
        <f>BS!$A$1</f>
        <v>MCB PAKISTAN STOCK MARKET FUND</v>
      </c>
      <c r="B1" s="1171"/>
      <c r="C1" s="1171"/>
      <c r="D1" s="213"/>
      <c r="E1" s="213"/>
      <c r="F1" s="213"/>
      <c r="G1" s="213"/>
      <c r="H1" s="213"/>
      <c r="I1" s="213"/>
      <c r="J1" s="213"/>
      <c r="K1" s="213"/>
      <c r="L1" s="213"/>
      <c r="M1" s="213"/>
      <c r="N1" s="213"/>
      <c r="O1" s="213"/>
      <c r="P1" s="213"/>
      <c r="Q1" s="213"/>
      <c r="R1" s="213"/>
      <c r="S1" s="213"/>
      <c r="T1" s="213"/>
      <c r="U1" s="213"/>
      <c r="W1" s="213"/>
      <c r="X1" s="213"/>
      <c r="Y1" s="1066"/>
    </row>
    <row r="2" spans="1:32">
      <c r="A2" s="213" t="s">
        <v>726</v>
      </c>
      <c r="B2" s="213"/>
      <c r="C2" s="213"/>
      <c r="D2" s="213"/>
      <c r="E2" s="213"/>
      <c r="F2" s="213"/>
      <c r="G2" s="213"/>
      <c r="H2" s="213"/>
      <c r="I2" s="213"/>
      <c r="J2" s="213"/>
      <c r="K2" s="213"/>
      <c r="L2" s="213"/>
      <c r="M2" s="213"/>
      <c r="N2" s="213" t="s">
        <v>2395</v>
      </c>
      <c r="O2" s="1066">
        <f>K10</f>
        <v>2990795</v>
      </c>
      <c r="P2" s="213"/>
      <c r="Q2" s="213"/>
      <c r="R2" s="213"/>
      <c r="S2" s="213"/>
      <c r="T2" s="213"/>
      <c r="U2" s="213"/>
      <c r="W2" s="213"/>
      <c r="X2" s="1067">
        <v>38728225</v>
      </c>
      <c r="Y2" s="317">
        <v>3707789</v>
      </c>
    </row>
    <row r="3" spans="1:32">
      <c r="A3" s="213" t="s">
        <v>2440</v>
      </c>
      <c r="B3" s="213"/>
      <c r="C3" s="213"/>
      <c r="D3" s="213"/>
      <c r="E3" s="213"/>
      <c r="F3" s="213"/>
      <c r="G3" s="213"/>
      <c r="H3" s="213"/>
      <c r="I3" s="213"/>
      <c r="J3" s="213"/>
      <c r="K3" s="213"/>
      <c r="L3" s="213"/>
      <c r="M3" s="213"/>
      <c r="N3" s="213" t="s">
        <v>2396</v>
      </c>
      <c r="O3" s="1086">
        <f>2456629</f>
        <v>2456629</v>
      </c>
      <c r="P3" s="213"/>
      <c r="Q3" s="213"/>
      <c r="R3" s="213"/>
      <c r="S3" s="213"/>
      <c r="T3" s="213"/>
      <c r="U3" s="213"/>
      <c r="W3" s="213"/>
      <c r="X3" s="943">
        <f>X2*BS!H40/1000</f>
        <v>4013382.4795551873</v>
      </c>
      <c r="Y3" s="213"/>
      <c r="Z3" s="966">
        <v>22923854</v>
      </c>
      <c r="AA3" s="966">
        <f>Y3-Z3</f>
        <v>-22923854</v>
      </c>
    </row>
    <row r="4" spans="1:32">
      <c r="A4" s="213"/>
      <c r="B4" s="213"/>
      <c r="C4" s="213"/>
      <c r="D4" s="213"/>
      <c r="E4" s="213"/>
      <c r="F4" s="213"/>
      <c r="G4" s="213"/>
      <c r="H4" s="213"/>
      <c r="I4" s="213"/>
      <c r="J4" s="213"/>
      <c r="K4" s="213"/>
      <c r="L4" s="213"/>
      <c r="M4" s="213"/>
      <c r="N4" s="213" t="s">
        <v>2397</v>
      </c>
      <c r="O4" s="1066">
        <v>-967094</v>
      </c>
      <c r="P4" s="213"/>
      <c r="Q4" s="2331" t="s">
        <v>705</v>
      </c>
      <c r="R4" s="2331"/>
      <c r="S4" s="2331"/>
      <c r="T4" s="1062"/>
      <c r="U4" s="2331" t="s">
        <v>706</v>
      </c>
      <c r="V4" s="2331"/>
      <c r="W4" s="2331"/>
      <c r="X4" s="213"/>
      <c r="Y4" s="1062"/>
      <c r="Z4" s="966">
        <v>42550240</v>
      </c>
    </row>
    <row r="5" spans="1:32" s="976" customFormat="1" ht="10.8">
      <c r="A5" s="981"/>
      <c r="B5" s="981"/>
      <c r="C5" s="981"/>
      <c r="D5" s="981"/>
      <c r="E5" s="2413" t="s">
        <v>2378</v>
      </c>
      <c r="F5" s="2414"/>
      <c r="G5" s="2414"/>
      <c r="H5" s="2415"/>
      <c r="I5" s="1087"/>
      <c r="J5" s="2413" t="s">
        <v>2378</v>
      </c>
      <c r="K5" s="2414"/>
      <c r="L5" s="2414"/>
      <c r="M5" s="2415"/>
      <c r="N5" s="1087"/>
      <c r="O5" s="1088">
        <f>SUM(O2:O4)</f>
        <v>4480330</v>
      </c>
      <c r="P5" s="1087"/>
      <c r="Q5" s="2420" t="s">
        <v>624</v>
      </c>
      <c r="R5" s="2420"/>
      <c r="S5" s="2420"/>
      <c r="T5" s="1089"/>
      <c r="U5" s="2420" t="s">
        <v>624</v>
      </c>
      <c r="V5" s="2420"/>
      <c r="W5" s="2420"/>
      <c r="X5" s="1089"/>
      <c r="Y5" s="1089" t="s">
        <v>626</v>
      </c>
      <c r="Z5" s="1090">
        <f>Z4/1000*S86</f>
        <v>3705755.0309877428</v>
      </c>
      <c r="AB5" s="1091">
        <v>42503625</v>
      </c>
    </row>
    <row r="6" spans="1:32" s="976" customFormat="1" ht="10.8">
      <c r="A6" s="981"/>
      <c r="B6" s="981"/>
      <c r="C6" s="981"/>
      <c r="D6" s="981"/>
      <c r="E6" s="2416">
        <v>2018</v>
      </c>
      <c r="F6" s="2417"/>
      <c r="G6" s="2417"/>
      <c r="H6" s="2418"/>
      <c r="I6" s="1087"/>
      <c r="J6" s="2416">
        <v>2017</v>
      </c>
      <c r="K6" s="2417"/>
      <c r="L6" s="2417"/>
      <c r="M6" s="2418"/>
      <c r="N6" s="1087"/>
      <c r="O6" s="1087"/>
      <c r="P6" s="1087"/>
      <c r="Q6" s="1089" t="s">
        <v>1153</v>
      </c>
      <c r="R6" s="1089"/>
      <c r="S6" s="1089" t="s">
        <v>990</v>
      </c>
      <c r="T6" s="1089"/>
      <c r="U6" s="1089" t="s">
        <v>1153</v>
      </c>
      <c r="V6" s="1089"/>
      <c r="W6" s="1089" t="s">
        <v>990</v>
      </c>
      <c r="X6" s="1089"/>
      <c r="Y6" s="1089" t="s">
        <v>990</v>
      </c>
      <c r="AB6" s="976">
        <f>AB5/1000*BS!H40</f>
        <v>4404624.89289359</v>
      </c>
    </row>
    <row r="7" spans="1:32" s="976" customFormat="1" ht="10.8">
      <c r="A7" s="981"/>
      <c r="B7" s="981"/>
      <c r="C7" s="981"/>
      <c r="D7" s="981"/>
      <c r="E7" s="2419" t="s">
        <v>2379</v>
      </c>
      <c r="F7" s="2419"/>
      <c r="G7" s="2419"/>
      <c r="H7" s="2419"/>
      <c r="I7" s="1092"/>
      <c r="J7" s="2419" t="s">
        <v>2379</v>
      </c>
      <c r="K7" s="2419"/>
      <c r="L7" s="2419"/>
      <c r="M7" s="2419"/>
      <c r="N7" s="1092" t="s">
        <v>2398</v>
      </c>
      <c r="O7" s="1093">
        <v>616069</v>
      </c>
      <c r="P7" s="1092"/>
      <c r="Q7" s="2421" t="s">
        <v>1068</v>
      </c>
      <c r="R7" s="2421"/>
      <c r="S7" s="2421"/>
      <c r="T7" s="2421"/>
      <c r="U7" s="2421" t="s">
        <v>1068</v>
      </c>
      <c r="V7" s="2421"/>
      <c r="W7" s="2421"/>
      <c r="X7" s="2421"/>
      <c r="Y7" s="1094"/>
    </row>
    <row r="8" spans="1:32" s="976" customFormat="1" ht="64.8">
      <c r="A8" s="981"/>
      <c r="B8" s="981"/>
      <c r="C8" s="981"/>
      <c r="D8" s="1166"/>
      <c r="E8" s="1095" t="s">
        <v>2380</v>
      </c>
      <c r="F8" s="1095" t="s">
        <v>2381</v>
      </c>
      <c r="G8" s="1095" t="s">
        <v>2436</v>
      </c>
      <c r="H8" s="1095" t="s">
        <v>44</v>
      </c>
      <c r="I8" s="1096"/>
      <c r="J8" s="1095" t="s">
        <v>2380</v>
      </c>
      <c r="K8" s="1095" t="s">
        <v>2381</v>
      </c>
      <c r="L8" s="1095" t="s">
        <v>2436</v>
      </c>
      <c r="M8" s="1095" t="s">
        <v>44</v>
      </c>
      <c r="N8" s="1092" t="s">
        <v>2399</v>
      </c>
      <c r="O8" s="1093">
        <v>423508</v>
      </c>
      <c r="P8" s="1096"/>
      <c r="Q8" s="1097"/>
      <c r="R8" s="1097"/>
      <c r="S8" s="1097"/>
      <c r="T8" s="1097"/>
      <c r="U8" s="1097"/>
      <c r="W8" s="1097"/>
      <c r="X8" s="1097"/>
      <c r="Y8" s="1097"/>
    </row>
    <row r="9" spans="1:32" s="976" customFormat="1" ht="10.8">
      <c r="A9" s="981"/>
      <c r="B9" s="981"/>
      <c r="C9" s="981"/>
      <c r="D9" s="981"/>
      <c r="E9" s="1096"/>
      <c r="F9" s="1096"/>
      <c r="G9" s="1096"/>
      <c r="H9" s="1096"/>
      <c r="I9" s="1096"/>
      <c r="J9" s="1096"/>
      <c r="K9" s="1096"/>
      <c r="L9" s="1096"/>
      <c r="M9" s="1096"/>
      <c r="N9" s="1096"/>
      <c r="O9" s="1096"/>
      <c r="P9" s="1096"/>
      <c r="Q9" s="1097"/>
      <c r="R9" s="1097"/>
      <c r="S9" s="1097"/>
      <c r="T9" s="1097"/>
      <c r="U9" s="1097"/>
      <c r="W9" s="1097"/>
      <c r="X9" s="1097"/>
      <c r="Y9" s="1097"/>
      <c r="AB9" s="1091">
        <v>36679734</v>
      </c>
    </row>
    <row r="10" spans="1:32" s="976" customFormat="1" ht="10.8">
      <c r="A10" s="1098" t="s">
        <v>465</v>
      </c>
      <c r="E10" s="979">
        <f>H10-G10-F10</f>
        <v>7300783.0999999996</v>
      </c>
      <c r="F10" s="979">
        <f>O5</f>
        <v>4480330</v>
      </c>
      <c r="G10" s="979">
        <f>O7</f>
        <v>616069</v>
      </c>
      <c r="H10" s="979">
        <f>BS!$H$30</f>
        <v>12397182.1</v>
      </c>
      <c r="I10" s="979"/>
      <c r="J10" s="979">
        <f>M10-L10-K10</f>
        <v>4603583</v>
      </c>
      <c r="K10" s="979">
        <v>2990795</v>
      </c>
      <c r="L10" s="979">
        <f>O8</f>
        <v>423508</v>
      </c>
      <c r="M10" s="977">
        <v>8017886</v>
      </c>
      <c r="N10" s="977"/>
      <c r="O10" s="977"/>
      <c r="P10" s="977"/>
      <c r="Q10" s="1099">
        <f>BS!$H$30</f>
        <v>12397182.1</v>
      </c>
      <c r="R10" s="1099"/>
      <c r="S10" s="1099">
        <v>8017886</v>
      </c>
      <c r="T10" s="977"/>
      <c r="U10" s="977">
        <v>9789861.5</v>
      </c>
      <c r="W10" s="977">
        <v>8840981.75</v>
      </c>
      <c r="X10" s="977"/>
      <c r="Y10" s="1027">
        <v>8017886</v>
      </c>
      <c r="Z10" s="1090">
        <f>Q10-U10</f>
        <v>2607320.5999999996</v>
      </c>
      <c r="AB10" s="1090">
        <f>AB9/1000*S86</f>
        <v>3194485.1264244849</v>
      </c>
    </row>
    <row r="11" spans="1:32" s="976" customFormat="1" ht="10.8">
      <c r="E11" s="979"/>
      <c r="F11" s="979"/>
      <c r="G11" s="979"/>
      <c r="H11" s="979"/>
      <c r="I11" s="979"/>
      <c r="J11" s="979"/>
      <c r="K11" s="979"/>
      <c r="L11" s="979"/>
      <c r="M11" s="979"/>
      <c r="N11" s="979" t="s">
        <v>2385</v>
      </c>
      <c r="O11" s="979" t="s">
        <v>695</v>
      </c>
      <c r="P11" s="979"/>
      <c r="Q11" s="978"/>
      <c r="U11" s="978"/>
      <c r="X11" s="976">
        <v>3707789</v>
      </c>
      <c r="Y11" s="980"/>
      <c r="Z11" s="1090">
        <f>Q11-U11</f>
        <v>0</v>
      </c>
    </row>
    <row r="12" spans="1:32" s="976" customFormat="1" ht="10.8">
      <c r="A12" s="1100" t="s">
        <v>2413</v>
      </c>
      <c r="E12" s="1101"/>
      <c r="F12" s="1101"/>
      <c r="G12" s="1101"/>
      <c r="H12" s="1101"/>
      <c r="I12" s="979"/>
      <c r="J12" s="979"/>
      <c r="K12" s="979"/>
      <c r="L12" s="979"/>
      <c r="M12" s="979"/>
      <c r="N12" s="979">
        <v>38728225</v>
      </c>
      <c r="O12" s="979">
        <v>42550240</v>
      </c>
      <c r="P12" s="979" t="s">
        <v>2390</v>
      </c>
      <c r="S12" s="980"/>
      <c r="U12" s="1102"/>
      <c r="W12" s="1103"/>
      <c r="X12" s="985">
        <v>38728225</v>
      </c>
      <c r="Y12" s="980"/>
      <c r="Z12" s="1090">
        <f>Q12-U12</f>
        <v>0</v>
      </c>
    </row>
    <row r="13" spans="1:32" s="976" customFormat="1" ht="10.8">
      <c r="A13" s="1100" t="s">
        <v>2319</v>
      </c>
      <c r="E13" s="1104">
        <f>N14</f>
        <v>4013382.4795551873</v>
      </c>
      <c r="F13" s="1054">
        <v>0</v>
      </c>
      <c r="G13" s="984">
        <v>0</v>
      </c>
      <c r="H13" s="1104">
        <f>SUM(E13:G13)</f>
        <v>4013382.4795551873</v>
      </c>
      <c r="I13" s="979"/>
      <c r="J13" s="979"/>
      <c r="K13" s="979"/>
      <c r="L13" s="979"/>
      <c r="M13" s="979"/>
      <c r="N13" s="1105">
        <f>BS!H40</f>
        <v>103.62939379626067</v>
      </c>
      <c r="O13" s="1105">
        <v>87.09</v>
      </c>
      <c r="P13" s="979" t="s">
        <v>2391</v>
      </c>
      <c r="Q13" s="1106">
        <f>X13</f>
        <v>4013382.4795551873</v>
      </c>
      <c r="R13" s="1027"/>
      <c r="S13" s="983"/>
      <c r="T13" s="1027"/>
      <c r="U13" s="1107">
        <f>Q13-Y13</f>
        <v>1763096.2295551873</v>
      </c>
      <c r="W13" s="1107">
        <v>2849646</v>
      </c>
      <c r="X13" s="1027">
        <f>X12*BS!H40/1000</f>
        <v>4013382.4795551873</v>
      </c>
      <c r="Y13" s="1027">
        <v>2250286.25</v>
      </c>
      <c r="Z13" s="1090">
        <f>Q13-U13</f>
        <v>2250286.25</v>
      </c>
      <c r="AD13" s="1091"/>
      <c r="AE13" s="1091"/>
      <c r="AF13" s="1091"/>
    </row>
    <row r="14" spans="1:32" s="976" customFormat="1" ht="10.8">
      <c r="A14" s="1100" t="s">
        <v>2320</v>
      </c>
      <c r="E14" s="1108">
        <f>Y2-X3</f>
        <v>-305593.47955518728</v>
      </c>
      <c r="F14" s="1055">
        <v>0</v>
      </c>
      <c r="G14" s="1109">
        <v>0</v>
      </c>
      <c r="H14" s="1108">
        <f>SUM(E14:G14)</f>
        <v>-305593.47955518728</v>
      </c>
      <c r="I14" s="979"/>
      <c r="J14" s="979"/>
      <c r="K14" s="979"/>
      <c r="L14" s="979"/>
      <c r="M14" s="979"/>
      <c r="N14" s="979">
        <f>N12*N13/1000</f>
        <v>4013382.4795551873</v>
      </c>
      <c r="O14" s="979">
        <f>O12*O13/1000</f>
        <v>3705700.4016000004</v>
      </c>
      <c r="P14" s="979" t="s">
        <v>2392</v>
      </c>
      <c r="Q14" s="1110">
        <f>X11-Q13</f>
        <v>-305593.47955518728</v>
      </c>
      <c r="R14" s="1027"/>
      <c r="S14" s="1027"/>
      <c r="T14" s="1027"/>
      <c r="U14" s="1107"/>
      <c r="W14" s="1107"/>
      <c r="X14" s="1027"/>
      <c r="Y14" s="1027"/>
      <c r="Z14" s="1090"/>
      <c r="AD14" s="1091"/>
      <c r="AE14" s="1091"/>
      <c r="AF14" s="1091"/>
    </row>
    <row r="15" spans="1:32" s="976" customFormat="1" ht="10.8">
      <c r="A15" s="1111"/>
      <c r="E15" s="1112">
        <f>SUM(E12:E14)</f>
        <v>3707789</v>
      </c>
      <c r="F15" s="979">
        <f>SUM(F12:F14)</f>
        <v>0</v>
      </c>
      <c r="G15" s="979">
        <f>SUM(G12:G14)</f>
        <v>0</v>
      </c>
      <c r="H15" s="1112">
        <f>SUM(H12:H14)</f>
        <v>3707789</v>
      </c>
      <c r="I15" s="979"/>
      <c r="J15" s="979">
        <f>M15-K15</f>
        <v>3940264</v>
      </c>
      <c r="K15" s="979">
        <f>O23</f>
        <v>232471</v>
      </c>
      <c r="L15" s="979">
        <v>0</v>
      </c>
      <c r="M15" s="979">
        <v>4172735</v>
      </c>
      <c r="N15" s="979"/>
      <c r="O15" s="979"/>
      <c r="P15" s="979"/>
      <c r="Q15" s="1027">
        <f>SUM(Q13:Q14)</f>
        <v>3707789</v>
      </c>
      <c r="R15" s="1027"/>
      <c r="S15" s="1027">
        <v>4172735</v>
      </c>
      <c r="T15" s="1027"/>
      <c r="U15" s="1107"/>
      <c r="W15" s="1107"/>
      <c r="X15" s="1027">
        <v>4040032</v>
      </c>
      <c r="Y15" s="1027"/>
      <c r="Z15" s="1090"/>
      <c r="AD15" s="1091"/>
      <c r="AE15" s="1091"/>
      <c r="AF15" s="1091"/>
    </row>
    <row r="16" spans="1:32" s="976" customFormat="1" ht="10.8">
      <c r="A16" s="1111"/>
      <c r="E16" s="1112"/>
      <c r="F16" s="1112"/>
      <c r="G16" s="1112"/>
      <c r="H16" s="1112"/>
      <c r="I16" s="979"/>
      <c r="J16" s="979"/>
      <c r="K16" s="979"/>
      <c r="L16" s="979"/>
      <c r="M16" s="979"/>
      <c r="N16" s="979"/>
      <c r="O16" s="979"/>
      <c r="P16" s="979"/>
      <c r="Q16" s="1027"/>
      <c r="R16" s="1027"/>
      <c r="S16" s="1027"/>
      <c r="T16" s="1027"/>
      <c r="U16" s="1107"/>
      <c r="W16" s="1107"/>
      <c r="X16" s="1027"/>
      <c r="Y16" s="1027"/>
      <c r="Z16" s="1090"/>
      <c r="AD16" s="1091"/>
      <c r="AE16" s="1091"/>
      <c r="AF16" s="1091"/>
    </row>
    <row r="17" spans="1:32" s="976" customFormat="1" ht="10.8">
      <c r="A17" s="1113" t="s">
        <v>2414</v>
      </c>
      <c r="E17" s="979"/>
      <c r="F17" s="979"/>
      <c r="G17" s="979"/>
      <c r="H17" s="979"/>
      <c r="I17" s="979"/>
      <c r="J17" s="979"/>
      <c r="K17" s="979"/>
      <c r="L17" s="979"/>
      <c r="M17" s="979"/>
      <c r="N17" s="979" t="s">
        <v>2385</v>
      </c>
      <c r="O17" s="979" t="s">
        <v>695</v>
      </c>
      <c r="P17" s="979"/>
      <c r="Q17" s="1027"/>
      <c r="R17" s="1027"/>
      <c r="S17" s="1027"/>
      <c r="T17" s="1027"/>
      <c r="U17" s="1107"/>
      <c r="W17" s="1107"/>
      <c r="X17" s="1027">
        <v>42503625</v>
      </c>
      <c r="Y17" s="1027"/>
      <c r="Z17" s="1090">
        <f>Q17-U17</f>
        <v>0</v>
      </c>
      <c r="AD17" s="1091"/>
      <c r="AE17" s="1091"/>
      <c r="AF17" s="1091"/>
    </row>
    <row r="18" spans="1:32" s="976" customFormat="1" ht="10.8">
      <c r="A18" s="1100" t="s">
        <v>2319</v>
      </c>
      <c r="E18" s="1053">
        <f>N20</f>
        <v>4356692.1062381696</v>
      </c>
      <c r="F18" s="1053">
        <v>0</v>
      </c>
      <c r="G18" s="1056">
        <v>0</v>
      </c>
      <c r="H18" s="1053">
        <f>SUM(E18:G18)</f>
        <v>4356692.1062381696</v>
      </c>
      <c r="I18" s="979"/>
      <c r="J18" s="979"/>
      <c r="K18" s="979"/>
      <c r="L18" s="979"/>
      <c r="M18" s="979"/>
      <c r="N18" s="979">
        <v>42503625</v>
      </c>
      <c r="O18" s="979">
        <v>36679734</v>
      </c>
      <c r="P18" s="979" t="s">
        <v>2390</v>
      </c>
      <c r="Q18" s="1114">
        <f>X18</f>
        <v>4404624.89289359</v>
      </c>
      <c r="R18" s="1027"/>
      <c r="S18" s="1027"/>
      <c r="T18" s="1027"/>
      <c r="U18" s="1110">
        <f>ROUND(Q18-Y18,0)</f>
        <v>7462449</v>
      </c>
      <c r="W18" s="1115">
        <v>-2421551</v>
      </c>
      <c r="X18" s="1027">
        <f>X17*BS!H40/1000</f>
        <v>4404624.89289359</v>
      </c>
      <c r="Y18" s="1027">
        <v>-3057824.25</v>
      </c>
      <c r="Z18" s="1090">
        <f>Q18-U18</f>
        <v>-3057824.10710641</v>
      </c>
      <c r="AD18" s="1091"/>
      <c r="AE18" s="1091"/>
      <c r="AF18" s="1091"/>
    </row>
    <row r="19" spans="1:32" s="976" customFormat="1" ht="10.8">
      <c r="A19" s="1116" t="s">
        <v>2382</v>
      </c>
      <c r="E19" s="1054"/>
      <c r="F19" s="1054"/>
      <c r="G19" s="984"/>
      <c r="H19" s="1054"/>
      <c r="I19" s="979"/>
      <c r="J19" s="979"/>
      <c r="K19" s="979"/>
      <c r="L19" s="979"/>
      <c r="M19" s="979"/>
      <c r="N19" s="1105">
        <v>102.50165971109922</v>
      </c>
      <c r="O19" s="1105">
        <v>87.09</v>
      </c>
      <c r="P19" s="979" t="s">
        <v>2391</v>
      </c>
      <c r="Q19" s="1117" t="e">
        <f>IS!#REF!</f>
        <v>#REF!</v>
      </c>
      <c r="R19" s="1027"/>
      <c r="S19" s="1118"/>
      <c r="T19" s="1027"/>
      <c r="U19" s="1027"/>
      <c r="W19" s="1027"/>
      <c r="X19" s="1027">
        <v>4356692.1062381696</v>
      </c>
      <c r="Y19" s="1027"/>
      <c r="Z19" s="1090"/>
      <c r="AD19" s="1091"/>
      <c r="AE19" s="1091"/>
      <c r="AF19" s="1091"/>
    </row>
    <row r="20" spans="1:32" s="976" customFormat="1" ht="10.8">
      <c r="A20" s="1116" t="s">
        <v>2403</v>
      </c>
      <c r="E20" s="1054">
        <v>0</v>
      </c>
      <c r="F20" s="1054">
        <v>0</v>
      </c>
      <c r="G20" s="984">
        <v>0</v>
      </c>
      <c r="H20" s="1054">
        <f>SUM(E20:G20)</f>
        <v>0</v>
      </c>
      <c r="I20" s="979"/>
      <c r="J20" s="979"/>
      <c r="K20" s="979"/>
      <c r="L20" s="979"/>
      <c r="M20" s="979"/>
      <c r="N20" s="979">
        <f>N18*N19/1000</f>
        <v>4356692.1062381696</v>
      </c>
      <c r="O20" s="979">
        <f>O18*O19/1000</f>
        <v>3194438.03406</v>
      </c>
      <c r="P20" s="979" t="s">
        <v>2392</v>
      </c>
      <c r="Q20" s="1117"/>
      <c r="R20" s="1027"/>
      <c r="S20" s="1118"/>
      <c r="T20" s="1027"/>
      <c r="U20" s="1027"/>
      <c r="W20" s="1027"/>
      <c r="X20" s="1027"/>
      <c r="Y20" s="1027"/>
      <c r="Z20" s="1090"/>
      <c r="AD20" s="1091"/>
      <c r="AE20" s="1091"/>
      <c r="AF20" s="1091"/>
    </row>
    <row r="21" spans="1:32" s="976" customFormat="1" ht="10.8">
      <c r="A21" s="1116" t="s">
        <v>2383</v>
      </c>
      <c r="E21" s="1054">
        <v>0</v>
      </c>
      <c r="F21" s="1054">
        <v>0</v>
      </c>
      <c r="G21" s="984">
        <v>0</v>
      </c>
      <c r="H21" s="1054">
        <f>SUM(E21:G21)</f>
        <v>0</v>
      </c>
      <c r="I21" s="979"/>
      <c r="J21" s="979"/>
      <c r="K21" s="979"/>
      <c r="L21" s="979"/>
      <c r="M21" s="979"/>
      <c r="N21" s="979"/>
      <c r="O21" s="979"/>
      <c r="P21" s="979"/>
      <c r="Q21" s="1119">
        <v>-134680.96627407559</v>
      </c>
      <c r="R21" s="977"/>
      <c r="T21" s="1027"/>
      <c r="U21" s="1027"/>
      <c r="W21" s="1027"/>
      <c r="X21" s="1027"/>
      <c r="Y21" s="1027"/>
      <c r="Z21" s="1090"/>
      <c r="AD21" s="1091"/>
      <c r="AE21" s="1091"/>
      <c r="AF21" s="1091"/>
    </row>
    <row r="22" spans="1:32" s="976" customFormat="1" ht="10.8">
      <c r="A22" s="1116" t="s">
        <v>2370</v>
      </c>
      <c r="E22" s="1055">
        <f>E23-E18</f>
        <v>-316660.1062381696</v>
      </c>
      <c r="F22" s="1120">
        <v>0</v>
      </c>
      <c r="G22" s="1120">
        <v>0</v>
      </c>
      <c r="H22" s="1055">
        <f>SUM(E22:G22)</f>
        <v>-316660.1062381696</v>
      </c>
      <c r="I22" s="979"/>
      <c r="J22" s="979"/>
      <c r="K22" s="979"/>
      <c r="L22" s="979"/>
      <c r="M22" s="979"/>
      <c r="N22" s="979"/>
      <c r="O22" s="979"/>
      <c r="P22" s="979"/>
      <c r="Q22" s="979" t="e">
        <f>SUM(Q18:Q21)</f>
        <v>#REF!</v>
      </c>
      <c r="R22" s="977"/>
      <c r="S22" s="977">
        <v>3621217</v>
      </c>
      <c r="T22" s="977"/>
      <c r="U22" s="977">
        <f>SUM(U13:U18)</f>
        <v>9225545.2295551877</v>
      </c>
      <c r="W22" s="977">
        <f>+SUM(W13:W18)</f>
        <v>428095</v>
      </c>
      <c r="X22" s="977"/>
      <c r="Y22" s="1027">
        <f>SUM(Y13:Y18)</f>
        <v>-807538</v>
      </c>
      <c r="Z22" s="1090">
        <f>Q21-U22</f>
        <v>-9360226.195829263</v>
      </c>
    </row>
    <row r="23" spans="1:32" s="976" customFormat="1" ht="10.8">
      <c r="E23" s="1121">
        <v>4040032</v>
      </c>
      <c r="F23" s="979">
        <f>SUM(F18:F22)</f>
        <v>0</v>
      </c>
      <c r="G23" s="979">
        <f>SUM(G18:G22)</f>
        <v>0</v>
      </c>
      <c r="H23" s="1121">
        <f>SUM(H18:H22)</f>
        <v>4040032</v>
      </c>
      <c r="I23" s="979"/>
      <c r="J23" s="979">
        <f>M23-K23</f>
        <v>3820282</v>
      </c>
      <c r="K23" s="979">
        <f>O24</f>
        <v>-199065</v>
      </c>
      <c r="L23" s="979">
        <v>0</v>
      </c>
      <c r="M23" s="979">
        <v>3621217</v>
      </c>
      <c r="N23" s="979">
        <f>K15+K23</f>
        <v>33406</v>
      </c>
      <c r="O23" s="979">
        <v>232471</v>
      </c>
      <c r="P23" s="979" t="s">
        <v>2393</v>
      </c>
      <c r="Q23" s="977"/>
      <c r="R23" s="977"/>
      <c r="S23" s="977"/>
      <c r="T23" s="977"/>
      <c r="U23" s="977"/>
      <c r="W23" s="977"/>
      <c r="X23" s="977"/>
      <c r="Y23" s="1027"/>
      <c r="Z23" s="1090"/>
    </row>
    <row r="24" spans="1:32" s="976" customFormat="1" ht="10.8">
      <c r="E24" s="1122"/>
      <c r="F24" s="1122"/>
      <c r="G24" s="1122"/>
      <c r="H24" s="1122"/>
      <c r="I24" s="979"/>
      <c r="J24" s="979"/>
      <c r="K24" s="979"/>
      <c r="L24" s="979"/>
      <c r="M24" s="979"/>
      <c r="N24" s="979" t="e">
        <f>K26</f>
        <v>#REF!</v>
      </c>
      <c r="O24" s="979">
        <v>-199065</v>
      </c>
      <c r="P24" s="979" t="s">
        <v>2394</v>
      </c>
      <c r="Q24" s="977"/>
      <c r="R24" s="977"/>
      <c r="S24" s="977"/>
      <c r="T24" s="977"/>
      <c r="U24" s="977"/>
      <c r="W24" s="977"/>
      <c r="X24" s="977"/>
      <c r="Y24" s="1027"/>
      <c r="Z24" s="1090"/>
    </row>
    <row r="25" spans="1:32" s="976" customFormat="1" ht="10.8">
      <c r="A25" s="1123" t="s">
        <v>2387</v>
      </c>
      <c r="E25" s="1112"/>
      <c r="F25" s="1112"/>
      <c r="G25" s="1112"/>
      <c r="H25" s="1112"/>
      <c r="I25" s="979"/>
      <c r="J25" s="979"/>
      <c r="K25" s="979"/>
      <c r="L25" s="979"/>
      <c r="M25" s="979"/>
      <c r="N25" s="979" t="e">
        <f>SUM(N23:N24)</f>
        <v>#REF!</v>
      </c>
      <c r="O25" s="1124">
        <f>SUM(O23:O24)</f>
        <v>33406</v>
      </c>
      <c r="P25" s="979"/>
      <c r="Q25" s="977"/>
      <c r="R25" s="977"/>
      <c r="S25" s="977"/>
      <c r="T25" s="977"/>
      <c r="U25" s="977"/>
      <c r="W25" s="977"/>
      <c r="X25" s="977"/>
      <c r="Y25" s="1027"/>
      <c r="Z25" s="1090"/>
    </row>
    <row r="26" spans="1:32" s="976" customFormat="1" ht="10.8">
      <c r="A26" s="1125" t="s">
        <v>2386</v>
      </c>
      <c r="E26" s="979">
        <v>0</v>
      </c>
      <c r="F26" s="979">
        <v>0</v>
      </c>
      <c r="G26" s="979">
        <v>0</v>
      </c>
      <c r="H26" s="979">
        <v>0</v>
      </c>
      <c r="I26" s="979"/>
      <c r="J26" s="979">
        <v>0</v>
      </c>
      <c r="K26" s="979" t="e">
        <f>-IS!#REF!</f>
        <v>#REF!</v>
      </c>
      <c r="L26" s="979">
        <v>0</v>
      </c>
      <c r="M26" s="979" t="e">
        <f>SUM(J26:L26)</f>
        <v>#REF!</v>
      </c>
      <c r="N26" s="979"/>
      <c r="O26" s="979"/>
      <c r="P26" s="979"/>
      <c r="Q26" s="977"/>
      <c r="R26" s="977"/>
      <c r="S26" s="977"/>
      <c r="T26" s="977"/>
      <c r="U26" s="977"/>
      <c r="W26" s="977"/>
      <c r="X26" s="977"/>
      <c r="Y26" s="1027"/>
      <c r="Z26" s="1090"/>
    </row>
    <row r="27" spans="1:32" s="976" customFormat="1" ht="10.8">
      <c r="A27" s="1126"/>
      <c r="B27" s="1127"/>
      <c r="E27" s="979"/>
      <c r="F27" s="979"/>
      <c r="G27" s="979"/>
      <c r="H27" s="979"/>
      <c r="I27" s="979"/>
      <c r="J27" s="979"/>
      <c r="K27" s="979"/>
      <c r="L27" s="979"/>
      <c r="M27" s="979"/>
      <c r="N27" s="979"/>
      <c r="O27" s="979"/>
      <c r="P27" s="979"/>
      <c r="Q27" s="1136">
        <f>E22-E14</f>
        <v>-11066.626682982314</v>
      </c>
      <c r="R27" s="977"/>
      <c r="S27" s="1027"/>
      <c r="T27" s="977"/>
      <c r="U27" s="977"/>
      <c r="W27" s="977"/>
      <c r="X27" s="977"/>
      <c r="Y27" s="1027"/>
      <c r="Z27" s="1090"/>
    </row>
    <row r="28" spans="1:32" s="976" customFormat="1" ht="10.8">
      <c r="A28" s="1128" t="s">
        <v>2363</v>
      </c>
      <c r="B28" s="1127"/>
      <c r="E28" s="1129">
        <v>0</v>
      </c>
      <c r="F28" s="1129">
        <f>IS!F43</f>
        <v>-565080</v>
      </c>
      <c r="G28" s="1129" t="e">
        <f>OCI!#REF!</f>
        <v>#REF!</v>
      </c>
      <c r="H28" s="1129" t="e">
        <f>SUM(E28:G28)</f>
        <v>#REF!</v>
      </c>
      <c r="I28" s="979"/>
      <c r="J28" s="1114">
        <v>0</v>
      </c>
      <c r="K28" s="1129">
        <f>IS!H43</f>
        <v>2594535.35</v>
      </c>
      <c r="L28" s="1129" t="e">
        <f>OCI!#REF!</f>
        <v>#REF!</v>
      </c>
      <c r="M28" s="1129" t="e">
        <f>SUM(J28:L28)</f>
        <v>#REF!</v>
      </c>
      <c r="N28" s="1130"/>
      <c r="O28" s="1130"/>
      <c r="P28" s="1130"/>
      <c r="Q28" s="977"/>
      <c r="R28" s="977"/>
      <c r="S28" s="1027"/>
      <c r="T28" s="977"/>
      <c r="U28" s="977"/>
      <c r="W28" s="977"/>
      <c r="X28" s="977"/>
      <c r="Y28" s="1027"/>
      <c r="Z28" s="1090"/>
    </row>
    <row r="29" spans="1:32" s="976" customFormat="1" ht="10.8">
      <c r="A29" s="1128" t="s">
        <v>2304</v>
      </c>
      <c r="B29" s="1127"/>
      <c r="E29" s="1131">
        <v>0</v>
      </c>
      <c r="F29" s="1131">
        <v>0</v>
      </c>
      <c r="G29" s="1131">
        <v>0</v>
      </c>
      <c r="H29" s="1131">
        <f>SUM(E29:G29)</f>
        <v>0</v>
      </c>
      <c r="I29" s="979"/>
      <c r="J29" s="1120">
        <v>0</v>
      </c>
      <c r="K29" s="1120">
        <v>0</v>
      </c>
      <c r="L29" s="1120">
        <v>0</v>
      </c>
      <c r="M29" s="1131">
        <f>SUM(J29:L29)</f>
        <v>0</v>
      </c>
      <c r="N29" s="1130"/>
      <c r="O29" s="1130"/>
      <c r="P29" s="1130"/>
      <c r="Q29" s="977"/>
      <c r="R29" s="977"/>
      <c r="S29" s="1027"/>
      <c r="T29" s="977"/>
      <c r="U29" s="977"/>
      <c r="W29" s="977"/>
      <c r="X29" s="977"/>
      <c r="Y29" s="1027"/>
      <c r="Z29" s="1090"/>
    </row>
    <row r="30" spans="1:32" s="976" customFormat="1" ht="10.8">
      <c r="A30" s="1128" t="s">
        <v>2415</v>
      </c>
      <c r="B30" s="1127"/>
      <c r="E30" s="979">
        <f>SUM(E28:E29)</f>
        <v>0</v>
      </c>
      <c r="F30" s="979">
        <f>SUM(F28:F29)</f>
        <v>-565080</v>
      </c>
      <c r="G30" s="979" t="e">
        <f>SUM(G28:G29)</f>
        <v>#REF!</v>
      </c>
      <c r="H30" s="979" t="e">
        <f>SUM(H28:H29)</f>
        <v>#REF!</v>
      </c>
      <c r="I30" s="979"/>
      <c r="J30" s="979">
        <f>SUM(J28:J29)</f>
        <v>0</v>
      </c>
      <c r="K30" s="979">
        <f>SUM(K28:K29)</f>
        <v>2594535.35</v>
      </c>
      <c r="L30" s="979" t="e">
        <f>SUM(L28:L29)</f>
        <v>#REF!</v>
      </c>
      <c r="M30" s="979" t="e">
        <f>SUM(M28:M29)</f>
        <v>#REF!</v>
      </c>
      <c r="N30" s="979"/>
      <c r="O30" s="979"/>
      <c r="P30" s="979"/>
      <c r="Q30" s="977"/>
      <c r="R30" s="977"/>
      <c r="S30" s="1027"/>
      <c r="T30" s="977"/>
      <c r="U30" s="977"/>
      <c r="W30" s="977"/>
      <c r="X30" s="977"/>
      <c r="Y30" s="1027"/>
      <c r="Z30" s="1090"/>
    </row>
    <row r="31" spans="1:32" s="976" customFormat="1" ht="10.8">
      <c r="A31" s="1126"/>
      <c r="B31" s="1127"/>
      <c r="E31" s="979"/>
      <c r="F31" s="979"/>
      <c r="G31" s="979"/>
      <c r="H31" s="979"/>
      <c r="I31" s="979"/>
      <c r="J31" s="979"/>
      <c r="K31" s="979"/>
      <c r="L31" s="979"/>
      <c r="M31" s="979"/>
      <c r="N31" s="979"/>
      <c r="O31" s="979"/>
      <c r="P31" s="979"/>
      <c r="Q31" s="977"/>
      <c r="R31" s="977"/>
      <c r="S31" s="1027"/>
      <c r="T31" s="977"/>
      <c r="U31" s="977"/>
      <c r="W31" s="977"/>
      <c r="X31" s="977"/>
      <c r="Y31" s="1027"/>
      <c r="Z31" s="1090"/>
    </row>
    <row r="32" spans="1:32" s="976" customFormat="1" ht="11.4" thickBot="1">
      <c r="A32" s="1132" t="s">
        <v>2305</v>
      </c>
      <c r="E32" s="1133">
        <f>E10+E15-E23+E30</f>
        <v>6968540.0999999996</v>
      </c>
      <c r="F32" s="1133">
        <f>F10+F15-F23+F30</f>
        <v>3915250</v>
      </c>
      <c r="G32" s="1133" t="e">
        <f>G10+G15-G23+G30</f>
        <v>#REF!</v>
      </c>
      <c r="H32" s="1133" t="e">
        <f>H10+H15-H23+H30</f>
        <v>#REF!</v>
      </c>
      <c r="I32" s="979"/>
      <c r="J32" s="1133">
        <f>J10+J15-J23+J26+J30</f>
        <v>4723565</v>
      </c>
      <c r="K32" s="1133" t="e">
        <f>K10+K15+K23+K26+K30</f>
        <v>#REF!</v>
      </c>
      <c r="L32" s="1133" t="e">
        <f>L10+L15-L23+L26+L30</f>
        <v>#REF!</v>
      </c>
      <c r="M32" s="1133" t="e">
        <f>M10+M15-M23+M26+M30</f>
        <v>#REF!</v>
      </c>
      <c r="N32" s="1133"/>
      <c r="O32" s="1133"/>
      <c r="P32" s="1133"/>
      <c r="Q32" s="1134" t="e">
        <f>Q10+Q15-Q22+#REF!+#REF!</f>
        <v>#REF!</v>
      </c>
      <c r="R32" s="1099"/>
      <c r="S32" s="1134" t="e">
        <f>S10+S15-S22+#REF!+#REF!+#REF!</f>
        <v>#REF!</v>
      </c>
      <c r="T32" s="977"/>
      <c r="U32" s="1135" t="e">
        <f>U10+U22+#REF!+#REF!</f>
        <v>#REF!</v>
      </c>
      <c r="W32" s="1135" t="e">
        <f>W10+W22+#REF!+#REF!</f>
        <v>#REF!</v>
      </c>
      <c r="X32" s="977"/>
      <c r="Y32" s="1027"/>
    </row>
    <row r="33" spans="1:28" s="976" customFormat="1" ht="11.4" thickTop="1">
      <c r="E33" s="979"/>
      <c r="F33" s="979"/>
      <c r="G33" s="979"/>
      <c r="H33" s="979"/>
      <c r="I33" s="979"/>
      <c r="J33" s="979"/>
      <c r="K33" s="979"/>
      <c r="L33" s="979"/>
      <c r="M33" s="979"/>
      <c r="N33" s="979"/>
      <c r="O33" s="979"/>
      <c r="P33" s="979"/>
      <c r="Q33" s="977"/>
      <c r="R33" s="977"/>
      <c r="S33" s="977"/>
      <c r="T33" s="977"/>
      <c r="U33" s="977"/>
      <c r="W33" s="977"/>
      <c r="X33" s="977"/>
      <c r="Y33" s="1027"/>
      <c r="Z33" s="1090"/>
    </row>
    <row r="34" spans="1:28" s="976" customFormat="1" ht="10.8">
      <c r="A34" s="981" t="s">
        <v>2377</v>
      </c>
      <c r="E34" s="979"/>
      <c r="F34" s="979"/>
      <c r="G34" s="979"/>
      <c r="H34" s="979"/>
      <c r="I34" s="979"/>
      <c r="J34" s="979"/>
      <c r="K34" s="979"/>
      <c r="L34" s="979"/>
      <c r="M34" s="979"/>
      <c r="N34" s="979"/>
      <c r="O34" s="979"/>
      <c r="P34" s="979"/>
      <c r="Q34" s="1136"/>
      <c r="R34" s="1136"/>
      <c r="S34" s="1136"/>
      <c r="T34" s="1136"/>
      <c r="U34" s="1136"/>
      <c r="V34" s="1136"/>
      <c r="W34" s="1136"/>
      <c r="X34" s="1136"/>
      <c r="Y34" s="1027"/>
      <c r="Z34" s="1090"/>
    </row>
    <row r="35" spans="1:28" s="976" customFormat="1" ht="10.8">
      <c r="E35" s="979"/>
      <c r="F35" s="979"/>
      <c r="G35" s="979"/>
      <c r="H35" s="979"/>
      <c r="I35" s="979"/>
      <c r="J35" s="979"/>
      <c r="K35" s="979"/>
      <c r="L35" s="979"/>
      <c r="M35" s="979"/>
      <c r="N35" s="979"/>
      <c r="O35" s="979"/>
      <c r="P35" s="979"/>
      <c r="Q35" s="1136"/>
      <c r="R35" s="1136"/>
      <c r="S35" s="1136"/>
      <c r="T35" s="1136"/>
      <c r="U35" s="1136"/>
      <c r="V35" s="1136"/>
      <c r="W35" s="1136"/>
      <c r="X35" s="1136"/>
      <c r="Y35" s="1027"/>
      <c r="Z35" s="1090"/>
    </row>
    <row r="36" spans="1:28" s="976" customFormat="1" ht="10.8">
      <c r="A36" s="1137" t="s">
        <v>2308</v>
      </c>
      <c r="E36" s="979"/>
      <c r="F36" s="979"/>
      <c r="G36" s="979"/>
      <c r="H36" s="979"/>
      <c r="I36" s="979"/>
      <c r="J36" s="979"/>
      <c r="K36" s="979"/>
      <c r="L36" s="979"/>
      <c r="M36" s="979"/>
      <c r="N36" s="979"/>
      <c r="O36" s="979"/>
      <c r="P36" s="979"/>
      <c r="Q36" s="977"/>
      <c r="R36" s="977"/>
      <c r="S36" s="977"/>
      <c r="T36" s="977"/>
      <c r="U36" s="977"/>
      <c r="W36" s="977"/>
      <c r="X36" s="977"/>
      <c r="Y36" s="1027"/>
      <c r="Z36" s="1090"/>
    </row>
    <row r="37" spans="1:28" s="976" customFormat="1" ht="10.8">
      <c r="B37" s="976" t="s">
        <v>2309</v>
      </c>
      <c r="E37" s="979"/>
      <c r="F37" s="979">
        <f>F10-F38</f>
        <v>5136935</v>
      </c>
      <c r="G37" s="979"/>
      <c r="H37" s="979"/>
      <c r="I37" s="979"/>
      <c r="J37" s="979"/>
      <c r="K37" s="979">
        <v>3026013</v>
      </c>
      <c r="L37" s="979"/>
      <c r="M37" s="979"/>
      <c r="N37" s="979">
        <v>5340008</v>
      </c>
      <c r="O37" s="1138">
        <v>42916</v>
      </c>
      <c r="P37" s="979"/>
      <c r="Q37" s="977">
        <v>5996613</v>
      </c>
      <c r="R37" s="977"/>
      <c r="S37" s="977">
        <v>3026013</v>
      </c>
      <c r="T37" s="977"/>
      <c r="U37" s="977">
        <v>5160202.872314889</v>
      </c>
      <c r="W37" s="977">
        <f>W39-W38</f>
        <v>3445160</v>
      </c>
      <c r="X37" s="977"/>
      <c r="Y37" s="1027"/>
      <c r="Z37" s="1090"/>
    </row>
    <row r="38" spans="1:28" s="976" customFormat="1" ht="10.8">
      <c r="B38" s="1057" t="s">
        <v>2411</v>
      </c>
      <c r="E38" s="979"/>
      <c r="F38" s="979">
        <v>-656605</v>
      </c>
      <c r="G38" s="979"/>
      <c r="H38" s="979"/>
      <c r="I38" s="979"/>
      <c r="J38" s="979"/>
      <c r="K38" s="979">
        <v>-35218</v>
      </c>
      <c r="L38" s="979"/>
      <c r="M38" s="979"/>
      <c r="N38" s="979">
        <v>859678</v>
      </c>
      <c r="O38" s="979" t="s">
        <v>2388</v>
      </c>
      <c r="P38" s="979"/>
      <c r="Q38" s="977">
        <v>-656605</v>
      </c>
      <c r="R38" s="977"/>
      <c r="S38" s="977">
        <v>-35218</v>
      </c>
      <c r="T38" s="977"/>
      <c r="U38" s="977">
        <v>-435683</v>
      </c>
      <c r="W38" s="977">
        <v>128</v>
      </c>
      <c r="X38" s="977"/>
      <c r="Y38" s="1027"/>
      <c r="Z38" s="1090" t="e">
        <f>IS!#REF!</f>
        <v>#REF!</v>
      </c>
      <c r="AA38" s="976" t="e">
        <f>IS!#REF!</f>
        <v>#REF!</v>
      </c>
      <c r="AB38" s="1090" t="e">
        <f>Z38-AA38</f>
        <v>#REF!</v>
      </c>
    </row>
    <row r="39" spans="1:28" s="976" customFormat="1" ht="10.8">
      <c r="E39" s="979"/>
      <c r="F39" s="1139">
        <f>SUM(F37:F38)</f>
        <v>4480330</v>
      </c>
      <c r="G39" s="979"/>
      <c r="H39" s="979"/>
      <c r="I39" s="979"/>
      <c r="J39" s="979"/>
      <c r="K39" s="1139">
        <f>SUM(K37:K38)</f>
        <v>2990795</v>
      </c>
      <c r="L39" s="979"/>
      <c r="M39" s="979"/>
      <c r="N39" s="1140">
        <f>N37-N38</f>
        <v>4480330</v>
      </c>
      <c r="O39" s="979"/>
      <c r="P39" s="979"/>
      <c r="Q39" s="1141">
        <f>SUM(Q37:Q38)</f>
        <v>5340008</v>
      </c>
      <c r="R39" s="1099"/>
      <c r="S39" s="1141">
        <f>SUM(S37:S38)</f>
        <v>2990795</v>
      </c>
      <c r="T39" s="977"/>
      <c r="U39" s="1142">
        <f>SUM(U37:U38)</f>
        <v>4724519.872314889</v>
      </c>
      <c r="W39" s="1142">
        <v>3445288</v>
      </c>
      <c r="X39" s="977"/>
      <c r="Y39" s="1027"/>
      <c r="Z39" s="1090"/>
    </row>
    <row r="40" spans="1:28" s="976" customFormat="1" ht="10.8">
      <c r="A40" s="1137" t="s">
        <v>2402</v>
      </c>
      <c r="E40" s="979"/>
      <c r="F40" s="979"/>
      <c r="G40" s="979"/>
      <c r="H40" s="979"/>
      <c r="I40" s="979"/>
      <c r="J40" s="979"/>
      <c r="K40" s="979"/>
      <c r="L40" s="979"/>
      <c r="M40" s="979"/>
      <c r="N40" s="979">
        <f>G10</f>
        <v>616069</v>
      </c>
      <c r="O40" s="979" t="s">
        <v>2389</v>
      </c>
      <c r="P40" s="979"/>
      <c r="Q40" s="977"/>
      <c r="R40" s="977"/>
      <c r="S40" s="977"/>
      <c r="T40" s="977"/>
      <c r="U40" s="977"/>
      <c r="W40" s="977"/>
      <c r="X40" s="977"/>
      <c r="Y40" s="1027"/>
      <c r="Z40" s="1090"/>
    </row>
    <row r="41" spans="1:28" s="976" customFormat="1" ht="10.8">
      <c r="B41" s="1057" t="s">
        <v>2301</v>
      </c>
      <c r="E41" s="979"/>
      <c r="F41" s="1114" t="e">
        <f>IS!#REF!</f>
        <v>#REF!</v>
      </c>
      <c r="G41" s="979"/>
      <c r="H41" s="979"/>
      <c r="I41" s="979"/>
      <c r="J41" s="979"/>
      <c r="K41" s="983"/>
      <c r="L41" s="979"/>
      <c r="M41" s="979"/>
      <c r="N41" s="979">
        <f>N39-N40</f>
        <v>3864261</v>
      </c>
      <c r="O41" s="979"/>
      <c r="P41" s="979"/>
      <c r="Q41" s="977" t="e">
        <f>IS!#REF!</f>
        <v>#REF!</v>
      </c>
      <c r="R41" s="977"/>
      <c r="S41" s="977">
        <v>0</v>
      </c>
      <c r="T41" s="977"/>
      <c r="U41" s="977" t="e">
        <f>Q41-X41</f>
        <v>#REF!</v>
      </c>
      <c r="W41" s="977" t="e">
        <f>IS!#REF!+IS!#REF!</f>
        <v>#REF!</v>
      </c>
      <c r="X41" s="977">
        <v>-611630.0628000393</v>
      </c>
      <c r="Y41" s="1027"/>
      <c r="Z41" s="1090"/>
    </row>
    <row r="42" spans="1:28" s="976" customFormat="1" ht="10.8">
      <c r="B42" s="1057" t="s">
        <v>2302</v>
      </c>
      <c r="E42" s="979"/>
      <c r="F42" s="1120" t="e">
        <f>IS!#REF!</f>
        <v>#REF!</v>
      </c>
      <c r="G42" s="979"/>
      <c r="H42" s="979"/>
      <c r="I42" s="979"/>
      <c r="J42" s="979"/>
      <c r="K42" s="983"/>
      <c r="L42" s="979"/>
      <c r="M42" s="979"/>
      <c r="N42" s="979"/>
      <c r="O42" s="979"/>
      <c r="P42" s="979"/>
      <c r="Q42" s="977" t="e">
        <f>IS!#REF!</f>
        <v>#REF!</v>
      </c>
      <c r="R42" s="977"/>
      <c r="S42" s="977">
        <v>0</v>
      </c>
      <c r="T42" s="977"/>
      <c r="U42" s="977" t="e">
        <f>Q42-X42</f>
        <v>#REF!</v>
      </c>
      <c r="W42" s="977" t="e">
        <f>W43-W41</f>
        <v>#REF!</v>
      </c>
      <c r="X42" s="977">
        <v>-3858.0648850719444</v>
      </c>
      <c r="Y42" s="1027"/>
      <c r="Z42" s="1090"/>
    </row>
    <row r="43" spans="1:28" s="976" customFormat="1" ht="10.8">
      <c r="E43" s="979"/>
      <c r="F43" s="979" t="e">
        <f>SUM(F41:F42)</f>
        <v>#REF!</v>
      </c>
      <c r="G43" s="979"/>
      <c r="H43" s="979"/>
      <c r="I43" s="979"/>
      <c r="J43" s="979"/>
      <c r="K43" s="983"/>
      <c r="L43" s="979"/>
      <c r="M43" s="979"/>
      <c r="N43" s="979"/>
      <c r="O43" s="979"/>
      <c r="P43" s="979"/>
      <c r="Q43" s="1142" t="e">
        <f>SUM(Q41:Q42)</f>
        <v>#REF!</v>
      </c>
      <c r="R43" s="977"/>
      <c r="S43" s="1142">
        <v>0</v>
      </c>
      <c r="T43" s="977"/>
      <c r="U43" s="1142" t="e">
        <f>SUM(U41:U42)</f>
        <v>#REF!</v>
      </c>
      <c r="W43" s="1142" t="e">
        <f>IS!#REF!</f>
        <v>#REF!</v>
      </c>
      <c r="X43" s="977"/>
      <c r="Y43" s="1027"/>
      <c r="Z43" s="1090"/>
    </row>
    <row r="44" spans="1:28" s="976" customFormat="1" ht="10.8">
      <c r="E44" s="979"/>
      <c r="F44" s="979"/>
      <c r="G44" s="979"/>
      <c r="H44" s="979"/>
      <c r="I44" s="979"/>
      <c r="J44" s="979"/>
      <c r="K44" s="979"/>
      <c r="L44" s="979"/>
      <c r="M44" s="979"/>
      <c r="N44" s="979"/>
      <c r="O44" s="979"/>
      <c r="P44" s="979"/>
      <c r="Q44" s="1027"/>
      <c r="R44" s="977"/>
      <c r="S44" s="1027"/>
      <c r="T44" s="977"/>
      <c r="U44" s="1027"/>
      <c r="W44" s="1027"/>
      <c r="X44" s="977"/>
      <c r="Y44" s="1027"/>
      <c r="Z44" s="1090"/>
    </row>
    <row r="45" spans="1:28" s="976" customFormat="1" ht="10.8">
      <c r="A45" s="976" t="str">
        <f>IS!A43</f>
        <v>Net (loss) / income for the period</v>
      </c>
      <c r="E45" s="979"/>
      <c r="F45" s="979">
        <f>IS!F43</f>
        <v>-565080</v>
      </c>
      <c r="G45" s="979"/>
      <c r="H45" s="979"/>
      <c r="I45" s="979"/>
      <c r="J45" s="979"/>
      <c r="K45" s="979">
        <f>IS!H43</f>
        <v>2594535.35</v>
      </c>
      <c r="L45" s="979"/>
      <c r="M45" s="979"/>
      <c r="N45" s="979"/>
      <c r="O45" s="979"/>
      <c r="P45" s="979"/>
      <c r="Q45" s="977">
        <v>0</v>
      </c>
      <c r="R45" s="977"/>
      <c r="S45" s="977">
        <f>IS!H43</f>
        <v>2594535.35</v>
      </c>
      <c r="T45" s="977"/>
      <c r="U45" s="977"/>
      <c r="W45" s="977"/>
      <c r="X45" s="977"/>
      <c r="Y45" s="1027"/>
      <c r="Z45" s="1090"/>
    </row>
    <row r="46" spans="1:28" s="976" customFormat="1" ht="10.8">
      <c r="E46" s="979"/>
      <c r="F46" s="979"/>
      <c r="G46" s="979"/>
      <c r="H46" s="979"/>
      <c r="I46" s="979"/>
      <c r="J46" s="979"/>
      <c r="K46" s="979"/>
      <c r="L46" s="979"/>
      <c r="M46" s="979"/>
      <c r="N46" s="979"/>
      <c r="O46" s="979"/>
      <c r="P46" s="979"/>
      <c r="Q46" s="977"/>
      <c r="R46" s="977"/>
      <c r="S46" s="977"/>
      <c r="T46" s="977"/>
      <c r="U46" s="977"/>
      <c r="W46" s="977"/>
      <c r="X46" s="977"/>
      <c r="Y46" s="1027"/>
      <c r="Z46" s="1090"/>
    </row>
    <row r="47" spans="1:28" s="976" customFormat="1" ht="10.8">
      <c r="A47" s="976" t="s">
        <v>2313</v>
      </c>
      <c r="E47" s="979"/>
      <c r="F47" s="979"/>
      <c r="G47" s="979"/>
      <c r="H47" s="979"/>
      <c r="I47" s="979"/>
      <c r="J47" s="979"/>
      <c r="K47" s="979"/>
      <c r="L47" s="979"/>
      <c r="M47" s="979"/>
      <c r="N47" s="979"/>
      <c r="O47" s="979"/>
      <c r="P47" s="979"/>
      <c r="Q47" s="977"/>
      <c r="R47" s="977"/>
      <c r="S47" s="977"/>
      <c r="T47" s="977"/>
      <c r="U47" s="977"/>
      <c r="W47" s="977"/>
      <c r="X47" s="977"/>
      <c r="Y47" s="1027"/>
      <c r="Z47" s="1090"/>
    </row>
    <row r="48" spans="1:28" s="976" customFormat="1" ht="10.8">
      <c r="A48" s="976" t="s">
        <v>2314</v>
      </c>
      <c r="E48" s="979"/>
      <c r="F48" s="979">
        <v>0</v>
      </c>
      <c r="G48" s="979"/>
      <c r="H48" s="979"/>
      <c r="I48" s="979"/>
      <c r="J48" s="979"/>
      <c r="K48" s="979">
        <v>0</v>
      </c>
      <c r="L48" s="979"/>
      <c r="M48" s="979"/>
      <c r="N48" s="979"/>
      <c r="O48" s="979"/>
      <c r="P48" s="979"/>
      <c r="Q48" s="977">
        <v>0</v>
      </c>
      <c r="R48" s="977"/>
      <c r="S48" s="977">
        <v>0</v>
      </c>
      <c r="T48" s="977"/>
      <c r="U48" s="977">
        <v>0</v>
      </c>
      <c r="W48" s="977">
        <v>0</v>
      </c>
      <c r="X48" s="977"/>
      <c r="Y48" s="1027"/>
      <c r="Z48" s="1090"/>
    </row>
    <row r="49" spans="1:26" s="976" customFormat="1" ht="10.8">
      <c r="E49" s="979"/>
      <c r="F49" s="979"/>
      <c r="G49" s="979"/>
      <c r="H49" s="979"/>
      <c r="I49" s="979"/>
      <c r="J49" s="979"/>
      <c r="K49" s="979"/>
      <c r="L49" s="979"/>
      <c r="M49" s="979"/>
      <c r="N49" s="979"/>
      <c r="O49" s="979"/>
      <c r="P49" s="979"/>
      <c r="Q49" s="977"/>
      <c r="R49" s="977"/>
      <c r="S49" s="977"/>
      <c r="T49" s="977"/>
      <c r="U49" s="977"/>
      <c r="W49" s="977"/>
      <c r="X49" s="977"/>
      <c r="Y49" s="1027"/>
      <c r="Z49" s="1090"/>
    </row>
    <row r="50" spans="1:26" s="976" customFormat="1" ht="11.4" thickBot="1">
      <c r="A50" s="1132" t="s">
        <v>2315</v>
      </c>
      <c r="E50" s="979"/>
      <c r="F50" s="1143" t="e">
        <f>F39+F43+F45-F48</f>
        <v>#REF!</v>
      </c>
      <c r="G50" s="979"/>
      <c r="H50" s="979"/>
      <c r="I50" s="979"/>
      <c r="J50" s="979"/>
      <c r="K50" s="1143">
        <f>K39+K43+K45-K48</f>
        <v>5585330.3499999996</v>
      </c>
      <c r="L50" s="979"/>
      <c r="M50" s="979"/>
      <c r="N50" s="979"/>
      <c r="O50" s="979"/>
      <c r="P50" s="979"/>
      <c r="Q50" s="1134" t="e">
        <f>Q39+Q43+#REF!+Q48+Q45</f>
        <v>#REF!</v>
      </c>
      <c r="R50" s="1099"/>
      <c r="S50" s="1134" t="e">
        <f>S39+S43+#REF!+S48+S45</f>
        <v>#REF!</v>
      </c>
      <c r="T50" s="977"/>
      <c r="U50" s="1135" t="e">
        <f>U39+U43+#REF!+U48</f>
        <v>#REF!</v>
      </c>
      <c r="W50" s="1135" t="e">
        <f>W39+W43+#REF!+W48</f>
        <v>#REF!</v>
      </c>
      <c r="X50" s="977"/>
      <c r="Y50" s="1027"/>
      <c r="Z50" s="1090"/>
    </row>
    <row r="51" spans="1:26" s="976" customFormat="1" ht="11.4" thickTop="1">
      <c r="E51" s="979"/>
      <c r="F51" s="979"/>
      <c r="G51" s="979"/>
      <c r="H51" s="979"/>
      <c r="I51" s="979"/>
      <c r="J51" s="979"/>
      <c r="K51" s="979"/>
      <c r="L51" s="979"/>
      <c r="M51" s="979"/>
      <c r="N51" s="979"/>
      <c r="O51" s="979"/>
      <c r="P51" s="979"/>
      <c r="Q51" s="977"/>
      <c r="R51" s="977"/>
      <c r="S51" s="977"/>
      <c r="T51" s="977"/>
      <c r="U51" s="977"/>
      <c r="W51" s="977"/>
      <c r="X51" s="977"/>
      <c r="Y51" s="1027"/>
      <c r="Z51" s="1090"/>
    </row>
    <row r="52" spans="1:26" s="976" customFormat="1" ht="10.8">
      <c r="A52" s="1137" t="s">
        <v>2316</v>
      </c>
      <c r="E52" s="979"/>
      <c r="F52" s="979"/>
      <c r="G52" s="979"/>
      <c r="H52" s="979"/>
      <c r="I52" s="979"/>
      <c r="J52" s="979"/>
      <c r="K52" s="979"/>
      <c r="L52" s="979"/>
      <c r="M52" s="979"/>
      <c r="N52" s="979"/>
      <c r="O52" s="979"/>
      <c r="P52" s="979"/>
      <c r="Q52" s="977"/>
      <c r="R52" s="977"/>
      <c r="S52" s="977"/>
      <c r="T52" s="977"/>
      <c r="U52" s="977"/>
      <c r="W52" s="977"/>
      <c r="X52" s="977"/>
      <c r="Y52" s="1027"/>
      <c r="Z52" s="1090"/>
    </row>
    <row r="53" spans="1:26" s="976" customFormat="1" ht="10.8">
      <c r="B53" s="976" t="s">
        <v>2309</v>
      </c>
      <c r="E53" s="979"/>
      <c r="F53" s="1114" t="e">
        <f>F55-F54</f>
        <v>#REF!</v>
      </c>
      <c r="G53" s="979"/>
      <c r="H53" s="979"/>
      <c r="I53" s="979"/>
      <c r="J53" s="979"/>
      <c r="K53" s="1114">
        <f>K55-K54</f>
        <v>4965795.6049999995</v>
      </c>
      <c r="L53" s="979"/>
      <c r="M53" s="979"/>
      <c r="N53" s="979"/>
      <c r="O53" s="979"/>
      <c r="P53" s="979"/>
      <c r="Q53" s="977" t="e">
        <f>Q55-Q54</f>
        <v>#REF!</v>
      </c>
      <c r="R53" s="977"/>
      <c r="S53" s="977" t="e">
        <f>S55-S54</f>
        <v>#REF!</v>
      </c>
      <c r="T53" s="977"/>
      <c r="U53" s="977" t="e">
        <f>U55-U54</f>
        <v>#REF!</v>
      </c>
      <c r="W53" s="977"/>
      <c r="X53" s="977"/>
      <c r="Y53" s="1027"/>
      <c r="Z53" s="1090"/>
    </row>
    <row r="54" spans="1:26" s="976" customFormat="1" ht="10.8">
      <c r="B54" s="1057" t="s">
        <v>2368</v>
      </c>
      <c r="E54" s="979"/>
      <c r="F54" s="1120">
        <f>IS!F16</f>
        <v>-319538.68199999974</v>
      </c>
      <c r="G54" s="979"/>
      <c r="H54" s="979"/>
      <c r="I54" s="979"/>
      <c r="J54" s="979"/>
      <c r="K54" s="1120">
        <f>IS!$H$16</f>
        <v>619534.74499999988</v>
      </c>
      <c r="L54" s="979"/>
      <c r="M54" s="979"/>
      <c r="N54" s="979"/>
      <c r="O54" s="979"/>
      <c r="P54" s="979"/>
      <c r="Q54" s="977">
        <f>IS!F16</f>
        <v>-319538.68199999974</v>
      </c>
      <c r="R54" s="977"/>
      <c r="S54" s="977">
        <f>IS!H16</f>
        <v>619534.74499999988</v>
      </c>
      <c r="T54" s="977"/>
      <c r="U54" s="977" t="e">
        <f>IS!#REF!</f>
        <v>#REF!</v>
      </c>
      <c r="W54" s="977"/>
      <c r="X54" s="977"/>
      <c r="Y54" s="1027"/>
      <c r="Z54" s="1090"/>
    </row>
    <row r="55" spans="1:26" s="976" customFormat="1" ht="11.4" thickBot="1">
      <c r="E55" s="979"/>
      <c r="F55" s="1169" t="e">
        <f>F50</f>
        <v>#REF!</v>
      </c>
      <c r="G55" s="979"/>
      <c r="H55" s="979"/>
      <c r="I55" s="979"/>
      <c r="J55" s="979"/>
      <c r="K55" s="1169">
        <f>K50</f>
        <v>5585330.3499999996</v>
      </c>
      <c r="L55" s="979"/>
      <c r="M55" s="979"/>
      <c r="N55" s="979"/>
      <c r="O55" s="979"/>
      <c r="P55" s="979"/>
      <c r="Q55" s="1135" t="e">
        <f>Q50</f>
        <v>#REF!</v>
      </c>
      <c r="R55" s="977"/>
      <c r="S55" s="1135" t="e">
        <f>S50</f>
        <v>#REF!</v>
      </c>
      <c r="T55" s="977"/>
      <c r="U55" s="1135" t="e">
        <f>U50</f>
        <v>#REF!</v>
      </c>
      <c r="W55" s="977"/>
      <c r="X55" s="977"/>
      <c r="Y55" s="1027"/>
      <c r="Z55" s="1090"/>
    </row>
    <row r="56" spans="1:26" s="976" customFormat="1" ht="10.5" customHeight="1" thickTop="1">
      <c r="A56" s="1144"/>
      <c r="E56" s="979"/>
      <c r="F56" s="979"/>
      <c r="G56" s="979"/>
      <c r="H56" s="979"/>
      <c r="I56" s="979"/>
      <c r="J56" s="979"/>
      <c r="K56" s="979"/>
      <c r="L56" s="979"/>
      <c r="M56" s="979"/>
      <c r="N56" s="979"/>
      <c r="O56" s="979"/>
      <c r="P56" s="979"/>
      <c r="Q56" s="977"/>
      <c r="R56" s="977"/>
      <c r="S56" s="977"/>
      <c r="T56" s="977"/>
      <c r="U56" s="977"/>
      <c r="W56" s="977"/>
      <c r="X56" s="977"/>
      <c r="Y56" s="1027"/>
      <c r="Z56" s="1090">
        <f t="shared" ref="Z56:Z83" si="0">Q56-U56</f>
        <v>0</v>
      </c>
    </row>
    <row r="57" spans="1:26" s="976" customFormat="1" ht="0.75" hidden="1" customHeight="1">
      <c r="A57" s="1123" t="s">
        <v>1010</v>
      </c>
      <c r="E57" s="979"/>
      <c r="F57" s="979"/>
      <c r="G57" s="979"/>
      <c r="H57" s="979"/>
      <c r="I57" s="979"/>
      <c r="J57" s="979"/>
      <c r="K57" s="979"/>
      <c r="L57" s="979"/>
      <c r="M57" s="979"/>
      <c r="N57" s="979"/>
      <c r="O57" s="979"/>
      <c r="P57" s="979"/>
      <c r="Q57" s="977"/>
      <c r="R57" s="977"/>
      <c r="S57" s="977"/>
      <c r="T57" s="977"/>
      <c r="U57" s="977"/>
      <c r="W57" s="977"/>
      <c r="X57" s="977"/>
      <c r="Y57" s="1027"/>
      <c r="Z57" s="1090">
        <f t="shared" si="0"/>
        <v>0</v>
      </c>
    </row>
    <row r="58" spans="1:26" s="976" customFormat="1" ht="10.8" hidden="1">
      <c r="A58" s="1125" t="s">
        <v>1011</v>
      </c>
      <c r="E58" s="979"/>
      <c r="F58" s="979"/>
      <c r="G58" s="979"/>
      <c r="H58" s="979"/>
      <c r="I58" s="979"/>
      <c r="J58" s="979"/>
      <c r="K58" s="979"/>
      <c r="L58" s="979"/>
      <c r="M58" s="979"/>
      <c r="N58" s="979"/>
      <c r="O58" s="979"/>
      <c r="P58" s="979"/>
      <c r="Q58" s="977"/>
      <c r="R58" s="977"/>
      <c r="S58" s="977"/>
      <c r="T58" s="977"/>
      <c r="U58" s="977"/>
      <c r="W58" s="977"/>
      <c r="X58" s="977"/>
      <c r="Y58" s="1027"/>
      <c r="Z58" s="1090">
        <f t="shared" si="0"/>
        <v>0</v>
      </c>
    </row>
    <row r="59" spans="1:26" s="976" customFormat="1" ht="10.8" hidden="1">
      <c r="A59" s="1145" t="s">
        <v>1012</v>
      </c>
      <c r="E59" s="979"/>
      <c r="F59" s="979"/>
      <c r="G59" s="979"/>
      <c r="H59" s="979"/>
      <c r="I59" s="979"/>
      <c r="J59" s="979"/>
      <c r="K59" s="979"/>
      <c r="L59" s="979"/>
      <c r="M59" s="979"/>
      <c r="N59" s="979"/>
      <c r="O59" s="979"/>
      <c r="P59" s="979"/>
      <c r="Q59" s="1146"/>
      <c r="R59" s="977"/>
      <c r="S59" s="1146"/>
      <c r="T59" s="977"/>
      <c r="U59" s="1146"/>
      <c r="W59" s="1146"/>
      <c r="X59" s="1027"/>
      <c r="Y59" s="1027"/>
      <c r="Z59" s="1090">
        <f t="shared" si="0"/>
        <v>0</v>
      </c>
    </row>
    <row r="60" spans="1:26" s="976" customFormat="1" ht="10.8" hidden="1">
      <c r="A60" s="1147" t="s">
        <v>1013</v>
      </c>
      <c r="E60" s="979"/>
      <c r="F60" s="979"/>
      <c r="G60" s="979"/>
      <c r="H60" s="979"/>
      <c r="I60" s="979"/>
      <c r="J60" s="979"/>
      <c r="K60" s="979"/>
      <c r="L60" s="979"/>
      <c r="M60" s="979"/>
      <c r="N60" s="979"/>
      <c r="O60" s="979"/>
      <c r="P60" s="979"/>
      <c r="Q60" s="1107"/>
      <c r="R60" s="977"/>
      <c r="S60" s="1107"/>
      <c r="T60" s="977"/>
      <c r="U60" s="1107"/>
      <c r="W60" s="1107"/>
      <c r="X60" s="1027"/>
      <c r="Y60" s="1027"/>
      <c r="Z60" s="1090">
        <f t="shared" si="0"/>
        <v>0</v>
      </c>
    </row>
    <row r="61" spans="1:26" s="976" customFormat="1" ht="10.8" hidden="1">
      <c r="A61" s="1126"/>
      <c r="B61" s="1127" t="s">
        <v>1095</v>
      </c>
      <c r="E61" s="979"/>
      <c r="F61" s="979"/>
      <c r="G61" s="979"/>
      <c r="H61" s="979"/>
      <c r="I61" s="979"/>
      <c r="J61" s="979"/>
      <c r="K61" s="979"/>
      <c r="L61" s="979"/>
      <c r="M61" s="979"/>
      <c r="N61" s="979"/>
      <c r="O61" s="979"/>
      <c r="P61" s="979"/>
      <c r="Q61" s="1107" t="e">
        <f>-IS!#REF!</f>
        <v>#REF!</v>
      </c>
      <c r="R61" s="977"/>
      <c r="S61" s="1107">
        <v>-61486</v>
      </c>
      <c r="T61" s="977"/>
      <c r="U61" s="1107" t="e">
        <f>ROUND(Q61-Y61,0)-0.5</f>
        <v>#REF!</v>
      </c>
      <c r="W61" s="1107">
        <v>-36477</v>
      </c>
      <c r="X61" s="1027"/>
      <c r="Y61" s="1027">
        <v>-8425.75</v>
      </c>
      <c r="Z61" s="978" t="e">
        <f t="shared" si="0"/>
        <v>#REF!</v>
      </c>
    </row>
    <row r="62" spans="1:26" s="976" customFormat="1" ht="10.8" hidden="1">
      <c r="A62" s="1126"/>
      <c r="B62" s="1127" t="s">
        <v>1094</v>
      </c>
      <c r="E62" s="979"/>
      <c r="F62" s="979"/>
      <c r="G62" s="979"/>
      <c r="H62" s="979"/>
      <c r="I62" s="979"/>
      <c r="J62" s="979"/>
      <c r="K62" s="979"/>
      <c r="L62" s="979"/>
      <c r="M62" s="979"/>
      <c r="N62" s="979"/>
      <c r="O62" s="979"/>
      <c r="P62" s="979"/>
      <c r="Q62" s="1107" t="e">
        <f>-IS!#REF!</f>
        <v>#REF!</v>
      </c>
      <c r="R62" s="977"/>
      <c r="S62" s="1107">
        <v>5554</v>
      </c>
      <c r="T62" s="977"/>
      <c r="U62" s="1107" t="e">
        <f>Q62-Y62-0.1</f>
        <v>#REF!</v>
      </c>
      <c r="W62" s="1107">
        <v>2806</v>
      </c>
      <c r="X62" s="1027"/>
      <c r="Y62" s="1027">
        <v>2100</v>
      </c>
      <c r="Z62" s="1090" t="e">
        <f t="shared" si="0"/>
        <v>#REF!</v>
      </c>
    </row>
    <row r="63" spans="1:26" s="976" customFormat="1" ht="10.8" hidden="1">
      <c r="A63" s="1145" t="s">
        <v>1101</v>
      </c>
      <c r="E63" s="979"/>
      <c r="F63" s="979"/>
      <c r="G63" s="979"/>
      <c r="H63" s="979"/>
      <c r="I63" s="979"/>
      <c r="J63" s="979"/>
      <c r="K63" s="979"/>
      <c r="L63" s="979"/>
      <c r="M63" s="979"/>
      <c r="N63" s="979"/>
      <c r="O63" s="979"/>
      <c r="P63" s="979"/>
      <c r="Q63" s="1107"/>
      <c r="R63" s="977"/>
      <c r="S63" s="1107"/>
      <c r="T63" s="977"/>
      <c r="U63" s="1107"/>
      <c r="W63" s="1107"/>
      <c r="X63" s="1027"/>
      <c r="Y63" s="1027"/>
      <c r="Z63" s="1090">
        <f t="shared" si="0"/>
        <v>0</v>
      </c>
    </row>
    <row r="64" spans="1:26" s="976" customFormat="1" ht="10.8" hidden="1">
      <c r="A64" s="1147" t="s">
        <v>1014</v>
      </c>
      <c r="E64" s="979"/>
      <c r="F64" s="979"/>
      <c r="G64" s="979"/>
      <c r="H64" s="979"/>
      <c r="I64" s="979"/>
      <c r="J64" s="979"/>
      <c r="K64" s="979"/>
      <c r="L64" s="979"/>
      <c r="M64" s="979"/>
      <c r="N64" s="979"/>
      <c r="O64" s="979"/>
      <c r="P64" s="979"/>
      <c r="Q64" s="1110">
        <f>-DS!$E$16</f>
        <v>0</v>
      </c>
      <c r="R64" s="977"/>
      <c r="S64" s="1110">
        <v>-570912</v>
      </c>
      <c r="T64" s="977"/>
      <c r="U64" s="1110">
        <f>ROUND(Q64-Y64,0)</f>
        <v>44101</v>
      </c>
      <c r="W64" s="1110">
        <v>-255428</v>
      </c>
      <c r="X64" s="1027"/>
      <c r="Y64" s="1027">
        <v>-44100.75</v>
      </c>
      <c r="Z64" s="1090">
        <f t="shared" si="0"/>
        <v>-44101</v>
      </c>
    </row>
    <row r="65" spans="1:26" s="976" customFormat="1" ht="10.8" hidden="1">
      <c r="A65" s="1144"/>
      <c r="E65" s="979"/>
      <c r="F65" s="979"/>
      <c r="G65" s="979"/>
      <c r="H65" s="979"/>
      <c r="I65" s="979"/>
      <c r="J65" s="979"/>
      <c r="K65" s="979"/>
      <c r="L65" s="979"/>
      <c r="M65" s="979"/>
      <c r="N65" s="979"/>
      <c r="O65" s="979"/>
      <c r="P65" s="979"/>
      <c r="Q65" s="977" t="e">
        <f>SUM(Q59:Q64)</f>
        <v>#REF!</v>
      </c>
      <c r="R65" s="977"/>
      <c r="S65" s="977">
        <f>SUM(S59:S64)</f>
        <v>-626844</v>
      </c>
      <c r="T65" s="977"/>
      <c r="U65" s="977" t="e">
        <f>SUM(U59:U64)</f>
        <v>#REF!</v>
      </c>
      <c r="W65" s="977">
        <f>SUM(W59:W64)</f>
        <v>-289099</v>
      </c>
      <c r="X65" s="977"/>
      <c r="Y65" s="1027">
        <f>SUM(Y59:Y64)</f>
        <v>-50426.5</v>
      </c>
      <c r="Z65" s="1090" t="e">
        <f t="shared" si="0"/>
        <v>#REF!</v>
      </c>
    </row>
    <row r="66" spans="1:26" s="976" customFormat="1" ht="10.8" hidden="1">
      <c r="A66" s="1144"/>
      <c r="E66" s="979"/>
      <c r="F66" s="979"/>
      <c r="G66" s="979"/>
      <c r="H66" s="979"/>
      <c r="I66" s="979"/>
      <c r="J66" s="979"/>
      <c r="K66" s="979"/>
      <c r="L66" s="979"/>
      <c r="M66" s="979"/>
      <c r="N66" s="979"/>
      <c r="O66" s="979"/>
      <c r="P66" s="979"/>
      <c r="Q66" s="977"/>
      <c r="R66" s="977"/>
      <c r="S66" s="977"/>
      <c r="T66" s="977"/>
      <c r="U66" s="977"/>
      <c r="W66" s="977"/>
      <c r="X66" s="977"/>
      <c r="Y66" s="1027"/>
      <c r="Z66" s="1090">
        <f t="shared" si="0"/>
        <v>0</v>
      </c>
    </row>
    <row r="67" spans="1:26" s="976" customFormat="1" ht="10.8" hidden="1">
      <c r="A67" s="1123" t="s">
        <v>1100</v>
      </c>
      <c r="E67" s="979"/>
      <c r="F67" s="979"/>
      <c r="G67" s="979"/>
      <c r="H67" s="979"/>
      <c r="I67" s="979"/>
      <c r="J67" s="979"/>
      <c r="K67" s="979"/>
      <c r="L67" s="979"/>
      <c r="M67" s="979"/>
      <c r="N67" s="979"/>
      <c r="O67" s="979"/>
      <c r="P67" s="979"/>
      <c r="Q67" s="977"/>
      <c r="R67" s="977"/>
      <c r="S67" s="977"/>
      <c r="T67" s="977"/>
      <c r="U67" s="977"/>
      <c r="W67" s="977"/>
      <c r="X67" s="977"/>
      <c r="Y67" s="1027"/>
      <c r="Z67" s="1090">
        <f t="shared" si="0"/>
        <v>0</v>
      </c>
    </row>
    <row r="68" spans="1:26" s="976" customFormat="1" ht="10.8" hidden="1">
      <c r="A68" s="1125" t="s">
        <v>1090</v>
      </c>
      <c r="E68" s="979"/>
      <c r="F68" s="979"/>
      <c r="G68" s="979"/>
      <c r="H68" s="979"/>
      <c r="I68" s="979"/>
      <c r="J68" s="979"/>
      <c r="K68" s="979"/>
      <c r="L68" s="979"/>
      <c r="M68" s="979"/>
      <c r="N68" s="979"/>
      <c r="O68" s="979"/>
      <c r="P68" s="979"/>
      <c r="Q68" s="977"/>
      <c r="R68" s="977"/>
      <c r="S68" s="977"/>
      <c r="T68" s="977"/>
      <c r="U68" s="977"/>
      <c r="W68" s="977"/>
      <c r="X68" s="977"/>
      <c r="Y68" s="1027"/>
      <c r="Z68" s="1090">
        <f t="shared" si="0"/>
        <v>0</v>
      </c>
    </row>
    <row r="69" spans="1:26" s="976" customFormat="1" ht="10.5" hidden="1" customHeight="1">
      <c r="A69" s="1148" t="s">
        <v>1089</v>
      </c>
      <c r="E69" s="979"/>
      <c r="F69" s="979"/>
      <c r="G69" s="979"/>
      <c r="H69" s="979"/>
      <c r="I69" s="979"/>
      <c r="J69" s="979"/>
      <c r="K69" s="979"/>
      <c r="L69" s="979"/>
      <c r="M69" s="979"/>
      <c r="N69" s="979"/>
      <c r="O69" s="979"/>
      <c r="P69" s="979"/>
      <c r="Q69" s="977">
        <f>-Q64</f>
        <v>0</v>
      </c>
      <c r="R69" s="977"/>
      <c r="S69" s="977">
        <v>570912</v>
      </c>
      <c r="T69" s="977"/>
      <c r="U69" s="977">
        <f>ROUND(Q69-Y69,0)</f>
        <v>-44101</v>
      </c>
      <c r="W69" s="977">
        <v>255428</v>
      </c>
      <c r="X69" s="977"/>
      <c r="Y69" s="1027">
        <v>44100.75</v>
      </c>
      <c r="Z69" s="1090">
        <f t="shared" si="0"/>
        <v>44101</v>
      </c>
    </row>
    <row r="70" spans="1:26" s="976" customFormat="1" ht="10.8" hidden="1">
      <c r="A70" s="1144"/>
      <c r="E70" s="979"/>
      <c r="F70" s="979"/>
      <c r="G70" s="979"/>
      <c r="H70" s="979"/>
      <c r="I70" s="979"/>
      <c r="J70" s="979"/>
      <c r="K70" s="979"/>
      <c r="L70" s="979"/>
      <c r="M70" s="979"/>
      <c r="N70" s="979"/>
      <c r="O70" s="979"/>
      <c r="P70" s="979"/>
      <c r="Q70" s="977"/>
      <c r="R70" s="977"/>
      <c r="S70" s="977"/>
      <c r="T70" s="977"/>
      <c r="U70" s="977"/>
      <c r="W70" s="977"/>
      <c r="X70" s="977"/>
      <c r="Y70" s="1027"/>
      <c r="Z70" s="1090">
        <f t="shared" si="0"/>
        <v>0</v>
      </c>
    </row>
    <row r="71" spans="1:26" s="976" customFormat="1" ht="10.8" hidden="1">
      <c r="A71" s="976" t="s">
        <v>1015</v>
      </c>
      <c r="E71" s="979"/>
      <c r="F71" s="979"/>
      <c r="G71" s="979"/>
      <c r="H71" s="979"/>
      <c r="I71" s="979"/>
      <c r="J71" s="979"/>
      <c r="K71" s="979"/>
      <c r="L71" s="979"/>
      <c r="M71" s="979"/>
      <c r="N71" s="979"/>
      <c r="O71" s="979"/>
      <c r="P71" s="979"/>
      <c r="Q71" s="1146">
        <f>IS!$F$11</f>
        <v>-594619</v>
      </c>
      <c r="R71" s="977"/>
      <c r="S71" s="1146">
        <v>147253</v>
      </c>
      <c r="T71" s="977"/>
      <c r="U71" s="1146">
        <f>Q71-Y71</f>
        <v>-963781</v>
      </c>
      <c r="W71" s="1146">
        <v>14084</v>
      </c>
      <c r="X71" s="1027"/>
      <c r="Y71" s="1027">
        <v>369162</v>
      </c>
      <c r="Z71" s="1090">
        <f t="shared" si="0"/>
        <v>369162</v>
      </c>
    </row>
    <row r="72" spans="1:26" s="976" customFormat="1" ht="10.8" hidden="1">
      <c r="E72" s="979"/>
      <c r="F72" s="979"/>
      <c r="G72" s="979"/>
      <c r="H72" s="979"/>
      <c r="I72" s="979"/>
      <c r="J72" s="979"/>
      <c r="K72" s="979"/>
      <c r="L72" s="979"/>
      <c r="M72" s="979"/>
      <c r="N72" s="979"/>
      <c r="O72" s="979"/>
      <c r="P72" s="979"/>
      <c r="Q72" s="1107"/>
      <c r="R72" s="977"/>
      <c r="S72" s="1107"/>
      <c r="T72" s="977"/>
      <c r="U72" s="1107"/>
      <c r="W72" s="1107"/>
      <c r="X72" s="1027"/>
      <c r="Y72" s="1027"/>
      <c r="Z72" s="1149">
        <f t="shared" si="0"/>
        <v>0</v>
      </c>
    </row>
    <row r="73" spans="1:26" s="976" customFormat="1" ht="10.8" hidden="1">
      <c r="A73" s="976" t="s">
        <v>1098</v>
      </c>
      <c r="E73" s="979"/>
      <c r="F73" s="979"/>
      <c r="G73" s="979"/>
      <c r="H73" s="979"/>
      <c r="I73" s="979"/>
      <c r="J73" s="979"/>
      <c r="K73" s="979"/>
      <c r="L73" s="979"/>
      <c r="M73" s="979"/>
      <c r="N73" s="979"/>
      <c r="O73" s="979"/>
      <c r="P73" s="979"/>
      <c r="Q73" s="1150"/>
      <c r="S73" s="1151"/>
      <c r="U73" s="1150"/>
      <c r="W73" s="1151"/>
      <c r="X73" s="980"/>
      <c r="Y73" s="980"/>
      <c r="Z73" s="1090">
        <f t="shared" si="0"/>
        <v>0</v>
      </c>
    </row>
    <row r="74" spans="1:26" s="976" customFormat="1" ht="10.8" hidden="1">
      <c r="A74" s="1144" t="s">
        <v>1016</v>
      </c>
      <c r="E74" s="979"/>
      <c r="F74" s="979"/>
      <c r="G74" s="979"/>
      <c r="H74" s="979"/>
      <c r="I74" s="979"/>
      <c r="J74" s="979"/>
      <c r="K74" s="979"/>
      <c r="L74" s="979"/>
      <c r="M74" s="979"/>
      <c r="N74" s="979"/>
      <c r="O74" s="979"/>
      <c r="P74" s="979"/>
      <c r="Q74" s="1150"/>
      <c r="R74" s="1152"/>
      <c r="S74" s="1150"/>
      <c r="T74" s="1152"/>
      <c r="U74" s="1150"/>
      <c r="W74" s="1153"/>
      <c r="X74" s="1152"/>
      <c r="Y74" s="1152"/>
      <c r="Z74" s="1090">
        <f t="shared" si="0"/>
        <v>0</v>
      </c>
    </row>
    <row r="75" spans="1:26" s="976" customFormat="1" ht="10.8" hidden="1">
      <c r="A75" s="1144" t="s">
        <v>1017</v>
      </c>
      <c r="E75" s="979"/>
      <c r="F75" s="979"/>
      <c r="G75" s="979"/>
      <c r="H75" s="979"/>
      <c r="I75" s="979"/>
      <c r="J75" s="979"/>
      <c r="K75" s="979"/>
      <c r="L75" s="979"/>
      <c r="M75" s="979"/>
      <c r="N75" s="979"/>
      <c r="O75" s="979"/>
      <c r="P75" s="979"/>
      <c r="Q75" s="1150">
        <f>IS!$F$16</f>
        <v>-319538.68199999974</v>
      </c>
      <c r="R75" s="1152"/>
      <c r="S75" s="1150">
        <v>110653</v>
      </c>
      <c r="T75" s="1152"/>
      <c r="U75" s="1150">
        <f>ROUND(Q75-Y75,0)</f>
        <v>-317361</v>
      </c>
      <c r="W75" s="1150">
        <v>87096</v>
      </c>
      <c r="X75" s="1118"/>
      <c r="Y75" s="1118">
        <v>-2177.75</v>
      </c>
      <c r="Z75" s="1090">
        <f t="shared" si="0"/>
        <v>-2177.6819999997388</v>
      </c>
    </row>
    <row r="76" spans="1:26" s="976" customFormat="1" ht="10.8" hidden="1">
      <c r="A76" s="1154"/>
      <c r="E76" s="979"/>
      <c r="F76" s="979"/>
      <c r="G76" s="979"/>
      <c r="H76" s="979"/>
      <c r="I76" s="979"/>
      <c r="J76" s="979"/>
      <c r="K76" s="979"/>
      <c r="L76" s="979"/>
      <c r="M76" s="979"/>
      <c r="N76" s="979"/>
      <c r="O76" s="979"/>
      <c r="P76" s="979"/>
      <c r="Q76" s="1150"/>
      <c r="R76" s="1152"/>
      <c r="S76" s="1150"/>
      <c r="T76" s="1152"/>
      <c r="U76" s="1150"/>
      <c r="W76" s="1153"/>
      <c r="X76" s="1152"/>
      <c r="Y76" s="1152"/>
      <c r="Z76" s="1090">
        <f t="shared" si="0"/>
        <v>0</v>
      </c>
    </row>
    <row r="77" spans="1:26" s="976" customFormat="1" ht="10.8" hidden="1">
      <c r="A77" s="975" t="s">
        <v>1018</v>
      </c>
      <c r="E77" s="979"/>
      <c r="F77" s="979"/>
      <c r="G77" s="979"/>
      <c r="H77" s="979"/>
      <c r="I77" s="979"/>
      <c r="J77" s="979"/>
      <c r="K77" s="979"/>
      <c r="L77" s="979"/>
      <c r="M77" s="979"/>
      <c r="N77" s="979"/>
      <c r="O77" s="979"/>
      <c r="P77" s="979"/>
      <c r="Q77" s="1107" t="e">
        <f>IS!F12+IS!F13+IS!F14-IS!F37+IS!#REF!+IS!#REF!</f>
        <v>#REF!</v>
      </c>
      <c r="R77" s="1155"/>
      <c r="S77" s="1107">
        <v>109894</v>
      </c>
      <c r="T77" s="1155"/>
      <c r="U77" s="1107" t="e">
        <f>ROUND(Q77-Y77,0)</f>
        <v>#REF!</v>
      </c>
      <c r="W77" s="1150">
        <v>56115</v>
      </c>
      <c r="X77" s="1118"/>
      <c r="Y77" s="1027">
        <v>43407.75</v>
      </c>
      <c r="Z77" s="1090" t="e">
        <f t="shared" si="0"/>
        <v>#REF!</v>
      </c>
    </row>
    <row r="78" spans="1:26" s="976" customFormat="1" ht="10.8" hidden="1">
      <c r="A78" s="975"/>
      <c r="E78" s="979"/>
      <c r="F78" s="979"/>
      <c r="G78" s="979"/>
      <c r="H78" s="979"/>
      <c r="I78" s="979"/>
      <c r="J78" s="979"/>
      <c r="K78" s="979"/>
      <c r="L78" s="979"/>
      <c r="M78" s="979"/>
      <c r="N78" s="979"/>
      <c r="O78" s="979"/>
      <c r="P78" s="979"/>
      <c r="Q78" s="1107"/>
      <c r="R78" s="1155"/>
      <c r="S78" s="1156"/>
      <c r="T78" s="1155"/>
      <c r="U78" s="1107"/>
      <c r="W78" s="1153"/>
      <c r="X78" s="1152"/>
      <c r="Y78" s="1027"/>
      <c r="Z78" s="1090">
        <f t="shared" si="0"/>
        <v>0</v>
      </c>
    </row>
    <row r="79" spans="1:26" s="976" customFormat="1" ht="10.8" hidden="1">
      <c r="A79" s="975" t="s">
        <v>1093</v>
      </c>
      <c r="E79" s="979"/>
      <c r="F79" s="979"/>
      <c r="G79" s="979"/>
      <c r="H79" s="979"/>
      <c r="I79" s="979"/>
      <c r="J79" s="979"/>
      <c r="K79" s="979"/>
      <c r="L79" s="979"/>
      <c r="M79" s="979"/>
      <c r="N79" s="979"/>
      <c r="O79" s="979"/>
      <c r="P79" s="979"/>
      <c r="Q79" s="1107"/>
      <c r="R79" s="1155"/>
      <c r="S79" s="1156"/>
      <c r="T79" s="1155"/>
      <c r="U79" s="1107"/>
      <c r="W79" s="1153"/>
      <c r="X79" s="1152"/>
      <c r="Y79" s="1027"/>
      <c r="Z79" s="1090">
        <f t="shared" si="0"/>
        <v>0</v>
      </c>
    </row>
    <row r="80" spans="1:26" s="976" customFormat="1" ht="10.8" hidden="1">
      <c r="A80" s="975" t="s">
        <v>1019</v>
      </c>
      <c r="E80" s="979"/>
      <c r="F80" s="979"/>
      <c r="G80" s="979"/>
      <c r="H80" s="979"/>
      <c r="I80" s="979"/>
      <c r="J80" s="979"/>
      <c r="K80" s="979"/>
      <c r="L80" s="979"/>
      <c r="M80" s="979"/>
      <c r="N80" s="979"/>
      <c r="O80" s="979"/>
      <c r="P80" s="979"/>
      <c r="Q80" s="1110" t="e">
        <f>OCI!#REF!</f>
        <v>#REF!</v>
      </c>
      <c r="R80" s="1155"/>
      <c r="S80" s="1157" t="e">
        <f>OCI!#REF!</f>
        <v>#REF!</v>
      </c>
      <c r="T80" s="1155"/>
      <c r="U80" s="1110" t="e">
        <f>OCI!#REF!</f>
        <v>#REF!</v>
      </c>
      <c r="W80" s="1158" t="e">
        <f>OCI!#REF!</f>
        <v>#REF!</v>
      </c>
      <c r="X80" s="1118"/>
      <c r="Y80" s="1027">
        <v>295606.25</v>
      </c>
      <c r="Z80" s="1090" t="e">
        <f t="shared" si="0"/>
        <v>#REF!</v>
      </c>
    </row>
    <row r="81" spans="1:29" s="976" customFormat="1" ht="10.8" hidden="1">
      <c r="A81" s="976" t="s">
        <v>1102</v>
      </c>
      <c r="E81" s="979"/>
      <c r="F81" s="979"/>
      <c r="G81" s="979"/>
      <c r="H81" s="979"/>
      <c r="I81" s="979"/>
      <c r="J81" s="979"/>
      <c r="K81" s="979"/>
      <c r="L81" s="979"/>
      <c r="M81" s="979"/>
      <c r="N81" s="979"/>
      <c r="O81" s="979"/>
      <c r="P81" s="979"/>
      <c r="Q81" s="977" t="e">
        <f>SUM(Q71:Q80)</f>
        <v>#REF!</v>
      </c>
      <c r="R81" s="1159"/>
      <c r="S81" s="1159" t="e">
        <f>SUM(S71:S80)</f>
        <v>#REF!</v>
      </c>
      <c r="T81" s="1159"/>
      <c r="U81" s="977" t="e">
        <f>SUM(U71:U80)</f>
        <v>#REF!</v>
      </c>
      <c r="W81" s="1160" t="e">
        <f>SUM(W71:W80)</f>
        <v>#REF!</v>
      </c>
      <c r="X81" s="1027"/>
      <c r="Y81" s="1027">
        <f>SUM(Y71:Y80)</f>
        <v>705998.25</v>
      </c>
      <c r="Z81" s="1090" t="e">
        <f t="shared" si="0"/>
        <v>#REF!</v>
      </c>
    </row>
    <row r="82" spans="1:29" s="976" customFormat="1" ht="10.8" hidden="1">
      <c r="E82" s="979"/>
      <c r="F82" s="979"/>
      <c r="G82" s="979"/>
      <c r="H82" s="979"/>
      <c r="I82" s="979"/>
      <c r="J82" s="979"/>
      <c r="K82" s="979"/>
      <c r="L82" s="979"/>
      <c r="M82" s="979"/>
      <c r="N82" s="979"/>
      <c r="O82" s="979"/>
      <c r="P82" s="979"/>
      <c r="Q82" s="977"/>
      <c r="R82" s="977"/>
      <c r="S82" s="977"/>
      <c r="T82" s="977"/>
      <c r="U82" s="977"/>
      <c r="W82" s="977"/>
      <c r="X82" s="977"/>
      <c r="Y82" s="1027"/>
      <c r="Z82" s="1090">
        <f t="shared" si="0"/>
        <v>0</v>
      </c>
    </row>
    <row r="83" spans="1:29" s="976" customFormat="1" ht="11.4" hidden="1" thickBot="1">
      <c r="A83" s="981" t="s">
        <v>66</v>
      </c>
      <c r="B83" s="981"/>
      <c r="C83" s="981"/>
      <c r="D83" s="981"/>
      <c r="E83" s="1140"/>
      <c r="F83" s="1140"/>
      <c r="G83" s="1140"/>
      <c r="H83" s="1140"/>
      <c r="I83" s="1140"/>
      <c r="J83" s="1140"/>
      <c r="K83" s="1140"/>
      <c r="L83" s="1140"/>
      <c r="M83" s="1140"/>
      <c r="N83" s="1140"/>
      <c r="O83" s="1140"/>
      <c r="P83" s="1140"/>
      <c r="Q83" s="1161" t="e">
        <f>Q81+Q69+Q65+Q21+Q10</f>
        <v>#REF!</v>
      </c>
      <c r="R83" s="1152"/>
      <c r="S83" s="1162" t="e">
        <f>S81+S69+S65+S21+S10</f>
        <v>#REF!</v>
      </c>
      <c r="T83" s="1152"/>
      <c r="U83" s="1161" t="e">
        <f>U81+U69+U65+U22+U10</f>
        <v>#REF!</v>
      </c>
      <c r="W83" s="1162" t="e">
        <f>W81+W69+W65+W22+W10</f>
        <v>#REF!</v>
      </c>
      <c r="X83" s="1163"/>
      <c r="Y83" s="1162">
        <f>Y81+Y69+Y65+Y22+Y10</f>
        <v>7910020.5</v>
      </c>
      <c r="Z83" s="1090" t="e">
        <f t="shared" si="0"/>
        <v>#REF!</v>
      </c>
    </row>
    <row r="84" spans="1:29" s="976" customFormat="1" ht="10.8">
      <c r="A84" s="981"/>
      <c r="B84" s="981"/>
      <c r="C84" s="981"/>
      <c r="D84" s="981"/>
      <c r="E84" s="1140"/>
      <c r="F84" s="1140"/>
      <c r="G84" s="1140"/>
      <c r="H84" s="1164" t="s">
        <v>2384</v>
      </c>
      <c r="I84" s="1140"/>
      <c r="J84" s="1140"/>
      <c r="K84" s="1140"/>
      <c r="L84" s="1140"/>
      <c r="M84" s="1164" t="s">
        <v>2384</v>
      </c>
      <c r="N84" s="1164"/>
      <c r="O84" s="1164"/>
      <c r="P84" s="1164"/>
      <c r="Q84" s="1118"/>
      <c r="R84" s="1152"/>
      <c r="S84" s="1152"/>
      <c r="T84" s="1152"/>
      <c r="U84" s="1118"/>
      <c r="W84" s="1152"/>
      <c r="X84" s="1152"/>
      <c r="Y84" s="1152"/>
      <c r="Z84" s="1090"/>
    </row>
    <row r="85" spans="1:29" s="976" customFormat="1" ht="10.8">
      <c r="A85" s="981"/>
      <c r="B85" s="981"/>
      <c r="C85" s="981"/>
      <c r="D85" s="981"/>
      <c r="E85" s="1140"/>
      <c r="F85" s="1140"/>
      <c r="G85" s="1140"/>
      <c r="H85" s="1168"/>
      <c r="I85" s="1168"/>
      <c r="J85" s="1168"/>
      <c r="K85" s="1168"/>
      <c r="L85" s="1168"/>
      <c r="M85" s="1168"/>
      <c r="N85" s="1140"/>
      <c r="O85" s="1140"/>
      <c r="P85" s="1140"/>
      <c r="Q85" s="1118"/>
      <c r="R85" s="1152"/>
      <c r="S85" s="1152"/>
      <c r="T85" s="1152"/>
      <c r="U85" s="1118"/>
      <c r="W85" s="1152"/>
      <c r="X85" s="1152"/>
      <c r="Y85" s="1152"/>
      <c r="Z85" s="1090"/>
    </row>
    <row r="86" spans="1:29" s="976" customFormat="1" ht="11.4" thickBot="1">
      <c r="A86" s="1137" t="s">
        <v>2416</v>
      </c>
      <c r="E86" s="979"/>
      <c r="F86" s="979"/>
      <c r="G86" s="979"/>
      <c r="H86" s="1167">
        <v>102.5017</v>
      </c>
      <c r="I86" s="979"/>
      <c r="J86" s="979"/>
      <c r="K86" s="979"/>
      <c r="L86" s="979"/>
      <c r="M86" s="1167">
        <v>87.091300000000004</v>
      </c>
      <c r="N86" s="1165"/>
      <c r="O86" s="1165"/>
      <c r="P86" s="1165"/>
      <c r="Q86" s="1136">
        <v>102.50165971109922</v>
      </c>
      <c r="R86" s="1136"/>
      <c r="S86" s="1136">
        <v>87.091283879661859</v>
      </c>
      <c r="T86" s="1152"/>
      <c r="U86" s="1118"/>
      <c r="W86" s="1152"/>
      <c r="X86" s="1152"/>
      <c r="Y86" s="1152"/>
      <c r="Z86" s="1090"/>
    </row>
    <row r="87" spans="1:29" s="976" customFormat="1" ht="11.4" thickTop="1">
      <c r="E87" s="979"/>
      <c r="F87" s="979"/>
      <c r="G87" s="979"/>
      <c r="H87" s="1136"/>
      <c r="I87" s="979"/>
      <c r="J87" s="979"/>
      <c r="K87" s="979"/>
      <c r="L87" s="979"/>
      <c r="M87" s="1136"/>
      <c r="N87" s="1136"/>
      <c r="O87" s="1136"/>
      <c r="P87" s="1136"/>
      <c r="Q87" s="1136"/>
      <c r="R87" s="1136"/>
      <c r="S87" s="1136"/>
      <c r="T87" s="1152"/>
      <c r="U87" s="1118"/>
      <c r="W87" s="1152"/>
      <c r="X87" s="1152"/>
      <c r="Y87" s="1152"/>
      <c r="Z87" s="1090"/>
    </row>
    <row r="88" spans="1:29" s="976" customFormat="1" ht="11.4" thickBot="1">
      <c r="A88" s="1137" t="s">
        <v>2417</v>
      </c>
      <c r="E88" s="979"/>
      <c r="F88" s="979"/>
      <c r="G88" s="979"/>
      <c r="H88" s="1167">
        <v>91.01</v>
      </c>
      <c r="I88" s="979"/>
      <c r="J88" s="979"/>
      <c r="K88" s="979"/>
      <c r="L88" s="979"/>
      <c r="M88" s="1167">
        <v>112.15</v>
      </c>
      <c r="N88" s="1165"/>
      <c r="O88" s="1165"/>
      <c r="P88" s="1165"/>
      <c r="Q88" s="1136">
        <v>91.01</v>
      </c>
      <c r="R88" s="1136"/>
      <c r="S88" s="1136">
        <v>112.15</v>
      </c>
      <c r="T88" s="1152"/>
      <c r="U88" s="1118"/>
      <c r="W88" s="1152"/>
      <c r="X88" s="1152"/>
      <c r="Y88" s="1152"/>
      <c r="Z88" s="1090"/>
    </row>
    <row r="89" spans="1:29" ht="10.8" thickTop="1">
      <c r="E89" s="1076"/>
      <c r="F89" s="1076"/>
      <c r="G89" s="1076"/>
      <c r="H89" s="1076"/>
      <c r="I89" s="1076"/>
      <c r="J89" s="1076"/>
      <c r="K89" s="1076"/>
      <c r="L89" s="1076"/>
      <c r="M89" s="1076"/>
      <c r="N89" s="1076"/>
      <c r="O89" s="1076"/>
      <c r="P89" s="1076"/>
      <c r="Y89" s="937"/>
    </row>
    <row r="90" spans="1:29">
      <c r="A90" s="301" t="str">
        <f>BS!$A$43</f>
        <v>The annexed notes 1 to 15 form an integral part of these interim financial statements.</v>
      </c>
      <c r="E90" s="1076"/>
      <c r="F90" s="1076"/>
      <c r="G90" s="1076"/>
      <c r="H90" s="1076"/>
      <c r="I90" s="1076"/>
      <c r="J90" s="1076"/>
      <c r="K90" s="1076"/>
      <c r="L90" s="1076"/>
      <c r="M90" s="1076"/>
      <c r="N90" s="1076"/>
      <c r="O90" s="1076"/>
      <c r="P90" s="1076"/>
      <c r="T90" s="937"/>
      <c r="U90" s="937"/>
      <c r="V90" s="937"/>
      <c r="W90" s="937"/>
      <c r="X90" s="937"/>
      <c r="Y90" s="937"/>
      <c r="Z90" s="937"/>
      <c r="AA90" s="937"/>
      <c r="AB90" s="937"/>
      <c r="AC90" s="937"/>
    </row>
    <row r="91" spans="1:29">
      <c r="E91" s="1076"/>
      <c r="F91" s="1076"/>
      <c r="G91" s="1076"/>
      <c r="H91" s="1076"/>
      <c r="I91" s="1076"/>
      <c r="J91" s="1076"/>
      <c r="K91" s="1076"/>
      <c r="L91" s="1076"/>
      <c r="M91" s="1076"/>
      <c r="N91" s="1076"/>
      <c r="O91" s="1076"/>
      <c r="P91" s="1076"/>
      <c r="T91" s="937"/>
      <c r="U91" s="937"/>
      <c r="V91" s="937"/>
      <c r="W91" s="937"/>
      <c r="X91" s="937"/>
      <c r="Y91" s="937"/>
      <c r="Z91" s="937"/>
      <c r="AA91" s="937"/>
      <c r="AB91" s="937"/>
      <c r="AC91" s="937"/>
    </row>
    <row r="92" spans="1:29">
      <c r="E92" s="1076"/>
      <c r="F92" s="1076"/>
      <c r="G92" s="1076"/>
      <c r="H92" s="1076"/>
      <c r="I92" s="1076"/>
      <c r="J92" s="1076"/>
      <c r="K92" s="1076"/>
      <c r="L92" s="1076"/>
      <c r="M92" s="1076"/>
      <c r="N92" s="1076"/>
      <c r="O92" s="1076"/>
      <c r="P92" s="1076"/>
      <c r="T92" s="937"/>
      <c r="U92" s="937"/>
      <c r="V92" s="937"/>
      <c r="W92" s="937"/>
      <c r="X92" s="937"/>
      <c r="Y92" s="937"/>
      <c r="Z92" s="937"/>
      <c r="AA92" s="937"/>
      <c r="AB92" s="937"/>
      <c r="AC92" s="937"/>
    </row>
    <row r="93" spans="1:29" s="1068" customFormat="1">
      <c r="A93" s="1063">
        <f>BS!$A$45</f>
        <v>0</v>
      </c>
      <c r="B93" s="1063"/>
      <c r="C93" s="1063"/>
      <c r="D93" s="1063"/>
      <c r="E93" s="1077"/>
      <c r="F93" s="1077"/>
      <c r="G93" s="1077"/>
      <c r="H93" s="1077"/>
      <c r="I93" s="1077"/>
      <c r="J93" s="1077"/>
      <c r="K93" s="1077"/>
      <c r="L93" s="1077"/>
      <c r="M93" s="1077"/>
      <c r="N93" s="1077"/>
      <c r="O93" s="1077"/>
      <c r="P93" s="1077"/>
      <c r="Q93" s="1063"/>
      <c r="R93" s="1063"/>
      <c r="S93" s="1063"/>
      <c r="T93" s="1063"/>
      <c r="U93" s="1063"/>
      <c r="V93" s="1063"/>
    </row>
    <row r="94" spans="1:29" s="1068" customFormat="1">
      <c r="A94" s="1064" t="str">
        <f>BS!$A$46</f>
        <v>For MCB-Arif Habib Savings and Investments Limited</v>
      </c>
      <c r="B94" s="1064"/>
      <c r="C94" s="1064"/>
      <c r="D94" s="1064"/>
      <c r="E94" s="1078"/>
      <c r="F94" s="1078"/>
      <c r="G94" s="1078"/>
      <c r="H94" s="1078"/>
      <c r="I94" s="1078"/>
      <c r="J94" s="1078"/>
      <c r="K94" s="1078"/>
      <c r="L94" s="1078"/>
      <c r="M94" s="1078"/>
      <c r="N94" s="1078"/>
      <c r="O94" s="1078"/>
      <c r="P94" s="1078"/>
      <c r="Q94" s="1064"/>
      <c r="R94" s="1064"/>
      <c r="S94" s="1064"/>
      <c r="T94" s="1064"/>
      <c r="U94" s="1064"/>
      <c r="V94" s="1064"/>
      <c r="W94" s="1064"/>
      <c r="X94" s="1064"/>
    </row>
    <row r="95" spans="1:29" s="1072" customFormat="1">
      <c r="A95" s="1069"/>
      <c r="B95" s="1065"/>
      <c r="C95" s="1065"/>
      <c r="D95" s="1065"/>
      <c r="E95" s="1065"/>
      <c r="F95" s="1065"/>
      <c r="G95" s="1065"/>
      <c r="H95" s="1065"/>
      <c r="I95" s="1065"/>
      <c r="J95" s="1065"/>
      <c r="K95" s="1065"/>
      <c r="L95" s="1065"/>
      <c r="M95" s="1065"/>
      <c r="N95" s="1065"/>
      <c r="O95" s="1065"/>
      <c r="P95" s="1065"/>
      <c r="Q95" s="1079"/>
      <c r="R95" s="1065"/>
      <c r="S95" s="1070"/>
      <c r="T95" s="1080"/>
      <c r="U95" s="1065"/>
      <c r="V95" s="1070"/>
      <c r="W95" s="1071"/>
      <c r="X95" s="1071"/>
    </row>
    <row r="96" spans="1:29" s="1072" customFormat="1">
      <c r="B96" s="1065"/>
      <c r="C96" s="1065"/>
      <c r="D96" s="1065"/>
      <c r="E96" s="1065"/>
      <c r="F96" s="1065"/>
      <c r="G96" s="1065"/>
      <c r="H96" s="1065"/>
      <c r="I96" s="1065"/>
      <c r="J96" s="1065"/>
      <c r="K96" s="1065"/>
      <c r="L96" s="1065"/>
      <c r="M96" s="1065"/>
      <c r="N96" s="1065"/>
      <c r="O96" s="1065"/>
      <c r="P96" s="1065"/>
      <c r="Q96" s="1079"/>
      <c r="R96" s="1065"/>
      <c r="S96" s="1070"/>
      <c r="T96" s="1080"/>
      <c r="U96" s="1065"/>
      <c r="V96" s="1070"/>
      <c r="W96" s="1071"/>
      <c r="X96" s="1071"/>
    </row>
    <row r="97" spans="1:24" s="1072" customFormat="1">
      <c r="B97" s="1065"/>
      <c r="C97" s="1065"/>
      <c r="D97" s="1065"/>
      <c r="E97" s="1065"/>
      <c r="F97" s="1065"/>
      <c r="G97" s="1065"/>
      <c r="H97" s="1065"/>
      <c r="I97" s="1065"/>
      <c r="J97" s="1065"/>
      <c r="K97" s="1065"/>
      <c r="L97" s="1065"/>
      <c r="M97" s="1065"/>
      <c r="N97" s="1065"/>
      <c r="O97" s="1065"/>
      <c r="P97" s="1065"/>
      <c r="Q97" s="1079"/>
      <c r="R97" s="1065"/>
      <c r="S97" s="1070"/>
      <c r="T97" s="1080"/>
      <c r="U97" s="1065"/>
      <c r="V97" s="1070"/>
      <c r="W97" s="1071"/>
      <c r="X97" s="1071"/>
    </row>
    <row r="98" spans="1:24" s="1072" customFormat="1">
      <c r="B98" s="1065"/>
      <c r="C98" s="1065"/>
      <c r="D98" s="1065"/>
      <c r="E98" s="1065"/>
      <c r="F98" s="1065"/>
      <c r="G98" s="1065"/>
      <c r="H98" s="1065"/>
      <c r="I98" s="1065"/>
      <c r="J98" s="1065"/>
      <c r="K98" s="1065"/>
      <c r="L98" s="1065"/>
      <c r="M98" s="1065"/>
      <c r="N98" s="1065"/>
      <c r="O98" s="1065"/>
      <c r="P98" s="1065"/>
      <c r="Q98" s="1079"/>
      <c r="R98" s="1065"/>
      <c r="S98" s="1070"/>
      <c r="T98" s="1080"/>
      <c r="U98" s="1065"/>
      <c r="V98" s="1070"/>
      <c r="W98" s="1071"/>
      <c r="X98" s="1071"/>
    </row>
    <row r="99" spans="1:24" s="1072" customFormat="1">
      <c r="A99" s="1073" t="str">
        <f>BS!$A$53</f>
        <v>Chief Executive Officer</v>
      </c>
      <c r="B99" s="1074"/>
      <c r="C99" s="1065"/>
      <c r="D99" s="1065"/>
      <c r="E99" s="1065"/>
      <c r="F99" s="1065"/>
      <c r="G99" s="1065"/>
      <c r="H99" s="1065"/>
      <c r="I99" s="1065"/>
      <c r="J99" s="1065"/>
      <c r="K99" s="1065"/>
      <c r="L99" s="1065"/>
      <c r="M99" s="1065"/>
      <c r="N99" s="1065"/>
      <c r="O99" s="1065"/>
      <c r="P99" s="1065"/>
      <c r="Q99" s="1079"/>
      <c r="R99" s="1065"/>
      <c r="S99" s="1081"/>
      <c r="T99" s="1080"/>
      <c r="U99" s="1065"/>
      <c r="V99" s="1070"/>
      <c r="W99" s="1071"/>
      <c r="X99" s="1071"/>
    </row>
    <row r="100" spans="1:24" s="1072" customFormat="1">
      <c r="A100" s="1075">
        <f>BS!$A$54</f>
        <v>0</v>
      </c>
      <c r="B100" s="1074"/>
      <c r="C100" s="1065"/>
      <c r="D100" s="1065"/>
      <c r="E100" s="1065"/>
      <c r="F100" s="1065"/>
      <c r="G100" s="1065"/>
      <c r="H100" s="1065"/>
      <c r="I100" s="1065"/>
      <c r="J100" s="1065"/>
      <c r="K100" s="1065"/>
      <c r="L100" s="1065"/>
      <c r="M100" s="1065"/>
      <c r="N100" s="1065"/>
      <c r="O100" s="1065"/>
      <c r="P100" s="1065"/>
      <c r="Q100" s="1079"/>
      <c r="R100" s="1065"/>
      <c r="S100" s="1082"/>
      <c r="T100" s="1080"/>
      <c r="U100" s="1065"/>
      <c r="V100" s="1070"/>
      <c r="W100" s="1071"/>
      <c r="X100" s="1071"/>
    </row>
  </sheetData>
  <mergeCells count="12">
    <mergeCell ref="Q4:S4"/>
    <mergeCell ref="U4:W4"/>
    <mergeCell ref="Q5:S5"/>
    <mergeCell ref="U5:W5"/>
    <mergeCell ref="Q7:T7"/>
    <mergeCell ref="U7:X7"/>
    <mergeCell ref="E5:H5"/>
    <mergeCell ref="J5:M5"/>
    <mergeCell ref="E6:H6"/>
    <mergeCell ref="J6:M6"/>
    <mergeCell ref="E7:H7"/>
    <mergeCell ref="J7:M7"/>
  </mergeCells>
  <printOptions horizontalCentered="1"/>
  <pageMargins left="0.65" right="0.4" top="0.5" bottom="0.4" header="0.28999999999999998" footer="0.5"/>
  <pageSetup paperSize="9" fitToHeight="0" orientation="portrait" horizontalDpi="96" verticalDpi="4294967295" r:id="rId1"/>
  <headerFooter alignWithMargins="0"/>
  <ignoredErrors>
    <ignoredError sqref="F23:H23" unlockedFormula="1"/>
    <ignoredError sqref="K3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08"/>
  <sheetViews>
    <sheetView showGridLines="0" view="pageBreakPreview" zoomScale="110" zoomScaleNormal="100" zoomScaleSheetLayoutView="110" workbookViewId="0">
      <selection activeCell="H44" sqref="H44"/>
    </sheetView>
  </sheetViews>
  <sheetFormatPr defaultColWidth="9" defaultRowHeight="11.4"/>
  <cols>
    <col min="1" max="1" width="5.09765625" style="845" customWidth="1"/>
    <col min="2" max="2" width="3.59765625" style="845" customWidth="1"/>
    <col min="3" max="3" width="41.59765625" style="845" customWidth="1"/>
    <col min="4" max="5" width="5.59765625" style="845" customWidth="1"/>
    <col min="6" max="6" width="10.09765625" style="845" customWidth="1"/>
    <col min="7" max="7" width="1.59765625" style="845" customWidth="1"/>
    <col min="8" max="8" width="10.09765625" style="845" customWidth="1"/>
    <col min="9" max="9" width="1" style="845" customWidth="1"/>
    <col min="10" max="10" width="8.09765625" style="845" hidden="1" customWidth="1"/>
    <col min="11" max="11" width="1" style="845" hidden="1" customWidth="1"/>
    <col min="12" max="12" width="8.59765625" style="845" hidden="1" customWidth="1"/>
    <col min="13" max="13" width="8.59765625" style="845" customWidth="1"/>
    <col min="14" max="14" width="13.09765625" style="845" customWidth="1"/>
    <col min="15" max="15" width="14.5" style="845" bestFit="1" customWidth="1"/>
    <col min="16" max="19" width="9" style="845"/>
    <col min="20" max="20" width="9.5" style="845" bestFit="1" customWidth="1"/>
    <col min="21" max="16384" width="9" style="845"/>
  </cols>
  <sheetData>
    <row r="1" spans="1:21" ht="12">
      <c r="A1" s="536" t="str">
        <f>BS!$A$1</f>
        <v>MCB PAKISTAN STOCK MARKET FUND</v>
      </c>
      <c r="B1" s="715"/>
      <c r="C1" s="715"/>
      <c r="D1" s="715"/>
      <c r="E1" s="715"/>
      <c r="F1" s="715"/>
      <c r="G1" s="715"/>
      <c r="H1" s="715"/>
      <c r="I1" s="715"/>
      <c r="J1" s="715"/>
      <c r="L1" s="715"/>
      <c r="M1" s="715"/>
      <c r="N1" s="1059"/>
    </row>
    <row r="2" spans="1:21" ht="12">
      <c r="A2" s="715" t="s">
        <v>726</v>
      </c>
      <c r="B2" s="715"/>
      <c r="C2" s="715"/>
      <c r="D2" s="715"/>
      <c r="E2" s="715"/>
      <c r="F2" s="715"/>
      <c r="G2" s="715"/>
      <c r="H2" s="715"/>
      <c r="I2" s="715"/>
      <c r="J2" s="715"/>
      <c r="L2" s="715"/>
      <c r="M2" s="715"/>
      <c r="N2" s="715"/>
    </row>
    <row r="3" spans="1:21" ht="12">
      <c r="A3" s="715" t="str">
        <f>+IS!A3</f>
        <v>FOR THE NINE MONTHS AND QUARTER ENDED MARCH 31, 2022</v>
      </c>
      <c r="B3" s="715"/>
      <c r="C3" s="715"/>
      <c r="D3" s="715"/>
      <c r="E3" s="715"/>
      <c r="F3" s="715"/>
      <c r="G3" s="715"/>
      <c r="H3" s="715"/>
      <c r="I3" s="715"/>
      <c r="J3" s="715"/>
      <c r="L3" s="715"/>
      <c r="M3" s="715"/>
      <c r="N3" s="715"/>
      <c r="O3" s="1030">
        <v>22923854</v>
      </c>
      <c r="P3" s="1030">
        <f>N3-O3</f>
        <v>-22923854</v>
      </c>
    </row>
    <row r="4" spans="1:21" ht="12">
      <c r="A4" s="715"/>
      <c r="B4" s="715"/>
      <c r="C4" s="715"/>
      <c r="D4" s="715"/>
      <c r="E4" s="715"/>
      <c r="F4" s="715"/>
      <c r="G4" s="715"/>
      <c r="H4" s="715"/>
      <c r="I4" s="715"/>
      <c r="J4" s="715"/>
      <c r="L4" s="715"/>
      <c r="M4" s="715"/>
      <c r="N4" s="715"/>
    </row>
    <row r="5" spans="1:21" s="317" customFormat="1" ht="12">
      <c r="A5" s="213"/>
      <c r="B5" s="213"/>
      <c r="C5" s="213"/>
      <c r="D5" s="213"/>
      <c r="E5" s="213"/>
      <c r="F5" s="2331" t="s">
        <v>705</v>
      </c>
      <c r="G5" s="2331"/>
      <c r="H5" s="2331"/>
      <c r="I5" s="1029"/>
      <c r="J5" s="2331" t="s">
        <v>706</v>
      </c>
      <c r="K5" s="2331"/>
      <c r="L5" s="2331"/>
      <c r="M5" s="715"/>
      <c r="N5" s="1029"/>
    </row>
    <row r="6" spans="1:21" s="317" customFormat="1" ht="10.199999999999999">
      <c r="A6" s="213"/>
      <c r="B6" s="213"/>
      <c r="C6" s="213"/>
      <c r="D6" s="213"/>
      <c r="E6" s="213"/>
      <c r="F6" s="2423" t="s">
        <v>624</v>
      </c>
      <c r="G6" s="2423"/>
      <c r="H6" s="2423"/>
      <c r="I6" s="1028"/>
      <c r="J6" s="2332" t="s">
        <v>624</v>
      </c>
      <c r="K6" s="2332"/>
      <c r="L6" s="2332"/>
      <c r="M6" s="1028"/>
      <c r="N6" s="1028" t="s">
        <v>626</v>
      </c>
    </row>
    <row r="7" spans="1:21" s="317" customFormat="1" ht="10.199999999999999">
      <c r="A7" s="213"/>
      <c r="B7" s="213"/>
      <c r="C7" s="213"/>
      <c r="D7" s="213"/>
      <c r="E7" s="213"/>
      <c r="F7" s="1028" t="s">
        <v>2439</v>
      </c>
      <c r="G7" s="1028"/>
      <c r="H7" s="1028" t="s">
        <v>1153</v>
      </c>
      <c r="I7" s="1028"/>
      <c r="J7" s="1028" t="s">
        <v>1153</v>
      </c>
      <c r="K7" s="1028"/>
      <c r="L7" s="1028" t="s">
        <v>990</v>
      </c>
      <c r="M7" s="1028"/>
      <c r="N7" s="1028" t="s">
        <v>990</v>
      </c>
    </row>
    <row r="8" spans="1:21" s="317" customFormat="1" ht="10.199999999999999">
      <c r="A8" s="213"/>
      <c r="B8" s="213"/>
      <c r="C8" s="213"/>
      <c r="D8" s="213"/>
      <c r="E8" s="213"/>
      <c r="F8" s="2335" t="s">
        <v>1068</v>
      </c>
      <c r="G8" s="2335"/>
      <c r="H8" s="2335"/>
      <c r="I8" s="2335"/>
      <c r="J8" s="2335" t="s">
        <v>1068</v>
      </c>
      <c r="K8" s="2335"/>
      <c r="L8" s="2335"/>
      <c r="M8" s="2335"/>
      <c r="N8" s="844"/>
    </row>
    <row r="9" spans="1:21" s="317" customFormat="1" ht="10.199999999999999">
      <c r="A9" s="213"/>
      <c r="B9" s="213"/>
      <c r="C9" s="213"/>
      <c r="D9" s="213"/>
      <c r="E9" s="213"/>
      <c r="F9" s="843"/>
      <c r="G9" s="843"/>
      <c r="H9" s="843"/>
      <c r="I9" s="843"/>
      <c r="J9" s="843"/>
      <c r="L9" s="843"/>
      <c r="M9" s="843"/>
      <c r="N9" s="843"/>
    </row>
    <row r="10" spans="1:21" s="317" customFormat="1" ht="10.199999999999999">
      <c r="A10" s="1061" t="s">
        <v>465</v>
      </c>
      <c r="F10" s="230">
        <f>BS!$H$30</f>
        <v>12397182.1</v>
      </c>
      <c r="G10" s="230"/>
      <c r="H10" s="230">
        <v>10112584</v>
      </c>
      <c r="I10" s="230"/>
      <c r="J10" s="230">
        <v>9789861.5</v>
      </c>
      <c r="L10" s="230">
        <v>8840981.75</v>
      </c>
      <c r="M10" s="230"/>
      <c r="N10" s="943">
        <v>8017886</v>
      </c>
      <c r="O10" s="953">
        <f>F10-J10</f>
        <v>2607320.5999999996</v>
      </c>
    </row>
    <row r="11" spans="1:21" s="317" customFormat="1" ht="10.199999999999999">
      <c r="F11" s="870"/>
      <c r="H11" s="870"/>
      <c r="J11" s="870"/>
      <c r="M11" s="317">
        <v>3707789</v>
      </c>
      <c r="N11" s="937"/>
      <c r="O11" s="953">
        <f>F11-J11</f>
        <v>0</v>
      </c>
    </row>
    <row r="12" spans="1:21" s="317" customFormat="1" ht="10.199999999999999">
      <c r="A12" s="927" t="s">
        <v>2318</v>
      </c>
      <c r="J12" s="963"/>
      <c r="L12" s="965"/>
      <c r="N12" s="937"/>
      <c r="O12" s="953">
        <f>F12-J12</f>
        <v>0</v>
      </c>
    </row>
    <row r="13" spans="1:21" s="317" customFormat="1" ht="10.199999999999999">
      <c r="A13" s="927" t="s">
        <v>2319</v>
      </c>
      <c r="F13" s="1036">
        <f>'UHF New'!X3</f>
        <v>4013382.4795551873</v>
      </c>
      <c r="G13" s="943"/>
      <c r="H13" s="1036">
        <v>3452008.9510114626</v>
      </c>
      <c r="I13" s="943"/>
      <c r="J13" s="945">
        <f>F13-N13</f>
        <v>1763096.2295551873</v>
      </c>
      <c r="L13" s="945">
        <v>2849646</v>
      </c>
      <c r="N13" s="943">
        <v>2250286.25</v>
      </c>
      <c r="O13" s="953">
        <f>F13-J13</f>
        <v>2250286.25</v>
      </c>
      <c r="S13" s="966"/>
      <c r="T13" s="966"/>
      <c r="U13" s="966"/>
    </row>
    <row r="14" spans="1:21" s="317" customFormat="1" ht="10.199999999999999">
      <c r="A14" s="927" t="s">
        <v>2320</v>
      </c>
      <c r="F14" s="947">
        <f>M11-F13</f>
        <v>-305593.47955518728</v>
      </c>
      <c r="G14" s="943"/>
      <c r="H14" s="947">
        <v>255780.0489885374</v>
      </c>
      <c r="I14" s="943"/>
      <c r="J14" s="945"/>
      <c r="L14" s="945"/>
      <c r="M14" s="943"/>
      <c r="N14" s="943"/>
      <c r="O14" s="953"/>
      <c r="S14" s="966"/>
      <c r="T14" s="966"/>
      <c r="U14" s="966"/>
    </row>
    <row r="15" spans="1:21" s="317" customFormat="1" ht="10.199999999999999">
      <c r="A15" s="926"/>
      <c r="F15" s="943">
        <f>SUM(F13:F14)</f>
        <v>3707789</v>
      </c>
      <c r="G15" s="943"/>
      <c r="H15" s="943">
        <v>3707789</v>
      </c>
      <c r="I15" s="943"/>
      <c r="J15" s="945"/>
      <c r="L15" s="945"/>
      <c r="M15" s="943">
        <v>4040032</v>
      </c>
      <c r="N15" s="943"/>
      <c r="O15" s="953"/>
      <c r="S15" s="966"/>
      <c r="T15" s="966"/>
      <c r="U15" s="966"/>
    </row>
    <row r="16" spans="1:21" s="317" customFormat="1" ht="10.199999999999999">
      <c r="A16" s="928" t="s">
        <v>2321</v>
      </c>
      <c r="F16" s="943"/>
      <c r="G16" s="943"/>
      <c r="H16" s="943"/>
      <c r="I16" s="943"/>
      <c r="J16" s="945"/>
      <c r="L16" s="945"/>
      <c r="M16" s="943">
        <v>42503625</v>
      </c>
      <c r="N16" s="943"/>
      <c r="O16" s="953">
        <f>F16-J16</f>
        <v>0</v>
      </c>
      <c r="S16" s="966"/>
      <c r="T16" s="966"/>
      <c r="U16" s="966"/>
    </row>
    <row r="17" spans="1:21" s="317" customFormat="1" ht="10.199999999999999">
      <c r="A17" s="927" t="s">
        <v>2319</v>
      </c>
      <c r="F17" s="1036">
        <f>M17</f>
        <v>4404624.89289359</v>
      </c>
      <c r="G17" s="943"/>
      <c r="H17" s="1036">
        <v>3788526.170523813</v>
      </c>
      <c r="I17" s="943"/>
      <c r="J17" s="947">
        <f>ROUND(F17-N17,0)</f>
        <v>7462449</v>
      </c>
      <c r="L17" s="948">
        <v>-2421551</v>
      </c>
      <c r="M17" s="943">
        <f>M16*BS!H40/1000</f>
        <v>4404624.89289359</v>
      </c>
      <c r="N17" s="943">
        <v>-3057824.25</v>
      </c>
      <c r="O17" s="953">
        <f>F17-J17</f>
        <v>-3057824.10710641</v>
      </c>
      <c r="S17" s="966"/>
      <c r="T17" s="966"/>
      <c r="U17" s="966"/>
    </row>
    <row r="18" spans="1:21" s="317" customFormat="1" ht="10.199999999999999">
      <c r="A18" s="1060" t="s">
        <v>2369</v>
      </c>
      <c r="F18" s="968">
        <f>F20-F17-F19</f>
        <v>733842.57338048553</v>
      </c>
      <c r="G18" s="943"/>
      <c r="H18" s="968">
        <v>386186.79575026256</v>
      </c>
      <c r="I18" s="943"/>
      <c r="J18" s="943"/>
      <c r="L18" s="943"/>
      <c r="M18" s="943">
        <v>4356692.1062381696</v>
      </c>
      <c r="N18" s="943"/>
      <c r="O18" s="953"/>
      <c r="S18" s="966"/>
      <c r="T18" s="966"/>
      <c r="U18" s="966"/>
    </row>
    <row r="19" spans="1:21" s="317" customFormat="1" ht="10.199999999999999">
      <c r="A19" s="1060" t="s">
        <v>2370</v>
      </c>
      <c r="F19" s="947">
        <v>-134680.96627407559</v>
      </c>
      <c r="G19" s="230"/>
      <c r="H19" s="947">
        <v>-134680.96627407559</v>
      </c>
      <c r="I19" s="230"/>
      <c r="J19" s="230">
        <f>SUM(J13:J17)</f>
        <v>9225545.2295551877</v>
      </c>
      <c r="L19" s="230">
        <f>+SUM(L13:L17)</f>
        <v>428095</v>
      </c>
      <c r="M19" s="230"/>
      <c r="N19" s="943">
        <f>SUM(N13:N17)</f>
        <v>-807538</v>
      </c>
      <c r="O19" s="953">
        <f>F19-J19</f>
        <v>-9360226.195829263</v>
      </c>
    </row>
    <row r="20" spans="1:21" s="317" customFormat="1" ht="10.199999999999999">
      <c r="F20" s="230">
        <f>-CFs!H39</f>
        <v>5003786.5</v>
      </c>
      <c r="G20" s="230"/>
      <c r="H20" s="230">
        <v>4040032</v>
      </c>
      <c r="I20" s="230"/>
      <c r="J20" s="230"/>
      <c r="L20" s="230"/>
      <c r="M20" s="230"/>
      <c r="N20" s="943"/>
      <c r="O20" s="953"/>
    </row>
    <row r="21" spans="1:21" s="317" customFormat="1" ht="10.199999999999999">
      <c r="A21" s="919" t="s">
        <v>1010</v>
      </c>
      <c r="F21" s="230"/>
      <c r="G21" s="230"/>
      <c r="H21" s="230"/>
      <c r="I21" s="230"/>
      <c r="J21" s="230"/>
      <c r="L21" s="230"/>
      <c r="M21" s="230"/>
      <c r="N21" s="943"/>
      <c r="O21" s="953"/>
    </row>
    <row r="22" spans="1:21" s="317" customFormat="1" ht="10.199999999999999">
      <c r="A22" s="920" t="s">
        <v>1011</v>
      </c>
      <c r="F22" s="230"/>
      <c r="G22" s="230"/>
      <c r="H22" s="230"/>
      <c r="I22" s="230"/>
      <c r="J22" s="230"/>
      <c r="L22" s="230"/>
      <c r="M22" s="230"/>
      <c r="N22" s="943"/>
      <c r="O22" s="953"/>
    </row>
    <row r="23" spans="1:21" s="317" customFormat="1" ht="10.199999999999999">
      <c r="A23" s="921" t="s">
        <v>1012</v>
      </c>
      <c r="F23" s="1058"/>
      <c r="G23" s="230"/>
      <c r="H23" s="1058"/>
      <c r="I23" s="230"/>
      <c r="J23" s="230"/>
      <c r="L23" s="230"/>
      <c r="M23" s="230"/>
      <c r="N23" s="943"/>
      <c r="O23" s="953"/>
    </row>
    <row r="24" spans="1:21" s="317" customFormat="1" ht="10.199999999999999">
      <c r="A24" s="922" t="s">
        <v>1013</v>
      </c>
      <c r="F24" s="945"/>
      <c r="G24" s="230"/>
      <c r="H24" s="945"/>
      <c r="I24" s="230"/>
      <c r="J24" s="230"/>
      <c r="L24" s="230"/>
      <c r="M24" s="230"/>
      <c r="N24" s="943"/>
      <c r="O24" s="953"/>
    </row>
    <row r="25" spans="1:21" s="317" customFormat="1" ht="10.199999999999999">
      <c r="A25" s="923"/>
      <c r="B25" s="924" t="s">
        <v>1095</v>
      </c>
      <c r="F25" s="945">
        <v>0</v>
      </c>
      <c r="G25" s="230"/>
      <c r="H25" s="945">
        <v>0</v>
      </c>
      <c r="I25" s="230"/>
      <c r="J25" s="230"/>
      <c r="L25" s="230"/>
      <c r="M25" s="230"/>
      <c r="N25" s="943"/>
      <c r="O25" s="953"/>
    </row>
    <row r="26" spans="1:21" s="317" customFormat="1" ht="10.199999999999999">
      <c r="A26" s="923"/>
      <c r="B26" s="924" t="s">
        <v>1094</v>
      </c>
      <c r="F26" s="948">
        <v>0</v>
      </c>
      <c r="G26" s="230"/>
      <c r="H26" s="948">
        <v>0</v>
      </c>
      <c r="I26" s="230"/>
      <c r="J26" s="230"/>
      <c r="L26" s="230"/>
      <c r="M26" s="230"/>
      <c r="N26" s="943"/>
      <c r="O26" s="953"/>
    </row>
    <row r="27" spans="1:21" s="317" customFormat="1" ht="10.199999999999999">
      <c r="A27" s="923"/>
      <c r="B27" s="924"/>
      <c r="F27" s="230">
        <v>0</v>
      </c>
      <c r="G27" s="230"/>
      <c r="H27" s="230">
        <v>0</v>
      </c>
      <c r="I27" s="230"/>
      <c r="J27" s="230"/>
      <c r="L27" s="230"/>
      <c r="M27" s="230"/>
      <c r="N27" s="943"/>
      <c r="O27" s="953"/>
    </row>
    <row r="28" spans="1:21" s="317" customFormat="1" ht="10.199999999999999">
      <c r="F28" s="230"/>
      <c r="G28" s="230"/>
      <c r="H28" s="230"/>
      <c r="I28" s="230"/>
      <c r="J28" s="230"/>
      <c r="L28" s="230"/>
      <c r="M28" s="230"/>
      <c r="N28" s="943"/>
      <c r="O28" s="953"/>
    </row>
    <row r="29" spans="1:21" s="317" customFormat="1" ht="10.199999999999999">
      <c r="A29" s="1031" t="s">
        <v>2357</v>
      </c>
      <c r="F29" s="230">
        <f>IS!F43</f>
        <v>-565080</v>
      </c>
      <c r="G29" s="230"/>
      <c r="H29" s="230">
        <v>-983154</v>
      </c>
      <c r="I29" s="230"/>
      <c r="J29" s="230">
        <f>F29-M29</f>
        <v>166179</v>
      </c>
      <c r="L29" s="230" t="e">
        <f>IS!#REF!</f>
        <v>#REF!</v>
      </c>
      <c r="M29" s="230">
        <v>-731259</v>
      </c>
      <c r="N29" s="943">
        <f>F20-F15</f>
        <v>1295997.5</v>
      </c>
      <c r="O29" s="953"/>
    </row>
    <row r="30" spans="1:21" s="317" customFormat="1" ht="10.199999999999999">
      <c r="F30" s="230"/>
      <c r="G30" s="230"/>
      <c r="H30" s="230"/>
      <c r="I30" s="230"/>
      <c r="J30" s="230"/>
      <c r="L30" s="230"/>
      <c r="M30" s="230"/>
      <c r="N30" s="943"/>
      <c r="O30" s="953"/>
    </row>
    <row r="31" spans="1:21" s="317" customFormat="1" ht="10.199999999999999">
      <c r="A31" s="317" t="s">
        <v>2376</v>
      </c>
      <c r="F31" s="230"/>
      <c r="G31" s="230"/>
      <c r="H31" s="230"/>
      <c r="I31" s="230"/>
      <c r="J31" s="230"/>
      <c r="L31" s="230"/>
      <c r="M31" s="230"/>
      <c r="N31" s="943"/>
      <c r="O31" s="953"/>
    </row>
    <row r="32" spans="1:21" s="317" customFormat="1" ht="10.199999999999999">
      <c r="A32" s="317" t="s">
        <v>2317</v>
      </c>
      <c r="F32" s="230" t="e">
        <f>OCI!#REF!</f>
        <v>#REF!</v>
      </c>
      <c r="G32" s="230"/>
      <c r="H32" s="230">
        <v>-86344</v>
      </c>
      <c r="I32" s="230"/>
      <c r="J32" s="230" t="e">
        <f>F32-M32</f>
        <v>#REF!</v>
      </c>
      <c r="L32" s="230" t="e">
        <f>OCI!#REF!</f>
        <v>#REF!</v>
      </c>
      <c r="M32" s="230">
        <v>-300512</v>
      </c>
      <c r="N32" s="943"/>
      <c r="O32" s="953">
        <f>-F18</f>
        <v>-733842.57338048553</v>
      </c>
    </row>
    <row r="33" spans="1:17" s="317" customFormat="1" ht="10.199999999999999">
      <c r="F33" s="230"/>
      <c r="G33" s="230"/>
      <c r="H33" s="230"/>
      <c r="I33" s="230"/>
      <c r="J33" s="230"/>
      <c r="L33" s="230"/>
      <c r="M33" s="230"/>
      <c r="N33" s="943"/>
      <c r="O33" s="953">
        <f>-F19</f>
        <v>134680.96627407559</v>
      </c>
    </row>
    <row r="34" spans="1:17" s="317" customFormat="1" ht="10.199999999999999">
      <c r="A34" s="317" t="s">
        <v>2304</v>
      </c>
      <c r="F34" s="230">
        <v>0</v>
      </c>
      <c r="G34" s="230"/>
      <c r="H34" s="230">
        <v>0</v>
      </c>
      <c r="I34" s="230"/>
      <c r="J34" s="230">
        <v>0</v>
      </c>
      <c r="L34" s="230">
        <v>0</v>
      </c>
      <c r="M34" s="230"/>
      <c r="N34" s="943"/>
      <c r="O34" s="953">
        <f>-F14</f>
        <v>305593.47955518728</v>
      </c>
    </row>
    <row r="35" spans="1:17" s="317" customFormat="1" ht="10.199999999999999">
      <c r="F35" s="230"/>
      <c r="G35" s="230"/>
      <c r="H35" s="230"/>
      <c r="I35" s="230"/>
      <c r="J35" s="230"/>
      <c r="L35" s="230"/>
      <c r="M35" s="230"/>
      <c r="N35" s="943"/>
      <c r="O35" s="953">
        <f>O32+O33-O34</f>
        <v>-904755.08666159725</v>
      </c>
    </row>
    <row r="36" spans="1:17" s="317" customFormat="1" ht="10.8" thickBot="1">
      <c r="A36" s="1032" t="s">
        <v>2305</v>
      </c>
      <c r="F36" s="1033" t="e">
        <f>F10+F15-F20+F29+F32</f>
        <v>#REF!</v>
      </c>
      <c r="G36" s="230"/>
      <c r="H36" s="1033">
        <v>8710843</v>
      </c>
      <c r="I36" s="230"/>
      <c r="J36" s="1033" t="e">
        <f>J10+J19+J29+J32</f>
        <v>#REF!</v>
      </c>
      <c r="L36" s="1033" t="e">
        <f>L10+L19+L29+L32</f>
        <v>#REF!</v>
      </c>
      <c r="M36" s="230"/>
      <c r="N36" s="943"/>
    </row>
    <row r="37" spans="1:17" s="317" customFormat="1" ht="10.8" thickTop="1">
      <c r="F37" s="230"/>
      <c r="G37" s="230"/>
      <c r="H37" s="230"/>
      <c r="I37" s="230"/>
      <c r="J37" s="230"/>
      <c r="L37" s="230"/>
      <c r="M37" s="230"/>
      <c r="N37" s="943"/>
      <c r="O37" s="953"/>
    </row>
    <row r="38" spans="1:17" s="317" customFormat="1" ht="10.199999999999999">
      <c r="A38" s="213" t="s">
        <v>2377</v>
      </c>
      <c r="F38" s="1035"/>
      <c r="G38" s="1035"/>
      <c r="H38" s="1035"/>
      <c r="I38" s="1035"/>
      <c r="J38" s="1035"/>
      <c r="K38" s="1035"/>
      <c r="L38" s="1035"/>
      <c r="M38" s="1035"/>
      <c r="N38" s="943"/>
      <c r="O38" s="953"/>
    </row>
    <row r="39" spans="1:17" s="317" customFormat="1" ht="10.199999999999999">
      <c r="F39" s="1035"/>
      <c r="G39" s="1035"/>
      <c r="H39" s="1035"/>
      <c r="I39" s="1035"/>
      <c r="J39" s="1035"/>
      <c r="K39" s="1035"/>
      <c r="L39" s="1035"/>
      <c r="M39" s="1035"/>
      <c r="N39" s="943"/>
      <c r="O39" s="953"/>
    </row>
    <row r="40" spans="1:17" s="317" customFormat="1" ht="10.199999999999999">
      <c r="A40" s="1031" t="s">
        <v>2308</v>
      </c>
      <c r="F40" s="230"/>
      <c r="G40" s="230"/>
      <c r="H40" s="230"/>
      <c r="I40" s="230"/>
      <c r="J40" s="230"/>
      <c r="L40" s="230"/>
      <c r="M40" s="230"/>
      <c r="N40" s="943"/>
      <c r="O40" s="953"/>
    </row>
    <row r="41" spans="1:17" s="317" customFormat="1" ht="10.199999999999999">
      <c r="B41" s="317" t="s">
        <v>2309</v>
      </c>
      <c r="F41" s="230">
        <v>5996613</v>
      </c>
      <c r="G41" s="230"/>
      <c r="H41" s="230">
        <v>5996613</v>
      </c>
      <c r="I41" s="230"/>
      <c r="J41" s="230">
        <v>5160202.872314889</v>
      </c>
      <c r="L41" s="230">
        <f>L43-L42</f>
        <v>3445160</v>
      </c>
      <c r="M41" s="230"/>
      <c r="N41" s="943"/>
      <c r="O41" s="953"/>
    </row>
    <row r="42" spans="1:17" s="317" customFormat="1" ht="10.199999999999999">
      <c r="B42" s="317" t="s">
        <v>2310</v>
      </c>
      <c r="F42" s="230">
        <v>-656605</v>
      </c>
      <c r="G42" s="230"/>
      <c r="H42" s="230">
        <v>-656605</v>
      </c>
      <c r="I42" s="230"/>
      <c r="J42" s="230">
        <v>-435683</v>
      </c>
      <c r="L42" s="230">
        <v>128</v>
      </c>
      <c r="M42" s="230"/>
      <c r="N42" s="943"/>
      <c r="O42" s="953" t="e">
        <f>IS!#REF!</f>
        <v>#REF!</v>
      </c>
      <c r="P42" s="317" t="e">
        <f>IS!#REF!</f>
        <v>#REF!</v>
      </c>
      <c r="Q42" s="953" t="e">
        <f>O42-P42</f>
        <v>#REF!</v>
      </c>
    </row>
    <row r="43" spans="1:17" s="317" customFormat="1" ht="10.199999999999999">
      <c r="F43" s="1034">
        <f>SUM(F41:F42)</f>
        <v>5340008</v>
      </c>
      <c r="G43" s="230"/>
      <c r="H43" s="1034">
        <v>5340008</v>
      </c>
      <c r="I43" s="230"/>
      <c r="J43" s="1034">
        <f>SUM(J41:J42)</f>
        <v>4724519.872314889</v>
      </c>
      <c r="L43" s="1034">
        <v>3445288</v>
      </c>
      <c r="M43" s="230"/>
      <c r="N43" s="943"/>
      <c r="O43" s="953"/>
    </row>
    <row r="44" spans="1:17" s="317" customFormat="1" ht="10.199999999999999">
      <c r="A44" s="1031" t="s">
        <v>2358</v>
      </c>
      <c r="F44" s="230"/>
      <c r="G44" s="230"/>
      <c r="H44" s="230"/>
      <c r="I44" s="230"/>
      <c r="J44" s="230"/>
      <c r="L44" s="230"/>
      <c r="M44" s="230"/>
      <c r="N44" s="943"/>
      <c r="O44" s="953"/>
    </row>
    <row r="45" spans="1:17" s="317" customFormat="1" ht="10.199999999999999">
      <c r="B45" s="987" t="s">
        <v>2374</v>
      </c>
      <c r="F45" s="230" t="e">
        <f>IS!#REF!</f>
        <v>#REF!</v>
      </c>
      <c r="G45" s="230"/>
      <c r="H45" s="230">
        <v>0</v>
      </c>
      <c r="I45" s="230"/>
      <c r="J45" s="230" t="e">
        <f>F45-M45</f>
        <v>#REF!</v>
      </c>
      <c r="L45" s="230" t="e">
        <f>IS!#REF!+IS!#REF!</f>
        <v>#REF!</v>
      </c>
      <c r="M45" s="230">
        <v>-611630.0628000393</v>
      </c>
      <c r="N45" s="943"/>
      <c r="O45" s="953"/>
    </row>
    <row r="46" spans="1:17" s="317" customFormat="1" ht="10.199999999999999">
      <c r="B46" s="987" t="s">
        <v>2375</v>
      </c>
      <c r="F46" s="230" t="e">
        <f>IS!#REF!</f>
        <v>#REF!</v>
      </c>
      <c r="G46" s="230"/>
      <c r="H46" s="230">
        <v>0</v>
      </c>
      <c r="I46" s="230"/>
      <c r="J46" s="230" t="e">
        <f>F46-M46</f>
        <v>#REF!</v>
      </c>
      <c r="L46" s="230" t="e">
        <f>L47-L45</f>
        <v>#REF!</v>
      </c>
      <c r="M46" s="230">
        <v>-3858.0648850719444</v>
      </c>
      <c r="N46" s="943"/>
      <c r="O46" s="953"/>
    </row>
    <row r="47" spans="1:17" s="317" customFormat="1" ht="10.199999999999999">
      <c r="F47" s="1034" t="e">
        <f>SUM(F45:F46)</f>
        <v>#REF!</v>
      </c>
      <c r="G47" s="230"/>
      <c r="H47" s="1034">
        <v>0</v>
      </c>
      <c r="I47" s="230"/>
      <c r="J47" s="1034" t="e">
        <f>SUM(J45:J46)</f>
        <v>#REF!</v>
      </c>
      <c r="L47" s="1034" t="e">
        <f>IS!#REF!</f>
        <v>#REF!</v>
      </c>
      <c r="M47" s="230"/>
      <c r="N47" s="943"/>
      <c r="O47" s="953"/>
    </row>
    <row r="48" spans="1:17" s="317" customFormat="1" ht="10.199999999999999">
      <c r="F48" s="943"/>
      <c r="G48" s="230"/>
      <c r="H48" s="943"/>
      <c r="I48" s="230"/>
      <c r="J48" s="943"/>
      <c r="L48" s="943"/>
      <c r="M48" s="230"/>
      <c r="N48" s="943"/>
      <c r="O48" s="953"/>
    </row>
    <row r="49" spans="1:15" s="317" customFormat="1" ht="10.199999999999999">
      <c r="A49" s="317" t="str">
        <f>IS!A43</f>
        <v>Net (loss) / income for the period</v>
      </c>
      <c r="F49" s="230">
        <v>0</v>
      </c>
      <c r="G49" s="230"/>
      <c r="H49" s="230">
        <v>0</v>
      </c>
      <c r="I49" s="230"/>
      <c r="J49" s="230"/>
      <c r="L49" s="230"/>
      <c r="M49" s="230"/>
      <c r="N49" s="943"/>
      <c r="O49" s="953"/>
    </row>
    <row r="50" spans="1:15" s="317" customFormat="1" ht="10.199999999999999">
      <c r="F50" s="230"/>
      <c r="G50" s="230"/>
      <c r="H50" s="230"/>
      <c r="I50" s="230"/>
      <c r="J50" s="230"/>
      <c r="L50" s="230"/>
      <c r="M50" s="230"/>
      <c r="N50" s="943"/>
      <c r="O50" s="953"/>
    </row>
    <row r="51" spans="1:15" s="317" customFormat="1" ht="10.199999999999999">
      <c r="A51" s="317" t="s">
        <v>2311</v>
      </c>
      <c r="F51" s="230"/>
      <c r="G51" s="230"/>
      <c r="H51" s="230"/>
      <c r="I51" s="230"/>
      <c r="J51" s="230"/>
      <c r="L51" s="230"/>
      <c r="M51" s="230"/>
      <c r="N51" s="943"/>
      <c r="O51" s="953"/>
    </row>
    <row r="52" spans="1:15" s="317" customFormat="1" ht="10.199999999999999">
      <c r="A52" s="317" t="s">
        <v>2312</v>
      </c>
      <c r="F52" s="230">
        <v>0</v>
      </c>
      <c r="G52" s="230"/>
      <c r="H52" s="230">
        <v>0</v>
      </c>
      <c r="I52" s="230"/>
      <c r="J52" s="230">
        <v>0</v>
      </c>
      <c r="L52" s="230">
        <v>180497</v>
      </c>
      <c r="M52" s="230"/>
      <c r="N52" s="943"/>
      <c r="O52" s="953"/>
    </row>
    <row r="53" spans="1:15" s="317" customFormat="1" ht="10.199999999999999">
      <c r="F53" s="230"/>
      <c r="G53" s="230"/>
      <c r="H53" s="230"/>
      <c r="I53" s="230"/>
      <c r="J53" s="230"/>
      <c r="L53" s="230"/>
      <c r="M53" s="230"/>
      <c r="N53" s="943"/>
      <c r="O53" s="953"/>
    </row>
    <row r="54" spans="1:15" s="317" customFormat="1" ht="10.199999999999999">
      <c r="A54" s="317" t="s">
        <v>2313</v>
      </c>
      <c r="F54" s="230"/>
      <c r="G54" s="230"/>
      <c r="H54" s="230"/>
      <c r="I54" s="230"/>
      <c r="J54" s="230"/>
      <c r="L54" s="230"/>
      <c r="M54" s="230"/>
      <c r="N54" s="943"/>
      <c r="O54" s="953"/>
    </row>
    <row r="55" spans="1:15" s="317" customFormat="1" ht="10.199999999999999">
      <c r="A55" s="317" t="s">
        <v>2314</v>
      </c>
      <c r="F55" s="230">
        <v>0</v>
      </c>
      <c r="G55" s="230"/>
      <c r="H55" s="230">
        <v>0</v>
      </c>
      <c r="I55" s="230"/>
      <c r="J55" s="230">
        <v>0</v>
      </c>
      <c r="L55" s="230">
        <v>0</v>
      </c>
      <c r="M55" s="230"/>
      <c r="N55" s="943"/>
      <c r="O55" s="953"/>
    </row>
    <row r="56" spans="1:15" s="317" customFormat="1" ht="10.199999999999999">
      <c r="F56" s="230"/>
      <c r="G56" s="230"/>
      <c r="H56" s="230"/>
      <c r="I56" s="230"/>
      <c r="J56" s="230"/>
      <c r="L56" s="230"/>
      <c r="M56" s="230"/>
      <c r="N56" s="943"/>
      <c r="O56" s="953"/>
    </row>
    <row r="57" spans="1:15" s="317" customFormat="1" ht="10.8" thickBot="1">
      <c r="A57" s="1032" t="s">
        <v>2315</v>
      </c>
      <c r="F57" s="1033" t="e">
        <f>F43+F47+F52+F55+F49</f>
        <v>#REF!</v>
      </c>
      <c r="G57" s="230"/>
      <c r="H57" s="1033">
        <v>5340008</v>
      </c>
      <c r="I57" s="230"/>
      <c r="J57" s="1033" t="e">
        <f>J43+J47+J52+J55</f>
        <v>#REF!</v>
      </c>
      <c r="L57" s="1033" t="e">
        <f>L43+L47+L52+L55</f>
        <v>#REF!</v>
      </c>
      <c r="M57" s="230"/>
      <c r="N57" s="943"/>
      <c r="O57" s="953"/>
    </row>
    <row r="58" spans="1:15" s="317" customFormat="1" ht="10.8" thickTop="1">
      <c r="F58" s="230"/>
      <c r="G58" s="230"/>
      <c r="H58" s="230"/>
      <c r="I58" s="230"/>
      <c r="J58" s="230"/>
      <c r="L58" s="230"/>
      <c r="M58" s="230"/>
      <c r="N58" s="943"/>
      <c r="O58" s="953"/>
    </row>
    <row r="59" spans="1:15" s="317" customFormat="1" ht="10.199999999999999">
      <c r="A59" s="1031" t="s">
        <v>2316</v>
      </c>
      <c r="F59" s="230"/>
      <c r="G59" s="230"/>
      <c r="H59" s="230"/>
      <c r="I59" s="230"/>
      <c r="J59" s="230"/>
      <c r="L59" s="230"/>
      <c r="M59" s="230"/>
      <c r="N59" s="943"/>
      <c r="O59" s="953"/>
    </row>
    <row r="60" spans="1:15" s="317" customFormat="1" ht="10.199999999999999">
      <c r="B60" s="317" t="s">
        <v>2309</v>
      </c>
      <c r="F60" s="230" t="e">
        <f>F62-F61</f>
        <v>#REF!</v>
      </c>
      <c r="G60" s="230"/>
      <c r="H60" s="230">
        <v>5713098</v>
      </c>
      <c r="I60" s="230"/>
      <c r="J60" s="230" t="e">
        <f>J62-J61</f>
        <v>#REF!</v>
      </c>
      <c r="L60" s="230"/>
      <c r="M60" s="230"/>
      <c r="N60" s="943"/>
      <c r="O60" s="953"/>
    </row>
    <row r="61" spans="1:15" s="317" customFormat="1" ht="10.199999999999999">
      <c r="B61" s="987" t="s">
        <v>2368</v>
      </c>
      <c r="F61" s="230">
        <f>IS!F16</f>
        <v>-319538.68199999974</v>
      </c>
      <c r="G61" s="230"/>
      <c r="H61" s="230">
        <v>-373090</v>
      </c>
      <c r="I61" s="230"/>
      <c r="J61" s="230" t="e">
        <f>IS!#REF!</f>
        <v>#REF!</v>
      </c>
      <c r="L61" s="230"/>
      <c r="M61" s="230"/>
      <c r="N61" s="943"/>
      <c r="O61" s="953"/>
    </row>
    <row r="62" spans="1:15" s="317" customFormat="1" ht="10.8" thickBot="1">
      <c r="F62" s="1033" t="e">
        <f>F57</f>
        <v>#REF!</v>
      </c>
      <c r="G62" s="230"/>
      <c r="H62" s="1033">
        <v>5340008</v>
      </c>
      <c r="I62" s="230"/>
      <c r="J62" s="1033" t="e">
        <f>J57</f>
        <v>#REF!</v>
      </c>
      <c r="L62" s="230"/>
      <c r="M62" s="230"/>
      <c r="N62" s="943"/>
      <c r="O62" s="953"/>
    </row>
    <row r="63" spans="1:15" s="317" customFormat="1" ht="10.5" customHeight="1" thickTop="1">
      <c r="A63" s="950"/>
      <c r="F63" s="230"/>
      <c r="G63" s="230"/>
      <c r="H63" s="230"/>
      <c r="I63" s="230"/>
      <c r="J63" s="230"/>
      <c r="L63" s="230"/>
      <c r="M63" s="230"/>
      <c r="N63" s="943"/>
      <c r="O63" s="953">
        <f t="shared" ref="O63:O90" si="0">F63-J63</f>
        <v>0</v>
      </c>
    </row>
    <row r="64" spans="1:15" s="317" customFormat="1" ht="0.75" hidden="1" customHeight="1">
      <c r="A64" s="919" t="s">
        <v>1010</v>
      </c>
      <c r="F64" s="230"/>
      <c r="G64" s="230"/>
      <c r="H64" s="230"/>
      <c r="I64" s="230"/>
      <c r="J64" s="230"/>
      <c r="L64" s="230"/>
      <c r="M64" s="230"/>
      <c r="N64" s="943"/>
      <c r="O64" s="953">
        <f t="shared" si="0"/>
        <v>0</v>
      </c>
    </row>
    <row r="65" spans="1:15" s="317" customFormat="1" ht="10.199999999999999" hidden="1">
      <c r="A65" s="920" t="s">
        <v>1011</v>
      </c>
      <c r="F65" s="230"/>
      <c r="G65" s="230"/>
      <c r="H65" s="230"/>
      <c r="I65" s="230"/>
      <c r="J65" s="230"/>
      <c r="L65" s="230"/>
      <c r="M65" s="230"/>
      <c r="N65" s="943"/>
      <c r="O65" s="953">
        <f t="shared" si="0"/>
        <v>0</v>
      </c>
    </row>
    <row r="66" spans="1:15" s="317" customFormat="1" ht="10.199999999999999" hidden="1">
      <c r="A66" s="921" t="s">
        <v>1012</v>
      </c>
      <c r="F66" s="942"/>
      <c r="G66" s="230"/>
      <c r="H66" s="942"/>
      <c r="I66" s="230"/>
      <c r="J66" s="942"/>
      <c r="L66" s="942"/>
      <c r="M66" s="943"/>
      <c r="N66" s="943"/>
      <c r="O66" s="953">
        <f t="shared" si="0"/>
        <v>0</v>
      </c>
    </row>
    <row r="67" spans="1:15" s="317" customFormat="1" ht="10.199999999999999" hidden="1">
      <c r="A67" s="922" t="s">
        <v>1013</v>
      </c>
      <c r="F67" s="945"/>
      <c r="G67" s="230"/>
      <c r="H67" s="945"/>
      <c r="I67" s="230"/>
      <c r="J67" s="945"/>
      <c r="L67" s="945"/>
      <c r="M67" s="943"/>
      <c r="N67" s="943"/>
      <c r="O67" s="953">
        <f t="shared" si="0"/>
        <v>0</v>
      </c>
    </row>
    <row r="68" spans="1:15" s="317" customFormat="1" ht="10.199999999999999" hidden="1">
      <c r="A68" s="923"/>
      <c r="B68" s="924" t="s">
        <v>1095</v>
      </c>
      <c r="F68" s="945" t="e">
        <f>-IS!#REF!</f>
        <v>#REF!</v>
      </c>
      <c r="G68" s="230"/>
      <c r="H68" s="945">
        <v>0</v>
      </c>
      <c r="I68" s="230"/>
      <c r="J68" s="945" t="e">
        <f>ROUND(F68-N68,0)-0.5</f>
        <v>#REF!</v>
      </c>
      <c r="L68" s="945">
        <v>-36477</v>
      </c>
      <c r="M68" s="943"/>
      <c r="N68" s="943">
        <v>-8425.75</v>
      </c>
      <c r="O68" s="870" t="e">
        <f t="shared" si="0"/>
        <v>#REF!</v>
      </c>
    </row>
    <row r="69" spans="1:15" s="317" customFormat="1" ht="10.199999999999999" hidden="1">
      <c r="A69" s="923"/>
      <c r="B69" s="924" t="s">
        <v>1094</v>
      </c>
      <c r="F69" s="945" t="e">
        <f>-IS!#REF!</f>
        <v>#REF!</v>
      </c>
      <c r="G69" s="230"/>
      <c r="H69" s="945">
        <v>0</v>
      </c>
      <c r="I69" s="230"/>
      <c r="J69" s="945" t="e">
        <f>F69-N69-0.1</f>
        <v>#REF!</v>
      </c>
      <c r="L69" s="945">
        <v>2806</v>
      </c>
      <c r="M69" s="943"/>
      <c r="N69" s="943">
        <v>2100</v>
      </c>
      <c r="O69" s="953" t="e">
        <f t="shared" si="0"/>
        <v>#REF!</v>
      </c>
    </row>
    <row r="70" spans="1:15" s="317" customFormat="1" ht="10.199999999999999" hidden="1">
      <c r="A70" s="921" t="s">
        <v>1101</v>
      </c>
      <c r="F70" s="945"/>
      <c r="G70" s="230"/>
      <c r="H70" s="945"/>
      <c r="I70" s="230"/>
      <c r="J70" s="945"/>
      <c r="L70" s="945"/>
      <c r="M70" s="943"/>
      <c r="N70" s="943"/>
      <c r="O70" s="953">
        <f t="shared" si="0"/>
        <v>0</v>
      </c>
    </row>
    <row r="71" spans="1:15" s="317" customFormat="1" ht="10.199999999999999" hidden="1">
      <c r="A71" s="922" t="s">
        <v>1014</v>
      </c>
      <c r="F71" s="947">
        <f>-DS!$E$16</f>
        <v>0</v>
      </c>
      <c r="G71" s="230"/>
      <c r="H71" s="947">
        <v>0</v>
      </c>
      <c r="I71" s="230"/>
      <c r="J71" s="947">
        <f>ROUND(F71-N71,0)</f>
        <v>44101</v>
      </c>
      <c r="L71" s="947">
        <v>-255428</v>
      </c>
      <c r="M71" s="943"/>
      <c r="N71" s="943">
        <v>-44100.75</v>
      </c>
      <c r="O71" s="953">
        <f t="shared" si="0"/>
        <v>-44101</v>
      </c>
    </row>
    <row r="72" spans="1:15" s="317" customFormat="1" ht="10.199999999999999" hidden="1">
      <c r="A72" s="950"/>
      <c r="F72" s="230" t="e">
        <f>SUM(F66:F71)</f>
        <v>#REF!</v>
      </c>
      <c r="G72" s="230"/>
      <c r="H72" s="230">
        <v>0</v>
      </c>
      <c r="I72" s="230"/>
      <c r="J72" s="230" t="e">
        <f>SUM(J66:J71)</f>
        <v>#REF!</v>
      </c>
      <c r="L72" s="230">
        <f>SUM(L66:L71)</f>
        <v>-289099</v>
      </c>
      <c r="M72" s="230"/>
      <c r="N72" s="943">
        <f>SUM(N66:N71)</f>
        <v>-50426.5</v>
      </c>
      <c r="O72" s="953" t="e">
        <f t="shared" si="0"/>
        <v>#REF!</v>
      </c>
    </row>
    <row r="73" spans="1:15" s="317" customFormat="1" ht="10.199999999999999" hidden="1">
      <c r="A73" s="950"/>
      <c r="F73" s="230"/>
      <c r="G73" s="230"/>
      <c r="H73" s="230"/>
      <c r="I73" s="230"/>
      <c r="J73" s="230"/>
      <c r="L73" s="230"/>
      <c r="M73" s="230"/>
      <c r="N73" s="943"/>
      <c r="O73" s="953">
        <f t="shared" si="0"/>
        <v>0</v>
      </c>
    </row>
    <row r="74" spans="1:15" s="317" customFormat="1" ht="10.199999999999999" hidden="1">
      <c r="A74" s="919" t="s">
        <v>1100</v>
      </c>
      <c r="F74" s="230"/>
      <c r="G74" s="230"/>
      <c r="H74" s="230"/>
      <c r="I74" s="230"/>
      <c r="J74" s="230"/>
      <c r="L74" s="230"/>
      <c r="M74" s="230"/>
      <c r="N74" s="943"/>
      <c r="O74" s="953">
        <f t="shared" si="0"/>
        <v>0</v>
      </c>
    </row>
    <row r="75" spans="1:15" s="317" customFormat="1" ht="10.199999999999999" hidden="1">
      <c r="A75" s="920" t="s">
        <v>1090</v>
      </c>
      <c r="F75" s="230"/>
      <c r="G75" s="230"/>
      <c r="H75" s="230"/>
      <c r="I75" s="230"/>
      <c r="J75" s="230"/>
      <c r="L75" s="230"/>
      <c r="M75" s="230"/>
      <c r="N75" s="943"/>
      <c r="O75" s="953">
        <f t="shared" si="0"/>
        <v>0</v>
      </c>
    </row>
    <row r="76" spans="1:15" s="317" customFormat="1" ht="10.5" hidden="1" customHeight="1">
      <c r="A76" s="925" t="s">
        <v>1089</v>
      </c>
      <c r="F76" s="230">
        <f>-F71</f>
        <v>0</v>
      </c>
      <c r="G76" s="230"/>
      <c r="H76" s="230">
        <v>0</v>
      </c>
      <c r="I76" s="230"/>
      <c r="J76" s="230">
        <f>ROUND(F76-N76,0)</f>
        <v>-44101</v>
      </c>
      <c r="L76" s="230">
        <v>255428</v>
      </c>
      <c r="M76" s="230"/>
      <c r="N76" s="943">
        <v>44100.75</v>
      </c>
      <c r="O76" s="953">
        <f t="shared" si="0"/>
        <v>44101</v>
      </c>
    </row>
    <row r="77" spans="1:15" s="317" customFormat="1" ht="10.199999999999999" hidden="1">
      <c r="A77" s="950"/>
      <c r="F77" s="230"/>
      <c r="G77" s="230"/>
      <c r="H77" s="230"/>
      <c r="I77" s="230"/>
      <c r="J77" s="230"/>
      <c r="L77" s="230"/>
      <c r="M77" s="230"/>
      <c r="N77" s="943"/>
      <c r="O77" s="953">
        <f t="shared" si="0"/>
        <v>0</v>
      </c>
    </row>
    <row r="78" spans="1:15" s="317" customFormat="1" ht="10.199999999999999" hidden="1">
      <c r="A78" s="317" t="s">
        <v>1015</v>
      </c>
      <c r="F78" s="942">
        <f>IS!$F$11</f>
        <v>-594619</v>
      </c>
      <c r="G78" s="230"/>
      <c r="H78" s="942">
        <v>-619149</v>
      </c>
      <c r="I78" s="230"/>
      <c r="J78" s="942">
        <f>F78-N78</f>
        <v>-963781</v>
      </c>
      <c r="L78" s="942">
        <v>14084</v>
      </c>
      <c r="M78" s="943"/>
      <c r="N78" s="943">
        <v>369162</v>
      </c>
      <c r="O78" s="953">
        <f t="shared" si="0"/>
        <v>369162</v>
      </c>
    </row>
    <row r="79" spans="1:15" s="317" customFormat="1" ht="10.199999999999999" hidden="1">
      <c r="F79" s="945"/>
      <c r="G79" s="230"/>
      <c r="H79" s="945"/>
      <c r="I79" s="230"/>
      <c r="J79" s="945"/>
      <c r="L79" s="945"/>
      <c r="M79" s="943"/>
      <c r="N79" s="943"/>
      <c r="O79" s="988">
        <f t="shared" si="0"/>
        <v>0</v>
      </c>
    </row>
    <row r="80" spans="1:15" s="317" customFormat="1" ht="10.199999999999999" hidden="1">
      <c r="A80" s="317" t="s">
        <v>1098</v>
      </c>
      <c r="F80" s="968"/>
      <c r="H80" s="968"/>
      <c r="J80" s="968"/>
      <c r="L80" s="969"/>
      <c r="M80" s="937"/>
      <c r="N80" s="937"/>
      <c r="O80" s="953">
        <f t="shared" si="0"/>
        <v>0</v>
      </c>
    </row>
    <row r="81" spans="1:18" s="317" customFormat="1" ht="10.199999999999999" hidden="1">
      <c r="A81" s="950" t="s">
        <v>1016</v>
      </c>
      <c r="F81" s="968"/>
      <c r="G81" s="941"/>
      <c r="H81" s="968"/>
      <c r="I81" s="941"/>
      <c r="J81" s="968"/>
      <c r="L81" s="946"/>
      <c r="M81" s="941"/>
      <c r="N81" s="941"/>
      <c r="O81" s="953">
        <f t="shared" si="0"/>
        <v>0</v>
      </c>
    </row>
    <row r="82" spans="1:18" s="317" customFormat="1" ht="10.199999999999999" hidden="1">
      <c r="A82" s="950" t="s">
        <v>1017</v>
      </c>
      <c r="F82" s="968">
        <f>IS!$F$16</f>
        <v>-319538.68199999974</v>
      </c>
      <c r="G82" s="941"/>
      <c r="H82" s="968">
        <v>-373090</v>
      </c>
      <c r="I82" s="941"/>
      <c r="J82" s="968">
        <f>ROUND(F82-N82,0)</f>
        <v>-317361</v>
      </c>
      <c r="L82" s="968">
        <v>87096</v>
      </c>
      <c r="M82" s="938"/>
      <c r="N82" s="938">
        <v>-2177.75</v>
      </c>
      <c r="O82" s="953">
        <f t="shared" si="0"/>
        <v>-2177.6819999997388</v>
      </c>
    </row>
    <row r="83" spans="1:18" s="317" customFormat="1" ht="10.199999999999999" hidden="1">
      <c r="A83" s="970"/>
      <c r="F83" s="968"/>
      <c r="G83" s="941"/>
      <c r="H83" s="968"/>
      <c r="I83" s="941"/>
      <c r="J83" s="968"/>
      <c r="L83" s="946"/>
      <c r="M83" s="941"/>
      <c r="N83" s="941"/>
      <c r="O83" s="953">
        <f t="shared" si="0"/>
        <v>0</v>
      </c>
    </row>
    <row r="84" spans="1:18" s="317" customFormat="1" ht="10.199999999999999" hidden="1">
      <c r="A84" s="314" t="s">
        <v>1018</v>
      </c>
      <c r="F84" s="945" t="e">
        <f>IS!F12+IS!F13+IS!F14-IS!F37+IS!#REF!+IS!#REF!</f>
        <v>#REF!</v>
      </c>
      <c r="G84" s="944"/>
      <c r="H84" s="945">
        <v>8880</v>
      </c>
      <c r="I84" s="944"/>
      <c r="J84" s="945" t="e">
        <f>ROUND(F84-N84,0)</f>
        <v>#REF!</v>
      </c>
      <c r="L84" s="968">
        <v>56115</v>
      </c>
      <c r="M84" s="938"/>
      <c r="N84" s="943">
        <v>43407.75</v>
      </c>
      <c r="O84" s="953" t="e">
        <f t="shared" si="0"/>
        <v>#REF!</v>
      </c>
    </row>
    <row r="85" spans="1:18" s="317" customFormat="1" ht="10.199999999999999" hidden="1">
      <c r="A85" s="314"/>
      <c r="F85" s="945"/>
      <c r="G85" s="944"/>
      <c r="H85" s="945"/>
      <c r="I85" s="944"/>
      <c r="J85" s="945"/>
      <c r="L85" s="946"/>
      <c r="M85" s="941"/>
      <c r="N85" s="943"/>
      <c r="O85" s="953">
        <f t="shared" si="0"/>
        <v>0</v>
      </c>
    </row>
    <row r="86" spans="1:18" s="317" customFormat="1" ht="10.199999999999999" hidden="1">
      <c r="A86" s="314" t="s">
        <v>1093</v>
      </c>
      <c r="F86" s="945"/>
      <c r="G86" s="944"/>
      <c r="H86" s="945"/>
      <c r="I86" s="944"/>
      <c r="J86" s="945"/>
      <c r="L86" s="946"/>
      <c r="M86" s="941"/>
      <c r="N86" s="943"/>
      <c r="O86" s="953">
        <f t="shared" si="0"/>
        <v>0</v>
      </c>
    </row>
    <row r="87" spans="1:18" s="317" customFormat="1" ht="10.199999999999999" hidden="1">
      <c r="A87" s="314" t="s">
        <v>1019</v>
      </c>
      <c r="F87" s="947" t="e">
        <f>OCI!#REF!</f>
        <v>#REF!</v>
      </c>
      <c r="G87" s="944"/>
      <c r="H87" s="947">
        <v>-86344</v>
      </c>
      <c r="I87" s="944"/>
      <c r="J87" s="947" t="e">
        <f>OCI!#REF!</f>
        <v>#REF!</v>
      </c>
      <c r="L87" s="973" t="e">
        <f>OCI!#REF!</f>
        <v>#REF!</v>
      </c>
      <c r="M87" s="938"/>
      <c r="N87" s="943">
        <v>295606.25</v>
      </c>
      <c r="O87" s="953" t="e">
        <f t="shared" si="0"/>
        <v>#REF!</v>
      </c>
    </row>
    <row r="88" spans="1:18" s="317" customFormat="1" ht="10.199999999999999" hidden="1">
      <c r="A88" s="317" t="s">
        <v>1102</v>
      </c>
      <c r="F88" s="230" t="e">
        <f>SUM(F78:F87)</f>
        <v>#REF!</v>
      </c>
      <c r="G88" s="949"/>
      <c r="H88" s="230">
        <v>-1069703</v>
      </c>
      <c r="I88" s="949"/>
      <c r="J88" s="230" t="e">
        <f>SUM(J78:J87)</f>
        <v>#REF!</v>
      </c>
      <c r="L88" s="955" t="e">
        <f>SUM(L78:L87)</f>
        <v>#REF!</v>
      </c>
      <c r="M88" s="943"/>
      <c r="N88" s="943">
        <f>SUM(N78:N87)</f>
        <v>705998.25</v>
      </c>
      <c r="O88" s="953" t="e">
        <f t="shared" si="0"/>
        <v>#REF!</v>
      </c>
    </row>
    <row r="89" spans="1:18" s="317" customFormat="1" ht="10.199999999999999" hidden="1">
      <c r="F89" s="230"/>
      <c r="G89" s="230"/>
      <c r="H89" s="230"/>
      <c r="I89" s="230"/>
      <c r="J89" s="230"/>
      <c r="L89" s="230"/>
      <c r="M89" s="230"/>
      <c r="N89" s="943"/>
      <c r="O89" s="953">
        <f t="shared" si="0"/>
        <v>0</v>
      </c>
    </row>
    <row r="90" spans="1:18" s="317" customFormat="1" ht="10.8" hidden="1" thickBot="1">
      <c r="A90" s="213" t="s">
        <v>66</v>
      </c>
      <c r="B90" s="213"/>
      <c r="C90" s="213"/>
      <c r="D90" s="213"/>
      <c r="E90" s="213"/>
      <c r="F90" s="1083" t="e">
        <f>F88+F76+F72+F19+F10</f>
        <v>#REF!</v>
      </c>
      <c r="G90" s="941"/>
      <c r="H90" s="1083">
        <v>8908200.0337259248</v>
      </c>
      <c r="I90" s="941"/>
      <c r="J90" s="974" t="e">
        <f>J88+J76+J72+J19+J10</f>
        <v>#REF!</v>
      </c>
      <c r="L90" s="954" t="e">
        <f>L88+L76+L72+L19+L10</f>
        <v>#REF!</v>
      </c>
      <c r="M90" s="1024"/>
      <c r="N90" s="954">
        <f>N88+N76+N72+N19+N10</f>
        <v>7910020.5</v>
      </c>
      <c r="O90" s="953" t="e">
        <f t="shared" si="0"/>
        <v>#REF!</v>
      </c>
    </row>
    <row r="91" spans="1:18" s="317" customFormat="1" ht="10.199999999999999">
      <c r="A91" s="1031" t="s">
        <v>2306</v>
      </c>
      <c r="F91" s="1085">
        <v>102.50165971109922</v>
      </c>
      <c r="G91" s="1084"/>
      <c r="H91" s="1085">
        <v>102.50165971109922</v>
      </c>
      <c r="I91" s="941"/>
      <c r="J91" s="938"/>
      <c r="L91" s="941"/>
      <c r="M91" s="941"/>
      <c r="N91" s="941"/>
      <c r="O91" s="953"/>
    </row>
    <row r="92" spans="1:18" s="317" customFormat="1" ht="10.199999999999999">
      <c r="F92" s="1035"/>
      <c r="G92" s="1035"/>
      <c r="H92" s="1035"/>
      <c r="I92" s="941"/>
      <c r="J92" s="938"/>
      <c r="L92" s="941"/>
      <c r="M92" s="941"/>
      <c r="N92" s="941"/>
      <c r="O92" s="953"/>
    </row>
    <row r="93" spans="1:18" s="317" customFormat="1" ht="10.199999999999999">
      <c r="A93" s="1031" t="s">
        <v>2307</v>
      </c>
      <c r="F93" s="1085">
        <v>91.01</v>
      </c>
      <c r="G93" s="1084"/>
      <c r="H93" s="1085">
        <v>91.01</v>
      </c>
      <c r="I93" s="941"/>
      <c r="J93" s="938"/>
      <c r="L93" s="941"/>
      <c r="M93" s="941"/>
      <c r="N93" s="941"/>
      <c r="O93" s="953"/>
    </row>
    <row r="94" spans="1:18">
      <c r="N94" s="816"/>
    </row>
    <row r="95" spans="1:18">
      <c r="A95" s="244" t="str">
        <f>BS!$A$43</f>
        <v>The annexed notes 1 to 15 form an integral part of these interim financial statements.</v>
      </c>
      <c r="I95" s="816"/>
      <c r="J95" s="816"/>
      <c r="K95" s="816"/>
      <c r="L95" s="816"/>
      <c r="M95" s="816"/>
      <c r="N95" s="816"/>
      <c r="O95" s="816"/>
      <c r="P95" s="816"/>
      <c r="Q95" s="816"/>
      <c r="R95" s="816"/>
    </row>
    <row r="96" spans="1:18">
      <c r="I96" s="816"/>
      <c r="J96" s="816"/>
      <c r="K96" s="816"/>
      <c r="L96" s="816"/>
      <c r="M96" s="816"/>
      <c r="N96" s="816"/>
      <c r="O96" s="816"/>
      <c r="P96" s="816"/>
      <c r="Q96" s="816"/>
      <c r="R96" s="816"/>
    </row>
    <row r="97" spans="1:18">
      <c r="I97" s="816"/>
      <c r="J97" s="816"/>
      <c r="K97" s="816"/>
      <c r="L97" s="816"/>
      <c r="M97" s="816"/>
      <c r="N97" s="816"/>
      <c r="O97" s="816"/>
      <c r="P97" s="816"/>
      <c r="Q97" s="816"/>
      <c r="R97" s="816"/>
    </row>
    <row r="98" spans="1:18" s="990" customFormat="1" ht="12">
      <c r="A98" s="989">
        <f>BS!$A$45</f>
        <v>0</v>
      </c>
      <c r="B98" s="989"/>
      <c r="C98" s="989"/>
      <c r="D98" s="989"/>
      <c r="E98" s="989"/>
      <c r="F98" s="989"/>
      <c r="G98" s="989"/>
      <c r="H98" s="989"/>
      <c r="I98" s="989"/>
      <c r="J98" s="989"/>
      <c r="K98" s="989"/>
    </row>
    <row r="99" spans="1:18" s="990" customFormat="1" ht="12">
      <c r="A99" s="991" t="str">
        <f>BS!$A$46</f>
        <v>For MCB-Arif Habib Savings and Investments Limited</v>
      </c>
      <c r="B99" s="991"/>
      <c r="C99" s="991"/>
      <c r="D99" s="991"/>
      <c r="E99" s="991"/>
      <c r="F99" s="991"/>
      <c r="G99" s="991"/>
      <c r="H99" s="991"/>
      <c r="I99" s="991"/>
      <c r="J99" s="991"/>
      <c r="K99" s="991"/>
      <c r="L99" s="991"/>
      <c r="M99" s="991"/>
    </row>
    <row r="100" spans="1:18" s="1003" customFormat="1" ht="12">
      <c r="A100" s="1001"/>
      <c r="B100" s="994"/>
      <c r="C100" s="994"/>
      <c r="D100" s="994"/>
      <c r="E100" s="994"/>
      <c r="F100" s="995"/>
      <c r="G100" s="994"/>
      <c r="H100" s="998"/>
      <c r="I100" s="997"/>
      <c r="J100" s="994"/>
      <c r="K100" s="998"/>
      <c r="L100" s="1002"/>
      <c r="M100" s="1002"/>
    </row>
    <row r="101" spans="1:18" s="1003" customFormat="1" ht="12">
      <c r="B101" s="994"/>
      <c r="C101" s="994"/>
      <c r="D101" s="994"/>
      <c r="E101" s="994"/>
      <c r="F101" s="995"/>
      <c r="G101" s="994"/>
      <c r="H101" s="998"/>
      <c r="I101" s="997"/>
      <c r="J101" s="994"/>
      <c r="K101" s="998"/>
      <c r="L101" s="1002"/>
      <c r="M101" s="1002"/>
    </row>
    <row r="102" spans="1:18" s="1003" customFormat="1" ht="12">
      <c r="B102" s="994"/>
      <c r="C102" s="994"/>
      <c r="D102" s="994"/>
      <c r="E102" s="994"/>
      <c r="F102" s="995"/>
      <c r="G102" s="994"/>
      <c r="H102" s="998"/>
      <c r="I102" s="997"/>
      <c r="J102" s="994"/>
      <c r="K102" s="998"/>
      <c r="L102" s="1002"/>
      <c r="M102" s="1002"/>
    </row>
    <row r="103" spans="1:18" s="1003" customFormat="1" ht="12">
      <c r="B103" s="994"/>
      <c r="C103" s="994"/>
      <c r="D103" s="994"/>
      <c r="E103" s="994"/>
      <c r="F103" s="995"/>
      <c r="G103" s="994"/>
      <c r="H103" s="998"/>
      <c r="I103" s="997"/>
      <c r="J103" s="994"/>
      <c r="K103" s="998"/>
      <c r="L103" s="1002"/>
      <c r="M103" s="1002"/>
    </row>
    <row r="104" spans="1:18" s="1003" customFormat="1" ht="12">
      <c r="A104" s="992" t="str">
        <f>BS!$A$53</f>
        <v>Chief Executive Officer</v>
      </c>
      <c r="B104" s="993"/>
      <c r="C104" s="994"/>
      <c r="D104" s="994"/>
      <c r="E104" s="994"/>
      <c r="F104" s="995"/>
      <c r="G104" s="994"/>
      <c r="H104" s="996"/>
      <c r="I104" s="997"/>
      <c r="J104" s="994"/>
      <c r="K104" s="998"/>
      <c r="L104" s="1002"/>
      <c r="M104" s="1002"/>
    </row>
    <row r="105" spans="1:18" s="1003" customFormat="1" ht="12">
      <c r="A105" s="999">
        <f>BS!$A$54</f>
        <v>0</v>
      </c>
      <c r="B105" s="993"/>
      <c r="C105" s="994"/>
      <c r="D105" s="994"/>
      <c r="E105" s="994"/>
      <c r="F105" s="995"/>
      <c r="G105" s="994"/>
      <c r="H105" s="1000"/>
      <c r="I105" s="997"/>
      <c r="J105" s="994"/>
      <c r="K105" s="998"/>
      <c r="L105" s="1002"/>
      <c r="M105" s="1002"/>
    </row>
    <row r="553" spans="1:12">
      <c r="B553" s="2422" t="s">
        <v>2408</v>
      </c>
      <c r="C553" s="2422"/>
      <c r="D553" s="2422"/>
      <c r="E553" s="2422"/>
      <c r="F553" s="2422"/>
      <c r="G553" s="2422"/>
      <c r="H553" s="2422"/>
      <c r="I553" s="2422"/>
      <c r="J553" s="2422"/>
      <c r="K553" s="2422"/>
      <c r="L553" s="2422"/>
    </row>
    <row r="554" spans="1:12">
      <c r="B554" s="2422"/>
      <c r="C554" s="2422"/>
      <c r="D554" s="2422"/>
      <c r="E554" s="2422"/>
      <c r="F554" s="2422"/>
      <c r="G554" s="2422"/>
      <c r="H554" s="2422"/>
      <c r="I554" s="2422"/>
      <c r="J554" s="2422"/>
      <c r="K554" s="2422"/>
      <c r="L554" s="2422"/>
    </row>
    <row r="555" spans="1:12">
      <c r="B555" s="2422"/>
      <c r="C555" s="2422"/>
      <c r="D555" s="2422"/>
      <c r="E555" s="2422"/>
      <c r="F555" s="2422"/>
      <c r="G555" s="2422"/>
      <c r="H555" s="2422"/>
      <c r="I555" s="2422"/>
      <c r="J555" s="2422"/>
      <c r="K555" s="2422"/>
      <c r="L555" s="2422"/>
    </row>
    <row r="557" spans="1:12">
      <c r="A557" s="845">
        <f>A553+0.1</f>
        <v>0.1</v>
      </c>
    </row>
    <row r="694" spans="3:3">
      <c r="C694" s="845" t="s">
        <v>2409</v>
      </c>
    </row>
    <row r="708" spans="3:3">
      <c r="C708" s="845" t="s">
        <v>2410</v>
      </c>
    </row>
  </sheetData>
  <mergeCells count="7">
    <mergeCell ref="B553:L555"/>
    <mergeCell ref="F5:H5"/>
    <mergeCell ref="J5:L5"/>
    <mergeCell ref="F6:H6"/>
    <mergeCell ref="J6:L6"/>
    <mergeCell ref="F8:I8"/>
    <mergeCell ref="J8:M8"/>
  </mergeCells>
  <printOptions horizontalCentered="1"/>
  <pageMargins left="0.75" right="0.5" top="0.5" bottom="0.4" header="0.28999999999999998" footer="0.5"/>
  <pageSetup paperSize="9" scale="89" fitToHeight="0" orientation="portrait" r:id="rId1"/>
  <headerFooter alignWithMargins="0"/>
  <ignoredErrors>
    <ignoredError sqref="G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A7" sqref="A7"/>
    </sheetView>
  </sheetViews>
  <sheetFormatPr defaultRowHeight="15.6"/>
  <sheetData>
    <row r="1" spans="1:14">
      <c r="A1" s="2424" t="s">
        <v>2418</v>
      </c>
      <c r="B1" s="2424"/>
      <c r="C1" s="2424"/>
      <c r="D1" s="2424"/>
      <c r="E1" s="2424"/>
      <c r="F1" s="2424"/>
      <c r="G1" s="2424"/>
      <c r="H1" s="2424"/>
      <c r="I1" s="2424"/>
      <c r="J1" s="2424"/>
      <c r="K1" s="2424"/>
      <c r="L1" s="2424"/>
      <c r="M1" s="2424"/>
      <c r="N1" s="2424"/>
    </row>
    <row r="2" spans="1:14">
      <c r="A2" s="2424"/>
      <c r="B2" s="2424"/>
      <c r="C2" s="2424"/>
      <c r="D2" s="2424"/>
      <c r="E2" s="2424"/>
      <c r="F2" s="2424"/>
      <c r="G2" s="2424"/>
      <c r="H2" s="2424"/>
      <c r="I2" s="2424"/>
      <c r="J2" s="2424"/>
      <c r="K2" s="2424"/>
      <c r="L2" s="2424"/>
      <c r="M2" s="2424"/>
      <c r="N2" s="2424"/>
    </row>
    <row r="3" spans="1:14">
      <c r="A3" s="2424"/>
      <c r="B3" s="2424"/>
      <c r="C3" s="2424"/>
      <c r="D3" s="2424"/>
      <c r="E3" s="2424"/>
      <c r="F3" s="2424"/>
      <c r="G3" s="2424"/>
      <c r="H3" s="2424"/>
      <c r="I3" s="2424"/>
      <c r="J3" s="2424"/>
      <c r="K3" s="2424"/>
      <c r="L3" s="2424"/>
      <c r="M3" s="2424"/>
      <c r="N3" s="2424"/>
    </row>
    <row r="4" spans="1:14">
      <c r="A4" s="2424"/>
      <c r="B4" s="2424"/>
      <c r="C4" s="2424"/>
      <c r="D4" s="2424"/>
      <c r="E4" s="2424"/>
      <c r="F4" s="2424"/>
      <c r="G4" s="2424"/>
      <c r="H4" s="2424"/>
      <c r="I4" s="2424"/>
      <c r="J4" s="2424"/>
      <c r="K4" s="2424"/>
      <c r="L4" s="2424"/>
      <c r="M4" s="2424"/>
      <c r="N4" s="2424"/>
    </row>
    <row r="5" spans="1:14">
      <c r="A5" s="2424"/>
      <c r="B5" s="2424"/>
      <c r="C5" s="2424"/>
      <c r="D5" s="2424"/>
      <c r="E5" s="2424"/>
      <c r="F5" s="2424"/>
      <c r="G5" s="2424"/>
      <c r="H5" s="2424"/>
      <c r="I5" s="2424"/>
      <c r="J5" s="2424"/>
      <c r="K5" s="2424"/>
      <c r="L5" s="2424"/>
      <c r="M5" s="2424"/>
      <c r="N5" s="2424"/>
    </row>
    <row r="6" spans="1:14">
      <c r="A6" s="2424"/>
      <c r="B6" s="2424"/>
      <c r="C6" s="2424"/>
      <c r="D6" s="2424"/>
      <c r="E6" s="2424"/>
      <c r="F6" s="2424"/>
      <c r="G6" s="2424"/>
      <c r="H6" s="2424"/>
      <c r="I6" s="2424"/>
      <c r="J6" s="2424"/>
      <c r="K6" s="2424"/>
      <c r="L6" s="2424"/>
      <c r="M6" s="2424"/>
      <c r="N6" s="2424"/>
    </row>
  </sheetData>
  <mergeCells count="1">
    <mergeCell ref="A1:N6"/>
  </mergeCells>
  <pageMargins left="0.7" right="0.7" top="0.75" bottom="0.75" header="0.3" footer="0.3"/>
  <pageSetup paperSize="9" orientation="portrait" horizontalDpi="30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sheetPr>
  <dimension ref="A1:XFD713"/>
  <sheetViews>
    <sheetView showGridLines="0" zoomScaleNormal="100" zoomScaleSheetLayoutView="120" workbookViewId="0">
      <selection activeCell="D6" sqref="D6:D12"/>
    </sheetView>
  </sheetViews>
  <sheetFormatPr defaultColWidth="10.09765625" defaultRowHeight="13.2"/>
  <cols>
    <col min="1" max="1" width="5.09765625" style="1179" customWidth="1"/>
    <col min="2" max="2" width="25" style="1179" customWidth="1"/>
    <col min="3" max="4" width="8.09765625" style="1190" customWidth="1"/>
    <col min="5" max="5" width="7.09765625" style="1190" customWidth="1"/>
    <col min="6" max="6" width="7.59765625" style="1190" customWidth="1"/>
    <col min="7" max="8" width="8.09765625" style="1190" customWidth="1"/>
    <col min="9" max="9" width="8.5" style="1190" customWidth="1"/>
    <col min="10" max="10" width="9" style="1190" customWidth="1"/>
    <col min="11" max="11" width="5.09765625" style="1179" customWidth="1"/>
    <col min="12" max="16" width="5.59765625" style="1179" customWidth="1"/>
    <col min="17" max="17" width="10.59765625" style="1188" customWidth="1"/>
    <col min="18" max="18" width="10" style="1179" customWidth="1"/>
    <col min="19" max="19" width="7.59765625" style="1179" customWidth="1"/>
    <col min="20" max="20" width="10" style="1179" customWidth="1"/>
    <col min="21" max="21" width="7.59765625" style="1179" customWidth="1"/>
    <col min="22" max="22" width="13" style="1179" customWidth="1"/>
    <col min="23" max="23" width="9.09765625" style="1179" customWidth="1"/>
    <col min="24" max="24" width="10.09765625" style="1188" customWidth="1"/>
    <col min="25" max="47" width="10.09765625" style="1179" customWidth="1"/>
    <col min="48" max="16384" width="10.09765625" style="1179"/>
  </cols>
  <sheetData>
    <row r="1" spans="1:25">
      <c r="A1" s="1175" t="e">
        <f>#REF!+1</f>
        <v>#REF!</v>
      </c>
      <c r="B1" s="1176"/>
      <c r="C1" s="1177"/>
      <c r="D1" s="1177"/>
      <c r="E1" s="1177"/>
      <c r="F1" s="1177"/>
      <c r="G1" s="1177"/>
      <c r="H1" s="1177"/>
      <c r="I1" s="1177"/>
      <c r="J1" s="1177"/>
      <c r="K1" s="1176"/>
      <c r="L1" s="1176"/>
      <c r="M1" s="1176"/>
      <c r="N1" s="1176"/>
      <c r="O1" s="1176"/>
      <c r="P1" s="1176"/>
      <c r="Q1" s="1178"/>
      <c r="R1" s="1176"/>
      <c r="S1" s="1176"/>
      <c r="T1" s="1176"/>
      <c r="U1" s="1176"/>
      <c r="X1" s="1179"/>
    </row>
    <row r="2" spans="1:25">
      <c r="A2" s="1180">
        <v>5.0999999999999996</v>
      </c>
      <c r="B2" s="1180" t="s">
        <v>987</v>
      </c>
      <c r="C2" s="1181"/>
      <c r="D2" s="1181"/>
      <c r="E2" s="1181"/>
      <c r="F2" s="1181"/>
      <c r="G2" s="1181"/>
      <c r="H2" s="1181"/>
      <c r="I2" s="1181"/>
      <c r="J2" s="1181"/>
      <c r="K2" s="1176"/>
      <c r="L2" s="1176"/>
      <c r="M2" s="1176"/>
      <c r="N2" s="1176"/>
      <c r="O2" s="1176"/>
      <c r="P2" s="1176"/>
      <c r="Q2" s="1178"/>
      <c r="R2" s="1176"/>
      <c r="S2" s="1176"/>
      <c r="T2" s="1176"/>
      <c r="U2" s="1176"/>
      <c r="X2" s="1179"/>
    </row>
    <row r="4" spans="1:25">
      <c r="A4" s="174"/>
      <c r="B4" s="1182" t="s">
        <v>1106</v>
      </c>
      <c r="C4" s="1183"/>
      <c r="D4" s="1184"/>
      <c r="E4" s="1184"/>
      <c r="F4" s="1184"/>
      <c r="G4" s="1184"/>
      <c r="H4" s="1184"/>
      <c r="I4" s="1185"/>
      <c r="J4" s="1185"/>
      <c r="K4" s="1186"/>
      <c r="L4" s="1186"/>
      <c r="M4" s="1182"/>
      <c r="N4" s="1182"/>
      <c r="O4" s="1182"/>
      <c r="P4" s="1182"/>
      <c r="Q4" s="1187"/>
      <c r="R4" s="1182"/>
      <c r="S4" s="1182"/>
      <c r="T4" s="1182"/>
      <c r="U4" s="1182"/>
    </row>
    <row r="5" spans="1:25">
      <c r="A5" s="1189"/>
      <c r="D5" s="1184"/>
      <c r="E5" s="1184"/>
      <c r="F5" s="1184"/>
      <c r="G5" s="1184"/>
      <c r="H5" s="1184"/>
      <c r="I5" s="1191"/>
      <c r="J5" s="1191"/>
      <c r="K5" s="1186"/>
      <c r="L5" s="1186"/>
      <c r="M5" s="1182"/>
      <c r="N5" s="1182"/>
      <c r="O5" s="1182"/>
      <c r="P5" s="1182"/>
      <c r="Q5" s="1187"/>
      <c r="R5" s="1182"/>
      <c r="S5" s="1182"/>
      <c r="T5" s="1182"/>
      <c r="U5" s="1182"/>
    </row>
    <row r="6" spans="1:25" s="1195" customFormat="1" ht="13.8">
      <c r="A6" s="1192"/>
      <c r="B6" s="2449" t="s">
        <v>116</v>
      </c>
      <c r="C6" s="2440" t="s">
        <v>2441</v>
      </c>
      <c r="D6" s="2440" t="s">
        <v>130</v>
      </c>
      <c r="E6" s="2440" t="s">
        <v>119</v>
      </c>
      <c r="F6" s="2440" t="s">
        <v>2412</v>
      </c>
      <c r="G6" s="2440" t="s">
        <v>2442</v>
      </c>
      <c r="H6" s="2449" t="s">
        <v>2442</v>
      </c>
      <c r="I6" s="2455"/>
      <c r="J6" s="2450"/>
      <c r="K6" s="2449" t="s">
        <v>310</v>
      </c>
      <c r="L6" s="2450"/>
      <c r="M6" s="2453" t="s">
        <v>709</v>
      </c>
      <c r="N6" s="1193"/>
      <c r="O6" s="1193"/>
      <c r="P6" s="1193"/>
      <c r="Q6" s="1194"/>
      <c r="R6" s="1193"/>
      <c r="S6" s="1193"/>
      <c r="T6" s="1193"/>
      <c r="U6" s="1193"/>
      <c r="W6" s="1196" t="s">
        <v>167</v>
      </c>
      <c r="X6" s="1197">
        <f>ROUND(BS!$F$28,0)</f>
        <v>10683676</v>
      </c>
      <c r="Y6" s="1198"/>
    </row>
    <row r="7" spans="1:25" s="1195" customFormat="1" ht="13.8">
      <c r="A7" s="1192"/>
      <c r="B7" s="2457"/>
      <c r="C7" s="2436"/>
      <c r="D7" s="2436"/>
      <c r="E7" s="2436"/>
      <c r="F7" s="2436"/>
      <c r="G7" s="2436"/>
      <c r="H7" s="2440" t="s">
        <v>985</v>
      </c>
      <c r="I7" s="2440" t="s">
        <v>2443</v>
      </c>
      <c r="J7" s="2440" t="s">
        <v>1028</v>
      </c>
      <c r="K7" s="2451"/>
      <c r="L7" s="2452"/>
      <c r="M7" s="2426"/>
      <c r="N7" s="1193"/>
      <c r="O7" s="1193"/>
      <c r="P7" s="1193"/>
      <c r="Q7" s="1194"/>
      <c r="R7" s="1193"/>
      <c r="S7" s="1193"/>
      <c r="T7" s="1193"/>
      <c r="U7" s="1193"/>
      <c r="W7" s="1199" t="s">
        <v>168</v>
      </c>
      <c r="X7" s="1200">
        <f>ROUND(BS!$F$12,0)</f>
        <v>10122239</v>
      </c>
      <c r="Y7" s="1198"/>
    </row>
    <row r="8" spans="1:25" s="1195" customFormat="1" ht="13.8">
      <c r="A8" s="1192"/>
      <c r="B8" s="2457"/>
      <c r="C8" s="2441"/>
      <c r="D8" s="2441"/>
      <c r="E8" s="2441"/>
      <c r="F8" s="2441"/>
      <c r="G8" s="2441"/>
      <c r="H8" s="2436"/>
      <c r="I8" s="2436"/>
      <c r="J8" s="2436"/>
      <c r="K8" s="2426" t="s">
        <v>121</v>
      </c>
      <c r="L8" s="2426" t="s">
        <v>296</v>
      </c>
      <c r="M8" s="2426"/>
      <c r="N8" s="1193"/>
      <c r="O8" s="1193"/>
      <c r="P8" s="1193"/>
      <c r="Q8" s="1194">
        <f>BS!F28</f>
        <v>10683676.016000001</v>
      </c>
      <c r="R8" s="1193"/>
      <c r="S8" s="1193"/>
      <c r="T8" s="1193"/>
      <c r="U8" s="1193"/>
      <c r="W8" s="1196"/>
      <c r="X8" s="1201"/>
      <c r="Y8" s="1198"/>
    </row>
    <row r="9" spans="1:25" s="1195" customFormat="1" ht="13.8">
      <c r="A9" s="1192"/>
      <c r="B9" s="2457"/>
      <c r="C9" s="2441"/>
      <c r="D9" s="2441"/>
      <c r="E9" s="2441"/>
      <c r="F9" s="2441"/>
      <c r="G9" s="2441"/>
      <c r="H9" s="2436"/>
      <c r="I9" s="2436"/>
      <c r="J9" s="2436"/>
      <c r="K9" s="2426"/>
      <c r="L9" s="2426"/>
      <c r="M9" s="2426"/>
      <c r="N9" s="1193"/>
      <c r="O9" s="1193"/>
      <c r="P9" s="1193"/>
      <c r="Q9" s="1194">
        <f>BS!F12</f>
        <v>10122239.016000001</v>
      </c>
      <c r="R9" s="1193"/>
      <c r="S9" s="1193"/>
      <c r="T9" s="1193"/>
      <c r="U9" s="1193"/>
      <c r="X9" s="1202"/>
    </row>
    <row r="10" spans="1:25" s="1195" customFormat="1" ht="13.8">
      <c r="A10" s="1192"/>
      <c r="B10" s="2457"/>
      <c r="C10" s="2441"/>
      <c r="D10" s="2441"/>
      <c r="E10" s="2441"/>
      <c r="F10" s="2441"/>
      <c r="G10" s="2441"/>
      <c r="H10" s="2436"/>
      <c r="I10" s="2436"/>
      <c r="J10" s="2436"/>
      <c r="K10" s="2426"/>
      <c r="L10" s="2426"/>
      <c r="M10" s="2426"/>
      <c r="N10" s="1193"/>
      <c r="O10" s="1193"/>
      <c r="P10" s="1193"/>
      <c r="Q10" s="1194"/>
      <c r="R10" s="1193"/>
      <c r="S10" s="1193"/>
      <c r="T10" s="1193"/>
      <c r="U10" s="1193"/>
      <c r="X10" s="1202"/>
    </row>
    <row r="11" spans="1:25" s="1195" customFormat="1" ht="13.8">
      <c r="A11" s="1192"/>
      <c r="B11" s="2457"/>
      <c r="C11" s="2441"/>
      <c r="D11" s="2441"/>
      <c r="E11" s="2441"/>
      <c r="F11" s="2441"/>
      <c r="G11" s="2441"/>
      <c r="H11" s="2436"/>
      <c r="I11" s="2436"/>
      <c r="J11" s="2436"/>
      <c r="K11" s="2426"/>
      <c r="L11" s="2426"/>
      <c r="M11" s="2426"/>
      <c r="N11" s="1193"/>
      <c r="O11" s="1193" t="s">
        <v>2434</v>
      </c>
      <c r="P11" s="1193"/>
      <c r="Q11" s="1194"/>
      <c r="R11" s="1193"/>
      <c r="S11" s="1193"/>
      <c r="T11" s="1193"/>
      <c r="U11" s="1193"/>
      <c r="X11" s="1202"/>
    </row>
    <row r="12" spans="1:25" s="1195" customFormat="1" ht="13.8">
      <c r="A12" s="1192"/>
      <c r="B12" s="2458"/>
      <c r="C12" s="2442"/>
      <c r="D12" s="2442"/>
      <c r="E12" s="2442"/>
      <c r="F12" s="2442"/>
      <c r="G12" s="2442"/>
      <c r="H12" s="2448"/>
      <c r="I12" s="2448"/>
      <c r="J12" s="2448"/>
      <c r="K12" s="2454"/>
      <c r="L12" s="2454"/>
      <c r="M12" s="2454"/>
      <c r="N12" s="1193"/>
      <c r="O12" s="1193"/>
      <c r="P12" s="1193"/>
      <c r="Q12" s="1194"/>
      <c r="R12" s="1193"/>
      <c r="S12" s="1193"/>
      <c r="T12" s="1193"/>
      <c r="U12" s="1193"/>
      <c r="X12" s="1202"/>
    </row>
    <row r="13" spans="1:25" s="1195" customFormat="1" ht="9" customHeight="1">
      <c r="A13" s="1192"/>
      <c r="B13" s="1203"/>
      <c r="C13" s="2446" t="s">
        <v>2359</v>
      </c>
      <c r="D13" s="2447"/>
      <c r="E13" s="2447"/>
      <c r="F13" s="2447"/>
      <c r="G13" s="2447"/>
      <c r="H13" s="2439" t="s">
        <v>2360</v>
      </c>
      <c r="I13" s="2456"/>
      <c r="J13" s="2456"/>
      <c r="K13" s="2444" t="s">
        <v>2361</v>
      </c>
      <c r="L13" s="2445"/>
      <c r="M13" s="2445"/>
      <c r="N13" s="1204"/>
      <c r="O13" s="1204"/>
      <c r="P13" s="1204"/>
      <c r="Q13" s="1205"/>
      <c r="R13" s="1204"/>
      <c r="S13" s="1204"/>
      <c r="T13" s="1204"/>
      <c r="U13" s="1204"/>
      <c r="X13" s="1202"/>
    </row>
    <row r="14" spans="1:25" s="1195" customFormat="1" ht="13.8">
      <c r="A14" s="1192"/>
      <c r="B14" s="1203"/>
      <c r="C14" s="1206"/>
      <c r="D14" s="1206"/>
      <c r="E14" s="1206"/>
      <c r="F14" s="1206"/>
      <c r="G14" s="1206"/>
      <c r="H14" s="1207"/>
      <c r="I14" s="1207"/>
      <c r="J14" s="1207"/>
      <c r="K14" s="1208"/>
      <c r="L14" s="1204"/>
      <c r="M14" s="1204"/>
      <c r="N14" s="1204"/>
      <c r="O14" s="1204"/>
      <c r="P14" s="1204"/>
      <c r="Q14" s="1205"/>
      <c r="R14" s="1204"/>
      <c r="S14" s="1204"/>
      <c r="T14" s="1204"/>
      <c r="U14" s="1204"/>
      <c r="X14" s="1202"/>
    </row>
    <row r="15" spans="1:25" s="1219" customFormat="1" ht="13.8">
      <c r="A15" s="1209"/>
      <c r="B15" s="1210" t="s">
        <v>2356</v>
      </c>
      <c r="C15" s="1211"/>
      <c r="D15" s="1212"/>
      <c r="E15" s="1213"/>
      <c r="F15" s="1213"/>
      <c r="G15" s="1214"/>
      <c r="H15" s="1214"/>
      <c r="I15" s="1213"/>
      <c r="J15" s="1213"/>
      <c r="K15" s="1200"/>
      <c r="L15" s="1200"/>
      <c r="M15" s="1200"/>
      <c r="N15" s="1200"/>
      <c r="O15" s="1200"/>
      <c r="P15" s="1200"/>
      <c r="Q15" s="1215"/>
      <c r="R15" s="1200"/>
      <c r="S15" s="1200"/>
      <c r="T15" s="1200"/>
      <c r="U15" s="1200"/>
      <c r="V15" s="1216"/>
      <c r="W15" s="1217"/>
      <c r="X15" s="1218"/>
    </row>
    <row r="16" spans="1:25" s="1219" customFormat="1" ht="13.8">
      <c r="A16" s="1209"/>
      <c r="B16" s="1220" t="s">
        <v>337</v>
      </c>
      <c r="C16" s="1221">
        <v>0</v>
      </c>
      <c r="D16" s="1221">
        <v>10</v>
      </c>
      <c r="E16" s="1221">
        <v>0</v>
      </c>
      <c r="F16" s="1221">
        <v>10</v>
      </c>
      <c r="G16" s="1197">
        <f>C16+D16+E16-F16</f>
        <v>0</v>
      </c>
      <c r="H16" s="1222">
        <v>0</v>
      </c>
      <c r="I16" s="1222">
        <v>0</v>
      </c>
      <c r="J16" s="1222">
        <f>I16-H16</f>
        <v>0</v>
      </c>
      <c r="K16" s="1223">
        <f>I16/$X$40</f>
        <v>0</v>
      </c>
      <c r="L16" s="1224">
        <f>ROUND(I16/$X$41,2)</f>
        <v>0</v>
      </c>
      <c r="M16" s="1224">
        <f>G16*10/Q16</f>
        <v>0</v>
      </c>
      <c r="N16" s="1225"/>
      <c r="O16" s="1226">
        <f>I16/$Q$8</f>
        <v>0</v>
      </c>
      <c r="P16" s="1227"/>
      <c r="Q16" s="1228">
        <v>786000000</v>
      </c>
      <c r="R16" s="1229">
        <v>0</v>
      </c>
      <c r="S16" s="1229">
        <f>R16/1000</f>
        <v>0</v>
      </c>
      <c r="T16" s="1229">
        <v>0</v>
      </c>
      <c r="U16" s="1229">
        <f t="shared" ref="U16:U46" si="0">T16/1000</f>
        <v>0</v>
      </c>
      <c r="V16" s="1230">
        <v>786000</v>
      </c>
      <c r="W16" s="1217"/>
      <c r="X16" s="1231"/>
    </row>
    <row r="17" spans="1:24" s="1219" customFormat="1" ht="13.8">
      <c r="A17" s="1209"/>
      <c r="B17" s="1232" t="s">
        <v>2460</v>
      </c>
      <c r="C17" s="1221">
        <v>147120</v>
      </c>
      <c r="D17" s="1221">
        <v>0</v>
      </c>
      <c r="E17" s="1221">
        <v>0</v>
      </c>
      <c r="F17" s="1221">
        <v>147120</v>
      </c>
      <c r="G17" s="1197">
        <f>C17+D17+E17-F17</f>
        <v>0</v>
      </c>
      <c r="H17" s="1233">
        <v>0</v>
      </c>
      <c r="I17" s="1233">
        <v>0</v>
      </c>
      <c r="J17" s="1233">
        <f>I17-H17</f>
        <v>0</v>
      </c>
      <c r="K17" s="1234">
        <f>I17/$X$40</f>
        <v>0</v>
      </c>
      <c r="L17" s="1235">
        <f>ROUND(I17/$X$41,2)</f>
        <v>0</v>
      </c>
      <c r="M17" s="1235">
        <v>0</v>
      </c>
      <c r="N17" s="1225"/>
      <c r="O17" s="1226">
        <f>I17/$Q$8</f>
        <v>0</v>
      </c>
      <c r="P17" s="1227"/>
      <c r="Q17" s="1228"/>
      <c r="R17" s="1229">
        <v>0</v>
      </c>
      <c r="S17" s="1229">
        <f>R17/1000</f>
        <v>0</v>
      </c>
      <c r="T17" s="1229">
        <v>0</v>
      </c>
      <c r="U17" s="1229">
        <f t="shared" si="0"/>
        <v>0</v>
      </c>
      <c r="V17" s="1230">
        <v>822999</v>
      </c>
      <c r="W17" s="1217"/>
      <c r="X17" s="1231"/>
    </row>
    <row r="18" spans="1:24" s="1219" customFormat="1" ht="13.8">
      <c r="A18" s="1209"/>
      <c r="B18" s="1232" t="s">
        <v>1155</v>
      </c>
      <c r="C18" s="1221">
        <v>53800</v>
      </c>
      <c r="D18" s="1221">
        <v>0</v>
      </c>
      <c r="E18" s="1221">
        <v>0</v>
      </c>
      <c r="F18" s="1221">
        <v>53800</v>
      </c>
      <c r="G18" s="1197">
        <f>C18+D18+E18-F18</f>
        <v>0</v>
      </c>
      <c r="H18" s="1233">
        <v>0</v>
      </c>
      <c r="I18" s="1233">
        <v>0</v>
      </c>
      <c r="J18" s="1233">
        <f>I18-H18</f>
        <v>0</v>
      </c>
      <c r="K18" s="1236">
        <f>I18/$X$40</f>
        <v>0</v>
      </c>
      <c r="L18" s="1237">
        <f>I18/$X$41</f>
        <v>0</v>
      </c>
      <c r="M18" s="1237">
        <f>G18*10/Q18</f>
        <v>0</v>
      </c>
      <c r="N18" s="1238"/>
      <c r="O18" s="1226">
        <f>I18/$Q$8</f>
        <v>0</v>
      </c>
      <c r="P18" s="1227"/>
      <c r="Q18" s="1228">
        <v>213044220</v>
      </c>
      <c r="R18" s="1229">
        <v>44602936</v>
      </c>
      <c r="S18" s="1229">
        <f>R18/1000</f>
        <v>44602.936000000002</v>
      </c>
      <c r="T18" s="1229">
        <v>37955500</v>
      </c>
      <c r="U18" s="1229">
        <f t="shared" si="0"/>
        <v>37955.5</v>
      </c>
      <c r="V18" s="1230"/>
      <c r="W18" s="1217"/>
      <c r="X18" s="1231"/>
    </row>
    <row r="19" spans="1:24" s="1219" customFormat="1" ht="13.8">
      <c r="A19" s="1209"/>
      <c r="B19" s="1232" t="s">
        <v>1156</v>
      </c>
      <c r="C19" s="1221">
        <v>115150</v>
      </c>
      <c r="D19" s="1221">
        <v>0</v>
      </c>
      <c r="E19" s="1221">
        <v>0</v>
      </c>
      <c r="F19" s="1221">
        <v>115150</v>
      </c>
      <c r="G19" s="1197">
        <f>C19+D19+E19-F19</f>
        <v>0</v>
      </c>
      <c r="H19" s="1239">
        <v>0</v>
      </c>
      <c r="I19" s="1239">
        <v>0</v>
      </c>
      <c r="J19" s="1239">
        <f>I19-H19</f>
        <v>0</v>
      </c>
      <c r="K19" s="1240">
        <f>I19/$X$40</f>
        <v>0</v>
      </c>
      <c r="L19" s="1241">
        <f>I19/$X$41</f>
        <v>0</v>
      </c>
      <c r="M19" s="1241">
        <f>G19*10/Q19</f>
        <v>0</v>
      </c>
      <c r="N19" s="1225"/>
      <c r="O19" s="1226">
        <f>I19/$Q$8</f>
        <v>0</v>
      </c>
      <c r="P19" s="1227"/>
      <c r="Q19" s="1228">
        <v>1428000000</v>
      </c>
      <c r="R19" s="1229">
        <v>259260911</v>
      </c>
      <c r="S19" s="1229">
        <f>R19/1000</f>
        <v>259260.91099999999</v>
      </c>
      <c r="T19" s="1229">
        <v>177550065</v>
      </c>
      <c r="U19" s="1229">
        <f t="shared" si="0"/>
        <v>177550.065</v>
      </c>
      <c r="V19" s="1230"/>
      <c r="W19" s="1217"/>
      <c r="X19" s="1231"/>
    </row>
    <row r="20" spans="1:24" s="1219" customFormat="1" ht="13.8">
      <c r="A20" s="1209"/>
      <c r="C20" s="1197"/>
      <c r="D20" s="1197"/>
      <c r="E20" s="1197"/>
      <c r="F20" s="1197"/>
      <c r="G20" s="1197"/>
      <c r="H20" s="1197">
        <f>ROUND(SUM(H16:H19),0)</f>
        <v>0</v>
      </c>
      <c r="I20" s="1197">
        <f>ROUND(SUM(I16:I19),0)</f>
        <v>0</v>
      </c>
      <c r="J20" s="1197">
        <f>ROUND(SUM(J16:J19),0)</f>
        <v>0</v>
      </c>
      <c r="K20" s="1242">
        <f>SUM(K16:K19)</f>
        <v>0</v>
      </c>
      <c r="L20" s="1242">
        <f>SUM(L16:L19)</f>
        <v>0</v>
      </c>
      <c r="M20" s="1243"/>
      <c r="N20" s="1244"/>
      <c r="O20" s="1226">
        <f>I20/$Q$8</f>
        <v>0</v>
      </c>
      <c r="P20" s="1227"/>
      <c r="Q20" s="1218"/>
      <c r="U20" s="1229">
        <f t="shared" si="0"/>
        <v>0</v>
      </c>
      <c r="V20" s="1230"/>
      <c r="W20" s="1217"/>
      <c r="X20" s="1245"/>
    </row>
    <row r="21" spans="1:24" s="1219" customFormat="1" ht="13.8">
      <c r="A21" s="1209"/>
      <c r="B21" s="1210" t="s">
        <v>1025</v>
      </c>
      <c r="C21" s="1197"/>
      <c r="D21" s="1197"/>
      <c r="E21" s="1197"/>
      <c r="F21" s="1197"/>
      <c r="G21" s="1197"/>
      <c r="H21" s="1197"/>
      <c r="I21" s="1197"/>
      <c r="J21" s="1197"/>
      <c r="K21" s="1246"/>
      <c r="L21" s="1246"/>
      <c r="M21" s="1246"/>
      <c r="N21" s="1244"/>
      <c r="O21" s="1244"/>
      <c r="P21" s="1244"/>
      <c r="Q21" s="1218"/>
      <c r="S21" s="1229">
        <f t="shared" ref="S21:S52" si="1">R21/1000</f>
        <v>0</v>
      </c>
      <c r="U21" s="1229">
        <f t="shared" si="0"/>
        <v>0</v>
      </c>
      <c r="V21" s="1230"/>
      <c r="X21" s="1218"/>
    </row>
    <row r="22" spans="1:24" s="1219" customFormat="1" ht="13.8">
      <c r="A22" s="1209"/>
      <c r="B22" s="1247" t="s">
        <v>1157</v>
      </c>
      <c r="C22" s="1221">
        <v>222400</v>
      </c>
      <c r="D22" s="1197">
        <v>0</v>
      </c>
      <c r="E22" s="1221">
        <v>0</v>
      </c>
      <c r="F22" s="1221">
        <v>222400</v>
      </c>
      <c r="G22" s="1197">
        <f>C22+D22+E22-F22</f>
        <v>0</v>
      </c>
      <c r="H22" s="1248">
        <v>0</v>
      </c>
      <c r="I22" s="1249">
        <v>0</v>
      </c>
      <c r="J22" s="1249">
        <f>I22-H22</f>
        <v>0</v>
      </c>
      <c r="K22" s="1250">
        <f>I22/$X$40</f>
        <v>0</v>
      </c>
      <c r="L22" s="1250">
        <f>I22/$X$41</f>
        <v>0</v>
      </c>
      <c r="M22" s="1251">
        <f>G22*10/Q22</f>
        <v>0</v>
      </c>
      <c r="N22" s="1225"/>
      <c r="O22" s="1226">
        <f>I22/$Q$8</f>
        <v>0</v>
      </c>
      <c r="P22" s="1227"/>
      <c r="Q22" s="1228">
        <v>597712500</v>
      </c>
      <c r="R22" s="1229">
        <v>62315100</v>
      </c>
      <c r="S22" s="1229">
        <f t="shared" si="1"/>
        <v>62315.1</v>
      </c>
      <c r="T22" s="1229">
        <v>41877920</v>
      </c>
      <c r="U22" s="1229">
        <f t="shared" si="0"/>
        <v>41877.919999999998</v>
      </c>
      <c r="V22" s="1230">
        <v>405150</v>
      </c>
      <c r="W22" s="1217"/>
      <c r="X22" s="1218"/>
    </row>
    <row r="23" spans="1:24" s="1219" customFormat="1" ht="12.75" hidden="1" customHeight="1">
      <c r="A23" s="1209"/>
      <c r="C23" s="1197"/>
      <c r="D23" s="1197"/>
      <c r="E23" s="1197"/>
      <c r="F23" s="1197"/>
      <c r="G23" s="1197"/>
      <c r="H23" s="1197"/>
      <c r="I23" s="1197"/>
      <c r="J23" s="1197"/>
      <c r="K23" s="1246"/>
      <c r="L23" s="1246"/>
      <c r="M23" s="1246"/>
      <c r="N23" s="1244"/>
      <c r="O23" s="1226">
        <f>I23/$Q$8</f>
        <v>0</v>
      </c>
      <c r="P23" s="1227"/>
      <c r="Q23" s="1218"/>
      <c r="S23" s="1229">
        <f t="shared" si="1"/>
        <v>0</v>
      </c>
      <c r="U23" s="1229">
        <f t="shared" si="0"/>
        <v>0</v>
      </c>
      <c r="V23" s="1230"/>
      <c r="W23" s="1217"/>
      <c r="X23" s="1218"/>
    </row>
    <row r="24" spans="1:24" s="1219" customFormat="1" ht="12.75" hidden="1" customHeight="1">
      <c r="A24" s="1209"/>
      <c r="C24" s="1197"/>
      <c r="D24" s="1197"/>
      <c r="E24" s="1197"/>
      <c r="F24" s="1197"/>
      <c r="G24" s="1197"/>
      <c r="H24" s="1197"/>
      <c r="I24" s="1197"/>
      <c r="J24" s="1197"/>
      <c r="K24" s="1246"/>
      <c r="L24" s="1246"/>
      <c r="M24" s="1246"/>
      <c r="N24" s="1244"/>
      <c r="O24" s="1226">
        <f>I24/$Q$8</f>
        <v>0</v>
      </c>
      <c r="P24" s="1227"/>
      <c r="Q24" s="1218"/>
      <c r="S24" s="1229">
        <f t="shared" si="1"/>
        <v>0</v>
      </c>
      <c r="U24" s="1229">
        <f t="shared" si="0"/>
        <v>0</v>
      </c>
      <c r="V24" s="1230"/>
      <c r="W24" s="1217"/>
      <c r="X24" s="1218"/>
    </row>
    <row r="25" spans="1:24" s="1219" customFormat="1" ht="13.8">
      <c r="A25" s="1209"/>
      <c r="B25" s="1252"/>
      <c r="C25" s="1221"/>
      <c r="D25" s="1221"/>
      <c r="E25" s="1221"/>
      <c r="F25" s="1221"/>
      <c r="G25" s="1221"/>
      <c r="H25" s="1221">
        <f>ROUND(SUM(H22:H24),0)</f>
        <v>0</v>
      </c>
      <c r="I25" s="1221">
        <f>ROUND(SUM(I22:I24),0)</f>
        <v>0</v>
      </c>
      <c r="J25" s="1221">
        <f>ROUND(SUM(J22:J24),0)</f>
        <v>0</v>
      </c>
      <c r="K25" s="1226">
        <f>SUM(K22:K24)</f>
        <v>0</v>
      </c>
      <c r="L25" s="1253">
        <f>SUM(L22:L24)</f>
        <v>0</v>
      </c>
      <c r="M25" s="1226"/>
      <c r="N25" s="1225"/>
      <c r="O25" s="1226">
        <f>I25/$Q$8</f>
        <v>0</v>
      </c>
      <c r="P25" s="1227"/>
      <c r="Q25" s="1228"/>
      <c r="R25" s="1238"/>
      <c r="S25" s="1229">
        <f t="shared" si="1"/>
        <v>0</v>
      </c>
      <c r="T25" s="1238"/>
      <c r="U25" s="1229">
        <f t="shared" si="0"/>
        <v>0</v>
      </c>
      <c r="V25" s="1216"/>
      <c r="W25" s="1216"/>
      <c r="X25" s="1218"/>
    </row>
    <row r="26" spans="1:24" s="1219" customFormat="1" ht="13.8">
      <c r="A26" s="1209"/>
      <c r="B26" s="1210" t="s">
        <v>1026</v>
      </c>
      <c r="C26" s="1221"/>
      <c r="D26" s="1221"/>
      <c r="E26" s="1221"/>
      <c r="F26" s="1221"/>
      <c r="G26" s="1221"/>
      <c r="H26" s="1221"/>
      <c r="I26" s="1221"/>
      <c r="J26" s="1221"/>
      <c r="K26" s="1226"/>
      <c r="L26" s="1226"/>
      <c r="M26" s="1226"/>
      <c r="N26" s="1225"/>
      <c r="O26" s="1225"/>
      <c r="P26" s="1225"/>
      <c r="Q26" s="1228"/>
      <c r="R26" s="1238"/>
      <c r="S26" s="1229">
        <f t="shared" si="1"/>
        <v>0</v>
      </c>
      <c r="T26" s="1238"/>
      <c r="U26" s="1229">
        <f t="shared" si="0"/>
        <v>0</v>
      </c>
      <c r="V26" s="1216"/>
      <c r="W26" s="1216"/>
      <c r="X26" s="1218"/>
    </row>
    <row r="27" spans="1:24" s="1219" customFormat="1" ht="13.8">
      <c r="A27" s="1209"/>
      <c r="B27" s="1220" t="s">
        <v>495</v>
      </c>
      <c r="C27" s="1221">
        <v>500000</v>
      </c>
      <c r="D27" s="1221">
        <v>0</v>
      </c>
      <c r="E27" s="1221">
        <v>0</v>
      </c>
      <c r="F27" s="1221">
        <v>500000</v>
      </c>
      <c r="G27" s="1197">
        <f>C27+D27+E27-F27</f>
        <v>0</v>
      </c>
      <c r="H27" s="1292">
        <v>0</v>
      </c>
      <c r="I27" s="1303">
        <v>0</v>
      </c>
      <c r="J27" s="1357">
        <v>0</v>
      </c>
      <c r="K27" s="1257">
        <f>I27/$X$40</f>
        <v>0</v>
      </c>
      <c r="L27" s="1257">
        <f>I27/$X$41</f>
        <v>0</v>
      </c>
      <c r="M27" s="1256">
        <f>G27*10/Q27</f>
        <v>0</v>
      </c>
      <c r="N27" s="1225"/>
      <c r="O27" s="1225">
        <f>I27/$Q$8</f>
        <v>0</v>
      </c>
      <c r="P27" s="1227"/>
      <c r="Q27" s="1228">
        <v>4976814850</v>
      </c>
      <c r="R27" s="1229">
        <v>249116487</v>
      </c>
      <c r="S27" s="1229">
        <f t="shared" si="1"/>
        <v>249116.48699999999</v>
      </c>
      <c r="T27" s="1229">
        <v>164709567</v>
      </c>
      <c r="U27" s="1229">
        <f t="shared" si="0"/>
        <v>164709.56700000001</v>
      </c>
      <c r="V27" s="1230">
        <f>4976814</f>
        <v>4976814</v>
      </c>
      <c r="W27" s="1216"/>
      <c r="X27" s="1218"/>
    </row>
    <row r="28" spans="1:24" s="1219" customFormat="1" ht="13.8">
      <c r="A28" s="1209"/>
      <c r="B28" s="1220" t="s">
        <v>1027</v>
      </c>
      <c r="C28" s="1221">
        <v>47000</v>
      </c>
      <c r="D28" s="1221">
        <v>0</v>
      </c>
      <c r="E28" s="1221">
        <v>0</v>
      </c>
      <c r="F28" s="1221">
        <v>47000</v>
      </c>
      <c r="G28" s="1197">
        <f>C28+D28+E28-F28</f>
        <v>0</v>
      </c>
      <c r="H28" s="1296">
        <v>0</v>
      </c>
      <c r="I28" s="1358">
        <v>0</v>
      </c>
      <c r="J28" s="1359">
        <v>0</v>
      </c>
      <c r="K28" s="1261">
        <v>0</v>
      </c>
      <c r="L28" s="1261">
        <v>0</v>
      </c>
      <c r="M28" s="1260">
        <v>0</v>
      </c>
      <c r="N28" s="1225"/>
      <c r="O28" s="1225">
        <f>I28/$Q$8</f>
        <v>0</v>
      </c>
      <c r="P28" s="1227"/>
      <c r="Q28" s="1228">
        <v>2172489630</v>
      </c>
      <c r="R28" s="1229">
        <v>464360</v>
      </c>
      <c r="S28" s="1229">
        <f t="shared" si="1"/>
        <v>464.36</v>
      </c>
      <c r="T28" s="1229">
        <v>336050</v>
      </c>
      <c r="U28" s="1229">
        <f t="shared" si="0"/>
        <v>336.05</v>
      </c>
      <c r="V28" s="1216">
        <v>2172490</v>
      </c>
      <c r="W28" s="1216"/>
      <c r="X28" s="1218"/>
    </row>
    <row r="29" spans="1:24" s="1219" customFormat="1" ht="13.8">
      <c r="A29" s="1209"/>
      <c r="B29" s="1252"/>
      <c r="C29" s="1221"/>
      <c r="D29" s="1221"/>
      <c r="E29" s="1221"/>
      <c r="F29" s="1221"/>
      <c r="G29" s="1221"/>
      <c r="H29" s="1221">
        <f>ROUND(SUM(H27:H28),0)</f>
        <v>0</v>
      </c>
      <c r="I29" s="1221">
        <f>ROUND(SUM(I27:I28),0)</f>
        <v>0</v>
      </c>
      <c r="J29" s="1221">
        <f>ROUND(SUM(J27:J28),0)</f>
        <v>0</v>
      </c>
      <c r="K29" s="1226">
        <f>SUM(K27:K28)</f>
        <v>0</v>
      </c>
      <c r="L29" s="1226">
        <f>SUM(L27:L28)</f>
        <v>0</v>
      </c>
      <c r="M29" s="1226"/>
      <c r="N29" s="1225"/>
      <c r="O29" s="1225">
        <f>I29/$Q$8</f>
        <v>0</v>
      </c>
      <c r="P29" s="1227"/>
      <c r="Q29" s="1228"/>
      <c r="R29" s="1238"/>
      <c r="S29" s="1229">
        <f t="shared" si="1"/>
        <v>0</v>
      </c>
      <c r="T29" s="1238"/>
      <c r="U29" s="1229">
        <f t="shared" si="0"/>
        <v>0</v>
      </c>
      <c r="V29" s="1216"/>
      <c r="W29" s="1216"/>
      <c r="X29" s="1218"/>
    </row>
    <row r="30" spans="1:24" s="1219" customFormat="1" ht="13.8">
      <c r="A30" s="1209"/>
      <c r="B30" s="1210" t="s">
        <v>1029</v>
      </c>
      <c r="C30" s="1262"/>
      <c r="D30" s="1197"/>
      <c r="E30" s="1197"/>
      <c r="F30" s="1197"/>
      <c r="G30" s="1197"/>
      <c r="H30" s="1197"/>
      <c r="I30" s="1197"/>
      <c r="J30" s="1197"/>
      <c r="K30" s="1263"/>
      <c r="L30" s="1264"/>
      <c r="M30" s="1225"/>
      <c r="N30" s="1225"/>
      <c r="O30" s="1225"/>
      <c r="P30" s="1225"/>
      <c r="Q30" s="1228"/>
      <c r="R30" s="1238"/>
      <c r="S30" s="1229">
        <f t="shared" ref="S30:S37" si="2">R30/1000</f>
        <v>0</v>
      </c>
      <c r="T30" s="1238"/>
      <c r="U30" s="1229">
        <f t="shared" ref="U30:U37" si="3">T30/1000</f>
        <v>0</v>
      </c>
      <c r="V30" s="1216"/>
      <c r="W30" s="1216"/>
      <c r="X30" s="1218"/>
    </row>
    <row r="31" spans="1:24" s="1219" customFormat="1" ht="13.8">
      <c r="A31" s="1265" t="s">
        <v>1103</v>
      </c>
      <c r="B31" s="1232" t="s">
        <v>2419</v>
      </c>
      <c r="C31" s="1197">
        <v>350000</v>
      </c>
      <c r="D31" s="1221">
        <v>1600000</v>
      </c>
      <c r="E31" s="1221">
        <v>0</v>
      </c>
      <c r="F31" s="1221">
        <v>1950000</v>
      </c>
      <c r="G31" s="1197">
        <f t="shared" ref="G31:G36" si="4">C31+D31+E31-F31</f>
        <v>0</v>
      </c>
      <c r="H31" s="1222">
        <v>0</v>
      </c>
      <c r="I31" s="1222">
        <v>0</v>
      </c>
      <c r="J31" s="1222">
        <f t="shared" ref="J31:J36" si="5">I31-H31</f>
        <v>0</v>
      </c>
      <c r="K31" s="1256">
        <f t="shared" ref="K31:K36" si="6">I31/$X$40</f>
        <v>0</v>
      </c>
      <c r="L31" s="1256">
        <f t="shared" ref="L31:L36" si="7">I31/$X$41</f>
        <v>0</v>
      </c>
      <c r="M31" s="1256">
        <f>G31*10/Q31</f>
        <v>0</v>
      </c>
      <c r="N31" s="1225"/>
      <c r="O31" s="1226">
        <f t="shared" ref="O31:O37" si="8">I31/$Q$8</f>
        <v>0</v>
      </c>
      <c r="P31" s="1227"/>
      <c r="Q31" s="1228">
        <v>4381190970</v>
      </c>
      <c r="R31" s="1238">
        <v>174949126</v>
      </c>
      <c r="S31" s="1229">
        <f t="shared" si="2"/>
        <v>174949.12599999999</v>
      </c>
      <c r="T31" s="1238">
        <v>200392792</v>
      </c>
      <c r="U31" s="1229">
        <f t="shared" si="3"/>
        <v>200392.79199999999</v>
      </c>
      <c r="V31" s="1216">
        <v>4381191</v>
      </c>
      <c r="W31" s="1217"/>
      <c r="X31" s="1218"/>
    </row>
    <row r="32" spans="1:24" s="1219" customFormat="1" ht="13.8">
      <c r="A32" s="1265"/>
      <c r="B32" s="1232" t="s">
        <v>1158</v>
      </c>
      <c r="C32" s="1197">
        <v>425900</v>
      </c>
      <c r="D32" s="1221">
        <v>0</v>
      </c>
      <c r="E32" s="1221">
        <v>127770</v>
      </c>
      <c r="F32" s="1221">
        <v>0</v>
      </c>
      <c r="G32" s="1197">
        <f t="shared" si="4"/>
        <v>553670</v>
      </c>
      <c r="H32" s="1233">
        <f>52416000/1000</f>
        <v>52416</v>
      </c>
      <c r="I32" s="1233">
        <f>47028729.8/1000</f>
        <v>47028.729799999994</v>
      </c>
      <c r="J32" s="1233">
        <f t="shared" si="5"/>
        <v>-5387.2702000000063</v>
      </c>
      <c r="K32" s="1237">
        <f t="shared" si="6"/>
        <v>4.4019240006903989E-3</v>
      </c>
      <c r="L32" s="1237">
        <f t="shared" si="7"/>
        <v>4.646079765553846E-3</v>
      </c>
      <c r="M32" s="1237">
        <f>G32*10/Q32</f>
        <v>3.5834230888039127E-3</v>
      </c>
      <c r="N32" s="1225"/>
      <c r="O32" s="1226">
        <f t="shared" si="8"/>
        <v>4.4019239940980247E-3</v>
      </c>
      <c r="P32" s="1227"/>
      <c r="Q32" s="1228">
        <v>1545086880</v>
      </c>
      <c r="R32" s="1238">
        <v>24517211</v>
      </c>
      <c r="S32" s="1229">
        <f t="shared" si="2"/>
        <v>24517.210999999999</v>
      </c>
      <c r="T32" s="1238">
        <v>24970764</v>
      </c>
      <c r="U32" s="1229">
        <f t="shared" si="3"/>
        <v>24970.763999999999</v>
      </c>
      <c r="V32" s="1216"/>
      <c r="W32" s="1217"/>
      <c r="X32" s="1218"/>
    </row>
    <row r="33" spans="1:25" s="1219" customFormat="1" ht="13.8">
      <c r="A33" s="1265"/>
      <c r="B33" s="1232" t="s">
        <v>171</v>
      </c>
      <c r="C33" s="1197">
        <v>3901100</v>
      </c>
      <c r="D33" s="1221">
        <v>5943000</v>
      </c>
      <c r="E33" s="1221">
        <v>0</v>
      </c>
      <c r="F33" s="1221">
        <v>3931600</v>
      </c>
      <c r="G33" s="1197">
        <f t="shared" si="4"/>
        <v>5912500</v>
      </c>
      <c r="H33" s="1233">
        <f>254940073.519675/1000</f>
        <v>254940.07351967497</v>
      </c>
      <c r="I33" s="1233">
        <f>240343125/1000</f>
        <v>240343.125</v>
      </c>
      <c r="J33" s="1233">
        <f t="shared" si="5"/>
        <v>-14596.948519674974</v>
      </c>
      <c r="K33" s="1237">
        <f t="shared" si="6"/>
        <v>2.249629481463122E-2</v>
      </c>
      <c r="L33" s="1237">
        <f t="shared" si="7"/>
        <v>2.3744067394575449E-2</v>
      </c>
      <c r="M33" s="1237">
        <f>G33*10/Q33</f>
        <v>9.9587221955381808E-3</v>
      </c>
      <c r="N33" s="1225"/>
      <c r="O33" s="1226">
        <f t="shared" si="8"/>
        <v>2.24962947809405E-2</v>
      </c>
      <c r="P33" s="1227"/>
      <c r="Q33" s="1228">
        <v>5937006660</v>
      </c>
      <c r="R33" s="1238">
        <v>126599894</v>
      </c>
      <c r="S33" s="1229">
        <f t="shared" si="2"/>
        <v>126599.894</v>
      </c>
      <c r="T33" s="1238">
        <v>126655064</v>
      </c>
      <c r="U33" s="1229">
        <f t="shared" si="3"/>
        <v>126655.064</v>
      </c>
      <c r="V33" s="1216"/>
      <c r="W33" s="1217"/>
      <c r="X33" s="1218"/>
    </row>
    <row r="34" spans="1:25" s="1219" customFormat="1" ht="13.8">
      <c r="A34" s="1265"/>
      <c r="B34" s="1232" t="s">
        <v>1030</v>
      </c>
      <c r="C34" s="1197">
        <v>98000</v>
      </c>
      <c r="D34" s="1221">
        <v>0</v>
      </c>
      <c r="E34" s="1221">
        <v>0</v>
      </c>
      <c r="F34" s="1197">
        <v>98000</v>
      </c>
      <c r="G34" s="1197">
        <f t="shared" si="4"/>
        <v>0</v>
      </c>
      <c r="H34" s="1233">
        <v>0</v>
      </c>
      <c r="I34" s="1233">
        <v>0</v>
      </c>
      <c r="J34" s="1233">
        <f t="shared" si="5"/>
        <v>0</v>
      </c>
      <c r="K34" s="1235">
        <f t="shared" si="6"/>
        <v>0</v>
      </c>
      <c r="L34" s="1235">
        <f t="shared" si="7"/>
        <v>0</v>
      </c>
      <c r="M34" s="1235">
        <f>G34*10/Q34</f>
        <v>0</v>
      </c>
      <c r="N34" s="1225"/>
      <c r="O34" s="1226">
        <f t="shared" si="8"/>
        <v>0</v>
      </c>
      <c r="P34" s="1227"/>
      <c r="Q34" s="1228">
        <v>13798150250</v>
      </c>
      <c r="R34" s="1238">
        <v>0</v>
      </c>
      <c r="S34" s="1229">
        <f t="shared" si="2"/>
        <v>0</v>
      </c>
      <c r="T34" s="1238">
        <v>0</v>
      </c>
      <c r="U34" s="1229">
        <f t="shared" si="3"/>
        <v>0</v>
      </c>
      <c r="V34" s="1216"/>
      <c r="W34" s="1217"/>
      <c r="X34" s="1218"/>
    </row>
    <row r="35" spans="1:25" s="1219" customFormat="1" ht="13.8">
      <c r="A35" s="1265" t="s">
        <v>1103</v>
      </c>
      <c r="B35" s="1232" t="s">
        <v>1881</v>
      </c>
      <c r="C35" s="1197">
        <v>2105500</v>
      </c>
      <c r="D35" s="1221">
        <v>0</v>
      </c>
      <c r="E35" s="1221">
        <v>0</v>
      </c>
      <c r="F35" s="1221">
        <v>0</v>
      </c>
      <c r="G35" s="1197">
        <f t="shared" si="4"/>
        <v>2105500</v>
      </c>
      <c r="H35" s="1233">
        <f>37899000/1000</f>
        <v>37899</v>
      </c>
      <c r="I35" s="1233">
        <f>24486965/1000</f>
        <v>24486.965</v>
      </c>
      <c r="J35" s="1233">
        <f t="shared" si="5"/>
        <v>-13412.035</v>
      </c>
      <c r="K35" s="1235">
        <f t="shared" si="6"/>
        <v>2.2919980912936709E-3</v>
      </c>
      <c r="L35" s="1235">
        <f t="shared" si="7"/>
        <v>2.4191253535902481E-3</v>
      </c>
      <c r="M35" s="1235">
        <v>0</v>
      </c>
      <c r="N35" s="1225"/>
      <c r="O35" s="1226">
        <f t="shared" si="8"/>
        <v>2.2919980878611471E-3</v>
      </c>
      <c r="P35" s="1227"/>
      <c r="Q35" s="1228"/>
      <c r="R35" s="1238">
        <v>0</v>
      </c>
      <c r="S35" s="1229">
        <f t="shared" si="2"/>
        <v>0</v>
      </c>
      <c r="T35" s="1238">
        <v>0</v>
      </c>
      <c r="U35" s="1229">
        <f t="shared" si="3"/>
        <v>0</v>
      </c>
      <c r="V35" s="1216"/>
      <c r="W35" s="1217"/>
      <c r="X35" s="1218"/>
    </row>
    <row r="36" spans="1:25" s="1219" customFormat="1" ht="13.8">
      <c r="A36" s="1209"/>
      <c r="B36" s="1220" t="s">
        <v>125</v>
      </c>
      <c r="C36" s="1197">
        <v>300750</v>
      </c>
      <c r="D36" s="1221">
        <v>996500</v>
      </c>
      <c r="E36" s="1221">
        <v>0</v>
      </c>
      <c r="F36" s="1221">
        <v>300689</v>
      </c>
      <c r="G36" s="1197">
        <f t="shared" si="4"/>
        <v>996561</v>
      </c>
      <c r="H36" s="1239">
        <f>503748095.415901/1000</f>
        <v>503748.09541590099</v>
      </c>
      <c r="I36" s="1239">
        <f>433175169.87/1000</f>
        <v>433175.16986999998</v>
      </c>
      <c r="J36" s="1239">
        <f t="shared" si="5"/>
        <v>-70572.925545901002</v>
      </c>
      <c r="K36" s="1241">
        <f t="shared" si="6"/>
        <v>4.0545517279820163E-2</v>
      </c>
      <c r="L36" s="1241">
        <f t="shared" si="7"/>
        <v>4.2794402490397628E-2</v>
      </c>
      <c r="M36" s="1241">
        <f>G36*10/Q36</f>
        <v>3.0817502899110941E-3</v>
      </c>
      <c r="N36" s="1225"/>
      <c r="O36" s="1226">
        <f t="shared" si="8"/>
        <v>4.0545517219098715E-2</v>
      </c>
      <c r="P36" s="1227"/>
      <c r="Q36" s="1228">
        <v>3233750000</v>
      </c>
      <c r="R36" s="1229">
        <v>246019303</v>
      </c>
      <c r="S36" s="1229">
        <f t="shared" si="2"/>
        <v>246019.30300000001</v>
      </c>
      <c r="T36" s="1229">
        <v>242820513</v>
      </c>
      <c r="U36" s="1229">
        <f t="shared" si="3"/>
        <v>242820.51300000001</v>
      </c>
      <c r="V36" s="1230">
        <v>3233750</v>
      </c>
      <c r="W36" s="1217"/>
      <c r="X36" s="1218"/>
    </row>
    <row r="37" spans="1:25" s="1219" customFormat="1" ht="13.8">
      <c r="A37" s="1209"/>
      <c r="B37" s="1252"/>
      <c r="C37" s="1221"/>
      <c r="D37" s="1221"/>
      <c r="E37" s="1221"/>
      <c r="F37" s="1197"/>
      <c r="G37" s="1221"/>
      <c r="H37" s="1221">
        <f>ROUND(SUM(H31:H36),0)</f>
        <v>849003</v>
      </c>
      <c r="I37" s="1221">
        <f>ROUND(SUM(I31:I36),0)</f>
        <v>745034</v>
      </c>
      <c r="J37" s="1221">
        <f>ROUND(SUM(J31:J36),0)</f>
        <v>-103969</v>
      </c>
      <c r="K37" s="1226">
        <f>SUM(K31:K36)</f>
        <v>6.9735734186435444E-2</v>
      </c>
      <c r="L37" s="1226">
        <f>SUM(L31:L36)</f>
        <v>7.3603675004117172E-2</v>
      </c>
      <c r="M37" s="1226"/>
      <c r="N37" s="1225"/>
      <c r="O37" s="1365">
        <f t="shared" si="8"/>
        <v>6.9735735048894049E-2</v>
      </c>
      <c r="P37" s="1366"/>
      <c r="Q37" s="1228"/>
      <c r="R37" s="1238"/>
      <c r="S37" s="1229">
        <f t="shared" si="2"/>
        <v>0</v>
      </c>
      <c r="T37" s="1238"/>
      <c r="U37" s="1229">
        <f t="shared" si="3"/>
        <v>0</v>
      </c>
      <c r="V37" s="1216"/>
      <c r="W37" s="1216"/>
      <c r="X37" s="1218"/>
    </row>
    <row r="38" spans="1:25" s="1219" customFormat="1" ht="13.8">
      <c r="A38" s="1189"/>
      <c r="B38" s="1266"/>
      <c r="C38" s="1206"/>
      <c r="D38" s="1213"/>
      <c r="E38" s="1213"/>
      <c r="F38" s="1213"/>
      <c r="G38" s="1267"/>
      <c r="H38" s="1267"/>
      <c r="I38" s="1267"/>
      <c r="J38" s="1267"/>
      <c r="K38" s="1268"/>
      <c r="L38" s="1268"/>
      <c r="M38" s="1268"/>
      <c r="N38" s="1268"/>
      <c r="O38" s="1268"/>
      <c r="P38" s="1268"/>
      <c r="Q38" s="1215"/>
      <c r="R38" s="1268"/>
      <c r="S38" s="1229">
        <f t="shared" si="1"/>
        <v>0</v>
      </c>
      <c r="T38" s="1268"/>
      <c r="U38" s="1229">
        <f t="shared" si="0"/>
        <v>0</v>
      </c>
      <c r="V38" s="1216"/>
      <c r="W38" s="1218"/>
      <c r="X38" s="1218"/>
    </row>
    <row r="39" spans="1:25" ht="13.8">
      <c r="A39" s="1189"/>
      <c r="B39" s="1269"/>
      <c r="C39" s="1270"/>
      <c r="E39" s="1271"/>
      <c r="F39" s="1271"/>
      <c r="G39" s="1271"/>
      <c r="H39" s="1271"/>
      <c r="I39" s="1271"/>
      <c r="J39" s="1271"/>
      <c r="K39" s="1272"/>
      <c r="L39" s="1273"/>
      <c r="M39" s="1273"/>
      <c r="N39" s="1273"/>
      <c r="O39" s="1273"/>
      <c r="P39" s="1273"/>
      <c r="Q39" s="1274"/>
      <c r="R39" s="1273"/>
      <c r="S39" s="1229">
        <f t="shared" si="1"/>
        <v>0</v>
      </c>
      <c r="T39" s="1273"/>
      <c r="U39" s="1229">
        <f t="shared" si="0"/>
        <v>0</v>
      </c>
    </row>
    <row r="40" spans="1:25" s="1195" customFormat="1" ht="12.75" customHeight="1">
      <c r="A40" s="1192"/>
      <c r="B40" s="2435" t="s">
        <v>116</v>
      </c>
      <c r="C40" s="2435" t="s">
        <v>2441</v>
      </c>
      <c r="D40" s="2435" t="s">
        <v>130</v>
      </c>
      <c r="E40" s="2435" t="s">
        <v>119</v>
      </c>
      <c r="F40" s="2435" t="s">
        <v>2412</v>
      </c>
      <c r="G40" s="2435" t="s">
        <v>2442</v>
      </c>
      <c r="H40" s="2432" t="s">
        <v>2442</v>
      </c>
      <c r="I40" s="2433"/>
      <c r="J40" s="2434"/>
      <c r="K40" s="2428" t="s">
        <v>310</v>
      </c>
      <c r="L40" s="2429"/>
      <c r="M40" s="2425" t="s">
        <v>709</v>
      </c>
      <c r="N40" s="1193"/>
      <c r="O40" s="1193"/>
      <c r="P40" s="1193"/>
      <c r="Q40" s="1194"/>
      <c r="R40" s="1193"/>
      <c r="S40" s="1229">
        <f t="shared" si="1"/>
        <v>0</v>
      </c>
      <c r="T40" s="1193"/>
      <c r="U40" s="1229">
        <f t="shared" si="0"/>
        <v>0</v>
      </c>
      <c r="W40" s="1196" t="s">
        <v>167</v>
      </c>
      <c r="X40" s="1216">
        <f>ROUND(BS!$F$28,0)</f>
        <v>10683676</v>
      </c>
      <c r="Y40" s="1198"/>
    </row>
    <row r="41" spans="1:25" s="1195" customFormat="1" ht="12.75" customHeight="1">
      <c r="A41" s="1192"/>
      <c r="B41" s="2436"/>
      <c r="C41" s="2436"/>
      <c r="D41" s="2436"/>
      <c r="E41" s="2436"/>
      <c r="F41" s="2436"/>
      <c r="G41" s="2436"/>
      <c r="H41" s="2435" t="s">
        <v>985</v>
      </c>
      <c r="I41" s="2435" t="s">
        <v>2443</v>
      </c>
      <c r="J41" s="2435" t="s">
        <v>1028</v>
      </c>
      <c r="K41" s="2430"/>
      <c r="L41" s="2431"/>
      <c r="M41" s="2426"/>
      <c r="N41" s="1193"/>
      <c r="O41" s="1193"/>
      <c r="P41" s="1193"/>
      <c r="Q41" s="1194"/>
      <c r="R41" s="1193"/>
      <c r="S41" s="1229">
        <f t="shared" si="1"/>
        <v>0</v>
      </c>
      <c r="T41" s="1193"/>
      <c r="U41" s="1229">
        <f t="shared" si="0"/>
        <v>0</v>
      </c>
      <c r="W41" s="1199" t="s">
        <v>168</v>
      </c>
      <c r="X41" s="1215">
        <f>ROUND(BS!$F$12,0)</f>
        <v>10122239</v>
      </c>
      <c r="Y41" s="1198"/>
    </row>
    <row r="42" spans="1:25" s="1195" customFormat="1" ht="12.75" customHeight="1">
      <c r="A42" s="1192"/>
      <c r="B42" s="2436"/>
      <c r="C42" s="2436"/>
      <c r="D42" s="2436"/>
      <c r="E42" s="2436"/>
      <c r="F42" s="2436"/>
      <c r="G42" s="2436"/>
      <c r="H42" s="2436"/>
      <c r="I42" s="2436"/>
      <c r="J42" s="2436"/>
      <c r="K42" s="2425" t="s">
        <v>121</v>
      </c>
      <c r="L42" s="2425" t="s">
        <v>296</v>
      </c>
      <c r="M42" s="2426"/>
      <c r="N42" s="1193"/>
      <c r="O42" s="1193"/>
      <c r="P42" s="1193"/>
      <c r="Q42" s="1194"/>
      <c r="R42" s="1193"/>
      <c r="S42" s="1229">
        <f t="shared" si="1"/>
        <v>0</v>
      </c>
      <c r="T42" s="1193"/>
      <c r="U42" s="1229">
        <f t="shared" si="0"/>
        <v>0</v>
      </c>
      <c r="W42" s="1196"/>
      <c r="X42" s="1201"/>
      <c r="Y42" s="1198"/>
    </row>
    <row r="43" spans="1:25" s="1195" customFormat="1" ht="13.8">
      <c r="A43" s="1192"/>
      <c r="B43" s="2436"/>
      <c r="C43" s="2436"/>
      <c r="D43" s="2436"/>
      <c r="E43" s="2436"/>
      <c r="F43" s="2436"/>
      <c r="G43" s="2436"/>
      <c r="H43" s="2436"/>
      <c r="I43" s="2436"/>
      <c r="J43" s="2436"/>
      <c r="K43" s="2426"/>
      <c r="L43" s="2426"/>
      <c r="M43" s="2426"/>
      <c r="N43" s="1193"/>
      <c r="O43" s="1193"/>
      <c r="P43" s="1193"/>
      <c r="Q43" s="1194"/>
      <c r="R43" s="1193"/>
      <c r="S43" s="1229">
        <f t="shared" si="1"/>
        <v>0</v>
      </c>
      <c r="T43" s="1193"/>
      <c r="U43" s="1229">
        <f t="shared" si="0"/>
        <v>0</v>
      </c>
      <c r="X43" s="1202"/>
    </row>
    <row r="44" spans="1:25" s="1195" customFormat="1" ht="13.8">
      <c r="A44" s="1192"/>
      <c r="B44" s="2436"/>
      <c r="C44" s="2436"/>
      <c r="D44" s="2436"/>
      <c r="E44" s="2436"/>
      <c r="F44" s="2436"/>
      <c r="G44" s="2436"/>
      <c r="H44" s="2436"/>
      <c r="I44" s="2436"/>
      <c r="J44" s="2436"/>
      <c r="K44" s="2426"/>
      <c r="L44" s="2426"/>
      <c r="M44" s="2426"/>
      <c r="N44" s="1193"/>
      <c r="O44" s="1193"/>
      <c r="P44" s="1193"/>
      <c r="Q44" s="1194"/>
      <c r="R44" s="1193"/>
      <c r="S44" s="1229">
        <f t="shared" si="1"/>
        <v>0</v>
      </c>
      <c r="T44" s="1193"/>
      <c r="U44" s="1229">
        <f t="shared" si="0"/>
        <v>0</v>
      </c>
      <c r="X44" s="1202"/>
    </row>
    <row r="45" spans="1:25" s="1195" customFormat="1" ht="13.8">
      <c r="A45" s="1192"/>
      <c r="B45" s="2437"/>
      <c r="C45" s="2437"/>
      <c r="D45" s="2437"/>
      <c r="E45" s="2437"/>
      <c r="F45" s="2437"/>
      <c r="G45" s="2437"/>
      <c r="H45" s="2437"/>
      <c r="I45" s="2437"/>
      <c r="J45" s="2437"/>
      <c r="K45" s="2427"/>
      <c r="L45" s="2427"/>
      <c r="M45" s="2427"/>
      <c r="N45" s="1193"/>
      <c r="O45" s="1193"/>
      <c r="P45" s="1193"/>
      <c r="Q45" s="1194"/>
      <c r="R45" s="1193"/>
      <c r="S45" s="1229">
        <f t="shared" si="1"/>
        <v>0</v>
      </c>
      <c r="T45" s="1193"/>
      <c r="U45" s="1229">
        <f t="shared" si="0"/>
        <v>0</v>
      </c>
      <c r="X45" s="1202"/>
    </row>
    <row r="46" spans="1:25" s="1195" customFormat="1" ht="13.8">
      <c r="A46" s="1192"/>
      <c r="B46" s="1203"/>
      <c r="C46" s="2439" t="s">
        <v>2359</v>
      </c>
      <c r="D46" s="2439"/>
      <c r="E46" s="2439"/>
      <c r="F46" s="2439"/>
      <c r="G46" s="2439"/>
      <c r="H46" s="2439" t="s">
        <v>2360</v>
      </c>
      <c r="I46" s="2439"/>
      <c r="J46" s="2439"/>
      <c r="K46" s="2438" t="s">
        <v>2361</v>
      </c>
      <c r="L46" s="2438"/>
      <c r="M46" s="2438"/>
      <c r="N46" s="1204"/>
      <c r="O46" s="1204"/>
      <c r="P46" s="1204"/>
      <c r="Q46" s="1205"/>
      <c r="R46" s="1204"/>
      <c r="S46" s="1229">
        <f t="shared" si="1"/>
        <v>0</v>
      </c>
      <c r="T46" s="1204"/>
      <c r="U46" s="1229">
        <f t="shared" si="0"/>
        <v>0</v>
      </c>
      <c r="X46" s="1202"/>
    </row>
    <row r="47" spans="1:25" s="1219" customFormat="1" ht="13.8">
      <c r="A47" s="1209"/>
      <c r="B47" s="1210" t="s">
        <v>1031</v>
      </c>
      <c r="C47" s="1262"/>
      <c r="D47" s="1197"/>
      <c r="E47" s="1197"/>
      <c r="F47" s="1197"/>
      <c r="G47" s="1197"/>
      <c r="H47" s="1197"/>
      <c r="I47" s="1197"/>
      <c r="J47" s="1197"/>
      <c r="K47" s="1275"/>
      <c r="L47" s="1276"/>
      <c r="M47" s="1225"/>
      <c r="N47" s="1225"/>
      <c r="O47" s="1225"/>
      <c r="P47" s="1225"/>
      <c r="Q47" s="1228"/>
      <c r="R47" s="1238"/>
      <c r="S47" s="1229">
        <f t="shared" si="1"/>
        <v>0</v>
      </c>
      <c r="T47" s="1238"/>
      <c r="U47" s="1229">
        <f t="shared" ref="U47:U84" si="9">T47/1000</f>
        <v>0</v>
      </c>
      <c r="V47" s="1230"/>
      <c r="W47" s="1216"/>
      <c r="X47" s="1218"/>
    </row>
    <row r="48" spans="1:25" s="1219" customFormat="1" ht="13.8">
      <c r="A48" s="1209"/>
      <c r="B48" s="1220" t="s">
        <v>1032</v>
      </c>
      <c r="C48" s="1221">
        <f>4508000+1256186</f>
        <v>5764186</v>
      </c>
      <c r="D48" s="1221">
        <v>13601655</v>
      </c>
      <c r="E48" s="1221">
        <v>1533469</v>
      </c>
      <c r="F48" s="1221">
        <f>3724500+2789655</f>
        <v>6514155</v>
      </c>
      <c r="G48" s="1197">
        <f>C48+D48+E48-F48</f>
        <v>14385155</v>
      </c>
      <c r="H48" s="1222">
        <f>465780678.938899/1000</f>
        <v>465780.67893889896</v>
      </c>
      <c r="I48" s="1222">
        <f>534264656.7/1000</f>
        <v>534264.65669999993</v>
      </c>
      <c r="J48" s="1222">
        <f>I48-H48</f>
        <v>68483.977761100978</v>
      </c>
      <c r="K48" s="1256">
        <f>I48/$X$40</f>
        <v>5.0007568247108947E-2</v>
      </c>
      <c r="L48" s="1257">
        <f>I48/$X$41</f>
        <v>5.2781272670996991E-2</v>
      </c>
      <c r="M48" s="1256">
        <f>G48*10/Q48</f>
        <v>2.1681735840752166E-2</v>
      </c>
      <c r="N48" s="1225"/>
      <c r="O48" s="1226">
        <f>I48/$Q$8</f>
        <v>5.0007568172217014E-2</v>
      </c>
      <c r="P48" s="1227"/>
      <c r="Q48" s="1228">
        <v>6634687880</v>
      </c>
      <c r="R48" s="1229">
        <v>253421303</v>
      </c>
      <c r="S48" s="1229">
        <f t="shared" si="1"/>
        <v>253421.30300000001</v>
      </c>
      <c r="T48" s="1229">
        <v>206588760</v>
      </c>
      <c r="U48" s="1229">
        <f t="shared" si="9"/>
        <v>206588.76</v>
      </c>
      <c r="V48" s="1230"/>
      <c r="W48" s="1217"/>
      <c r="X48" s="1218"/>
    </row>
    <row r="49" spans="1:16384" s="1219" customFormat="1" ht="13.8">
      <c r="A49" s="1209"/>
      <c r="B49" s="1220" t="s">
        <v>1063</v>
      </c>
      <c r="C49" s="1221">
        <v>60800</v>
      </c>
      <c r="D49" s="1221">
        <v>5050</v>
      </c>
      <c r="E49" s="1221">
        <v>0</v>
      </c>
      <c r="F49" s="1221">
        <v>0</v>
      </c>
      <c r="G49" s="1197">
        <f>C49+D49+E49-F49</f>
        <v>65850</v>
      </c>
      <c r="H49" s="1233">
        <f>33254250/1000</f>
        <v>33254.25</v>
      </c>
      <c r="I49" s="1233">
        <f>33583500/1000</f>
        <v>33583.5</v>
      </c>
      <c r="J49" s="1233">
        <f>I49-H49</f>
        <v>329.25</v>
      </c>
      <c r="K49" s="1237">
        <f>I49/$X$40</f>
        <v>3.1434405161669073E-3</v>
      </c>
      <c r="L49" s="1318">
        <f>I49/$X$41</f>
        <v>3.3177936225374642E-3</v>
      </c>
      <c r="M49" s="1237">
        <f>G49*10/Q49</f>
        <v>1.9300532861773101E-3</v>
      </c>
      <c r="N49" s="1225"/>
      <c r="O49" s="1226">
        <f>I49/$Q$8</f>
        <v>3.1434405114592534E-3</v>
      </c>
      <c r="P49" s="1227"/>
      <c r="Q49" s="1228">
        <v>341182290</v>
      </c>
      <c r="R49" s="1229">
        <v>43337632</v>
      </c>
      <c r="S49" s="1229">
        <f t="shared" si="1"/>
        <v>43337.631999999998</v>
      </c>
      <c r="T49" s="1229">
        <v>32163200</v>
      </c>
      <c r="U49" s="1229">
        <f t="shared" si="9"/>
        <v>32163.200000000001</v>
      </c>
      <c r="V49" s="1230"/>
      <c r="W49" s="1217"/>
      <c r="X49" s="1218"/>
    </row>
    <row r="50" spans="1:16384" s="1361" customFormat="1" ht="13.8">
      <c r="A50" s="1360"/>
      <c r="B50" s="1362" t="s">
        <v>2116</v>
      </c>
      <c r="C50" s="1221">
        <v>0</v>
      </c>
      <c r="D50" s="1221">
        <v>64000</v>
      </c>
      <c r="E50" s="1363"/>
      <c r="F50" s="1221">
        <v>64000</v>
      </c>
      <c r="G50" s="1197">
        <f>C50+D50+E50-F50</f>
        <v>0</v>
      </c>
      <c r="H50" s="1239">
        <v>0</v>
      </c>
      <c r="I50" s="1239">
        <v>0</v>
      </c>
      <c r="J50" s="1239">
        <f>I50-H50</f>
        <v>0</v>
      </c>
      <c r="K50" s="1241">
        <f>I50/$X$40</f>
        <v>0</v>
      </c>
      <c r="L50" s="1319">
        <f>I50/$X$41</f>
        <v>0</v>
      </c>
      <c r="M50" s="1364" t="e">
        <f>G50*10/Q50</f>
        <v>#DIV/0!</v>
      </c>
      <c r="N50" s="1360"/>
      <c r="O50" s="1360"/>
      <c r="P50" s="1360"/>
      <c r="Q50" s="1360"/>
      <c r="R50" s="1360"/>
      <c r="S50" s="1360"/>
      <c r="T50" s="1360"/>
      <c r="U50" s="1360"/>
      <c r="V50" s="1360"/>
      <c r="W50" s="1360"/>
      <c r="X50" s="1360"/>
      <c r="Y50" s="1360"/>
      <c r="Z50" s="1360"/>
      <c r="AA50" s="1360"/>
      <c r="AB50" s="1360"/>
      <c r="AC50" s="1360"/>
      <c r="AD50" s="1360"/>
      <c r="AE50" s="1360"/>
      <c r="AF50" s="1360"/>
      <c r="AG50" s="1360"/>
      <c r="AH50" s="1360"/>
      <c r="AI50" s="1360"/>
      <c r="AJ50" s="1360"/>
      <c r="AK50" s="1360"/>
      <c r="AL50" s="1360"/>
      <c r="AM50" s="1360"/>
      <c r="AN50" s="1360"/>
      <c r="AO50" s="1360"/>
      <c r="AP50" s="1360"/>
      <c r="AQ50" s="1360"/>
      <c r="AR50" s="1360"/>
      <c r="AS50" s="1360"/>
      <c r="AT50" s="1360"/>
      <c r="AU50" s="1360"/>
      <c r="AV50" s="1360"/>
      <c r="AW50" s="1360"/>
      <c r="AX50" s="1360"/>
      <c r="AY50" s="1360"/>
      <c r="AZ50" s="1360"/>
      <c r="BA50" s="1360"/>
      <c r="BB50" s="1360"/>
      <c r="BC50" s="1360"/>
      <c r="BD50" s="1360"/>
      <c r="BE50" s="1360"/>
      <c r="BF50" s="1360"/>
      <c r="BG50" s="1360"/>
      <c r="BH50" s="1360"/>
      <c r="BI50" s="1360"/>
      <c r="BJ50" s="1360"/>
      <c r="BK50" s="1360"/>
      <c r="BL50" s="1360"/>
      <c r="BM50" s="1360"/>
      <c r="BN50" s="1360"/>
      <c r="BO50" s="1360"/>
      <c r="BP50" s="1360"/>
      <c r="BQ50" s="1360"/>
      <c r="BR50" s="1360"/>
      <c r="BS50" s="1360"/>
      <c r="BT50" s="1360"/>
      <c r="BU50" s="1360"/>
      <c r="BV50" s="1360"/>
      <c r="BW50" s="1360"/>
      <c r="BX50" s="1360"/>
      <c r="BY50" s="1360"/>
      <c r="BZ50" s="1360"/>
      <c r="CA50" s="1360"/>
      <c r="CB50" s="1360"/>
      <c r="CC50" s="1360"/>
      <c r="CD50" s="1360"/>
      <c r="CE50" s="1360"/>
      <c r="CF50" s="1360"/>
      <c r="CG50" s="1360"/>
      <c r="CH50" s="1360"/>
      <c r="CI50" s="1360"/>
      <c r="CJ50" s="1360"/>
      <c r="CK50" s="1360"/>
      <c r="CL50" s="1360"/>
      <c r="CM50" s="1360"/>
      <c r="CN50" s="1360"/>
      <c r="CO50" s="1360"/>
      <c r="CP50" s="1360"/>
      <c r="CQ50" s="1360"/>
      <c r="CR50" s="1360"/>
      <c r="CS50" s="1360"/>
      <c r="CT50" s="1360"/>
      <c r="CU50" s="1360"/>
      <c r="CV50" s="1360"/>
      <c r="CW50" s="1360"/>
      <c r="CX50" s="1360"/>
      <c r="CY50" s="1360"/>
      <c r="CZ50" s="1360"/>
      <c r="DA50" s="1360"/>
      <c r="DB50" s="1360"/>
      <c r="DC50" s="1360"/>
      <c r="DD50" s="1360"/>
      <c r="DE50" s="1360"/>
      <c r="DF50" s="1360"/>
      <c r="DG50" s="1360"/>
      <c r="DH50" s="1360"/>
      <c r="DI50" s="1360"/>
      <c r="DJ50" s="1360"/>
      <c r="DK50" s="1360"/>
      <c r="DL50" s="1360"/>
      <c r="DM50" s="1360"/>
      <c r="DN50" s="1360"/>
      <c r="DO50" s="1360"/>
      <c r="DP50" s="1360"/>
      <c r="DQ50" s="1360"/>
      <c r="DR50" s="1360"/>
      <c r="DS50" s="1360"/>
      <c r="DT50" s="1360"/>
      <c r="DU50" s="1360"/>
      <c r="DV50" s="1360"/>
      <c r="DW50" s="1360"/>
      <c r="DX50" s="1360"/>
      <c r="DY50" s="1360"/>
      <c r="DZ50" s="1360"/>
      <c r="EA50" s="1360"/>
      <c r="EB50" s="1360"/>
      <c r="EC50" s="1360"/>
      <c r="ED50" s="1360"/>
      <c r="EE50" s="1360"/>
      <c r="EF50" s="1360"/>
      <c r="EG50" s="1360"/>
      <c r="EH50" s="1360"/>
      <c r="EI50" s="1360"/>
      <c r="EJ50" s="1360"/>
      <c r="EK50" s="1360"/>
      <c r="EL50" s="1360"/>
      <c r="EM50" s="1360"/>
      <c r="EN50" s="1360"/>
      <c r="EO50" s="1360"/>
      <c r="EP50" s="1360"/>
      <c r="EQ50" s="1360"/>
      <c r="ER50" s="1360"/>
      <c r="ES50" s="1360"/>
      <c r="ET50" s="1360"/>
      <c r="EU50" s="1360"/>
      <c r="EV50" s="1360"/>
      <c r="EW50" s="1360"/>
      <c r="EX50" s="1360"/>
      <c r="EY50" s="1360"/>
      <c r="EZ50" s="1360"/>
      <c r="FA50" s="1360"/>
      <c r="FB50" s="1360"/>
      <c r="FC50" s="1360"/>
      <c r="FD50" s="1360"/>
      <c r="FE50" s="1360"/>
      <c r="FF50" s="1360"/>
      <c r="FG50" s="1360"/>
      <c r="FH50" s="1360"/>
      <c r="FI50" s="1360"/>
      <c r="FJ50" s="1360"/>
      <c r="FK50" s="1360"/>
      <c r="FL50" s="1360"/>
      <c r="FM50" s="1360"/>
      <c r="FN50" s="1360"/>
      <c r="FO50" s="1360"/>
      <c r="FP50" s="1360"/>
      <c r="FQ50" s="1360"/>
      <c r="FR50" s="1360"/>
      <c r="FS50" s="1360"/>
      <c r="FT50" s="1360"/>
      <c r="FU50" s="1360"/>
      <c r="FV50" s="1360"/>
      <c r="FW50" s="1360"/>
      <c r="FX50" s="1360"/>
      <c r="FY50" s="1360"/>
      <c r="FZ50" s="1360"/>
      <c r="GA50" s="1360"/>
      <c r="GB50" s="1360"/>
      <c r="GC50" s="1360"/>
      <c r="GD50" s="1360"/>
      <c r="GE50" s="1360"/>
      <c r="GF50" s="1360"/>
      <c r="GG50" s="1360"/>
      <c r="GH50" s="1360"/>
      <c r="GI50" s="1360"/>
      <c r="GJ50" s="1360"/>
      <c r="GK50" s="1360"/>
      <c r="GL50" s="1360"/>
      <c r="GM50" s="1360"/>
      <c r="GN50" s="1360"/>
      <c r="GO50" s="1360"/>
      <c r="GP50" s="1360"/>
      <c r="GQ50" s="1360"/>
      <c r="GR50" s="1360"/>
      <c r="GS50" s="1360"/>
      <c r="GT50" s="1360"/>
      <c r="GU50" s="1360"/>
      <c r="GV50" s="1360"/>
      <c r="GW50" s="1360"/>
      <c r="GX50" s="1360"/>
      <c r="GY50" s="1360"/>
      <c r="GZ50" s="1360"/>
      <c r="HA50" s="1360"/>
      <c r="HB50" s="1360"/>
      <c r="HC50" s="1360"/>
      <c r="HD50" s="1360"/>
      <c r="HE50" s="1360"/>
      <c r="HF50" s="1360"/>
      <c r="HG50" s="1360"/>
      <c r="HH50" s="1360"/>
      <c r="HI50" s="1360"/>
      <c r="HJ50" s="1360"/>
      <c r="HK50" s="1360"/>
      <c r="HL50" s="1360"/>
      <c r="HM50" s="1360"/>
      <c r="HN50" s="1360"/>
      <c r="HO50" s="1360"/>
      <c r="HP50" s="1360"/>
      <c r="HQ50" s="1360"/>
      <c r="HR50" s="1360"/>
      <c r="HS50" s="1360"/>
      <c r="HT50" s="1360"/>
      <c r="HU50" s="1360"/>
      <c r="HV50" s="1360"/>
      <c r="HW50" s="1360"/>
      <c r="HX50" s="1360"/>
      <c r="HY50" s="1360"/>
      <c r="HZ50" s="1360"/>
      <c r="IA50" s="1360"/>
      <c r="IB50" s="1360"/>
      <c r="IC50" s="1360"/>
      <c r="ID50" s="1360"/>
      <c r="IE50" s="1360"/>
      <c r="IF50" s="1360"/>
      <c r="IG50" s="1360"/>
      <c r="IH50" s="1360"/>
      <c r="II50" s="1360"/>
      <c r="IJ50" s="1360"/>
      <c r="IK50" s="1360"/>
      <c r="IL50" s="1360"/>
      <c r="IM50" s="1360"/>
      <c r="IN50" s="1360"/>
      <c r="IO50" s="1360"/>
      <c r="IP50" s="1360"/>
      <c r="IQ50" s="1360"/>
      <c r="IR50" s="1360"/>
      <c r="IS50" s="1360"/>
      <c r="IT50" s="1360"/>
      <c r="IU50" s="1360"/>
      <c r="IV50" s="1360"/>
      <c r="IW50" s="1360"/>
      <c r="IX50" s="1360"/>
      <c r="IY50" s="1360"/>
      <c r="IZ50" s="1360"/>
      <c r="JA50" s="1360"/>
      <c r="JB50" s="1360"/>
      <c r="JC50" s="1360"/>
      <c r="JD50" s="1360"/>
      <c r="JE50" s="1360"/>
      <c r="JF50" s="1360"/>
      <c r="JG50" s="1360"/>
      <c r="JH50" s="1360"/>
      <c r="JI50" s="1360"/>
      <c r="JJ50" s="1360"/>
      <c r="JK50" s="1360"/>
      <c r="JL50" s="1360"/>
      <c r="JM50" s="1360"/>
      <c r="JN50" s="1360"/>
      <c r="JO50" s="1360"/>
      <c r="JP50" s="1360"/>
      <c r="JQ50" s="1360"/>
      <c r="JR50" s="1360"/>
      <c r="JS50" s="1360"/>
      <c r="JT50" s="1360"/>
      <c r="JU50" s="1360"/>
      <c r="JV50" s="1360"/>
      <c r="JW50" s="1360"/>
      <c r="JX50" s="1360"/>
      <c r="JY50" s="1360"/>
      <c r="JZ50" s="1360"/>
      <c r="KA50" s="1360"/>
      <c r="KB50" s="1360"/>
      <c r="KC50" s="1360"/>
      <c r="KD50" s="1360"/>
      <c r="KE50" s="1360"/>
      <c r="KF50" s="1360"/>
      <c r="KG50" s="1360"/>
      <c r="KH50" s="1360"/>
      <c r="KI50" s="1360"/>
      <c r="KJ50" s="1360"/>
      <c r="KK50" s="1360"/>
      <c r="KL50" s="1360"/>
      <c r="KM50" s="1360"/>
      <c r="KN50" s="1360"/>
      <c r="KO50" s="1360"/>
      <c r="KP50" s="1360"/>
      <c r="KQ50" s="1360"/>
      <c r="KR50" s="1360"/>
      <c r="KS50" s="1360"/>
      <c r="KT50" s="1360"/>
      <c r="KU50" s="1360"/>
      <c r="KV50" s="1360"/>
      <c r="KW50" s="1360"/>
      <c r="KX50" s="1360"/>
      <c r="KY50" s="1360"/>
      <c r="KZ50" s="1360"/>
      <c r="LA50" s="1360"/>
      <c r="LB50" s="1360"/>
      <c r="LC50" s="1360"/>
      <c r="LD50" s="1360"/>
      <c r="LE50" s="1360"/>
      <c r="LF50" s="1360"/>
      <c r="LG50" s="1360"/>
      <c r="LH50" s="1360"/>
      <c r="LI50" s="1360"/>
      <c r="LJ50" s="1360"/>
      <c r="LK50" s="1360"/>
      <c r="LL50" s="1360"/>
      <c r="LM50" s="1360"/>
      <c r="LN50" s="1360"/>
      <c r="LO50" s="1360"/>
      <c r="LP50" s="1360"/>
      <c r="LQ50" s="1360"/>
      <c r="LR50" s="1360"/>
      <c r="LS50" s="1360"/>
      <c r="LT50" s="1360"/>
      <c r="LU50" s="1360"/>
      <c r="LV50" s="1360"/>
      <c r="LW50" s="1360"/>
      <c r="LX50" s="1360"/>
      <c r="LY50" s="1360"/>
      <c r="LZ50" s="1360"/>
      <c r="MA50" s="1360"/>
      <c r="MB50" s="1360"/>
      <c r="MC50" s="1360"/>
      <c r="MD50" s="1360"/>
      <c r="ME50" s="1360"/>
      <c r="MF50" s="1360"/>
      <c r="MG50" s="1360"/>
      <c r="MH50" s="1360"/>
      <c r="MI50" s="1360"/>
      <c r="MJ50" s="1360"/>
      <c r="MK50" s="1360"/>
      <c r="ML50" s="1360"/>
      <c r="MM50" s="1360"/>
      <c r="MN50" s="1360"/>
      <c r="MO50" s="1360"/>
      <c r="MP50" s="1360"/>
      <c r="MQ50" s="1360"/>
      <c r="MR50" s="1360"/>
      <c r="MS50" s="1360"/>
      <c r="MT50" s="1360"/>
      <c r="MU50" s="1360"/>
      <c r="MV50" s="1360"/>
      <c r="MW50" s="1360"/>
      <c r="MX50" s="1360"/>
      <c r="MY50" s="1360"/>
      <c r="MZ50" s="1360"/>
      <c r="NA50" s="1360"/>
      <c r="NB50" s="1360"/>
      <c r="NC50" s="1360"/>
      <c r="ND50" s="1360"/>
      <c r="NE50" s="1360"/>
      <c r="NF50" s="1360"/>
      <c r="NG50" s="1360"/>
      <c r="NH50" s="1360"/>
      <c r="NI50" s="1360"/>
      <c r="NJ50" s="1360"/>
      <c r="NK50" s="1360"/>
      <c r="NL50" s="1360"/>
      <c r="NM50" s="1360"/>
      <c r="NN50" s="1360"/>
      <c r="NO50" s="1360"/>
      <c r="NP50" s="1360"/>
      <c r="NQ50" s="1360"/>
      <c r="NR50" s="1360"/>
      <c r="NS50" s="1360"/>
      <c r="NT50" s="1360"/>
      <c r="NU50" s="1360"/>
      <c r="NV50" s="1360"/>
      <c r="NW50" s="1360"/>
      <c r="NX50" s="1360"/>
      <c r="NY50" s="1360"/>
      <c r="NZ50" s="1360"/>
      <c r="OA50" s="1360"/>
      <c r="OB50" s="1360"/>
      <c r="OC50" s="1360"/>
      <c r="OD50" s="1360"/>
      <c r="OE50" s="1360"/>
      <c r="OF50" s="1360"/>
      <c r="OG50" s="1360"/>
      <c r="OH50" s="1360"/>
      <c r="OI50" s="1360"/>
      <c r="OJ50" s="1360"/>
      <c r="OK50" s="1360"/>
      <c r="OL50" s="1360"/>
      <c r="OM50" s="1360"/>
      <c r="ON50" s="1360"/>
      <c r="OO50" s="1360"/>
      <c r="OP50" s="1360"/>
      <c r="OQ50" s="1360"/>
      <c r="OR50" s="1360"/>
      <c r="OS50" s="1360"/>
      <c r="OT50" s="1360"/>
      <c r="OU50" s="1360"/>
      <c r="OV50" s="1360"/>
      <c r="OW50" s="1360"/>
      <c r="OX50" s="1360"/>
      <c r="OY50" s="1360"/>
      <c r="OZ50" s="1360"/>
      <c r="PA50" s="1360"/>
      <c r="PB50" s="1360"/>
      <c r="PC50" s="1360"/>
      <c r="PD50" s="1360"/>
      <c r="PE50" s="1360"/>
      <c r="PF50" s="1360"/>
      <c r="PG50" s="1360"/>
      <c r="PH50" s="1360"/>
      <c r="PI50" s="1360"/>
      <c r="PJ50" s="1360"/>
      <c r="PK50" s="1360"/>
      <c r="PL50" s="1360"/>
      <c r="PM50" s="1360"/>
      <c r="PN50" s="1360"/>
      <c r="PO50" s="1360"/>
      <c r="PP50" s="1360"/>
      <c r="PQ50" s="1360"/>
      <c r="PR50" s="1360"/>
      <c r="PS50" s="1360"/>
      <c r="PT50" s="1360"/>
      <c r="PU50" s="1360"/>
      <c r="PV50" s="1360"/>
      <c r="PW50" s="1360"/>
      <c r="PX50" s="1360"/>
      <c r="PY50" s="1360"/>
      <c r="PZ50" s="1360"/>
      <c r="QA50" s="1360"/>
      <c r="QB50" s="1360"/>
      <c r="QC50" s="1360"/>
      <c r="QD50" s="1360"/>
      <c r="QE50" s="1360"/>
      <c r="QF50" s="1360"/>
      <c r="QG50" s="1360"/>
      <c r="QH50" s="1360"/>
      <c r="QI50" s="1360"/>
      <c r="QJ50" s="1360"/>
      <c r="QK50" s="1360"/>
      <c r="QL50" s="1360"/>
      <c r="QM50" s="1360"/>
      <c r="QN50" s="1360"/>
      <c r="QO50" s="1360"/>
      <c r="QP50" s="1360"/>
      <c r="QQ50" s="1360"/>
      <c r="QR50" s="1360"/>
      <c r="QS50" s="1360"/>
      <c r="QT50" s="1360"/>
      <c r="QU50" s="1360"/>
      <c r="QV50" s="1360"/>
      <c r="QW50" s="1360"/>
      <c r="QX50" s="1360"/>
      <c r="QY50" s="1360"/>
      <c r="QZ50" s="1360"/>
      <c r="RA50" s="1360"/>
      <c r="RB50" s="1360"/>
      <c r="RC50" s="1360"/>
      <c r="RD50" s="1360"/>
      <c r="RE50" s="1360"/>
      <c r="RF50" s="1360"/>
      <c r="RG50" s="1360"/>
      <c r="RH50" s="1360"/>
      <c r="RI50" s="1360"/>
      <c r="RJ50" s="1360"/>
      <c r="RK50" s="1360"/>
      <c r="RL50" s="1360"/>
      <c r="RM50" s="1360"/>
      <c r="RN50" s="1360"/>
      <c r="RO50" s="1360"/>
      <c r="RP50" s="1360"/>
      <c r="RQ50" s="1360"/>
      <c r="RR50" s="1360"/>
      <c r="RS50" s="1360"/>
      <c r="RT50" s="1360"/>
      <c r="RU50" s="1360"/>
      <c r="RV50" s="1360"/>
      <c r="RW50" s="1360"/>
      <c r="RX50" s="1360"/>
      <c r="RY50" s="1360"/>
      <c r="RZ50" s="1360"/>
      <c r="SA50" s="1360"/>
      <c r="SB50" s="1360"/>
      <c r="SC50" s="1360"/>
      <c r="SD50" s="1360"/>
      <c r="SE50" s="1360"/>
      <c r="SF50" s="1360"/>
      <c r="SG50" s="1360"/>
      <c r="SH50" s="1360"/>
      <c r="SI50" s="1360"/>
      <c r="SJ50" s="1360"/>
      <c r="SK50" s="1360"/>
      <c r="SL50" s="1360"/>
      <c r="SM50" s="1360"/>
      <c r="SN50" s="1360"/>
      <c r="SO50" s="1360"/>
      <c r="SP50" s="1360"/>
      <c r="SQ50" s="1360"/>
      <c r="SR50" s="1360"/>
      <c r="SS50" s="1360"/>
      <c r="ST50" s="1360"/>
      <c r="SU50" s="1360"/>
      <c r="SV50" s="1360"/>
      <c r="SW50" s="1360"/>
      <c r="SX50" s="1360"/>
      <c r="SY50" s="1360"/>
      <c r="SZ50" s="1360"/>
      <c r="TA50" s="1360"/>
      <c r="TB50" s="1360"/>
      <c r="TC50" s="1360"/>
      <c r="TD50" s="1360"/>
      <c r="TE50" s="1360"/>
      <c r="TF50" s="1360"/>
      <c r="TG50" s="1360"/>
      <c r="TH50" s="1360"/>
      <c r="TI50" s="1360"/>
      <c r="TJ50" s="1360"/>
      <c r="TK50" s="1360"/>
      <c r="TL50" s="1360"/>
      <c r="TM50" s="1360"/>
      <c r="TN50" s="1360"/>
      <c r="TO50" s="1360"/>
      <c r="TP50" s="1360"/>
      <c r="TQ50" s="1360"/>
      <c r="TR50" s="1360"/>
      <c r="TS50" s="1360"/>
      <c r="TT50" s="1360"/>
      <c r="TU50" s="1360"/>
      <c r="TV50" s="1360"/>
      <c r="TW50" s="1360"/>
      <c r="TX50" s="1360"/>
      <c r="TY50" s="1360"/>
      <c r="TZ50" s="1360"/>
      <c r="UA50" s="1360"/>
      <c r="UB50" s="1360"/>
      <c r="UC50" s="1360"/>
      <c r="UD50" s="1360"/>
      <c r="UE50" s="1360"/>
      <c r="UF50" s="1360"/>
      <c r="UG50" s="1360"/>
      <c r="UH50" s="1360"/>
      <c r="UI50" s="1360"/>
      <c r="UJ50" s="1360"/>
      <c r="UK50" s="1360"/>
      <c r="UL50" s="1360"/>
      <c r="UM50" s="1360"/>
      <c r="UN50" s="1360"/>
      <c r="UO50" s="1360"/>
      <c r="UP50" s="1360"/>
      <c r="UQ50" s="1360"/>
      <c r="UR50" s="1360"/>
      <c r="US50" s="1360"/>
      <c r="UT50" s="1360"/>
      <c r="UU50" s="1360"/>
      <c r="UV50" s="1360"/>
      <c r="UW50" s="1360"/>
      <c r="UX50" s="1360"/>
      <c r="UY50" s="1360"/>
      <c r="UZ50" s="1360"/>
      <c r="VA50" s="1360"/>
      <c r="VB50" s="1360"/>
      <c r="VC50" s="1360"/>
      <c r="VD50" s="1360"/>
      <c r="VE50" s="1360"/>
      <c r="VF50" s="1360"/>
      <c r="VG50" s="1360"/>
      <c r="VH50" s="1360"/>
      <c r="VI50" s="1360"/>
      <c r="VJ50" s="1360"/>
      <c r="VK50" s="1360"/>
      <c r="VL50" s="1360"/>
      <c r="VM50" s="1360"/>
      <c r="VN50" s="1360"/>
      <c r="VO50" s="1360"/>
      <c r="VP50" s="1360"/>
      <c r="VQ50" s="1360"/>
      <c r="VR50" s="1360"/>
      <c r="VS50" s="1360"/>
      <c r="VT50" s="1360"/>
      <c r="VU50" s="1360"/>
      <c r="VV50" s="1360"/>
      <c r="VW50" s="1360"/>
      <c r="VX50" s="1360"/>
      <c r="VY50" s="1360"/>
      <c r="VZ50" s="1360"/>
      <c r="WA50" s="1360"/>
      <c r="WB50" s="1360"/>
      <c r="WC50" s="1360"/>
      <c r="WD50" s="1360"/>
      <c r="WE50" s="1360"/>
      <c r="WF50" s="1360"/>
      <c r="WG50" s="1360"/>
      <c r="WH50" s="1360"/>
      <c r="WI50" s="1360"/>
      <c r="WJ50" s="1360"/>
      <c r="WK50" s="1360"/>
      <c r="WL50" s="1360"/>
      <c r="WM50" s="1360"/>
      <c r="WN50" s="1360"/>
      <c r="WO50" s="1360"/>
      <c r="WP50" s="1360"/>
      <c r="WQ50" s="1360"/>
      <c r="WR50" s="1360"/>
      <c r="WS50" s="1360"/>
      <c r="WT50" s="1360"/>
      <c r="WU50" s="1360"/>
      <c r="WV50" s="1360"/>
      <c r="WW50" s="1360"/>
      <c r="WX50" s="1360"/>
      <c r="WY50" s="1360"/>
      <c r="WZ50" s="1360"/>
      <c r="XA50" s="1360"/>
      <c r="XB50" s="1360"/>
      <c r="XC50" s="1360"/>
      <c r="XD50" s="1360"/>
      <c r="XE50" s="1360"/>
      <c r="XF50" s="1360"/>
      <c r="XG50" s="1360"/>
      <c r="XH50" s="1360"/>
      <c r="XI50" s="1360"/>
      <c r="XJ50" s="1360"/>
      <c r="XK50" s="1360"/>
      <c r="XL50" s="1360"/>
      <c r="XM50" s="1360"/>
      <c r="XN50" s="1360"/>
      <c r="XO50" s="1360"/>
      <c r="XP50" s="1360"/>
      <c r="XQ50" s="1360"/>
      <c r="XR50" s="1360"/>
      <c r="XS50" s="1360"/>
      <c r="XT50" s="1360"/>
      <c r="XU50" s="1360"/>
      <c r="XV50" s="1360"/>
      <c r="XW50" s="1360"/>
      <c r="XX50" s="1360"/>
      <c r="XY50" s="1360"/>
      <c r="XZ50" s="1360"/>
      <c r="YA50" s="1360"/>
      <c r="YB50" s="1360"/>
      <c r="YC50" s="1360"/>
      <c r="YD50" s="1360"/>
      <c r="YE50" s="1360"/>
      <c r="YF50" s="1360"/>
      <c r="YG50" s="1360"/>
      <c r="YH50" s="1360"/>
      <c r="YI50" s="1360"/>
      <c r="YJ50" s="1360"/>
      <c r="YK50" s="1360"/>
      <c r="YL50" s="1360"/>
      <c r="YM50" s="1360"/>
      <c r="YN50" s="1360"/>
      <c r="YO50" s="1360"/>
      <c r="YP50" s="1360"/>
      <c r="YQ50" s="1360"/>
      <c r="YR50" s="1360"/>
      <c r="YS50" s="1360"/>
      <c r="YT50" s="1360"/>
      <c r="YU50" s="1360"/>
      <c r="YV50" s="1360"/>
      <c r="YW50" s="1360"/>
      <c r="YX50" s="1360"/>
      <c r="YY50" s="1360"/>
      <c r="YZ50" s="1360"/>
      <c r="ZA50" s="1360"/>
      <c r="ZB50" s="1360"/>
      <c r="ZC50" s="1360"/>
      <c r="ZD50" s="1360"/>
      <c r="ZE50" s="1360"/>
      <c r="ZF50" s="1360"/>
      <c r="ZG50" s="1360"/>
      <c r="ZH50" s="1360"/>
      <c r="ZI50" s="1360"/>
      <c r="ZJ50" s="1360"/>
      <c r="ZK50" s="1360"/>
      <c r="ZL50" s="1360"/>
      <c r="ZM50" s="1360"/>
      <c r="ZN50" s="1360"/>
      <c r="ZO50" s="1360"/>
      <c r="ZP50" s="1360"/>
      <c r="ZQ50" s="1360"/>
      <c r="ZR50" s="1360"/>
      <c r="ZS50" s="1360"/>
      <c r="ZT50" s="1360"/>
      <c r="ZU50" s="1360"/>
      <c r="ZV50" s="1360"/>
      <c r="ZW50" s="1360"/>
      <c r="ZX50" s="1360"/>
      <c r="ZY50" s="1360"/>
      <c r="ZZ50" s="1360"/>
      <c r="AAA50" s="1360"/>
      <c r="AAB50" s="1360"/>
      <c r="AAC50" s="1360"/>
      <c r="AAD50" s="1360"/>
      <c r="AAE50" s="1360"/>
      <c r="AAF50" s="1360"/>
      <c r="AAG50" s="1360"/>
      <c r="AAH50" s="1360"/>
      <c r="AAI50" s="1360"/>
      <c r="AAJ50" s="1360"/>
      <c r="AAK50" s="1360"/>
      <c r="AAL50" s="1360"/>
      <c r="AAM50" s="1360"/>
      <c r="AAN50" s="1360"/>
      <c r="AAO50" s="1360"/>
      <c r="AAP50" s="1360"/>
      <c r="AAQ50" s="1360"/>
      <c r="AAR50" s="1360"/>
      <c r="AAS50" s="1360"/>
      <c r="AAT50" s="1360"/>
      <c r="AAU50" s="1360"/>
      <c r="AAV50" s="1360"/>
      <c r="AAW50" s="1360"/>
      <c r="AAX50" s="1360"/>
      <c r="AAY50" s="1360"/>
      <c r="AAZ50" s="1360"/>
      <c r="ABA50" s="1360"/>
      <c r="ABB50" s="1360"/>
      <c r="ABC50" s="1360"/>
      <c r="ABD50" s="1360"/>
      <c r="ABE50" s="1360"/>
      <c r="ABF50" s="1360"/>
      <c r="ABG50" s="1360"/>
      <c r="ABH50" s="1360"/>
      <c r="ABI50" s="1360"/>
      <c r="ABJ50" s="1360"/>
      <c r="ABK50" s="1360"/>
      <c r="ABL50" s="1360"/>
      <c r="ABM50" s="1360"/>
      <c r="ABN50" s="1360"/>
      <c r="ABO50" s="1360"/>
      <c r="ABP50" s="1360"/>
      <c r="ABQ50" s="1360"/>
      <c r="ABR50" s="1360"/>
      <c r="ABS50" s="1360"/>
      <c r="ABT50" s="1360"/>
      <c r="ABU50" s="1360"/>
      <c r="ABV50" s="1360"/>
      <c r="ABW50" s="1360"/>
      <c r="ABX50" s="1360"/>
      <c r="ABY50" s="1360"/>
      <c r="ABZ50" s="1360"/>
      <c r="ACA50" s="1360"/>
      <c r="ACB50" s="1360"/>
      <c r="ACC50" s="1360"/>
      <c r="ACD50" s="1360"/>
      <c r="ACE50" s="1360"/>
      <c r="ACF50" s="1360"/>
      <c r="ACG50" s="1360"/>
      <c r="ACH50" s="1360"/>
      <c r="ACI50" s="1360"/>
      <c r="ACJ50" s="1360"/>
      <c r="ACK50" s="1360"/>
      <c r="ACL50" s="1360"/>
      <c r="ACM50" s="1360"/>
      <c r="ACN50" s="1360"/>
      <c r="ACO50" s="1360"/>
      <c r="ACP50" s="1360"/>
      <c r="ACQ50" s="1360"/>
      <c r="ACR50" s="1360"/>
      <c r="ACS50" s="1360"/>
      <c r="ACT50" s="1360"/>
      <c r="ACU50" s="1360"/>
      <c r="ACV50" s="1360"/>
      <c r="ACW50" s="1360"/>
      <c r="ACX50" s="1360"/>
      <c r="ACY50" s="1360"/>
      <c r="ACZ50" s="1360"/>
      <c r="ADA50" s="1360"/>
      <c r="ADB50" s="1360"/>
      <c r="ADC50" s="1360"/>
      <c r="ADD50" s="1360"/>
      <c r="ADE50" s="1360"/>
      <c r="ADF50" s="1360"/>
      <c r="ADG50" s="1360"/>
      <c r="ADH50" s="1360"/>
      <c r="ADI50" s="1360"/>
      <c r="ADJ50" s="1360"/>
      <c r="ADK50" s="1360"/>
      <c r="ADL50" s="1360"/>
      <c r="ADM50" s="1360"/>
      <c r="ADN50" s="1360"/>
      <c r="ADO50" s="1360"/>
      <c r="ADP50" s="1360"/>
      <c r="ADQ50" s="1360"/>
      <c r="ADR50" s="1360"/>
      <c r="ADS50" s="1360"/>
      <c r="ADT50" s="1360"/>
      <c r="ADU50" s="1360"/>
      <c r="ADV50" s="1360"/>
      <c r="ADW50" s="1360"/>
      <c r="ADX50" s="1360"/>
      <c r="ADY50" s="1360"/>
      <c r="ADZ50" s="1360"/>
      <c r="AEA50" s="1360"/>
      <c r="AEB50" s="1360"/>
      <c r="AEC50" s="1360"/>
      <c r="AED50" s="1360"/>
      <c r="AEE50" s="1360"/>
      <c r="AEF50" s="1360"/>
      <c r="AEG50" s="1360"/>
      <c r="AEH50" s="1360"/>
      <c r="AEI50" s="1360"/>
      <c r="AEJ50" s="1360"/>
      <c r="AEK50" s="1360"/>
      <c r="AEL50" s="1360"/>
      <c r="AEM50" s="1360"/>
      <c r="AEN50" s="1360"/>
      <c r="AEO50" s="1360"/>
      <c r="AEP50" s="1360"/>
      <c r="AEQ50" s="1360"/>
      <c r="AER50" s="1360"/>
      <c r="AES50" s="1360"/>
      <c r="AET50" s="1360"/>
      <c r="AEU50" s="1360"/>
      <c r="AEV50" s="1360"/>
      <c r="AEW50" s="1360"/>
      <c r="AEX50" s="1360"/>
      <c r="AEY50" s="1360"/>
      <c r="AEZ50" s="1360"/>
      <c r="AFA50" s="1360"/>
      <c r="AFB50" s="1360"/>
      <c r="AFC50" s="1360"/>
      <c r="AFD50" s="1360"/>
      <c r="AFE50" s="1360"/>
      <c r="AFF50" s="1360"/>
      <c r="AFG50" s="1360"/>
      <c r="AFH50" s="1360"/>
      <c r="AFI50" s="1360"/>
      <c r="AFJ50" s="1360"/>
      <c r="AFK50" s="1360"/>
      <c r="AFL50" s="1360"/>
      <c r="AFM50" s="1360"/>
      <c r="AFN50" s="1360"/>
      <c r="AFO50" s="1360"/>
      <c r="AFP50" s="1360"/>
      <c r="AFQ50" s="1360"/>
      <c r="AFR50" s="1360"/>
      <c r="AFS50" s="1360"/>
      <c r="AFT50" s="1360"/>
      <c r="AFU50" s="1360"/>
      <c r="AFV50" s="1360"/>
      <c r="AFW50" s="1360"/>
      <c r="AFX50" s="1360"/>
      <c r="AFY50" s="1360"/>
      <c r="AFZ50" s="1360"/>
      <c r="AGA50" s="1360"/>
      <c r="AGB50" s="1360"/>
      <c r="AGC50" s="1360"/>
      <c r="AGD50" s="1360"/>
      <c r="AGE50" s="1360"/>
      <c r="AGF50" s="1360"/>
      <c r="AGG50" s="1360"/>
      <c r="AGH50" s="1360"/>
      <c r="AGI50" s="1360"/>
      <c r="AGJ50" s="1360"/>
      <c r="AGK50" s="1360"/>
      <c r="AGL50" s="1360"/>
      <c r="AGM50" s="1360"/>
      <c r="AGN50" s="1360"/>
      <c r="AGO50" s="1360"/>
      <c r="AGP50" s="1360"/>
      <c r="AGQ50" s="1360"/>
      <c r="AGR50" s="1360"/>
      <c r="AGS50" s="1360"/>
      <c r="AGT50" s="1360"/>
      <c r="AGU50" s="1360"/>
      <c r="AGV50" s="1360"/>
      <c r="AGW50" s="1360"/>
      <c r="AGX50" s="1360"/>
      <c r="AGY50" s="1360"/>
      <c r="AGZ50" s="1360"/>
      <c r="AHA50" s="1360"/>
      <c r="AHB50" s="1360"/>
      <c r="AHC50" s="1360"/>
      <c r="AHD50" s="1360"/>
      <c r="AHE50" s="1360"/>
      <c r="AHF50" s="1360"/>
      <c r="AHG50" s="1360"/>
      <c r="AHH50" s="1360"/>
      <c r="AHI50" s="1360"/>
      <c r="AHJ50" s="1360"/>
      <c r="AHK50" s="1360"/>
      <c r="AHL50" s="1360"/>
      <c r="AHM50" s="1360"/>
      <c r="AHN50" s="1360"/>
      <c r="AHO50" s="1360"/>
      <c r="AHP50" s="1360"/>
      <c r="AHQ50" s="1360"/>
      <c r="AHR50" s="1360"/>
      <c r="AHS50" s="1360"/>
      <c r="AHT50" s="1360"/>
      <c r="AHU50" s="1360"/>
      <c r="AHV50" s="1360"/>
      <c r="AHW50" s="1360"/>
      <c r="AHX50" s="1360"/>
      <c r="AHY50" s="1360"/>
      <c r="AHZ50" s="1360"/>
      <c r="AIA50" s="1360"/>
      <c r="AIB50" s="1360"/>
      <c r="AIC50" s="1360"/>
      <c r="AID50" s="1360"/>
      <c r="AIE50" s="1360"/>
      <c r="AIF50" s="1360"/>
      <c r="AIG50" s="1360"/>
      <c r="AIH50" s="1360"/>
      <c r="AII50" s="1360"/>
      <c r="AIJ50" s="1360"/>
      <c r="AIK50" s="1360"/>
      <c r="AIL50" s="1360"/>
      <c r="AIM50" s="1360"/>
      <c r="AIN50" s="1360"/>
      <c r="AIO50" s="1360"/>
      <c r="AIP50" s="1360"/>
      <c r="AIQ50" s="1360"/>
      <c r="AIR50" s="1360"/>
      <c r="AIS50" s="1360"/>
      <c r="AIT50" s="1360"/>
      <c r="AIU50" s="1360"/>
      <c r="AIV50" s="1360"/>
      <c r="AIW50" s="1360"/>
      <c r="AIX50" s="1360"/>
      <c r="AIY50" s="1360"/>
      <c r="AIZ50" s="1360"/>
      <c r="AJA50" s="1360"/>
      <c r="AJB50" s="1360"/>
      <c r="AJC50" s="1360"/>
      <c r="AJD50" s="1360"/>
      <c r="AJE50" s="1360"/>
      <c r="AJF50" s="1360"/>
      <c r="AJG50" s="1360"/>
      <c r="AJH50" s="1360"/>
      <c r="AJI50" s="1360"/>
      <c r="AJJ50" s="1360"/>
      <c r="AJK50" s="1360"/>
      <c r="AJL50" s="1360"/>
      <c r="AJM50" s="1360"/>
      <c r="AJN50" s="1360"/>
      <c r="AJO50" s="1360"/>
      <c r="AJP50" s="1360"/>
      <c r="AJQ50" s="1360"/>
      <c r="AJR50" s="1360"/>
      <c r="AJS50" s="1360"/>
      <c r="AJT50" s="1360"/>
      <c r="AJU50" s="1360"/>
      <c r="AJV50" s="1360"/>
      <c r="AJW50" s="1360"/>
      <c r="AJX50" s="1360"/>
      <c r="AJY50" s="1360"/>
      <c r="AJZ50" s="1360"/>
      <c r="AKA50" s="1360"/>
      <c r="AKB50" s="1360"/>
      <c r="AKC50" s="1360"/>
      <c r="AKD50" s="1360"/>
      <c r="AKE50" s="1360"/>
      <c r="AKF50" s="1360"/>
      <c r="AKG50" s="1360"/>
      <c r="AKH50" s="1360"/>
      <c r="AKI50" s="1360"/>
      <c r="AKJ50" s="1360"/>
      <c r="AKK50" s="1360"/>
      <c r="AKL50" s="1360"/>
      <c r="AKM50" s="1360"/>
      <c r="AKN50" s="1360"/>
      <c r="AKO50" s="1360"/>
      <c r="AKP50" s="1360"/>
      <c r="AKQ50" s="1360"/>
      <c r="AKR50" s="1360"/>
      <c r="AKS50" s="1360"/>
      <c r="AKT50" s="1360"/>
      <c r="AKU50" s="1360"/>
      <c r="AKV50" s="1360"/>
      <c r="AKW50" s="1360"/>
      <c r="AKX50" s="1360"/>
      <c r="AKY50" s="1360"/>
      <c r="AKZ50" s="1360"/>
      <c r="ALA50" s="1360"/>
      <c r="ALB50" s="1360"/>
      <c r="ALC50" s="1360"/>
      <c r="ALD50" s="1360"/>
      <c r="ALE50" s="1360"/>
      <c r="ALF50" s="1360"/>
      <c r="ALG50" s="1360"/>
      <c r="ALH50" s="1360"/>
      <c r="ALI50" s="1360"/>
      <c r="ALJ50" s="1360"/>
      <c r="ALK50" s="1360"/>
      <c r="ALL50" s="1360"/>
      <c r="ALM50" s="1360"/>
      <c r="ALN50" s="1360"/>
      <c r="ALO50" s="1360"/>
      <c r="ALP50" s="1360"/>
      <c r="ALQ50" s="1360"/>
      <c r="ALR50" s="1360"/>
      <c r="ALS50" s="1360"/>
      <c r="ALT50" s="1360"/>
      <c r="ALU50" s="1360"/>
      <c r="ALV50" s="1360"/>
      <c r="ALW50" s="1360"/>
      <c r="ALX50" s="1360"/>
      <c r="ALY50" s="1360"/>
      <c r="ALZ50" s="1360"/>
      <c r="AMA50" s="1360"/>
      <c r="AMB50" s="1360"/>
      <c r="AMC50" s="1360"/>
      <c r="AMD50" s="1360"/>
      <c r="AME50" s="1360"/>
      <c r="AMF50" s="1360"/>
      <c r="AMG50" s="1360"/>
      <c r="AMH50" s="1360"/>
      <c r="AMI50" s="1360"/>
      <c r="AMJ50" s="1360"/>
      <c r="AMK50" s="1360"/>
      <c r="AML50" s="1360"/>
      <c r="AMM50" s="1360"/>
      <c r="AMN50" s="1360"/>
      <c r="AMO50" s="1360"/>
      <c r="AMP50" s="1360"/>
      <c r="AMQ50" s="1360"/>
      <c r="AMR50" s="1360"/>
      <c r="AMS50" s="1360"/>
      <c r="AMT50" s="1360"/>
      <c r="AMU50" s="1360"/>
      <c r="AMV50" s="1360"/>
      <c r="AMW50" s="1360"/>
      <c r="AMX50" s="1360"/>
      <c r="AMY50" s="1360"/>
      <c r="AMZ50" s="1360"/>
      <c r="ANA50" s="1360"/>
      <c r="ANB50" s="1360"/>
      <c r="ANC50" s="1360"/>
      <c r="AND50" s="1360"/>
      <c r="ANE50" s="1360"/>
      <c r="ANF50" s="1360"/>
      <c r="ANG50" s="1360"/>
      <c r="ANH50" s="1360"/>
      <c r="ANI50" s="1360"/>
      <c r="ANJ50" s="1360"/>
      <c r="ANK50" s="1360"/>
      <c r="ANL50" s="1360"/>
      <c r="ANM50" s="1360"/>
      <c r="ANN50" s="1360"/>
      <c r="ANO50" s="1360"/>
      <c r="ANP50" s="1360"/>
      <c r="ANQ50" s="1360"/>
      <c r="ANR50" s="1360"/>
      <c r="ANS50" s="1360"/>
      <c r="ANT50" s="1360"/>
      <c r="ANU50" s="1360"/>
      <c r="ANV50" s="1360"/>
      <c r="ANW50" s="1360"/>
      <c r="ANX50" s="1360"/>
      <c r="ANY50" s="1360"/>
      <c r="ANZ50" s="1360"/>
      <c r="AOA50" s="1360"/>
      <c r="AOB50" s="1360"/>
      <c r="AOC50" s="1360"/>
      <c r="AOD50" s="1360"/>
      <c r="AOE50" s="1360"/>
      <c r="AOF50" s="1360"/>
      <c r="AOG50" s="1360"/>
      <c r="AOH50" s="1360"/>
      <c r="AOI50" s="1360"/>
      <c r="AOJ50" s="1360"/>
      <c r="AOK50" s="1360"/>
      <c r="AOL50" s="1360"/>
      <c r="AOM50" s="1360"/>
      <c r="AON50" s="1360"/>
      <c r="AOO50" s="1360"/>
      <c r="AOP50" s="1360"/>
      <c r="AOQ50" s="1360"/>
      <c r="AOR50" s="1360"/>
      <c r="AOS50" s="1360"/>
      <c r="AOT50" s="1360"/>
      <c r="AOU50" s="1360"/>
      <c r="AOV50" s="1360"/>
      <c r="AOW50" s="1360"/>
      <c r="AOX50" s="1360"/>
      <c r="AOY50" s="1360"/>
      <c r="AOZ50" s="1360"/>
      <c r="APA50" s="1360"/>
      <c r="APB50" s="1360"/>
      <c r="APC50" s="1360"/>
      <c r="APD50" s="1360"/>
      <c r="APE50" s="1360"/>
      <c r="APF50" s="1360"/>
      <c r="APG50" s="1360"/>
      <c r="APH50" s="1360"/>
      <c r="API50" s="1360"/>
      <c r="APJ50" s="1360"/>
      <c r="APK50" s="1360"/>
      <c r="APL50" s="1360"/>
      <c r="APM50" s="1360"/>
      <c r="APN50" s="1360"/>
      <c r="APO50" s="1360"/>
      <c r="APP50" s="1360"/>
      <c r="APQ50" s="1360"/>
      <c r="APR50" s="1360"/>
      <c r="APS50" s="1360"/>
      <c r="APT50" s="1360"/>
      <c r="APU50" s="1360"/>
      <c r="APV50" s="1360"/>
      <c r="APW50" s="1360"/>
      <c r="APX50" s="1360"/>
      <c r="APY50" s="1360"/>
      <c r="APZ50" s="1360"/>
      <c r="AQA50" s="1360"/>
      <c r="AQB50" s="1360"/>
      <c r="AQC50" s="1360"/>
      <c r="AQD50" s="1360"/>
      <c r="AQE50" s="1360"/>
      <c r="AQF50" s="1360"/>
      <c r="AQG50" s="1360"/>
      <c r="AQH50" s="1360"/>
      <c r="AQI50" s="1360"/>
      <c r="AQJ50" s="1360"/>
      <c r="AQK50" s="1360"/>
      <c r="AQL50" s="1360"/>
      <c r="AQM50" s="1360"/>
      <c r="AQN50" s="1360"/>
      <c r="AQO50" s="1360"/>
      <c r="AQP50" s="1360"/>
      <c r="AQQ50" s="1360"/>
      <c r="AQR50" s="1360"/>
      <c r="AQS50" s="1360"/>
      <c r="AQT50" s="1360"/>
      <c r="AQU50" s="1360"/>
      <c r="AQV50" s="1360"/>
      <c r="AQW50" s="1360"/>
      <c r="AQX50" s="1360"/>
      <c r="AQY50" s="1360"/>
      <c r="AQZ50" s="1360"/>
      <c r="ARA50" s="1360"/>
      <c r="ARB50" s="1360"/>
      <c r="ARC50" s="1360"/>
      <c r="ARD50" s="1360"/>
      <c r="ARE50" s="1360"/>
      <c r="ARF50" s="1360"/>
      <c r="ARG50" s="1360"/>
      <c r="ARH50" s="1360"/>
      <c r="ARI50" s="1360"/>
      <c r="ARJ50" s="1360"/>
      <c r="ARK50" s="1360"/>
      <c r="ARL50" s="1360"/>
      <c r="ARM50" s="1360"/>
      <c r="ARN50" s="1360"/>
      <c r="ARO50" s="1360"/>
      <c r="ARP50" s="1360"/>
      <c r="ARQ50" s="1360"/>
      <c r="ARR50" s="1360"/>
      <c r="ARS50" s="1360"/>
      <c r="ART50" s="1360"/>
      <c r="ARU50" s="1360"/>
      <c r="ARV50" s="1360"/>
      <c r="ARW50" s="1360"/>
      <c r="ARX50" s="1360"/>
      <c r="ARY50" s="1360"/>
      <c r="ARZ50" s="1360"/>
      <c r="ASA50" s="1360"/>
      <c r="ASB50" s="1360"/>
      <c r="ASC50" s="1360"/>
      <c r="ASD50" s="1360"/>
      <c r="ASE50" s="1360"/>
      <c r="ASF50" s="1360"/>
      <c r="ASG50" s="1360"/>
      <c r="ASH50" s="1360"/>
      <c r="ASI50" s="1360"/>
      <c r="ASJ50" s="1360"/>
      <c r="ASK50" s="1360"/>
      <c r="ASL50" s="1360"/>
      <c r="ASM50" s="1360"/>
      <c r="ASN50" s="1360"/>
      <c r="ASO50" s="1360"/>
      <c r="ASP50" s="1360"/>
      <c r="ASQ50" s="1360"/>
      <c r="ASR50" s="1360"/>
      <c r="ASS50" s="1360"/>
      <c r="AST50" s="1360"/>
      <c r="ASU50" s="1360"/>
      <c r="ASV50" s="1360"/>
      <c r="ASW50" s="1360"/>
      <c r="ASX50" s="1360"/>
      <c r="ASY50" s="1360"/>
      <c r="ASZ50" s="1360"/>
      <c r="ATA50" s="1360"/>
      <c r="ATB50" s="1360"/>
      <c r="ATC50" s="1360"/>
      <c r="ATD50" s="1360"/>
      <c r="ATE50" s="1360"/>
      <c r="ATF50" s="1360"/>
      <c r="ATG50" s="1360"/>
      <c r="ATH50" s="1360"/>
      <c r="ATI50" s="1360"/>
      <c r="ATJ50" s="1360"/>
      <c r="ATK50" s="1360"/>
      <c r="ATL50" s="1360"/>
      <c r="ATM50" s="1360"/>
      <c r="ATN50" s="1360"/>
      <c r="ATO50" s="1360"/>
      <c r="ATP50" s="1360"/>
      <c r="ATQ50" s="1360"/>
      <c r="ATR50" s="1360"/>
      <c r="ATS50" s="1360"/>
      <c r="ATT50" s="1360"/>
      <c r="ATU50" s="1360"/>
      <c r="ATV50" s="1360"/>
      <c r="ATW50" s="1360"/>
      <c r="ATX50" s="1360"/>
      <c r="ATY50" s="1360"/>
      <c r="ATZ50" s="1360"/>
      <c r="AUA50" s="1360"/>
      <c r="AUB50" s="1360"/>
      <c r="AUC50" s="1360"/>
      <c r="AUD50" s="1360"/>
      <c r="AUE50" s="1360"/>
      <c r="AUF50" s="1360"/>
      <c r="AUG50" s="1360"/>
      <c r="AUH50" s="1360"/>
      <c r="AUI50" s="1360"/>
      <c r="AUJ50" s="1360"/>
      <c r="AUK50" s="1360"/>
      <c r="AUL50" s="1360"/>
      <c r="AUM50" s="1360"/>
      <c r="AUN50" s="1360"/>
      <c r="AUO50" s="1360"/>
      <c r="AUP50" s="1360"/>
      <c r="AUQ50" s="1360"/>
      <c r="AUR50" s="1360"/>
      <c r="AUS50" s="1360"/>
      <c r="AUT50" s="1360"/>
      <c r="AUU50" s="1360"/>
      <c r="AUV50" s="1360"/>
      <c r="AUW50" s="1360"/>
      <c r="AUX50" s="1360"/>
      <c r="AUY50" s="1360"/>
      <c r="AUZ50" s="1360"/>
      <c r="AVA50" s="1360"/>
      <c r="AVB50" s="1360"/>
      <c r="AVC50" s="1360"/>
      <c r="AVD50" s="1360"/>
      <c r="AVE50" s="1360"/>
      <c r="AVF50" s="1360"/>
      <c r="AVG50" s="1360"/>
      <c r="AVH50" s="1360"/>
      <c r="AVI50" s="1360"/>
      <c r="AVJ50" s="1360"/>
      <c r="AVK50" s="1360"/>
      <c r="AVL50" s="1360"/>
      <c r="AVM50" s="1360"/>
      <c r="AVN50" s="1360"/>
      <c r="AVO50" s="1360"/>
      <c r="AVP50" s="1360"/>
      <c r="AVQ50" s="1360"/>
      <c r="AVR50" s="1360"/>
      <c r="AVS50" s="1360"/>
      <c r="AVT50" s="1360"/>
      <c r="AVU50" s="1360"/>
      <c r="AVV50" s="1360"/>
      <c r="AVW50" s="1360"/>
      <c r="AVX50" s="1360"/>
      <c r="AVY50" s="1360"/>
      <c r="AVZ50" s="1360"/>
      <c r="AWA50" s="1360"/>
      <c r="AWB50" s="1360"/>
      <c r="AWC50" s="1360"/>
      <c r="AWD50" s="1360"/>
      <c r="AWE50" s="1360"/>
      <c r="AWF50" s="1360"/>
      <c r="AWG50" s="1360"/>
      <c r="AWH50" s="1360"/>
      <c r="AWI50" s="1360"/>
      <c r="AWJ50" s="1360"/>
      <c r="AWK50" s="1360"/>
      <c r="AWL50" s="1360"/>
      <c r="AWM50" s="1360"/>
      <c r="AWN50" s="1360"/>
      <c r="AWO50" s="1360"/>
      <c r="AWP50" s="1360"/>
      <c r="AWQ50" s="1360"/>
      <c r="AWR50" s="1360"/>
      <c r="AWS50" s="1360"/>
      <c r="AWT50" s="1360"/>
      <c r="AWU50" s="1360"/>
      <c r="AWV50" s="1360"/>
      <c r="AWW50" s="1360"/>
      <c r="AWX50" s="1360"/>
      <c r="AWY50" s="1360"/>
      <c r="AWZ50" s="1360"/>
      <c r="AXA50" s="1360"/>
      <c r="AXB50" s="1360"/>
      <c r="AXC50" s="1360"/>
      <c r="AXD50" s="1360"/>
      <c r="AXE50" s="1360"/>
      <c r="AXF50" s="1360"/>
      <c r="AXG50" s="1360"/>
      <c r="AXH50" s="1360"/>
      <c r="AXI50" s="1360"/>
      <c r="AXJ50" s="1360"/>
      <c r="AXK50" s="1360"/>
      <c r="AXL50" s="1360"/>
      <c r="AXM50" s="1360"/>
      <c r="AXN50" s="1360"/>
      <c r="AXO50" s="1360"/>
      <c r="AXP50" s="1360"/>
      <c r="AXQ50" s="1360"/>
      <c r="AXR50" s="1360"/>
      <c r="AXS50" s="1360"/>
      <c r="AXT50" s="1360"/>
      <c r="AXU50" s="1360"/>
      <c r="AXV50" s="1360"/>
      <c r="AXW50" s="1360"/>
      <c r="AXX50" s="1360"/>
      <c r="AXY50" s="1360"/>
      <c r="AXZ50" s="1360"/>
      <c r="AYA50" s="1360"/>
      <c r="AYB50" s="1360"/>
      <c r="AYC50" s="1360"/>
      <c r="AYD50" s="1360"/>
      <c r="AYE50" s="1360"/>
      <c r="AYF50" s="1360"/>
      <c r="AYG50" s="1360"/>
      <c r="AYH50" s="1360"/>
      <c r="AYI50" s="1360"/>
      <c r="AYJ50" s="1360"/>
      <c r="AYK50" s="1360"/>
      <c r="AYL50" s="1360"/>
      <c r="AYM50" s="1360"/>
      <c r="AYN50" s="1360"/>
      <c r="AYO50" s="1360"/>
      <c r="AYP50" s="1360"/>
      <c r="AYQ50" s="1360"/>
      <c r="AYR50" s="1360"/>
      <c r="AYS50" s="1360"/>
      <c r="AYT50" s="1360"/>
      <c r="AYU50" s="1360"/>
      <c r="AYV50" s="1360"/>
      <c r="AYW50" s="1360"/>
      <c r="AYX50" s="1360"/>
      <c r="AYY50" s="1360"/>
      <c r="AYZ50" s="1360"/>
      <c r="AZA50" s="1360"/>
      <c r="AZB50" s="1360"/>
      <c r="AZC50" s="1360"/>
      <c r="AZD50" s="1360"/>
      <c r="AZE50" s="1360"/>
      <c r="AZF50" s="1360"/>
      <c r="AZG50" s="1360"/>
      <c r="AZH50" s="1360"/>
      <c r="AZI50" s="1360"/>
      <c r="AZJ50" s="1360"/>
      <c r="AZK50" s="1360"/>
      <c r="AZL50" s="1360"/>
      <c r="AZM50" s="1360"/>
      <c r="AZN50" s="1360"/>
      <c r="AZO50" s="1360"/>
      <c r="AZP50" s="1360"/>
      <c r="AZQ50" s="1360"/>
      <c r="AZR50" s="1360"/>
      <c r="AZS50" s="1360"/>
      <c r="AZT50" s="1360"/>
      <c r="AZU50" s="1360"/>
      <c r="AZV50" s="1360"/>
      <c r="AZW50" s="1360"/>
      <c r="AZX50" s="1360"/>
      <c r="AZY50" s="1360"/>
      <c r="AZZ50" s="1360"/>
      <c r="BAA50" s="1360"/>
      <c r="BAB50" s="1360"/>
      <c r="BAC50" s="1360"/>
      <c r="BAD50" s="1360"/>
      <c r="BAE50" s="1360"/>
      <c r="BAF50" s="1360"/>
      <c r="BAG50" s="1360"/>
      <c r="BAH50" s="1360"/>
      <c r="BAI50" s="1360"/>
      <c r="BAJ50" s="1360"/>
      <c r="BAK50" s="1360"/>
      <c r="BAL50" s="1360"/>
      <c r="BAM50" s="1360"/>
      <c r="BAN50" s="1360"/>
      <c r="BAO50" s="1360"/>
      <c r="BAP50" s="1360"/>
      <c r="BAQ50" s="1360"/>
      <c r="BAR50" s="1360"/>
      <c r="BAS50" s="1360"/>
      <c r="BAT50" s="1360"/>
      <c r="BAU50" s="1360"/>
      <c r="BAV50" s="1360"/>
      <c r="BAW50" s="1360"/>
      <c r="BAX50" s="1360"/>
      <c r="BAY50" s="1360"/>
      <c r="BAZ50" s="1360"/>
      <c r="BBA50" s="1360"/>
      <c r="BBB50" s="1360"/>
      <c r="BBC50" s="1360"/>
      <c r="BBD50" s="1360"/>
      <c r="BBE50" s="1360"/>
      <c r="BBF50" s="1360"/>
      <c r="BBG50" s="1360"/>
      <c r="BBH50" s="1360"/>
      <c r="BBI50" s="1360"/>
      <c r="BBJ50" s="1360"/>
      <c r="BBK50" s="1360"/>
      <c r="BBL50" s="1360"/>
      <c r="BBM50" s="1360"/>
      <c r="BBN50" s="1360"/>
      <c r="BBO50" s="1360"/>
      <c r="BBP50" s="1360"/>
      <c r="BBQ50" s="1360"/>
      <c r="BBR50" s="1360"/>
      <c r="BBS50" s="1360"/>
      <c r="BBT50" s="1360"/>
      <c r="BBU50" s="1360"/>
      <c r="BBV50" s="1360"/>
      <c r="BBW50" s="1360"/>
      <c r="BBX50" s="1360"/>
      <c r="BBY50" s="1360"/>
      <c r="BBZ50" s="1360"/>
      <c r="BCA50" s="1360"/>
      <c r="BCB50" s="1360"/>
      <c r="BCC50" s="1360"/>
      <c r="BCD50" s="1360"/>
      <c r="BCE50" s="1360"/>
      <c r="BCF50" s="1360"/>
      <c r="BCG50" s="1360"/>
      <c r="BCH50" s="1360"/>
      <c r="BCI50" s="1360"/>
      <c r="BCJ50" s="1360"/>
      <c r="BCK50" s="1360"/>
      <c r="BCL50" s="1360"/>
      <c r="BCM50" s="1360"/>
      <c r="BCN50" s="1360"/>
      <c r="BCO50" s="1360"/>
      <c r="BCP50" s="1360"/>
      <c r="BCQ50" s="1360"/>
      <c r="BCR50" s="1360"/>
      <c r="BCS50" s="1360"/>
      <c r="BCT50" s="1360"/>
      <c r="BCU50" s="1360"/>
      <c r="BCV50" s="1360"/>
      <c r="BCW50" s="1360"/>
      <c r="BCX50" s="1360"/>
      <c r="BCY50" s="1360"/>
      <c r="BCZ50" s="1360"/>
      <c r="BDA50" s="1360"/>
      <c r="BDB50" s="1360"/>
      <c r="BDC50" s="1360"/>
      <c r="BDD50" s="1360"/>
      <c r="BDE50" s="1360"/>
      <c r="BDF50" s="1360"/>
      <c r="BDG50" s="1360"/>
      <c r="BDH50" s="1360"/>
      <c r="BDI50" s="1360"/>
      <c r="BDJ50" s="1360"/>
      <c r="BDK50" s="1360"/>
      <c r="BDL50" s="1360"/>
      <c r="BDM50" s="1360"/>
      <c r="BDN50" s="1360"/>
      <c r="BDO50" s="1360"/>
      <c r="BDP50" s="1360"/>
      <c r="BDQ50" s="1360"/>
      <c r="BDR50" s="1360"/>
      <c r="BDS50" s="1360"/>
      <c r="BDT50" s="1360"/>
      <c r="BDU50" s="1360"/>
      <c r="BDV50" s="1360"/>
      <c r="BDW50" s="1360"/>
      <c r="BDX50" s="1360"/>
      <c r="BDY50" s="1360"/>
      <c r="BDZ50" s="1360"/>
      <c r="BEA50" s="1360"/>
      <c r="BEB50" s="1360"/>
      <c r="BEC50" s="1360"/>
      <c r="BED50" s="1360"/>
      <c r="BEE50" s="1360"/>
      <c r="BEF50" s="1360"/>
      <c r="BEG50" s="1360"/>
      <c r="BEH50" s="1360"/>
      <c r="BEI50" s="1360"/>
      <c r="BEJ50" s="1360"/>
      <c r="BEK50" s="1360"/>
      <c r="BEL50" s="1360"/>
      <c r="BEM50" s="1360"/>
      <c r="BEN50" s="1360"/>
      <c r="BEO50" s="1360"/>
      <c r="BEP50" s="1360"/>
      <c r="BEQ50" s="1360"/>
      <c r="BER50" s="1360"/>
      <c r="BES50" s="1360"/>
      <c r="BET50" s="1360"/>
      <c r="BEU50" s="1360"/>
      <c r="BEV50" s="1360"/>
      <c r="BEW50" s="1360"/>
      <c r="BEX50" s="1360"/>
      <c r="BEY50" s="1360"/>
      <c r="BEZ50" s="1360"/>
      <c r="BFA50" s="1360"/>
      <c r="BFB50" s="1360"/>
      <c r="BFC50" s="1360"/>
      <c r="BFD50" s="1360"/>
      <c r="BFE50" s="1360"/>
      <c r="BFF50" s="1360"/>
      <c r="BFG50" s="1360"/>
      <c r="BFH50" s="1360"/>
      <c r="BFI50" s="1360"/>
      <c r="BFJ50" s="1360"/>
      <c r="BFK50" s="1360"/>
      <c r="BFL50" s="1360"/>
      <c r="BFM50" s="1360"/>
      <c r="BFN50" s="1360"/>
      <c r="BFO50" s="1360"/>
      <c r="BFP50" s="1360"/>
      <c r="BFQ50" s="1360"/>
      <c r="BFR50" s="1360"/>
      <c r="BFS50" s="1360"/>
      <c r="BFT50" s="1360"/>
      <c r="BFU50" s="1360"/>
      <c r="BFV50" s="1360"/>
      <c r="BFW50" s="1360"/>
      <c r="BFX50" s="1360"/>
      <c r="BFY50" s="1360"/>
      <c r="BFZ50" s="1360"/>
      <c r="BGA50" s="1360"/>
      <c r="BGB50" s="1360"/>
      <c r="BGC50" s="1360"/>
      <c r="BGD50" s="1360"/>
      <c r="BGE50" s="1360"/>
      <c r="BGF50" s="1360"/>
      <c r="BGG50" s="1360"/>
      <c r="BGH50" s="1360"/>
      <c r="BGI50" s="1360"/>
      <c r="BGJ50" s="1360"/>
      <c r="BGK50" s="1360"/>
      <c r="BGL50" s="1360"/>
      <c r="BGM50" s="1360"/>
      <c r="BGN50" s="1360"/>
      <c r="BGO50" s="1360"/>
      <c r="BGP50" s="1360"/>
      <c r="BGQ50" s="1360"/>
      <c r="BGR50" s="1360"/>
      <c r="BGS50" s="1360"/>
      <c r="BGT50" s="1360"/>
      <c r="BGU50" s="1360"/>
      <c r="BGV50" s="1360"/>
      <c r="BGW50" s="1360"/>
      <c r="BGX50" s="1360"/>
      <c r="BGY50" s="1360"/>
      <c r="BGZ50" s="1360"/>
      <c r="BHA50" s="1360"/>
      <c r="BHB50" s="1360"/>
      <c r="BHC50" s="1360"/>
      <c r="BHD50" s="1360"/>
      <c r="BHE50" s="1360"/>
      <c r="BHF50" s="1360"/>
      <c r="BHG50" s="1360"/>
      <c r="BHH50" s="1360"/>
      <c r="BHI50" s="1360"/>
      <c r="BHJ50" s="1360"/>
      <c r="BHK50" s="1360"/>
      <c r="BHL50" s="1360"/>
      <c r="BHM50" s="1360"/>
      <c r="BHN50" s="1360"/>
      <c r="BHO50" s="1360"/>
      <c r="BHP50" s="1360"/>
      <c r="BHQ50" s="1360"/>
      <c r="BHR50" s="1360"/>
      <c r="BHS50" s="1360"/>
      <c r="BHT50" s="1360"/>
      <c r="BHU50" s="1360"/>
      <c r="BHV50" s="1360"/>
      <c r="BHW50" s="1360"/>
      <c r="BHX50" s="1360"/>
      <c r="BHY50" s="1360"/>
      <c r="BHZ50" s="1360"/>
      <c r="BIA50" s="1360"/>
      <c r="BIB50" s="1360"/>
      <c r="BIC50" s="1360"/>
      <c r="BID50" s="1360"/>
      <c r="BIE50" s="1360"/>
      <c r="BIF50" s="1360"/>
      <c r="BIG50" s="1360"/>
      <c r="BIH50" s="1360"/>
      <c r="BII50" s="1360"/>
      <c r="BIJ50" s="1360"/>
      <c r="BIK50" s="1360"/>
      <c r="BIL50" s="1360"/>
      <c r="BIM50" s="1360"/>
      <c r="BIN50" s="1360"/>
      <c r="BIO50" s="1360"/>
      <c r="BIP50" s="1360"/>
      <c r="BIQ50" s="1360"/>
      <c r="BIR50" s="1360"/>
      <c r="BIS50" s="1360"/>
      <c r="BIT50" s="1360"/>
      <c r="BIU50" s="1360"/>
      <c r="BIV50" s="1360"/>
      <c r="BIW50" s="1360"/>
      <c r="BIX50" s="1360"/>
      <c r="BIY50" s="1360"/>
      <c r="BIZ50" s="1360"/>
      <c r="BJA50" s="1360"/>
      <c r="BJB50" s="1360"/>
      <c r="BJC50" s="1360"/>
      <c r="BJD50" s="1360"/>
      <c r="BJE50" s="1360"/>
      <c r="BJF50" s="1360"/>
      <c r="BJG50" s="1360"/>
      <c r="BJH50" s="1360"/>
      <c r="BJI50" s="1360"/>
      <c r="BJJ50" s="1360"/>
      <c r="BJK50" s="1360"/>
      <c r="BJL50" s="1360"/>
      <c r="BJM50" s="1360"/>
      <c r="BJN50" s="1360"/>
      <c r="BJO50" s="1360"/>
      <c r="BJP50" s="1360"/>
      <c r="BJQ50" s="1360"/>
      <c r="BJR50" s="1360"/>
      <c r="BJS50" s="1360"/>
      <c r="BJT50" s="1360"/>
      <c r="BJU50" s="1360"/>
      <c r="BJV50" s="1360"/>
      <c r="BJW50" s="1360"/>
      <c r="BJX50" s="1360"/>
      <c r="BJY50" s="1360"/>
      <c r="BJZ50" s="1360"/>
      <c r="BKA50" s="1360"/>
      <c r="BKB50" s="1360"/>
      <c r="BKC50" s="1360"/>
      <c r="BKD50" s="1360"/>
      <c r="BKE50" s="1360"/>
      <c r="BKF50" s="1360"/>
      <c r="BKG50" s="1360"/>
      <c r="BKH50" s="1360"/>
      <c r="BKI50" s="1360"/>
      <c r="BKJ50" s="1360"/>
      <c r="BKK50" s="1360"/>
      <c r="BKL50" s="1360"/>
      <c r="BKM50" s="1360"/>
      <c r="BKN50" s="1360"/>
      <c r="BKO50" s="1360"/>
      <c r="BKP50" s="1360"/>
      <c r="BKQ50" s="1360"/>
      <c r="BKR50" s="1360"/>
      <c r="BKS50" s="1360"/>
      <c r="BKT50" s="1360"/>
      <c r="BKU50" s="1360"/>
      <c r="BKV50" s="1360"/>
      <c r="BKW50" s="1360"/>
      <c r="BKX50" s="1360"/>
      <c r="BKY50" s="1360"/>
      <c r="BKZ50" s="1360"/>
      <c r="BLA50" s="1360"/>
      <c r="BLB50" s="1360"/>
      <c r="BLC50" s="1360"/>
      <c r="BLD50" s="1360"/>
      <c r="BLE50" s="1360"/>
      <c r="BLF50" s="1360"/>
      <c r="BLG50" s="1360"/>
      <c r="BLH50" s="1360"/>
      <c r="BLI50" s="1360"/>
      <c r="BLJ50" s="1360"/>
      <c r="BLK50" s="1360"/>
      <c r="BLL50" s="1360"/>
      <c r="BLM50" s="1360"/>
      <c r="BLN50" s="1360"/>
      <c r="BLO50" s="1360"/>
      <c r="BLP50" s="1360"/>
      <c r="BLQ50" s="1360"/>
      <c r="BLR50" s="1360"/>
      <c r="BLS50" s="1360"/>
      <c r="BLT50" s="1360"/>
      <c r="BLU50" s="1360"/>
      <c r="BLV50" s="1360"/>
      <c r="BLW50" s="1360"/>
      <c r="BLX50" s="1360"/>
      <c r="BLY50" s="1360"/>
      <c r="BLZ50" s="1360"/>
      <c r="BMA50" s="1360"/>
      <c r="BMB50" s="1360"/>
      <c r="BMC50" s="1360"/>
      <c r="BMD50" s="1360"/>
      <c r="BME50" s="1360"/>
      <c r="BMF50" s="1360"/>
      <c r="BMG50" s="1360"/>
      <c r="BMH50" s="1360"/>
      <c r="BMI50" s="1360"/>
      <c r="BMJ50" s="1360"/>
      <c r="BMK50" s="1360"/>
      <c r="BML50" s="1360"/>
      <c r="BMM50" s="1360"/>
      <c r="BMN50" s="1360"/>
      <c r="BMO50" s="1360"/>
      <c r="BMP50" s="1360"/>
      <c r="BMQ50" s="1360"/>
      <c r="BMR50" s="1360"/>
      <c r="BMS50" s="1360"/>
      <c r="BMT50" s="1360"/>
      <c r="BMU50" s="1360"/>
      <c r="BMV50" s="1360"/>
      <c r="BMW50" s="1360"/>
      <c r="BMX50" s="1360"/>
      <c r="BMY50" s="1360"/>
      <c r="BMZ50" s="1360"/>
      <c r="BNA50" s="1360"/>
      <c r="BNB50" s="1360"/>
      <c r="BNC50" s="1360"/>
      <c r="BND50" s="1360"/>
      <c r="BNE50" s="1360"/>
      <c r="BNF50" s="1360"/>
      <c r="BNG50" s="1360"/>
      <c r="BNH50" s="1360"/>
      <c r="BNI50" s="1360"/>
      <c r="BNJ50" s="1360"/>
      <c r="BNK50" s="1360"/>
      <c r="BNL50" s="1360"/>
      <c r="BNM50" s="1360"/>
      <c r="BNN50" s="1360"/>
      <c r="BNO50" s="1360"/>
      <c r="BNP50" s="1360"/>
      <c r="BNQ50" s="1360"/>
      <c r="BNR50" s="1360"/>
      <c r="BNS50" s="1360"/>
      <c r="BNT50" s="1360"/>
      <c r="BNU50" s="1360"/>
      <c r="BNV50" s="1360"/>
      <c r="BNW50" s="1360"/>
      <c r="BNX50" s="1360"/>
      <c r="BNY50" s="1360"/>
      <c r="BNZ50" s="1360"/>
      <c r="BOA50" s="1360"/>
      <c r="BOB50" s="1360"/>
      <c r="BOC50" s="1360"/>
      <c r="BOD50" s="1360"/>
      <c r="BOE50" s="1360"/>
      <c r="BOF50" s="1360"/>
      <c r="BOG50" s="1360"/>
      <c r="BOH50" s="1360"/>
      <c r="BOI50" s="1360"/>
      <c r="BOJ50" s="1360"/>
      <c r="BOK50" s="1360"/>
      <c r="BOL50" s="1360"/>
      <c r="BOM50" s="1360"/>
      <c r="BON50" s="1360"/>
      <c r="BOO50" s="1360"/>
      <c r="BOP50" s="1360"/>
      <c r="BOQ50" s="1360"/>
      <c r="BOR50" s="1360"/>
      <c r="BOS50" s="1360"/>
      <c r="BOT50" s="1360"/>
      <c r="BOU50" s="1360"/>
      <c r="BOV50" s="1360"/>
      <c r="BOW50" s="1360"/>
      <c r="BOX50" s="1360"/>
      <c r="BOY50" s="1360"/>
      <c r="BOZ50" s="1360"/>
      <c r="BPA50" s="1360"/>
      <c r="BPB50" s="1360"/>
      <c r="BPC50" s="1360"/>
      <c r="BPD50" s="1360"/>
      <c r="BPE50" s="1360"/>
      <c r="BPF50" s="1360"/>
      <c r="BPG50" s="1360"/>
      <c r="BPH50" s="1360"/>
      <c r="BPI50" s="1360"/>
      <c r="BPJ50" s="1360"/>
      <c r="BPK50" s="1360"/>
      <c r="BPL50" s="1360"/>
      <c r="BPM50" s="1360"/>
      <c r="BPN50" s="1360"/>
      <c r="BPO50" s="1360"/>
      <c r="BPP50" s="1360"/>
      <c r="BPQ50" s="1360"/>
      <c r="BPR50" s="1360"/>
      <c r="BPS50" s="1360"/>
      <c r="BPT50" s="1360"/>
      <c r="BPU50" s="1360"/>
      <c r="BPV50" s="1360"/>
      <c r="BPW50" s="1360"/>
      <c r="BPX50" s="1360"/>
      <c r="BPY50" s="1360"/>
      <c r="BPZ50" s="1360"/>
      <c r="BQA50" s="1360"/>
      <c r="BQB50" s="1360"/>
      <c r="BQC50" s="1360"/>
      <c r="BQD50" s="1360"/>
      <c r="BQE50" s="1360"/>
      <c r="BQF50" s="1360"/>
      <c r="BQG50" s="1360"/>
      <c r="BQH50" s="1360"/>
      <c r="BQI50" s="1360"/>
      <c r="BQJ50" s="1360"/>
      <c r="BQK50" s="1360"/>
      <c r="BQL50" s="1360"/>
      <c r="BQM50" s="1360"/>
      <c r="BQN50" s="1360"/>
      <c r="BQO50" s="1360"/>
      <c r="BQP50" s="1360"/>
      <c r="BQQ50" s="1360"/>
      <c r="BQR50" s="1360"/>
      <c r="BQS50" s="1360"/>
      <c r="BQT50" s="1360"/>
      <c r="BQU50" s="1360"/>
      <c r="BQV50" s="1360"/>
      <c r="BQW50" s="1360"/>
      <c r="BQX50" s="1360"/>
      <c r="BQY50" s="1360"/>
      <c r="BQZ50" s="1360"/>
      <c r="BRA50" s="1360"/>
      <c r="BRB50" s="1360"/>
      <c r="BRC50" s="1360"/>
      <c r="BRD50" s="1360"/>
      <c r="BRE50" s="1360"/>
      <c r="BRF50" s="1360"/>
      <c r="BRG50" s="1360"/>
      <c r="BRH50" s="1360"/>
      <c r="BRI50" s="1360"/>
      <c r="BRJ50" s="1360"/>
      <c r="BRK50" s="1360"/>
      <c r="BRL50" s="1360"/>
      <c r="BRM50" s="1360"/>
      <c r="BRN50" s="1360"/>
      <c r="BRO50" s="1360"/>
      <c r="BRP50" s="1360"/>
      <c r="BRQ50" s="1360"/>
      <c r="BRR50" s="1360"/>
      <c r="BRS50" s="1360"/>
      <c r="BRT50" s="1360"/>
      <c r="BRU50" s="1360"/>
      <c r="BRV50" s="1360"/>
      <c r="BRW50" s="1360"/>
      <c r="BRX50" s="1360"/>
      <c r="BRY50" s="1360"/>
      <c r="BRZ50" s="1360"/>
      <c r="BSA50" s="1360"/>
      <c r="BSB50" s="1360"/>
      <c r="BSC50" s="1360"/>
      <c r="BSD50" s="1360"/>
      <c r="BSE50" s="1360"/>
      <c r="BSF50" s="1360"/>
      <c r="BSG50" s="1360"/>
      <c r="BSH50" s="1360"/>
      <c r="BSI50" s="1360"/>
      <c r="BSJ50" s="1360"/>
      <c r="BSK50" s="1360"/>
      <c r="BSL50" s="1360"/>
      <c r="BSM50" s="1360"/>
      <c r="BSN50" s="1360"/>
      <c r="BSO50" s="1360"/>
      <c r="BSP50" s="1360"/>
      <c r="BSQ50" s="1360"/>
      <c r="BSR50" s="1360"/>
      <c r="BSS50" s="1360"/>
      <c r="BST50" s="1360"/>
      <c r="BSU50" s="1360"/>
      <c r="BSV50" s="1360"/>
      <c r="BSW50" s="1360"/>
      <c r="BSX50" s="1360"/>
      <c r="BSY50" s="1360"/>
      <c r="BSZ50" s="1360"/>
      <c r="BTA50" s="1360"/>
      <c r="BTB50" s="1360"/>
      <c r="BTC50" s="1360"/>
      <c r="BTD50" s="1360"/>
      <c r="BTE50" s="1360"/>
      <c r="BTF50" s="1360"/>
      <c r="BTG50" s="1360"/>
      <c r="BTH50" s="1360"/>
      <c r="BTI50" s="1360"/>
      <c r="BTJ50" s="1360"/>
      <c r="BTK50" s="1360"/>
      <c r="BTL50" s="1360"/>
      <c r="BTM50" s="1360"/>
      <c r="BTN50" s="1360"/>
      <c r="BTO50" s="1360"/>
      <c r="BTP50" s="1360"/>
      <c r="BTQ50" s="1360"/>
      <c r="BTR50" s="1360"/>
      <c r="BTS50" s="1360"/>
      <c r="BTT50" s="1360"/>
      <c r="BTU50" s="1360"/>
      <c r="BTV50" s="1360"/>
      <c r="BTW50" s="1360"/>
      <c r="BTX50" s="1360"/>
      <c r="BTY50" s="1360"/>
      <c r="BTZ50" s="1360"/>
      <c r="BUA50" s="1360"/>
      <c r="BUB50" s="1360"/>
      <c r="BUC50" s="1360"/>
      <c r="BUD50" s="1360"/>
      <c r="BUE50" s="1360"/>
      <c r="BUF50" s="1360"/>
      <c r="BUG50" s="1360"/>
      <c r="BUH50" s="1360"/>
      <c r="BUI50" s="1360"/>
      <c r="BUJ50" s="1360"/>
      <c r="BUK50" s="1360"/>
      <c r="BUL50" s="1360"/>
      <c r="BUM50" s="1360"/>
      <c r="BUN50" s="1360"/>
      <c r="BUO50" s="1360"/>
      <c r="BUP50" s="1360"/>
      <c r="BUQ50" s="1360"/>
      <c r="BUR50" s="1360"/>
      <c r="BUS50" s="1360"/>
      <c r="BUT50" s="1360"/>
      <c r="BUU50" s="1360"/>
      <c r="BUV50" s="1360"/>
      <c r="BUW50" s="1360"/>
      <c r="BUX50" s="1360"/>
      <c r="BUY50" s="1360"/>
      <c r="BUZ50" s="1360"/>
      <c r="BVA50" s="1360"/>
      <c r="BVB50" s="1360"/>
      <c r="BVC50" s="1360"/>
      <c r="BVD50" s="1360"/>
      <c r="BVE50" s="1360"/>
      <c r="BVF50" s="1360"/>
      <c r="BVG50" s="1360"/>
      <c r="BVH50" s="1360"/>
      <c r="BVI50" s="1360"/>
      <c r="BVJ50" s="1360"/>
      <c r="BVK50" s="1360"/>
      <c r="BVL50" s="1360"/>
      <c r="BVM50" s="1360"/>
      <c r="BVN50" s="1360"/>
      <c r="BVO50" s="1360"/>
      <c r="BVP50" s="1360"/>
      <c r="BVQ50" s="1360"/>
      <c r="BVR50" s="1360"/>
      <c r="BVS50" s="1360"/>
      <c r="BVT50" s="1360"/>
      <c r="BVU50" s="1360"/>
      <c r="BVV50" s="1360"/>
      <c r="BVW50" s="1360"/>
      <c r="BVX50" s="1360"/>
      <c r="BVY50" s="1360"/>
      <c r="BVZ50" s="1360"/>
      <c r="BWA50" s="1360"/>
      <c r="BWB50" s="1360"/>
      <c r="BWC50" s="1360"/>
      <c r="BWD50" s="1360"/>
      <c r="BWE50" s="1360"/>
      <c r="BWF50" s="1360"/>
      <c r="BWG50" s="1360"/>
      <c r="BWH50" s="1360"/>
      <c r="BWI50" s="1360"/>
      <c r="BWJ50" s="1360"/>
      <c r="BWK50" s="1360"/>
      <c r="BWL50" s="1360"/>
      <c r="BWM50" s="1360"/>
      <c r="BWN50" s="1360"/>
      <c r="BWO50" s="1360"/>
      <c r="BWP50" s="1360"/>
      <c r="BWQ50" s="1360"/>
      <c r="BWR50" s="1360"/>
      <c r="BWS50" s="1360"/>
      <c r="BWT50" s="1360"/>
      <c r="BWU50" s="1360"/>
      <c r="BWV50" s="1360"/>
      <c r="BWW50" s="1360"/>
      <c r="BWX50" s="1360"/>
      <c r="BWY50" s="1360"/>
      <c r="BWZ50" s="1360"/>
      <c r="BXA50" s="1360"/>
      <c r="BXB50" s="1360"/>
      <c r="BXC50" s="1360"/>
      <c r="BXD50" s="1360"/>
      <c r="BXE50" s="1360"/>
      <c r="BXF50" s="1360"/>
      <c r="BXG50" s="1360"/>
      <c r="BXH50" s="1360"/>
      <c r="BXI50" s="1360"/>
      <c r="BXJ50" s="1360"/>
      <c r="BXK50" s="1360"/>
      <c r="BXL50" s="1360"/>
      <c r="BXM50" s="1360"/>
      <c r="BXN50" s="1360"/>
      <c r="BXO50" s="1360"/>
      <c r="BXP50" s="1360"/>
      <c r="BXQ50" s="1360"/>
      <c r="BXR50" s="1360"/>
      <c r="BXS50" s="1360"/>
      <c r="BXT50" s="1360"/>
      <c r="BXU50" s="1360"/>
      <c r="BXV50" s="1360"/>
      <c r="BXW50" s="1360"/>
      <c r="BXX50" s="1360"/>
      <c r="BXY50" s="1360"/>
      <c r="BXZ50" s="1360"/>
      <c r="BYA50" s="1360"/>
      <c r="BYB50" s="1360"/>
      <c r="BYC50" s="1360"/>
      <c r="BYD50" s="1360"/>
      <c r="BYE50" s="1360"/>
      <c r="BYF50" s="1360"/>
      <c r="BYG50" s="1360"/>
      <c r="BYH50" s="1360"/>
      <c r="BYI50" s="1360"/>
      <c r="BYJ50" s="1360"/>
      <c r="BYK50" s="1360"/>
      <c r="BYL50" s="1360"/>
      <c r="BYM50" s="1360"/>
      <c r="BYN50" s="1360"/>
      <c r="BYO50" s="1360"/>
      <c r="BYP50" s="1360"/>
      <c r="BYQ50" s="1360"/>
      <c r="BYR50" s="1360"/>
      <c r="BYS50" s="1360"/>
      <c r="BYT50" s="1360"/>
      <c r="BYU50" s="1360"/>
      <c r="BYV50" s="1360"/>
      <c r="BYW50" s="1360"/>
      <c r="BYX50" s="1360"/>
      <c r="BYY50" s="1360"/>
      <c r="BYZ50" s="1360"/>
      <c r="BZA50" s="1360"/>
      <c r="BZB50" s="1360"/>
      <c r="BZC50" s="1360"/>
      <c r="BZD50" s="1360"/>
      <c r="BZE50" s="1360"/>
      <c r="BZF50" s="1360"/>
      <c r="BZG50" s="1360"/>
      <c r="BZH50" s="1360"/>
      <c r="BZI50" s="1360"/>
      <c r="BZJ50" s="1360"/>
      <c r="BZK50" s="1360"/>
      <c r="BZL50" s="1360"/>
      <c r="BZM50" s="1360"/>
      <c r="BZN50" s="1360"/>
      <c r="BZO50" s="1360"/>
      <c r="BZP50" s="1360"/>
      <c r="BZQ50" s="1360"/>
      <c r="BZR50" s="1360"/>
      <c r="BZS50" s="1360"/>
      <c r="BZT50" s="1360"/>
      <c r="BZU50" s="1360"/>
      <c r="BZV50" s="1360"/>
      <c r="BZW50" s="1360"/>
      <c r="BZX50" s="1360"/>
      <c r="BZY50" s="1360"/>
      <c r="BZZ50" s="1360"/>
      <c r="CAA50" s="1360"/>
      <c r="CAB50" s="1360"/>
      <c r="CAC50" s="1360"/>
      <c r="CAD50" s="1360"/>
      <c r="CAE50" s="1360"/>
      <c r="CAF50" s="1360"/>
      <c r="CAG50" s="1360"/>
      <c r="CAH50" s="1360"/>
      <c r="CAI50" s="1360"/>
      <c r="CAJ50" s="1360"/>
      <c r="CAK50" s="1360"/>
      <c r="CAL50" s="1360"/>
      <c r="CAM50" s="1360"/>
      <c r="CAN50" s="1360"/>
      <c r="CAO50" s="1360"/>
      <c r="CAP50" s="1360"/>
      <c r="CAQ50" s="1360"/>
      <c r="CAR50" s="1360"/>
      <c r="CAS50" s="1360"/>
      <c r="CAT50" s="1360"/>
      <c r="CAU50" s="1360"/>
      <c r="CAV50" s="1360"/>
      <c r="CAW50" s="1360"/>
      <c r="CAX50" s="1360"/>
      <c r="CAY50" s="1360"/>
      <c r="CAZ50" s="1360"/>
      <c r="CBA50" s="1360"/>
      <c r="CBB50" s="1360"/>
      <c r="CBC50" s="1360"/>
      <c r="CBD50" s="1360"/>
      <c r="CBE50" s="1360"/>
      <c r="CBF50" s="1360"/>
      <c r="CBG50" s="1360"/>
      <c r="CBH50" s="1360"/>
      <c r="CBI50" s="1360"/>
      <c r="CBJ50" s="1360"/>
      <c r="CBK50" s="1360"/>
      <c r="CBL50" s="1360"/>
      <c r="CBM50" s="1360"/>
      <c r="CBN50" s="1360"/>
      <c r="CBO50" s="1360"/>
      <c r="CBP50" s="1360"/>
      <c r="CBQ50" s="1360"/>
      <c r="CBR50" s="1360"/>
      <c r="CBS50" s="1360"/>
      <c r="CBT50" s="1360"/>
      <c r="CBU50" s="1360"/>
      <c r="CBV50" s="1360"/>
      <c r="CBW50" s="1360"/>
      <c r="CBX50" s="1360"/>
      <c r="CBY50" s="1360"/>
      <c r="CBZ50" s="1360"/>
      <c r="CCA50" s="1360"/>
      <c r="CCB50" s="1360"/>
      <c r="CCC50" s="1360"/>
      <c r="CCD50" s="1360"/>
      <c r="CCE50" s="1360"/>
      <c r="CCF50" s="1360"/>
      <c r="CCG50" s="1360"/>
      <c r="CCH50" s="1360"/>
      <c r="CCI50" s="1360"/>
      <c r="CCJ50" s="1360"/>
      <c r="CCK50" s="1360"/>
      <c r="CCL50" s="1360"/>
      <c r="CCM50" s="1360"/>
      <c r="CCN50" s="1360"/>
      <c r="CCO50" s="1360"/>
      <c r="CCP50" s="1360"/>
      <c r="CCQ50" s="1360"/>
      <c r="CCR50" s="1360"/>
      <c r="CCS50" s="1360"/>
      <c r="CCT50" s="1360"/>
      <c r="CCU50" s="1360"/>
      <c r="CCV50" s="1360"/>
      <c r="CCW50" s="1360"/>
      <c r="CCX50" s="1360"/>
      <c r="CCY50" s="1360"/>
      <c r="CCZ50" s="1360"/>
      <c r="CDA50" s="1360"/>
      <c r="CDB50" s="1360"/>
      <c r="CDC50" s="1360"/>
      <c r="CDD50" s="1360"/>
      <c r="CDE50" s="1360"/>
      <c r="CDF50" s="1360"/>
      <c r="CDG50" s="1360"/>
      <c r="CDH50" s="1360"/>
      <c r="CDI50" s="1360"/>
      <c r="CDJ50" s="1360"/>
      <c r="CDK50" s="1360"/>
      <c r="CDL50" s="1360"/>
      <c r="CDM50" s="1360"/>
      <c r="CDN50" s="1360"/>
      <c r="CDO50" s="1360"/>
      <c r="CDP50" s="1360"/>
      <c r="CDQ50" s="1360"/>
      <c r="CDR50" s="1360"/>
      <c r="CDS50" s="1360"/>
      <c r="CDT50" s="1360"/>
      <c r="CDU50" s="1360"/>
      <c r="CDV50" s="1360"/>
      <c r="CDW50" s="1360"/>
      <c r="CDX50" s="1360"/>
      <c r="CDY50" s="1360"/>
      <c r="CDZ50" s="1360"/>
      <c r="CEA50" s="1360"/>
      <c r="CEB50" s="1360"/>
      <c r="CEC50" s="1360"/>
      <c r="CED50" s="1360"/>
      <c r="CEE50" s="1360"/>
      <c r="CEF50" s="1360"/>
      <c r="CEG50" s="1360"/>
      <c r="CEH50" s="1360"/>
      <c r="CEI50" s="1360"/>
      <c r="CEJ50" s="1360"/>
      <c r="CEK50" s="1360"/>
      <c r="CEL50" s="1360"/>
      <c r="CEM50" s="1360"/>
      <c r="CEN50" s="1360"/>
      <c r="CEO50" s="1360"/>
      <c r="CEP50" s="1360"/>
      <c r="CEQ50" s="1360"/>
      <c r="CER50" s="1360"/>
      <c r="CES50" s="1360"/>
      <c r="CET50" s="1360"/>
      <c r="CEU50" s="1360"/>
      <c r="CEV50" s="1360"/>
      <c r="CEW50" s="1360"/>
      <c r="CEX50" s="1360"/>
      <c r="CEY50" s="1360"/>
      <c r="CEZ50" s="1360"/>
      <c r="CFA50" s="1360"/>
      <c r="CFB50" s="1360"/>
      <c r="CFC50" s="1360"/>
      <c r="CFD50" s="1360"/>
      <c r="CFE50" s="1360"/>
      <c r="CFF50" s="1360"/>
      <c r="CFG50" s="1360"/>
      <c r="CFH50" s="1360"/>
      <c r="CFI50" s="1360"/>
      <c r="CFJ50" s="1360"/>
      <c r="CFK50" s="1360"/>
      <c r="CFL50" s="1360"/>
      <c r="CFM50" s="1360"/>
      <c r="CFN50" s="1360"/>
      <c r="CFO50" s="1360"/>
      <c r="CFP50" s="1360"/>
      <c r="CFQ50" s="1360"/>
      <c r="CFR50" s="1360"/>
      <c r="CFS50" s="1360"/>
      <c r="CFT50" s="1360"/>
      <c r="CFU50" s="1360"/>
      <c r="CFV50" s="1360"/>
      <c r="CFW50" s="1360"/>
      <c r="CFX50" s="1360"/>
      <c r="CFY50" s="1360"/>
      <c r="CFZ50" s="1360"/>
      <c r="CGA50" s="1360"/>
      <c r="CGB50" s="1360"/>
      <c r="CGC50" s="1360"/>
      <c r="CGD50" s="1360"/>
      <c r="CGE50" s="1360"/>
      <c r="CGF50" s="1360"/>
      <c r="CGG50" s="1360"/>
      <c r="CGH50" s="1360"/>
      <c r="CGI50" s="1360"/>
      <c r="CGJ50" s="1360"/>
      <c r="CGK50" s="1360"/>
      <c r="CGL50" s="1360"/>
      <c r="CGM50" s="1360"/>
      <c r="CGN50" s="1360"/>
      <c r="CGO50" s="1360"/>
      <c r="CGP50" s="1360"/>
      <c r="CGQ50" s="1360"/>
      <c r="CGR50" s="1360"/>
      <c r="CGS50" s="1360"/>
      <c r="CGT50" s="1360"/>
      <c r="CGU50" s="1360"/>
      <c r="CGV50" s="1360"/>
      <c r="CGW50" s="1360"/>
      <c r="CGX50" s="1360"/>
      <c r="CGY50" s="1360"/>
      <c r="CGZ50" s="1360"/>
      <c r="CHA50" s="1360"/>
      <c r="CHB50" s="1360"/>
      <c r="CHC50" s="1360"/>
      <c r="CHD50" s="1360"/>
      <c r="CHE50" s="1360"/>
      <c r="CHF50" s="1360"/>
      <c r="CHG50" s="1360"/>
      <c r="CHH50" s="1360"/>
      <c r="CHI50" s="1360"/>
      <c r="CHJ50" s="1360"/>
      <c r="CHK50" s="1360"/>
      <c r="CHL50" s="1360"/>
      <c r="CHM50" s="1360"/>
      <c r="CHN50" s="1360"/>
      <c r="CHO50" s="1360"/>
      <c r="CHP50" s="1360"/>
      <c r="CHQ50" s="1360"/>
      <c r="CHR50" s="1360"/>
      <c r="CHS50" s="1360"/>
      <c r="CHT50" s="1360"/>
      <c r="CHU50" s="1360"/>
      <c r="CHV50" s="1360"/>
      <c r="CHW50" s="1360"/>
      <c r="CHX50" s="1360"/>
      <c r="CHY50" s="1360"/>
      <c r="CHZ50" s="1360"/>
      <c r="CIA50" s="1360"/>
      <c r="CIB50" s="1360"/>
      <c r="CIC50" s="1360"/>
      <c r="CID50" s="1360"/>
      <c r="CIE50" s="1360"/>
      <c r="CIF50" s="1360"/>
      <c r="CIG50" s="1360"/>
      <c r="CIH50" s="1360"/>
      <c r="CII50" s="1360"/>
      <c r="CIJ50" s="1360"/>
      <c r="CIK50" s="1360"/>
      <c r="CIL50" s="1360"/>
      <c r="CIM50" s="1360"/>
      <c r="CIN50" s="1360"/>
      <c r="CIO50" s="1360"/>
      <c r="CIP50" s="1360"/>
      <c r="CIQ50" s="1360"/>
      <c r="CIR50" s="1360"/>
      <c r="CIS50" s="1360"/>
      <c r="CIT50" s="1360"/>
      <c r="CIU50" s="1360"/>
      <c r="CIV50" s="1360"/>
      <c r="CIW50" s="1360"/>
      <c r="CIX50" s="1360"/>
      <c r="CIY50" s="1360"/>
      <c r="CIZ50" s="1360"/>
      <c r="CJA50" s="1360"/>
      <c r="CJB50" s="1360"/>
      <c r="CJC50" s="1360"/>
      <c r="CJD50" s="1360"/>
      <c r="CJE50" s="1360"/>
      <c r="CJF50" s="1360"/>
      <c r="CJG50" s="1360"/>
      <c r="CJH50" s="1360"/>
      <c r="CJI50" s="1360"/>
      <c r="CJJ50" s="1360"/>
      <c r="CJK50" s="1360"/>
      <c r="CJL50" s="1360"/>
      <c r="CJM50" s="1360"/>
      <c r="CJN50" s="1360"/>
      <c r="CJO50" s="1360"/>
      <c r="CJP50" s="1360"/>
      <c r="CJQ50" s="1360"/>
      <c r="CJR50" s="1360"/>
      <c r="CJS50" s="1360"/>
      <c r="CJT50" s="1360"/>
      <c r="CJU50" s="1360"/>
      <c r="CJV50" s="1360"/>
      <c r="CJW50" s="1360"/>
      <c r="CJX50" s="1360"/>
      <c r="CJY50" s="1360"/>
      <c r="CJZ50" s="1360"/>
      <c r="CKA50" s="1360"/>
      <c r="CKB50" s="1360"/>
      <c r="CKC50" s="1360"/>
      <c r="CKD50" s="1360"/>
      <c r="CKE50" s="1360"/>
      <c r="CKF50" s="1360"/>
      <c r="CKG50" s="1360"/>
      <c r="CKH50" s="1360"/>
      <c r="CKI50" s="1360"/>
      <c r="CKJ50" s="1360"/>
      <c r="CKK50" s="1360"/>
      <c r="CKL50" s="1360"/>
      <c r="CKM50" s="1360"/>
      <c r="CKN50" s="1360"/>
      <c r="CKO50" s="1360"/>
      <c r="CKP50" s="1360"/>
      <c r="CKQ50" s="1360"/>
      <c r="CKR50" s="1360"/>
      <c r="CKS50" s="1360"/>
      <c r="CKT50" s="1360"/>
      <c r="CKU50" s="1360"/>
      <c r="CKV50" s="1360"/>
      <c r="CKW50" s="1360"/>
      <c r="CKX50" s="1360"/>
      <c r="CKY50" s="1360"/>
      <c r="CKZ50" s="1360"/>
      <c r="CLA50" s="1360"/>
      <c r="CLB50" s="1360"/>
      <c r="CLC50" s="1360"/>
      <c r="CLD50" s="1360"/>
      <c r="CLE50" s="1360"/>
      <c r="CLF50" s="1360"/>
      <c r="CLG50" s="1360"/>
      <c r="CLH50" s="1360"/>
      <c r="CLI50" s="1360"/>
      <c r="CLJ50" s="1360"/>
      <c r="CLK50" s="1360"/>
      <c r="CLL50" s="1360"/>
      <c r="CLM50" s="1360"/>
      <c r="CLN50" s="1360"/>
      <c r="CLO50" s="1360"/>
      <c r="CLP50" s="1360"/>
      <c r="CLQ50" s="1360"/>
      <c r="CLR50" s="1360"/>
      <c r="CLS50" s="1360"/>
      <c r="CLT50" s="1360"/>
      <c r="CLU50" s="1360"/>
      <c r="CLV50" s="1360"/>
      <c r="CLW50" s="1360"/>
      <c r="CLX50" s="1360"/>
      <c r="CLY50" s="1360"/>
      <c r="CLZ50" s="1360"/>
      <c r="CMA50" s="1360"/>
      <c r="CMB50" s="1360"/>
      <c r="CMC50" s="1360"/>
      <c r="CMD50" s="1360"/>
      <c r="CME50" s="1360"/>
      <c r="CMF50" s="1360"/>
      <c r="CMG50" s="1360"/>
      <c r="CMH50" s="1360"/>
      <c r="CMI50" s="1360"/>
      <c r="CMJ50" s="1360"/>
      <c r="CMK50" s="1360"/>
      <c r="CML50" s="1360"/>
      <c r="CMM50" s="1360"/>
      <c r="CMN50" s="1360"/>
      <c r="CMO50" s="1360"/>
      <c r="CMP50" s="1360"/>
      <c r="CMQ50" s="1360"/>
      <c r="CMR50" s="1360"/>
      <c r="CMS50" s="1360"/>
      <c r="CMT50" s="1360"/>
      <c r="CMU50" s="1360"/>
      <c r="CMV50" s="1360"/>
      <c r="CMW50" s="1360"/>
      <c r="CMX50" s="1360"/>
      <c r="CMY50" s="1360"/>
      <c r="CMZ50" s="1360"/>
      <c r="CNA50" s="1360"/>
      <c r="CNB50" s="1360"/>
      <c r="CNC50" s="1360"/>
      <c r="CND50" s="1360"/>
      <c r="CNE50" s="1360"/>
      <c r="CNF50" s="1360"/>
      <c r="CNG50" s="1360"/>
      <c r="CNH50" s="1360"/>
      <c r="CNI50" s="1360"/>
      <c r="CNJ50" s="1360"/>
      <c r="CNK50" s="1360"/>
      <c r="CNL50" s="1360"/>
      <c r="CNM50" s="1360"/>
      <c r="CNN50" s="1360"/>
      <c r="CNO50" s="1360"/>
      <c r="CNP50" s="1360"/>
      <c r="CNQ50" s="1360"/>
      <c r="CNR50" s="1360"/>
      <c r="CNS50" s="1360"/>
      <c r="CNT50" s="1360"/>
      <c r="CNU50" s="1360"/>
      <c r="CNV50" s="1360"/>
      <c r="CNW50" s="1360"/>
      <c r="CNX50" s="1360"/>
      <c r="CNY50" s="1360"/>
      <c r="CNZ50" s="1360"/>
      <c r="COA50" s="1360"/>
      <c r="COB50" s="1360"/>
      <c r="COC50" s="1360"/>
      <c r="COD50" s="1360"/>
      <c r="COE50" s="1360"/>
      <c r="COF50" s="1360"/>
      <c r="COG50" s="1360"/>
      <c r="COH50" s="1360"/>
      <c r="COI50" s="1360"/>
      <c r="COJ50" s="1360"/>
      <c r="COK50" s="1360"/>
      <c r="COL50" s="1360"/>
      <c r="COM50" s="1360"/>
      <c r="CON50" s="1360"/>
      <c r="COO50" s="1360"/>
      <c r="COP50" s="1360"/>
      <c r="COQ50" s="1360"/>
      <c r="COR50" s="1360"/>
      <c r="COS50" s="1360"/>
      <c r="COT50" s="1360"/>
      <c r="COU50" s="1360"/>
      <c r="COV50" s="1360"/>
      <c r="COW50" s="1360"/>
      <c r="COX50" s="1360"/>
      <c r="COY50" s="1360"/>
      <c r="COZ50" s="1360"/>
      <c r="CPA50" s="1360"/>
      <c r="CPB50" s="1360"/>
      <c r="CPC50" s="1360"/>
      <c r="CPD50" s="1360"/>
      <c r="CPE50" s="1360"/>
      <c r="CPF50" s="1360"/>
      <c r="CPG50" s="1360"/>
      <c r="CPH50" s="1360"/>
      <c r="CPI50" s="1360"/>
      <c r="CPJ50" s="1360"/>
      <c r="CPK50" s="1360"/>
      <c r="CPL50" s="1360"/>
      <c r="CPM50" s="1360"/>
      <c r="CPN50" s="1360"/>
      <c r="CPO50" s="1360"/>
      <c r="CPP50" s="1360"/>
      <c r="CPQ50" s="1360"/>
      <c r="CPR50" s="1360"/>
      <c r="CPS50" s="1360"/>
      <c r="CPT50" s="1360"/>
      <c r="CPU50" s="1360"/>
      <c r="CPV50" s="1360"/>
      <c r="CPW50" s="1360"/>
      <c r="CPX50" s="1360"/>
      <c r="CPY50" s="1360"/>
      <c r="CPZ50" s="1360"/>
      <c r="CQA50" s="1360"/>
      <c r="CQB50" s="1360"/>
      <c r="CQC50" s="1360"/>
      <c r="CQD50" s="1360"/>
      <c r="CQE50" s="1360"/>
      <c r="CQF50" s="1360"/>
      <c r="CQG50" s="1360"/>
      <c r="CQH50" s="1360"/>
      <c r="CQI50" s="1360"/>
      <c r="CQJ50" s="1360"/>
      <c r="CQK50" s="1360"/>
      <c r="CQL50" s="1360"/>
      <c r="CQM50" s="1360"/>
      <c r="CQN50" s="1360"/>
      <c r="CQO50" s="1360"/>
      <c r="CQP50" s="1360"/>
      <c r="CQQ50" s="1360"/>
      <c r="CQR50" s="1360"/>
      <c r="CQS50" s="1360"/>
      <c r="CQT50" s="1360"/>
      <c r="CQU50" s="1360"/>
      <c r="CQV50" s="1360"/>
      <c r="CQW50" s="1360"/>
      <c r="CQX50" s="1360"/>
      <c r="CQY50" s="1360"/>
      <c r="CQZ50" s="1360"/>
      <c r="CRA50" s="1360"/>
      <c r="CRB50" s="1360"/>
      <c r="CRC50" s="1360"/>
      <c r="CRD50" s="1360"/>
      <c r="CRE50" s="1360"/>
      <c r="CRF50" s="1360"/>
      <c r="CRG50" s="1360"/>
      <c r="CRH50" s="1360"/>
      <c r="CRI50" s="1360"/>
      <c r="CRJ50" s="1360"/>
      <c r="CRK50" s="1360"/>
      <c r="CRL50" s="1360"/>
      <c r="CRM50" s="1360"/>
      <c r="CRN50" s="1360"/>
      <c r="CRO50" s="1360"/>
      <c r="CRP50" s="1360"/>
      <c r="CRQ50" s="1360"/>
      <c r="CRR50" s="1360"/>
      <c r="CRS50" s="1360"/>
      <c r="CRT50" s="1360"/>
      <c r="CRU50" s="1360"/>
      <c r="CRV50" s="1360"/>
      <c r="CRW50" s="1360"/>
      <c r="CRX50" s="1360"/>
      <c r="CRY50" s="1360"/>
      <c r="CRZ50" s="1360"/>
      <c r="CSA50" s="1360"/>
      <c r="CSB50" s="1360"/>
      <c r="CSC50" s="1360"/>
      <c r="CSD50" s="1360"/>
      <c r="CSE50" s="1360"/>
      <c r="CSF50" s="1360"/>
      <c r="CSG50" s="1360"/>
      <c r="CSH50" s="1360"/>
      <c r="CSI50" s="1360"/>
      <c r="CSJ50" s="1360"/>
      <c r="CSK50" s="1360"/>
      <c r="CSL50" s="1360"/>
      <c r="CSM50" s="1360"/>
      <c r="CSN50" s="1360"/>
      <c r="CSO50" s="1360"/>
      <c r="CSP50" s="1360"/>
      <c r="CSQ50" s="1360"/>
      <c r="CSR50" s="1360"/>
      <c r="CSS50" s="1360"/>
      <c r="CST50" s="1360"/>
      <c r="CSU50" s="1360"/>
      <c r="CSV50" s="1360"/>
      <c r="CSW50" s="1360"/>
      <c r="CSX50" s="1360"/>
      <c r="CSY50" s="1360"/>
      <c r="CSZ50" s="1360"/>
      <c r="CTA50" s="1360"/>
      <c r="CTB50" s="1360"/>
      <c r="CTC50" s="1360"/>
      <c r="CTD50" s="1360"/>
      <c r="CTE50" s="1360"/>
      <c r="CTF50" s="1360"/>
      <c r="CTG50" s="1360"/>
      <c r="CTH50" s="1360"/>
      <c r="CTI50" s="1360"/>
      <c r="CTJ50" s="1360"/>
      <c r="CTK50" s="1360"/>
      <c r="CTL50" s="1360"/>
      <c r="CTM50" s="1360"/>
      <c r="CTN50" s="1360"/>
      <c r="CTO50" s="1360"/>
      <c r="CTP50" s="1360"/>
      <c r="CTQ50" s="1360"/>
      <c r="CTR50" s="1360"/>
      <c r="CTS50" s="1360"/>
      <c r="CTT50" s="1360"/>
      <c r="CTU50" s="1360"/>
      <c r="CTV50" s="1360"/>
      <c r="CTW50" s="1360"/>
      <c r="CTX50" s="1360"/>
      <c r="CTY50" s="1360"/>
      <c r="CTZ50" s="1360"/>
      <c r="CUA50" s="1360"/>
      <c r="CUB50" s="1360"/>
      <c r="CUC50" s="1360"/>
      <c r="CUD50" s="1360"/>
      <c r="CUE50" s="1360"/>
      <c r="CUF50" s="1360"/>
      <c r="CUG50" s="1360"/>
      <c r="CUH50" s="1360"/>
      <c r="CUI50" s="1360"/>
      <c r="CUJ50" s="1360"/>
      <c r="CUK50" s="1360"/>
      <c r="CUL50" s="1360"/>
      <c r="CUM50" s="1360"/>
      <c r="CUN50" s="1360"/>
      <c r="CUO50" s="1360"/>
      <c r="CUP50" s="1360"/>
      <c r="CUQ50" s="1360"/>
      <c r="CUR50" s="1360"/>
      <c r="CUS50" s="1360"/>
      <c r="CUT50" s="1360"/>
      <c r="CUU50" s="1360"/>
      <c r="CUV50" s="1360"/>
      <c r="CUW50" s="1360"/>
      <c r="CUX50" s="1360"/>
      <c r="CUY50" s="1360"/>
      <c r="CUZ50" s="1360"/>
      <c r="CVA50" s="1360"/>
      <c r="CVB50" s="1360"/>
      <c r="CVC50" s="1360"/>
      <c r="CVD50" s="1360"/>
      <c r="CVE50" s="1360"/>
      <c r="CVF50" s="1360"/>
      <c r="CVG50" s="1360"/>
      <c r="CVH50" s="1360"/>
      <c r="CVI50" s="1360"/>
      <c r="CVJ50" s="1360"/>
      <c r="CVK50" s="1360"/>
      <c r="CVL50" s="1360"/>
      <c r="CVM50" s="1360"/>
      <c r="CVN50" s="1360"/>
      <c r="CVO50" s="1360"/>
      <c r="CVP50" s="1360"/>
      <c r="CVQ50" s="1360"/>
      <c r="CVR50" s="1360"/>
      <c r="CVS50" s="1360"/>
      <c r="CVT50" s="1360"/>
      <c r="CVU50" s="1360"/>
      <c r="CVV50" s="1360"/>
      <c r="CVW50" s="1360"/>
      <c r="CVX50" s="1360"/>
      <c r="CVY50" s="1360"/>
      <c r="CVZ50" s="1360"/>
      <c r="CWA50" s="1360"/>
      <c r="CWB50" s="1360"/>
      <c r="CWC50" s="1360"/>
      <c r="CWD50" s="1360"/>
      <c r="CWE50" s="1360"/>
      <c r="CWF50" s="1360"/>
      <c r="CWG50" s="1360"/>
      <c r="CWH50" s="1360"/>
      <c r="CWI50" s="1360"/>
      <c r="CWJ50" s="1360"/>
      <c r="CWK50" s="1360"/>
      <c r="CWL50" s="1360"/>
      <c r="CWM50" s="1360"/>
      <c r="CWN50" s="1360"/>
      <c r="CWO50" s="1360"/>
      <c r="CWP50" s="1360"/>
      <c r="CWQ50" s="1360"/>
      <c r="CWR50" s="1360"/>
      <c r="CWS50" s="1360"/>
      <c r="CWT50" s="1360"/>
      <c r="CWU50" s="1360"/>
      <c r="CWV50" s="1360"/>
      <c r="CWW50" s="1360"/>
      <c r="CWX50" s="1360"/>
      <c r="CWY50" s="1360"/>
      <c r="CWZ50" s="1360"/>
      <c r="CXA50" s="1360"/>
      <c r="CXB50" s="1360"/>
      <c r="CXC50" s="1360"/>
      <c r="CXD50" s="1360"/>
      <c r="CXE50" s="1360"/>
      <c r="CXF50" s="1360"/>
      <c r="CXG50" s="1360"/>
      <c r="CXH50" s="1360"/>
      <c r="CXI50" s="1360"/>
      <c r="CXJ50" s="1360"/>
      <c r="CXK50" s="1360"/>
      <c r="CXL50" s="1360"/>
      <c r="CXM50" s="1360"/>
      <c r="CXN50" s="1360"/>
      <c r="CXO50" s="1360"/>
      <c r="CXP50" s="1360"/>
      <c r="CXQ50" s="1360"/>
      <c r="CXR50" s="1360"/>
      <c r="CXS50" s="1360"/>
      <c r="CXT50" s="1360"/>
      <c r="CXU50" s="1360"/>
      <c r="CXV50" s="1360"/>
      <c r="CXW50" s="1360"/>
      <c r="CXX50" s="1360"/>
      <c r="CXY50" s="1360"/>
      <c r="CXZ50" s="1360"/>
      <c r="CYA50" s="1360"/>
      <c r="CYB50" s="1360"/>
      <c r="CYC50" s="1360"/>
      <c r="CYD50" s="1360"/>
      <c r="CYE50" s="1360"/>
      <c r="CYF50" s="1360"/>
      <c r="CYG50" s="1360"/>
      <c r="CYH50" s="1360"/>
      <c r="CYI50" s="1360"/>
      <c r="CYJ50" s="1360"/>
      <c r="CYK50" s="1360"/>
      <c r="CYL50" s="1360"/>
      <c r="CYM50" s="1360"/>
      <c r="CYN50" s="1360"/>
      <c r="CYO50" s="1360"/>
      <c r="CYP50" s="1360"/>
      <c r="CYQ50" s="1360"/>
      <c r="CYR50" s="1360"/>
      <c r="CYS50" s="1360"/>
      <c r="CYT50" s="1360"/>
      <c r="CYU50" s="1360"/>
      <c r="CYV50" s="1360"/>
      <c r="CYW50" s="1360"/>
      <c r="CYX50" s="1360"/>
      <c r="CYY50" s="1360"/>
      <c r="CYZ50" s="1360"/>
      <c r="CZA50" s="1360"/>
      <c r="CZB50" s="1360"/>
      <c r="CZC50" s="1360"/>
      <c r="CZD50" s="1360"/>
      <c r="CZE50" s="1360"/>
      <c r="CZF50" s="1360"/>
      <c r="CZG50" s="1360"/>
      <c r="CZH50" s="1360"/>
      <c r="CZI50" s="1360"/>
      <c r="CZJ50" s="1360"/>
      <c r="CZK50" s="1360"/>
      <c r="CZL50" s="1360"/>
      <c r="CZM50" s="1360"/>
      <c r="CZN50" s="1360"/>
      <c r="CZO50" s="1360"/>
      <c r="CZP50" s="1360"/>
      <c r="CZQ50" s="1360"/>
      <c r="CZR50" s="1360"/>
      <c r="CZS50" s="1360"/>
      <c r="CZT50" s="1360"/>
      <c r="CZU50" s="1360"/>
      <c r="CZV50" s="1360"/>
      <c r="CZW50" s="1360"/>
      <c r="CZX50" s="1360"/>
      <c r="CZY50" s="1360"/>
      <c r="CZZ50" s="1360"/>
      <c r="DAA50" s="1360"/>
      <c r="DAB50" s="1360"/>
      <c r="DAC50" s="1360"/>
      <c r="DAD50" s="1360"/>
      <c r="DAE50" s="1360"/>
      <c r="DAF50" s="1360"/>
      <c r="DAG50" s="1360"/>
      <c r="DAH50" s="1360"/>
      <c r="DAI50" s="1360"/>
      <c r="DAJ50" s="1360"/>
      <c r="DAK50" s="1360"/>
      <c r="DAL50" s="1360"/>
      <c r="DAM50" s="1360"/>
      <c r="DAN50" s="1360"/>
      <c r="DAO50" s="1360"/>
      <c r="DAP50" s="1360"/>
      <c r="DAQ50" s="1360"/>
      <c r="DAR50" s="1360"/>
      <c r="DAS50" s="1360"/>
      <c r="DAT50" s="1360"/>
      <c r="DAU50" s="1360"/>
      <c r="DAV50" s="1360"/>
      <c r="DAW50" s="1360"/>
      <c r="DAX50" s="1360"/>
      <c r="DAY50" s="1360"/>
      <c r="DAZ50" s="1360"/>
      <c r="DBA50" s="1360"/>
      <c r="DBB50" s="1360"/>
      <c r="DBC50" s="1360"/>
      <c r="DBD50" s="1360"/>
      <c r="DBE50" s="1360"/>
      <c r="DBF50" s="1360"/>
      <c r="DBG50" s="1360"/>
      <c r="DBH50" s="1360"/>
      <c r="DBI50" s="1360"/>
      <c r="DBJ50" s="1360"/>
      <c r="DBK50" s="1360"/>
      <c r="DBL50" s="1360"/>
      <c r="DBM50" s="1360"/>
      <c r="DBN50" s="1360"/>
      <c r="DBO50" s="1360"/>
      <c r="DBP50" s="1360"/>
      <c r="DBQ50" s="1360"/>
      <c r="DBR50" s="1360"/>
      <c r="DBS50" s="1360"/>
      <c r="DBT50" s="1360"/>
      <c r="DBU50" s="1360"/>
      <c r="DBV50" s="1360"/>
      <c r="DBW50" s="1360"/>
      <c r="DBX50" s="1360"/>
      <c r="DBY50" s="1360"/>
      <c r="DBZ50" s="1360"/>
      <c r="DCA50" s="1360"/>
      <c r="DCB50" s="1360"/>
      <c r="DCC50" s="1360"/>
      <c r="DCD50" s="1360"/>
      <c r="DCE50" s="1360"/>
      <c r="DCF50" s="1360"/>
      <c r="DCG50" s="1360"/>
      <c r="DCH50" s="1360"/>
      <c r="DCI50" s="1360"/>
      <c r="DCJ50" s="1360"/>
      <c r="DCK50" s="1360"/>
      <c r="DCL50" s="1360"/>
      <c r="DCM50" s="1360"/>
      <c r="DCN50" s="1360"/>
      <c r="DCO50" s="1360"/>
      <c r="DCP50" s="1360"/>
      <c r="DCQ50" s="1360"/>
      <c r="DCR50" s="1360"/>
      <c r="DCS50" s="1360"/>
      <c r="DCT50" s="1360"/>
      <c r="DCU50" s="1360"/>
      <c r="DCV50" s="1360"/>
      <c r="DCW50" s="1360"/>
      <c r="DCX50" s="1360"/>
      <c r="DCY50" s="1360"/>
      <c r="DCZ50" s="1360"/>
      <c r="DDA50" s="1360"/>
      <c r="DDB50" s="1360"/>
      <c r="DDC50" s="1360"/>
      <c r="DDD50" s="1360"/>
      <c r="DDE50" s="1360"/>
      <c r="DDF50" s="1360"/>
      <c r="DDG50" s="1360"/>
      <c r="DDH50" s="1360"/>
      <c r="DDI50" s="1360"/>
      <c r="DDJ50" s="1360"/>
      <c r="DDK50" s="1360"/>
      <c r="DDL50" s="1360"/>
      <c r="DDM50" s="1360"/>
      <c r="DDN50" s="1360"/>
      <c r="DDO50" s="1360"/>
      <c r="DDP50" s="1360"/>
      <c r="DDQ50" s="1360"/>
      <c r="DDR50" s="1360"/>
      <c r="DDS50" s="1360"/>
      <c r="DDT50" s="1360"/>
      <c r="DDU50" s="1360"/>
      <c r="DDV50" s="1360"/>
      <c r="DDW50" s="1360"/>
      <c r="DDX50" s="1360"/>
      <c r="DDY50" s="1360"/>
      <c r="DDZ50" s="1360"/>
      <c r="DEA50" s="1360"/>
      <c r="DEB50" s="1360"/>
      <c r="DEC50" s="1360"/>
      <c r="DED50" s="1360"/>
      <c r="DEE50" s="1360"/>
      <c r="DEF50" s="1360"/>
      <c r="DEG50" s="1360"/>
      <c r="DEH50" s="1360"/>
      <c r="DEI50" s="1360"/>
      <c r="DEJ50" s="1360"/>
      <c r="DEK50" s="1360"/>
      <c r="DEL50" s="1360"/>
      <c r="DEM50" s="1360"/>
      <c r="DEN50" s="1360"/>
      <c r="DEO50" s="1360"/>
      <c r="DEP50" s="1360"/>
      <c r="DEQ50" s="1360"/>
      <c r="DER50" s="1360"/>
      <c r="DES50" s="1360"/>
      <c r="DET50" s="1360"/>
      <c r="DEU50" s="1360"/>
      <c r="DEV50" s="1360"/>
      <c r="DEW50" s="1360"/>
      <c r="DEX50" s="1360"/>
      <c r="DEY50" s="1360"/>
      <c r="DEZ50" s="1360"/>
      <c r="DFA50" s="1360"/>
      <c r="DFB50" s="1360"/>
      <c r="DFC50" s="1360"/>
      <c r="DFD50" s="1360"/>
      <c r="DFE50" s="1360"/>
      <c r="DFF50" s="1360"/>
      <c r="DFG50" s="1360"/>
      <c r="DFH50" s="1360"/>
      <c r="DFI50" s="1360"/>
      <c r="DFJ50" s="1360"/>
      <c r="DFK50" s="1360"/>
      <c r="DFL50" s="1360"/>
      <c r="DFM50" s="1360"/>
      <c r="DFN50" s="1360"/>
      <c r="DFO50" s="1360"/>
      <c r="DFP50" s="1360"/>
      <c r="DFQ50" s="1360"/>
      <c r="DFR50" s="1360"/>
      <c r="DFS50" s="1360"/>
      <c r="DFT50" s="1360"/>
      <c r="DFU50" s="1360"/>
      <c r="DFV50" s="1360"/>
      <c r="DFW50" s="1360"/>
      <c r="DFX50" s="1360"/>
      <c r="DFY50" s="1360"/>
      <c r="DFZ50" s="1360"/>
      <c r="DGA50" s="1360"/>
      <c r="DGB50" s="1360"/>
      <c r="DGC50" s="1360"/>
      <c r="DGD50" s="1360"/>
      <c r="DGE50" s="1360"/>
      <c r="DGF50" s="1360"/>
      <c r="DGG50" s="1360"/>
      <c r="DGH50" s="1360"/>
      <c r="DGI50" s="1360"/>
      <c r="DGJ50" s="1360"/>
      <c r="DGK50" s="1360"/>
      <c r="DGL50" s="1360"/>
      <c r="DGM50" s="1360"/>
      <c r="DGN50" s="1360"/>
      <c r="DGO50" s="1360"/>
      <c r="DGP50" s="1360"/>
      <c r="DGQ50" s="1360"/>
      <c r="DGR50" s="1360"/>
      <c r="DGS50" s="1360"/>
      <c r="DGT50" s="1360"/>
      <c r="DGU50" s="1360"/>
      <c r="DGV50" s="1360"/>
      <c r="DGW50" s="1360"/>
      <c r="DGX50" s="1360"/>
      <c r="DGY50" s="1360"/>
      <c r="DGZ50" s="1360"/>
      <c r="DHA50" s="1360"/>
      <c r="DHB50" s="1360"/>
      <c r="DHC50" s="1360"/>
      <c r="DHD50" s="1360"/>
      <c r="DHE50" s="1360"/>
      <c r="DHF50" s="1360"/>
      <c r="DHG50" s="1360"/>
      <c r="DHH50" s="1360"/>
      <c r="DHI50" s="1360"/>
      <c r="DHJ50" s="1360"/>
      <c r="DHK50" s="1360"/>
      <c r="DHL50" s="1360"/>
      <c r="DHM50" s="1360"/>
      <c r="DHN50" s="1360"/>
      <c r="DHO50" s="1360"/>
      <c r="DHP50" s="1360"/>
      <c r="DHQ50" s="1360"/>
      <c r="DHR50" s="1360"/>
      <c r="DHS50" s="1360"/>
      <c r="DHT50" s="1360"/>
      <c r="DHU50" s="1360"/>
      <c r="DHV50" s="1360"/>
      <c r="DHW50" s="1360"/>
      <c r="DHX50" s="1360"/>
      <c r="DHY50" s="1360"/>
      <c r="DHZ50" s="1360"/>
      <c r="DIA50" s="1360"/>
      <c r="DIB50" s="1360"/>
      <c r="DIC50" s="1360"/>
      <c r="DID50" s="1360"/>
      <c r="DIE50" s="1360"/>
      <c r="DIF50" s="1360"/>
      <c r="DIG50" s="1360"/>
      <c r="DIH50" s="1360"/>
      <c r="DII50" s="1360"/>
      <c r="DIJ50" s="1360"/>
      <c r="DIK50" s="1360"/>
      <c r="DIL50" s="1360"/>
      <c r="DIM50" s="1360"/>
      <c r="DIN50" s="1360"/>
      <c r="DIO50" s="1360"/>
      <c r="DIP50" s="1360"/>
      <c r="DIQ50" s="1360"/>
      <c r="DIR50" s="1360"/>
      <c r="DIS50" s="1360"/>
      <c r="DIT50" s="1360"/>
      <c r="DIU50" s="1360"/>
      <c r="DIV50" s="1360"/>
      <c r="DIW50" s="1360"/>
      <c r="DIX50" s="1360"/>
      <c r="DIY50" s="1360"/>
      <c r="DIZ50" s="1360"/>
      <c r="DJA50" s="1360"/>
      <c r="DJB50" s="1360"/>
      <c r="DJC50" s="1360"/>
      <c r="DJD50" s="1360"/>
      <c r="DJE50" s="1360"/>
      <c r="DJF50" s="1360"/>
      <c r="DJG50" s="1360"/>
      <c r="DJH50" s="1360"/>
      <c r="DJI50" s="1360"/>
      <c r="DJJ50" s="1360"/>
      <c r="DJK50" s="1360"/>
      <c r="DJL50" s="1360"/>
      <c r="DJM50" s="1360"/>
      <c r="DJN50" s="1360"/>
      <c r="DJO50" s="1360"/>
      <c r="DJP50" s="1360"/>
      <c r="DJQ50" s="1360"/>
      <c r="DJR50" s="1360"/>
      <c r="DJS50" s="1360"/>
      <c r="DJT50" s="1360"/>
      <c r="DJU50" s="1360"/>
      <c r="DJV50" s="1360"/>
      <c r="DJW50" s="1360"/>
      <c r="DJX50" s="1360"/>
      <c r="DJY50" s="1360"/>
      <c r="DJZ50" s="1360"/>
      <c r="DKA50" s="1360"/>
      <c r="DKB50" s="1360"/>
      <c r="DKC50" s="1360"/>
      <c r="DKD50" s="1360"/>
      <c r="DKE50" s="1360"/>
      <c r="DKF50" s="1360"/>
      <c r="DKG50" s="1360"/>
      <c r="DKH50" s="1360"/>
      <c r="DKI50" s="1360"/>
      <c r="DKJ50" s="1360"/>
      <c r="DKK50" s="1360"/>
      <c r="DKL50" s="1360"/>
      <c r="DKM50" s="1360"/>
      <c r="DKN50" s="1360"/>
      <c r="DKO50" s="1360"/>
      <c r="DKP50" s="1360"/>
      <c r="DKQ50" s="1360"/>
      <c r="DKR50" s="1360"/>
      <c r="DKS50" s="1360"/>
      <c r="DKT50" s="1360"/>
      <c r="DKU50" s="1360"/>
      <c r="DKV50" s="1360"/>
      <c r="DKW50" s="1360"/>
      <c r="DKX50" s="1360"/>
      <c r="DKY50" s="1360"/>
      <c r="DKZ50" s="1360"/>
      <c r="DLA50" s="1360"/>
      <c r="DLB50" s="1360"/>
      <c r="DLC50" s="1360"/>
      <c r="DLD50" s="1360"/>
      <c r="DLE50" s="1360"/>
      <c r="DLF50" s="1360"/>
      <c r="DLG50" s="1360"/>
      <c r="DLH50" s="1360"/>
      <c r="DLI50" s="1360"/>
      <c r="DLJ50" s="1360"/>
      <c r="DLK50" s="1360"/>
      <c r="DLL50" s="1360"/>
      <c r="DLM50" s="1360"/>
      <c r="DLN50" s="1360"/>
      <c r="DLO50" s="1360"/>
      <c r="DLP50" s="1360"/>
      <c r="DLQ50" s="1360"/>
      <c r="DLR50" s="1360"/>
      <c r="DLS50" s="1360"/>
      <c r="DLT50" s="1360"/>
      <c r="DLU50" s="1360"/>
      <c r="DLV50" s="1360"/>
      <c r="DLW50" s="1360"/>
      <c r="DLX50" s="1360"/>
      <c r="DLY50" s="1360"/>
      <c r="DLZ50" s="1360"/>
      <c r="DMA50" s="1360"/>
      <c r="DMB50" s="1360"/>
      <c r="DMC50" s="1360"/>
      <c r="DMD50" s="1360"/>
      <c r="DME50" s="1360"/>
      <c r="DMF50" s="1360"/>
      <c r="DMG50" s="1360"/>
      <c r="DMH50" s="1360"/>
      <c r="DMI50" s="1360"/>
      <c r="DMJ50" s="1360"/>
      <c r="DMK50" s="1360"/>
      <c r="DML50" s="1360"/>
      <c r="DMM50" s="1360"/>
      <c r="DMN50" s="1360"/>
      <c r="DMO50" s="1360"/>
      <c r="DMP50" s="1360"/>
      <c r="DMQ50" s="1360"/>
      <c r="DMR50" s="1360"/>
      <c r="DMS50" s="1360"/>
      <c r="DMT50" s="1360"/>
      <c r="DMU50" s="1360"/>
      <c r="DMV50" s="1360"/>
      <c r="DMW50" s="1360"/>
      <c r="DMX50" s="1360"/>
      <c r="DMY50" s="1360"/>
      <c r="DMZ50" s="1360"/>
      <c r="DNA50" s="1360"/>
      <c r="DNB50" s="1360"/>
      <c r="DNC50" s="1360"/>
      <c r="DND50" s="1360"/>
      <c r="DNE50" s="1360"/>
      <c r="DNF50" s="1360"/>
      <c r="DNG50" s="1360"/>
      <c r="DNH50" s="1360"/>
      <c r="DNI50" s="1360"/>
      <c r="DNJ50" s="1360"/>
      <c r="DNK50" s="1360"/>
      <c r="DNL50" s="1360"/>
      <c r="DNM50" s="1360"/>
      <c r="DNN50" s="1360"/>
      <c r="DNO50" s="1360"/>
      <c r="DNP50" s="1360"/>
      <c r="DNQ50" s="1360"/>
      <c r="DNR50" s="1360"/>
      <c r="DNS50" s="1360"/>
      <c r="DNT50" s="1360"/>
      <c r="DNU50" s="1360"/>
      <c r="DNV50" s="1360"/>
      <c r="DNW50" s="1360"/>
      <c r="DNX50" s="1360"/>
      <c r="DNY50" s="1360"/>
      <c r="DNZ50" s="1360"/>
      <c r="DOA50" s="1360"/>
      <c r="DOB50" s="1360"/>
      <c r="DOC50" s="1360"/>
      <c r="DOD50" s="1360"/>
      <c r="DOE50" s="1360"/>
      <c r="DOF50" s="1360"/>
      <c r="DOG50" s="1360"/>
      <c r="DOH50" s="1360"/>
      <c r="DOI50" s="1360"/>
      <c r="DOJ50" s="1360"/>
      <c r="DOK50" s="1360"/>
      <c r="DOL50" s="1360"/>
      <c r="DOM50" s="1360"/>
      <c r="DON50" s="1360"/>
      <c r="DOO50" s="1360"/>
      <c r="DOP50" s="1360"/>
      <c r="DOQ50" s="1360"/>
      <c r="DOR50" s="1360"/>
      <c r="DOS50" s="1360"/>
      <c r="DOT50" s="1360"/>
      <c r="DOU50" s="1360"/>
      <c r="DOV50" s="1360"/>
      <c r="DOW50" s="1360"/>
      <c r="DOX50" s="1360"/>
      <c r="DOY50" s="1360"/>
      <c r="DOZ50" s="1360"/>
      <c r="DPA50" s="1360"/>
      <c r="DPB50" s="1360"/>
      <c r="DPC50" s="1360"/>
      <c r="DPD50" s="1360"/>
      <c r="DPE50" s="1360"/>
      <c r="DPF50" s="1360"/>
      <c r="DPG50" s="1360"/>
      <c r="DPH50" s="1360"/>
      <c r="DPI50" s="1360"/>
      <c r="DPJ50" s="1360"/>
      <c r="DPK50" s="1360"/>
      <c r="DPL50" s="1360"/>
      <c r="DPM50" s="1360"/>
      <c r="DPN50" s="1360"/>
      <c r="DPO50" s="1360"/>
      <c r="DPP50" s="1360"/>
      <c r="DPQ50" s="1360"/>
      <c r="DPR50" s="1360"/>
      <c r="DPS50" s="1360"/>
      <c r="DPT50" s="1360"/>
      <c r="DPU50" s="1360"/>
      <c r="DPV50" s="1360"/>
      <c r="DPW50" s="1360"/>
      <c r="DPX50" s="1360"/>
      <c r="DPY50" s="1360"/>
      <c r="DPZ50" s="1360"/>
      <c r="DQA50" s="1360"/>
      <c r="DQB50" s="1360"/>
      <c r="DQC50" s="1360"/>
      <c r="DQD50" s="1360"/>
      <c r="DQE50" s="1360"/>
      <c r="DQF50" s="1360"/>
      <c r="DQG50" s="1360"/>
      <c r="DQH50" s="1360"/>
      <c r="DQI50" s="1360"/>
      <c r="DQJ50" s="1360"/>
      <c r="DQK50" s="1360"/>
      <c r="DQL50" s="1360"/>
      <c r="DQM50" s="1360"/>
      <c r="DQN50" s="1360"/>
      <c r="DQO50" s="1360"/>
      <c r="DQP50" s="1360"/>
      <c r="DQQ50" s="1360"/>
      <c r="DQR50" s="1360"/>
      <c r="DQS50" s="1360"/>
      <c r="DQT50" s="1360"/>
      <c r="DQU50" s="1360"/>
      <c r="DQV50" s="1360"/>
      <c r="DQW50" s="1360"/>
      <c r="DQX50" s="1360"/>
      <c r="DQY50" s="1360"/>
      <c r="DQZ50" s="1360"/>
      <c r="DRA50" s="1360"/>
      <c r="DRB50" s="1360"/>
      <c r="DRC50" s="1360"/>
      <c r="DRD50" s="1360"/>
      <c r="DRE50" s="1360"/>
      <c r="DRF50" s="1360"/>
      <c r="DRG50" s="1360"/>
      <c r="DRH50" s="1360"/>
      <c r="DRI50" s="1360"/>
      <c r="DRJ50" s="1360"/>
      <c r="DRK50" s="1360"/>
      <c r="DRL50" s="1360"/>
      <c r="DRM50" s="1360"/>
      <c r="DRN50" s="1360"/>
      <c r="DRO50" s="1360"/>
      <c r="DRP50" s="1360"/>
      <c r="DRQ50" s="1360"/>
      <c r="DRR50" s="1360"/>
      <c r="DRS50" s="1360"/>
      <c r="DRT50" s="1360"/>
      <c r="DRU50" s="1360"/>
      <c r="DRV50" s="1360"/>
      <c r="DRW50" s="1360"/>
      <c r="DRX50" s="1360"/>
      <c r="DRY50" s="1360"/>
      <c r="DRZ50" s="1360"/>
      <c r="DSA50" s="1360"/>
      <c r="DSB50" s="1360"/>
      <c r="DSC50" s="1360"/>
      <c r="DSD50" s="1360"/>
      <c r="DSE50" s="1360"/>
      <c r="DSF50" s="1360"/>
      <c r="DSG50" s="1360"/>
      <c r="DSH50" s="1360"/>
      <c r="DSI50" s="1360"/>
      <c r="DSJ50" s="1360"/>
      <c r="DSK50" s="1360"/>
      <c r="DSL50" s="1360"/>
      <c r="DSM50" s="1360"/>
      <c r="DSN50" s="1360"/>
      <c r="DSO50" s="1360"/>
      <c r="DSP50" s="1360"/>
      <c r="DSQ50" s="1360"/>
      <c r="DSR50" s="1360"/>
      <c r="DSS50" s="1360"/>
      <c r="DST50" s="1360"/>
      <c r="DSU50" s="1360"/>
      <c r="DSV50" s="1360"/>
      <c r="DSW50" s="1360"/>
      <c r="DSX50" s="1360"/>
      <c r="DSY50" s="1360"/>
      <c r="DSZ50" s="1360"/>
      <c r="DTA50" s="1360"/>
      <c r="DTB50" s="1360"/>
      <c r="DTC50" s="1360"/>
      <c r="DTD50" s="1360"/>
      <c r="DTE50" s="1360"/>
      <c r="DTF50" s="1360"/>
      <c r="DTG50" s="1360"/>
      <c r="DTH50" s="1360"/>
      <c r="DTI50" s="1360"/>
      <c r="DTJ50" s="1360"/>
      <c r="DTK50" s="1360"/>
      <c r="DTL50" s="1360"/>
      <c r="DTM50" s="1360"/>
      <c r="DTN50" s="1360"/>
      <c r="DTO50" s="1360"/>
      <c r="DTP50" s="1360"/>
      <c r="DTQ50" s="1360"/>
      <c r="DTR50" s="1360"/>
      <c r="DTS50" s="1360"/>
      <c r="DTT50" s="1360"/>
      <c r="DTU50" s="1360"/>
      <c r="DTV50" s="1360"/>
      <c r="DTW50" s="1360"/>
      <c r="DTX50" s="1360"/>
      <c r="DTY50" s="1360"/>
      <c r="DTZ50" s="1360"/>
      <c r="DUA50" s="1360"/>
      <c r="DUB50" s="1360"/>
      <c r="DUC50" s="1360"/>
      <c r="DUD50" s="1360"/>
      <c r="DUE50" s="1360"/>
      <c r="DUF50" s="1360"/>
      <c r="DUG50" s="1360"/>
      <c r="DUH50" s="1360"/>
      <c r="DUI50" s="1360"/>
      <c r="DUJ50" s="1360"/>
      <c r="DUK50" s="1360"/>
      <c r="DUL50" s="1360"/>
      <c r="DUM50" s="1360"/>
      <c r="DUN50" s="1360"/>
      <c r="DUO50" s="1360"/>
      <c r="DUP50" s="1360"/>
      <c r="DUQ50" s="1360"/>
      <c r="DUR50" s="1360"/>
      <c r="DUS50" s="1360"/>
      <c r="DUT50" s="1360"/>
      <c r="DUU50" s="1360"/>
      <c r="DUV50" s="1360"/>
      <c r="DUW50" s="1360"/>
      <c r="DUX50" s="1360"/>
      <c r="DUY50" s="1360"/>
      <c r="DUZ50" s="1360"/>
      <c r="DVA50" s="1360"/>
      <c r="DVB50" s="1360"/>
      <c r="DVC50" s="1360"/>
      <c r="DVD50" s="1360"/>
      <c r="DVE50" s="1360"/>
      <c r="DVF50" s="1360"/>
      <c r="DVG50" s="1360"/>
      <c r="DVH50" s="1360"/>
      <c r="DVI50" s="1360"/>
      <c r="DVJ50" s="1360"/>
      <c r="DVK50" s="1360"/>
      <c r="DVL50" s="1360"/>
      <c r="DVM50" s="1360"/>
      <c r="DVN50" s="1360"/>
      <c r="DVO50" s="1360"/>
      <c r="DVP50" s="1360"/>
      <c r="DVQ50" s="1360"/>
      <c r="DVR50" s="1360"/>
      <c r="DVS50" s="1360"/>
      <c r="DVT50" s="1360"/>
      <c r="DVU50" s="1360"/>
      <c r="DVV50" s="1360"/>
      <c r="DVW50" s="1360"/>
      <c r="DVX50" s="1360"/>
      <c r="DVY50" s="1360"/>
      <c r="DVZ50" s="1360"/>
      <c r="DWA50" s="1360"/>
      <c r="DWB50" s="1360"/>
      <c r="DWC50" s="1360"/>
      <c r="DWD50" s="1360"/>
      <c r="DWE50" s="1360"/>
      <c r="DWF50" s="1360"/>
      <c r="DWG50" s="1360"/>
      <c r="DWH50" s="1360"/>
      <c r="DWI50" s="1360"/>
      <c r="DWJ50" s="1360"/>
      <c r="DWK50" s="1360"/>
      <c r="DWL50" s="1360"/>
      <c r="DWM50" s="1360"/>
      <c r="DWN50" s="1360"/>
      <c r="DWO50" s="1360"/>
      <c r="DWP50" s="1360"/>
      <c r="DWQ50" s="1360"/>
      <c r="DWR50" s="1360"/>
      <c r="DWS50" s="1360"/>
      <c r="DWT50" s="1360"/>
      <c r="DWU50" s="1360"/>
      <c r="DWV50" s="1360"/>
      <c r="DWW50" s="1360"/>
      <c r="DWX50" s="1360"/>
      <c r="DWY50" s="1360"/>
      <c r="DWZ50" s="1360"/>
      <c r="DXA50" s="1360"/>
      <c r="DXB50" s="1360"/>
      <c r="DXC50" s="1360"/>
      <c r="DXD50" s="1360"/>
      <c r="DXE50" s="1360"/>
      <c r="DXF50" s="1360"/>
      <c r="DXG50" s="1360"/>
      <c r="DXH50" s="1360"/>
      <c r="DXI50" s="1360"/>
      <c r="DXJ50" s="1360"/>
      <c r="DXK50" s="1360"/>
      <c r="DXL50" s="1360"/>
      <c r="DXM50" s="1360"/>
      <c r="DXN50" s="1360"/>
      <c r="DXO50" s="1360"/>
      <c r="DXP50" s="1360"/>
      <c r="DXQ50" s="1360"/>
      <c r="DXR50" s="1360"/>
      <c r="DXS50" s="1360"/>
      <c r="DXT50" s="1360"/>
      <c r="DXU50" s="1360"/>
      <c r="DXV50" s="1360"/>
      <c r="DXW50" s="1360"/>
      <c r="DXX50" s="1360"/>
      <c r="DXY50" s="1360"/>
      <c r="DXZ50" s="1360"/>
      <c r="DYA50" s="1360"/>
      <c r="DYB50" s="1360"/>
      <c r="DYC50" s="1360"/>
      <c r="DYD50" s="1360"/>
      <c r="DYE50" s="1360"/>
      <c r="DYF50" s="1360"/>
      <c r="DYG50" s="1360"/>
      <c r="DYH50" s="1360"/>
      <c r="DYI50" s="1360"/>
      <c r="DYJ50" s="1360"/>
      <c r="DYK50" s="1360"/>
      <c r="DYL50" s="1360"/>
      <c r="DYM50" s="1360"/>
      <c r="DYN50" s="1360"/>
      <c r="DYO50" s="1360"/>
      <c r="DYP50" s="1360"/>
      <c r="DYQ50" s="1360"/>
      <c r="DYR50" s="1360"/>
      <c r="DYS50" s="1360"/>
      <c r="DYT50" s="1360"/>
      <c r="DYU50" s="1360"/>
      <c r="DYV50" s="1360"/>
      <c r="DYW50" s="1360"/>
      <c r="DYX50" s="1360"/>
      <c r="DYY50" s="1360"/>
      <c r="DYZ50" s="1360"/>
      <c r="DZA50" s="1360"/>
      <c r="DZB50" s="1360"/>
      <c r="DZC50" s="1360"/>
      <c r="DZD50" s="1360"/>
      <c r="DZE50" s="1360"/>
      <c r="DZF50" s="1360"/>
      <c r="DZG50" s="1360"/>
      <c r="DZH50" s="1360"/>
      <c r="DZI50" s="1360"/>
      <c r="DZJ50" s="1360"/>
      <c r="DZK50" s="1360"/>
      <c r="DZL50" s="1360"/>
      <c r="DZM50" s="1360"/>
      <c r="DZN50" s="1360"/>
      <c r="DZO50" s="1360"/>
      <c r="DZP50" s="1360"/>
      <c r="DZQ50" s="1360"/>
      <c r="DZR50" s="1360"/>
      <c r="DZS50" s="1360"/>
      <c r="DZT50" s="1360"/>
      <c r="DZU50" s="1360"/>
      <c r="DZV50" s="1360"/>
      <c r="DZW50" s="1360"/>
      <c r="DZX50" s="1360"/>
      <c r="DZY50" s="1360"/>
      <c r="DZZ50" s="1360"/>
      <c r="EAA50" s="1360"/>
      <c r="EAB50" s="1360"/>
      <c r="EAC50" s="1360"/>
      <c r="EAD50" s="1360"/>
      <c r="EAE50" s="1360"/>
      <c r="EAF50" s="1360"/>
      <c r="EAG50" s="1360"/>
      <c r="EAH50" s="1360"/>
      <c r="EAI50" s="1360"/>
      <c r="EAJ50" s="1360"/>
      <c r="EAK50" s="1360"/>
      <c r="EAL50" s="1360"/>
      <c r="EAM50" s="1360"/>
      <c r="EAN50" s="1360"/>
      <c r="EAO50" s="1360"/>
      <c r="EAP50" s="1360"/>
      <c r="EAQ50" s="1360"/>
      <c r="EAR50" s="1360"/>
      <c r="EAS50" s="1360"/>
      <c r="EAT50" s="1360"/>
      <c r="EAU50" s="1360"/>
      <c r="EAV50" s="1360"/>
      <c r="EAW50" s="1360"/>
      <c r="EAX50" s="1360"/>
      <c r="EAY50" s="1360"/>
      <c r="EAZ50" s="1360"/>
      <c r="EBA50" s="1360"/>
      <c r="EBB50" s="1360"/>
      <c r="EBC50" s="1360"/>
      <c r="EBD50" s="1360"/>
      <c r="EBE50" s="1360"/>
      <c r="EBF50" s="1360"/>
      <c r="EBG50" s="1360"/>
      <c r="EBH50" s="1360"/>
      <c r="EBI50" s="1360"/>
      <c r="EBJ50" s="1360"/>
      <c r="EBK50" s="1360"/>
      <c r="EBL50" s="1360"/>
      <c r="EBM50" s="1360"/>
      <c r="EBN50" s="1360"/>
      <c r="EBO50" s="1360"/>
      <c r="EBP50" s="1360"/>
      <c r="EBQ50" s="1360"/>
      <c r="EBR50" s="1360"/>
      <c r="EBS50" s="1360"/>
      <c r="EBT50" s="1360"/>
      <c r="EBU50" s="1360"/>
      <c r="EBV50" s="1360"/>
      <c r="EBW50" s="1360"/>
      <c r="EBX50" s="1360"/>
      <c r="EBY50" s="1360"/>
      <c r="EBZ50" s="1360"/>
      <c r="ECA50" s="1360"/>
      <c r="ECB50" s="1360"/>
      <c r="ECC50" s="1360"/>
      <c r="ECD50" s="1360"/>
      <c r="ECE50" s="1360"/>
      <c r="ECF50" s="1360"/>
      <c r="ECG50" s="1360"/>
      <c r="ECH50" s="1360"/>
      <c r="ECI50" s="1360"/>
      <c r="ECJ50" s="1360"/>
      <c r="ECK50" s="1360"/>
      <c r="ECL50" s="1360"/>
      <c r="ECM50" s="1360"/>
      <c r="ECN50" s="1360"/>
      <c r="ECO50" s="1360"/>
      <c r="ECP50" s="1360"/>
      <c r="ECQ50" s="1360"/>
      <c r="ECR50" s="1360"/>
      <c r="ECS50" s="1360"/>
      <c r="ECT50" s="1360"/>
      <c r="ECU50" s="1360"/>
      <c r="ECV50" s="1360"/>
      <c r="ECW50" s="1360"/>
      <c r="ECX50" s="1360"/>
      <c r="ECY50" s="1360"/>
      <c r="ECZ50" s="1360"/>
      <c r="EDA50" s="1360"/>
      <c r="EDB50" s="1360"/>
      <c r="EDC50" s="1360"/>
      <c r="EDD50" s="1360"/>
      <c r="EDE50" s="1360"/>
      <c r="EDF50" s="1360"/>
      <c r="EDG50" s="1360"/>
      <c r="EDH50" s="1360"/>
      <c r="EDI50" s="1360"/>
      <c r="EDJ50" s="1360"/>
      <c r="EDK50" s="1360"/>
      <c r="EDL50" s="1360"/>
      <c r="EDM50" s="1360"/>
      <c r="EDN50" s="1360"/>
      <c r="EDO50" s="1360"/>
      <c r="EDP50" s="1360"/>
      <c r="EDQ50" s="1360"/>
      <c r="EDR50" s="1360"/>
      <c r="EDS50" s="1360"/>
      <c r="EDT50" s="1360"/>
      <c r="EDU50" s="1360"/>
      <c r="EDV50" s="1360"/>
      <c r="EDW50" s="1360"/>
      <c r="EDX50" s="1360"/>
      <c r="EDY50" s="1360"/>
      <c r="EDZ50" s="1360"/>
      <c r="EEA50" s="1360"/>
      <c r="EEB50" s="1360"/>
      <c r="EEC50" s="1360"/>
      <c r="EED50" s="1360"/>
      <c r="EEE50" s="1360"/>
      <c r="EEF50" s="1360"/>
      <c r="EEG50" s="1360"/>
      <c r="EEH50" s="1360"/>
      <c r="EEI50" s="1360"/>
      <c r="EEJ50" s="1360"/>
      <c r="EEK50" s="1360"/>
      <c r="EEL50" s="1360"/>
      <c r="EEM50" s="1360"/>
      <c r="EEN50" s="1360"/>
      <c r="EEO50" s="1360"/>
      <c r="EEP50" s="1360"/>
      <c r="EEQ50" s="1360"/>
      <c r="EER50" s="1360"/>
      <c r="EES50" s="1360"/>
      <c r="EET50" s="1360"/>
      <c r="EEU50" s="1360"/>
      <c r="EEV50" s="1360"/>
      <c r="EEW50" s="1360"/>
      <c r="EEX50" s="1360"/>
      <c r="EEY50" s="1360"/>
      <c r="EEZ50" s="1360"/>
      <c r="EFA50" s="1360"/>
      <c r="EFB50" s="1360"/>
      <c r="EFC50" s="1360"/>
      <c r="EFD50" s="1360"/>
      <c r="EFE50" s="1360"/>
      <c r="EFF50" s="1360"/>
      <c r="EFG50" s="1360"/>
      <c r="EFH50" s="1360"/>
      <c r="EFI50" s="1360"/>
      <c r="EFJ50" s="1360"/>
      <c r="EFK50" s="1360"/>
      <c r="EFL50" s="1360"/>
      <c r="EFM50" s="1360"/>
      <c r="EFN50" s="1360"/>
      <c r="EFO50" s="1360"/>
      <c r="EFP50" s="1360"/>
      <c r="EFQ50" s="1360"/>
      <c r="EFR50" s="1360"/>
      <c r="EFS50" s="1360"/>
      <c r="EFT50" s="1360"/>
      <c r="EFU50" s="1360"/>
      <c r="EFV50" s="1360"/>
      <c r="EFW50" s="1360"/>
      <c r="EFX50" s="1360"/>
      <c r="EFY50" s="1360"/>
      <c r="EFZ50" s="1360"/>
      <c r="EGA50" s="1360"/>
      <c r="EGB50" s="1360"/>
      <c r="EGC50" s="1360"/>
      <c r="EGD50" s="1360"/>
      <c r="EGE50" s="1360"/>
      <c r="EGF50" s="1360"/>
      <c r="EGG50" s="1360"/>
      <c r="EGH50" s="1360"/>
      <c r="EGI50" s="1360"/>
      <c r="EGJ50" s="1360"/>
      <c r="EGK50" s="1360"/>
      <c r="EGL50" s="1360"/>
      <c r="EGM50" s="1360"/>
      <c r="EGN50" s="1360"/>
      <c r="EGO50" s="1360"/>
      <c r="EGP50" s="1360"/>
      <c r="EGQ50" s="1360"/>
      <c r="EGR50" s="1360"/>
      <c r="EGS50" s="1360"/>
      <c r="EGT50" s="1360"/>
      <c r="EGU50" s="1360"/>
      <c r="EGV50" s="1360"/>
      <c r="EGW50" s="1360"/>
      <c r="EGX50" s="1360"/>
      <c r="EGY50" s="1360"/>
      <c r="EGZ50" s="1360"/>
      <c r="EHA50" s="1360"/>
      <c r="EHB50" s="1360"/>
      <c r="EHC50" s="1360"/>
      <c r="EHD50" s="1360"/>
      <c r="EHE50" s="1360"/>
      <c r="EHF50" s="1360"/>
      <c r="EHG50" s="1360"/>
      <c r="EHH50" s="1360"/>
      <c r="EHI50" s="1360"/>
      <c r="EHJ50" s="1360"/>
      <c r="EHK50" s="1360"/>
      <c r="EHL50" s="1360"/>
      <c r="EHM50" s="1360"/>
      <c r="EHN50" s="1360"/>
      <c r="EHO50" s="1360"/>
      <c r="EHP50" s="1360"/>
      <c r="EHQ50" s="1360"/>
      <c r="EHR50" s="1360"/>
      <c r="EHS50" s="1360"/>
      <c r="EHT50" s="1360"/>
      <c r="EHU50" s="1360"/>
      <c r="EHV50" s="1360"/>
      <c r="EHW50" s="1360"/>
      <c r="EHX50" s="1360"/>
      <c r="EHY50" s="1360"/>
      <c r="EHZ50" s="1360"/>
      <c r="EIA50" s="1360"/>
      <c r="EIB50" s="1360"/>
      <c r="EIC50" s="1360"/>
      <c r="EID50" s="1360"/>
      <c r="EIE50" s="1360"/>
      <c r="EIF50" s="1360"/>
      <c r="EIG50" s="1360"/>
      <c r="EIH50" s="1360"/>
      <c r="EII50" s="1360"/>
      <c r="EIJ50" s="1360"/>
      <c r="EIK50" s="1360"/>
      <c r="EIL50" s="1360"/>
      <c r="EIM50" s="1360"/>
      <c r="EIN50" s="1360"/>
      <c r="EIO50" s="1360"/>
      <c r="EIP50" s="1360"/>
      <c r="EIQ50" s="1360"/>
      <c r="EIR50" s="1360"/>
      <c r="EIS50" s="1360"/>
      <c r="EIT50" s="1360"/>
      <c r="EIU50" s="1360"/>
      <c r="EIV50" s="1360"/>
      <c r="EIW50" s="1360"/>
      <c r="EIX50" s="1360"/>
      <c r="EIY50" s="1360"/>
      <c r="EIZ50" s="1360"/>
      <c r="EJA50" s="1360"/>
      <c r="EJB50" s="1360"/>
      <c r="EJC50" s="1360"/>
      <c r="EJD50" s="1360"/>
      <c r="EJE50" s="1360"/>
      <c r="EJF50" s="1360"/>
      <c r="EJG50" s="1360"/>
      <c r="EJH50" s="1360"/>
      <c r="EJI50" s="1360"/>
      <c r="EJJ50" s="1360"/>
      <c r="EJK50" s="1360"/>
      <c r="EJL50" s="1360"/>
      <c r="EJM50" s="1360"/>
      <c r="EJN50" s="1360"/>
      <c r="EJO50" s="1360"/>
      <c r="EJP50" s="1360"/>
      <c r="EJQ50" s="1360"/>
      <c r="EJR50" s="1360"/>
      <c r="EJS50" s="1360"/>
      <c r="EJT50" s="1360"/>
      <c r="EJU50" s="1360"/>
      <c r="EJV50" s="1360"/>
      <c r="EJW50" s="1360"/>
      <c r="EJX50" s="1360"/>
      <c r="EJY50" s="1360"/>
      <c r="EJZ50" s="1360"/>
      <c r="EKA50" s="1360"/>
      <c r="EKB50" s="1360"/>
      <c r="EKC50" s="1360"/>
      <c r="EKD50" s="1360"/>
      <c r="EKE50" s="1360"/>
      <c r="EKF50" s="1360"/>
      <c r="EKG50" s="1360"/>
      <c r="EKH50" s="1360"/>
      <c r="EKI50" s="1360"/>
      <c r="EKJ50" s="1360"/>
      <c r="EKK50" s="1360"/>
      <c r="EKL50" s="1360"/>
      <c r="EKM50" s="1360"/>
      <c r="EKN50" s="1360"/>
      <c r="EKO50" s="1360"/>
      <c r="EKP50" s="1360"/>
      <c r="EKQ50" s="1360"/>
      <c r="EKR50" s="1360"/>
      <c r="EKS50" s="1360"/>
      <c r="EKT50" s="1360"/>
      <c r="EKU50" s="1360"/>
      <c r="EKV50" s="1360"/>
      <c r="EKW50" s="1360"/>
      <c r="EKX50" s="1360"/>
      <c r="EKY50" s="1360"/>
      <c r="EKZ50" s="1360"/>
      <c r="ELA50" s="1360"/>
      <c r="ELB50" s="1360"/>
      <c r="ELC50" s="1360"/>
      <c r="ELD50" s="1360"/>
      <c r="ELE50" s="1360"/>
      <c r="ELF50" s="1360"/>
      <c r="ELG50" s="1360"/>
      <c r="ELH50" s="1360"/>
      <c r="ELI50" s="1360"/>
      <c r="ELJ50" s="1360"/>
      <c r="ELK50" s="1360"/>
      <c r="ELL50" s="1360"/>
      <c r="ELM50" s="1360"/>
      <c r="ELN50" s="1360"/>
      <c r="ELO50" s="1360"/>
      <c r="ELP50" s="1360"/>
      <c r="ELQ50" s="1360"/>
      <c r="ELR50" s="1360"/>
      <c r="ELS50" s="1360"/>
      <c r="ELT50" s="1360"/>
      <c r="ELU50" s="1360"/>
      <c r="ELV50" s="1360"/>
      <c r="ELW50" s="1360"/>
      <c r="ELX50" s="1360"/>
      <c r="ELY50" s="1360"/>
      <c r="ELZ50" s="1360"/>
      <c r="EMA50" s="1360"/>
      <c r="EMB50" s="1360"/>
      <c r="EMC50" s="1360"/>
      <c r="EMD50" s="1360"/>
      <c r="EME50" s="1360"/>
      <c r="EMF50" s="1360"/>
      <c r="EMG50" s="1360"/>
      <c r="EMH50" s="1360"/>
      <c r="EMI50" s="1360"/>
      <c r="EMJ50" s="1360"/>
      <c r="EMK50" s="1360"/>
      <c r="EML50" s="1360"/>
      <c r="EMM50" s="1360"/>
      <c r="EMN50" s="1360"/>
      <c r="EMO50" s="1360"/>
      <c r="EMP50" s="1360"/>
      <c r="EMQ50" s="1360"/>
      <c r="EMR50" s="1360"/>
      <c r="EMS50" s="1360"/>
      <c r="EMT50" s="1360"/>
      <c r="EMU50" s="1360"/>
      <c r="EMV50" s="1360"/>
      <c r="EMW50" s="1360"/>
      <c r="EMX50" s="1360"/>
      <c r="EMY50" s="1360"/>
      <c r="EMZ50" s="1360"/>
      <c r="ENA50" s="1360"/>
      <c r="ENB50" s="1360"/>
      <c r="ENC50" s="1360"/>
      <c r="END50" s="1360"/>
      <c r="ENE50" s="1360"/>
      <c r="ENF50" s="1360"/>
      <c r="ENG50" s="1360"/>
      <c r="ENH50" s="1360"/>
      <c r="ENI50" s="1360"/>
      <c r="ENJ50" s="1360"/>
      <c r="ENK50" s="1360"/>
      <c r="ENL50" s="1360"/>
      <c r="ENM50" s="1360"/>
      <c r="ENN50" s="1360"/>
      <c r="ENO50" s="1360"/>
      <c r="ENP50" s="1360"/>
      <c r="ENQ50" s="1360"/>
      <c r="ENR50" s="1360"/>
      <c r="ENS50" s="1360"/>
      <c r="ENT50" s="1360"/>
      <c r="ENU50" s="1360"/>
      <c r="ENV50" s="1360"/>
      <c r="ENW50" s="1360"/>
      <c r="ENX50" s="1360"/>
      <c r="ENY50" s="1360"/>
      <c r="ENZ50" s="1360"/>
      <c r="EOA50" s="1360"/>
      <c r="EOB50" s="1360"/>
      <c r="EOC50" s="1360"/>
      <c r="EOD50" s="1360"/>
      <c r="EOE50" s="1360"/>
      <c r="EOF50" s="1360"/>
      <c r="EOG50" s="1360"/>
      <c r="EOH50" s="1360"/>
      <c r="EOI50" s="1360"/>
      <c r="EOJ50" s="1360"/>
      <c r="EOK50" s="1360"/>
      <c r="EOL50" s="1360"/>
      <c r="EOM50" s="1360"/>
      <c r="EON50" s="1360"/>
      <c r="EOO50" s="1360"/>
      <c r="EOP50" s="1360"/>
      <c r="EOQ50" s="1360"/>
      <c r="EOR50" s="1360"/>
      <c r="EOS50" s="1360"/>
      <c r="EOT50" s="1360"/>
      <c r="EOU50" s="1360"/>
      <c r="EOV50" s="1360"/>
      <c r="EOW50" s="1360"/>
      <c r="EOX50" s="1360"/>
      <c r="EOY50" s="1360"/>
      <c r="EOZ50" s="1360"/>
      <c r="EPA50" s="1360"/>
      <c r="EPB50" s="1360"/>
      <c r="EPC50" s="1360"/>
      <c r="EPD50" s="1360"/>
      <c r="EPE50" s="1360"/>
      <c r="EPF50" s="1360"/>
      <c r="EPG50" s="1360"/>
      <c r="EPH50" s="1360"/>
      <c r="EPI50" s="1360"/>
      <c r="EPJ50" s="1360"/>
      <c r="EPK50" s="1360"/>
      <c r="EPL50" s="1360"/>
      <c r="EPM50" s="1360"/>
      <c r="EPN50" s="1360"/>
      <c r="EPO50" s="1360"/>
      <c r="EPP50" s="1360"/>
      <c r="EPQ50" s="1360"/>
      <c r="EPR50" s="1360"/>
      <c r="EPS50" s="1360"/>
      <c r="EPT50" s="1360"/>
      <c r="EPU50" s="1360"/>
      <c r="EPV50" s="1360"/>
      <c r="EPW50" s="1360"/>
      <c r="EPX50" s="1360"/>
      <c r="EPY50" s="1360"/>
      <c r="EPZ50" s="1360"/>
      <c r="EQA50" s="1360"/>
      <c r="EQB50" s="1360"/>
      <c r="EQC50" s="1360"/>
      <c r="EQD50" s="1360"/>
      <c r="EQE50" s="1360"/>
      <c r="EQF50" s="1360"/>
      <c r="EQG50" s="1360"/>
      <c r="EQH50" s="1360"/>
      <c r="EQI50" s="1360"/>
      <c r="EQJ50" s="1360"/>
      <c r="EQK50" s="1360"/>
      <c r="EQL50" s="1360"/>
      <c r="EQM50" s="1360"/>
      <c r="EQN50" s="1360"/>
      <c r="EQO50" s="1360"/>
      <c r="EQP50" s="1360"/>
      <c r="EQQ50" s="1360"/>
      <c r="EQR50" s="1360"/>
      <c r="EQS50" s="1360"/>
      <c r="EQT50" s="1360"/>
      <c r="EQU50" s="1360"/>
      <c r="EQV50" s="1360"/>
      <c r="EQW50" s="1360"/>
      <c r="EQX50" s="1360"/>
      <c r="EQY50" s="1360"/>
      <c r="EQZ50" s="1360"/>
      <c r="ERA50" s="1360"/>
      <c r="ERB50" s="1360"/>
      <c r="ERC50" s="1360"/>
      <c r="ERD50" s="1360"/>
      <c r="ERE50" s="1360"/>
      <c r="ERF50" s="1360"/>
      <c r="ERG50" s="1360"/>
      <c r="ERH50" s="1360"/>
      <c r="ERI50" s="1360"/>
      <c r="ERJ50" s="1360"/>
      <c r="ERK50" s="1360"/>
      <c r="ERL50" s="1360"/>
      <c r="ERM50" s="1360"/>
      <c r="ERN50" s="1360"/>
      <c r="ERO50" s="1360"/>
      <c r="ERP50" s="1360"/>
      <c r="ERQ50" s="1360"/>
      <c r="ERR50" s="1360"/>
      <c r="ERS50" s="1360"/>
      <c r="ERT50" s="1360"/>
      <c r="ERU50" s="1360"/>
      <c r="ERV50" s="1360"/>
      <c r="ERW50" s="1360"/>
      <c r="ERX50" s="1360"/>
      <c r="ERY50" s="1360"/>
      <c r="ERZ50" s="1360"/>
      <c r="ESA50" s="1360"/>
      <c r="ESB50" s="1360"/>
      <c r="ESC50" s="1360"/>
      <c r="ESD50" s="1360"/>
      <c r="ESE50" s="1360"/>
      <c r="ESF50" s="1360"/>
      <c r="ESG50" s="1360"/>
      <c r="ESH50" s="1360"/>
      <c r="ESI50" s="1360"/>
      <c r="ESJ50" s="1360"/>
      <c r="ESK50" s="1360"/>
      <c r="ESL50" s="1360"/>
      <c r="ESM50" s="1360"/>
      <c r="ESN50" s="1360"/>
      <c r="ESO50" s="1360"/>
      <c r="ESP50" s="1360"/>
      <c r="ESQ50" s="1360"/>
      <c r="ESR50" s="1360"/>
      <c r="ESS50" s="1360"/>
      <c r="EST50" s="1360"/>
      <c r="ESU50" s="1360"/>
      <c r="ESV50" s="1360"/>
      <c r="ESW50" s="1360"/>
      <c r="ESX50" s="1360"/>
      <c r="ESY50" s="1360"/>
      <c r="ESZ50" s="1360"/>
      <c r="ETA50" s="1360"/>
      <c r="ETB50" s="1360"/>
      <c r="ETC50" s="1360"/>
      <c r="ETD50" s="1360"/>
      <c r="ETE50" s="1360"/>
      <c r="ETF50" s="1360"/>
      <c r="ETG50" s="1360"/>
      <c r="ETH50" s="1360"/>
      <c r="ETI50" s="1360"/>
      <c r="ETJ50" s="1360"/>
      <c r="ETK50" s="1360"/>
      <c r="ETL50" s="1360"/>
      <c r="ETM50" s="1360"/>
      <c r="ETN50" s="1360"/>
      <c r="ETO50" s="1360"/>
      <c r="ETP50" s="1360"/>
      <c r="ETQ50" s="1360"/>
      <c r="ETR50" s="1360"/>
      <c r="ETS50" s="1360"/>
      <c r="ETT50" s="1360"/>
      <c r="ETU50" s="1360"/>
      <c r="ETV50" s="1360"/>
      <c r="ETW50" s="1360"/>
      <c r="ETX50" s="1360"/>
      <c r="ETY50" s="1360"/>
      <c r="ETZ50" s="1360"/>
      <c r="EUA50" s="1360"/>
      <c r="EUB50" s="1360"/>
      <c r="EUC50" s="1360"/>
      <c r="EUD50" s="1360"/>
      <c r="EUE50" s="1360"/>
      <c r="EUF50" s="1360"/>
      <c r="EUG50" s="1360"/>
      <c r="EUH50" s="1360"/>
      <c r="EUI50" s="1360"/>
      <c r="EUJ50" s="1360"/>
      <c r="EUK50" s="1360"/>
      <c r="EUL50" s="1360"/>
      <c r="EUM50" s="1360"/>
      <c r="EUN50" s="1360"/>
      <c r="EUO50" s="1360"/>
      <c r="EUP50" s="1360"/>
      <c r="EUQ50" s="1360"/>
      <c r="EUR50" s="1360"/>
      <c r="EUS50" s="1360"/>
      <c r="EUT50" s="1360"/>
      <c r="EUU50" s="1360"/>
      <c r="EUV50" s="1360"/>
      <c r="EUW50" s="1360"/>
      <c r="EUX50" s="1360"/>
      <c r="EUY50" s="1360"/>
      <c r="EUZ50" s="1360"/>
      <c r="EVA50" s="1360"/>
      <c r="EVB50" s="1360"/>
      <c r="EVC50" s="1360"/>
      <c r="EVD50" s="1360"/>
      <c r="EVE50" s="1360"/>
      <c r="EVF50" s="1360"/>
      <c r="EVG50" s="1360"/>
      <c r="EVH50" s="1360"/>
      <c r="EVI50" s="1360"/>
      <c r="EVJ50" s="1360"/>
      <c r="EVK50" s="1360"/>
      <c r="EVL50" s="1360"/>
      <c r="EVM50" s="1360"/>
      <c r="EVN50" s="1360"/>
      <c r="EVO50" s="1360"/>
      <c r="EVP50" s="1360"/>
      <c r="EVQ50" s="1360"/>
      <c r="EVR50" s="1360"/>
      <c r="EVS50" s="1360"/>
      <c r="EVT50" s="1360"/>
      <c r="EVU50" s="1360"/>
      <c r="EVV50" s="1360"/>
      <c r="EVW50" s="1360"/>
      <c r="EVX50" s="1360"/>
      <c r="EVY50" s="1360"/>
      <c r="EVZ50" s="1360"/>
      <c r="EWA50" s="1360"/>
      <c r="EWB50" s="1360"/>
      <c r="EWC50" s="1360"/>
      <c r="EWD50" s="1360"/>
      <c r="EWE50" s="1360"/>
      <c r="EWF50" s="1360"/>
      <c r="EWG50" s="1360"/>
      <c r="EWH50" s="1360"/>
      <c r="EWI50" s="1360"/>
      <c r="EWJ50" s="1360"/>
      <c r="EWK50" s="1360"/>
      <c r="EWL50" s="1360"/>
      <c r="EWM50" s="1360"/>
      <c r="EWN50" s="1360"/>
      <c r="EWO50" s="1360"/>
      <c r="EWP50" s="1360"/>
      <c r="EWQ50" s="1360"/>
      <c r="EWR50" s="1360"/>
      <c r="EWS50" s="1360"/>
      <c r="EWT50" s="1360"/>
      <c r="EWU50" s="1360"/>
      <c r="EWV50" s="1360"/>
      <c r="EWW50" s="1360"/>
      <c r="EWX50" s="1360"/>
      <c r="EWY50" s="1360"/>
      <c r="EWZ50" s="1360"/>
      <c r="EXA50" s="1360"/>
      <c r="EXB50" s="1360"/>
      <c r="EXC50" s="1360"/>
      <c r="EXD50" s="1360"/>
      <c r="EXE50" s="1360"/>
      <c r="EXF50" s="1360"/>
      <c r="EXG50" s="1360"/>
      <c r="EXH50" s="1360"/>
      <c r="EXI50" s="1360"/>
      <c r="EXJ50" s="1360"/>
      <c r="EXK50" s="1360"/>
      <c r="EXL50" s="1360"/>
      <c r="EXM50" s="1360"/>
      <c r="EXN50" s="1360"/>
      <c r="EXO50" s="1360"/>
      <c r="EXP50" s="1360"/>
      <c r="EXQ50" s="1360"/>
      <c r="EXR50" s="1360"/>
      <c r="EXS50" s="1360"/>
      <c r="EXT50" s="1360"/>
      <c r="EXU50" s="1360"/>
      <c r="EXV50" s="1360"/>
      <c r="EXW50" s="1360"/>
      <c r="EXX50" s="1360"/>
      <c r="EXY50" s="1360"/>
      <c r="EXZ50" s="1360"/>
      <c r="EYA50" s="1360"/>
      <c r="EYB50" s="1360"/>
      <c r="EYC50" s="1360"/>
      <c r="EYD50" s="1360"/>
      <c r="EYE50" s="1360"/>
      <c r="EYF50" s="1360"/>
      <c r="EYG50" s="1360"/>
      <c r="EYH50" s="1360"/>
      <c r="EYI50" s="1360"/>
      <c r="EYJ50" s="1360"/>
      <c r="EYK50" s="1360"/>
      <c r="EYL50" s="1360"/>
      <c r="EYM50" s="1360"/>
      <c r="EYN50" s="1360"/>
      <c r="EYO50" s="1360"/>
      <c r="EYP50" s="1360"/>
      <c r="EYQ50" s="1360"/>
      <c r="EYR50" s="1360"/>
      <c r="EYS50" s="1360"/>
      <c r="EYT50" s="1360"/>
      <c r="EYU50" s="1360"/>
      <c r="EYV50" s="1360"/>
      <c r="EYW50" s="1360"/>
      <c r="EYX50" s="1360"/>
      <c r="EYY50" s="1360"/>
      <c r="EYZ50" s="1360"/>
      <c r="EZA50" s="1360"/>
      <c r="EZB50" s="1360"/>
      <c r="EZC50" s="1360"/>
      <c r="EZD50" s="1360"/>
      <c r="EZE50" s="1360"/>
      <c r="EZF50" s="1360"/>
      <c r="EZG50" s="1360"/>
      <c r="EZH50" s="1360"/>
      <c r="EZI50" s="1360"/>
      <c r="EZJ50" s="1360"/>
      <c r="EZK50" s="1360"/>
      <c r="EZL50" s="1360"/>
      <c r="EZM50" s="1360"/>
      <c r="EZN50" s="1360"/>
      <c r="EZO50" s="1360"/>
      <c r="EZP50" s="1360"/>
      <c r="EZQ50" s="1360"/>
      <c r="EZR50" s="1360"/>
      <c r="EZS50" s="1360"/>
      <c r="EZT50" s="1360"/>
      <c r="EZU50" s="1360"/>
      <c r="EZV50" s="1360"/>
      <c r="EZW50" s="1360"/>
      <c r="EZX50" s="1360"/>
      <c r="EZY50" s="1360"/>
      <c r="EZZ50" s="1360"/>
      <c r="FAA50" s="1360"/>
      <c r="FAB50" s="1360"/>
      <c r="FAC50" s="1360"/>
      <c r="FAD50" s="1360"/>
      <c r="FAE50" s="1360"/>
      <c r="FAF50" s="1360"/>
      <c r="FAG50" s="1360"/>
      <c r="FAH50" s="1360"/>
      <c r="FAI50" s="1360"/>
      <c r="FAJ50" s="1360"/>
      <c r="FAK50" s="1360"/>
      <c r="FAL50" s="1360"/>
      <c r="FAM50" s="1360"/>
      <c r="FAN50" s="1360"/>
      <c r="FAO50" s="1360"/>
      <c r="FAP50" s="1360"/>
      <c r="FAQ50" s="1360"/>
      <c r="FAR50" s="1360"/>
      <c r="FAS50" s="1360"/>
      <c r="FAT50" s="1360"/>
      <c r="FAU50" s="1360"/>
      <c r="FAV50" s="1360"/>
      <c r="FAW50" s="1360"/>
      <c r="FAX50" s="1360"/>
      <c r="FAY50" s="1360"/>
      <c r="FAZ50" s="1360"/>
      <c r="FBA50" s="1360"/>
      <c r="FBB50" s="1360"/>
      <c r="FBC50" s="1360"/>
      <c r="FBD50" s="1360"/>
      <c r="FBE50" s="1360"/>
      <c r="FBF50" s="1360"/>
      <c r="FBG50" s="1360"/>
      <c r="FBH50" s="1360"/>
      <c r="FBI50" s="1360"/>
      <c r="FBJ50" s="1360"/>
      <c r="FBK50" s="1360"/>
      <c r="FBL50" s="1360"/>
      <c r="FBM50" s="1360"/>
      <c r="FBN50" s="1360"/>
      <c r="FBO50" s="1360"/>
      <c r="FBP50" s="1360"/>
      <c r="FBQ50" s="1360"/>
      <c r="FBR50" s="1360"/>
      <c r="FBS50" s="1360"/>
      <c r="FBT50" s="1360"/>
      <c r="FBU50" s="1360"/>
      <c r="FBV50" s="1360"/>
      <c r="FBW50" s="1360"/>
      <c r="FBX50" s="1360"/>
      <c r="FBY50" s="1360"/>
      <c r="FBZ50" s="1360"/>
      <c r="FCA50" s="1360"/>
      <c r="FCB50" s="1360"/>
      <c r="FCC50" s="1360"/>
      <c r="FCD50" s="1360"/>
      <c r="FCE50" s="1360"/>
      <c r="FCF50" s="1360"/>
      <c r="FCG50" s="1360"/>
      <c r="FCH50" s="1360"/>
      <c r="FCI50" s="1360"/>
      <c r="FCJ50" s="1360"/>
      <c r="FCK50" s="1360"/>
      <c r="FCL50" s="1360"/>
      <c r="FCM50" s="1360"/>
      <c r="FCN50" s="1360"/>
      <c r="FCO50" s="1360"/>
      <c r="FCP50" s="1360"/>
      <c r="FCQ50" s="1360"/>
      <c r="FCR50" s="1360"/>
      <c r="FCS50" s="1360"/>
      <c r="FCT50" s="1360"/>
      <c r="FCU50" s="1360"/>
      <c r="FCV50" s="1360"/>
      <c r="FCW50" s="1360"/>
      <c r="FCX50" s="1360"/>
      <c r="FCY50" s="1360"/>
      <c r="FCZ50" s="1360"/>
      <c r="FDA50" s="1360"/>
      <c r="FDB50" s="1360"/>
      <c r="FDC50" s="1360"/>
      <c r="FDD50" s="1360"/>
      <c r="FDE50" s="1360"/>
      <c r="FDF50" s="1360"/>
      <c r="FDG50" s="1360"/>
      <c r="FDH50" s="1360"/>
      <c r="FDI50" s="1360"/>
      <c r="FDJ50" s="1360"/>
      <c r="FDK50" s="1360"/>
      <c r="FDL50" s="1360"/>
      <c r="FDM50" s="1360"/>
      <c r="FDN50" s="1360"/>
      <c r="FDO50" s="1360"/>
      <c r="FDP50" s="1360"/>
      <c r="FDQ50" s="1360"/>
      <c r="FDR50" s="1360"/>
      <c r="FDS50" s="1360"/>
      <c r="FDT50" s="1360"/>
      <c r="FDU50" s="1360"/>
      <c r="FDV50" s="1360"/>
      <c r="FDW50" s="1360"/>
      <c r="FDX50" s="1360"/>
      <c r="FDY50" s="1360"/>
      <c r="FDZ50" s="1360"/>
      <c r="FEA50" s="1360"/>
      <c r="FEB50" s="1360"/>
      <c r="FEC50" s="1360"/>
      <c r="FED50" s="1360"/>
      <c r="FEE50" s="1360"/>
      <c r="FEF50" s="1360"/>
      <c r="FEG50" s="1360"/>
      <c r="FEH50" s="1360"/>
      <c r="FEI50" s="1360"/>
      <c r="FEJ50" s="1360"/>
      <c r="FEK50" s="1360"/>
      <c r="FEL50" s="1360"/>
      <c r="FEM50" s="1360"/>
      <c r="FEN50" s="1360"/>
      <c r="FEO50" s="1360"/>
      <c r="FEP50" s="1360"/>
      <c r="FEQ50" s="1360"/>
      <c r="FER50" s="1360"/>
      <c r="FES50" s="1360"/>
      <c r="FET50" s="1360"/>
      <c r="FEU50" s="1360"/>
      <c r="FEV50" s="1360"/>
      <c r="FEW50" s="1360"/>
      <c r="FEX50" s="1360"/>
      <c r="FEY50" s="1360"/>
      <c r="FEZ50" s="1360"/>
      <c r="FFA50" s="1360"/>
      <c r="FFB50" s="1360"/>
      <c r="FFC50" s="1360"/>
      <c r="FFD50" s="1360"/>
      <c r="FFE50" s="1360"/>
      <c r="FFF50" s="1360"/>
      <c r="FFG50" s="1360"/>
      <c r="FFH50" s="1360"/>
      <c r="FFI50" s="1360"/>
      <c r="FFJ50" s="1360"/>
      <c r="FFK50" s="1360"/>
      <c r="FFL50" s="1360"/>
      <c r="FFM50" s="1360"/>
      <c r="FFN50" s="1360"/>
      <c r="FFO50" s="1360"/>
      <c r="FFP50" s="1360"/>
      <c r="FFQ50" s="1360"/>
      <c r="FFR50" s="1360"/>
      <c r="FFS50" s="1360"/>
      <c r="FFT50" s="1360"/>
      <c r="FFU50" s="1360"/>
      <c r="FFV50" s="1360"/>
      <c r="FFW50" s="1360"/>
      <c r="FFX50" s="1360"/>
      <c r="FFY50" s="1360"/>
      <c r="FFZ50" s="1360"/>
      <c r="FGA50" s="1360"/>
      <c r="FGB50" s="1360"/>
      <c r="FGC50" s="1360"/>
      <c r="FGD50" s="1360"/>
      <c r="FGE50" s="1360"/>
      <c r="FGF50" s="1360"/>
      <c r="FGG50" s="1360"/>
      <c r="FGH50" s="1360"/>
      <c r="FGI50" s="1360"/>
      <c r="FGJ50" s="1360"/>
      <c r="FGK50" s="1360"/>
      <c r="FGL50" s="1360"/>
      <c r="FGM50" s="1360"/>
      <c r="FGN50" s="1360"/>
      <c r="FGO50" s="1360"/>
      <c r="FGP50" s="1360"/>
      <c r="FGQ50" s="1360"/>
      <c r="FGR50" s="1360"/>
      <c r="FGS50" s="1360"/>
      <c r="FGT50" s="1360"/>
      <c r="FGU50" s="1360"/>
      <c r="FGV50" s="1360"/>
      <c r="FGW50" s="1360"/>
      <c r="FGX50" s="1360"/>
      <c r="FGY50" s="1360"/>
      <c r="FGZ50" s="1360"/>
      <c r="FHA50" s="1360"/>
      <c r="FHB50" s="1360"/>
      <c r="FHC50" s="1360"/>
      <c r="FHD50" s="1360"/>
      <c r="FHE50" s="1360"/>
      <c r="FHF50" s="1360"/>
      <c r="FHG50" s="1360"/>
      <c r="FHH50" s="1360"/>
      <c r="FHI50" s="1360"/>
      <c r="FHJ50" s="1360"/>
      <c r="FHK50" s="1360"/>
      <c r="FHL50" s="1360"/>
      <c r="FHM50" s="1360"/>
      <c r="FHN50" s="1360"/>
      <c r="FHO50" s="1360"/>
      <c r="FHP50" s="1360"/>
      <c r="FHQ50" s="1360"/>
      <c r="FHR50" s="1360"/>
      <c r="FHS50" s="1360"/>
      <c r="FHT50" s="1360"/>
      <c r="FHU50" s="1360"/>
      <c r="FHV50" s="1360"/>
      <c r="FHW50" s="1360"/>
      <c r="FHX50" s="1360"/>
      <c r="FHY50" s="1360"/>
      <c r="FHZ50" s="1360"/>
      <c r="FIA50" s="1360"/>
      <c r="FIB50" s="1360"/>
      <c r="FIC50" s="1360"/>
      <c r="FID50" s="1360"/>
      <c r="FIE50" s="1360"/>
      <c r="FIF50" s="1360"/>
      <c r="FIG50" s="1360"/>
      <c r="FIH50" s="1360"/>
      <c r="FII50" s="1360"/>
      <c r="FIJ50" s="1360"/>
      <c r="FIK50" s="1360"/>
      <c r="FIL50" s="1360"/>
      <c r="FIM50" s="1360"/>
      <c r="FIN50" s="1360"/>
      <c r="FIO50" s="1360"/>
      <c r="FIP50" s="1360"/>
      <c r="FIQ50" s="1360"/>
      <c r="FIR50" s="1360"/>
      <c r="FIS50" s="1360"/>
      <c r="FIT50" s="1360"/>
      <c r="FIU50" s="1360"/>
      <c r="FIV50" s="1360"/>
      <c r="FIW50" s="1360"/>
      <c r="FIX50" s="1360"/>
      <c r="FIY50" s="1360"/>
      <c r="FIZ50" s="1360"/>
      <c r="FJA50" s="1360"/>
      <c r="FJB50" s="1360"/>
      <c r="FJC50" s="1360"/>
      <c r="FJD50" s="1360"/>
      <c r="FJE50" s="1360"/>
      <c r="FJF50" s="1360"/>
      <c r="FJG50" s="1360"/>
      <c r="FJH50" s="1360"/>
      <c r="FJI50" s="1360"/>
      <c r="FJJ50" s="1360"/>
      <c r="FJK50" s="1360"/>
      <c r="FJL50" s="1360"/>
      <c r="FJM50" s="1360"/>
      <c r="FJN50" s="1360"/>
      <c r="FJO50" s="1360"/>
      <c r="FJP50" s="1360"/>
      <c r="FJQ50" s="1360"/>
      <c r="FJR50" s="1360"/>
      <c r="FJS50" s="1360"/>
      <c r="FJT50" s="1360"/>
      <c r="FJU50" s="1360"/>
      <c r="FJV50" s="1360"/>
      <c r="FJW50" s="1360"/>
      <c r="FJX50" s="1360"/>
      <c r="FJY50" s="1360"/>
      <c r="FJZ50" s="1360"/>
      <c r="FKA50" s="1360"/>
      <c r="FKB50" s="1360"/>
      <c r="FKC50" s="1360"/>
      <c r="FKD50" s="1360"/>
      <c r="FKE50" s="1360"/>
      <c r="FKF50" s="1360"/>
      <c r="FKG50" s="1360"/>
      <c r="FKH50" s="1360"/>
      <c r="FKI50" s="1360"/>
      <c r="FKJ50" s="1360"/>
      <c r="FKK50" s="1360"/>
      <c r="FKL50" s="1360"/>
      <c r="FKM50" s="1360"/>
      <c r="FKN50" s="1360"/>
      <c r="FKO50" s="1360"/>
      <c r="FKP50" s="1360"/>
      <c r="FKQ50" s="1360"/>
      <c r="FKR50" s="1360"/>
      <c r="FKS50" s="1360"/>
      <c r="FKT50" s="1360"/>
      <c r="FKU50" s="1360"/>
      <c r="FKV50" s="1360"/>
      <c r="FKW50" s="1360"/>
      <c r="FKX50" s="1360"/>
      <c r="FKY50" s="1360"/>
      <c r="FKZ50" s="1360"/>
      <c r="FLA50" s="1360"/>
      <c r="FLB50" s="1360"/>
      <c r="FLC50" s="1360"/>
      <c r="FLD50" s="1360"/>
      <c r="FLE50" s="1360"/>
      <c r="FLF50" s="1360"/>
      <c r="FLG50" s="1360"/>
      <c r="FLH50" s="1360"/>
      <c r="FLI50" s="1360"/>
      <c r="FLJ50" s="1360"/>
      <c r="FLK50" s="1360"/>
      <c r="FLL50" s="1360"/>
      <c r="FLM50" s="1360"/>
      <c r="FLN50" s="1360"/>
      <c r="FLO50" s="1360"/>
      <c r="FLP50" s="1360"/>
      <c r="FLQ50" s="1360"/>
      <c r="FLR50" s="1360"/>
      <c r="FLS50" s="1360"/>
      <c r="FLT50" s="1360"/>
      <c r="FLU50" s="1360"/>
      <c r="FLV50" s="1360"/>
      <c r="FLW50" s="1360"/>
      <c r="FLX50" s="1360"/>
      <c r="FLY50" s="1360"/>
      <c r="FLZ50" s="1360"/>
      <c r="FMA50" s="1360"/>
      <c r="FMB50" s="1360"/>
      <c r="FMC50" s="1360"/>
      <c r="FMD50" s="1360"/>
      <c r="FME50" s="1360"/>
      <c r="FMF50" s="1360"/>
      <c r="FMG50" s="1360"/>
      <c r="FMH50" s="1360"/>
      <c r="FMI50" s="1360"/>
      <c r="FMJ50" s="1360"/>
      <c r="FMK50" s="1360"/>
      <c r="FML50" s="1360"/>
      <c r="FMM50" s="1360"/>
      <c r="FMN50" s="1360"/>
      <c r="FMO50" s="1360"/>
      <c r="FMP50" s="1360"/>
      <c r="FMQ50" s="1360"/>
      <c r="FMR50" s="1360"/>
      <c r="FMS50" s="1360"/>
      <c r="FMT50" s="1360"/>
      <c r="FMU50" s="1360"/>
      <c r="FMV50" s="1360"/>
      <c r="FMW50" s="1360"/>
      <c r="FMX50" s="1360"/>
      <c r="FMY50" s="1360"/>
      <c r="FMZ50" s="1360"/>
      <c r="FNA50" s="1360"/>
      <c r="FNB50" s="1360"/>
      <c r="FNC50" s="1360"/>
      <c r="FND50" s="1360"/>
      <c r="FNE50" s="1360"/>
      <c r="FNF50" s="1360"/>
      <c r="FNG50" s="1360"/>
      <c r="FNH50" s="1360"/>
      <c r="FNI50" s="1360"/>
      <c r="FNJ50" s="1360"/>
      <c r="FNK50" s="1360"/>
      <c r="FNL50" s="1360"/>
      <c r="FNM50" s="1360"/>
      <c r="FNN50" s="1360"/>
      <c r="FNO50" s="1360"/>
      <c r="FNP50" s="1360"/>
      <c r="FNQ50" s="1360"/>
      <c r="FNR50" s="1360"/>
      <c r="FNS50" s="1360"/>
      <c r="FNT50" s="1360"/>
      <c r="FNU50" s="1360"/>
      <c r="FNV50" s="1360"/>
      <c r="FNW50" s="1360"/>
      <c r="FNX50" s="1360"/>
      <c r="FNY50" s="1360"/>
      <c r="FNZ50" s="1360"/>
      <c r="FOA50" s="1360"/>
      <c r="FOB50" s="1360"/>
      <c r="FOC50" s="1360"/>
      <c r="FOD50" s="1360"/>
      <c r="FOE50" s="1360"/>
      <c r="FOF50" s="1360"/>
      <c r="FOG50" s="1360"/>
      <c r="FOH50" s="1360"/>
      <c r="FOI50" s="1360"/>
      <c r="FOJ50" s="1360"/>
      <c r="FOK50" s="1360"/>
      <c r="FOL50" s="1360"/>
      <c r="FOM50" s="1360"/>
      <c r="FON50" s="1360"/>
      <c r="FOO50" s="1360"/>
      <c r="FOP50" s="1360"/>
      <c r="FOQ50" s="1360"/>
      <c r="FOR50" s="1360"/>
      <c r="FOS50" s="1360"/>
      <c r="FOT50" s="1360"/>
      <c r="FOU50" s="1360"/>
      <c r="FOV50" s="1360"/>
      <c r="FOW50" s="1360"/>
      <c r="FOX50" s="1360"/>
      <c r="FOY50" s="1360"/>
      <c r="FOZ50" s="1360"/>
      <c r="FPA50" s="1360"/>
      <c r="FPB50" s="1360"/>
      <c r="FPC50" s="1360"/>
      <c r="FPD50" s="1360"/>
      <c r="FPE50" s="1360"/>
      <c r="FPF50" s="1360"/>
      <c r="FPG50" s="1360"/>
      <c r="FPH50" s="1360"/>
      <c r="FPI50" s="1360"/>
      <c r="FPJ50" s="1360"/>
      <c r="FPK50" s="1360"/>
      <c r="FPL50" s="1360"/>
      <c r="FPM50" s="1360"/>
      <c r="FPN50" s="1360"/>
      <c r="FPO50" s="1360"/>
      <c r="FPP50" s="1360"/>
      <c r="FPQ50" s="1360"/>
      <c r="FPR50" s="1360"/>
      <c r="FPS50" s="1360"/>
      <c r="FPT50" s="1360"/>
      <c r="FPU50" s="1360"/>
      <c r="FPV50" s="1360"/>
      <c r="FPW50" s="1360"/>
      <c r="FPX50" s="1360"/>
      <c r="FPY50" s="1360"/>
      <c r="FPZ50" s="1360"/>
      <c r="FQA50" s="1360"/>
      <c r="FQB50" s="1360"/>
      <c r="FQC50" s="1360"/>
      <c r="FQD50" s="1360"/>
      <c r="FQE50" s="1360"/>
      <c r="FQF50" s="1360"/>
      <c r="FQG50" s="1360"/>
      <c r="FQH50" s="1360"/>
      <c r="FQI50" s="1360"/>
      <c r="FQJ50" s="1360"/>
      <c r="FQK50" s="1360"/>
      <c r="FQL50" s="1360"/>
      <c r="FQM50" s="1360"/>
      <c r="FQN50" s="1360"/>
      <c r="FQO50" s="1360"/>
      <c r="FQP50" s="1360"/>
      <c r="FQQ50" s="1360"/>
      <c r="FQR50" s="1360"/>
      <c r="FQS50" s="1360"/>
      <c r="FQT50" s="1360"/>
      <c r="FQU50" s="1360"/>
      <c r="FQV50" s="1360"/>
      <c r="FQW50" s="1360"/>
      <c r="FQX50" s="1360"/>
      <c r="FQY50" s="1360"/>
      <c r="FQZ50" s="1360"/>
      <c r="FRA50" s="1360"/>
      <c r="FRB50" s="1360"/>
      <c r="FRC50" s="1360"/>
      <c r="FRD50" s="1360"/>
      <c r="FRE50" s="1360"/>
      <c r="FRF50" s="1360"/>
      <c r="FRG50" s="1360"/>
      <c r="FRH50" s="1360"/>
      <c r="FRI50" s="1360"/>
      <c r="FRJ50" s="1360"/>
      <c r="FRK50" s="1360"/>
      <c r="FRL50" s="1360"/>
      <c r="FRM50" s="1360"/>
      <c r="FRN50" s="1360"/>
      <c r="FRO50" s="1360"/>
      <c r="FRP50" s="1360"/>
      <c r="FRQ50" s="1360"/>
      <c r="FRR50" s="1360"/>
      <c r="FRS50" s="1360"/>
      <c r="FRT50" s="1360"/>
      <c r="FRU50" s="1360"/>
      <c r="FRV50" s="1360"/>
      <c r="FRW50" s="1360"/>
      <c r="FRX50" s="1360"/>
      <c r="FRY50" s="1360"/>
      <c r="FRZ50" s="1360"/>
      <c r="FSA50" s="1360"/>
      <c r="FSB50" s="1360"/>
      <c r="FSC50" s="1360"/>
      <c r="FSD50" s="1360"/>
      <c r="FSE50" s="1360"/>
      <c r="FSF50" s="1360"/>
      <c r="FSG50" s="1360"/>
      <c r="FSH50" s="1360"/>
      <c r="FSI50" s="1360"/>
      <c r="FSJ50" s="1360"/>
      <c r="FSK50" s="1360"/>
      <c r="FSL50" s="1360"/>
      <c r="FSM50" s="1360"/>
      <c r="FSN50" s="1360"/>
      <c r="FSO50" s="1360"/>
      <c r="FSP50" s="1360"/>
      <c r="FSQ50" s="1360"/>
      <c r="FSR50" s="1360"/>
      <c r="FSS50" s="1360"/>
      <c r="FST50" s="1360"/>
      <c r="FSU50" s="1360"/>
      <c r="FSV50" s="1360"/>
      <c r="FSW50" s="1360"/>
      <c r="FSX50" s="1360"/>
      <c r="FSY50" s="1360"/>
      <c r="FSZ50" s="1360"/>
      <c r="FTA50" s="1360"/>
      <c r="FTB50" s="1360"/>
      <c r="FTC50" s="1360"/>
      <c r="FTD50" s="1360"/>
      <c r="FTE50" s="1360"/>
      <c r="FTF50" s="1360"/>
      <c r="FTG50" s="1360"/>
      <c r="FTH50" s="1360"/>
      <c r="FTI50" s="1360"/>
      <c r="FTJ50" s="1360"/>
      <c r="FTK50" s="1360"/>
      <c r="FTL50" s="1360"/>
      <c r="FTM50" s="1360"/>
      <c r="FTN50" s="1360"/>
      <c r="FTO50" s="1360"/>
      <c r="FTP50" s="1360"/>
      <c r="FTQ50" s="1360"/>
      <c r="FTR50" s="1360"/>
      <c r="FTS50" s="1360"/>
      <c r="FTT50" s="1360"/>
      <c r="FTU50" s="1360"/>
      <c r="FTV50" s="1360"/>
      <c r="FTW50" s="1360"/>
      <c r="FTX50" s="1360"/>
      <c r="FTY50" s="1360"/>
      <c r="FTZ50" s="1360"/>
      <c r="FUA50" s="1360"/>
      <c r="FUB50" s="1360"/>
      <c r="FUC50" s="1360"/>
      <c r="FUD50" s="1360"/>
      <c r="FUE50" s="1360"/>
      <c r="FUF50" s="1360"/>
      <c r="FUG50" s="1360"/>
      <c r="FUH50" s="1360"/>
      <c r="FUI50" s="1360"/>
      <c r="FUJ50" s="1360"/>
      <c r="FUK50" s="1360"/>
      <c r="FUL50" s="1360"/>
      <c r="FUM50" s="1360"/>
      <c r="FUN50" s="1360"/>
      <c r="FUO50" s="1360"/>
      <c r="FUP50" s="1360"/>
      <c r="FUQ50" s="1360"/>
      <c r="FUR50" s="1360"/>
      <c r="FUS50" s="1360"/>
      <c r="FUT50" s="1360"/>
      <c r="FUU50" s="1360"/>
      <c r="FUV50" s="1360"/>
      <c r="FUW50" s="1360"/>
      <c r="FUX50" s="1360"/>
      <c r="FUY50" s="1360"/>
      <c r="FUZ50" s="1360"/>
      <c r="FVA50" s="1360"/>
      <c r="FVB50" s="1360"/>
      <c r="FVC50" s="1360"/>
      <c r="FVD50" s="1360"/>
      <c r="FVE50" s="1360"/>
      <c r="FVF50" s="1360"/>
      <c r="FVG50" s="1360"/>
      <c r="FVH50" s="1360"/>
      <c r="FVI50" s="1360"/>
      <c r="FVJ50" s="1360"/>
      <c r="FVK50" s="1360"/>
      <c r="FVL50" s="1360"/>
      <c r="FVM50" s="1360"/>
      <c r="FVN50" s="1360"/>
      <c r="FVO50" s="1360"/>
      <c r="FVP50" s="1360"/>
      <c r="FVQ50" s="1360"/>
      <c r="FVR50" s="1360"/>
      <c r="FVS50" s="1360"/>
      <c r="FVT50" s="1360"/>
      <c r="FVU50" s="1360"/>
      <c r="FVV50" s="1360"/>
      <c r="FVW50" s="1360"/>
      <c r="FVX50" s="1360"/>
      <c r="FVY50" s="1360"/>
      <c r="FVZ50" s="1360"/>
      <c r="FWA50" s="1360"/>
      <c r="FWB50" s="1360"/>
      <c r="FWC50" s="1360"/>
      <c r="FWD50" s="1360"/>
      <c r="FWE50" s="1360"/>
      <c r="FWF50" s="1360"/>
      <c r="FWG50" s="1360"/>
      <c r="FWH50" s="1360"/>
      <c r="FWI50" s="1360"/>
      <c r="FWJ50" s="1360"/>
      <c r="FWK50" s="1360"/>
      <c r="FWL50" s="1360"/>
      <c r="FWM50" s="1360"/>
      <c r="FWN50" s="1360"/>
      <c r="FWO50" s="1360"/>
      <c r="FWP50" s="1360"/>
      <c r="FWQ50" s="1360"/>
      <c r="FWR50" s="1360"/>
      <c r="FWS50" s="1360"/>
      <c r="FWT50" s="1360"/>
      <c r="FWU50" s="1360"/>
      <c r="FWV50" s="1360"/>
      <c r="FWW50" s="1360"/>
      <c r="FWX50" s="1360"/>
      <c r="FWY50" s="1360"/>
      <c r="FWZ50" s="1360"/>
      <c r="FXA50" s="1360"/>
      <c r="FXB50" s="1360"/>
      <c r="FXC50" s="1360"/>
      <c r="FXD50" s="1360"/>
      <c r="FXE50" s="1360"/>
      <c r="FXF50" s="1360"/>
      <c r="FXG50" s="1360"/>
      <c r="FXH50" s="1360"/>
      <c r="FXI50" s="1360"/>
      <c r="FXJ50" s="1360"/>
      <c r="FXK50" s="1360"/>
      <c r="FXL50" s="1360"/>
      <c r="FXM50" s="1360"/>
      <c r="FXN50" s="1360"/>
      <c r="FXO50" s="1360"/>
      <c r="FXP50" s="1360"/>
      <c r="FXQ50" s="1360"/>
      <c r="FXR50" s="1360"/>
      <c r="FXS50" s="1360"/>
      <c r="FXT50" s="1360"/>
      <c r="FXU50" s="1360"/>
      <c r="FXV50" s="1360"/>
      <c r="FXW50" s="1360"/>
      <c r="FXX50" s="1360"/>
      <c r="FXY50" s="1360"/>
      <c r="FXZ50" s="1360"/>
      <c r="FYA50" s="1360"/>
      <c r="FYB50" s="1360"/>
      <c r="FYC50" s="1360"/>
      <c r="FYD50" s="1360"/>
      <c r="FYE50" s="1360"/>
      <c r="FYF50" s="1360"/>
      <c r="FYG50" s="1360"/>
      <c r="FYH50" s="1360"/>
      <c r="FYI50" s="1360"/>
      <c r="FYJ50" s="1360"/>
      <c r="FYK50" s="1360"/>
      <c r="FYL50" s="1360"/>
      <c r="FYM50" s="1360"/>
      <c r="FYN50" s="1360"/>
      <c r="FYO50" s="1360"/>
      <c r="FYP50" s="1360"/>
      <c r="FYQ50" s="1360"/>
      <c r="FYR50" s="1360"/>
      <c r="FYS50" s="1360"/>
      <c r="FYT50" s="1360"/>
      <c r="FYU50" s="1360"/>
      <c r="FYV50" s="1360"/>
      <c r="FYW50" s="1360"/>
      <c r="FYX50" s="1360"/>
      <c r="FYY50" s="1360"/>
      <c r="FYZ50" s="1360"/>
      <c r="FZA50" s="1360"/>
      <c r="FZB50" s="1360"/>
      <c r="FZC50" s="1360"/>
      <c r="FZD50" s="1360"/>
      <c r="FZE50" s="1360"/>
      <c r="FZF50" s="1360"/>
      <c r="FZG50" s="1360"/>
      <c r="FZH50" s="1360"/>
      <c r="FZI50" s="1360"/>
      <c r="FZJ50" s="1360"/>
      <c r="FZK50" s="1360"/>
      <c r="FZL50" s="1360"/>
      <c r="FZM50" s="1360"/>
      <c r="FZN50" s="1360"/>
      <c r="FZO50" s="1360"/>
      <c r="FZP50" s="1360"/>
      <c r="FZQ50" s="1360"/>
      <c r="FZR50" s="1360"/>
      <c r="FZS50" s="1360"/>
      <c r="FZT50" s="1360"/>
      <c r="FZU50" s="1360"/>
      <c r="FZV50" s="1360"/>
      <c r="FZW50" s="1360"/>
      <c r="FZX50" s="1360"/>
      <c r="FZY50" s="1360"/>
      <c r="FZZ50" s="1360"/>
      <c r="GAA50" s="1360"/>
      <c r="GAB50" s="1360"/>
      <c r="GAC50" s="1360"/>
      <c r="GAD50" s="1360"/>
      <c r="GAE50" s="1360"/>
      <c r="GAF50" s="1360"/>
      <c r="GAG50" s="1360"/>
      <c r="GAH50" s="1360"/>
      <c r="GAI50" s="1360"/>
      <c r="GAJ50" s="1360"/>
      <c r="GAK50" s="1360"/>
      <c r="GAL50" s="1360"/>
      <c r="GAM50" s="1360"/>
      <c r="GAN50" s="1360"/>
      <c r="GAO50" s="1360"/>
      <c r="GAP50" s="1360"/>
      <c r="GAQ50" s="1360"/>
      <c r="GAR50" s="1360"/>
      <c r="GAS50" s="1360"/>
      <c r="GAT50" s="1360"/>
      <c r="GAU50" s="1360"/>
      <c r="GAV50" s="1360"/>
      <c r="GAW50" s="1360"/>
      <c r="GAX50" s="1360"/>
      <c r="GAY50" s="1360"/>
      <c r="GAZ50" s="1360"/>
      <c r="GBA50" s="1360"/>
      <c r="GBB50" s="1360"/>
      <c r="GBC50" s="1360"/>
      <c r="GBD50" s="1360"/>
      <c r="GBE50" s="1360"/>
      <c r="GBF50" s="1360"/>
      <c r="GBG50" s="1360"/>
      <c r="GBH50" s="1360"/>
      <c r="GBI50" s="1360"/>
      <c r="GBJ50" s="1360"/>
      <c r="GBK50" s="1360"/>
      <c r="GBL50" s="1360"/>
      <c r="GBM50" s="1360"/>
      <c r="GBN50" s="1360"/>
      <c r="GBO50" s="1360"/>
      <c r="GBP50" s="1360"/>
      <c r="GBQ50" s="1360"/>
      <c r="GBR50" s="1360"/>
      <c r="GBS50" s="1360"/>
      <c r="GBT50" s="1360"/>
      <c r="GBU50" s="1360"/>
      <c r="GBV50" s="1360"/>
      <c r="GBW50" s="1360"/>
      <c r="GBX50" s="1360"/>
      <c r="GBY50" s="1360"/>
      <c r="GBZ50" s="1360"/>
      <c r="GCA50" s="1360"/>
      <c r="GCB50" s="1360"/>
      <c r="GCC50" s="1360"/>
      <c r="GCD50" s="1360"/>
      <c r="GCE50" s="1360"/>
      <c r="GCF50" s="1360"/>
      <c r="GCG50" s="1360"/>
      <c r="GCH50" s="1360"/>
      <c r="GCI50" s="1360"/>
      <c r="GCJ50" s="1360"/>
      <c r="GCK50" s="1360"/>
      <c r="GCL50" s="1360"/>
      <c r="GCM50" s="1360"/>
      <c r="GCN50" s="1360"/>
      <c r="GCO50" s="1360"/>
      <c r="GCP50" s="1360"/>
      <c r="GCQ50" s="1360"/>
      <c r="GCR50" s="1360"/>
      <c r="GCS50" s="1360"/>
      <c r="GCT50" s="1360"/>
      <c r="GCU50" s="1360"/>
      <c r="GCV50" s="1360"/>
      <c r="GCW50" s="1360"/>
      <c r="GCX50" s="1360"/>
      <c r="GCY50" s="1360"/>
      <c r="GCZ50" s="1360"/>
      <c r="GDA50" s="1360"/>
      <c r="GDB50" s="1360"/>
      <c r="GDC50" s="1360"/>
      <c r="GDD50" s="1360"/>
      <c r="GDE50" s="1360"/>
      <c r="GDF50" s="1360"/>
      <c r="GDG50" s="1360"/>
      <c r="GDH50" s="1360"/>
      <c r="GDI50" s="1360"/>
      <c r="GDJ50" s="1360"/>
      <c r="GDK50" s="1360"/>
      <c r="GDL50" s="1360"/>
      <c r="GDM50" s="1360"/>
      <c r="GDN50" s="1360"/>
      <c r="GDO50" s="1360"/>
      <c r="GDP50" s="1360"/>
      <c r="GDQ50" s="1360"/>
      <c r="GDR50" s="1360"/>
      <c r="GDS50" s="1360"/>
      <c r="GDT50" s="1360"/>
      <c r="GDU50" s="1360"/>
      <c r="GDV50" s="1360"/>
      <c r="GDW50" s="1360"/>
      <c r="GDX50" s="1360"/>
      <c r="GDY50" s="1360"/>
      <c r="GDZ50" s="1360"/>
      <c r="GEA50" s="1360"/>
      <c r="GEB50" s="1360"/>
      <c r="GEC50" s="1360"/>
      <c r="GED50" s="1360"/>
      <c r="GEE50" s="1360"/>
      <c r="GEF50" s="1360"/>
      <c r="GEG50" s="1360"/>
      <c r="GEH50" s="1360"/>
      <c r="GEI50" s="1360"/>
      <c r="GEJ50" s="1360"/>
      <c r="GEK50" s="1360"/>
      <c r="GEL50" s="1360"/>
      <c r="GEM50" s="1360"/>
      <c r="GEN50" s="1360"/>
      <c r="GEO50" s="1360"/>
      <c r="GEP50" s="1360"/>
      <c r="GEQ50" s="1360"/>
      <c r="GER50" s="1360"/>
      <c r="GES50" s="1360"/>
      <c r="GET50" s="1360"/>
      <c r="GEU50" s="1360"/>
      <c r="GEV50" s="1360"/>
      <c r="GEW50" s="1360"/>
      <c r="GEX50" s="1360"/>
      <c r="GEY50" s="1360"/>
      <c r="GEZ50" s="1360"/>
      <c r="GFA50" s="1360"/>
      <c r="GFB50" s="1360"/>
      <c r="GFC50" s="1360"/>
      <c r="GFD50" s="1360"/>
      <c r="GFE50" s="1360"/>
      <c r="GFF50" s="1360"/>
      <c r="GFG50" s="1360"/>
      <c r="GFH50" s="1360"/>
      <c r="GFI50" s="1360"/>
      <c r="GFJ50" s="1360"/>
      <c r="GFK50" s="1360"/>
      <c r="GFL50" s="1360"/>
      <c r="GFM50" s="1360"/>
      <c r="GFN50" s="1360"/>
      <c r="GFO50" s="1360"/>
      <c r="GFP50" s="1360"/>
      <c r="GFQ50" s="1360"/>
      <c r="GFR50" s="1360"/>
      <c r="GFS50" s="1360"/>
      <c r="GFT50" s="1360"/>
      <c r="GFU50" s="1360"/>
      <c r="GFV50" s="1360"/>
      <c r="GFW50" s="1360"/>
      <c r="GFX50" s="1360"/>
      <c r="GFY50" s="1360"/>
      <c r="GFZ50" s="1360"/>
      <c r="GGA50" s="1360"/>
      <c r="GGB50" s="1360"/>
      <c r="GGC50" s="1360"/>
      <c r="GGD50" s="1360"/>
      <c r="GGE50" s="1360"/>
      <c r="GGF50" s="1360"/>
      <c r="GGG50" s="1360"/>
      <c r="GGH50" s="1360"/>
      <c r="GGI50" s="1360"/>
      <c r="GGJ50" s="1360"/>
      <c r="GGK50" s="1360"/>
      <c r="GGL50" s="1360"/>
      <c r="GGM50" s="1360"/>
      <c r="GGN50" s="1360"/>
      <c r="GGO50" s="1360"/>
      <c r="GGP50" s="1360"/>
      <c r="GGQ50" s="1360"/>
      <c r="GGR50" s="1360"/>
      <c r="GGS50" s="1360"/>
      <c r="GGT50" s="1360"/>
      <c r="GGU50" s="1360"/>
      <c r="GGV50" s="1360"/>
      <c r="GGW50" s="1360"/>
      <c r="GGX50" s="1360"/>
      <c r="GGY50" s="1360"/>
      <c r="GGZ50" s="1360"/>
      <c r="GHA50" s="1360"/>
      <c r="GHB50" s="1360"/>
      <c r="GHC50" s="1360"/>
      <c r="GHD50" s="1360"/>
      <c r="GHE50" s="1360"/>
      <c r="GHF50" s="1360"/>
      <c r="GHG50" s="1360"/>
      <c r="GHH50" s="1360"/>
      <c r="GHI50" s="1360"/>
      <c r="GHJ50" s="1360"/>
      <c r="GHK50" s="1360"/>
      <c r="GHL50" s="1360"/>
      <c r="GHM50" s="1360"/>
      <c r="GHN50" s="1360"/>
      <c r="GHO50" s="1360"/>
      <c r="GHP50" s="1360"/>
      <c r="GHQ50" s="1360"/>
      <c r="GHR50" s="1360"/>
      <c r="GHS50" s="1360"/>
      <c r="GHT50" s="1360"/>
      <c r="GHU50" s="1360"/>
      <c r="GHV50" s="1360"/>
      <c r="GHW50" s="1360"/>
      <c r="GHX50" s="1360"/>
      <c r="GHY50" s="1360"/>
      <c r="GHZ50" s="1360"/>
      <c r="GIA50" s="1360"/>
      <c r="GIB50" s="1360"/>
      <c r="GIC50" s="1360"/>
      <c r="GID50" s="1360"/>
      <c r="GIE50" s="1360"/>
      <c r="GIF50" s="1360"/>
      <c r="GIG50" s="1360"/>
      <c r="GIH50" s="1360"/>
      <c r="GII50" s="1360"/>
      <c r="GIJ50" s="1360"/>
      <c r="GIK50" s="1360"/>
      <c r="GIL50" s="1360"/>
      <c r="GIM50" s="1360"/>
      <c r="GIN50" s="1360"/>
      <c r="GIO50" s="1360"/>
      <c r="GIP50" s="1360"/>
      <c r="GIQ50" s="1360"/>
      <c r="GIR50" s="1360"/>
      <c r="GIS50" s="1360"/>
      <c r="GIT50" s="1360"/>
      <c r="GIU50" s="1360"/>
      <c r="GIV50" s="1360"/>
      <c r="GIW50" s="1360"/>
      <c r="GIX50" s="1360"/>
      <c r="GIY50" s="1360"/>
      <c r="GIZ50" s="1360"/>
      <c r="GJA50" s="1360"/>
      <c r="GJB50" s="1360"/>
      <c r="GJC50" s="1360"/>
      <c r="GJD50" s="1360"/>
      <c r="GJE50" s="1360"/>
      <c r="GJF50" s="1360"/>
      <c r="GJG50" s="1360"/>
      <c r="GJH50" s="1360"/>
      <c r="GJI50" s="1360"/>
      <c r="GJJ50" s="1360"/>
      <c r="GJK50" s="1360"/>
      <c r="GJL50" s="1360"/>
      <c r="GJM50" s="1360"/>
      <c r="GJN50" s="1360"/>
      <c r="GJO50" s="1360"/>
      <c r="GJP50" s="1360"/>
      <c r="GJQ50" s="1360"/>
      <c r="GJR50" s="1360"/>
      <c r="GJS50" s="1360"/>
      <c r="GJT50" s="1360"/>
      <c r="GJU50" s="1360"/>
      <c r="GJV50" s="1360"/>
      <c r="GJW50" s="1360"/>
      <c r="GJX50" s="1360"/>
      <c r="GJY50" s="1360"/>
      <c r="GJZ50" s="1360"/>
      <c r="GKA50" s="1360"/>
      <c r="GKB50" s="1360"/>
      <c r="GKC50" s="1360"/>
      <c r="GKD50" s="1360"/>
      <c r="GKE50" s="1360"/>
      <c r="GKF50" s="1360"/>
      <c r="GKG50" s="1360"/>
      <c r="GKH50" s="1360"/>
      <c r="GKI50" s="1360"/>
      <c r="GKJ50" s="1360"/>
      <c r="GKK50" s="1360"/>
      <c r="GKL50" s="1360"/>
      <c r="GKM50" s="1360"/>
      <c r="GKN50" s="1360"/>
      <c r="GKO50" s="1360"/>
      <c r="GKP50" s="1360"/>
      <c r="GKQ50" s="1360"/>
      <c r="GKR50" s="1360"/>
      <c r="GKS50" s="1360"/>
      <c r="GKT50" s="1360"/>
      <c r="GKU50" s="1360"/>
      <c r="GKV50" s="1360"/>
      <c r="GKW50" s="1360"/>
      <c r="GKX50" s="1360"/>
      <c r="GKY50" s="1360"/>
      <c r="GKZ50" s="1360"/>
      <c r="GLA50" s="1360"/>
      <c r="GLB50" s="1360"/>
      <c r="GLC50" s="1360"/>
      <c r="GLD50" s="1360"/>
      <c r="GLE50" s="1360"/>
      <c r="GLF50" s="1360"/>
      <c r="GLG50" s="1360"/>
      <c r="GLH50" s="1360"/>
      <c r="GLI50" s="1360"/>
      <c r="GLJ50" s="1360"/>
      <c r="GLK50" s="1360"/>
      <c r="GLL50" s="1360"/>
      <c r="GLM50" s="1360"/>
      <c r="GLN50" s="1360"/>
      <c r="GLO50" s="1360"/>
      <c r="GLP50" s="1360"/>
      <c r="GLQ50" s="1360"/>
      <c r="GLR50" s="1360"/>
      <c r="GLS50" s="1360"/>
      <c r="GLT50" s="1360"/>
      <c r="GLU50" s="1360"/>
      <c r="GLV50" s="1360"/>
      <c r="GLW50" s="1360"/>
      <c r="GLX50" s="1360"/>
      <c r="GLY50" s="1360"/>
      <c r="GLZ50" s="1360"/>
      <c r="GMA50" s="1360"/>
      <c r="GMB50" s="1360"/>
      <c r="GMC50" s="1360"/>
      <c r="GMD50" s="1360"/>
      <c r="GME50" s="1360"/>
      <c r="GMF50" s="1360"/>
      <c r="GMG50" s="1360"/>
      <c r="GMH50" s="1360"/>
      <c r="GMI50" s="1360"/>
      <c r="GMJ50" s="1360"/>
      <c r="GMK50" s="1360"/>
      <c r="GML50" s="1360"/>
      <c r="GMM50" s="1360"/>
      <c r="GMN50" s="1360"/>
      <c r="GMO50" s="1360"/>
      <c r="GMP50" s="1360"/>
      <c r="GMQ50" s="1360"/>
      <c r="GMR50" s="1360"/>
      <c r="GMS50" s="1360"/>
      <c r="GMT50" s="1360"/>
      <c r="GMU50" s="1360"/>
      <c r="GMV50" s="1360"/>
      <c r="GMW50" s="1360"/>
      <c r="GMX50" s="1360"/>
      <c r="GMY50" s="1360"/>
      <c r="GMZ50" s="1360"/>
      <c r="GNA50" s="1360"/>
      <c r="GNB50" s="1360"/>
      <c r="GNC50" s="1360"/>
      <c r="GND50" s="1360"/>
      <c r="GNE50" s="1360"/>
      <c r="GNF50" s="1360"/>
      <c r="GNG50" s="1360"/>
      <c r="GNH50" s="1360"/>
      <c r="GNI50" s="1360"/>
      <c r="GNJ50" s="1360"/>
      <c r="GNK50" s="1360"/>
      <c r="GNL50" s="1360"/>
      <c r="GNM50" s="1360"/>
      <c r="GNN50" s="1360"/>
      <c r="GNO50" s="1360"/>
      <c r="GNP50" s="1360"/>
      <c r="GNQ50" s="1360"/>
      <c r="GNR50" s="1360"/>
      <c r="GNS50" s="1360"/>
      <c r="GNT50" s="1360"/>
      <c r="GNU50" s="1360"/>
      <c r="GNV50" s="1360"/>
      <c r="GNW50" s="1360"/>
      <c r="GNX50" s="1360"/>
      <c r="GNY50" s="1360"/>
      <c r="GNZ50" s="1360"/>
      <c r="GOA50" s="1360"/>
      <c r="GOB50" s="1360"/>
      <c r="GOC50" s="1360"/>
      <c r="GOD50" s="1360"/>
      <c r="GOE50" s="1360"/>
      <c r="GOF50" s="1360"/>
      <c r="GOG50" s="1360"/>
      <c r="GOH50" s="1360"/>
      <c r="GOI50" s="1360"/>
      <c r="GOJ50" s="1360"/>
      <c r="GOK50" s="1360"/>
      <c r="GOL50" s="1360"/>
      <c r="GOM50" s="1360"/>
      <c r="GON50" s="1360"/>
      <c r="GOO50" s="1360"/>
      <c r="GOP50" s="1360"/>
      <c r="GOQ50" s="1360"/>
      <c r="GOR50" s="1360"/>
      <c r="GOS50" s="1360"/>
      <c r="GOT50" s="1360"/>
      <c r="GOU50" s="1360"/>
      <c r="GOV50" s="1360"/>
      <c r="GOW50" s="1360"/>
      <c r="GOX50" s="1360"/>
      <c r="GOY50" s="1360"/>
      <c r="GOZ50" s="1360"/>
      <c r="GPA50" s="1360"/>
      <c r="GPB50" s="1360"/>
      <c r="GPC50" s="1360"/>
      <c r="GPD50" s="1360"/>
      <c r="GPE50" s="1360"/>
      <c r="GPF50" s="1360"/>
      <c r="GPG50" s="1360"/>
      <c r="GPH50" s="1360"/>
      <c r="GPI50" s="1360"/>
      <c r="GPJ50" s="1360"/>
      <c r="GPK50" s="1360"/>
      <c r="GPL50" s="1360"/>
      <c r="GPM50" s="1360"/>
      <c r="GPN50" s="1360"/>
      <c r="GPO50" s="1360"/>
      <c r="GPP50" s="1360"/>
      <c r="GPQ50" s="1360"/>
      <c r="GPR50" s="1360"/>
      <c r="GPS50" s="1360"/>
      <c r="GPT50" s="1360"/>
      <c r="GPU50" s="1360"/>
      <c r="GPV50" s="1360"/>
      <c r="GPW50" s="1360"/>
      <c r="GPX50" s="1360"/>
      <c r="GPY50" s="1360"/>
      <c r="GPZ50" s="1360"/>
      <c r="GQA50" s="1360"/>
      <c r="GQB50" s="1360"/>
      <c r="GQC50" s="1360"/>
      <c r="GQD50" s="1360"/>
      <c r="GQE50" s="1360"/>
      <c r="GQF50" s="1360"/>
      <c r="GQG50" s="1360"/>
      <c r="GQH50" s="1360"/>
      <c r="GQI50" s="1360"/>
      <c r="GQJ50" s="1360"/>
      <c r="GQK50" s="1360"/>
      <c r="GQL50" s="1360"/>
      <c r="GQM50" s="1360"/>
      <c r="GQN50" s="1360"/>
      <c r="GQO50" s="1360"/>
      <c r="GQP50" s="1360"/>
      <c r="GQQ50" s="1360"/>
      <c r="GQR50" s="1360"/>
      <c r="GQS50" s="1360"/>
      <c r="GQT50" s="1360"/>
      <c r="GQU50" s="1360"/>
      <c r="GQV50" s="1360"/>
      <c r="GQW50" s="1360"/>
      <c r="GQX50" s="1360"/>
      <c r="GQY50" s="1360"/>
      <c r="GQZ50" s="1360"/>
      <c r="GRA50" s="1360"/>
      <c r="GRB50" s="1360"/>
      <c r="GRC50" s="1360"/>
      <c r="GRD50" s="1360"/>
      <c r="GRE50" s="1360"/>
      <c r="GRF50" s="1360"/>
      <c r="GRG50" s="1360"/>
      <c r="GRH50" s="1360"/>
      <c r="GRI50" s="1360"/>
      <c r="GRJ50" s="1360"/>
      <c r="GRK50" s="1360"/>
      <c r="GRL50" s="1360"/>
      <c r="GRM50" s="1360"/>
      <c r="GRN50" s="1360"/>
      <c r="GRO50" s="1360"/>
      <c r="GRP50" s="1360"/>
      <c r="GRQ50" s="1360"/>
      <c r="GRR50" s="1360"/>
      <c r="GRS50" s="1360"/>
      <c r="GRT50" s="1360"/>
      <c r="GRU50" s="1360"/>
      <c r="GRV50" s="1360"/>
      <c r="GRW50" s="1360"/>
      <c r="GRX50" s="1360"/>
      <c r="GRY50" s="1360"/>
      <c r="GRZ50" s="1360"/>
      <c r="GSA50" s="1360"/>
      <c r="GSB50" s="1360"/>
      <c r="GSC50" s="1360"/>
      <c r="GSD50" s="1360"/>
      <c r="GSE50" s="1360"/>
      <c r="GSF50" s="1360"/>
      <c r="GSG50" s="1360"/>
      <c r="GSH50" s="1360"/>
      <c r="GSI50" s="1360"/>
      <c r="GSJ50" s="1360"/>
      <c r="GSK50" s="1360"/>
      <c r="GSL50" s="1360"/>
      <c r="GSM50" s="1360"/>
      <c r="GSN50" s="1360"/>
      <c r="GSO50" s="1360"/>
      <c r="GSP50" s="1360"/>
      <c r="GSQ50" s="1360"/>
      <c r="GSR50" s="1360"/>
      <c r="GSS50" s="1360"/>
      <c r="GST50" s="1360"/>
      <c r="GSU50" s="1360"/>
      <c r="GSV50" s="1360"/>
      <c r="GSW50" s="1360"/>
      <c r="GSX50" s="1360"/>
      <c r="GSY50" s="1360"/>
      <c r="GSZ50" s="1360"/>
      <c r="GTA50" s="1360"/>
      <c r="GTB50" s="1360"/>
      <c r="GTC50" s="1360"/>
      <c r="GTD50" s="1360"/>
      <c r="GTE50" s="1360"/>
      <c r="GTF50" s="1360"/>
      <c r="GTG50" s="1360"/>
      <c r="GTH50" s="1360"/>
      <c r="GTI50" s="1360"/>
      <c r="GTJ50" s="1360"/>
      <c r="GTK50" s="1360"/>
      <c r="GTL50" s="1360"/>
      <c r="GTM50" s="1360"/>
      <c r="GTN50" s="1360"/>
      <c r="GTO50" s="1360"/>
      <c r="GTP50" s="1360"/>
      <c r="GTQ50" s="1360"/>
      <c r="GTR50" s="1360"/>
      <c r="GTS50" s="1360"/>
      <c r="GTT50" s="1360"/>
      <c r="GTU50" s="1360"/>
      <c r="GTV50" s="1360"/>
      <c r="GTW50" s="1360"/>
      <c r="GTX50" s="1360"/>
      <c r="GTY50" s="1360"/>
      <c r="GTZ50" s="1360"/>
      <c r="GUA50" s="1360"/>
      <c r="GUB50" s="1360"/>
      <c r="GUC50" s="1360"/>
      <c r="GUD50" s="1360"/>
      <c r="GUE50" s="1360"/>
      <c r="GUF50" s="1360"/>
      <c r="GUG50" s="1360"/>
      <c r="GUH50" s="1360"/>
      <c r="GUI50" s="1360"/>
      <c r="GUJ50" s="1360"/>
      <c r="GUK50" s="1360"/>
      <c r="GUL50" s="1360"/>
      <c r="GUM50" s="1360"/>
      <c r="GUN50" s="1360"/>
      <c r="GUO50" s="1360"/>
      <c r="GUP50" s="1360"/>
      <c r="GUQ50" s="1360"/>
      <c r="GUR50" s="1360"/>
      <c r="GUS50" s="1360"/>
      <c r="GUT50" s="1360"/>
      <c r="GUU50" s="1360"/>
      <c r="GUV50" s="1360"/>
      <c r="GUW50" s="1360"/>
      <c r="GUX50" s="1360"/>
      <c r="GUY50" s="1360"/>
      <c r="GUZ50" s="1360"/>
      <c r="GVA50" s="1360"/>
      <c r="GVB50" s="1360"/>
      <c r="GVC50" s="1360"/>
      <c r="GVD50" s="1360"/>
      <c r="GVE50" s="1360"/>
      <c r="GVF50" s="1360"/>
      <c r="GVG50" s="1360"/>
      <c r="GVH50" s="1360"/>
      <c r="GVI50" s="1360"/>
      <c r="GVJ50" s="1360"/>
      <c r="GVK50" s="1360"/>
      <c r="GVL50" s="1360"/>
      <c r="GVM50" s="1360"/>
      <c r="GVN50" s="1360"/>
      <c r="GVO50" s="1360"/>
      <c r="GVP50" s="1360"/>
      <c r="GVQ50" s="1360"/>
      <c r="GVR50" s="1360"/>
      <c r="GVS50" s="1360"/>
      <c r="GVT50" s="1360"/>
      <c r="GVU50" s="1360"/>
      <c r="GVV50" s="1360"/>
      <c r="GVW50" s="1360"/>
      <c r="GVX50" s="1360"/>
      <c r="GVY50" s="1360"/>
      <c r="GVZ50" s="1360"/>
      <c r="GWA50" s="1360"/>
      <c r="GWB50" s="1360"/>
      <c r="GWC50" s="1360"/>
      <c r="GWD50" s="1360"/>
      <c r="GWE50" s="1360"/>
      <c r="GWF50" s="1360"/>
      <c r="GWG50" s="1360"/>
      <c r="GWH50" s="1360"/>
      <c r="GWI50" s="1360"/>
      <c r="GWJ50" s="1360"/>
      <c r="GWK50" s="1360"/>
      <c r="GWL50" s="1360"/>
      <c r="GWM50" s="1360"/>
      <c r="GWN50" s="1360"/>
      <c r="GWO50" s="1360"/>
      <c r="GWP50" s="1360"/>
      <c r="GWQ50" s="1360"/>
      <c r="GWR50" s="1360"/>
      <c r="GWS50" s="1360"/>
      <c r="GWT50" s="1360"/>
      <c r="GWU50" s="1360"/>
      <c r="GWV50" s="1360"/>
      <c r="GWW50" s="1360"/>
      <c r="GWX50" s="1360"/>
      <c r="GWY50" s="1360"/>
      <c r="GWZ50" s="1360"/>
      <c r="GXA50" s="1360"/>
      <c r="GXB50" s="1360"/>
      <c r="GXC50" s="1360"/>
      <c r="GXD50" s="1360"/>
      <c r="GXE50" s="1360"/>
      <c r="GXF50" s="1360"/>
      <c r="GXG50" s="1360"/>
      <c r="GXH50" s="1360"/>
      <c r="GXI50" s="1360"/>
      <c r="GXJ50" s="1360"/>
      <c r="GXK50" s="1360"/>
      <c r="GXL50" s="1360"/>
      <c r="GXM50" s="1360"/>
      <c r="GXN50" s="1360"/>
      <c r="GXO50" s="1360"/>
      <c r="GXP50" s="1360"/>
      <c r="GXQ50" s="1360"/>
      <c r="GXR50" s="1360"/>
      <c r="GXS50" s="1360"/>
      <c r="GXT50" s="1360"/>
      <c r="GXU50" s="1360"/>
      <c r="GXV50" s="1360"/>
      <c r="GXW50" s="1360"/>
      <c r="GXX50" s="1360"/>
      <c r="GXY50" s="1360"/>
      <c r="GXZ50" s="1360"/>
      <c r="GYA50" s="1360"/>
      <c r="GYB50" s="1360"/>
      <c r="GYC50" s="1360"/>
      <c r="GYD50" s="1360"/>
      <c r="GYE50" s="1360"/>
      <c r="GYF50" s="1360"/>
      <c r="GYG50" s="1360"/>
      <c r="GYH50" s="1360"/>
      <c r="GYI50" s="1360"/>
      <c r="GYJ50" s="1360"/>
      <c r="GYK50" s="1360"/>
      <c r="GYL50" s="1360"/>
      <c r="GYM50" s="1360"/>
      <c r="GYN50" s="1360"/>
      <c r="GYO50" s="1360"/>
      <c r="GYP50" s="1360"/>
      <c r="GYQ50" s="1360"/>
      <c r="GYR50" s="1360"/>
      <c r="GYS50" s="1360"/>
      <c r="GYT50" s="1360"/>
      <c r="GYU50" s="1360"/>
      <c r="GYV50" s="1360"/>
      <c r="GYW50" s="1360"/>
      <c r="GYX50" s="1360"/>
      <c r="GYY50" s="1360"/>
      <c r="GYZ50" s="1360"/>
      <c r="GZA50" s="1360"/>
      <c r="GZB50" s="1360"/>
      <c r="GZC50" s="1360"/>
      <c r="GZD50" s="1360"/>
      <c r="GZE50" s="1360"/>
      <c r="GZF50" s="1360"/>
      <c r="GZG50" s="1360"/>
      <c r="GZH50" s="1360"/>
      <c r="GZI50" s="1360"/>
      <c r="GZJ50" s="1360"/>
      <c r="GZK50" s="1360"/>
      <c r="GZL50" s="1360"/>
      <c r="GZM50" s="1360"/>
      <c r="GZN50" s="1360"/>
      <c r="GZO50" s="1360"/>
      <c r="GZP50" s="1360"/>
      <c r="GZQ50" s="1360"/>
      <c r="GZR50" s="1360"/>
      <c r="GZS50" s="1360"/>
      <c r="GZT50" s="1360"/>
      <c r="GZU50" s="1360"/>
      <c r="GZV50" s="1360"/>
      <c r="GZW50" s="1360"/>
      <c r="GZX50" s="1360"/>
      <c r="GZY50" s="1360"/>
      <c r="GZZ50" s="1360"/>
      <c r="HAA50" s="1360"/>
      <c r="HAB50" s="1360"/>
      <c r="HAC50" s="1360"/>
      <c r="HAD50" s="1360"/>
      <c r="HAE50" s="1360"/>
      <c r="HAF50" s="1360"/>
      <c r="HAG50" s="1360"/>
      <c r="HAH50" s="1360"/>
      <c r="HAI50" s="1360"/>
      <c r="HAJ50" s="1360"/>
      <c r="HAK50" s="1360"/>
      <c r="HAL50" s="1360"/>
      <c r="HAM50" s="1360"/>
      <c r="HAN50" s="1360"/>
      <c r="HAO50" s="1360"/>
      <c r="HAP50" s="1360"/>
      <c r="HAQ50" s="1360"/>
      <c r="HAR50" s="1360"/>
      <c r="HAS50" s="1360"/>
      <c r="HAT50" s="1360"/>
      <c r="HAU50" s="1360"/>
      <c r="HAV50" s="1360"/>
      <c r="HAW50" s="1360"/>
      <c r="HAX50" s="1360"/>
      <c r="HAY50" s="1360"/>
      <c r="HAZ50" s="1360"/>
      <c r="HBA50" s="1360"/>
      <c r="HBB50" s="1360"/>
      <c r="HBC50" s="1360"/>
      <c r="HBD50" s="1360"/>
      <c r="HBE50" s="1360"/>
      <c r="HBF50" s="1360"/>
      <c r="HBG50" s="1360"/>
      <c r="HBH50" s="1360"/>
      <c r="HBI50" s="1360"/>
      <c r="HBJ50" s="1360"/>
      <c r="HBK50" s="1360"/>
      <c r="HBL50" s="1360"/>
      <c r="HBM50" s="1360"/>
      <c r="HBN50" s="1360"/>
      <c r="HBO50" s="1360"/>
      <c r="HBP50" s="1360"/>
      <c r="HBQ50" s="1360"/>
      <c r="HBR50" s="1360"/>
      <c r="HBS50" s="1360"/>
      <c r="HBT50" s="1360"/>
      <c r="HBU50" s="1360"/>
      <c r="HBV50" s="1360"/>
      <c r="HBW50" s="1360"/>
      <c r="HBX50" s="1360"/>
      <c r="HBY50" s="1360"/>
      <c r="HBZ50" s="1360"/>
      <c r="HCA50" s="1360"/>
      <c r="HCB50" s="1360"/>
      <c r="HCC50" s="1360"/>
      <c r="HCD50" s="1360"/>
      <c r="HCE50" s="1360"/>
      <c r="HCF50" s="1360"/>
      <c r="HCG50" s="1360"/>
      <c r="HCH50" s="1360"/>
      <c r="HCI50" s="1360"/>
      <c r="HCJ50" s="1360"/>
      <c r="HCK50" s="1360"/>
      <c r="HCL50" s="1360"/>
      <c r="HCM50" s="1360"/>
      <c r="HCN50" s="1360"/>
      <c r="HCO50" s="1360"/>
      <c r="HCP50" s="1360"/>
      <c r="HCQ50" s="1360"/>
      <c r="HCR50" s="1360"/>
      <c r="HCS50" s="1360"/>
      <c r="HCT50" s="1360"/>
      <c r="HCU50" s="1360"/>
      <c r="HCV50" s="1360"/>
      <c r="HCW50" s="1360"/>
      <c r="HCX50" s="1360"/>
      <c r="HCY50" s="1360"/>
      <c r="HCZ50" s="1360"/>
      <c r="HDA50" s="1360"/>
      <c r="HDB50" s="1360"/>
      <c r="HDC50" s="1360"/>
      <c r="HDD50" s="1360"/>
      <c r="HDE50" s="1360"/>
      <c r="HDF50" s="1360"/>
      <c r="HDG50" s="1360"/>
      <c r="HDH50" s="1360"/>
      <c r="HDI50" s="1360"/>
      <c r="HDJ50" s="1360"/>
      <c r="HDK50" s="1360"/>
      <c r="HDL50" s="1360"/>
      <c r="HDM50" s="1360"/>
      <c r="HDN50" s="1360"/>
      <c r="HDO50" s="1360"/>
      <c r="HDP50" s="1360"/>
      <c r="HDQ50" s="1360"/>
      <c r="HDR50" s="1360"/>
      <c r="HDS50" s="1360"/>
      <c r="HDT50" s="1360"/>
      <c r="HDU50" s="1360"/>
      <c r="HDV50" s="1360"/>
      <c r="HDW50" s="1360"/>
      <c r="HDX50" s="1360"/>
      <c r="HDY50" s="1360"/>
      <c r="HDZ50" s="1360"/>
      <c r="HEA50" s="1360"/>
      <c r="HEB50" s="1360"/>
      <c r="HEC50" s="1360"/>
      <c r="HED50" s="1360"/>
      <c r="HEE50" s="1360"/>
      <c r="HEF50" s="1360"/>
      <c r="HEG50" s="1360"/>
      <c r="HEH50" s="1360"/>
      <c r="HEI50" s="1360"/>
      <c r="HEJ50" s="1360"/>
      <c r="HEK50" s="1360"/>
      <c r="HEL50" s="1360"/>
      <c r="HEM50" s="1360"/>
      <c r="HEN50" s="1360"/>
      <c r="HEO50" s="1360"/>
      <c r="HEP50" s="1360"/>
      <c r="HEQ50" s="1360"/>
      <c r="HER50" s="1360"/>
      <c r="HES50" s="1360"/>
      <c r="HET50" s="1360"/>
      <c r="HEU50" s="1360"/>
      <c r="HEV50" s="1360"/>
      <c r="HEW50" s="1360"/>
      <c r="HEX50" s="1360"/>
      <c r="HEY50" s="1360"/>
      <c r="HEZ50" s="1360"/>
      <c r="HFA50" s="1360"/>
      <c r="HFB50" s="1360"/>
      <c r="HFC50" s="1360"/>
      <c r="HFD50" s="1360"/>
      <c r="HFE50" s="1360"/>
      <c r="HFF50" s="1360"/>
      <c r="HFG50" s="1360"/>
      <c r="HFH50" s="1360"/>
      <c r="HFI50" s="1360"/>
      <c r="HFJ50" s="1360"/>
      <c r="HFK50" s="1360"/>
      <c r="HFL50" s="1360"/>
      <c r="HFM50" s="1360"/>
      <c r="HFN50" s="1360"/>
      <c r="HFO50" s="1360"/>
      <c r="HFP50" s="1360"/>
      <c r="HFQ50" s="1360"/>
      <c r="HFR50" s="1360"/>
      <c r="HFS50" s="1360"/>
      <c r="HFT50" s="1360"/>
      <c r="HFU50" s="1360"/>
      <c r="HFV50" s="1360"/>
      <c r="HFW50" s="1360"/>
      <c r="HFX50" s="1360"/>
      <c r="HFY50" s="1360"/>
      <c r="HFZ50" s="1360"/>
      <c r="HGA50" s="1360"/>
      <c r="HGB50" s="1360"/>
      <c r="HGC50" s="1360"/>
      <c r="HGD50" s="1360"/>
      <c r="HGE50" s="1360"/>
      <c r="HGF50" s="1360"/>
      <c r="HGG50" s="1360"/>
      <c r="HGH50" s="1360"/>
      <c r="HGI50" s="1360"/>
      <c r="HGJ50" s="1360"/>
      <c r="HGK50" s="1360"/>
      <c r="HGL50" s="1360"/>
      <c r="HGM50" s="1360"/>
      <c r="HGN50" s="1360"/>
      <c r="HGO50" s="1360"/>
      <c r="HGP50" s="1360"/>
      <c r="HGQ50" s="1360"/>
      <c r="HGR50" s="1360"/>
      <c r="HGS50" s="1360"/>
      <c r="HGT50" s="1360"/>
      <c r="HGU50" s="1360"/>
      <c r="HGV50" s="1360"/>
      <c r="HGW50" s="1360"/>
      <c r="HGX50" s="1360"/>
      <c r="HGY50" s="1360"/>
      <c r="HGZ50" s="1360"/>
      <c r="HHA50" s="1360"/>
      <c r="HHB50" s="1360"/>
      <c r="HHC50" s="1360"/>
      <c r="HHD50" s="1360"/>
      <c r="HHE50" s="1360"/>
      <c r="HHF50" s="1360"/>
      <c r="HHG50" s="1360"/>
      <c r="HHH50" s="1360"/>
      <c r="HHI50" s="1360"/>
      <c r="HHJ50" s="1360"/>
      <c r="HHK50" s="1360"/>
      <c r="HHL50" s="1360"/>
      <c r="HHM50" s="1360"/>
      <c r="HHN50" s="1360"/>
      <c r="HHO50" s="1360"/>
      <c r="HHP50" s="1360"/>
      <c r="HHQ50" s="1360"/>
      <c r="HHR50" s="1360"/>
      <c r="HHS50" s="1360"/>
      <c r="HHT50" s="1360"/>
      <c r="HHU50" s="1360"/>
      <c r="HHV50" s="1360"/>
      <c r="HHW50" s="1360"/>
      <c r="HHX50" s="1360"/>
      <c r="HHY50" s="1360"/>
      <c r="HHZ50" s="1360"/>
      <c r="HIA50" s="1360"/>
      <c r="HIB50" s="1360"/>
      <c r="HIC50" s="1360"/>
      <c r="HID50" s="1360"/>
      <c r="HIE50" s="1360"/>
      <c r="HIF50" s="1360"/>
      <c r="HIG50" s="1360"/>
      <c r="HIH50" s="1360"/>
      <c r="HII50" s="1360"/>
      <c r="HIJ50" s="1360"/>
      <c r="HIK50" s="1360"/>
      <c r="HIL50" s="1360"/>
      <c r="HIM50" s="1360"/>
      <c r="HIN50" s="1360"/>
      <c r="HIO50" s="1360"/>
      <c r="HIP50" s="1360"/>
      <c r="HIQ50" s="1360"/>
      <c r="HIR50" s="1360"/>
      <c r="HIS50" s="1360"/>
      <c r="HIT50" s="1360"/>
      <c r="HIU50" s="1360"/>
      <c r="HIV50" s="1360"/>
      <c r="HIW50" s="1360"/>
      <c r="HIX50" s="1360"/>
      <c r="HIY50" s="1360"/>
      <c r="HIZ50" s="1360"/>
      <c r="HJA50" s="1360"/>
      <c r="HJB50" s="1360"/>
      <c r="HJC50" s="1360"/>
      <c r="HJD50" s="1360"/>
      <c r="HJE50" s="1360"/>
      <c r="HJF50" s="1360"/>
      <c r="HJG50" s="1360"/>
      <c r="HJH50" s="1360"/>
      <c r="HJI50" s="1360"/>
      <c r="HJJ50" s="1360"/>
      <c r="HJK50" s="1360"/>
      <c r="HJL50" s="1360"/>
      <c r="HJM50" s="1360"/>
      <c r="HJN50" s="1360"/>
      <c r="HJO50" s="1360"/>
      <c r="HJP50" s="1360"/>
      <c r="HJQ50" s="1360"/>
      <c r="HJR50" s="1360"/>
      <c r="HJS50" s="1360"/>
      <c r="HJT50" s="1360"/>
      <c r="HJU50" s="1360"/>
      <c r="HJV50" s="1360"/>
      <c r="HJW50" s="1360"/>
      <c r="HJX50" s="1360"/>
      <c r="HJY50" s="1360"/>
      <c r="HJZ50" s="1360"/>
      <c r="HKA50" s="1360"/>
      <c r="HKB50" s="1360"/>
      <c r="HKC50" s="1360"/>
      <c r="HKD50" s="1360"/>
      <c r="HKE50" s="1360"/>
      <c r="HKF50" s="1360"/>
      <c r="HKG50" s="1360"/>
      <c r="HKH50" s="1360"/>
      <c r="HKI50" s="1360"/>
      <c r="HKJ50" s="1360"/>
      <c r="HKK50" s="1360"/>
      <c r="HKL50" s="1360"/>
      <c r="HKM50" s="1360"/>
      <c r="HKN50" s="1360"/>
      <c r="HKO50" s="1360"/>
      <c r="HKP50" s="1360"/>
      <c r="HKQ50" s="1360"/>
      <c r="HKR50" s="1360"/>
      <c r="HKS50" s="1360"/>
      <c r="HKT50" s="1360"/>
      <c r="HKU50" s="1360"/>
      <c r="HKV50" s="1360"/>
      <c r="HKW50" s="1360"/>
      <c r="HKX50" s="1360"/>
      <c r="HKY50" s="1360"/>
      <c r="HKZ50" s="1360"/>
      <c r="HLA50" s="1360"/>
      <c r="HLB50" s="1360"/>
      <c r="HLC50" s="1360"/>
      <c r="HLD50" s="1360"/>
      <c r="HLE50" s="1360"/>
      <c r="HLF50" s="1360"/>
      <c r="HLG50" s="1360"/>
      <c r="HLH50" s="1360"/>
      <c r="HLI50" s="1360"/>
      <c r="HLJ50" s="1360"/>
      <c r="HLK50" s="1360"/>
      <c r="HLL50" s="1360"/>
      <c r="HLM50" s="1360"/>
      <c r="HLN50" s="1360"/>
      <c r="HLO50" s="1360"/>
      <c r="HLP50" s="1360"/>
      <c r="HLQ50" s="1360"/>
      <c r="HLR50" s="1360"/>
      <c r="HLS50" s="1360"/>
      <c r="HLT50" s="1360"/>
      <c r="HLU50" s="1360"/>
      <c r="HLV50" s="1360"/>
      <c r="HLW50" s="1360"/>
      <c r="HLX50" s="1360"/>
      <c r="HLY50" s="1360"/>
      <c r="HLZ50" s="1360"/>
      <c r="HMA50" s="1360"/>
      <c r="HMB50" s="1360"/>
      <c r="HMC50" s="1360"/>
      <c r="HMD50" s="1360"/>
      <c r="HME50" s="1360"/>
      <c r="HMF50" s="1360"/>
      <c r="HMG50" s="1360"/>
      <c r="HMH50" s="1360"/>
      <c r="HMI50" s="1360"/>
      <c r="HMJ50" s="1360"/>
      <c r="HMK50" s="1360"/>
      <c r="HML50" s="1360"/>
      <c r="HMM50" s="1360"/>
      <c r="HMN50" s="1360"/>
      <c r="HMO50" s="1360"/>
      <c r="HMP50" s="1360"/>
      <c r="HMQ50" s="1360"/>
      <c r="HMR50" s="1360"/>
      <c r="HMS50" s="1360"/>
      <c r="HMT50" s="1360"/>
      <c r="HMU50" s="1360"/>
      <c r="HMV50" s="1360"/>
      <c r="HMW50" s="1360"/>
      <c r="HMX50" s="1360"/>
      <c r="HMY50" s="1360"/>
      <c r="HMZ50" s="1360"/>
      <c r="HNA50" s="1360"/>
      <c r="HNB50" s="1360"/>
      <c r="HNC50" s="1360"/>
      <c r="HND50" s="1360"/>
      <c r="HNE50" s="1360"/>
      <c r="HNF50" s="1360"/>
      <c r="HNG50" s="1360"/>
      <c r="HNH50" s="1360"/>
      <c r="HNI50" s="1360"/>
      <c r="HNJ50" s="1360"/>
      <c r="HNK50" s="1360"/>
      <c r="HNL50" s="1360"/>
      <c r="HNM50" s="1360"/>
      <c r="HNN50" s="1360"/>
      <c r="HNO50" s="1360"/>
      <c r="HNP50" s="1360"/>
      <c r="HNQ50" s="1360"/>
      <c r="HNR50" s="1360"/>
      <c r="HNS50" s="1360"/>
      <c r="HNT50" s="1360"/>
      <c r="HNU50" s="1360"/>
      <c r="HNV50" s="1360"/>
      <c r="HNW50" s="1360"/>
      <c r="HNX50" s="1360"/>
      <c r="HNY50" s="1360"/>
      <c r="HNZ50" s="1360"/>
      <c r="HOA50" s="1360"/>
      <c r="HOB50" s="1360"/>
      <c r="HOC50" s="1360"/>
      <c r="HOD50" s="1360"/>
      <c r="HOE50" s="1360"/>
      <c r="HOF50" s="1360"/>
      <c r="HOG50" s="1360"/>
      <c r="HOH50" s="1360"/>
      <c r="HOI50" s="1360"/>
      <c r="HOJ50" s="1360"/>
      <c r="HOK50" s="1360"/>
      <c r="HOL50" s="1360"/>
      <c r="HOM50" s="1360"/>
      <c r="HON50" s="1360"/>
      <c r="HOO50" s="1360"/>
      <c r="HOP50" s="1360"/>
      <c r="HOQ50" s="1360"/>
      <c r="HOR50" s="1360"/>
      <c r="HOS50" s="1360"/>
      <c r="HOT50" s="1360"/>
      <c r="HOU50" s="1360"/>
      <c r="HOV50" s="1360"/>
      <c r="HOW50" s="1360"/>
      <c r="HOX50" s="1360"/>
      <c r="HOY50" s="1360"/>
      <c r="HOZ50" s="1360"/>
      <c r="HPA50" s="1360"/>
      <c r="HPB50" s="1360"/>
      <c r="HPC50" s="1360"/>
      <c r="HPD50" s="1360"/>
      <c r="HPE50" s="1360"/>
      <c r="HPF50" s="1360"/>
      <c r="HPG50" s="1360"/>
      <c r="HPH50" s="1360"/>
      <c r="HPI50" s="1360"/>
      <c r="HPJ50" s="1360"/>
      <c r="HPK50" s="1360"/>
      <c r="HPL50" s="1360"/>
      <c r="HPM50" s="1360"/>
      <c r="HPN50" s="1360"/>
      <c r="HPO50" s="1360"/>
      <c r="HPP50" s="1360"/>
      <c r="HPQ50" s="1360"/>
      <c r="HPR50" s="1360"/>
      <c r="HPS50" s="1360"/>
      <c r="HPT50" s="1360"/>
      <c r="HPU50" s="1360"/>
      <c r="HPV50" s="1360"/>
      <c r="HPW50" s="1360"/>
      <c r="HPX50" s="1360"/>
      <c r="HPY50" s="1360"/>
      <c r="HPZ50" s="1360"/>
      <c r="HQA50" s="1360"/>
      <c r="HQB50" s="1360"/>
      <c r="HQC50" s="1360"/>
      <c r="HQD50" s="1360"/>
      <c r="HQE50" s="1360"/>
      <c r="HQF50" s="1360"/>
      <c r="HQG50" s="1360"/>
      <c r="HQH50" s="1360"/>
      <c r="HQI50" s="1360"/>
      <c r="HQJ50" s="1360"/>
      <c r="HQK50" s="1360"/>
      <c r="HQL50" s="1360"/>
      <c r="HQM50" s="1360"/>
      <c r="HQN50" s="1360"/>
      <c r="HQO50" s="1360"/>
      <c r="HQP50" s="1360"/>
      <c r="HQQ50" s="1360"/>
      <c r="HQR50" s="1360"/>
      <c r="HQS50" s="1360"/>
      <c r="HQT50" s="1360"/>
      <c r="HQU50" s="1360"/>
      <c r="HQV50" s="1360"/>
      <c r="HQW50" s="1360"/>
      <c r="HQX50" s="1360"/>
      <c r="HQY50" s="1360"/>
      <c r="HQZ50" s="1360"/>
      <c r="HRA50" s="1360"/>
      <c r="HRB50" s="1360"/>
      <c r="HRC50" s="1360"/>
      <c r="HRD50" s="1360"/>
      <c r="HRE50" s="1360"/>
      <c r="HRF50" s="1360"/>
      <c r="HRG50" s="1360"/>
      <c r="HRH50" s="1360"/>
      <c r="HRI50" s="1360"/>
      <c r="HRJ50" s="1360"/>
      <c r="HRK50" s="1360"/>
      <c r="HRL50" s="1360"/>
      <c r="HRM50" s="1360"/>
      <c r="HRN50" s="1360"/>
      <c r="HRO50" s="1360"/>
      <c r="HRP50" s="1360"/>
      <c r="HRQ50" s="1360"/>
      <c r="HRR50" s="1360"/>
      <c r="HRS50" s="1360"/>
      <c r="HRT50" s="1360"/>
      <c r="HRU50" s="1360"/>
      <c r="HRV50" s="1360"/>
      <c r="HRW50" s="1360"/>
      <c r="HRX50" s="1360"/>
      <c r="HRY50" s="1360"/>
      <c r="HRZ50" s="1360"/>
      <c r="HSA50" s="1360"/>
      <c r="HSB50" s="1360"/>
      <c r="HSC50" s="1360"/>
      <c r="HSD50" s="1360"/>
      <c r="HSE50" s="1360"/>
      <c r="HSF50" s="1360"/>
      <c r="HSG50" s="1360"/>
      <c r="HSH50" s="1360"/>
      <c r="HSI50" s="1360"/>
      <c r="HSJ50" s="1360"/>
      <c r="HSK50" s="1360"/>
      <c r="HSL50" s="1360"/>
      <c r="HSM50" s="1360"/>
      <c r="HSN50" s="1360"/>
      <c r="HSO50" s="1360"/>
      <c r="HSP50" s="1360"/>
      <c r="HSQ50" s="1360"/>
      <c r="HSR50" s="1360"/>
      <c r="HSS50" s="1360"/>
      <c r="HST50" s="1360"/>
      <c r="HSU50" s="1360"/>
      <c r="HSV50" s="1360"/>
      <c r="HSW50" s="1360"/>
      <c r="HSX50" s="1360"/>
      <c r="HSY50" s="1360"/>
      <c r="HSZ50" s="1360"/>
      <c r="HTA50" s="1360"/>
      <c r="HTB50" s="1360"/>
      <c r="HTC50" s="1360"/>
      <c r="HTD50" s="1360"/>
      <c r="HTE50" s="1360"/>
      <c r="HTF50" s="1360"/>
      <c r="HTG50" s="1360"/>
      <c r="HTH50" s="1360"/>
      <c r="HTI50" s="1360"/>
      <c r="HTJ50" s="1360"/>
      <c r="HTK50" s="1360"/>
      <c r="HTL50" s="1360"/>
      <c r="HTM50" s="1360"/>
      <c r="HTN50" s="1360"/>
      <c r="HTO50" s="1360"/>
      <c r="HTP50" s="1360"/>
      <c r="HTQ50" s="1360"/>
      <c r="HTR50" s="1360"/>
      <c r="HTS50" s="1360"/>
      <c r="HTT50" s="1360"/>
      <c r="HTU50" s="1360"/>
      <c r="HTV50" s="1360"/>
      <c r="HTW50" s="1360"/>
      <c r="HTX50" s="1360"/>
      <c r="HTY50" s="1360"/>
      <c r="HTZ50" s="1360"/>
      <c r="HUA50" s="1360"/>
      <c r="HUB50" s="1360"/>
      <c r="HUC50" s="1360"/>
      <c r="HUD50" s="1360"/>
      <c r="HUE50" s="1360"/>
      <c r="HUF50" s="1360"/>
      <c r="HUG50" s="1360"/>
      <c r="HUH50" s="1360"/>
      <c r="HUI50" s="1360"/>
      <c r="HUJ50" s="1360"/>
      <c r="HUK50" s="1360"/>
      <c r="HUL50" s="1360"/>
      <c r="HUM50" s="1360"/>
      <c r="HUN50" s="1360"/>
      <c r="HUO50" s="1360"/>
      <c r="HUP50" s="1360"/>
      <c r="HUQ50" s="1360"/>
      <c r="HUR50" s="1360"/>
      <c r="HUS50" s="1360"/>
      <c r="HUT50" s="1360"/>
      <c r="HUU50" s="1360"/>
      <c r="HUV50" s="1360"/>
      <c r="HUW50" s="1360"/>
      <c r="HUX50" s="1360"/>
      <c r="HUY50" s="1360"/>
      <c r="HUZ50" s="1360"/>
      <c r="HVA50" s="1360"/>
      <c r="HVB50" s="1360"/>
      <c r="HVC50" s="1360"/>
      <c r="HVD50" s="1360"/>
      <c r="HVE50" s="1360"/>
      <c r="HVF50" s="1360"/>
      <c r="HVG50" s="1360"/>
      <c r="HVH50" s="1360"/>
      <c r="HVI50" s="1360"/>
      <c r="HVJ50" s="1360"/>
      <c r="HVK50" s="1360"/>
      <c r="HVL50" s="1360"/>
      <c r="HVM50" s="1360"/>
      <c r="HVN50" s="1360"/>
      <c r="HVO50" s="1360"/>
      <c r="HVP50" s="1360"/>
      <c r="HVQ50" s="1360"/>
      <c r="HVR50" s="1360"/>
      <c r="HVS50" s="1360"/>
      <c r="HVT50" s="1360"/>
      <c r="HVU50" s="1360"/>
      <c r="HVV50" s="1360"/>
      <c r="HVW50" s="1360"/>
      <c r="HVX50" s="1360"/>
      <c r="HVY50" s="1360"/>
      <c r="HVZ50" s="1360"/>
      <c r="HWA50" s="1360"/>
      <c r="HWB50" s="1360"/>
      <c r="HWC50" s="1360"/>
      <c r="HWD50" s="1360"/>
      <c r="HWE50" s="1360"/>
      <c r="HWF50" s="1360"/>
      <c r="HWG50" s="1360"/>
      <c r="HWH50" s="1360"/>
      <c r="HWI50" s="1360"/>
      <c r="HWJ50" s="1360"/>
      <c r="HWK50" s="1360"/>
      <c r="HWL50" s="1360"/>
      <c r="HWM50" s="1360"/>
      <c r="HWN50" s="1360"/>
      <c r="HWO50" s="1360"/>
      <c r="HWP50" s="1360"/>
      <c r="HWQ50" s="1360"/>
      <c r="HWR50" s="1360"/>
      <c r="HWS50" s="1360"/>
      <c r="HWT50" s="1360"/>
      <c r="HWU50" s="1360"/>
      <c r="HWV50" s="1360"/>
      <c r="HWW50" s="1360"/>
      <c r="HWX50" s="1360"/>
      <c r="HWY50" s="1360"/>
      <c r="HWZ50" s="1360"/>
      <c r="HXA50" s="1360"/>
      <c r="HXB50" s="1360"/>
      <c r="HXC50" s="1360"/>
      <c r="HXD50" s="1360"/>
      <c r="HXE50" s="1360"/>
      <c r="HXF50" s="1360"/>
      <c r="HXG50" s="1360"/>
      <c r="HXH50" s="1360"/>
      <c r="HXI50" s="1360"/>
      <c r="HXJ50" s="1360"/>
      <c r="HXK50" s="1360"/>
      <c r="HXL50" s="1360"/>
      <c r="HXM50" s="1360"/>
      <c r="HXN50" s="1360"/>
      <c r="HXO50" s="1360"/>
      <c r="HXP50" s="1360"/>
      <c r="HXQ50" s="1360"/>
      <c r="HXR50" s="1360"/>
      <c r="HXS50" s="1360"/>
      <c r="HXT50" s="1360"/>
      <c r="HXU50" s="1360"/>
      <c r="HXV50" s="1360"/>
      <c r="HXW50" s="1360"/>
      <c r="HXX50" s="1360"/>
      <c r="HXY50" s="1360"/>
      <c r="HXZ50" s="1360"/>
      <c r="HYA50" s="1360"/>
      <c r="HYB50" s="1360"/>
      <c r="HYC50" s="1360"/>
      <c r="HYD50" s="1360"/>
      <c r="HYE50" s="1360"/>
      <c r="HYF50" s="1360"/>
      <c r="HYG50" s="1360"/>
      <c r="HYH50" s="1360"/>
      <c r="HYI50" s="1360"/>
      <c r="HYJ50" s="1360"/>
      <c r="HYK50" s="1360"/>
      <c r="HYL50" s="1360"/>
      <c r="HYM50" s="1360"/>
      <c r="HYN50" s="1360"/>
      <c r="HYO50" s="1360"/>
      <c r="HYP50" s="1360"/>
      <c r="HYQ50" s="1360"/>
      <c r="HYR50" s="1360"/>
      <c r="HYS50" s="1360"/>
      <c r="HYT50" s="1360"/>
      <c r="HYU50" s="1360"/>
      <c r="HYV50" s="1360"/>
      <c r="HYW50" s="1360"/>
      <c r="HYX50" s="1360"/>
      <c r="HYY50" s="1360"/>
      <c r="HYZ50" s="1360"/>
      <c r="HZA50" s="1360"/>
      <c r="HZB50" s="1360"/>
      <c r="HZC50" s="1360"/>
      <c r="HZD50" s="1360"/>
      <c r="HZE50" s="1360"/>
      <c r="HZF50" s="1360"/>
      <c r="HZG50" s="1360"/>
      <c r="HZH50" s="1360"/>
      <c r="HZI50" s="1360"/>
      <c r="HZJ50" s="1360"/>
      <c r="HZK50" s="1360"/>
      <c r="HZL50" s="1360"/>
      <c r="HZM50" s="1360"/>
      <c r="HZN50" s="1360"/>
      <c r="HZO50" s="1360"/>
      <c r="HZP50" s="1360"/>
      <c r="HZQ50" s="1360"/>
      <c r="HZR50" s="1360"/>
      <c r="HZS50" s="1360"/>
      <c r="HZT50" s="1360"/>
      <c r="HZU50" s="1360"/>
      <c r="HZV50" s="1360"/>
      <c r="HZW50" s="1360"/>
      <c r="HZX50" s="1360"/>
      <c r="HZY50" s="1360"/>
      <c r="HZZ50" s="1360"/>
      <c r="IAA50" s="1360"/>
      <c r="IAB50" s="1360"/>
      <c r="IAC50" s="1360"/>
      <c r="IAD50" s="1360"/>
      <c r="IAE50" s="1360"/>
      <c r="IAF50" s="1360"/>
      <c r="IAG50" s="1360"/>
      <c r="IAH50" s="1360"/>
      <c r="IAI50" s="1360"/>
      <c r="IAJ50" s="1360"/>
      <c r="IAK50" s="1360"/>
      <c r="IAL50" s="1360"/>
      <c r="IAM50" s="1360"/>
      <c r="IAN50" s="1360"/>
      <c r="IAO50" s="1360"/>
      <c r="IAP50" s="1360"/>
      <c r="IAQ50" s="1360"/>
      <c r="IAR50" s="1360"/>
      <c r="IAS50" s="1360"/>
      <c r="IAT50" s="1360"/>
      <c r="IAU50" s="1360"/>
      <c r="IAV50" s="1360"/>
      <c r="IAW50" s="1360"/>
      <c r="IAX50" s="1360"/>
      <c r="IAY50" s="1360"/>
      <c r="IAZ50" s="1360"/>
      <c r="IBA50" s="1360"/>
      <c r="IBB50" s="1360"/>
      <c r="IBC50" s="1360"/>
      <c r="IBD50" s="1360"/>
      <c r="IBE50" s="1360"/>
      <c r="IBF50" s="1360"/>
      <c r="IBG50" s="1360"/>
      <c r="IBH50" s="1360"/>
      <c r="IBI50" s="1360"/>
      <c r="IBJ50" s="1360"/>
      <c r="IBK50" s="1360"/>
      <c r="IBL50" s="1360"/>
      <c r="IBM50" s="1360"/>
      <c r="IBN50" s="1360"/>
      <c r="IBO50" s="1360"/>
      <c r="IBP50" s="1360"/>
      <c r="IBQ50" s="1360"/>
      <c r="IBR50" s="1360"/>
      <c r="IBS50" s="1360"/>
      <c r="IBT50" s="1360"/>
      <c r="IBU50" s="1360"/>
      <c r="IBV50" s="1360"/>
      <c r="IBW50" s="1360"/>
      <c r="IBX50" s="1360"/>
      <c r="IBY50" s="1360"/>
      <c r="IBZ50" s="1360"/>
      <c r="ICA50" s="1360"/>
      <c r="ICB50" s="1360"/>
      <c r="ICC50" s="1360"/>
      <c r="ICD50" s="1360"/>
      <c r="ICE50" s="1360"/>
      <c r="ICF50" s="1360"/>
      <c r="ICG50" s="1360"/>
      <c r="ICH50" s="1360"/>
      <c r="ICI50" s="1360"/>
      <c r="ICJ50" s="1360"/>
      <c r="ICK50" s="1360"/>
      <c r="ICL50" s="1360"/>
      <c r="ICM50" s="1360"/>
      <c r="ICN50" s="1360"/>
      <c r="ICO50" s="1360"/>
      <c r="ICP50" s="1360"/>
      <c r="ICQ50" s="1360"/>
      <c r="ICR50" s="1360"/>
      <c r="ICS50" s="1360"/>
      <c r="ICT50" s="1360"/>
      <c r="ICU50" s="1360"/>
      <c r="ICV50" s="1360"/>
      <c r="ICW50" s="1360"/>
      <c r="ICX50" s="1360"/>
      <c r="ICY50" s="1360"/>
      <c r="ICZ50" s="1360"/>
      <c r="IDA50" s="1360"/>
      <c r="IDB50" s="1360"/>
      <c r="IDC50" s="1360"/>
      <c r="IDD50" s="1360"/>
      <c r="IDE50" s="1360"/>
      <c r="IDF50" s="1360"/>
      <c r="IDG50" s="1360"/>
      <c r="IDH50" s="1360"/>
      <c r="IDI50" s="1360"/>
      <c r="IDJ50" s="1360"/>
      <c r="IDK50" s="1360"/>
      <c r="IDL50" s="1360"/>
      <c r="IDM50" s="1360"/>
      <c r="IDN50" s="1360"/>
      <c r="IDO50" s="1360"/>
      <c r="IDP50" s="1360"/>
      <c r="IDQ50" s="1360"/>
      <c r="IDR50" s="1360"/>
      <c r="IDS50" s="1360"/>
      <c r="IDT50" s="1360"/>
      <c r="IDU50" s="1360"/>
      <c r="IDV50" s="1360"/>
      <c r="IDW50" s="1360"/>
      <c r="IDX50" s="1360"/>
      <c r="IDY50" s="1360"/>
      <c r="IDZ50" s="1360"/>
      <c r="IEA50" s="1360"/>
      <c r="IEB50" s="1360"/>
      <c r="IEC50" s="1360"/>
      <c r="IED50" s="1360"/>
      <c r="IEE50" s="1360"/>
      <c r="IEF50" s="1360"/>
      <c r="IEG50" s="1360"/>
      <c r="IEH50" s="1360"/>
      <c r="IEI50" s="1360"/>
      <c r="IEJ50" s="1360"/>
      <c r="IEK50" s="1360"/>
      <c r="IEL50" s="1360"/>
      <c r="IEM50" s="1360"/>
      <c r="IEN50" s="1360"/>
      <c r="IEO50" s="1360"/>
      <c r="IEP50" s="1360"/>
      <c r="IEQ50" s="1360"/>
      <c r="IER50" s="1360"/>
      <c r="IES50" s="1360"/>
      <c r="IET50" s="1360"/>
      <c r="IEU50" s="1360"/>
      <c r="IEV50" s="1360"/>
      <c r="IEW50" s="1360"/>
      <c r="IEX50" s="1360"/>
      <c r="IEY50" s="1360"/>
      <c r="IEZ50" s="1360"/>
      <c r="IFA50" s="1360"/>
      <c r="IFB50" s="1360"/>
      <c r="IFC50" s="1360"/>
      <c r="IFD50" s="1360"/>
      <c r="IFE50" s="1360"/>
      <c r="IFF50" s="1360"/>
      <c r="IFG50" s="1360"/>
      <c r="IFH50" s="1360"/>
      <c r="IFI50" s="1360"/>
      <c r="IFJ50" s="1360"/>
      <c r="IFK50" s="1360"/>
      <c r="IFL50" s="1360"/>
      <c r="IFM50" s="1360"/>
      <c r="IFN50" s="1360"/>
      <c r="IFO50" s="1360"/>
      <c r="IFP50" s="1360"/>
      <c r="IFQ50" s="1360"/>
      <c r="IFR50" s="1360"/>
      <c r="IFS50" s="1360"/>
      <c r="IFT50" s="1360"/>
      <c r="IFU50" s="1360"/>
      <c r="IFV50" s="1360"/>
      <c r="IFW50" s="1360"/>
      <c r="IFX50" s="1360"/>
      <c r="IFY50" s="1360"/>
      <c r="IFZ50" s="1360"/>
      <c r="IGA50" s="1360"/>
      <c r="IGB50" s="1360"/>
      <c r="IGC50" s="1360"/>
      <c r="IGD50" s="1360"/>
      <c r="IGE50" s="1360"/>
      <c r="IGF50" s="1360"/>
      <c r="IGG50" s="1360"/>
      <c r="IGH50" s="1360"/>
      <c r="IGI50" s="1360"/>
      <c r="IGJ50" s="1360"/>
      <c r="IGK50" s="1360"/>
      <c r="IGL50" s="1360"/>
      <c r="IGM50" s="1360"/>
      <c r="IGN50" s="1360"/>
      <c r="IGO50" s="1360"/>
      <c r="IGP50" s="1360"/>
      <c r="IGQ50" s="1360"/>
      <c r="IGR50" s="1360"/>
      <c r="IGS50" s="1360"/>
      <c r="IGT50" s="1360"/>
      <c r="IGU50" s="1360"/>
      <c r="IGV50" s="1360"/>
      <c r="IGW50" s="1360"/>
      <c r="IGX50" s="1360"/>
      <c r="IGY50" s="1360"/>
      <c r="IGZ50" s="1360"/>
      <c r="IHA50" s="1360"/>
      <c r="IHB50" s="1360"/>
      <c r="IHC50" s="1360"/>
      <c r="IHD50" s="1360"/>
      <c r="IHE50" s="1360"/>
      <c r="IHF50" s="1360"/>
      <c r="IHG50" s="1360"/>
      <c r="IHH50" s="1360"/>
      <c r="IHI50" s="1360"/>
      <c r="IHJ50" s="1360"/>
      <c r="IHK50" s="1360"/>
      <c r="IHL50" s="1360"/>
      <c r="IHM50" s="1360"/>
      <c r="IHN50" s="1360"/>
      <c r="IHO50" s="1360"/>
      <c r="IHP50" s="1360"/>
      <c r="IHQ50" s="1360"/>
      <c r="IHR50" s="1360"/>
      <c r="IHS50" s="1360"/>
      <c r="IHT50" s="1360"/>
      <c r="IHU50" s="1360"/>
      <c r="IHV50" s="1360"/>
      <c r="IHW50" s="1360"/>
      <c r="IHX50" s="1360"/>
      <c r="IHY50" s="1360"/>
      <c r="IHZ50" s="1360"/>
      <c r="IIA50" s="1360"/>
      <c r="IIB50" s="1360"/>
      <c r="IIC50" s="1360"/>
      <c r="IID50" s="1360"/>
      <c r="IIE50" s="1360"/>
      <c r="IIF50" s="1360"/>
      <c r="IIG50" s="1360"/>
      <c r="IIH50" s="1360"/>
      <c r="III50" s="1360"/>
      <c r="IIJ50" s="1360"/>
      <c r="IIK50" s="1360"/>
      <c r="IIL50" s="1360"/>
      <c r="IIM50" s="1360"/>
      <c r="IIN50" s="1360"/>
      <c r="IIO50" s="1360"/>
      <c r="IIP50" s="1360"/>
      <c r="IIQ50" s="1360"/>
      <c r="IIR50" s="1360"/>
      <c r="IIS50" s="1360"/>
      <c r="IIT50" s="1360"/>
      <c r="IIU50" s="1360"/>
      <c r="IIV50" s="1360"/>
      <c r="IIW50" s="1360"/>
      <c r="IIX50" s="1360"/>
      <c r="IIY50" s="1360"/>
      <c r="IIZ50" s="1360"/>
      <c r="IJA50" s="1360"/>
      <c r="IJB50" s="1360"/>
      <c r="IJC50" s="1360"/>
      <c r="IJD50" s="1360"/>
      <c r="IJE50" s="1360"/>
      <c r="IJF50" s="1360"/>
      <c r="IJG50" s="1360"/>
      <c r="IJH50" s="1360"/>
      <c r="IJI50" s="1360"/>
      <c r="IJJ50" s="1360"/>
      <c r="IJK50" s="1360"/>
      <c r="IJL50" s="1360"/>
      <c r="IJM50" s="1360"/>
      <c r="IJN50" s="1360"/>
      <c r="IJO50" s="1360"/>
      <c r="IJP50" s="1360"/>
      <c r="IJQ50" s="1360"/>
      <c r="IJR50" s="1360"/>
      <c r="IJS50" s="1360"/>
      <c r="IJT50" s="1360"/>
      <c r="IJU50" s="1360"/>
      <c r="IJV50" s="1360"/>
      <c r="IJW50" s="1360"/>
      <c r="IJX50" s="1360"/>
      <c r="IJY50" s="1360"/>
      <c r="IJZ50" s="1360"/>
      <c r="IKA50" s="1360"/>
      <c r="IKB50" s="1360"/>
      <c r="IKC50" s="1360"/>
      <c r="IKD50" s="1360"/>
      <c r="IKE50" s="1360"/>
      <c r="IKF50" s="1360"/>
      <c r="IKG50" s="1360"/>
      <c r="IKH50" s="1360"/>
      <c r="IKI50" s="1360"/>
      <c r="IKJ50" s="1360"/>
      <c r="IKK50" s="1360"/>
      <c r="IKL50" s="1360"/>
      <c r="IKM50" s="1360"/>
      <c r="IKN50" s="1360"/>
      <c r="IKO50" s="1360"/>
      <c r="IKP50" s="1360"/>
      <c r="IKQ50" s="1360"/>
      <c r="IKR50" s="1360"/>
      <c r="IKS50" s="1360"/>
      <c r="IKT50" s="1360"/>
      <c r="IKU50" s="1360"/>
      <c r="IKV50" s="1360"/>
      <c r="IKW50" s="1360"/>
      <c r="IKX50" s="1360"/>
      <c r="IKY50" s="1360"/>
      <c r="IKZ50" s="1360"/>
      <c r="ILA50" s="1360"/>
      <c r="ILB50" s="1360"/>
      <c r="ILC50" s="1360"/>
      <c r="ILD50" s="1360"/>
      <c r="ILE50" s="1360"/>
      <c r="ILF50" s="1360"/>
      <c r="ILG50" s="1360"/>
      <c r="ILH50" s="1360"/>
      <c r="ILI50" s="1360"/>
      <c r="ILJ50" s="1360"/>
      <c r="ILK50" s="1360"/>
      <c r="ILL50" s="1360"/>
      <c r="ILM50" s="1360"/>
      <c r="ILN50" s="1360"/>
      <c r="ILO50" s="1360"/>
      <c r="ILP50" s="1360"/>
      <c r="ILQ50" s="1360"/>
      <c r="ILR50" s="1360"/>
      <c r="ILS50" s="1360"/>
      <c r="ILT50" s="1360"/>
      <c r="ILU50" s="1360"/>
      <c r="ILV50" s="1360"/>
      <c r="ILW50" s="1360"/>
      <c r="ILX50" s="1360"/>
      <c r="ILY50" s="1360"/>
      <c r="ILZ50" s="1360"/>
      <c r="IMA50" s="1360"/>
      <c r="IMB50" s="1360"/>
      <c r="IMC50" s="1360"/>
      <c r="IMD50" s="1360"/>
      <c r="IME50" s="1360"/>
      <c r="IMF50" s="1360"/>
      <c r="IMG50" s="1360"/>
      <c r="IMH50" s="1360"/>
      <c r="IMI50" s="1360"/>
      <c r="IMJ50" s="1360"/>
      <c r="IMK50" s="1360"/>
      <c r="IML50" s="1360"/>
      <c r="IMM50" s="1360"/>
      <c r="IMN50" s="1360"/>
      <c r="IMO50" s="1360"/>
      <c r="IMP50" s="1360"/>
      <c r="IMQ50" s="1360"/>
      <c r="IMR50" s="1360"/>
      <c r="IMS50" s="1360"/>
      <c r="IMT50" s="1360"/>
      <c r="IMU50" s="1360"/>
      <c r="IMV50" s="1360"/>
      <c r="IMW50" s="1360"/>
      <c r="IMX50" s="1360"/>
      <c r="IMY50" s="1360"/>
      <c r="IMZ50" s="1360"/>
      <c r="INA50" s="1360"/>
      <c r="INB50" s="1360"/>
      <c r="INC50" s="1360"/>
      <c r="IND50" s="1360"/>
      <c r="INE50" s="1360"/>
      <c r="INF50" s="1360"/>
      <c r="ING50" s="1360"/>
      <c r="INH50" s="1360"/>
      <c r="INI50" s="1360"/>
      <c r="INJ50" s="1360"/>
      <c r="INK50" s="1360"/>
      <c r="INL50" s="1360"/>
      <c r="INM50" s="1360"/>
      <c r="INN50" s="1360"/>
      <c r="INO50" s="1360"/>
      <c r="INP50" s="1360"/>
      <c r="INQ50" s="1360"/>
      <c r="INR50" s="1360"/>
      <c r="INS50" s="1360"/>
      <c r="INT50" s="1360"/>
      <c r="INU50" s="1360"/>
      <c r="INV50" s="1360"/>
      <c r="INW50" s="1360"/>
      <c r="INX50" s="1360"/>
      <c r="INY50" s="1360"/>
      <c r="INZ50" s="1360"/>
      <c r="IOA50" s="1360"/>
      <c r="IOB50" s="1360"/>
      <c r="IOC50" s="1360"/>
      <c r="IOD50" s="1360"/>
      <c r="IOE50" s="1360"/>
      <c r="IOF50" s="1360"/>
      <c r="IOG50" s="1360"/>
      <c r="IOH50" s="1360"/>
      <c r="IOI50" s="1360"/>
      <c r="IOJ50" s="1360"/>
      <c r="IOK50" s="1360"/>
      <c r="IOL50" s="1360"/>
      <c r="IOM50" s="1360"/>
      <c r="ION50" s="1360"/>
      <c r="IOO50" s="1360"/>
      <c r="IOP50" s="1360"/>
      <c r="IOQ50" s="1360"/>
      <c r="IOR50" s="1360"/>
      <c r="IOS50" s="1360"/>
      <c r="IOT50" s="1360"/>
      <c r="IOU50" s="1360"/>
      <c r="IOV50" s="1360"/>
      <c r="IOW50" s="1360"/>
      <c r="IOX50" s="1360"/>
      <c r="IOY50" s="1360"/>
      <c r="IOZ50" s="1360"/>
      <c r="IPA50" s="1360"/>
      <c r="IPB50" s="1360"/>
      <c r="IPC50" s="1360"/>
      <c r="IPD50" s="1360"/>
      <c r="IPE50" s="1360"/>
      <c r="IPF50" s="1360"/>
      <c r="IPG50" s="1360"/>
      <c r="IPH50" s="1360"/>
      <c r="IPI50" s="1360"/>
      <c r="IPJ50" s="1360"/>
      <c r="IPK50" s="1360"/>
      <c r="IPL50" s="1360"/>
      <c r="IPM50" s="1360"/>
      <c r="IPN50" s="1360"/>
      <c r="IPO50" s="1360"/>
      <c r="IPP50" s="1360"/>
      <c r="IPQ50" s="1360"/>
      <c r="IPR50" s="1360"/>
      <c r="IPS50" s="1360"/>
      <c r="IPT50" s="1360"/>
      <c r="IPU50" s="1360"/>
      <c r="IPV50" s="1360"/>
      <c r="IPW50" s="1360"/>
      <c r="IPX50" s="1360"/>
      <c r="IPY50" s="1360"/>
      <c r="IPZ50" s="1360"/>
      <c r="IQA50" s="1360"/>
      <c r="IQB50" s="1360"/>
      <c r="IQC50" s="1360"/>
      <c r="IQD50" s="1360"/>
      <c r="IQE50" s="1360"/>
      <c r="IQF50" s="1360"/>
      <c r="IQG50" s="1360"/>
      <c r="IQH50" s="1360"/>
      <c r="IQI50" s="1360"/>
      <c r="IQJ50" s="1360"/>
      <c r="IQK50" s="1360"/>
      <c r="IQL50" s="1360"/>
      <c r="IQM50" s="1360"/>
      <c r="IQN50" s="1360"/>
      <c r="IQO50" s="1360"/>
      <c r="IQP50" s="1360"/>
      <c r="IQQ50" s="1360"/>
      <c r="IQR50" s="1360"/>
      <c r="IQS50" s="1360"/>
      <c r="IQT50" s="1360"/>
      <c r="IQU50" s="1360"/>
      <c r="IQV50" s="1360"/>
      <c r="IQW50" s="1360"/>
      <c r="IQX50" s="1360"/>
      <c r="IQY50" s="1360"/>
      <c r="IQZ50" s="1360"/>
      <c r="IRA50" s="1360"/>
      <c r="IRB50" s="1360"/>
      <c r="IRC50" s="1360"/>
      <c r="IRD50" s="1360"/>
      <c r="IRE50" s="1360"/>
      <c r="IRF50" s="1360"/>
      <c r="IRG50" s="1360"/>
      <c r="IRH50" s="1360"/>
      <c r="IRI50" s="1360"/>
      <c r="IRJ50" s="1360"/>
      <c r="IRK50" s="1360"/>
      <c r="IRL50" s="1360"/>
      <c r="IRM50" s="1360"/>
      <c r="IRN50" s="1360"/>
      <c r="IRO50" s="1360"/>
      <c r="IRP50" s="1360"/>
      <c r="IRQ50" s="1360"/>
      <c r="IRR50" s="1360"/>
      <c r="IRS50" s="1360"/>
      <c r="IRT50" s="1360"/>
      <c r="IRU50" s="1360"/>
      <c r="IRV50" s="1360"/>
      <c r="IRW50" s="1360"/>
      <c r="IRX50" s="1360"/>
      <c r="IRY50" s="1360"/>
      <c r="IRZ50" s="1360"/>
      <c r="ISA50" s="1360"/>
      <c r="ISB50" s="1360"/>
      <c r="ISC50" s="1360"/>
      <c r="ISD50" s="1360"/>
      <c r="ISE50" s="1360"/>
      <c r="ISF50" s="1360"/>
      <c r="ISG50" s="1360"/>
      <c r="ISH50" s="1360"/>
      <c r="ISI50" s="1360"/>
      <c r="ISJ50" s="1360"/>
      <c r="ISK50" s="1360"/>
      <c r="ISL50" s="1360"/>
      <c r="ISM50" s="1360"/>
      <c r="ISN50" s="1360"/>
      <c r="ISO50" s="1360"/>
      <c r="ISP50" s="1360"/>
      <c r="ISQ50" s="1360"/>
      <c r="ISR50" s="1360"/>
      <c r="ISS50" s="1360"/>
      <c r="IST50" s="1360"/>
      <c r="ISU50" s="1360"/>
      <c r="ISV50" s="1360"/>
      <c r="ISW50" s="1360"/>
      <c r="ISX50" s="1360"/>
      <c r="ISY50" s="1360"/>
      <c r="ISZ50" s="1360"/>
      <c r="ITA50" s="1360"/>
      <c r="ITB50" s="1360"/>
      <c r="ITC50" s="1360"/>
      <c r="ITD50" s="1360"/>
      <c r="ITE50" s="1360"/>
      <c r="ITF50" s="1360"/>
      <c r="ITG50" s="1360"/>
      <c r="ITH50" s="1360"/>
      <c r="ITI50" s="1360"/>
      <c r="ITJ50" s="1360"/>
      <c r="ITK50" s="1360"/>
      <c r="ITL50" s="1360"/>
      <c r="ITM50" s="1360"/>
      <c r="ITN50" s="1360"/>
      <c r="ITO50" s="1360"/>
      <c r="ITP50" s="1360"/>
      <c r="ITQ50" s="1360"/>
      <c r="ITR50" s="1360"/>
      <c r="ITS50" s="1360"/>
      <c r="ITT50" s="1360"/>
      <c r="ITU50" s="1360"/>
      <c r="ITV50" s="1360"/>
      <c r="ITW50" s="1360"/>
      <c r="ITX50" s="1360"/>
      <c r="ITY50" s="1360"/>
      <c r="ITZ50" s="1360"/>
      <c r="IUA50" s="1360"/>
      <c r="IUB50" s="1360"/>
      <c r="IUC50" s="1360"/>
      <c r="IUD50" s="1360"/>
      <c r="IUE50" s="1360"/>
      <c r="IUF50" s="1360"/>
      <c r="IUG50" s="1360"/>
      <c r="IUH50" s="1360"/>
      <c r="IUI50" s="1360"/>
      <c r="IUJ50" s="1360"/>
      <c r="IUK50" s="1360"/>
      <c r="IUL50" s="1360"/>
      <c r="IUM50" s="1360"/>
      <c r="IUN50" s="1360"/>
      <c r="IUO50" s="1360"/>
      <c r="IUP50" s="1360"/>
      <c r="IUQ50" s="1360"/>
      <c r="IUR50" s="1360"/>
      <c r="IUS50" s="1360"/>
      <c r="IUT50" s="1360"/>
      <c r="IUU50" s="1360"/>
      <c r="IUV50" s="1360"/>
      <c r="IUW50" s="1360"/>
      <c r="IUX50" s="1360"/>
      <c r="IUY50" s="1360"/>
      <c r="IUZ50" s="1360"/>
      <c r="IVA50" s="1360"/>
      <c r="IVB50" s="1360"/>
      <c r="IVC50" s="1360"/>
      <c r="IVD50" s="1360"/>
      <c r="IVE50" s="1360"/>
      <c r="IVF50" s="1360"/>
      <c r="IVG50" s="1360"/>
      <c r="IVH50" s="1360"/>
      <c r="IVI50" s="1360"/>
      <c r="IVJ50" s="1360"/>
      <c r="IVK50" s="1360"/>
      <c r="IVL50" s="1360"/>
      <c r="IVM50" s="1360"/>
      <c r="IVN50" s="1360"/>
      <c r="IVO50" s="1360"/>
      <c r="IVP50" s="1360"/>
      <c r="IVQ50" s="1360"/>
      <c r="IVR50" s="1360"/>
      <c r="IVS50" s="1360"/>
      <c r="IVT50" s="1360"/>
      <c r="IVU50" s="1360"/>
      <c r="IVV50" s="1360"/>
      <c r="IVW50" s="1360"/>
      <c r="IVX50" s="1360"/>
      <c r="IVY50" s="1360"/>
      <c r="IVZ50" s="1360"/>
      <c r="IWA50" s="1360"/>
      <c r="IWB50" s="1360"/>
      <c r="IWC50" s="1360"/>
      <c r="IWD50" s="1360"/>
      <c r="IWE50" s="1360"/>
      <c r="IWF50" s="1360"/>
      <c r="IWG50" s="1360"/>
      <c r="IWH50" s="1360"/>
      <c r="IWI50" s="1360"/>
      <c r="IWJ50" s="1360"/>
      <c r="IWK50" s="1360"/>
      <c r="IWL50" s="1360"/>
      <c r="IWM50" s="1360"/>
      <c r="IWN50" s="1360"/>
      <c r="IWO50" s="1360"/>
      <c r="IWP50" s="1360"/>
      <c r="IWQ50" s="1360"/>
      <c r="IWR50" s="1360"/>
      <c r="IWS50" s="1360"/>
      <c r="IWT50" s="1360"/>
      <c r="IWU50" s="1360"/>
      <c r="IWV50" s="1360"/>
      <c r="IWW50" s="1360"/>
      <c r="IWX50" s="1360"/>
      <c r="IWY50" s="1360"/>
      <c r="IWZ50" s="1360"/>
      <c r="IXA50" s="1360"/>
      <c r="IXB50" s="1360"/>
      <c r="IXC50" s="1360"/>
      <c r="IXD50" s="1360"/>
      <c r="IXE50" s="1360"/>
      <c r="IXF50" s="1360"/>
      <c r="IXG50" s="1360"/>
      <c r="IXH50" s="1360"/>
      <c r="IXI50" s="1360"/>
      <c r="IXJ50" s="1360"/>
      <c r="IXK50" s="1360"/>
      <c r="IXL50" s="1360"/>
      <c r="IXM50" s="1360"/>
      <c r="IXN50" s="1360"/>
      <c r="IXO50" s="1360"/>
      <c r="IXP50" s="1360"/>
      <c r="IXQ50" s="1360"/>
      <c r="IXR50" s="1360"/>
      <c r="IXS50" s="1360"/>
      <c r="IXT50" s="1360"/>
      <c r="IXU50" s="1360"/>
      <c r="IXV50" s="1360"/>
      <c r="IXW50" s="1360"/>
      <c r="IXX50" s="1360"/>
      <c r="IXY50" s="1360"/>
      <c r="IXZ50" s="1360"/>
      <c r="IYA50" s="1360"/>
      <c r="IYB50" s="1360"/>
      <c r="IYC50" s="1360"/>
      <c r="IYD50" s="1360"/>
      <c r="IYE50" s="1360"/>
      <c r="IYF50" s="1360"/>
      <c r="IYG50" s="1360"/>
      <c r="IYH50" s="1360"/>
      <c r="IYI50" s="1360"/>
      <c r="IYJ50" s="1360"/>
      <c r="IYK50" s="1360"/>
      <c r="IYL50" s="1360"/>
      <c r="IYM50" s="1360"/>
      <c r="IYN50" s="1360"/>
      <c r="IYO50" s="1360"/>
      <c r="IYP50" s="1360"/>
      <c r="IYQ50" s="1360"/>
      <c r="IYR50" s="1360"/>
      <c r="IYS50" s="1360"/>
      <c r="IYT50" s="1360"/>
      <c r="IYU50" s="1360"/>
      <c r="IYV50" s="1360"/>
      <c r="IYW50" s="1360"/>
      <c r="IYX50" s="1360"/>
      <c r="IYY50" s="1360"/>
      <c r="IYZ50" s="1360"/>
      <c r="IZA50" s="1360"/>
      <c r="IZB50" s="1360"/>
      <c r="IZC50" s="1360"/>
      <c r="IZD50" s="1360"/>
      <c r="IZE50" s="1360"/>
      <c r="IZF50" s="1360"/>
      <c r="IZG50" s="1360"/>
      <c r="IZH50" s="1360"/>
      <c r="IZI50" s="1360"/>
      <c r="IZJ50" s="1360"/>
      <c r="IZK50" s="1360"/>
      <c r="IZL50" s="1360"/>
      <c r="IZM50" s="1360"/>
      <c r="IZN50" s="1360"/>
      <c r="IZO50" s="1360"/>
      <c r="IZP50" s="1360"/>
      <c r="IZQ50" s="1360"/>
      <c r="IZR50" s="1360"/>
      <c r="IZS50" s="1360"/>
      <c r="IZT50" s="1360"/>
      <c r="IZU50" s="1360"/>
      <c r="IZV50" s="1360"/>
      <c r="IZW50" s="1360"/>
      <c r="IZX50" s="1360"/>
      <c r="IZY50" s="1360"/>
      <c r="IZZ50" s="1360"/>
      <c r="JAA50" s="1360"/>
      <c r="JAB50" s="1360"/>
      <c r="JAC50" s="1360"/>
      <c r="JAD50" s="1360"/>
      <c r="JAE50" s="1360"/>
      <c r="JAF50" s="1360"/>
      <c r="JAG50" s="1360"/>
      <c r="JAH50" s="1360"/>
      <c r="JAI50" s="1360"/>
      <c r="JAJ50" s="1360"/>
      <c r="JAK50" s="1360"/>
      <c r="JAL50" s="1360"/>
      <c r="JAM50" s="1360"/>
      <c r="JAN50" s="1360"/>
      <c r="JAO50" s="1360"/>
      <c r="JAP50" s="1360"/>
      <c r="JAQ50" s="1360"/>
      <c r="JAR50" s="1360"/>
      <c r="JAS50" s="1360"/>
      <c r="JAT50" s="1360"/>
      <c r="JAU50" s="1360"/>
      <c r="JAV50" s="1360"/>
      <c r="JAW50" s="1360"/>
      <c r="JAX50" s="1360"/>
      <c r="JAY50" s="1360"/>
      <c r="JAZ50" s="1360"/>
      <c r="JBA50" s="1360"/>
      <c r="JBB50" s="1360"/>
      <c r="JBC50" s="1360"/>
      <c r="JBD50" s="1360"/>
      <c r="JBE50" s="1360"/>
      <c r="JBF50" s="1360"/>
      <c r="JBG50" s="1360"/>
      <c r="JBH50" s="1360"/>
      <c r="JBI50" s="1360"/>
      <c r="JBJ50" s="1360"/>
      <c r="JBK50" s="1360"/>
      <c r="JBL50" s="1360"/>
      <c r="JBM50" s="1360"/>
      <c r="JBN50" s="1360"/>
      <c r="JBO50" s="1360"/>
      <c r="JBP50" s="1360"/>
      <c r="JBQ50" s="1360"/>
      <c r="JBR50" s="1360"/>
      <c r="JBS50" s="1360"/>
      <c r="JBT50" s="1360"/>
      <c r="JBU50" s="1360"/>
      <c r="JBV50" s="1360"/>
      <c r="JBW50" s="1360"/>
      <c r="JBX50" s="1360"/>
      <c r="JBY50" s="1360"/>
      <c r="JBZ50" s="1360"/>
      <c r="JCA50" s="1360"/>
      <c r="JCB50" s="1360"/>
      <c r="JCC50" s="1360"/>
      <c r="JCD50" s="1360"/>
      <c r="JCE50" s="1360"/>
      <c r="JCF50" s="1360"/>
      <c r="JCG50" s="1360"/>
      <c r="JCH50" s="1360"/>
      <c r="JCI50" s="1360"/>
      <c r="JCJ50" s="1360"/>
      <c r="JCK50" s="1360"/>
      <c r="JCL50" s="1360"/>
      <c r="JCM50" s="1360"/>
      <c r="JCN50" s="1360"/>
      <c r="JCO50" s="1360"/>
      <c r="JCP50" s="1360"/>
      <c r="JCQ50" s="1360"/>
      <c r="JCR50" s="1360"/>
      <c r="JCS50" s="1360"/>
      <c r="JCT50" s="1360"/>
      <c r="JCU50" s="1360"/>
      <c r="JCV50" s="1360"/>
      <c r="JCW50" s="1360"/>
      <c r="JCX50" s="1360"/>
      <c r="JCY50" s="1360"/>
      <c r="JCZ50" s="1360"/>
      <c r="JDA50" s="1360"/>
      <c r="JDB50" s="1360"/>
      <c r="JDC50" s="1360"/>
      <c r="JDD50" s="1360"/>
      <c r="JDE50" s="1360"/>
      <c r="JDF50" s="1360"/>
      <c r="JDG50" s="1360"/>
      <c r="JDH50" s="1360"/>
      <c r="JDI50" s="1360"/>
      <c r="JDJ50" s="1360"/>
      <c r="JDK50" s="1360"/>
      <c r="JDL50" s="1360"/>
      <c r="JDM50" s="1360"/>
      <c r="JDN50" s="1360"/>
      <c r="JDO50" s="1360"/>
      <c r="JDP50" s="1360"/>
      <c r="JDQ50" s="1360"/>
      <c r="JDR50" s="1360"/>
      <c r="JDS50" s="1360"/>
      <c r="JDT50" s="1360"/>
      <c r="JDU50" s="1360"/>
      <c r="JDV50" s="1360"/>
      <c r="JDW50" s="1360"/>
      <c r="JDX50" s="1360"/>
      <c r="JDY50" s="1360"/>
      <c r="JDZ50" s="1360"/>
      <c r="JEA50" s="1360"/>
      <c r="JEB50" s="1360"/>
      <c r="JEC50" s="1360"/>
      <c r="JED50" s="1360"/>
      <c r="JEE50" s="1360"/>
      <c r="JEF50" s="1360"/>
      <c r="JEG50" s="1360"/>
      <c r="JEH50" s="1360"/>
      <c r="JEI50" s="1360"/>
      <c r="JEJ50" s="1360"/>
      <c r="JEK50" s="1360"/>
      <c r="JEL50" s="1360"/>
      <c r="JEM50" s="1360"/>
      <c r="JEN50" s="1360"/>
      <c r="JEO50" s="1360"/>
      <c r="JEP50" s="1360"/>
      <c r="JEQ50" s="1360"/>
      <c r="JER50" s="1360"/>
      <c r="JES50" s="1360"/>
      <c r="JET50" s="1360"/>
      <c r="JEU50" s="1360"/>
      <c r="JEV50" s="1360"/>
      <c r="JEW50" s="1360"/>
      <c r="JEX50" s="1360"/>
      <c r="JEY50" s="1360"/>
      <c r="JEZ50" s="1360"/>
      <c r="JFA50" s="1360"/>
      <c r="JFB50" s="1360"/>
      <c r="JFC50" s="1360"/>
      <c r="JFD50" s="1360"/>
      <c r="JFE50" s="1360"/>
      <c r="JFF50" s="1360"/>
      <c r="JFG50" s="1360"/>
      <c r="JFH50" s="1360"/>
      <c r="JFI50" s="1360"/>
      <c r="JFJ50" s="1360"/>
      <c r="JFK50" s="1360"/>
      <c r="JFL50" s="1360"/>
      <c r="JFM50" s="1360"/>
      <c r="JFN50" s="1360"/>
      <c r="JFO50" s="1360"/>
      <c r="JFP50" s="1360"/>
      <c r="JFQ50" s="1360"/>
      <c r="JFR50" s="1360"/>
      <c r="JFS50" s="1360"/>
      <c r="JFT50" s="1360"/>
      <c r="JFU50" s="1360"/>
      <c r="JFV50" s="1360"/>
      <c r="JFW50" s="1360"/>
      <c r="JFX50" s="1360"/>
      <c r="JFY50" s="1360"/>
      <c r="JFZ50" s="1360"/>
      <c r="JGA50" s="1360"/>
      <c r="JGB50" s="1360"/>
      <c r="JGC50" s="1360"/>
      <c r="JGD50" s="1360"/>
      <c r="JGE50" s="1360"/>
      <c r="JGF50" s="1360"/>
      <c r="JGG50" s="1360"/>
      <c r="JGH50" s="1360"/>
      <c r="JGI50" s="1360"/>
      <c r="JGJ50" s="1360"/>
      <c r="JGK50" s="1360"/>
      <c r="JGL50" s="1360"/>
      <c r="JGM50" s="1360"/>
      <c r="JGN50" s="1360"/>
      <c r="JGO50" s="1360"/>
      <c r="JGP50" s="1360"/>
      <c r="JGQ50" s="1360"/>
      <c r="JGR50" s="1360"/>
      <c r="JGS50" s="1360"/>
      <c r="JGT50" s="1360"/>
      <c r="JGU50" s="1360"/>
      <c r="JGV50" s="1360"/>
      <c r="JGW50" s="1360"/>
      <c r="JGX50" s="1360"/>
      <c r="JGY50" s="1360"/>
      <c r="JGZ50" s="1360"/>
      <c r="JHA50" s="1360"/>
      <c r="JHB50" s="1360"/>
      <c r="JHC50" s="1360"/>
      <c r="JHD50" s="1360"/>
      <c r="JHE50" s="1360"/>
      <c r="JHF50" s="1360"/>
      <c r="JHG50" s="1360"/>
      <c r="JHH50" s="1360"/>
      <c r="JHI50" s="1360"/>
      <c r="JHJ50" s="1360"/>
      <c r="JHK50" s="1360"/>
      <c r="JHL50" s="1360"/>
      <c r="JHM50" s="1360"/>
      <c r="JHN50" s="1360"/>
      <c r="JHO50" s="1360"/>
      <c r="JHP50" s="1360"/>
      <c r="JHQ50" s="1360"/>
      <c r="JHR50" s="1360"/>
      <c r="JHS50" s="1360"/>
      <c r="JHT50" s="1360"/>
      <c r="JHU50" s="1360"/>
      <c r="JHV50" s="1360"/>
      <c r="JHW50" s="1360"/>
      <c r="JHX50" s="1360"/>
      <c r="JHY50" s="1360"/>
      <c r="JHZ50" s="1360"/>
      <c r="JIA50" s="1360"/>
      <c r="JIB50" s="1360"/>
      <c r="JIC50" s="1360"/>
      <c r="JID50" s="1360"/>
      <c r="JIE50" s="1360"/>
      <c r="JIF50" s="1360"/>
      <c r="JIG50" s="1360"/>
      <c r="JIH50" s="1360"/>
      <c r="JII50" s="1360"/>
      <c r="JIJ50" s="1360"/>
      <c r="JIK50" s="1360"/>
      <c r="JIL50" s="1360"/>
      <c r="JIM50" s="1360"/>
      <c r="JIN50" s="1360"/>
      <c r="JIO50" s="1360"/>
      <c r="JIP50" s="1360"/>
      <c r="JIQ50" s="1360"/>
      <c r="JIR50" s="1360"/>
      <c r="JIS50" s="1360"/>
      <c r="JIT50" s="1360"/>
      <c r="JIU50" s="1360"/>
      <c r="JIV50" s="1360"/>
      <c r="JIW50" s="1360"/>
      <c r="JIX50" s="1360"/>
      <c r="JIY50" s="1360"/>
      <c r="JIZ50" s="1360"/>
      <c r="JJA50" s="1360"/>
      <c r="JJB50" s="1360"/>
      <c r="JJC50" s="1360"/>
      <c r="JJD50" s="1360"/>
      <c r="JJE50" s="1360"/>
      <c r="JJF50" s="1360"/>
      <c r="JJG50" s="1360"/>
      <c r="JJH50" s="1360"/>
      <c r="JJI50" s="1360"/>
      <c r="JJJ50" s="1360"/>
      <c r="JJK50" s="1360"/>
      <c r="JJL50" s="1360"/>
      <c r="JJM50" s="1360"/>
      <c r="JJN50" s="1360"/>
      <c r="JJO50" s="1360"/>
      <c r="JJP50" s="1360"/>
      <c r="JJQ50" s="1360"/>
      <c r="JJR50" s="1360"/>
      <c r="JJS50" s="1360"/>
      <c r="JJT50" s="1360"/>
      <c r="JJU50" s="1360"/>
      <c r="JJV50" s="1360"/>
      <c r="JJW50" s="1360"/>
      <c r="JJX50" s="1360"/>
      <c r="JJY50" s="1360"/>
      <c r="JJZ50" s="1360"/>
      <c r="JKA50" s="1360"/>
      <c r="JKB50" s="1360"/>
      <c r="JKC50" s="1360"/>
      <c r="JKD50" s="1360"/>
      <c r="JKE50" s="1360"/>
      <c r="JKF50" s="1360"/>
      <c r="JKG50" s="1360"/>
      <c r="JKH50" s="1360"/>
      <c r="JKI50" s="1360"/>
      <c r="JKJ50" s="1360"/>
      <c r="JKK50" s="1360"/>
      <c r="JKL50" s="1360"/>
      <c r="JKM50" s="1360"/>
      <c r="JKN50" s="1360"/>
      <c r="JKO50" s="1360"/>
      <c r="JKP50" s="1360"/>
      <c r="JKQ50" s="1360"/>
      <c r="JKR50" s="1360"/>
      <c r="JKS50" s="1360"/>
      <c r="JKT50" s="1360"/>
      <c r="JKU50" s="1360"/>
      <c r="JKV50" s="1360"/>
      <c r="JKW50" s="1360"/>
      <c r="JKX50" s="1360"/>
      <c r="JKY50" s="1360"/>
      <c r="JKZ50" s="1360"/>
      <c r="JLA50" s="1360"/>
      <c r="JLB50" s="1360"/>
      <c r="JLC50" s="1360"/>
      <c r="JLD50" s="1360"/>
      <c r="JLE50" s="1360"/>
      <c r="JLF50" s="1360"/>
      <c r="JLG50" s="1360"/>
      <c r="JLH50" s="1360"/>
      <c r="JLI50" s="1360"/>
      <c r="JLJ50" s="1360"/>
      <c r="JLK50" s="1360"/>
      <c r="JLL50" s="1360"/>
      <c r="JLM50" s="1360"/>
      <c r="JLN50" s="1360"/>
      <c r="JLO50" s="1360"/>
      <c r="JLP50" s="1360"/>
      <c r="JLQ50" s="1360"/>
      <c r="JLR50" s="1360"/>
      <c r="JLS50" s="1360"/>
      <c r="JLT50" s="1360"/>
      <c r="JLU50" s="1360"/>
      <c r="JLV50" s="1360"/>
      <c r="JLW50" s="1360"/>
      <c r="JLX50" s="1360"/>
      <c r="JLY50" s="1360"/>
      <c r="JLZ50" s="1360"/>
      <c r="JMA50" s="1360"/>
      <c r="JMB50" s="1360"/>
      <c r="JMC50" s="1360"/>
      <c r="JMD50" s="1360"/>
      <c r="JME50" s="1360"/>
      <c r="JMF50" s="1360"/>
      <c r="JMG50" s="1360"/>
      <c r="JMH50" s="1360"/>
      <c r="JMI50" s="1360"/>
      <c r="JMJ50" s="1360"/>
      <c r="JMK50" s="1360"/>
      <c r="JML50" s="1360"/>
      <c r="JMM50" s="1360"/>
      <c r="JMN50" s="1360"/>
      <c r="JMO50" s="1360"/>
      <c r="JMP50" s="1360"/>
      <c r="JMQ50" s="1360"/>
      <c r="JMR50" s="1360"/>
      <c r="JMS50" s="1360"/>
      <c r="JMT50" s="1360"/>
      <c r="JMU50" s="1360"/>
      <c r="JMV50" s="1360"/>
      <c r="JMW50" s="1360"/>
      <c r="JMX50" s="1360"/>
      <c r="JMY50" s="1360"/>
      <c r="JMZ50" s="1360"/>
      <c r="JNA50" s="1360"/>
      <c r="JNB50" s="1360"/>
      <c r="JNC50" s="1360"/>
      <c r="JND50" s="1360"/>
      <c r="JNE50" s="1360"/>
      <c r="JNF50" s="1360"/>
      <c r="JNG50" s="1360"/>
      <c r="JNH50" s="1360"/>
      <c r="JNI50" s="1360"/>
      <c r="JNJ50" s="1360"/>
      <c r="JNK50" s="1360"/>
      <c r="JNL50" s="1360"/>
      <c r="JNM50" s="1360"/>
      <c r="JNN50" s="1360"/>
      <c r="JNO50" s="1360"/>
      <c r="JNP50" s="1360"/>
      <c r="JNQ50" s="1360"/>
      <c r="JNR50" s="1360"/>
      <c r="JNS50" s="1360"/>
      <c r="JNT50" s="1360"/>
      <c r="JNU50" s="1360"/>
      <c r="JNV50" s="1360"/>
      <c r="JNW50" s="1360"/>
      <c r="JNX50" s="1360"/>
      <c r="JNY50" s="1360"/>
      <c r="JNZ50" s="1360"/>
      <c r="JOA50" s="1360"/>
      <c r="JOB50" s="1360"/>
      <c r="JOC50" s="1360"/>
      <c r="JOD50" s="1360"/>
      <c r="JOE50" s="1360"/>
      <c r="JOF50" s="1360"/>
      <c r="JOG50" s="1360"/>
      <c r="JOH50" s="1360"/>
      <c r="JOI50" s="1360"/>
      <c r="JOJ50" s="1360"/>
      <c r="JOK50" s="1360"/>
      <c r="JOL50" s="1360"/>
      <c r="JOM50" s="1360"/>
      <c r="JON50" s="1360"/>
      <c r="JOO50" s="1360"/>
      <c r="JOP50" s="1360"/>
      <c r="JOQ50" s="1360"/>
      <c r="JOR50" s="1360"/>
      <c r="JOS50" s="1360"/>
      <c r="JOT50" s="1360"/>
      <c r="JOU50" s="1360"/>
      <c r="JOV50" s="1360"/>
      <c r="JOW50" s="1360"/>
      <c r="JOX50" s="1360"/>
      <c r="JOY50" s="1360"/>
      <c r="JOZ50" s="1360"/>
      <c r="JPA50" s="1360"/>
      <c r="JPB50" s="1360"/>
      <c r="JPC50" s="1360"/>
      <c r="JPD50" s="1360"/>
      <c r="JPE50" s="1360"/>
      <c r="JPF50" s="1360"/>
      <c r="JPG50" s="1360"/>
      <c r="JPH50" s="1360"/>
      <c r="JPI50" s="1360"/>
      <c r="JPJ50" s="1360"/>
      <c r="JPK50" s="1360"/>
      <c r="JPL50" s="1360"/>
      <c r="JPM50" s="1360"/>
      <c r="JPN50" s="1360"/>
      <c r="JPO50" s="1360"/>
      <c r="JPP50" s="1360"/>
      <c r="JPQ50" s="1360"/>
      <c r="JPR50" s="1360"/>
      <c r="JPS50" s="1360"/>
      <c r="JPT50" s="1360"/>
      <c r="JPU50" s="1360"/>
      <c r="JPV50" s="1360"/>
      <c r="JPW50" s="1360"/>
      <c r="JPX50" s="1360"/>
      <c r="JPY50" s="1360"/>
      <c r="JPZ50" s="1360"/>
      <c r="JQA50" s="1360"/>
      <c r="JQB50" s="1360"/>
      <c r="JQC50" s="1360"/>
      <c r="JQD50" s="1360"/>
      <c r="JQE50" s="1360"/>
      <c r="JQF50" s="1360"/>
      <c r="JQG50" s="1360"/>
      <c r="JQH50" s="1360"/>
      <c r="JQI50" s="1360"/>
      <c r="JQJ50" s="1360"/>
      <c r="JQK50" s="1360"/>
      <c r="JQL50" s="1360"/>
      <c r="JQM50" s="1360"/>
      <c r="JQN50" s="1360"/>
      <c r="JQO50" s="1360"/>
      <c r="JQP50" s="1360"/>
      <c r="JQQ50" s="1360"/>
      <c r="JQR50" s="1360"/>
      <c r="JQS50" s="1360"/>
      <c r="JQT50" s="1360"/>
      <c r="JQU50" s="1360"/>
      <c r="JQV50" s="1360"/>
      <c r="JQW50" s="1360"/>
      <c r="JQX50" s="1360"/>
      <c r="JQY50" s="1360"/>
      <c r="JQZ50" s="1360"/>
      <c r="JRA50" s="1360"/>
      <c r="JRB50" s="1360"/>
      <c r="JRC50" s="1360"/>
      <c r="JRD50" s="1360"/>
      <c r="JRE50" s="1360"/>
      <c r="JRF50" s="1360"/>
      <c r="JRG50" s="1360"/>
      <c r="JRH50" s="1360"/>
      <c r="JRI50" s="1360"/>
      <c r="JRJ50" s="1360"/>
      <c r="JRK50" s="1360"/>
      <c r="JRL50" s="1360"/>
      <c r="JRM50" s="1360"/>
      <c r="JRN50" s="1360"/>
      <c r="JRO50" s="1360"/>
      <c r="JRP50" s="1360"/>
      <c r="JRQ50" s="1360"/>
      <c r="JRR50" s="1360"/>
      <c r="JRS50" s="1360"/>
      <c r="JRT50" s="1360"/>
      <c r="JRU50" s="1360"/>
      <c r="JRV50" s="1360"/>
      <c r="JRW50" s="1360"/>
      <c r="JRX50" s="1360"/>
      <c r="JRY50" s="1360"/>
      <c r="JRZ50" s="1360"/>
      <c r="JSA50" s="1360"/>
      <c r="JSB50" s="1360"/>
      <c r="JSC50" s="1360"/>
      <c r="JSD50" s="1360"/>
      <c r="JSE50" s="1360"/>
      <c r="JSF50" s="1360"/>
      <c r="JSG50" s="1360"/>
      <c r="JSH50" s="1360"/>
      <c r="JSI50" s="1360"/>
      <c r="JSJ50" s="1360"/>
      <c r="JSK50" s="1360"/>
      <c r="JSL50" s="1360"/>
      <c r="JSM50" s="1360"/>
      <c r="JSN50" s="1360"/>
      <c r="JSO50" s="1360"/>
      <c r="JSP50" s="1360"/>
      <c r="JSQ50" s="1360"/>
      <c r="JSR50" s="1360"/>
      <c r="JSS50" s="1360"/>
      <c r="JST50" s="1360"/>
      <c r="JSU50" s="1360"/>
      <c r="JSV50" s="1360"/>
      <c r="JSW50" s="1360"/>
      <c r="JSX50" s="1360"/>
      <c r="JSY50" s="1360"/>
      <c r="JSZ50" s="1360"/>
      <c r="JTA50" s="1360"/>
      <c r="JTB50" s="1360"/>
      <c r="JTC50" s="1360"/>
      <c r="JTD50" s="1360"/>
      <c r="JTE50" s="1360"/>
      <c r="JTF50" s="1360"/>
      <c r="JTG50" s="1360"/>
      <c r="JTH50" s="1360"/>
      <c r="JTI50" s="1360"/>
      <c r="JTJ50" s="1360"/>
      <c r="JTK50" s="1360"/>
      <c r="JTL50" s="1360"/>
      <c r="JTM50" s="1360"/>
      <c r="JTN50" s="1360"/>
      <c r="JTO50" s="1360"/>
      <c r="JTP50" s="1360"/>
      <c r="JTQ50" s="1360"/>
      <c r="JTR50" s="1360"/>
      <c r="JTS50" s="1360"/>
      <c r="JTT50" s="1360"/>
      <c r="JTU50" s="1360"/>
      <c r="JTV50" s="1360"/>
      <c r="JTW50" s="1360"/>
      <c r="JTX50" s="1360"/>
      <c r="JTY50" s="1360"/>
      <c r="JTZ50" s="1360"/>
      <c r="JUA50" s="1360"/>
      <c r="JUB50" s="1360"/>
      <c r="JUC50" s="1360"/>
      <c r="JUD50" s="1360"/>
      <c r="JUE50" s="1360"/>
      <c r="JUF50" s="1360"/>
      <c r="JUG50" s="1360"/>
      <c r="JUH50" s="1360"/>
      <c r="JUI50" s="1360"/>
      <c r="JUJ50" s="1360"/>
      <c r="JUK50" s="1360"/>
      <c r="JUL50" s="1360"/>
      <c r="JUM50" s="1360"/>
      <c r="JUN50" s="1360"/>
      <c r="JUO50" s="1360"/>
      <c r="JUP50" s="1360"/>
      <c r="JUQ50" s="1360"/>
      <c r="JUR50" s="1360"/>
      <c r="JUS50" s="1360"/>
      <c r="JUT50" s="1360"/>
      <c r="JUU50" s="1360"/>
      <c r="JUV50" s="1360"/>
      <c r="JUW50" s="1360"/>
      <c r="JUX50" s="1360"/>
      <c r="JUY50" s="1360"/>
      <c r="JUZ50" s="1360"/>
      <c r="JVA50" s="1360"/>
      <c r="JVB50" s="1360"/>
      <c r="JVC50" s="1360"/>
      <c r="JVD50" s="1360"/>
      <c r="JVE50" s="1360"/>
      <c r="JVF50" s="1360"/>
      <c r="JVG50" s="1360"/>
      <c r="JVH50" s="1360"/>
      <c r="JVI50" s="1360"/>
      <c r="JVJ50" s="1360"/>
      <c r="JVK50" s="1360"/>
      <c r="JVL50" s="1360"/>
      <c r="JVM50" s="1360"/>
      <c r="JVN50" s="1360"/>
      <c r="JVO50" s="1360"/>
      <c r="JVP50" s="1360"/>
      <c r="JVQ50" s="1360"/>
      <c r="JVR50" s="1360"/>
      <c r="JVS50" s="1360"/>
      <c r="JVT50" s="1360"/>
      <c r="JVU50" s="1360"/>
      <c r="JVV50" s="1360"/>
      <c r="JVW50" s="1360"/>
      <c r="JVX50" s="1360"/>
      <c r="JVY50" s="1360"/>
      <c r="JVZ50" s="1360"/>
      <c r="JWA50" s="1360"/>
      <c r="JWB50" s="1360"/>
      <c r="JWC50" s="1360"/>
      <c r="JWD50" s="1360"/>
      <c r="JWE50" s="1360"/>
      <c r="JWF50" s="1360"/>
      <c r="JWG50" s="1360"/>
      <c r="JWH50" s="1360"/>
      <c r="JWI50" s="1360"/>
      <c r="JWJ50" s="1360"/>
      <c r="JWK50" s="1360"/>
      <c r="JWL50" s="1360"/>
      <c r="JWM50" s="1360"/>
      <c r="JWN50" s="1360"/>
      <c r="JWO50" s="1360"/>
      <c r="JWP50" s="1360"/>
      <c r="JWQ50" s="1360"/>
      <c r="JWR50" s="1360"/>
      <c r="JWS50" s="1360"/>
      <c r="JWT50" s="1360"/>
      <c r="JWU50" s="1360"/>
      <c r="JWV50" s="1360"/>
      <c r="JWW50" s="1360"/>
      <c r="JWX50" s="1360"/>
      <c r="JWY50" s="1360"/>
      <c r="JWZ50" s="1360"/>
      <c r="JXA50" s="1360"/>
      <c r="JXB50" s="1360"/>
      <c r="JXC50" s="1360"/>
      <c r="JXD50" s="1360"/>
      <c r="JXE50" s="1360"/>
      <c r="JXF50" s="1360"/>
      <c r="JXG50" s="1360"/>
      <c r="JXH50" s="1360"/>
      <c r="JXI50" s="1360"/>
      <c r="JXJ50" s="1360"/>
      <c r="JXK50" s="1360"/>
      <c r="JXL50" s="1360"/>
      <c r="JXM50" s="1360"/>
      <c r="JXN50" s="1360"/>
      <c r="JXO50" s="1360"/>
      <c r="JXP50" s="1360"/>
      <c r="JXQ50" s="1360"/>
      <c r="JXR50" s="1360"/>
      <c r="JXS50" s="1360"/>
      <c r="JXT50" s="1360"/>
      <c r="JXU50" s="1360"/>
      <c r="JXV50" s="1360"/>
      <c r="JXW50" s="1360"/>
      <c r="JXX50" s="1360"/>
      <c r="JXY50" s="1360"/>
      <c r="JXZ50" s="1360"/>
      <c r="JYA50" s="1360"/>
      <c r="JYB50" s="1360"/>
      <c r="JYC50" s="1360"/>
      <c r="JYD50" s="1360"/>
      <c r="JYE50" s="1360"/>
      <c r="JYF50" s="1360"/>
      <c r="JYG50" s="1360"/>
      <c r="JYH50" s="1360"/>
      <c r="JYI50" s="1360"/>
      <c r="JYJ50" s="1360"/>
      <c r="JYK50" s="1360"/>
      <c r="JYL50" s="1360"/>
      <c r="JYM50" s="1360"/>
      <c r="JYN50" s="1360"/>
      <c r="JYO50" s="1360"/>
      <c r="JYP50" s="1360"/>
      <c r="JYQ50" s="1360"/>
      <c r="JYR50" s="1360"/>
      <c r="JYS50" s="1360"/>
      <c r="JYT50" s="1360"/>
      <c r="JYU50" s="1360"/>
      <c r="JYV50" s="1360"/>
      <c r="JYW50" s="1360"/>
      <c r="JYX50" s="1360"/>
      <c r="JYY50" s="1360"/>
      <c r="JYZ50" s="1360"/>
      <c r="JZA50" s="1360"/>
      <c r="JZB50" s="1360"/>
      <c r="JZC50" s="1360"/>
      <c r="JZD50" s="1360"/>
      <c r="JZE50" s="1360"/>
      <c r="JZF50" s="1360"/>
      <c r="JZG50" s="1360"/>
      <c r="JZH50" s="1360"/>
      <c r="JZI50" s="1360"/>
      <c r="JZJ50" s="1360"/>
      <c r="JZK50" s="1360"/>
      <c r="JZL50" s="1360"/>
      <c r="JZM50" s="1360"/>
      <c r="JZN50" s="1360"/>
      <c r="JZO50" s="1360"/>
      <c r="JZP50" s="1360"/>
      <c r="JZQ50" s="1360"/>
      <c r="JZR50" s="1360"/>
      <c r="JZS50" s="1360"/>
      <c r="JZT50" s="1360"/>
      <c r="JZU50" s="1360"/>
      <c r="JZV50" s="1360"/>
      <c r="JZW50" s="1360"/>
      <c r="JZX50" s="1360"/>
      <c r="JZY50" s="1360"/>
      <c r="JZZ50" s="1360"/>
      <c r="KAA50" s="1360"/>
      <c r="KAB50" s="1360"/>
      <c r="KAC50" s="1360"/>
      <c r="KAD50" s="1360"/>
      <c r="KAE50" s="1360"/>
      <c r="KAF50" s="1360"/>
      <c r="KAG50" s="1360"/>
      <c r="KAH50" s="1360"/>
      <c r="KAI50" s="1360"/>
      <c r="KAJ50" s="1360"/>
      <c r="KAK50" s="1360"/>
      <c r="KAL50" s="1360"/>
      <c r="KAM50" s="1360"/>
      <c r="KAN50" s="1360"/>
      <c r="KAO50" s="1360"/>
      <c r="KAP50" s="1360"/>
      <c r="KAQ50" s="1360"/>
      <c r="KAR50" s="1360"/>
      <c r="KAS50" s="1360"/>
      <c r="KAT50" s="1360"/>
      <c r="KAU50" s="1360"/>
      <c r="KAV50" s="1360"/>
      <c r="KAW50" s="1360"/>
      <c r="KAX50" s="1360"/>
      <c r="KAY50" s="1360"/>
      <c r="KAZ50" s="1360"/>
      <c r="KBA50" s="1360"/>
      <c r="KBB50" s="1360"/>
      <c r="KBC50" s="1360"/>
      <c r="KBD50" s="1360"/>
      <c r="KBE50" s="1360"/>
      <c r="KBF50" s="1360"/>
      <c r="KBG50" s="1360"/>
      <c r="KBH50" s="1360"/>
      <c r="KBI50" s="1360"/>
      <c r="KBJ50" s="1360"/>
      <c r="KBK50" s="1360"/>
      <c r="KBL50" s="1360"/>
      <c r="KBM50" s="1360"/>
      <c r="KBN50" s="1360"/>
      <c r="KBO50" s="1360"/>
      <c r="KBP50" s="1360"/>
      <c r="KBQ50" s="1360"/>
      <c r="KBR50" s="1360"/>
      <c r="KBS50" s="1360"/>
      <c r="KBT50" s="1360"/>
      <c r="KBU50" s="1360"/>
      <c r="KBV50" s="1360"/>
      <c r="KBW50" s="1360"/>
      <c r="KBX50" s="1360"/>
      <c r="KBY50" s="1360"/>
      <c r="KBZ50" s="1360"/>
      <c r="KCA50" s="1360"/>
      <c r="KCB50" s="1360"/>
      <c r="KCC50" s="1360"/>
      <c r="KCD50" s="1360"/>
      <c r="KCE50" s="1360"/>
      <c r="KCF50" s="1360"/>
      <c r="KCG50" s="1360"/>
      <c r="KCH50" s="1360"/>
      <c r="KCI50" s="1360"/>
      <c r="KCJ50" s="1360"/>
      <c r="KCK50" s="1360"/>
      <c r="KCL50" s="1360"/>
      <c r="KCM50" s="1360"/>
      <c r="KCN50" s="1360"/>
      <c r="KCO50" s="1360"/>
      <c r="KCP50" s="1360"/>
      <c r="KCQ50" s="1360"/>
      <c r="KCR50" s="1360"/>
      <c r="KCS50" s="1360"/>
      <c r="KCT50" s="1360"/>
      <c r="KCU50" s="1360"/>
      <c r="KCV50" s="1360"/>
      <c r="KCW50" s="1360"/>
      <c r="KCX50" s="1360"/>
      <c r="KCY50" s="1360"/>
      <c r="KCZ50" s="1360"/>
      <c r="KDA50" s="1360"/>
      <c r="KDB50" s="1360"/>
      <c r="KDC50" s="1360"/>
      <c r="KDD50" s="1360"/>
      <c r="KDE50" s="1360"/>
      <c r="KDF50" s="1360"/>
      <c r="KDG50" s="1360"/>
      <c r="KDH50" s="1360"/>
      <c r="KDI50" s="1360"/>
      <c r="KDJ50" s="1360"/>
      <c r="KDK50" s="1360"/>
      <c r="KDL50" s="1360"/>
      <c r="KDM50" s="1360"/>
      <c r="KDN50" s="1360"/>
      <c r="KDO50" s="1360"/>
      <c r="KDP50" s="1360"/>
      <c r="KDQ50" s="1360"/>
      <c r="KDR50" s="1360"/>
      <c r="KDS50" s="1360"/>
      <c r="KDT50" s="1360"/>
      <c r="KDU50" s="1360"/>
      <c r="KDV50" s="1360"/>
      <c r="KDW50" s="1360"/>
      <c r="KDX50" s="1360"/>
      <c r="KDY50" s="1360"/>
      <c r="KDZ50" s="1360"/>
      <c r="KEA50" s="1360"/>
      <c r="KEB50" s="1360"/>
      <c r="KEC50" s="1360"/>
      <c r="KED50" s="1360"/>
      <c r="KEE50" s="1360"/>
      <c r="KEF50" s="1360"/>
      <c r="KEG50" s="1360"/>
      <c r="KEH50" s="1360"/>
      <c r="KEI50" s="1360"/>
      <c r="KEJ50" s="1360"/>
      <c r="KEK50" s="1360"/>
      <c r="KEL50" s="1360"/>
      <c r="KEM50" s="1360"/>
      <c r="KEN50" s="1360"/>
      <c r="KEO50" s="1360"/>
      <c r="KEP50" s="1360"/>
      <c r="KEQ50" s="1360"/>
      <c r="KER50" s="1360"/>
      <c r="KES50" s="1360"/>
      <c r="KET50" s="1360"/>
      <c r="KEU50" s="1360"/>
      <c r="KEV50" s="1360"/>
      <c r="KEW50" s="1360"/>
      <c r="KEX50" s="1360"/>
      <c r="KEY50" s="1360"/>
      <c r="KEZ50" s="1360"/>
      <c r="KFA50" s="1360"/>
      <c r="KFB50" s="1360"/>
      <c r="KFC50" s="1360"/>
      <c r="KFD50" s="1360"/>
      <c r="KFE50" s="1360"/>
      <c r="KFF50" s="1360"/>
      <c r="KFG50" s="1360"/>
      <c r="KFH50" s="1360"/>
      <c r="KFI50" s="1360"/>
      <c r="KFJ50" s="1360"/>
      <c r="KFK50" s="1360"/>
      <c r="KFL50" s="1360"/>
      <c r="KFM50" s="1360"/>
      <c r="KFN50" s="1360"/>
      <c r="KFO50" s="1360"/>
      <c r="KFP50" s="1360"/>
      <c r="KFQ50" s="1360"/>
      <c r="KFR50" s="1360"/>
      <c r="KFS50" s="1360"/>
      <c r="KFT50" s="1360"/>
      <c r="KFU50" s="1360"/>
      <c r="KFV50" s="1360"/>
      <c r="KFW50" s="1360"/>
      <c r="KFX50" s="1360"/>
      <c r="KFY50" s="1360"/>
      <c r="KFZ50" s="1360"/>
      <c r="KGA50" s="1360"/>
      <c r="KGB50" s="1360"/>
      <c r="KGC50" s="1360"/>
      <c r="KGD50" s="1360"/>
      <c r="KGE50" s="1360"/>
      <c r="KGF50" s="1360"/>
      <c r="KGG50" s="1360"/>
      <c r="KGH50" s="1360"/>
      <c r="KGI50" s="1360"/>
      <c r="KGJ50" s="1360"/>
      <c r="KGK50" s="1360"/>
      <c r="KGL50" s="1360"/>
      <c r="KGM50" s="1360"/>
      <c r="KGN50" s="1360"/>
      <c r="KGO50" s="1360"/>
      <c r="KGP50" s="1360"/>
      <c r="KGQ50" s="1360"/>
      <c r="KGR50" s="1360"/>
      <c r="KGS50" s="1360"/>
      <c r="KGT50" s="1360"/>
      <c r="KGU50" s="1360"/>
      <c r="KGV50" s="1360"/>
      <c r="KGW50" s="1360"/>
      <c r="KGX50" s="1360"/>
      <c r="KGY50" s="1360"/>
      <c r="KGZ50" s="1360"/>
      <c r="KHA50" s="1360"/>
      <c r="KHB50" s="1360"/>
      <c r="KHC50" s="1360"/>
      <c r="KHD50" s="1360"/>
      <c r="KHE50" s="1360"/>
      <c r="KHF50" s="1360"/>
      <c r="KHG50" s="1360"/>
      <c r="KHH50" s="1360"/>
      <c r="KHI50" s="1360"/>
      <c r="KHJ50" s="1360"/>
      <c r="KHK50" s="1360"/>
      <c r="KHL50" s="1360"/>
      <c r="KHM50" s="1360"/>
      <c r="KHN50" s="1360"/>
      <c r="KHO50" s="1360"/>
      <c r="KHP50" s="1360"/>
      <c r="KHQ50" s="1360"/>
      <c r="KHR50" s="1360"/>
      <c r="KHS50" s="1360"/>
      <c r="KHT50" s="1360"/>
      <c r="KHU50" s="1360"/>
      <c r="KHV50" s="1360"/>
      <c r="KHW50" s="1360"/>
      <c r="KHX50" s="1360"/>
      <c r="KHY50" s="1360"/>
      <c r="KHZ50" s="1360"/>
      <c r="KIA50" s="1360"/>
      <c r="KIB50" s="1360"/>
      <c r="KIC50" s="1360"/>
      <c r="KID50" s="1360"/>
      <c r="KIE50" s="1360"/>
      <c r="KIF50" s="1360"/>
      <c r="KIG50" s="1360"/>
      <c r="KIH50" s="1360"/>
      <c r="KII50" s="1360"/>
      <c r="KIJ50" s="1360"/>
      <c r="KIK50" s="1360"/>
      <c r="KIL50" s="1360"/>
      <c r="KIM50" s="1360"/>
      <c r="KIN50" s="1360"/>
      <c r="KIO50" s="1360"/>
      <c r="KIP50" s="1360"/>
      <c r="KIQ50" s="1360"/>
      <c r="KIR50" s="1360"/>
      <c r="KIS50" s="1360"/>
      <c r="KIT50" s="1360"/>
      <c r="KIU50" s="1360"/>
      <c r="KIV50" s="1360"/>
      <c r="KIW50" s="1360"/>
      <c r="KIX50" s="1360"/>
      <c r="KIY50" s="1360"/>
      <c r="KIZ50" s="1360"/>
      <c r="KJA50" s="1360"/>
      <c r="KJB50" s="1360"/>
      <c r="KJC50" s="1360"/>
      <c r="KJD50" s="1360"/>
      <c r="KJE50" s="1360"/>
      <c r="KJF50" s="1360"/>
      <c r="KJG50" s="1360"/>
      <c r="KJH50" s="1360"/>
      <c r="KJI50" s="1360"/>
      <c r="KJJ50" s="1360"/>
      <c r="KJK50" s="1360"/>
      <c r="KJL50" s="1360"/>
      <c r="KJM50" s="1360"/>
      <c r="KJN50" s="1360"/>
      <c r="KJO50" s="1360"/>
      <c r="KJP50" s="1360"/>
      <c r="KJQ50" s="1360"/>
      <c r="KJR50" s="1360"/>
      <c r="KJS50" s="1360"/>
      <c r="KJT50" s="1360"/>
      <c r="KJU50" s="1360"/>
      <c r="KJV50" s="1360"/>
      <c r="KJW50" s="1360"/>
      <c r="KJX50" s="1360"/>
      <c r="KJY50" s="1360"/>
      <c r="KJZ50" s="1360"/>
      <c r="KKA50" s="1360"/>
      <c r="KKB50" s="1360"/>
      <c r="KKC50" s="1360"/>
      <c r="KKD50" s="1360"/>
      <c r="KKE50" s="1360"/>
      <c r="KKF50" s="1360"/>
      <c r="KKG50" s="1360"/>
      <c r="KKH50" s="1360"/>
      <c r="KKI50" s="1360"/>
      <c r="KKJ50" s="1360"/>
      <c r="KKK50" s="1360"/>
      <c r="KKL50" s="1360"/>
      <c r="KKM50" s="1360"/>
      <c r="KKN50" s="1360"/>
      <c r="KKO50" s="1360"/>
      <c r="KKP50" s="1360"/>
      <c r="KKQ50" s="1360"/>
      <c r="KKR50" s="1360"/>
      <c r="KKS50" s="1360"/>
      <c r="KKT50" s="1360"/>
      <c r="KKU50" s="1360"/>
      <c r="KKV50" s="1360"/>
      <c r="KKW50" s="1360"/>
      <c r="KKX50" s="1360"/>
      <c r="KKY50" s="1360"/>
      <c r="KKZ50" s="1360"/>
      <c r="KLA50" s="1360"/>
      <c r="KLB50" s="1360"/>
      <c r="KLC50" s="1360"/>
      <c r="KLD50" s="1360"/>
      <c r="KLE50" s="1360"/>
      <c r="KLF50" s="1360"/>
      <c r="KLG50" s="1360"/>
      <c r="KLH50" s="1360"/>
      <c r="KLI50" s="1360"/>
      <c r="KLJ50" s="1360"/>
      <c r="KLK50" s="1360"/>
      <c r="KLL50" s="1360"/>
      <c r="KLM50" s="1360"/>
      <c r="KLN50" s="1360"/>
      <c r="KLO50" s="1360"/>
      <c r="KLP50" s="1360"/>
      <c r="KLQ50" s="1360"/>
      <c r="KLR50" s="1360"/>
      <c r="KLS50" s="1360"/>
      <c r="KLT50" s="1360"/>
      <c r="KLU50" s="1360"/>
      <c r="KLV50" s="1360"/>
      <c r="KLW50" s="1360"/>
      <c r="KLX50" s="1360"/>
      <c r="KLY50" s="1360"/>
      <c r="KLZ50" s="1360"/>
      <c r="KMA50" s="1360"/>
      <c r="KMB50" s="1360"/>
      <c r="KMC50" s="1360"/>
      <c r="KMD50" s="1360"/>
      <c r="KME50" s="1360"/>
      <c r="KMF50" s="1360"/>
      <c r="KMG50" s="1360"/>
      <c r="KMH50" s="1360"/>
      <c r="KMI50" s="1360"/>
      <c r="KMJ50" s="1360"/>
      <c r="KMK50" s="1360"/>
      <c r="KML50" s="1360"/>
      <c r="KMM50" s="1360"/>
      <c r="KMN50" s="1360"/>
      <c r="KMO50" s="1360"/>
      <c r="KMP50" s="1360"/>
      <c r="KMQ50" s="1360"/>
      <c r="KMR50" s="1360"/>
      <c r="KMS50" s="1360"/>
      <c r="KMT50" s="1360"/>
      <c r="KMU50" s="1360"/>
      <c r="KMV50" s="1360"/>
      <c r="KMW50" s="1360"/>
      <c r="KMX50" s="1360"/>
      <c r="KMY50" s="1360"/>
      <c r="KMZ50" s="1360"/>
      <c r="KNA50" s="1360"/>
      <c r="KNB50" s="1360"/>
      <c r="KNC50" s="1360"/>
      <c r="KND50" s="1360"/>
      <c r="KNE50" s="1360"/>
      <c r="KNF50" s="1360"/>
      <c r="KNG50" s="1360"/>
      <c r="KNH50" s="1360"/>
      <c r="KNI50" s="1360"/>
      <c r="KNJ50" s="1360"/>
      <c r="KNK50" s="1360"/>
      <c r="KNL50" s="1360"/>
      <c r="KNM50" s="1360"/>
      <c r="KNN50" s="1360"/>
      <c r="KNO50" s="1360"/>
      <c r="KNP50" s="1360"/>
      <c r="KNQ50" s="1360"/>
      <c r="KNR50" s="1360"/>
      <c r="KNS50" s="1360"/>
      <c r="KNT50" s="1360"/>
      <c r="KNU50" s="1360"/>
      <c r="KNV50" s="1360"/>
      <c r="KNW50" s="1360"/>
      <c r="KNX50" s="1360"/>
      <c r="KNY50" s="1360"/>
      <c r="KNZ50" s="1360"/>
      <c r="KOA50" s="1360"/>
      <c r="KOB50" s="1360"/>
      <c r="KOC50" s="1360"/>
      <c r="KOD50" s="1360"/>
      <c r="KOE50" s="1360"/>
      <c r="KOF50" s="1360"/>
      <c r="KOG50" s="1360"/>
      <c r="KOH50" s="1360"/>
      <c r="KOI50" s="1360"/>
      <c r="KOJ50" s="1360"/>
      <c r="KOK50" s="1360"/>
      <c r="KOL50" s="1360"/>
      <c r="KOM50" s="1360"/>
      <c r="KON50" s="1360"/>
      <c r="KOO50" s="1360"/>
      <c r="KOP50" s="1360"/>
      <c r="KOQ50" s="1360"/>
      <c r="KOR50" s="1360"/>
      <c r="KOS50" s="1360"/>
      <c r="KOT50" s="1360"/>
      <c r="KOU50" s="1360"/>
      <c r="KOV50" s="1360"/>
      <c r="KOW50" s="1360"/>
      <c r="KOX50" s="1360"/>
      <c r="KOY50" s="1360"/>
      <c r="KOZ50" s="1360"/>
      <c r="KPA50" s="1360"/>
      <c r="KPB50" s="1360"/>
      <c r="KPC50" s="1360"/>
      <c r="KPD50" s="1360"/>
      <c r="KPE50" s="1360"/>
      <c r="KPF50" s="1360"/>
      <c r="KPG50" s="1360"/>
      <c r="KPH50" s="1360"/>
      <c r="KPI50" s="1360"/>
      <c r="KPJ50" s="1360"/>
      <c r="KPK50" s="1360"/>
      <c r="KPL50" s="1360"/>
      <c r="KPM50" s="1360"/>
      <c r="KPN50" s="1360"/>
      <c r="KPO50" s="1360"/>
      <c r="KPP50" s="1360"/>
      <c r="KPQ50" s="1360"/>
      <c r="KPR50" s="1360"/>
      <c r="KPS50" s="1360"/>
      <c r="KPT50" s="1360"/>
      <c r="KPU50" s="1360"/>
      <c r="KPV50" s="1360"/>
      <c r="KPW50" s="1360"/>
      <c r="KPX50" s="1360"/>
      <c r="KPY50" s="1360"/>
      <c r="KPZ50" s="1360"/>
      <c r="KQA50" s="1360"/>
      <c r="KQB50" s="1360"/>
      <c r="KQC50" s="1360"/>
      <c r="KQD50" s="1360"/>
      <c r="KQE50" s="1360"/>
      <c r="KQF50" s="1360"/>
      <c r="KQG50" s="1360"/>
      <c r="KQH50" s="1360"/>
      <c r="KQI50" s="1360"/>
      <c r="KQJ50" s="1360"/>
      <c r="KQK50" s="1360"/>
      <c r="KQL50" s="1360"/>
      <c r="KQM50" s="1360"/>
      <c r="KQN50" s="1360"/>
      <c r="KQO50" s="1360"/>
      <c r="KQP50" s="1360"/>
      <c r="KQQ50" s="1360"/>
      <c r="KQR50" s="1360"/>
      <c r="KQS50" s="1360"/>
      <c r="KQT50" s="1360"/>
      <c r="KQU50" s="1360"/>
      <c r="KQV50" s="1360"/>
      <c r="KQW50" s="1360"/>
      <c r="KQX50" s="1360"/>
      <c r="KQY50" s="1360"/>
      <c r="KQZ50" s="1360"/>
      <c r="KRA50" s="1360"/>
      <c r="KRB50" s="1360"/>
      <c r="KRC50" s="1360"/>
      <c r="KRD50" s="1360"/>
      <c r="KRE50" s="1360"/>
      <c r="KRF50" s="1360"/>
      <c r="KRG50" s="1360"/>
      <c r="KRH50" s="1360"/>
      <c r="KRI50" s="1360"/>
      <c r="KRJ50" s="1360"/>
      <c r="KRK50" s="1360"/>
      <c r="KRL50" s="1360"/>
      <c r="KRM50" s="1360"/>
      <c r="KRN50" s="1360"/>
      <c r="KRO50" s="1360"/>
      <c r="KRP50" s="1360"/>
      <c r="KRQ50" s="1360"/>
      <c r="KRR50" s="1360"/>
      <c r="KRS50" s="1360"/>
      <c r="KRT50" s="1360"/>
      <c r="KRU50" s="1360"/>
      <c r="KRV50" s="1360"/>
      <c r="KRW50" s="1360"/>
      <c r="KRX50" s="1360"/>
      <c r="KRY50" s="1360"/>
      <c r="KRZ50" s="1360"/>
      <c r="KSA50" s="1360"/>
      <c r="KSB50" s="1360"/>
      <c r="KSC50" s="1360"/>
      <c r="KSD50" s="1360"/>
      <c r="KSE50" s="1360"/>
      <c r="KSF50" s="1360"/>
      <c r="KSG50" s="1360"/>
      <c r="KSH50" s="1360"/>
      <c r="KSI50" s="1360"/>
      <c r="KSJ50" s="1360"/>
      <c r="KSK50" s="1360"/>
      <c r="KSL50" s="1360"/>
      <c r="KSM50" s="1360"/>
      <c r="KSN50" s="1360"/>
      <c r="KSO50" s="1360"/>
      <c r="KSP50" s="1360"/>
      <c r="KSQ50" s="1360"/>
      <c r="KSR50" s="1360"/>
      <c r="KSS50" s="1360"/>
      <c r="KST50" s="1360"/>
      <c r="KSU50" s="1360"/>
      <c r="KSV50" s="1360"/>
      <c r="KSW50" s="1360"/>
      <c r="KSX50" s="1360"/>
      <c r="KSY50" s="1360"/>
      <c r="KSZ50" s="1360"/>
      <c r="KTA50" s="1360"/>
      <c r="KTB50" s="1360"/>
      <c r="KTC50" s="1360"/>
      <c r="KTD50" s="1360"/>
      <c r="KTE50" s="1360"/>
      <c r="KTF50" s="1360"/>
      <c r="KTG50" s="1360"/>
      <c r="KTH50" s="1360"/>
      <c r="KTI50" s="1360"/>
      <c r="KTJ50" s="1360"/>
      <c r="KTK50" s="1360"/>
      <c r="KTL50" s="1360"/>
      <c r="KTM50" s="1360"/>
      <c r="KTN50" s="1360"/>
      <c r="KTO50" s="1360"/>
      <c r="KTP50" s="1360"/>
      <c r="KTQ50" s="1360"/>
      <c r="KTR50" s="1360"/>
      <c r="KTS50" s="1360"/>
      <c r="KTT50" s="1360"/>
      <c r="KTU50" s="1360"/>
      <c r="KTV50" s="1360"/>
      <c r="KTW50" s="1360"/>
      <c r="KTX50" s="1360"/>
      <c r="KTY50" s="1360"/>
      <c r="KTZ50" s="1360"/>
      <c r="KUA50" s="1360"/>
      <c r="KUB50" s="1360"/>
      <c r="KUC50" s="1360"/>
      <c r="KUD50" s="1360"/>
      <c r="KUE50" s="1360"/>
      <c r="KUF50" s="1360"/>
      <c r="KUG50" s="1360"/>
      <c r="KUH50" s="1360"/>
      <c r="KUI50" s="1360"/>
      <c r="KUJ50" s="1360"/>
      <c r="KUK50" s="1360"/>
      <c r="KUL50" s="1360"/>
      <c r="KUM50" s="1360"/>
      <c r="KUN50" s="1360"/>
      <c r="KUO50" s="1360"/>
      <c r="KUP50" s="1360"/>
      <c r="KUQ50" s="1360"/>
      <c r="KUR50" s="1360"/>
      <c r="KUS50" s="1360"/>
      <c r="KUT50" s="1360"/>
      <c r="KUU50" s="1360"/>
      <c r="KUV50" s="1360"/>
      <c r="KUW50" s="1360"/>
      <c r="KUX50" s="1360"/>
      <c r="KUY50" s="1360"/>
      <c r="KUZ50" s="1360"/>
      <c r="KVA50" s="1360"/>
      <c r="KVB50" s="1360"/>
      <c r="KVC50" s="1360"/>
      <c r="KVD50" s="1360"/>
      <c r="KVE50" s="1360"/>
      <c r="KVF50" s="1360"/>
      <c r="KVG50" s="1360"/>
      <c r="KVH50" s="1360"/>
      <c r="KVI50" s="1360"/>
      <c r="KVJ50" s="1360"/>
      <c r="KVK50" s="1360"/>
      <c r="KVL50" s="1360"/>
      <c r="KVM50" s="1360"/>
      <c r="KVN50" s="1360"/>
      <c r="KVO50" s="1360"/>
      <c r="KVP50" s="1360"/>
      <c r="KVQ50" s="1360"/>
      <c r="KVR50" s="1360"/>
      <c r="KVS50" s="1360"/>
      <c r="KVT50" s="1360"/>
      <c r="KVU50" s="1360"/>
      <c r="KVV50" s="1360"/>
      <c r="KVW50" s="1360"/>
      <c r="KVX50" s="1360"/>
      <c r="KVY50" s="1360"/>
      <c r="KVZ50" s="1360"/>
      <c r="KWA50" s="1360"/>
      <c r="KWB50" s="1360"/>
      <c r="KWC50" s="1360"/>
      <c r="KWD50" s="1360"/>
      <c r="KWE50" s="1360"/>
      <c r="KWF50" s="1360"/>
      <c r="KWG50" s="1360"/>
      <c r="KWH50" s="1360"/>
      <c r="KWI50" s="1360"/>
      <c r="KWJ50" s="1360"/>
      <c r="KWK50" s="1360"/>
      <c r="KWL50" s="1360"/>
      <c r="KWM50" s="1360"/>
      <c r="KWN50" s="1360"/>
      <c r="KWO50" s="1360"/>
      <c r="KWP50" s="1360"/>
      <c r="KWQ50" s="1360"/>
      <c r="KWR50" s="1360"/>
      <c r="KWS50" s="1360"/>
      <c r="KWT50" s="1360"/>
      <c r="KWU50" s="1360"/>
      <c r="KWV50" s="1360"/>
      <c r="KWW50" s="1360"/>
      <c r="KWX50" s="1360"/>
      <c r="KWY50" s="1360"/>
      <c r="KWZ50" s="1360"/>
      <c r="KXA50" s="1360"/>
      <c r="KXB50" s="1360"/>
      <c r="KXC50" s="1360"/>
      <c r="KXD50" s="1360"/>
      <c r="KXE50" s="1360"/>
      <c r="KXF50" s="1360"/>
      <c r="KXG50" s="1360"/>
      <c r="KXH50" s="1360"/>
      <c r="KXI50" s="1360"/>
      <c r="KXJ50" s="1360"/>
      <c r="KXK50" s="1360"/>
      <c r="KXL50" s="1360"/>
      <c r="KXM50" s="1360"/>
      <c r="KXN50" s="1360"/>
      <c r="KXO50" s="1360"/>
      <c r="KXP50" s="1360"/>
      <c r="KXQ50" s="1360"/>
      <c r="KXR50" s="1360"/>
      <c r="KXS50" s="1360"/>
      <c r="KXT50" s="1360"/>
      <c r="KXU50" s="1360"/>
      <c r="KXV50" s="1360"/>
      <c r="KXW50" s="1360"/>
      <c r="KXX50" s="1360"/>
      <c r="KXY50" s="1360"/>
      <c r="KXZ50" s="1360"/>
      <c r="KYA50" s="1360"/>
      <c r="KYB50" s="1360"/>
      <c r="KYC50" s="1360"/>
      <c r="KYD50" s="1360"/>
      <c r="KYE50" s="1360"/>
      <c r="KYF50" s="1360"/>
      <c r="KYG50" s="1360"/>
      <c r="KYH50" s="1360"/>
      <c r="KYI50" s="1360"/>
      <c r="KYJ50" s="1360"/>
      <c r="KYK50" s="1360"/>
      <c r="KYL50" s="1360"/>
      <c r="KYM50" s="1360"/>
      <c r="KYN50" s="1360"/>
      <c r="KYO50" s="1360"/>
      <c r="KYP50" s="1360"/>
      <c r="KYQ50" s="1360"/>
      <c r="KYR50" s="1360"/>
      <c r="KYS50" s="1360"/>
      <c r="KYT50" s="1360"/>
      <c r="KYU50" s="1360"/>
      <c r="KYV50" s="1360"/>
      <c r="KYW50" s="1360"/>
      <c r="KYX50" s="1360"/>
      <c r="KYY50" s="1360"/>
      <c r="KYZ50" s="1360"/>
      <c r="KZA50" s="1360"/>
      <c r="KZB50" s="1360"/>
      <c r="KZC50" s="1360"/>
      <c r="KZD50" s="1360"/>
      <c r="KZE50" s="1360"/>
      <c r="KZF50" s="1360"/>
      <c r="KZG50" s="1360"/>
      <c r="KZH50" s="1360"/>
      <c r="KZI50" s="1360"/>
      <c r="KZJ50" s="1360"/>
      <c r="KZK50" s="1360"/>
      <c r="KZL50" s="1360"/>
      <c r="KZM50" s="1360"/>
      <c r="KZN50" s="1360"/>
      <c r="KZO50" s="1360"/>
      <c r="KZP50" s="1360"/>
      <c r="KZQ50" s="1360"/>
      <c r="KZR50" s="1360"/>
      <c r="KZS50" s="1360"/>
      <c r="KZT50" s="1360"/>
      <c r="KZU50" s="1360"/>
      <c r="KZV50" s="1360"/>
      <c r="KZW50" s="1360"/>
      <c r="KZX50" s="1360"/>
      <c r="KZY50" s="1360"/>
      <c r="KZZ50" s="1360"/>
      <c r="LAA50" s="1360"/>
      <c r="LAB50" s="1360"/>
      <c r="LAC50" s="1360"/>
      <c r="LAD50" s="1360"/>
      <c r="LAE50" s="1360"/>
      <c r="LAF50" s="1360"/>
      <c r="LAG50" s="1360"/>
      <c r="LAH50" s="1360"/>
      <c r="LAI50" s="1360"/>
      <c r="LAJ50" s="1360"/>
      <c r="LAK50" s="1360"/>
      <c r="LAL50" s="1360"/>
      <c r="LAM50" s="1360"/>
      <c r="LAN50" s="1360"/>
      <c r="LAO50" s="1360"/>
      <c r="LAP50" s="1360"/>
      <c r="LAQ50" s="1360"/>
      <c r="LAR50" s="1360"/>
      <c r="LAS50" s="1360"/>
      <c r="LAT50" s="1360"/>
      <c r="LAU50" s="1360"/>
      <c r="LAV50" s="1360"/>
      <c r="LAW50" s="1360"/>
      <c r="LAX50" s="1360"/>
      <c r="LAY50" s="1360"/>
      <c r="LAZ50" s="1360"/>
      <c r="LBA50" s="1360"/>
      <c r="LBB50" s="1360"/>
      <c r="LBC50" s="1360"/>
      <c r="LBD50" s="1360"/>
      <c r="LBE50" s="1360"/>
      <c r="LBF50" s="1360"/>
      <c r="LBG50" s="1360"/>
      <c r="LBH50" s="1360"/>
      <c r="LBI50" s="1360"/>
      <c r="LBJ50" s="1360"/>
      <c r="LBK50" s="1360"/>
      <c r="LBL50" s="1360"/>
      <c r="LBM50" s="1360"/>
      <c r="LBN50" s="1360"/>
      <c r="LBO50" s="1360"/>
      <c r="LBP50" s="1360"/>
      <c r="LBQ50" s="1360"/>
      <c r="LBR50" s="1360"/>
      <c r="LBS50" s="1360"/>
      <c r="LBT50" s="1360"/>
      <c r="LBU50" s="1360"/>
      <c r="LBV50" s="1360"/>
      <c r="LBW50" s="1360"/>
      <c r="LBX50" s="1360"/>
      <c r="LBY50" s="1360"/>
      <c r="LBZ50" s="1360"/>
      <c r="LCA50" s="1360"/>
      <c r="LCB50" s="1360"/>
      <c r="LCC50" s="1360"/>
      <c r="LCD50" s="1360"/>
      <c r="LCE50" s="1360"/>
      <c r="LCF50" s="1360"/>
      <c r="LCG50" s="1360"/>
      <c r="LCH50" s="1360"/>
      <c r="LCI50" s="1360"/>
      <c r="LCJ50" s="1360"/>
      <c r="LCK50" s="1360"/>
      <c r="LCL50" s="1360"/>
      <c r="LCM50" s="1360"/>
      <c r="LCN50" s="1360"/>
      <c r="LCO50" s="1360"/>
      <c r="LCP50" s="1360"/>
      <c r="LCQ50" s="1360"/>
      <c r="LCR50" s="1360"/>
      <c r="LCS50" s="1360"/>
      <c r="LCT50" s="1360"/>
      <c r="LCU50" s="1360"/>
      <c r="LCV50" s="1360"/>
      <c r="LCW50" s="1360"/>
      <c r="LCX50" s="1360"/>
      <c r="LCY50" s="1360"/>
      <c r="LCZ50" s="1360"/>
      <c r="LDA50" s="1360"/>
      <c r="LDB50" s="1360"/>
      <c r="LDC50" s="1360"/>
      <c r="LDD50" s="1360"/>
      <c r="LDE50" s="1360"/>
      <c r="LDF50" s="1360"/>
      <c r="LDG50" s="1360"/>
      <c r="LDH50" s="1360"/>
      <c r="LDI50" s="1360"/>
      <c r="LDJ50" s="1360"/>
      <c r="LDK50" s="1360"/>
      <c r="LDL50" s="1360"/>
      <c r="LDM50" s="1360"/>
      <c r="LDN50" s="1360"/>
      <c r="LDO50" s="1360"/>
      <c r="LDP50" s="1360"/>
      <c r="LDQ50" s="1360"/>
      <c r="LDR50" s="1360"/>
      <c r="LDS50" s="1360"/>
      <c r="LDT50" s="1360"/>
      <c r="LDU50" s="1360"/>
      <c r="LDV50" s="1360"/>
      <c r="LDW50" s="1360"/>
      <c r="LDX50" s="1360"/>
      <c r="LDY50" s="1360"/>
      <c r="LDZ50" s="1360"/>
      <c r="LEA50" s="1360"/>
      <c r="LEB50" s="1360"/>
      <c r="LEC50" s="1360"/>
      <c r="LED50" s="1360"/>
      <c r="LEE50" s="1360"/>
      <c r="LEF50" s="1360"/>
      <c r="LEG50" s="1360"/>
      <c r="LEH50" s="1360"/>
      <c r="LEI50" s="1360"/>
      <c r="LEJ50" s="1360"/>
      <c r="LEK50" s="1360"/>
      <c r="LEL50" s="1360"/>
      <c r="LEM50" s="1360"/>
      <c r="LEN50" s="1360"/>
      <c r="LEO50" s="1360"/>
      <c r="LEP50" s="1360"/>
      <c r="LEQ50" s="1360"/>
      <c r="LER50" s="1360"/>
      <c r="LES50" s="1360"/>
      <c r="LET50" s="1360"/>
      <c r="LEU50" s="1360"/>
      <c r="LEV50" s="1360"/>
      <c r="LEW50" s="1360"/>
      <c r="LEX50" s="1360"/>
      <c r="LEY50" s="1360"/>
      <c r="LEZ50" s="1360"/>
      <c r="LFA50" s="1360"/>
      <c r="LFB50" s="1360"/>
      <c r="LFC50" s="1360"/>
      <c r="LFD50" s="1360"/>
      <c r="LFE50" s="1360"/>
      <c r="LFF50" s="1360"/>
      <c r="LFG50" s="1360"/>
      <c r="LFH50" s="1360"/>
      <c r="LFI50" s="1360"/>
      <c r="LFJ50" s="1360"/>
      <c r="LFK50" s="1360"/>
      <c r="LFL50" s="1360"/>
      <c r="LFM50" s="1360"/>
      <c r="LFN50" s="1360"/>
      <c r="LFO50" s="1360"/>
      <c r="LFP50" s="1360"/>
      <c r="LFQ50" s="1360"/>
      <c r="LFR50" s="1360"/>
      <c r="LFS50" s="1360"/>
      <c r="LFT50" s="1360"/>
      <c r="LFU50" s="1360"/>
      <c r="LFV50" s="1360"/>
      <c r="LFW50" s="1360"/>
      <c r="LFX50" s="1360"/>
      <c r="LFY50" s="1360"/>
      <c r="LFZ50" s="1360"/>
      <c r="LGA50" s="1360"/>
      <c r="LGB50" s="1360"/>
      <c r="LGC50" s="1360"/>
      <c r="LGD50" s="1360"/>
      <c r="LGE50" s="1360"/>
      <c r="LGF50" s="1360"/>
      <c r="LGG50" s="1360"/>
      <c r="LGH50" s="1360"/>
      <c r="LGI50" s="1360"/>
      <c r="LGJ50" s="1360"/>
      <c r="LGK50" s="1360"/>
      <c r="LGL50" s="1360"/>
      <c r="LGM50" s="1360"/>
      <c r="LGN50" s="1360"/>
      <c r="LGO50" s="1360"/>
      <c r="LGP50" s="1360"/>
      <c r="LGQ50" s="1360"/>
      <c r="LGR50" s="1360"/>
      <c r="LGS50" s="1360"/>
      <c r="LGT50" s="1360"/>
      <c r="LGU50" s="1360"/>
      <c r="LGV50" s="1360"/>
      <c r="LGW50" s="1360"/>
      <c r="LGX50" s="1360"/>
      <c r="LGY50" s="1360"/>
      <c r="LGZ50" s="1360"/>
      <c r="LHA50" s="1360"/>
      <c r="LHB50" s="1360"/>
      <c r="LHC50" s="1360"/>
      <c r="LHD50" s="1360"/>
      <c r="LHE50" s="1360"/>
      <c r="LHF50" s="1360"/>
      <c r="LHG50" s="1360"/>
      <c r="LHH50" s="1360"/>
      <c r="LHI50" s="1360"/>
      <c r="LHJ50" s="1360"/>
      <c r="LHK50" s="1360"/>
      <c r="LHL50" s="1360"/>
      <c r="LHM50" s="1360"/>
      <c r="LHN50" s="1360"/>
      <c r="LHO50" s="1360"/>
      <c r="LHP50" s="1360"/>
      <c r="LHQ50" s="1360"/>
      <c r="LHR50" s="1360"/>
      <c r="LHS50" s="1360"/>
      <c r="LHT50" s="1360"/>
      <c r="LHU50" s="1360"/>
      <c r="LHV50" s="1360"/>
      <c r="LHW50" s="1360"/>
      <c r="LHX50" s="1360"/>
      <c r="LHY50" s="1360"/>
      <c r="LHZ50" s="1360"/>
      <c r="LIA50" s="1360"/>
      <c r="LIB50" s="1360"/>
      <c r="LIC50" s="1360"/>
      <c r="LID50" s="1360"/>
      <c r="LIE50" s="1360"/>
      <c r="LIF50" s="1360"/>
      <c r="LIG50" s="1360"/>
      <c r="LIH50" s="1360"/>
      <c r="LII50" s="1360"/>
      <c r="LIJ50" s="1360"/>
      <c r="LIK50" s="1360"/>
      <c r="LIL50" s="1360"/>
      <c r="LIM50" s="1360"/>
      <c r="LIN50" s="1360"/>
      <c r="LIO50" s="1360"/>
      <c r="LIP50" s="1360"/>
      <c r="LIQ50" s="1360"/>
      <c r="LIR50" s="1360"/>
      <c r="LIS50" s="1360"/>
      <c r="LIT50" s="1360"/>
      <c r="LIU50" s="1360"/>
      <c r="LIV50" s="1360"/>
      <c r="LIW50" s="1360"/>
      <c r="LIX50" s="1360"/>
      <c r="LIY50" s="1360"/>
      <c r="LIZ50" s="1360"/>
      <c r="LJA50" s="1360"/>
      <c r="LJB50" s="1360"/>
      <c r="LJC50" s="1360"/>
      <c r="LJD50" s="1360"/>
      <c r="LJE50" s="1360"/>
      <c r="LJF50" s="1360"/>
      <c r="LJG50" s="1360"/>
      <c r="LJH50" s="1360"/>
      <c r="LJI50" s="1360"/>
      <c r="LJJ50" s="1360"/>
      <c r="LJK50" s="1360"/>
      <c r="LJL50" s="1360"/>
      <c r="LJM50" s="1360"/>
      <c r="LJN50" s="1360"/>
      <c r="LJO50" s="1360"/>
      <c r="LJP50" s="1360"/>
      <c r="LJQ50" s="1360"/>
      <c r="LJR50" s="1360"/>
      <c r="LJS50" s="1360"/>
      <c r="LJT50" s="1360"/>
      <c r="LJU50" s="1360"/>
      <c r="LJV50" s="1360"/>
      <c r="LJW50" s="1360"/>
      <c r="LJX50" s="1360"/>
      <c r="LJY50" s="1360"/>
      <c r="LJZ50" s="1360"/>
      <c r="LKA50" s="1360"/>
      <c r="LKB50" s="1360"/>
      <c r="LKC50" s="1360"/>
      <c r="LKD50" s="1360"/>
      <c r="LKE50" s="1360"/>
      <c r="LKF50" s="1360"/>
      <c r="LKG50" s="1360"/>
      <c r="LKH50" s="1360"/>
      <c r="LKI50" s="1360"/>
      <c r="LKJ50" s="1360"/>
      <c r="LKK50" s="1360"/>
      <c r="LKL50" s="1360"/>
      <c r="LKM50" s="1360"/>
      <c r="LKN50" s="1360"/>
      <c r="LKO50" s="1360"/>
      <c r="LKP50" s="1360"/>
      <c r="LKQ50" s="1360"/>
      <c r="LKR50" s="1360"/>
      <c r="LKS50" s="1360"/>
      <c r="LKT50" s="1360"/>
      <c r="LKU50" s="1360"/>
      <c r="LKV50" s="1360"/>
      <c r="LKW50" s="1360"/>
      <c r="LKX50" s="1360"/>
      <c r="LKY50" s="1360"/>
      <c r="LKZ50" s="1360"/>
      <c r="LLA50" s="1360"/>
      <c r="LLB50" s="1360"/>
      <c r="LLC50" s="1360"/>
      <c r="LLD50" s="1360"/>
      <c r="LLE50" s="1360"/>
      <c r="LLF50" s="1360"/>
      <c r="LLG50" s="1360"/>
      <c r="LLH50" s="1360"/>
      <c r="LLI50" s="1360"/>
      <c r="LLJ50" s="1360"/>
      <c r="LLK50" s="1360"/>
      <c r="LLL50" s="1360"/>
      <c r="LLM50" s="1360"/>
      <c r="LLN50" s="1360"/>
      <c r="LLO50" s="1360"/>
      <c r="LLP50" s="1360"/>
      <c r="LLQ50" s="1360"/>
      <c r="LLR50" s="1360"/>
      <c r="LLS50" s="1360"/>
      <c r="LLT50" s="1360"/>
      <c r="LLU50" s="1360"/>
      <c r="LLV50" s="1360"/>
      <c r="LLW50" s="1360"/>
      <c r="LLX50" s="1360"/>
      <c r="LLY50" s="1360"/>
      <c r="LLZ50" s="1360"/>
      <c r="LMA50" s="1360"/>
      <c r="LMB50" s="1360"/>
      <c r="LMC50" s="1360"/>
      <c r="LMD50" s="1360"/>
      <c r="LME50" s="1360"/>
      <c r="LMF50" s="1360"/>
      <c r="LMG50" s="1360"/>
      <c r="LMH50" s="1360"/>
      <c r="LMI50" s="1360"/>
      <c r="LMJ50" s="1360"/>
      <c r="LMK50" s="1360"/>
      <c r="LML50" s="1360"/>
      <c r="LMM50" s="1360"/>
      <c r="LMN50" s="1360"/>
      <c r="LMO50" s="1360"/>
      <c r="LMP50" s="1360"/>
      <c r="LMQ50" s="1360"/>
      <c r="LMR50" s="1360"/>
      <c r="LMS50" s="1360"/>
      <c r="LMT50" s="1360"/>
      <c r="LMU50" s="1360"/>
      <c r="LMV50" s="1360"/>
      <c r="LMW50" s="1360"/>
      <c r="LMX50" s="1360"/>
      <c r="LMY50" s="1360"/>
      <c r="LMZ50" s="1360"/>
      <c r="LNA50" s="1360"/>
      <c r="LNB50" s="1360"/>
      <c r="LNC50" s="1360"/>
      <c r="LND50" s="1360"/>
      <c r="LNE50" s="1360"/>
      <c r="LNF50" s="1360"/>
      <c r="LNG50" s="1360"/>
      <c r="LNH50" s="1360"/>
      <c r="LNI50" s="1360"/>
      <c r="LNJ50" s="1360"/>
      <c r="LNK50" s="1360"/>
      <c r="LNL50" s="1360"/>
      <c r="LNM50" s="1360"/>
      <c r="LNN50" s="1360"/>
      <c r="LNO50" s="1360"/>
      <c r="LNP50" s="1360"/>
      <c r="LNQ50" s="1360"/>
      <c r="LNR50" s="1360"/>
      <c r="LNS50" s="1360"/>
      <c r="LNT50" s="1360"/>
      <c r="LNU50" s="1360"/>
      <c r="LNV50" s="1360"/>
      <c r="LNW50" s="1360"/>
      <c r="LNX50" s="1360"/>
      <c r="LNY50" s="1360"/>
      <c r="LNZ50" s="1360"/>
      <c r="LOA50" s="1360"/>
      <c r="LOB50" s="1360"/>
      <c r="LOC50" s="1360"/>
      <c r="LOD50" s="1360"/>
      <c r="LOE50" s="1360"/>
      <c r="LOF50" s="1360"/>
      <c r="LOG50" s="1360"/>
      <c r="LOH50" s="1360"/>
      <c r="LOI50" s="1360"/>
      <c r="LOJ50" s="1360"/>
      <c r="LOK50" s="1360"/>
      <c r="LOL50" s="1360"/>
      <c r="LOM50" s="1360"/>
      <c r="LON50" s="1360"/>
      <c r="LOO50" s="1360"/>
      <c r="LOP50" s="1360"/>
      <c r="LOQ50" s="1360"/>
      <c r="LOR50" s="1360"/>
      <c r="LOS50" s="1360"/>
      <c r="LOT50" s="1360"/>
      <c r="LOU50" s="1360"/>
      <c r="LOV50" s="1360"/>
      <c r="LOW50" s="1360"/>
      <c r="LOX50" s="1360"/>
      <c r="LOY50" s="1360"/>
      <c r="LOZ50" s="1360"/>
      <c r="LPA50" s="1360"/>
      <c r="LPB50" s="1360"/>
      <c r="LPC50" s="1360"/>
      <c r="LPD50" s="1360"/>
      <c r="LPE50" s="1360"/>
      <c r="LPF50" s="1360"/>
      <c r="LPG50" s="1360"/>
      <c r="LPH50" s="1360"/>
      <c r="LPI50" s="1360"/>
      <c r="LPJ50" s="1360"/>
      <c r="LPK50" s="1360"/>
      <c r="LPL50" s="1360"/>
      <c r="LPM50" s="1360"/>
      <c r="LPN50" s="1360"/>
      <c r="LPO50" s="1360"/>
      <c r="LPP50" s="1360"/>
      <c r="LPQ50" s="1360"/>
      <c r="LPR50" s="1360"/>
      <c r="LPS50" s="1360"/>
      <c r="LPT50" s="1360"/>
      <c r="LPU50" s="1360"/>
      <c r="LPV50" s="1360"/>
      <c r="LPW50" s="1360"/>
      <c r="LPX50" s="1360"/>
      <c r="LPY50" s="1360"/>
      <c r="LPZ50" s="1360"/>
      <c r="LQA50" s="1360"/>
      <c r="LQB50" s="1360"/>
      <c r="LQC50" s="1360"/>
      <c r="LQD50" s="1360"/>
      <c r="LQE50" s="1360"/>
      <c r="LQF50" s="1360"/>
      <c r="LQG50" s="1360"/>
      <c r="LQH50" s="1360"/>
      <c r="LQI50" s="1360"/>
      <c r="LQJ50" s="1360"/>
      <c r="LQK50" s="1360"/>
      <c r="LQL50" s="1360"/>
      <c r="LQM50" s="1360"/>
      <c r="LQN50" s="1360"/>
      <c r="LQO50" s="1360"/>
      <c r="LQP50" s="1360"/>
      <c r="LQQ50" s="1360"/>
      <c r="LQR50" s="1360"/>
      <c r="LQS50" s="1360"/>
      <c r="LQT50" s="1360"/>
      <c r="LQU50" s="1360"/>
      <c r="LQV50" s="1360"/>
      <c r="LQW50" s="1360"/>
      <c r="LQX50" s="1360"/>
      <c r="LQY50" s="1360"/>
      <c r="LQZ50" s="1360"/>
      <c r="LRA50" s="1360"/>
      <c r="LRB50" s="1360"/>
      <c r="LRC50" s="1360"/>
      <c r="LRD50" s="1360"/>
      <c r="LRE50" s="1360"/>
      <c r="LRF50" s="1360"/>
      <c r="LRG50" s="1360"/>
      <c r="LRH50" s="1360"/>
      <c r="LRI50" s="1360"/>
      <c r="LRJ50" s="1360"/>
      <c r="LRK50" s="1360"/>
      <c r="LRL50" s="1360"/>
      <c r="LRM50" s="1360"/>
      <c r="LRN50" s="1360"/>
      <c r="LRO50" s="1360"/>
      <c r="LRP50" s="1360"/>
      <c r="LRQ50" s="1360"/>
      <c r="LRR50" s="1360"/>
      <c r="LRS50" s="1360"/>
      <c r="LRT50" s="1360"/>
      <c r="LRU50" s="1360"/>
      <c r="LRV50" s="1360"/>
      <c r="LRW50" s="1360"/>
      <c r="LRX50" s="1360"/>
      <c r="LRY50" s="1360"/>
      <c r="LRZ50" s="1360"/>
      <c r="LSA50" s="1360"/>
      <c r="LSB50" s="1360"/>
      <c r="LSC50" s="1360"/>
      <c r="LSD50" s="1360"/>
      <c r="LSE50" s="1360"/>
      <c r="LSF50" s="1360"/>
      <c r="LSG50" s="1360"/>
      <c r="LSH50" s="1360"/>
      <c r="LSI50" s="1360"/>
      <c r="LSJ50" s="1360"/>
      <c r="LSK50" s="1360"/>
      <c r="LSL50" s="1360"/>
      <c r="LSM50" s="1360"/>
      <c r="LSN50" s="1360"/>
      <c r="LSO50" s="1360"/>
      <c r="LSP50" s="1360"/>
      <c r="LSQ50" s="1360"/>
      <c r="LSR50" s="1360"/>
      <c r="LSS50" s="1360"/>
      <c r="LST50" s="1360"/>
      <c r="LSU50" s="1360"/>
      <c r="LSV50" s="1360"/>
      <c r="LSW50" s="1360"/>
      <c r="LSX50" s="1360"/>
      <c r="LSY50" s="1360"/>
      <c r="LSZ50" s="1360"/>
      <c r="LTA50" s="1360"/>
      <c r="LTB50" s="1360"/>
      <c r="LTC50" s="1360"/>
      <c r="LTD50" s="1360"/>
      <c r="LTE50" s="1360"/>
      <c r="LTF50" s="1360"/>
      <c r="LTG50" s="1360"/>
      <c r="LTH50" s="1360"/>
      <c r="LTI50" s="1360"/>
      <c r="LTJ50" s="1360"/>
      <c r="LTK50" s="1360"/>
      <c r="LTL50" s="1360"/>
      <c r="LTM50" s="1360"/>
      <c r="LTN50" s="1360"/>
      <c r="LTO50" s="1360"/>
      <c r="LTP50" s="1360"/>
      <c r="LTQ50" s="1360"/>
      <c r="LTR50" s="1360"/>
      <c r="LTS50" s="1360"/>
      <c r="LTT50" s="1360"/>
      <c r="LTU50" s="1360"/>
      <c r="LTV50" s="1360"/>
      <c r="LTW50" s="1360"/>
      <c r="LTX50" s="1360"/>
      <c r="LTY50" s="1360"/>
      <c r="LTZ50" s="1360"/>
      <c r="LUA50" s="1360"/>
      <c r="LUB50" s="1360"/>
      <c r="LUC50" s="1360"/>
      <c r="LUD50" s="1360"/>
      <c r="LUE50" s="1360"/>
      <c r="LUF50" s="1360"/>
      <c r="LUG50" s="1360"/>
      <c r="LUH50" s="1360"/>
      <c r="LUI50" s="1360"/>
      <c r="LUJ50" s="1360"/>
      <c r="LUK50" s="1360"/>
      <c r="LUL50" s="1360"/>
      <c r="LUM50" s="1360"/>
      <c r="LUN50" s="1360"/>
      <c r="LUO50" s="1360"/>
      <c r="LUP50" s="1360"/>
      <c r="LUQ50" s="1360"/>
      <c r="LUR50" s="1360"/>
      <c r="LUS50" s="1360"/>
      <c r="LUT50" s="1360"/>
      <c r="LUU50" s="1360"/>
      <c r="LUV50" s="1360"/>
      <c r="LUW50" s="1360"/>
      <c r="LUX50" s="1360"/>
      <c r="LUY50" s="1360"/>
      <c r="LUZ50" s="1360"/>
      <c r="LVA50" s="1360"/>
      <c r="LVB50" s="1360"/>
      <c r="LVC50" s="1360"/>
      <c r="LVD50" s="1360"/>
      <c r="LVE50" s="1360"/>
      <c r="LVF50" s="1360"/>
      <c r="LVG50" s="1360"/>
      <c r="LVH50" s="1360"/>
      <c r="LVI50" s="1360"/>
      <c r="LVJ50" s="1360"/>
      <c r="LVK50" s="1360"/>
      <c r="LVL50" s="1360"/>
      <c r="LVM50" s="1360"/>
      <c r="LVN50" s="1360"/>
      <c r="LVO50" s="1360"/>
      <c r="LVP50" s="1360"/>
      <c r="LVQ50" s="1360"/>
      <c r="LVR50" s="1360"/>
      <c r="LVS50" s="1360"/>
      <c r="LVT50" s="1360"/>
      <c r="LVU50" s="1360"/>
      <c r="LVV50" s="1360"/>
      <c r="LVW50" s="1360"/>
      <c r="LVX50" s="1360"/>
      <c r="LVY50" s="1360"/>
      <c r="LVZ50" s="1360"/>
      <c r="LWA50" s="1360"/>
      <c r="LWB50" s="1360"/>
      <c r="LWC50" s="1360"/>
      <c r="LWD50" s="1360"/>
      <c r="LWE50" s="1360"/>
      <c r="LWF50" s="1360"/>
      <c r="LWG50" s="1360"/>
      <c r="LWH50" s="1360"/>
      <c r="LWI50" s="1360"/>
      <c r="LWJ50" s="1360"/>
      <c r="LWK50" s="1360"/>
      <c r="LWL50" s="1360"/>
      <c r="LWM50" s="1360"/>
      <c r="LWN50" s="1360"/>
      <c r="LWO50" s="1360"/>
      <c r="LWP50" s="1360"/>
      <c r="LWQ50" s="1360"/>
      <c r="LWR50" s="1360"/>
      <c r="LWS50" s="1360"/>
      <c r="LWT50" s="1360"/>
      <c r="LWU50" s="1360"/>
      <c r="LWV50" s="1360"/>
      <c r="LWW50" s="1360"/>
      <c r="LWX50" s="1360"/>
      <c r="LWY50" s="1360"/>
      <c r="LWZ50" s="1360"/>
      <c r="LXA50" s="1360"/>
      <c r="LXB50" s="1360"/>
      <c r="LXC50" s="1360"/>
      <c r="LXD50" s="1360"/>
      <c r="LXE50" s="1360"/>
      <c r="LXF50" s="1360"/>
      <c r="LXG50" s="1360"/>
      <c r="LXH50" s="1360"/>
      <c r="LXI50" s="1360"/>
      <c r="LXJ50" s="1360"/>
      <c r="LXK50" s="1360"/>
      <c r="LXL50" s="1360"/>
      <c r="LXM50" s="1360"/>
      <c r="LXN50" s="1360"/>
      <c r="LXO50" s="1360"/>
      <c r="LXP50" s="1360"/>
      <c r="LXQ50" s="1360"/>
      <c r="LXR50" s="1360"/>
      <c r="LXS50" s="1360"/>
      <c r="LXT50" s="1360"/>
      <c r="LXU50" s="1360"/>
      <c r="LXV50" s="1360"/>
      <c r="LXW50" s="1360"/>
      <c r="LXX50" s="1360"/>
      <c r="LXY50" s="1360"/>
      <c r="LXZ50" s="1360"/>
      <c r="LYA50" s="1360"/>
      <c r="LYB50" s="1360"/>
      <c r="LYC50" s="1360"/>
      <c r="LYD50" s="1360"/>
      <c r="LYE50" s="1360"/>
      <c r="LYF50" s="1360"/>
      <c r="LYG50" s="1360"/>
      <c r="LYH50" s="1360"/>
      <c r="LYI50" s="1360"/>
      <c r="LYJ50" s="1360"/>
      <c r="LYK50" s="1360"/>
      <c r="LYL50" s="1360"/>
      <c r="LYM50" s="1360"/>
      <c r="LYN50" s="1360"/>
      <c r="LYO50" s="1360"/>
      <c r="LYP50" s="1360"/>
      <c r="LYQ50" s="1360"/>
      <c r="LYR50" s="1360"/>
      <c r="LYS50" s="1360"/>
      <c r="LYT50" s="1360"/>
      <c r="LYU50" s="1360"/>
      <c r="LYV50" s="1360"/>
      <c r="LYW50" s="1360"/>
      <c r="LYX50" s="1360"/>
      <c r="LYY50" s="1360"/>
      <c r="LYZ50" s="1360"/>
      <c r="LZA50" s="1360"/>
      <c r="LZB50" s="1360"/>
      <c r="LZC50" s="1360"/>
      <c r="LZD50" s="1360"/>
      <c r="LZE50" s="1360"/>
      <c r="LZF50" s="1360"/>
      <c r="LZG50" s="1360"/>
      <c r="LZH50" s="1360"/>
      <c r="LZI50" s="1360"/>
      <c r="LZJ50" s="1360"/>
      <c r="LZK50" s="1360"/>
      <c r="LZL50" s="1360"/>
      <c r="LZM50" s="1360"/>
      <c r="LZN50" s="1360"/>
      <c r="LZO50" s="1360"/>
      <c r="LZP50" s="1360"/>
      <c r="LZQ50" s="1360"/>
      <c r="LZR50" s="1360"/>
      <c r="LZS50" s="1360"/>
      <c r="LZT50" s="1360"/>
      <c r="LZU50" s="1360"/>
      <c r="LZV50" s="1360"/>
      <c r="LZW50" s="1360"/>
      <c r="LZX50" s="1360"/>
      <c r="LZY50" s="1360"/>
      <c r="LZZ50" s="1360"/>
      <c r="MAA50" s="1360"/>
      <c r="MAB50" s="1360"/>
      <c r="MAC50" s="1360"/>
      <c r="MAD50" s="1360"/>
      <c r="MAE50" s="1360"/>
      <c r="MAF50" s="1360"/>
      <c r="MAG50" s="1360"/>
      <c r="MAH50" s="1360"/>
      <c r="MAI50" s="1360"/>
      <c r="MAJ50" s="1360"/>
      <c r="MAK50" s="1360"/>
      <c r="MAL50" s="1360"/>
      <c r="MAM50" s="1360"/>
      <c r="MAN50" s="1360"/>
      <c r="MAO50" s="1360"/>
      <c r="MAP50" s="1360"/>
      <c r="MAQ50" s="1360"/>
      <c r="MAR50" s="1360"/>
      <c r="MAS50" s="1360"/>
      <c r="MAT50" s="1360"/>
      <c r="MAU50" s="1360"/>
      <c r="MAV50" s="1360"/>
      <c r="MAW50" s="1360"/>
      <c r="MAX50" s="1360"/>
      <c r="MAY50" s="1360"/>
      <c r="MAZ50" s="1360"/>
      <c r="MBA50" s="1360"/>
      <c r="MBB50" s="1360"/>
      <c r="MBC50" s="1360"/>
      <c r="MBD50" s="1360"/>
      <c r="MBE50" s="1360"/>
      <c r="MBF50" s="1360"/>
      <c r="MBG50" s="1360"/>
      <c r="MBH50" s="1360"/>
      <c r="MBI50" s="1360"/>
      <c r="MBJ50" s="1360"/>
      <c r="MBK50" s="1360"/>
      <c r="MBL50" s="1360"/>
      <c r="MBM50" s="1360"/>
      <c r="MBN50" s="1360"/>
      <c r="MBO50" s="1360"/>
      <c r="MBP50" s="1360"/>
      <c r="MBQ50" s="1360"/>
      <c r="MBR50" s="1360"/>
      <c r="MBS50" s="1360"/>
      <c r="MBT50" s="1360"/>
      <c r="MBU50" s="1360"/>
      <c r="MBV50" s="1360"/>
      <c r="MBW50" s="1360"/>
      <c r="MBX50" s="1360"/>
      <c r="MBY50" s="1360"/>
      <c r="MBZ50" s="1360"/>
      <c r="MCA50" s="1360"/>
      <c r="MCB50" s="1360"/>
      <c r="MCC50" s="1360"/>
      <c r="MCD50" s="1360"/>
      <c r="MCE50" s="1360"/>
      <c r="MCF50" s="1360"/>
      <c r="MCG50" s="1360"/>
      <c r="MCH50" s="1360"/>
      <c r="MCI50" s="1360"/>
      <c r="MCJ50" s="1360"/>
      <c r="MCK50" s="1360"/>
      <c r="MCL50" s="1360"/>
      <c r="MCM50" s="1360"/>
      <c r="MCN50" s="1360"/>
      <c r="MCO50" s="1360"/>
      <c r="MCP50" s="1360"/>
      <c r="MCQ50" s="1360"/>
      <c r="MCR50" s="1360"/>
      <c r="MCS50" s="1360"/>
      <c r="MCT50" s="1360"/>
      <c r="MCU50" s="1360"/>
      <c r="MCV50" s="1360"/>
      <c r="MCW50" s="1360"/>
      <c r="MCX50" s="1360"/>
      <c r="MCY50" s="1360"/>
      <c r="MCZ50" s="1360"/>
      <c r="MDA50" s="1360"/>
      <c r="MDB50" s="1360"/>
      <c r="MDC50" s="1360"/>
      <c r="MDD50" s="1360"/>
      <c r="MDE50" s="1360"/>
      <c r="MDF50" s="1360"/>
      <c r="MDG50" s="1360"/>
      <c r="MDH50" s="1360"/>
      <c r="MDI50" s="1360"/>
      <c r="MDJ50" s="1360"/>
      <c r="MDK50" s="1360"/>
      <c r="MDL50" s="1360"/>
      <c r="MDM50" s="1360"/>
      <c r="MDN50" s="1360"/>
      <c r="MDO50" s="1360"/>
      <c r="MDP50" s="1360"/>
      <c r="MDQ50" s="1360"/>
      <c r="MDR50" s="1360"/>
      <c r="MDS50" s="1360"/>
      <c r="MDT50" s="1360"/>
      <c r="MDU50" s="1360"/>
      <c r="MDV50" s="1360"/>
      <c r="MDW50" s="1360"/>
      <c r="MDX50" s="1360"/>
      <c r="MDY50" s="1360"/>
      <c r="MDZ50" s="1360"/>
      <c r="MEA50" s="1360"/>
      <c r="MEB50" s="1360"/>
      <c r="MEC50" s="1360"/>
      <c r="MED50" s="1360"/>
      <c r="MEE50" s="1360"/>
      <c r="MEF50" s="1360"/>
      <c r="MEG50" s="1360"/>
      <c r="MEH50" s="1360"/>
      <c r="MEI50" s="1360"/>
      <c r="MEJ50" s="1360"/>
      <c r="MEK50" s="1360"/>
      <c r="MEL50" s="1360"/>
      <c r="MEM50" s="1360"/>
      <c r="MEN50" s="1360"/>
      <c r="MEO50" s="1360"/>
      <c r="MEP50" s="1360"/>
      <c r="MEQ50" s="1360"/>
      <c r="MER50" s="1360"/>
      <c r="MES50" s="1360"/>
      <c r="MET50" s="1360"/>
      <c r="MEU50" s="1360"/>
      <c r="MEV50" s="1360"/>
      <c r="MEW50" s="1360"/>
      <c r="MEX50" s="1360"/>
      <c r="MEY50" s="1360"/>
      <c r="MEZ50" s="1360"/>
      <c r="MFA50" s="1360"/>
      <c r="MFB50" s="1360"/>
      <c r="MFC50" s="1360"/>
      <c r="MFD50" s="1360"/>
      <c r="MFE50" s="1360"/>
      <c r="MFF50" s="1360"/>
      <c r="MFG50" s="1360"/>
      <c r="MFH50" s="1360"/>
      <c r="MFI50" s="1360"/>
      <c r="MFJ50" s="1360"/>
      <c r="MFK50" s="1360"/>
      <c r="MFL50" s="1360"/>
      <c r="MFM50" s="1360"/>
      <c r="MFN50" s="1360"/>
      <c r="MFO50" s="1360"/>
      <c r="MFP50" s="1360"/>
      <c r="MFQ50" s="1360"/>
      <c r="MFR50" s="1360"/>
      <c r="MFS50" s="1360"/>
      <c r="MFT50" s="1360"/>
      <c r="MFU50" s="1360"/>
      <c r="MFV50" s="1360"/>
      <c r="MFW50" s="1360"/>
      <c r="MFX50" s="1360"/>
      <c r="MFY50" s="1360"/>
      <c r="MFZ50" s="1360"/>
      <c r="MGA50" s="1360"/>
      <c r="MGB50" s="1360"/>
      <c r="MGC50" s="1360"/>
      <c r="MGD50" s="1360"/>
      <c r="MGE50" s="1360"/>
      <c r="MGF50" s="1360"/>
      <c r="MGG50" s="1360"/>
      <c r="MGH50" s="1360"/>
      <c r="MGI50" s="1360"/>
      <c r="MGJ50" s="1360"/>
      <c r="MGK50" s="1360"/>
      <c r="MGL50" s="1360"/>
      <c r="MGM50" s="1360"/>
      <c r="MGN50" s="1360"/>
      <c r="MGO50" s="1360"/>
      <c r="MGP50" s="1360"/>
      <c r="MGQ50" s="1360"/>
      <c r="MGR50" s="1360"/>
      <c r="MGS50" s="1360"/>
      <c r="MGT50" s="1360"/>
      <c r="MGU50" s="1360"/>
      <c r="MGV50" s="1360"/>
      <c r="MGW50" s="1360"/>
      <c r="MGX50" s="1360"/>
      <c r="MGY50" s="1360"/>
      <c r="MGZ50" s="1360"/>
      <c r="MHA50" s="1360"/>
      <c r="MHB50" s="1360"/>
      <c r="MHC50" s="1360"/>
      <c r="MHD50" s="1360"/>
      <c r="MHE50" s="1360"/>
      <c r="MHF50" s="1360"/>
      <c r="MHG50" s="1360"/>
      <c r="MHH50" s="1360"/>
      <c r="MHI50" s="1360"/>
      <c r="MHJ50" s="1360"/>
      <c r="MHK50" s="1360"/>
      <c r="MHL50" s="1360"/>
      <c r="MHM50" s="1360"/>
      <c r="MHN50" s="1360"/>
      <c r="MHO50" s="1360"/>
      <c r="MHP50" s="1360"/>
      <c r="MHQ50" s="1360"/>
      <c r="MHR50" s="1360"/>
      <c r="MHS50" s="1360"/>
      <c r="MHT50" s="1360"/>
      <c r="MHU50" s="1360"/>
      <c r="MHV50" s="1360"/>
      <c r="MHW50" s="1360"/>
      <c r="MHX50" s="1360"/>
      <c r="MHY50" s="1360"/>
      <c r="MHZ50" s="1360"/>
      <c r="MIA50" s="1360"/>
      <c r="MIB50" s="1360"/>
      <c r="MIC50" s="1360"/>
      <c r="MID50" s="1360"/>
      <c r="MIE50" s="1360"/>
      <c r="MIF50" s="1360"/>
      <c r="MIG50" s="1360"/>
      <c r="MIH50" s="1360"/>
      <c r="MII50" s="1360"/>
      <c r="MIJ50" s="1360"/>
      <c r="MIK50" s="1360"/>
      <c r="MIL50" s="1360"/>
      <c r="MIM50" s="1360"/>
      <c r="MIN50" s="1360"/>
      <c r="MIO50" s="1360"/>
      <c r="MIP50" s="1360"/>
      <c r="MIQ50" s="1360"/>
      <c r="MIR50" s="1360"/>
      <c r="MIS50" s="1360"/>
      <c r="MIT50" s="1360"/>
      <c r="MIU50" s="1360"/>
      <c r="MIV50" s="1360"/>
      <c r="MIW50" s="1360"/>
      <c r="MIX50" s="1360"/>
      <c r="MIY50" s="1360"/>
      <c r="MIZ50" s="1360"/>
      <c r="MJA50" s="1360"/>
      <c r="MJB50" s="1360"/>
      <c r="MJC50" s="1360"/>
      <c r="MJD50" s="1360"/>
      <c r="MJE50" s="1360"/>
      <c r="MJF50" s="1360"/>
      <c r="MJG50" s="1360"/>
      <c r="MJH50" s="1360"/>
      <c r="MJI50" s="1360"/>
      <c r="MJJ50" s="1360"/>
      <c r="MJK50" s="1360"/>
      <c r="MJL50" s="1360"/>
      <c r="MJM50" s="1360"/>
      <c r="MJN50" s="1360"/>
      <c r="MJO50" s="1360"/>
      <c r="MJP50" s="1360"/>
      <c r="MJQ50" s="1360"/>
      <c r="MJR50" s="1360"/>
      <c r="MJS50" s="1360"/>
      <c r="MJT50" s="1360"/>
      <c r="MJU50" s="1360"/>
      <c r="MJV50" s="1360"/>
      <c r="MJW50" s="1360"/>
      <c r="MJX50" s="1360"/>
      <c r="MJY50" s="1360"/>
      <c r="MJZ50" s="1360"/>
      <c r="MKA50" s="1360"/>
      <c r="MKB50" s="1360"/>
      <c r="MKC50" s="1360"/>
      <c r="MKD50" s="1360"/>
      <c r="MKE50" s="1360"/>
      <c r="MKF50" s="1360"/>
      <c r="MKG50" s="1360"/>
      <c r="MKH50" s="1360"/>
      <c r="MKI50" s="1360"/>
      <c r="MKJ50" s="1360"/>
      <c r="MKK50" s="1360"/>
      <c r="MKL50" s="1360"/>
      <c r="MKM50" s="1360"/>
      <c r="MKN50" s="1360"/>
      <c r="MKO50" s="1360"/>
      <c r="MKP50" s="1360"/>
      <c r="MKQ50" s="1360"/>
      <c r="MKR50" s="1360"/>
      <c r="MKS50" s="1360"/>
      <c r="MKT50" s="1360"/>
      <c r="MKU50" s="1360"/>
      <c r="MKV50" s="1360"/>
      <c r="MKW50" s="1360"/>
      <c r="MKX50" s="1360"/>
      <c r="MKY50" s="1360"/>
      <c r="MKZ50" s="1360"/>
      <c r="MLA50" s="1360"/>
      <c r="MLB50" s="1360"/>
      <c r="MLC50" s="1360"/>
      <c r="MLD50" s="1360"/>
      <c r="MLE50" s="1360"/>
      <c r="MLF50" s="1360"/>
      <c r="MLG50" s="1360"/>
      <c r="MLH50" s="1360"/>
      <c r="MLI50" s="1360"/>
      <c r="MLJ50" s="1360"/>
      <c r="MLK50" s="1360"/>
      <c r="MLL50" s="1360"/>
      <c r="MLM50" s="1360"/>
      <c r="MLN50" s="1360"/>
      <c r="MLO50" s="1360"/>
      <c r="MLP50" s="1360"/>
      <c r="MLQ50" s="1360"/>
      <c r="MLR50" s="1360"/>
      <c r="MLS50" s="1360"/>
      <c r="MLT50" s="1360"/>
      <c r="MLU50" s="1360"/>
      <c r="MLV50" s="1360"/>
      <c r="MLW50" s="1360"/>
      <c r="MLX50" s="1360"/>
      <c r="MLY50" s="1360"/>
      <c r="MLZ50" s="1360"/>
      <c r="MMA50" s="1360"/>
      <c r="MMB50" s="1360"/>
      <c r="MMC50" s="1360"/>
      <c r="MMD50" s="1360"/>
      <c r="MME50" s="1360"/>
      <c r="MMF50" s="1360"/>
      <c r="MMG50" s="1360"/>
      <c r="MMH50" s="1360"/>
      <c r="MMI50" s="1360"/>
      <c r="MMJ50" s="1360"/>
      <c r="MMK50" s="1360"/>
      <c r="MML50" s="1360"/>
      <c r="MMM50" s="1360"/>
      <c r="MMN50" s="1360"/>
      <c r="MMO50" s="1360"/>
      <c r="MMP50" s="1360"/>
      <c r="MMQ50" s="1360"/>
      <c r="MMR50" s="1360"/>
      <c r="MMS50" s="1360"/>
      <c r="MMT50" s="1360"/>
      <c r="MMU50" s="1360"/>
      <c r="MMV50" s="1360"/>
      <c r="MMW50" s="1360"/>
      <c r="MMX50" s="1360"/>
      <c r="MMY50" s="1360"/>
      <c r="MMZ50" s="1360"/>
      <c r="MNA50" s="1360"/>
      <c r="MNB50" s="1360"/>
      <c r="MNC50" s="1360"/>
      <c r="MND50" s="1360"/>
      <c r="MNE50" s="1360"/>
      <c r="MNF50" s="1360"/>
      <c r="MNG50" s="1360"/>
      <c r="MNH50" s="1360"/>
      <c r="MNI50" s="1360"/>
      <c r="MNJ50" s="1360"/>
      <c r="MNK50" s="1360"/>
      <c r="MNL50" s="1360"/>
      <c r="MNM50" s="1360"/>
      <c r="MNN50" s="1360"/>
      <c r="MNO50" s="1360"/>
      <c r="MNP50" s="1360"/>
      <c r="MNQ50" s="1360"/>
      <c r="MNR50" s="1360"/>
      <c r="MNS50" s="1360"/>
      <c r="MNT50" s="1360"/>
      <c r="MNU50" s="1360"/>
      <c r="MNV50" s="1360"/>
      <c r="MNW50" s="1360"/>
      <c r="MNX50" s="1360"/>
      <c r="MNY50" s="1360"/>
      <c r="MNZ50" s="1360"/>
      <c r="MOA50" s="1360"/>
      <c r="MOB50" s="1360"/>
      <c r="MOC50" s="1360"/>
      <c r="MOD50" s="1360"/>
      <c r="MOE50" s="1360"/>
      <c r="MOF50" s="1360"/>
      <c r="MOG50" s="1360"/>
      <c r="MOH50" s="1360"/>
      <c r="MOI50" s="1360"/>
      <c r="MOJ50" s="1360"/>
      <c r="MOK50" s="1360"/>
      <c r="MOL50" s="1360"/>
      <c r="MOM50" s="1360"/>
      <c r="MON50" s="1360"/>
      <c r="MOO50" s="1360"/>
      <c r="MOP50" s="1360"/>
      <c r="MOQ50" s="1360"/>
      <c r="MOR50" s="1360"/>
      <c r="MOS50" s="1360"/>
      <c r="MOT50" s="1360"/>
      <c r="MOU50" s="1360"/>
      <c r="MOV50" s="1360"/>
      <c r="MOW50" s="1360"/>
      <c r="MOX50" s="1360"/>
      <c r="MOY50" s="1360"/>
      <c r="MOZ50" s="1360"/>
      <c r="MPA50" s="1360"/>
      <c r="MPB50" s="1360"/>
      <c r="MPC50" s="1360"/>
      <c r="MPD50" s="1360"/>
      <c r="MPE50" s="1360"/>
      <c r="MPF50" s="1360"/>
      <c r="MPG50" s="1360"/>
      <c r="MPH50" s="1360"/>
      <c r="MPI50" s="1360"/>
      <c r="MPJ50" s="1360"/>
      <c r="MPK50" s="1360"/>
      <c r="MPL50" s="1360"/>
      <c r="MPM50" s="1360"/>
      <c r="MPN50" s="1360"/>
      <c r="MPO50" s="1360"/>
      <c r="MPP50" s="1360"/>
      <c r="MPQ50" s="1360"/>
      <c r="MPR50" s="1360"/>
      <c r="MPS50" s="1360"/>
      <c r="MPT50" s="1360"/>
      <c r="MPU50" s="1360"/>
      <c r="MPV50" s="1360"/>
      <c r="MPW50" s="1360"/>
      <c r="MPX50" s="1360"/>
      <c r="MPY50" s="1360"/>
      <c r="MPZ50" s="1360"/>
      <c r="MQA50" s="1360"/>
      <c r="MQB50" s="1360"/>
      <c r="MQC50" s="1360"/>
      <c r="MQD50" s="1360"/>
      <c r="MQE50" s="1360"/>
      <c r="MQF50" s="1360"/>
      <c r="MQG50" s="1360"/>
      <c r="MQH50" s="1360"/>
      <c r="MQI50" s="1360"/>
      <c r="MQJ50" s="1360"/>
      <c r="MQK50" s="1360"/>
      <c r="MQL50" s="1360"/>
      <c r="MQM50" s="1360"/>
      <c r="MQN50" s="1360"/>
      <c r="MQO50" s="1360"/>
      <c r="MQP50" s="1360"/>
      <c r="MQQ50" s="1360"/>
      <c r="MQR50" s="1360"/>
      <c r="MQS50" s="1360"/>
      <c r="MQT50" s="1360"/>
      <c r="MQU50" s="1360"/>
      <c r="MQV50" s="1360"/>
      <c r="MQW50" s="1360"/>
      <c r="MQX50" s="1360"/>
      <c r="MQY50" s="1360"/>
      <c r="MQZ50" s="1360"/>
      <c r="MRA50" s="1360"/>
      <c r="MRB50" s="1360"/>
      <c r="MRC50" s="1360"/>
      <c r="MRD50" s="1360"/>
      <c r="MRE50" s="1360"/>
      <c r="MRF50" s="1360"/>
      <c r="MRG50" s="1360"/>
      <c r="MRH50" s="1360"/>
      <c r="MRI50" s="1360"/>
      <c r="MRJ50" s="1360"/>
      <c r="MRK50" s="1360"/>
      <c r="MRL50" s="1360"/>
      <c r="MRM50" s="1360"/>
      <c r="MRN50" s="1360"/>
      <c r="MRO50" s="1360"/>
      <c r="MRP50" s="1360"/>
      <c r="MRQ50" s="1360"/>
      <c r="MRR50" s="1360"/>
      <c r="MRS50" s="1360"/>
      <c r="MRT50" s="1360"/>
      <c r="MRU50" s="1360"/>
      <c r="MRV50" s="1360"/>
      <c r="MRW50" s="1360"/>
      <c r="MRX50" s="1360"/>
      <c r="MRY50" s="1360"/>
      <c r="MRZ50" s="1360"/>
      <c r="MSA50" s="1360"/>
      <c r="MSB50" s="1360"/>
      <c r="MSC50" s="1360"/>
      <c r="MSD50" s="1360"/>
      <c r="MSE50" s="1360"/>
      <c r="MSF50" s="1360"/>
      <c r="MSG50" s="1360"/>
      <c r="MSH50" s="1360"/>
      <c r="MSI50" s="1360"/>
      <c r="MSJ50" s="1360"/>
      <c r="MSK50" s="1360"/>
      <c r="MSL50" s="1360"/>
      <c r="MSM50" s="1360"/>
      <c r="MSN50" s="1360"/>
      <c r="MSO50" s="1360"/>
      <c r="MSP50" s="1360"/>
      <c r="MSQ50" s="1360"/>
      <c r="MSR50" s="1360"/>
      <c r="MSS50" s="1360"/>
      <c r="MST50" s="1360"/>
      <c r="MSU50" s="1360"/>
      <c r="MSV50" s="1360"/>
      <c r="MSW50" s="1360"/>
      <c r="MSX50" s="1360"/>
      <c r="MSY50" s="1360"/>
      <c r="MSZ50" s="1360"/>
      <c r="MTA50" s="1360"/>
      <c r="MTB50" s="1360"/>
      <c r="MTC50" s="1360"/>
      <c r="MTD50" s="1360"/>
      <c r="MTE50" s="1360"/>
      <c r="MTF50" s="1360"/>
      <c r="MTG50" s="1360"/>
      <c r="MTH50" s="1360"/>
      <c r="MTI50" s="1360"/>
      <c r="MTJ50" s="1360"/>
      <c r="MTK50" s="1360"/>
      <c r="MTL50" s="1360"/>
      <c r="MTM50" s="1360"/>
      <c r="MTN50" s="1360"/>
      <c r="MTO50" s="1360"/>
      <c r="MTP50" s="1360"/>
      <c r="MTQ50" s="1360"/>
      <c r="MTR50" s="1360"/>
      <c r="MTS50" s="1360"/>
      <c r="MTT50" s="1360"/>
      <c r="MTU50" s="1360"/>
      <c r="MTV50" s="1360"/>
      <c r="MTW50" s="1360"/>
      <c r="MTX50" s="1360"/>
      <c r="MTY50" s="1360"/>
      <c r="MTZ50" s="1360"/>
      <c r="MUA50" s="1360"/>
      <c r="MUB50" s="1360"/>
      <c r="MUC50" s="1360"/>
      <c r="MUD50" s="1360"/>
      <c r="MUE50" s="1360"/>
      <c r="MUF50" s="1360"/>
      <c r="MUG50" s="1360"/>
      <c r="MUH50" s="1360"/>
      <c r="MUI50" s="1360"/>
      <c r="MUJ50" s="1360"/>
      <c r="MUK50" s="1360"/>
      <c r="MUL50" s="1360"/>
      <c r="MUM50" s="1360"/>
      <c r="MUN50" s="1360"/>
      <c r="MUO50" s="1360"/>
      <c r="MUP50" s="1360"/>
      <c r="MUQ50" s="1360"/>
      <c r="MUR50" s="1360"/>
      <c r="MUS50" s="1360"/>
      <c r="MUT50" s="1360"/>
      <c r="MUU50" s="1360"/>
      <c r="MUV50" s="1360"/>
      <c r="MUW50" s="1360"/>
      <c r="MUX50" s="1360"/>
      <c r="MUY50" s="1360"/>
      <c r="MUZ50" s="1360"/>
      <c r="MVA50" s="1360"/>
      <c r="MVB50" s="1360"/>
      <c r="MVC50" s="1360"/>
      <c r="MVD50" s="1360"/>
      <c r="MVE50" s="1360"/>
      <c r="MVF50" s="1360"/>
      <c r="MVG50" s="1360"/>
      <c r="MVH50" s="1360"/>
      <c r="MVI50" s="1360"/>
      <c r="MVJ50" s="1360"/>
      <c r="MVK50" s="1360"/>
      <c r="MVL50" s="1360"/>
      <c r="MVM50" s="1360"/>
      <c r="MVN50" s="1360"/>
      <c r="MVO50" s="1360"/>
      <c r="MVP50" s="1360"/>
      <c r="MVQ50" s="1360"/>
      <c r="MVR50" s="1360"/>
      <c r="MVS50" s="1360"/>
      <c r="MVT50" s="1360"/>
      <c r="MVU50" s="1360"/>
      <c r="MVV50" s="1360"/>
      <c r="MVW50" s="1360"/>
      <c r="MVX50" s="1360"/>
      <c r="MVY50" s="1360"/>
      <c r="MVZ50" s="1360"/>
      <c r="MWA50" s="1360"/>
      <c r="MWB50" s="1360"/>
      <c r="MWC50" s="1360"/>
      <c r="MWD50" s="1360"/>
      <c r="MWE50" s="1360"/>
      <c r="MWF50" s="1360"/>
      <c r="MWG50" s="1360"/>
      <c r="MWH50" s="1360"/>
      <c r="MWI50" s="1360"/>
      <c r="MWJ50" s="1360"/>
      <c r="MWK50" s="1360"/>
      <c r="MWL50" s="1360"/>
      <c r="MWM50" s="1360"/>
      <c r="MWN50" s="1360"/>
      <c r="MWO50" s="1360"/>
      <c r="MWP50" s="1360"/>
      <c r="MWQ50" s="1360"/>
      <c r="MWR50" s="1360"/>
      <c r="MWS50" s="1360"/>
      <c r="MWT50" s="1360"/>
      <c r="MWU50" s="1360"/>
      <c r="MWV50" s="1360"/>
      <c r="MWW50" s="1360"/>
      <c r="MWX50" s="1360"/>
      <c r="MWY50" s="1360"/>
      <c r="MWZ50" s="1360"/>
      <c r="MXA50" s="1360"/>
      <c r="MXB50" s="1360"/>
      <c r="MXC50" s="1360"/>
      <c r="MXD50" s="1360"/>
      <c r="MXE50" s="1360"/>
      <c r="MXF50" s="1360"/>
      <c r="MXG50" s="1360"/>
      <c r="MXH50" s="1360"/>
      <c r="MXI50" s="1360"/>
      <c r="MXJ50" s="1360"/>
      <c r="MXK50" s="1360"/>
      <c r="MXL50" s="1360"/>
      <c r="MXM50" s="1360"/>
      <c r="MXN50" s="1360"/>
      <c r="MXO50" s="1360"/>
      <c r="MXP50" s="1360"/>
      <c r="MXQ50" s="1360"/>
      <c r="MXR50" s="1360"/>
      <c r="MXS50" s="1360"/>
      <c r="MXT50" s="1360"/>
      <c r="MXU50" s="1360"/>
      <c r="MXV50" s="1360"/>
      <c r="MXW50" s="1360"/>
      <c r="MXX50" s="1360"/>
      <c r="MXY50" s="1360"/>
      <c r="MXZ50" s="1360"/>
      <c r="MYA50" s="1360"/>
      <c r="MYB50" s="1360"/>
      <c r="MYC50" s="1360"/>
      <c r="MYD50" s="1360"/>
      <c r="MYE50" s="1360"/>
      <c r="MYF50" s="1360"/>
      <c r="MYG50" s="1360"/>
      <c r="MYH50" s="1360"/>
      <c r="MYI50" s="1360"/>
      <c r="MYJ50" s="1360"/>
      <c r="MYK50" s="1360"/>
      <c r="MYL50" s="1360"/>
      <c r="MYM50" s="1360"/>
      <c r="MYN50" s="1360"/>
      <c r="MYO50" s="1360"/>
      <c r="MYP50" s="1360"/>
      <c r="MYQ50" s="1360"/>
      <c r="MYR50" s="1360"/>
      <c r="MYS50" s="1360"/>
      <c r="MYT50" s="1360"/>
      <c r="MYU50" s="1360"/>
      <c r="MYV50" s="1360"/>
      <c r="MYW50" s="1360"/>
      <c r="MYX50" s="1360"/>
      <c r="MYY50" s="1360"/>
      <c r="MYZ50" s="1360"/>
      <c r="MZA50" s="1360"/>
      <c r="MZB50" s="1360"/>
      <c r="MZC50" s="1360"/>
      <c r="MZD50" s="1360"/>
      <c r="MZE50" s="1360"/>
      <c r="MZF50" s="1360"/>
      <c r="MZG50" s="1360"/>
      <c r="MZH50" s="1360"/>
      <c r="MZI50" s="1360"/>
      <c r="MZJ50" s="1360"/>
      <c r="MZK50" s="1360"/>
      <c r="MZL50" s="1360"/>
      <c r="MZM50" s="1360"/>
      <c r="MZN50" s="1360"/>
      <c r="MZO50" s="1360"/>
      <c r="MZP50" s="1360"/>
      <c r="MZQ50" s="1360"/>
      <c r="MZR50" s="1360"/>
      <c r="MZS50" s="1360"/>
      <c r="MZT50" s="1360"/>
      <c r="MZU50" s="1360"/>
      <c r="MZV50" s="1360"/>
      <c r="MZW50" s="1360"/>
      <c r="MZX50" s="1360"/>
      <c r="MZY50" s="1360"/>
      <c r="MZZ50" s="1360"/>
      <c r="NAA50" s="1360"/>
      <c r="NAB50" s="1360"/>
      <c r="NAC50" s="1360"/>
      <c r="NAD50" s="1360"/>
      <c r="NAE50" s="1360"/>
      <c r="NAF50" s="1360"/>
      <c r="NAG50" s="1360"/>
      <c r="NAH50" s="1360"/>
      <c r="NAI50" s="1360"/>
      <c r="NAJ50" s="1360"/>
      <c r="NAK50" s="1360"/>
      <c r="NAL50" s="1360"/>
      <c r="NAM50" s="1360"/>
      <c r="NAN50" s="1360"/>
      <c r="NAO50" s="1360"/>
      <c r="NAP50" s="1360"/>
      <c r="NAQ50" s="1360"/>
      <c r="NAR50" s="1360"/>
      <c r="NAS50" s="1360"/>
      <c r="NAT50" s="1360"/>
      <c r="NAU50" s="1360"/>
      <c r="NAV50" s="1360"/>
      <c r="NAW50" s="1360"/>
      <c r="NAX50" s="1360"/>
      <c r="NAY50" s="1360"/>
      <c r="NAZ50" s="1360"/>
      <c r="NBA50" s="1360"/>
      <c r="NBB50" s="1360"/>
      <c r="NBC50" s="1360"/>
      <c r="NBD50" s="1360"/>
      <c r="NBE50" s="1360"/>
      <c r="NBF50" s="1360"/>
      <c r="NBG50" s="1360"/>
      <c r="NBH50" s="1360"/>
      <c r="NBI50" s="1360"/>
      <c r="NBJ50" s="1360"/>
      <c r="NBK50" s="1360"/>
      <c r="NBL50" s="1360"/>
      <c r="NBM50" s="1360"/>
      <c r="NBN50" s="1360"/>
      <c r="NBO50" s="1360"/>
      <c r="NBP50" s="1360"/>
      <c r="NBQ50" s="1360"/>
      <c r="NBR50" s="1360"/>
      <c r="NBS50" s="1360"/>
      <c r="NBT50" s="1360"/>
      <c r="NBU50" s="1360"/>
      <c r="NBV50" s="1360"/>
      <c r="NBW50" s="1360"/>
      <c r="NBX50" s="1360"/>
      <c r="NBY50" s="1360"/>
      <c r="NBZ50" s="1360"/>
      <c r="NCA50" s="1360"/>
      <c r="NCB50" s="1360"/>
      <c r="NCC50" s="1360"/>
      <c r="NCD50" s="1360"/>
      <c r="NCE50" s="1360"/>
      <c r="NCF50" s="1360"/>
      <c r="NCG50" s="1360"/>
      <c r="NCH50" s="1360"/>
      <c r="NCI50" s="1360"/>
      <c r="NCJ50" s="1360"/>
      <c r="NCK50" s="1360"/>
      <c r="NCL50" s="1360"/>
      <c r="NCM50" s="1360"/>
      <c r="NCN50" s="1360"/>
      <c r="NCO50" s="1360"/>
      <c r="NCP50" s="1360"/>
      <c r="NCQ50" s="1360"/>
      <c r="NCR50" s="1360"/>
      <c r="NCS50" s="1360"/>
      <c r="NCT50" s="1360"/>
      <c r="NCU50" s="1360"/>
      <c r="NCV50" s="1360"/>
      <c r="NCW50" s="1360"/>
      <c r="NCX50" s="1360"/>
      <c r="NCY50" s="1360"/>
      <c r="NCZ50" s="1360"/>
      <c r="NDA50" s="1360"/>
      <c r="NDB50" s="1360"/>
      <c r="NDC50" s="1360"/>
      <c r="NDD50" s="1360"/>
      <c r="NDE50" s="1360"/>
      <c r="NDF50" s="1360"/>
      <c r="NDG50" s="1360"/>
      <c r="NDH50" s="1360"/>
      <c r="NDI50" s="1360"/>
      <c r="NDJ50" s="1360"/>
      <c r="NDK50" s="1360"/>
      <c r="NDL50" s="1360"/>
      <c r="NDM50" s="1360"/>
      <c r="NDN50" s="1360"/>
      <c r="NDO50" s="1360"/>
      <c r="NDP50" s="1360"/>
      <c r="NDQ50" s="1360"/>
      <c r="NDR50" s="1360"/>
      <c r="NDS50" s="1360"/>
      <c r="NDT50" s="1360"/>
      <c r="NDU50" s="1360"/>
      <c r="NDV50" s="1360"/>
      <c r="NDW50" s="1360"/>
      <c r="NDX50" s="1360"/>
      <c r="NDY50" s="1360"/>
      <c r="NDZ50" s="1360"/>
      <c r="NEA50" s="1360"/>
      <c r="NEB50" s="1360"/>
      <c r="NEC50" s="1360"/>
      <c r="NED50" s="1360"/>
      <c r="NEE50" s="1360"/>
      <c r="NEF50" s="1360"/>
      <c r="NEG50" s="1360"/>
      <c r="NEH50" s="1360"/>
      <c r="NEI50" s="1360"/>
      <c r="NEJ50" s="1360"/>
      <c r="NEK50" s="1360"/>
      <c r="NEL50" s="1360"/>
      <c r="NEM50" s="1360"/>
      <c r="NEN50" s="1360"/>
      <c r="NEO50" s="1360"/>
      <c r="NEP50" s="1360"/>
      <c r="NEQ50" s="1360"/>
      <c r="NER50" s="1360"/>
      <c r="NES50" s="1360"/>
      <c r="NET50" s="1360"/>
      <c r="NEU50" s="1360"/>
      <c r="NEV50" s="1360"/>
      <c r="NEW50" s="1360"/>
      <c r="NEX50" s="1360"/>
      <c r="NEY50" s="1360"/>
      <c r="NEZ50" s="1360"/>
      <c r="NFA50" s="1360"/>
      <c r="NFB50" s="1360"/>
      <c r="NFC50" s="1360"/>
      <c r="NFD50" s="1360"/>
      <c r="NFE50" s="1360"/>
      <c r="NFF50" s="1360"/>
      <c r="NFG50" s="1360"/>
      <c r="NFH50" s="1360"/>
      <c r="NFI50" s="1360"/>
      <c r="NFJ50" s="1360"/>
      <c r="NFK50" s="1360"/>
      <c r="NFL50" s="1360"/>
      <c r="NFM50" s="1360"/>
      <c r="NFN50" s="1360"/>
      <c r="NFO50" s="1360"/>
      <c r="NFP50" s="1360"/>
      <c r="NFQ50" s="1360"/>
      <c r="NFR50" s="1360"/>
      <c r="NFS50" s="1360"/>
      <c r="NFT50" s="1360"/>
      <c r="NFU50" s="1360"/>
      <c r="NFV50" s="1360"/>
      <c r="NFW50" s="1360"/>
      <c r="NFX50" s="1360"/>
      <c r="NFY50" s="1360"/>
      <c r="NFZ50" s="1360"/>
      <c r="NGA50" s="1360"/>
      <c r="NGB50" s="1360"/>
      <c r="NGC50" s="1360"/>
      <c r="NGD50" s="1360"/>
      <c r="NGE50" s="1360"/>
      <c r="NGF50" s="1360"/>
      <c r="NGG50" s="1360"/>
      <c r="NGH50" s="1360"/>
      <c r="NGI50" s="1360"/>
      <c r="NGJ50" s="1360"/>
      <c r="NGK50" s="1360"/>
      <c r="NGL50" s="1360"/>
      <c r="NGM50" s="1360"/>
      <c r="NGN50" s="1360"/>
      <c r="NGO50" s="1360"/>
      <c r="NGP50" s="1360"/>
      <c r="NGQ50" s="1360"/>
      <c r="NGR50" s="1360"/>
      <c r="NGS50" s="1360"/>
      <c r="NGT50" s="1360"/>
      <c r="NGU50" s="1360"/>
      <c r="NGV50" s="1360"/>
      <c r="NGW50" s="1360"/>
      <c r="NGX50" s="1360"/>
      <c r="NGY50" s="1360"/>
      <c r="NGZ50" s="1360"/>
      <c r="NHA50" s="1360"/>
      <c r="NHB50" s="1360"/>
      <c r="NHC50" s="1360"/>
      <c r="NHD50" s="1360"/>
      <c r="NHE50" s="1360"/>
      <c r="NHF50" s="1360"/>
      <c r="NHG50" s="1360"/>
      <c r="NHH50" s="1360"/>
      <c r="NHI50" s="1360"/>
      <c r="NHJ50" s="1360"/>
      <c r="NHK50" s="1360"/>
      <c r="NHL50" s="1360"/>
      <c r="NHM50" s="1360"/>
      <c r="NHN50" s="1360"/>
      <c r="NHO50" s="1360"/>
      <c r="NHP50" s="1360"/>
      <c r="NHQ50" s="1360"/>
      <c r="NHR50" s="1360"/>
      <c r="NHS50" s="1360"/>
      <c r="NHT50" s="1360"/>
      <c r="NHU50" s="1360"/>
      <c r="NHV50" s="1360"/>
      <c r="NHW50" s="1360"/>
      <c r="NHX50" s="1360"/>
      <c r="NHY50" s="1360"/>
      <c r="NHZ50" s="1360"/>
      <c r="NIA50" s="1360"/>
      <c r="NIB50" s="1360"/>
      <c r="NIC50" s="1360"/>
      <c r="NID50" s="1360"/>
      <c r="NIE50" s="1360"/>
      <c r="NIF50" s="1360"/>
      <c r="NIG50" s="1360"/>
      <c r="NIH50" s="1360"/>
      <c r="NII50" s="1360"/>
      <c r="NIJ50" s="1360"/>
      <c r="NIK50" s="1360"/>
      <c r="NIL50" s="1360"/>
      <c r="NIM50" s="1360"/>
      <c r="NIN50" s="1360"/>
      <c r="NIO50" s="1360"/>
      <c r="NIP50" s="1360"/>
      <c r="NIQ50" s="1360"/>
      <c r="NIR50" s="1360"/>
      <c r="NIS50" s="1360"/>
      <c r="NIT50" s="1360"/>
      <c r="NIU50" s="1360"/>
      <c r="NIV50" s="1360"/>
      <c r="NIW50" s="1360"/>
      <c r="NIX50" s="1360"/>
      <c r="NIY50" s="1360"/>
      <c r="NIZ50" s="1360"/>
      <c r="NJA50" s="1360"/>
      <c r="NJB50" s="1360"/>
      <c r="NJC50" s="1360"/>
      <c r="NJD50" s="1360"/>
      <c r="NJE50" s="1360"/>
      <c r="NJF50" s="1360"/>
      <c r="NJG50" s="1360"/>
      <c r="NJH50" s="1360"/>
      <c r="NJI50" s="1360"/>
      <c r="NJJ50" s="1360"/>
      <c r="NJK50" s="1360"/>
      <c r="NJL50" s="1360"/>
      <c r="NJM50" s="1360"/>
      <c r="NJN50" s="1360"/>
      <c r="NJO50" s="1360"/>
      <c r="NJP50" s="1360"/>
      <c r="NJQ50" s="1360"/>
      <c r="NJR50" s="1360"/>
      <c r="NJS50" s="1360"/>
      <c r="NJT50" s="1360"/>
      <c r="NJU50" s="1360"/>
      <c r="NJV50" s="1360"/>
      <c r="NJW50" s="1360"/>
      <c r="NJX50" s="1360"/>
      <c r="NJY50" s="1360"/>
      <c r="NJZ50" s="1360"/>
      <c r="NKA50" s="1360"/>
      <c r="NKB50" s="1360"/>
      <c r="NKC50" s="1360"/>
      <c r="NKD50" s="1360"/>
      <c r="NKE50" s="1360"/>
      <c r="NKF50" s="1360"/>
      <c r="NKG50" s="1360"/>
      <c r="NKH50" s="1360"/>
      <c r="NKI50" s="1360"/>
      <c r="NKJ50" s="1360"/>
      <c r="NKK50" s="1360"/>
      <c r="NKL50" s="1360"/>
      <c r="NKM50" s="1360"/>
      <c r="NKN50" s="1360"/>
      <c r="NKO50" s="1360"/>
      <c r="NKP50" s="1360"/>
      <c r="NKQ50" s="1360"/>
      <c r="NKR50" s="1360"/>
      <c r="NKS50" s="1360"/>
      <c r="NKT50" s="1360"/>
      <c r="NKU50" s="1360"/>
      <c r="NKV50" s="1360"/>
      <c r="NKW50" s="1360"/>
      <c r="NKX50" s="1360"/>
      <c r="NKY50" s="1360"/>
      <c r="NKZ50" s="1360"/>
      <c r="NLA50" s="1360"/>
      <c r="NLB50" s="1360"/>
      <c r="NLC50" s="1360"/>
      <c r="NLD50" s="1360"/>
      <c r="NLE50" s="1360"/>
      <c r="NLF50" s="1360"/>
      <c r="NLG50" s="1360"/>
      <c r="NLH50" s="1360"/>
      <c r="NLI50" s="1360"/>
      <c r="NLJ50" s="1360"/>
      <c r="NLK50" s="1360"/>
      <c r="NLL50" s="1360"/>
      <c r="NLM50" s="1360"/>
      <c r="NLN50" s="1360"/>
      <c r="NLO50" s="1360"/>
      <c r="NLP50" s="1360"/>
      <c r="NLQ50" s="1360"/>
      <c r="NLR50" s="1360"/>
      <c r="NLS50" s="1360"/>
      <c r="NLT50" s="1360"/>
      <c r="NLU50" s="1360"/>
      <c r="NLV50" s="1360"/>
      <c r="NLW50" s="1360"/>
      <c r="NLX50" s="1360"/>
      <c r="NLY50" s="1360"/>
      <c r="NLZ50" s="1360"/>
      <c r="NMA50" s="1360"/>
      <c r="NMB50" s="1360"/>
      <c r="NMC50" s="1360"/>
      <c r="NMD50" s="1360"/>
      <c r="NME50" s="1360"/>
      <c r="NMF50" s="1360"/>
      <c r="NMG50" s="1360"/>
      <c r="NMH50" s="1360"/>
      <c r="NMI50" s="1360"/>
      <c r="NMJ50" s="1360"/>
      <c r="NMK50" s="1360"/>
      <c r="NML50" s="1360"/>
      <c r="NMM50" s="1360"/>
      <c r="NMN50" s="1360"/>
      <c r="NMO50" s="1360"/>
      <c r="NMP50" s="1360"/>
      <c r="NMQ50" s="1360"/>
      <c r="NMR50" s="1360"/>
      <c r="NMS50" s="1360"/>
      <c r="NMT50" s="1360"/>
      <c r="NMU50" s="1360"/>
      <c r="NMV50" s="1360"/>
      <c r="NMW50" s="1360"/>
      <c r="NMX50" s="1360"/>
      <c r="NMY50" s="1360"/>
      <c r="NMZ50" s="1360"/>
      <c r="NNA50" s="1360"/>
      <c r="NNB50" s="1360"/>
      <c r="NNC50" s="1360"/>
      <c r="NND50" s="1360"/>
      <c r="NNE50" s="1360"/>
      <c r="NNF50" s="1360"/>
      <c r="NNG50" s="1360"/>
      <c r="NNH50" s="1360"/>
      <c r="NNI50" s="1360"/>
      <c r="NNJ50" s="1360"/>
      <c r="NNK50" s="1360"/>
      <c r="NNL50" s="1360"/>
      <c r="NNM50" s="1360"/>
      <c r="NNN50" s="1360"/>
      <c r="NNO50" s="1360"/>
      <c r="NNP50" s="1360"/>
      <c r="NNQ50" s="1360"/>
      <c r="NNR50" s="1360"/>
      <c r="NNS50" s="1360"/>
      <c r="NNT50" s="1360"/>
      <c r="NNU50" s="1360"/>
      <c r="NNV50" s="1360"/>
      <c r="NNW50" s="1360"/>
      <c r="NNX50" s="1360"/>
      <c r="NNY50" s="1360"/>
      <c r="NNZ50" s="1360"/>
      <c r="NOA50" s="1360"/>
      <c r="NOB50" s="1360"/>
      <c r="NOC50" s="1360"/>
      <c r="NOD50" s="1360"/>
      <c r="NOE50" s="1360"/>
      <c r="NOF50" s="1360"/>
      <c r="NOG50" s="1360"/>
      <c r="NOH50" s="1360"/>
      <c r="NOI50" s="1360"/>
      <c r="NOJ50" s="1360"/>
      <c r="NOK50" s="1360"/>
      <c r="NOL50" s="1360"/>
      <c r="NOM50" s="1360"/>
      <c r="NON50" s="1360"/>
      <c r="NOO50" s="1360"/>
      <c r="NOP50" s="1360"/>
      <c r="NOQ50" s="1360"/>
      <c r="NOR50" s="1360"/>
      <c r="NOS50" s="1360"/>
      <c r="NOT50" s="1360"/>
      <c r="NOU50" s="1360"/>
      <c r="NOV50" s="1360"/>
      <c r="NOW50" s="1360"/>
      <c r="NOX50" s="1360"/>
      <c r="NOY50" s="1360"/>
      <c r="NOZ50" s="1360"/>
      <c r="NPA50" s="1360"/>
      <c r="NPB50" s="1360"/>
      <c r="NPC50" s="1360"/>
      <c r="NPD50" s="1360"/>
      <c r="NPE50" s="1360"/>
      <c r="NPF50" s="1360"/>
      <c r="NPG50" s="1360"/>
      <c r="NPH50" s="1360"/>
      <c r="NPI50" s="1360"/>
      <c r="NPJ50" s="1360"/>
      <c r="NPK50" s="1360"/>
      <c r="NPL50" s="1360"/>
      <c r="NPM50" s="1360"/>
      <c r="NPN50" s="1360"/>
      <c r="NPO50" s="1360"/>
      <c r="NPP50" s="1360"/>
      <c r="NPQ50" s="1360"/>
      <c r="NPR50" s="1360"/>
      <c r="NPS50" s="1360"/>
      <c r="NPT50" s="1360"/>
      <c r="NPU50" s="1360"/>
      <c r="NPV50" s="1360"/>
      <c r="NPW50" s="1360"/>
      <c r="NPX50" s="1360"/>
      <c r="NPY50" s="1360"/>
      <c r="NPZ50" s="1360"/>
      <c r="NQA50" s="1360"/>
      <c r="NQB50" s="1360"/>
      <c r="NQC50" s="1360"/>
      <c r="NQD50" s="1360"/>
      <c r="NQE50" s="1360"/>
      <c r="NQF50" s="1360"/>
      <c r="NQG50" s="1360"/>
      <c r="NQH50" s="1360"/>
      <c r="NQI50" s="1360"/>
      <c r="NQJ50" s="1360"/>
      <c r="NQK50" s="1360"/>
      <c r="NQL50" s="1360"/>
      <c r="NQM50" s="1360"/>
      <c r="NQN50" s="1360"/>
      <c r="NQO50" s="1360"/>
      <c r="NQP50" s="1360"/>
      <c r="NQQ50" s="1360"/>
      <c r="NQR50" s="1360"/>
      <c r="NQS50" s="1360"/>
      <c r="NQT50" s="1360"/>
      <c r="NQU50" s="1360"/>
      <c r="NQV50" s="1360"/>
      <c r="NQW50" s="1360"/>
      <c r="NQX50" s="1360"/>
      <c r="NQY50" s="1360"/>
      <c r="NQZ50" s="1360"/>
      <c r="NRA50" s="1360"/>
      <c r="NRB50" s="1360"/>
      <c r="NRC50" s="1360"/>
      <c r="NRD50" s="1360"/>
      <c r="NRE50" s="1360"/>
      <c r="NRF50" s="1360"/>
      <c r="NRG50" s="1360"/>
      <c r="NRH50" s="1360"/>
      <c r="NRI50" s="1360"/>
      <c r="NRJ50" s="1360"/>
      <c r="NRK50" s="1360"/>
      <c r="NRL50" s="1360"/>
      <c r="NRM50" s="1360"/>
      <c r="NRN50" s="1360"/>
      <c r="NRO50" s="1360"/>
      <c r="NRP50" s="1360"/>
      <c r="NRQ50" s="1360"/>
      <c r="NRR50" s="1360"/>
      <c r="NRS50" s="1360"/>
      <c r="NRT50" s="1360"/>
      <c r="NRU50" s="1360"/>
      <c r="NRV50" s="1360"/>
      <c r="NRW50" s="1360"/>
      <c r="NRX50" s="1360"/>
      <c r="NRY50" s="1360"/>
      <c r="NRZ50" s="1360"/>
      <c r="NSA50" s="1360"/>
      <c r="NSB50" s="1360"/>
      <c r="NSC50" s="1360"/>
      <c r="NSD50" s="1360"/>
      <c r="NSE50" s="1360"/>
      <c r="NSF50" s="1360"/>
      <c r="NSG50" s="1360"/>
      <c r="NSH50" s="1360"/>
      <c r="NSI50" s="1360"/>
      <c r="NSJ50" s="1360"/>
      <c r="NSK50" s="1360"/>
      <c r="NSL50" s="1360"/>
      <c r="NSM50" s="1360"/>
      <c r="NSN50" s="1360"/>
      <c r="NSO50" s="1360"/>
      <c r="NSP50" s="1360"/>
      <c r="NSQ50" s="1360"/>
      <c r="NSR50" s="1360"/>
      <c r="NSS50" s="1360"/>
      <c r="NST50" s="1360"/>
      <c r="NSU50" s="1360"/>
      <c r="NSV50" s="1360"/>
      <c r="NSW50" s="1360"/>
      <c r="NSX50" s="1360"/>
      <c r="NSY50" s="1360"/>
      <c r="NSZ50" s="1360"/>
      <c r="NTA50" s="1360"/>
      <c r="NTB50" s="1360"/>
      <c r="NTC50" s="1360"/>
      <c r="NTD50" s="1360"/>
      <c r="NTE50" s="1360"/>
      <c r="NTF50" s="1360"/>
      <c r="NTG50" s="1360"/>
      <c r="NTH50" s="1360"/>
      <c r="NTI50" s="1360"/>
      <c r="NTJ50" s="1360"/>
      <c r="NTK50" s="1360"/>
      <c r="NTL50" s="1360"/>
      <c r="NTM50" s="1360"/>
      <c r="NTN50" s="1360"/>
      <c r="NTO50" s="1360"/>
      <c r="NTP50" s="1360"/>
      <c r="NTQ50" s="1360"/>
      <c r="NTR50" s="1360"/>
      <c r="NTS50" s="1360"/>
      <c r="NTT50" s="1360"/>
      <c r="NTU50" s="1360"/>
      <c r="NTV50" s="1360"/>
      <c r="NTW50" s="1360"/>
      <c r="NTX50" s="1360"/>
      <c r="NTY50" s="1360"/>
      <c r="NTZ50" s="1360"/>
      <c r="NUA50" s="1360"/>
      <c r="NUB50" s="1360"/>
      <c r="NUC50" s="1360"/>
      <c r="NUD50" s="1360"/>
      <c r="NUE50" s="1360"/>
      <c r="NUF50" s="1360"/>
      <c r="NUG50" s="1360"/>
      <c r="NUH50" s="1360"/>
      <c r="NUI50" s="1360"/>
      <c r="NUJ50" s="1360"/>
      <c r="NUK50" s="1360"/>
      <c r="NUL50" s="1360"/>
      <c r="NUM50" s="1360"/>
      <c r="NUN50" s="1360"/>
      <c r="NUO50" s="1360"/>
      <c r="NUP50" s="1360"/>
      <c r="NUQ50" s="1360"/>
      <c r="NUR50" s="1360"/>
      <c r="NUS50" s="1360"/>
      <c r="NUT50" s="1360"/>
      <c r="NUU50" s="1360"/>
      <c r="NUV50" s="1360"/>
      <c r="NUW50" s="1360"/>
      <c r="NUX50" s="1360"/>
      <c r="NUY50" s="1360"/>
      <c r="NUZ50" s="1360"/>
      <c r="NVA50" s="1360"/>
      <c r="NVB50" s="1360"/>
      <c r="NVC50" s="1360"/>
      <c r="NVD50" s="1360"/>
      <c r="NVE50" s="1360"/>
      <c r="NVF50" s="1360"/>
      <c r="NVG50" s="1360"/>
      <c r="NVH50" s="1360"/>
      <c r="NVI50" s="1360"/>
      <c r="NVJ50" s="1360"/>
      <c r="NVK50" s="1360"/>
      <c r="NVL50" s="1360"/>
      <c r="NVM50" s="1360"/>
      <c r="NVN50" s="1360"/>
      <c r="NVO50" s="1360"/>
      <c r="NVP50" s="1360"/>
      <c r="NVQ50" s="1360"/>
      <c r="NVR50" s="1360"/>
      <c r="NVS50" s="1360"/>
      <c r="NVT50" s="1360"/>
      <c r="NVU50" s="1360"/>
      <c r="NVV50" s="1360"/>
      <c r="NVW50" s="1360"/>
      <c r="NVX50" s="1360"/>
      <c r="NVY50" s="1360"/>
      <c r="NVZ50" s="1360"/>
      <c r="NWA50" s="1360"/>
      <c r="NWB50" s="1360"/>
      <c r="NWC50" s="1360"/>
      <c r="NWD50" s="1360"/>
      <c r="NWE50" s="1360"/>
      <c r="NWF50" s="1360"/>
      <c r="NWG50" s="1360"/>
      <c r="NWH50" s="1360"/>
      <c r="NWI50" s="1360"/>
      <c r="NWJ50" s="1360"/>
      <c r="NWK50" s="1360"/>
      <c r="NWL50" s="1360"/>
      <c r="NWM50" s="1360"/>
      <c r="NWN50" s="1360"/>
      <c r="NWO50" s="1360"/>
      <c r="NWP50" s="1360"/>
      <c r="NWQ50" s="1360"/>
      <c r="NWR50" s="1360"/>
      <c r="NWS50" s="1360"/>
      <c r="NWT50" s="1360"/>
      <c r="NWU50" s="1360"/>
      <c r="NWV50" s="1360"/>
      <c r="NWW50" s="1360"/>
      <c r="NWX50" s="1360"/>
      <c r="NWY50" s="1360"/>
      <c r="NWZ50" s="1360"/>
      <c r="NXA50" s="1360"/>
      <c r="NXB50" s="1360"/>
      <c r="NXC50" s="1360"/>
      <c r="NXD50" s="1360"/>
      <c r="NXE50" s="1360"/>
      <c r="NXF50" s="1360"/>
      <c r="NXG50" s="1360"/>
      <c r="NXH50" s="1360"/>
      <c r="NXI50" s="1360"/>
      <c r="NXJ50" s="1360"/>
      <c r="NXK50" s="1360"/>
      <c r="NXL50" s="1360"/>
      <c r="NXM50" s="1360"/>
      <c r="NXN50" s="1360"/>
      <c r="NXO50" s="1360"/>
      <c r="NXP50" s="1360"/>
      <c r="NXQ50" s="1360"/>
      <c r="NXR50" s="1360"/>
      <c r="NXS50" s="1360"/>
      <c r="NXT50" s="1360"/>
      <c r="NXU50" s="1360"/>
      <c r="NXV50" s="1360"/>
      <c r="NXW50" s="1360"/>
      <c r="NXX50" s="1360"/>
      <c r="NXY50" s="1360"/>
      <c r="NXZ50" s="1360"/>
      <c r="NYA50" s="1360"/>
      <c r="NYB50" s="1360"/>
      <c r="NYC50" s="1360"/>
      <c r="NYD50" s="1360"/>
      <c r="NYE50" s="1360"/>
      <c r="NYF50" s="1360"/>
      <c r="NYG50" s="1360"/>
      <c r="NYH50" s="1360"/>
      <c r="NYI50" s="1360"/>
      <c r="NYJ50" s="1360"/>
      <c r="NYK50" s="1360"/>
      <c r="NYL50" s="1360"/>
      <c r="NYM50" s="1360"/>
      <c r="NYN50" s="1360"/>
      <c r="NYO50" s="1360"/>
      <c r="NYP50" s="1360"/>
      <c r="NYQ50" s="1360"/>
      <c r="NYR50" s="1360"/>
      <c r="NYS50" s="1360"/>
      <c r="NYT50" s="1360"/>
      <c r="NYU50" s="1360"/>
      <c r="NYV50" s="1360"/>
      <c r="NYW50" s="1360"/>
      <c r="NYX50" s="1360"/>
      <c r="NYY50" s="1360"/>
      <c r="NYZ50" s="1360"/>
      <c r="NZA50" s="1360"/>
      <c r="NZB50" s="1360"/>
      <c r="NZC50" s="1360"/>
      <c r="NZD50" s="1360"/>
      <c r="NZE50" s="1360"/>
      <c r="NZF50" s="1360"/>
      <c r="NZG50" s="1360"/>
      <c r="NZH50" s="1360"/>
      <c r="NZI50" s="1360"/>
      <c r="NZJ50" s="1360"/>
      <c r="NZK50" s="1360"/>
      <c r="NZL50" s="1360"/>
      <c r="NZM50" s="1360"/>
      <c r="NZN50" s="1360"/>
      <c r="NZO50" s="1360"/>
      <c r="NZP50" s="1360"/>
      <c r="NZQ50" s="1360"/>
      <c r="NZR50" s="1360"/>
      <c r="NZS50" s="1360"/>
      <c r="NZT50" s="1360"/>
      <c r="NZU50" s="1360"/>
      <c r="NZV50" s="1360"/>
      <c r="NZW50" s="1360"/>
      <c r="NZX50" s="1360"/>
      <c r="NZY50" s="1360"/>
      <c r="NZZ50" s="1360"/>
      <c r="OAA50" s="1360"/>
      <c r="OAB50" s="1360"/>
      <c r="OAC50" s="1360"/>
      <c r="OAD50" s="1360"/>
      <c r="OAE50" s="1360"/>
      <c r="OAF50" s="1360"/>
      <c r="OAG50" s="1360"/>
      <c r="OAH50" s="1360"/>
      <c r="OAI50" s="1360"/>
      <c r="OAJ50" s="1360"/>
      <c r="OAK50" s="1360"/>
      <c r="OAL50" s="1360"/>
      <c r="OAM50" s="1360"/>
      <c r="OAN50" s="1360"/>
      <c r="OAO50" s="1360"/>
      <c r="OAP50" s="1360"/>
      <c r="OAQ50" s="1360"/>
      <c r="OAR50" s="1360"/>
      <c r="OAS50" s="1360"/>
      <c r="OAT50" s="1360"/>
      <c r="OAU50" s="1360"/>
      <c r="OAV50" s="1360"/>
      <c r="OAW50" s="1360"/>
      <c r="OAX50" s="1360"/>
      <c r="OAY50" s="1360"/>
      <c r="OAZ50" s="1360"/>
      <c r="OBA50" s="1360"/>
      <c r="OBB50" s="1360"/>
      <c r="OBC50" s="1360"/>
      <c r="OBD50" s="1360"/>
      <c r="OBE50" s="1360"/>
      <c r="OBF50" s="1360"/>
      <c r="OBG50" s="1360"/>
      <c r="OBH50" s="1360"/>
      <c r="OBI50" s="1360"/>
      <c r="OBJ50" s="1360"/>
      <c r="OBK50" s="1360"/>
      <c r="OBL50" s="1360"/>
      <c r="OBM50" s="1360"/>
      <c r="OBN50" s="1360"/>
      <c r="OBO50" s="1360"/>
      <c r="OBP50" s="1360"/>
      <c r="OBQ50" s="1360"/>
      <c r="OBR50" s="1360"/>
      <c r="OBS50" s="1360"/>
      <c r="OBT50" s="1360"/>
      <c r="OBU50" s="1360"/>
      <c r="OBV50" s="1360"/>
      <c r="OBW50" s="1360"/>
      <c r="OBX50" s="1360"/>
      <c r="OBY50" s="1360"/>
      <c r="OBZ50" s="1360"/>
      <c r="OCA50" s="1360"/>
      <c r="OCB50" s="1360"/>
      <c r="OCC50" s="1360"/>
      <c r="OCD50" s="1360"/>
      <c r="OCE50" s="1360"/>
      <c r="OCF50" s="1360"/>
      <c r="OCG50" s="1360"/>
      <c r="OCH50" s="1360"/>
      <c r="OCI50" s="1360"/>
      <c r="OCJ50" s="1360"/>
      <c r="OCK50" s="1360"/>
      <c r="OCL50" s="1360"/>
      <c r="OCM50" s="1360"/>
      <c r="OCN50" s="1360"/>
      <c r="OCO50" s="1360"/>
      <c r="OCP50" s="1360"/>
      <c r="OCQ50" s="1360"/>
      <c r="OCR50" s="1360"/>
      <c r="OCS50" s="1360"/>
      <c r="OCT50" s="1360"/>
      <c r="OCU50" s="1360"/>
      <c r="OCV50" s="1360"/>
      <c r="OCW50" s="1360"/>
      <c r="OCX50" s="1360"/>
      <c r="OCY50" s="1360"/>
      <c r="OCZ50" s="1360"/>
      <c r="ODA50" s="1360"/>
      <c r="ODB50" s="1360"/>
      <c r="ODC50" s="1360"/>
      <c r="ODD50" s="1360"/>
      <c r="ODE50" s="1360"/>
      <c r="ODF50" s="1360"/>
      <c r="ODG50" s="1360"/>
      <c r="ODH50" s="1360"/>
      <c r="ODI50" s="1360"/>
      <c r="ODJ50" s="1360"/>
      <c r="ODK50" s="1360"/>
      <c r="ODL50" s="1360"/>
      <c r="ODM50" s="1360"/>
      <c r="ODN50" s="1360"/>
      <c r="ODO50" s="1360"/>
      <c r="ODP50" s="1360"/>
      <c r="ODQ50" s="1360"/>
      <c r="ODR50" s="1360"/>
      <c r="ODS50" s="1360"/>
      <c r="ODT50" s="1360"/>
      <c r="ODU50" s="1360"/>
      <c r="ODV50" s="1360"/>
      <c r="ODW50" s="1360"/>
      <c r="ODX50" s="1360"/>
      <c r="ODY50" s="1360"/>
      <c r="ODZ50" s="1360"/>
      <c r="OEA50" s="1360"/>
      <c r="OEB50" s="1360"/>
      <c r="OEC50" s="1360"/>
      <c r="OED50" s="1360"/>
      <c r="OEE50" s="1360"/>
      <c r="OEF50" s="1360"/>
      <c r="OEG50" s="1360"/>
      <c r="OEH50" s="1360"/>
      <c r="OEI50" s="1360"/>
      <c r="OEJ50" s="1360"/>
      <c r="OEK50" s="1360"/>
      <c r="OEL50" s="1360"/>
      <c r="OEM50" s="1360"/>
      <c r="OEN50" s="1360"/>
      <c r="OEO50" s="1360"/>
      <c r="OEP50" s="1360"/>
      <c r="OEQ50" s="1360"/>
      <c r="OER50" s="1360"/>
      <c r="OES50" s="1360"/>
      <c r="OET50" s="1360"/>
      <c r="OEU50" s="1360"/>
      <c r="OEV50" s="1360"/>
      <c r="OEW50" s="1360"/>
      <c r="OEX50" s="1360"/>
      <c r="OEY50" s="1360"/>
      <c r="OEZ50" s="1360"/>
      <c r="OFA50" s="1360"/>
      <c r="OFB50" s="1360"/>
      <c r="OFC50" s="1360"/>
      <c r="OFD50" s="1360"/>
      <c r="OFE50" s="1360"/>
      <c r="OFF50" s="1360"/>
      <c r="OFG50" s="1360"/>
      <c r="OFH50" s="1360"/>
      <c r="OFI50" s="1360"/>
      <c r="OFJ50" s="1360"/>
      <c r="OFK50" s="1360"/>
      <c r="OFL50" s="1360"/>
      <c r="OFM50" s="1360"/>
      <c r="OFN50" s="1360"/>
      <c r="OFO50" s="1360"/>
      <c r="OFP50" s="1360"/>
      <c r="OFQ50" s="1360"/>
      <c r="OFR50" s="1360"/>
      <c r="OFS50" s="1360"/>
      <c r="OFT50" s="1360"/>
      <c r="OFU50" s="1360"/>
      <c r="OFV50" s="1360"/>
      <c r="OFW50" s="1360"/>
      <c r="OFX50" s="1360"/>
      <c r="OFY50" s="1360"/>
      <c r="OFZ50" s="1360"/>
      <c r="OGA50" s="1360"/>
      <c r="OGB50" s="1360"/>
      <c r="OGC50" s="1360"/>
      <c r="OGD50" s="1360"/>
      <c r="OGE50" s="1360"/>
      <c r="OGF50" s="1360"/>
      <c r="OGG50" s="1360"/>
      <c r="OGH50" s="1360"/>
      <c r="OGI50" s="1360"/>
      <c r="OGJ50" s="1360"/>
      <c r="OGK50" s="1360"/>
      <c r="OGL50" s="1360"/>
      <c r="OGM50" s="1360"/>
      <c r="OGN50" s="1360"/>
      <c r="OGO50" s="1360"/>
      <c r="OGP50" s="1360"/>
      <c r="OGQ50" s="1360"/>
      <c r="OGR50" s="1360"/>
      <c r="OGS50" s="1360"/>
      <c r="OGT50" s="1360"/>
      <c r="OGU50" s="1360"/>
      <c r="OGV50" s="1360"/>
      <c r="OGW50" s="1360"/>
      <c r="OGX50" s="1360"/>
      <c r="OGY50" s="1360"/>
      <c r="OGZ50" s="1360"/>
      <c r="OHA50" s="1360"/>
      <c r="OHB50" s="1360"/>
      <c r="OHC50" s="1360"/>
      <c r="OHD50" s="1360"/>
      <c r="OHE50" s="1360"/>
      <c r="OHF50" s="1360"/>
      <c r="OHG50" s="1360"/>
      <c r="OHH50" s="1360"/>
      <c r="OHI50" s="1360"/>
      <c r="OHJ50" s="1360"/>
      <c r="OHK50" s="1360"/>
      <c r="OHL50" s="1360"/>
      <c r="OHM50" s="1360"/>
      <c r="OHN50" s="1360"/>
      <c r="OHO50" s="1360"/>
      <c r="OHP50" s="1360"/>
      <c r="OHQ50" s="1360"/>
      <c r="OHR50" s="1360"/>
      <c r="OHS50" s="1360"/>
      <c r="OHT50" s="1360"/>
      <c r="OHU50" s="1360"/>
      <c r="OHV50" s="1360"/>
      <c r="OHW50" s="1360"/>
      <c r="OHX50" s="1360"/>
      <c r="OHY50" s="1360"/>
      <c r="OHZ50" s="1360"/>
      <c r="OIA50" s="1360"/>
      <c r="OIB50" s="1360"/>
      <c r="OIC50" s="1360"/>
      <c r="OID50" s="1360"/>
      <c r="OIE50" s="1360"/>
      <c r="OIF50" s="1360"/>
      <c r="OIG50" s="1360"/>
      <c r="OIH50" s="1360"/>
      <c r="OII50" s="1360"/>
      <c r="OIJ50" s="1360"/>
      <c r="OIK50" s="1360"/>
      <c r="OIL50" s="1360"/>
      <c r="OIM50" s="1360"/>
      <c r="OIN50" s="1360"/>
      <c r="OIO50" s="1360"/>
      <c r="OIP50" s="1360"/>
      <c r="OIQ50" s="1360"/>
      <c r="OIR50" s="1360"/>
      <c r="OIS50" s="1360"/>
      <c r="OIT50" s="1360"/>
      <c r="OIU50" s="1360"/>
      <c r="OIV50" s="1360"/>
      <c r="OIW50" s="1360"/>
      <c r="OIX50" s="1360"/>
      <c r="OIY50" s="1360"/>
      <c r="OIZ50" s="1360"/>
      <c r="OJA50" s="1360"/>
      <c r="OJB50" s="1360"/>
      <c r="OJC50" s="1360"/>
      <c r="OJD50" s="1360"/>
      <c r="OJE50" s="1360"/>
      <c r="OJF50" s="1360"/>
      <c r="OJG50" s="1360"/>
      <c r="OJH50" s="1360"/>
      <c r="OJI50" s="1360"/>
      <c r="OJJ50" s="1360"/>
      <c r="OJK50" s="1360"/>
      <c r="OJL50" s="1360"/>
      <c r="OJM50" s="1360"/>
      <c r="OJN50" s="1360"/>
      <c r="OJO50" s="1360"/>
      <c r="OJP50" s="1360"/>
      <c r="OJQ50" s="1360"/>
      <c r="OJR50" s="1360"/>
      <c r="OJS50" s="1360"/>
      <c r="OJT50" s="1360"/>
      <c r="OJU50" s="1360"/>
      <c r="OJV50" s="1360"/>
      <c r="OJW50" s="1360"/>
      <c r="OJX50" s="1360"/>
      <c r="OJY50" s="1360"/>
      <c r="OJZ50" s="1360"/>
      <c r="OKA50" s="1360"/>
      <c r="OKB50" s="1360"/>
      <c r="OKC50" s="1360"/>
      <c r="OKD50" s="1360"/>
      <c r="OKE50" s="1360"/>
      <c r="OKF50" s="1360"/>
      <c r="OKG50" s="1360"/>
      <c r="OKH50" s="1360"/>
      <c r="OKI50" s="1360"/>
      <c r="OKJ50" s="1360"/>
      <c r="OKK50" s="1360"/>
      <c r="OKL50" s="1360"/>
      <c r="OKM50" s="1360"/>
      <c r="OKN50" s="1360"/>
      <c r="OKO50" s="1360"/>
      <c r="OKP50" s="1360"/>
      <c r="OKQ50" s="1360"/>
      <c r="OKR50" s="1360"/>
      <c r="OKS50" s="1360"/>
      <c r="OKT50" s="1360"/>
      <c r="OKU50" s="1360"/>
      <c r="OKV50" s="1360"/>
      <c r="OKW50" s="1360"/>
      <c r="OKX50" s="1360"/>
      <c r="OKY50" s="1360"/>
      <c r="OKZ50" s="1360"/>
      <c r="OLA50" s="1360"/>
      <c r="OLB50" s="1360"/>
      <c r="OLC50" s="1360"/>
      <c r="OLD50" s="1360"/>
      <c r="OLE50" s="1360"/>
      <c r="OLF50" s="1360"/>
      <c r="OLG50" s="1360"/>
      <c r="OLH50" s="1360"/>
      <c r="OLI50" s="1360"/>
      <c r="OLJ50" s="1360"/>
      <c r="OLK50" s="1360"/>
      <c r="OLL50" s="1360"/>
      <c r="OLM50" s="1360"/>
      <c r="OLN50" s="1360"/>
      <c r="OLO50" s="1360"/>
      <c r="OLP50" s="1360"/>
      <c r="OLQ50" s="1360"/>
      <c r="OLR50" s="1360"/>
      <c r="OLS50" s="1360"/>
      <c r="OLT50" s="1360"/>
      <c r="OLU50" s="1360"/>
      <c r="OLV50" s="1360"/>
      <c r="OLW50" s="1360"/>
      <c r="OLX50" s="1360"/>
      <c r="OLY50" s="1360"/>
      <c r="OLZ50" s="1360"/>
      <c r="OMA50" s="1360"/>
      <c r="OMB50" s="1360"/>
      <c r="OMC50" s="1360"/>
      <c r="OMD50" s="1360"/>
      <c r="OME50" s="1360"/>
      <c r="OMF50" s="1360"/>
      <c r="OMG50" s="1360"/>
      <c r="OMH50" s="1360"/>
      <c r="OMI50" s="1360"/>
      <c r="OMJ50" s="1360"/>
      <c r="OMK50" s="1360"/>
      <c r="OML50" s="1360"/>
      <c r="OMM50" s="1360"/>
      <c r="OMN50" s="1360"/>
      <c r="OMO50" s="1360"/>
      <c r="OMP50" s="1360"/>
      <c r="OMQ50" s="1360"/>
      <c r="OMR50" s="1360"/>
      <c r="OMS50" s="1360"/>
      <c r="OMT50" s="1360"/>
      <c r="OMU50" s="1360"/>
      <c r="OMV50" s="1360"/>
      <c r="OMW50" s="1360"/>
      <c r="OMX50" s="1360"/>
      <c r="OMY50" s="1360"/>
      <c r="OMZ50" s="1360"/>
      <c r="ONA50" s="1360"/>
      <c r="ONB50" s="1360"/>
      <c r="ONC50" s="1360"/>
      <c r="OND50" s="1360"/>
      <c r="ONE50" s="1360"/>
      <c r="ONF50" s="1360"/>
      <c r="ONG50" s="1360"/>
      <c r="ONH50" s="1360"/>
      <c r="ONI50" s="1360"/>
      <c r="ONJ50" s="1360"/>
      <c r="ONK50" s="1360"/>
      <c r="ONL50" s="1360"/>
      <c r="ONM50" s="1360"/>
      <c r="ONN50" s="1360"/>
      <c r="ONO50" s="1360"/>
      <c r="ONP50" s="1360"/>
      <c r="ONQ50" s="1360"/>
      <c r="ONR50" s="1360"/>
      <c r="ONS50" s="1360"/>
      <c r="ONT50" s="1360"/>
      <c r="ONU50" s="1360"/>
      <c r="ONV50" s="1360"/>
      <c r="ONW50" s="1360"/>
      <c r="ONX50" s="1360"/>
      <c r="ONY50" s="1360"/>
      <c r="ONZ50" s="1360"/>
      <c r="OOA50" s="1360"/>
      <c r="OOB50" s="1360"/>
      <c r="OOC50" s="1360"/>
      <c r="OOD50" s="1360"/>
      <c r="OOE50" s="1360"/>
      <c r="OOF50" s="1360"/>
      <c r="OOG50" s="1360"/>
      <c r="OOH50" s="1360"/>
      <c r="OOI50" s="1360"/>
      <c r="OOJ50" s="1360"/>
      <c r="OOK50" s="1360"/>
      <c r="OOL50" s="1360"/>
      <c r="OOM50" s="1360"/>
      <c r="OON50" s="1360"/>
      <c r="OOO50" s="1360"/>
      <c r="OOP50" s="1360"/>
      <c r="OOQ50" s="1360"/>
      <c r="OOR50" s="1360"/>
      <c r="OOS50" s="1360"/>
      <c r="OOT50" s="1360"/>
      <c r="OOU50" s="1360"/>
      <c r="OOV50" s="1360"/>
      <c r="OOW50" s="1360"/>
      <c r="OOX50" s="1360"/>
      <c r="OOY50" s="1360"/>
      <c r="OOZ50" s="1360"/>
      <c r="OPA50" s="1360"/>
      <c r="OPB50" s="1360"/>
      <c r="OPC50" s="1360"/>
      <c r="OPD50" s="1360"/>
      <c r="OPE50" s="1360"/>
      <c r="OPF50" s="1360"/>
      <c r="OPG50" s="1360"/>
      <c r="OPH50" s="1360"/>
      <c r="OPI50" s="1360"/>
      <c r="OPJ50" s="1360"/>
      <c r="OPK50" s="1360"/>
      <c r="OPL50" s="1360"/>
      <c r="OPM50" s="1360"/>
      <c r="OPN50" s="1360"/>
      <c r="OPO50" s="1360"/>
      <c r="OPP50" s="1360"/>
      <c r="OPQ50" s="1360"/>
      <c r="OPR50" s="1360"/>
      <c r="OPS50" s="1360"/>
      <c r="OPT50" s="1360"/>
      <c r="OPU50" s="1360"/>
      <c r="OPV50" s="1360"/>
      <c r="OPW50" s="1360"/>
      <c r="OPX50" s="1360"/>
      <c r="OPY50" s="1360"/>
      <c r="OPZ50" s="1360"/>
      <c r="OQA50" s="1360"/>
      <c r="OQB50" s="1360"/>
      <c r="OQC50" s="1360"/>
      <c r="OQD50" s="1360"/>
      <c r="OQE50" s="1360"/>
      <c r="OQF50" s="1360"/>
      <c r="OQG50" s="1360"/>
      <c r="OQH50" s="1360"/>
      <c r="OQI50" s="1360"/>
      <c r="OQJ50" s="1360"/>
      <c r="OQK50" s="1360"/>
      <c r="OQL50" s="1360"/>
      <c r="OQM50" s="1360"/>
      <c r="OQN50" s="1360"/>
      <c r="OQO50" s="1360"/>
      <c r="OQP50" s="1360"/>
      <c r="OQQ50" s="1360"/>
      <c r="OQR50" s="1360"/>
      <c r="OQS50" s="1360"/>
      <c r="OQT50" s="1360"/>
      <c r="OQU50" s="1360"/>
      <c r="OQV50" s="1360"/>
      <c r="OQW50" s="1360"/>
      <c r="OQX50" s="1360"/>
      <c r="OQY50" s="1360"/>
      <c r="OQZ50" s="1360"/>
      <c r="ORA50" s="1360"/>
      <c r="ORB50" s="1360"/>
      <c r="ORC50" s="1360"/>
      <c r="ORD50" s="1360"/>
      <c r="ORE50" s="1360"/>
      <c r="ORF50" s="1360"/>
      <c r="ORG50" s="1360"/>
      <c r="ORH50" s="1360"/>
      <c r="ORI50" s="1360"/>
      <c r="ORJ50" s="1360"/>
      <c r="ORK50" s="1360"/>
      <c r="ORL50" s="1360"/>
      <c r="ORM50" s="1360"/>
      <c r="ORN50" s="1360"/>
      <c r="ORO50" s="1360"/>
      <c r="ORP50" s="1360"/>
      <c r="ORQ50" s="1360"/>
      <c r="ORR50" s="1360"/>
      <c r="ORS50" s="1360"/>
      <c r="ORT50" s="1360"/>
      <c r="ORU50" s="1360"/>
      <c r="ORV50" s="1360"/>
      <c r="ORW50" s="1360"/>
      <c r="ORX50" s="1360"/>
      <c r="ORY50" s="1360"/>
      <c r="ORZ50" s="1360"/>
      <c r="OSA50" s="1360"/>
      <c r="OSB50" s="1360"/>
      <c r="OSC50" s="1360"/>
      <c r="OSD50" s="1360"/>
      <c r="OSE50" s="1360"/>
      <c r="OSF50" s="1360"/>
      <c r="OSG50" s="1360"/>
      <c r="OSH50" s="1360"/>
      <c r="OSI50" s="1360"/>
      <c r="OSJ50" s="1360"/>
      <c r="OSK50" s="1360"/>
      <c r="OSL50" s="1360"/>
      <c r="OSM50" s="1360"/>
      <c r="OSN50" s="1360"/>
      <c r="OSO50" s="1360"/>
      <c r="OSP50" s="1360"/>
      <c r="OSQ50" s="1360"/>
      <c r="OSR50" s="1360"/>
      <c r="OSS50" s="1360"/>
      <c r="OST50" s="1360"/>
      <c r="OSU50" s="1360"/>
      <c r="OSV50" s="1360"/>
      <c r="OSW50" s="1360"/>
      <c r="OSX50" s="1360"/>
      <c r="OSY50" s="1360"/>
      <c r="OSZ50" s="1360"/>
      <c r="OTA50" s="1360"/>
      <c r="OTB50" s="1360"/>
      <c r="OTC50" s="1360"/>
      <c r="OTD50" s="1360"/>
      <c r="OTE50" s="1360"/>
      <c r="OTF50" s="1360"/>
      <c r="OTG50" s="1360"/>
      <c r="OTH50" s="1360"/>
      <c r="OTI50" s="1360"/>
      <c r="OTJ50" s="1360"/>
      <c r="OTK50" s="1360"/>
      <c r="OTL50" s="1360"/>
      <c r="OTM50" s="1360"/>
      <c r="OTN50" s="1360"/>
      <c r="OTO50" s="1360"/>
      <c r="OTP50" s="1360"/>
      <c r="OTQ50" s="1360"/>
      <c r="OTR50" s="1360"/>
      <c r="OTS50" s="1360"/>
      <c r="OTT50" s="1360"/>
      <c r="OTU50" s="1360"/>
      <c r="OTV50" s="1360"/>
      <c r="OTW50" s="1360"/>
      <c r="OTX50" s="1360"/>
      <c r="OTY50" s="1360"/>
      <c r="OTZ50" s="1360"/>
      <c r="OUA50" s="1360"/>
      <c r="OUB50" s="1360"/>
      <c r="OUC50" s="1360"/>
      <c r="OUD50" s="1360"/>
      <c r="OUE50" s="1360"/>
      <c r="OUF50" s="1360"/>
      <c r="OUG50" s="1360"/>
      <c r="OUH50" s="1360"/>
      <c r="OUI50" s="1360"/>
      <c r="OUJ50" s="1360"/>
      <c r="OUK50" s="1360"/>
      <c r="OUL50" s="1360"/>
      <c r="OUM50" s="1360"/>
      <c r="OUN50" s="1360"/>
      <c r="OUO50" s="1360"/>
      <c r="OUP50" s="1360"/>
      <c r="OUQ50" s="1360"/>
      <c r="OUR50" s="1360"/>
      <c r="OUS50" s="1360"/>
      <c r="OUT50" s="1360"/>
      <c r="OUU50" s="1360"/>
      <c r="OUV50" s="1360"/>
      <c r="OUW50" s="1360"/>
      <c r="OUX50" s="1360"/>
      <c r="OUY50" s="1360"/>
      <c r="OUZ50" s="1360"/>
      <c r="OVA50" s="1360"/>
      <c r="OVB50" s="1360"/>
      <c r="OVC50" s="1360"/>
      <c r="OVD50" s="1360"/>
      <c r="OVE50" s="1360"/>
      <c r="OVF50" s="1360"/>
      <c r="OVG50" s="1360"/>
      <c r="OVH50" s="1360"/>
      <c r="OVI50" s="1360"/>
      <c r="OVJ50" s="1360"/>
      <c r="OVK50" s="1360"/>
      <c r="OVL50" s="1360"/>
      <c r="OVM50" s="1360"/>
      <c r="OVN50" s="1360"/>
      <c r="OVO50" s="1360"/>
      <c r="OVP50" s="1360"/>
      <c r="OVQ50" s="1360"/>
      <c r="OVR50" s="1360"/>
      <c r="OVS50" s="1360"/>
      <c r="OVT50" s="1360"/>
      <c r="OVU50" s="1360"/>
      <c r="OVV50" s="1360"/>
      <c r="OVW50" s="1360"/>
      <c r="OVX50" s="1360"/>
      <c r="OVY50" s="1360"/>
      <c r="OVZ50" s="1360"/>
      <c r="OWA50" s="1360"/>
      <c r="OWB50" s="1360"/>
      <c r="OWC50" s="1360"/>
      <c r="OWD50" s="1360"/>
      <c r="OWE50" s="1360"/>
      <c r="OWF50" s="1360"/>
      <c r="OWG50" s="1360"/>
      <c r="OWH50" s="1360"/>
      <c r="OWI50" s="1360"/>
      <c r="OWJ50" s="1360"/>
      <c r="OWK50" s="1360"/>
      <c r="OWL50" s="1360"/>
      <c r="OWM50" s="1360"/>
      <c r="OWN50" s="1360"/>
      <c r="OWO50" s="1360"/>
      <c r="OWP50" s="1360"/>
      <c r="OWQ50" s="1360"/>
      <c r="OWR50" s="1360"/>
      <c r="OWS50" s="1360"/>
      <c r="OWT50" s="1360"/>
      <c r="OWU50" s="1360"/>
      <c r="OWV50" s="1360"/>
      <c r="OWW50" s="1360"/>
      <c r="OWX50" s="1360"/>
      <c r="OWY50" s="1360"/>
      <c r="OWZ50" s="1360"/>
      <c r="OXA50" s="1360"/>
      <c r="OXB50" s="1360"/>
      <c r="OXC50" s="1360"/>
      <c r="OXD50" s="1360"/>
      <c r="OXE50" s="1360"/>
      <c r="OXF50" s="1360"/>
      <c r="OXG50" s="1360"/>
      <c r="OXH50" s="1360"/>
      <c r="OXI50" s="1360"/>
      <c r="OXJ50" s="1360"/>
      <c r="OXK50" s="1360"/>
      <c r="OXL50" s="1360"/>
      <c r="OXM50" s="1360"/>
      <c r="OXN50" s="1360"/>
      <c r="OXO50" s="1360"/>
      <c r="OXP50" s="1360"/>
      <c r="OXQ50" s="1360"/>
      <c r="OXR50" s="1360"/>
      <c r="OXS50" s="1360"/>
      <c r="OXT50" s="1360"/>
      <c r="OXU50" s="1360"/>
      <c r="OXV50" s="1360"/>
      <c r="OXW50" s="1360"/>
      <c r="OXX50" s="1360"/>
      <c r="OXY50" s="1360"/>
      <c r="OXZ50" s="1360"/>
      <c r="OYA50" s="1360"/>
      <c r="OYB50" s="1360"/>
      <c r="OYC50" s="1360"/>
      <c r="OYD50" s="1360"/>
      <c r="OYE50" s="1360"/>
      <c r="OYF50" s="1360"/>
      <c r="OYG50" s="1360"/>
      <c r="OYH50" s="1360"/>
      <c r="OYI50" s="1360"/>
      <c r="OYJ50" s="1360"/>
      <c r="OYK50" s="1360"/>
      <c r="OYL50" s="1360"/>
      <c r="OYM50" s="1360"/>
      <c r="OYN50" s="1360"/>
      <c r="OYO50" s="1360"/>
      <c r="OYP50" s="1360"/>
      <c r="OYQ50" s="1360"/>
      <c r="OYR50" s="1360"/>
      <c r="OYS50" s="1360"/>
      <c r="OYT50" s="1360"/>
      <c r="OYU50" s="1360"/>
      <c r="OYV50" s="1360"/>
      <c r="OYW50" s="1360"/>
      <c r="OYX50" s="1360"/>
      <c r="OYY50" s="1360"/>
      <c r="OYZ50" s="1360"/>
      <c r="OZA50" s="1360"/>
      <c r="OZB50" s="1360"/>
      <c r="OZC50" s="1360"/>
      <c r="OZD50" s="1360"/>
      <c r="OZE50" s="1360"/>
      <c r="OZF50" s="1360"/>
      <c r="OZG50" s="1360"/>
      <c r="OZH50" s="1360"/>
      <c r="OZI50" s="1360"/>
      <c r="OZJ50" s="1360"/>
      <c r="OZK50" s="1360"/>
      <c r="OZL50" s="1360"/>
      <c r="OZM50" s="1360"/>
      <c r="OZN50" s="1360"/>
      <c r="OZO50" s="1360"/>
      <c r="OZP50" s="1360"/>
      <c r="OZQ50" s="1360"/>
      <c r="OZR50" s="1360"/>
      <c r="OZS50" s="1360"/>
      <c r="OZT50" s="1360"/>
      <c r="OZU50" s="1360"/>
      <c r="OZV50" s="1360"/>
      <c r="OZW50" s="1360"/>
      <c r="OZX50" s="1360"/>
      <c r="OZY50" s="1360"/>
      <c r="OZZ50" s="1360"/>
      <c r="PAA50" s="1360"/>
      <c r="PAB50" s="1360"/>
      <c r="PAC50" s="1360"/>
      <c r="PAD50" s="1360"/>
      <c r="PAE50" s="1360"/>
      <c r="PAF50" s="1360"/>
      <c r="PAG50" s="1360"/>
      <c r="PAH50" s="1360"/>
      <c r="PAI50" s="1360"/>
      <c r="PAJ50" s="1360"/>
      <c r="PAK50" s="1360"/>
      <c r="PAL50" s="1360"/>
      <c r="PAM50" s="1360"/>
      <c r="PAN50" s="1360"/>
      <c r="PAO50" s="1360"/>
      <c r="PAP50" s="1360"/>
      <c r="PAQ50" s="1360"/>
      <c r="PAR50" s="1360"/>
      <c r="PAS50" s="1360"/>
      <c r="PAT50" s="1360"/>
      <c r="PAU50" s="1360"/>
      <c r="PAV50" s="1360"/>
      <c r="PAW50" s="1360"/>
      <c r="PAX50" s="1360"/>
      <c r="PAY50" s="1360"/>
      <c r="PAZ50" s="1360"/>
      <c r="PBA50" s="1360"/>
      <c r="PBB50" s="1360"/>
      <c r="PBC50" s="1360"/>
      <c r="PBD50" s="1360"/>
      <c r="PBE50" s="1360"/>
      <c r="PBF50" s="1360"/>
      <c r="PBG50" s="1360"/>
      <c r="PBH50" s="1360"/>
      <c r="PBI50" s="1360"/>
      <c r="PBJ50" s="1360"/>
      <c r="PBK50" s="1360"/>
      <c r="PBL50" s="1360"/>
      <c r="PBM50" s="1360"/>
      <c r="PBN50" s="1360"/>
      <c r="PBO50" s="1360"/>
      <c r="PBP50" s="1360"/>
      <c r="PBQ50" s="1360"/>
      <c r="PBR50" s="1360"/>
      <c r="PBS50" s="1360"/>
      <c r="PBT50" s="1360"/>
      <c r="PBU50" s="1360"/>
      <c r="PBV50" s="1360"/>
      <c r="PBW50" s="1360"/>
      <c r="PBX50" s="1360"/>
      <c r="PBY50" s="1360"/>
      <c r="PBZ50" s="1360"/>
      <c r="PCA50" s="1360"/>
      <c r="PCB50" s="1360"/>
      <c r="PCC50" s="1360"/>
      <c r="PCD50" s="1360"/>
      <c r="PCE50" s="1360"/>
      <c r="PCF50" s="1360"/>
      <c r="PCG50" s="1360"/>
      <c r="PCH50" s="1360"/>
      <c r="PCI50" s="1360"/>
      <c r="PCJ50" s="1360"/>
      <c r="PCK50" s="1360"/>
      <c r="PCL50" s="1360"/>
      <c r="PCM50" s="1360"/>
      <c r="PCN50" s="1360"/>
      <c r="PCO50" s="1360"/>
      <c r="PCP50" s="1360"/>
      <c r="PCQ50" s="1360"/>
      <c r="PCR50" s="1360"/>
      <c r="PCS50" s="1360"/>
      <c r="PCT50" s="1360"/>
      <c r="PCU50" s="1360"/>
      <c r="PCV50" s="1360"/>
      <c r="PCW50" s="1360"/>
      <c r="PCX50" s="1360"/>
      <c r="PCY50" s="1360"/>
      <c r="PCZ50" s="1360"/>
      <c r="PDA50" s="1360"/>
      <c r="PDB50" s="1360"/>
      <c r="PDC50" s="1360"/>
      <c r="PDD50" s="1360"/>
      <c r="PDE50" s="1360"/>
      <c r="PDF50" s="1360"/>
      <c r="PDG50" s="1360"/>
      <c r="PDH50" s="1360"/>
      <c r="PDI50" s="1360"/>
      <c r="PDJ50" s="1360"/>
      <c r="PDK50" s="1360"/>
      <c r="PDL50" s="1360"/>
      <c r="PDM50" s="1360"/>
      <c r="PDN50" s="1360"/>
      <c r="PDO50" s="1360"/>
      <c r="PDP50" s="1360"/>
      <c r="PDQ50" s="1360"/>
      <c r="PDR50" s="1360"/>
      <c r="PDS50" s="1360"/>
      <c r="PDT50" s="1360"/>
      <c r="PDU50" s="1360"/>
      <c r="PDV50" s="1360"/>
      <c r="PDW50" s="1360"/>
      <c r="PDX50" s="1360"/>
      <c r="PDY50" s="1360"/>
      <c r="PDZ50" s="1360"/>
      <c r="PEA50" s="1360"/>
      <c r="PEB50" s="1360"/>
      <c r="PEC50" s="1360"/>
      <c r="PED50" s="1360"/>
      <c r="PEE50" s="1360"/>
      <c r="PEF50" s="1360"/>
      <c r="PEG50" s="1360"/>
      <c r="PEH50" s="1360"/>
      <c r="PEI50" s="1360"/>
      <c r="PEJ50" s="1360"/>
      <c r="PEK50" s="1360"/>
      <c r="PEL50" s="1360"/>
      <c r="PEM50" s="1360"/>
      <c r="PEN50" s="1360"/>
      <c r="PEO50" s="1360"/>
      <c r="PEP50" s="1360"/>
      <c r="PEQ50" s="1360"/>
      <c r="PER50" s="1360"/>
      <c r="PES50" s="1360"/>
      <c r="PET50" s="1360"/>
      <c r="PEU50" s="1360"/>
      <c r="PEV50" s="1360"/>
      <c r="PEW50" s="1360"/>
      <c r="PEX50" s="1360"/>
      <c r="PEY50" s="1360"/>
      <c r="PEZ50" s="1360"/>
      <c r="PFA50" s="1360"/>
      <c r="PFB50" s="1360"/>
      <c r="PFC50" s="1360"/>
      <c r="PFD50" s="1360"/>
      <c r="PFE50" s="1360"/>
      <c r="PFF50" s="1360"/>
      <c r="PFG50" s="1360"/>
      <c r="PFH50" s="1360"/>
      <c r="PFI50" s="1360"/>
      <c r="PFJ50" s="1360"/>
      <c r="PFK50" s="1360"/>
      <c r="PFL50" s="1360"/>
      <c r="PFM50" s="1360"/>
      <c r="PFN50" s="1360"/>
      <c r="PFO50" s="1360"/>
      <c r="PFP50" s="1360"/>
      <c r="PFQ50" s="1360"/>
      <c r="PFR50" s="1360"/>
      <c r="PFS50" s="1360"/>
      <c r="PFT50" s="1360"/>
      <c r="PFU50" s="1360"/>
      <c r="PFV50" s="1360"/>
      <c r="PFW50" s="1360"/>
      <c r="PFX50" s="1360"/>
      <c r="PFY50" s="1360"/>
      <c r="PFZ50" s="1360"/>
      <c r="PGA50" s="1360"/>
      <c r="PGB50" s="1360"/>
      <c r="PGC50" s="1360"/>
      <c r="PGD50" s="1360"/>
      <c r="PGE50" s="1360"/>
      <c r="PGF50" s="1360"/>
      <c r="PGG50" s="1360"/>
      <c r="PGH50" s="1360"/>
      <c r="PGI50" s="1360"/>
      <c r="PGJ50" s="1360"/>
      <c r="PGK50" s="1360"/>
      <c r="PGL50" s="1360"/>
      <c r="PGM50" s="1360"/>
      <c r="PGN50" s="1360"/>
      <c r="PGO50" s="1360"/>
      <c r="PGP50" s="1360"/>
      <c r="PGQ50" s="1360"/>
      <c r="PGR50" s="1360"/>
      <c r="PGS50" s="1360"/>
      <c r="PGT50" s="1360"/>
      <c r="PGU50" s="1360"/>
      <c r="PGV50" s="1360"/>
      <c r="PGW50" s="1360"/>
      <c r="PGX50" s="1360"/>
      <c r="PGY50" s="1360"/>
      <c r="PGZ50" s="1360"/>
      <c r="PHA50" s="1360"/>
      <c r="PHB50" s="1360"/>
      <c r="PHC50" s="1360"/>
      <c r="PHD50" s="1360"/>
      <c r="PHE50" s="1360"/>
      <c r="PHF50" s="1360"/>
      <c r="PHG50" s="1360"/>
      <c r="PHH50" s="1360"/>
      <c r="PHI50" s="1360"/>
      <c r="PHJ50" s="1360"/>
      <c r="PHK50" s="1360"/>
      <c r="PHL50" s="1360"/>
      <c r="PHM50" s="1360"/>
      <c r="PHN50" s="1360"/>
      <c r="PHO50" s="1360"/>
      <c r="PHP50" s="1360"/>
      <c r="PHQ50" s="1360"/>
      <c r="PHR50" s="1360"/>
      <c r="PHS50" s="1360"/>
      <c r="PHT50" s="1360"/>
      <c r="PHU50" s="1360"/>
      <c r="PHV50" s="1360"/>
      <c r="PHW50" s="1360"/>
      <c r="PHX50" s="1360"/>
      <c r="PHY50" s="1360"/>
      <c r="PHZ50" s="1360"/>
      <c r="PIA50" s="1360"/>
      <c r="PIB50" s="1360"/>
      <c r="PIC50" s="1360"/>
      <c r="PID50" s="1360"/>
      <c r="PIE50" s="1360"/>
      <c r="PIF50" s="1360"/>
      <c r="PIG50" s="1360"/>
      <c r="PIH50" s="1360"/>
      <c r="PII50" s="1360"/>
      <c r="PIJ50" s="1360"/>
      <c r="PIK50" s="1360"/>
      <c r="PIL50" s="1360"/>
      <c r="PIM50" s="1360"/>
      <c r="PIN50" s="1360"/>
      <c r="PIO50" s="1360"/>
      <c r="PIP50" s="1360"/>
      <c r="PIQ50" s="1360"/>
      <c r="PIR50" s="1360"/>
      <c r="PIS50" s="1360"/>
      <c r="PIT50" s="1360"/>
      <c r="PIU50" s="1360"/>
      <c r="PIV50" s="1360"/>
      <c r="PIW50" s="1360"/>
      <c r="PIX50" s="1360"/>
      <c r="PIY50" s="1360"/>
      <c r="PIZ50" s="1360"/>
      <c r="PJA50" s="1360"/>
      <c r="PJB50" s="1360"/>
      <c r="PJC50" s="1360"/>
      <c r="PJD50" s="1360"/>
      <c r="PJE50" s="1360"/>
      <c r="PJF50" s="1360"/>
      <c r="PJG50" s="1360"/>
      <c r="PJH50" s="1360"/>
      <c r="PJI50" s="1360"/>
      <c r="PJJ50" s="1360"/>
      <c r="PJK50" s="1360"/>
      <c r="PJL50" s="1360"/>
      <c r="PJM50" s="1360"/>
      <c r="PJN50" s="1360"/>
      <c r="PJO50" s="1360"/>
      <c r="PJP50" s="1360"/>
      <c r="PJQ50" s="1360"/>
      <c r="PJR50" s="1360"/>
      <c r="PJS50" s="1360"/>
      <c r="PJT50" s="1360"/>
      <c r="PJU50" s="1360"/>
      <c r="PJV50" s="1360"/>
      <c r="PJW50" s="1360"/>
      <c r="PJX50" s="1360"/>
      <c r="PJY50" s="1360"/>
      <c r="PJZ50" s="1360"/>
      <c r="PKA50" s="1360"/>
      <c r="PKB50" s="1360"/>
      <c r="PKC50" s="1360"/>
      <c r="PKD50" s="1360"/>
      <c r="PKE50" s="1360"/>
      <c r="PKF50" s="1360"/>
      <c r="PKG50" s="1360"/>
      <c r="PKH50" s="1360"/>
      <c r="PKI50" s="1360"/>
      <c r="PKJ50" s="1360"/>
      <c r="PKK50" s="1360"/>
      <c r="PKL50" s="1360"/>
      <c r="PKM50" s="1360"/>
      <c r="PKN50" s="1360"/>
      <c r="PKO50" s="1360"/>
      <c r="PKP50" s="1360"/>
      <c r="PKQ50" s="1360"/>
      <c r="PKR50" s="1360"/>
      <c r="PKS50" s="1360"/>
      <c r="PKT50" s="1360"/>
      <c r="PKU50" s="1360"/>
      <c r="PKV50" s="1360"/>
      <c r="PKW50" s="1360"/>
      <c r="PKX50" s="1360"/>
      <c r="PKY50" s="1360"/>
      <c r="PKZ50" s="1360"/>
      <c r="PLA50" s="1360"/>
      <c r="PLB50" s="1360"/>
      <c r="PLC50" s="1360"/>
      <c r="PLD50" s="1360"/>
      <c r="PLE50" s="1360"/>
      <c r="PLF50" s="1360"/>
      <c r="PLG50" s="1360"/>
      <c r="PLH50" s="1360"/>
      <c r="PLI50" s="1360"/>
      <c r="PLJ50" s="1360"/>
      <c r="PLK50" s="1360"/>
      <c r="PLL50" s="1360"/>
      <c r="PLM50" s="1360"/>
      <c r="PLN50" s="1360"/>
      <c r="PLO50" s="1360"/>
      <c r="PLP50" s="1360"/>
      <c r="PLQ50" s="1360"/>
      <c r="PLR50" s="1360"/>
      <c r="PLS50" s="1360"/>
      <c r="PLT50" s="1360"/>
      <c r="PLU50" s="1360"/>
      <c r="PLV50" s="1360"/>
      <c r="PLW50" s="1360"/>
      <c r="PLX50" s="1360"/>
      <c r="PLY50" s="1360"/>
      <c r="PLZ50" s="1360"/>
      <c r="PMA50" s="1360"/>
      <c r="PMB50" s="1360"/>
      <c r="PMC50" s="1360"/>
      <c r="PMD50" s="1360"/>
      <c r="PME50" s="1360"/>
      <c r="PMF50" s="1360"/>
      <c r="PMG50" s="1360"/>
      <c r="PMH50" s="1360"/>
      <c r="PMI50" s="1360"/>
      <c r="PMJ50" s="1360"/>
      <c r="PMK50" s="1360"/>
      <c r="PML50" s="1360"/>
      <c r="PMM50" s="1360"/>
      <c r="PMN50" s="1360"/>
      <c r="PMO50" s="1360"/>
      <c r="PMP50" s="1360"/>
      <c r="PMQ50" s="1360"/>
      <c r="PMR50" s="1360"/>
      <c r="PMS50" s="1360"/>
      <c r="PMT50" s="1360"/>
      <c r="PMU50" s="1360"/>
      <c r="PMV50" s="1360"/>
      <c r="PMW50" s="1360"/>
      <c r="PMX50" s="1360"/>
      <c r="PMY50" s="1360"/>
      <c r="PMZ50" s="1360"/>
      <c r="PNA50" s="1360"/>
      <c r="PNB50" s="1360"/>
      <c r="PNC50" s="1360"/>
      <c r="PND50" s="1360"/>
      <c r="PNE50" s="1360"/>
      <c r="PNF50" s="1360"/>
      <c r="PNG50" s="1360"/>
      <c r="PNH50" s="1360"/>
      <c r="PNI50" s="1360"/>
      <c r="PNJ50" s="1360"/>
      <c r="PNK50" s="1360"/>
      <c r="PNL50" s="1360"/>
      <c r="PNM50" s="1360"/>
      <c r="PNN50" s="1360"/>
      <c r="PNO50" s="1360"/>
      <c r="PNP50" s="1360"/>
      <c r="PNQ50" s="1360"/>
      <c r="PNR50" s="1360"/>
      <c r="PNS50" s="1360"/>
      <c r="PNT50" s="1360"/>
      <c r="PNU50" s="1360"/>
      <c r="PNV50" s="1360"/>
      <c r="PNW50" s="1360"/>
      <c r="PNX50" s="1360"/>
      <c r="PNY50" s="1360"/>
      <c r="PNZ50" s="1360"/>
      <c r="POA50" s="1360"/>
      <c r="POB50" s="1360"/>
      <c r="POC50" s="1360"/>
      <c r="POD50" s="1360"/>
      <c r="POE50" s="1360"/>
      <c r="POF50" s="1360"/>
      <c r="POG50" s="1360"/>
      <c r="POH50" s="1360"/>
      <c r="POI50" s="1360"/>
      <c r="POJ50" s="1360"/>
      <c r="POK50" s="1360"/>
      <c r="POL50" s="1360"/>
      <c r="POM50" s="1360"/>
      <c r="PON50" s="1360"/>
      <c r="POO50" s="1360"/>
      <c r="POP50" s="1360"/>
      <c r="POQ50" s="1360"/>
      <c r="POR50" s="1360"/>
      <c r="POS50" s="1360"/>
      <c r="POT50" s="1360"/>
      <c r="POU50" s="1360"/>
      <c r="POV50" s="1360"/>
      <c r="POW50" s="1360"/>
      <c r="POX50" s="1360"/>
      <c r="POY50" s="1360"/>
      <c r="POZ50" s="1360"/>
      <c r="PPA50" s="1360"/>
      <c r="PPB50" s="1360"/>
      <c r="PPC50" s="1360"/>
      <c r="PPD50" s="1360"/>
      <c r="PPE50" s="1360"/>
      <c r="PPF50" s="1360"/>
      <c r="PPG50" s="1360"/>
      <c r="PPH50" s="1360"/>
      <c r="PPI50" s="1360"/>
      <c r="PPJ50" s="1360"/>
      <c r="PPK50" s="1360"/>
      <c r="PPL50" s="1360"/>
      <c r="PPM50" s="1360"/>
      <c r="PPN50" s="1360"/>
      <c r="PPO50" s="1360"/>
      <c r="PPP50" s="1360"/>
      <c r="PPQ50" s="1360"/>
      <c r="PPR50" s="1360"/>
      <c r="PPS50" s="1360"/>
      <c r="PPT50" s="1360"/>
      <c r="PPU50" s="1360"/>
      <c r="PPV50" s="1360"/>
      <c r="PPW50" s="1360"/>
      <c r="PPX50" s="1360"/>
      <c r="PPY50" s="1360"/>
      <c r="PPZ50" s="1360"/>
      <c r="PQA50" s="1360"/>
      <c r="PQB50" s="1360"/>
      <c r="PQC50" s="1360"/>
      <c r="PQD50" s="1360"/>
      <c r="PQE50" s="1360"/>
      <c r="PQF50" s="1360"/>
      <c r="PQG50" s="1360"/>
      <c r="PQH50" s="1360"/>
      <c r="PQI50" s="1360"/>
      <c r="PQJ50" s="1360"/>
      <c r="PQK50" s="1360"/>
      <c r="PQL50" s="1360"/>
      <c r="PQM50" s="1360"/>
      <c r="PQN50" s="1360"/>
      <c r="PQO50" s="1360"/>
      <c r="PQP50" s="1360"/>
      <c r="PQQ50" s="1360"/>
      <c r="PQR50" s="1360"/>
      <c r="PQS50" s="1360"/>
      <c r="PQT50" s="1360"/>
      <c r="PQU50" s="1360"/>
      <c r="PQV50" s="1360"/>
      <c r="PQW50" s="1360"/>
      <c r="PQX50" s="1360"/>
      <c r="PQY50" s="1360"/>
      <c r="PQZ50" s="1360"/>
      <c r="PRA50" s="1360"/>
      <c r="PRB50" s="1360"/>
      <c r="PRC50" s="1360"/>
      <c r="PRD50" s="1360"/>
      <c r="PRE50" s="1360"/>
      <c r="PRF50" s="1360"/>
      <c r="PRG50" s="1360"/>
      <c r="PRH50" s="1360"/>
      <c r="PRI50" s="1360"/>
      <c r="PRJ50" s="1360"/>
      <c r="PRK50" s="1360"/>
      <c r="PRL50" s="1360"/>
      <c r="PRM50" s="1360"/>
      <c r="PRN50" s="1360"/>
      <c r="PRO50" s="1360"/>
      <c r="PRP50" s="1360"/>
      <c r="PRQ50" s="1360"/>
      <c r="PRR50" s="1360"/>
      <c r="PRS50" s="1360"/>
      <c r="PRT50" s="1360"/>
      <c r="PRU50" s="1360"/>
      <c r="PRV50" s="1360"/>
      <c r="PRW50" s="1360"/>
      <c r="PRX50" s="1360"/>
      <c r="PRY50" s="1360"/>
      <c r="PRZ50" s="1360"/>
      <c r="PSA50" s="1360"/>
      <c r="PSB50" s="1360"/>
      <c r="PSC50" s="1360"/>
      <c r="PSD50" s="1360"/>
      <c r="PSE50" s="1360"/>
      <c r="PSF50" s="1360"/>
      <c r="PSG50" s="1360"/>
      <c r="PSH50" s="1360"/>
      <c r="PSI50" s="1360"/>
      <c r="PSJ50" s="1360"/>
      <c r="PSK50" s="1360"/>
      <c r="PSL50" s="1360"/>
      <c r="PSM50" s="1360"/>
      <c r="PSN50" s="1360"/>
      <c r="PSO50" s="1360"/>
      <c r="PSP50" s="1360"/>
      <c r="PSQ50" s="1360"/>
      <c r="PSR50" s="1360"/>
      <c r="PSS50" s="1360"/>
      <c r="PST50" s="1360"/>
      <c r="PSU50" s="1360"/>
      <c r="PSV50" s="1360"/>
      <c r="PSW50" s="1360"/>
      <c r="PSX50" s="1360"/>
      <c r="PSY50" s="1360"/>
      <c r="PSZ50" s="1360"/>
      <c r="PTA50" s="1360"/>
      <c r="PTB50" s="1360"/>
      <c r="PTC50" s="1360"/>
      <c r="PTD50" s="1360"/>
      <c r="PTE50" s="1360"/>
      <c r="PTF50" s="1360"/>
      <c r="PTG50" s="1360"/>
      <c r="PTH50" s="1360"/>
      <c r="PTI50" s="1360"/>
      <c r="PTJ50" s="1360"/>
      <c r="PTK50" s="1360"/>
      <c r="PTL50" s="1360"/>
      <c r="PTM50" s="1360"/>
      <c r="PTN50" s="1360"/>
      <c r="PTO50" s="1360"/>
      <c r="PTP50" s="1360"/>
      <c r="PTQ50" s="1360"/>
      <c r="PTR50" s="1360"/>
      <c r="PTS50" s="1360"/>
      <c r="PTT50" s="1360"/>
      <c r="PTU50" s="1360"/>
      <c r="PTV50" s="1360"/>
      <c r="PTW50" s="1360"/>
      <c r="PTX50" s="1360"/>
      <c r="PTY50" s="1360"/>
      <c r="PTZ50" s="1360"/>
      <c r="PUA50" s="1360"/>
      <c r="PUB50" s="1360"/>
      <c r="PUC50" s="1360"/>
      <c r="PUD50" s="1360"/>
      <c r="PUE50" s="1360"/>
      <c r="PUF50" s="1360"/>
      <c r="PUG50" s="1360"/>
      <c r="PUH50" s="1360"/>
      <c r="PUI50" s="1360"/>
      <c r="PUJ50" s="1360"/>
      <c r="PUK50" s="1360"/>
      <c r="PUL50" s="1360"/>
      <c r="PUM50" s="1360"/>
      <c r="PUN50" s="1360"/>
      <c r="PUO50" s="1360"/>
      <c r="PUP50" s="1360"/>
      <c r="PUQ50" s="1360"/>
      <c r="PUR50" s="1360"/>
      <c r="PUS50" s="1360"/>
      <c r="PUT50" s="1360"/>
      <c r="PUU50" s="1360"/>
      <c r="PUV50" s="1360"/>
      <c r="PUW50" s="1360"/>
      <c r="PUX50" s="1360"/>
      <c r="PUY50" s="1360"/>
      <c r="PUZ50" s="1360"/>
      <c r="PVA50" s="1360"/>
      <c r="PVB50" s="1360"/>
      <c r="PVC50" s="1360"/>
      <c r="PVD50" s="1360"/>
      <c r="PVE50" s="1360"/>
      <c r="PVF50" s="1360"/>
      <c r="PVG50" s="1360"/>
      <c r="PVH50" s="1360"/>
      <c r="PVI50" s="1360"/>
      <c r="PVJ50" s="1360"/>
      <c r="PVK50" s="1360"/>
      <c r="PVL50" s="1360"/>
      <c r="PVM50" s="1360"/>
      <c r="PVN50" s="1360"/>
      <c r="PVO50" s="1360"/>
      <c r="PVP50" s="1360"/>
      <c r="PVQ50" s="1360"/>
      <c r="PVR50" s="1360"/>
      <c r="PVS50" s="1360"/>
      <c r="PVT50" s="1360"/>
      <c r="PVU50" s="1360"/>
      <c r="PVV50" s="1360"/>
      <c r="PVW50" s="1360"/>
      <c r="PVX50" s="1360"/>
      <c r="PVY50" s="1360"/>
      <c r="PVZ50" s="1360"/>
      <c r="PWA50" s="1360"/>
      <c r="PWB50" s="1360"/>
      <c r="PWC50" s="1360"/>
      <c r="PWD50" s="1360"/>
      <c r="PWE50" s="1360"/>
      <c r="PWF50" s="1360"/>
      <c r="PWG50" s="1360"/>
      <c r="PWH50" s="1360"/>
      <c r="PWI50" s="1360"/>
      <c r="PWJ50" s="1360"/>
      <c r="PWK50" s="1360"/>
      <c r="PWL50" s="1360"/>
      <c r="PWM50" s="1360"/>
      <c r="PWN50" s="1360"/>
      <c r="PWO50" s="1360"/>
      <c r="PWP50" s="1360"/>
      <c r="PWQ50" s="1360"/>
      <c r="PWR50" s="1360"/>
      <c r="PWS50" s="1360"/>
      <c r="PWT50" s="1360"/>
      <c r="PWU50" s="1360"/>
      <c r="PWV50" s="1360"/>
      <c r="PWW50" s="1360"/>
      <c r="PWX50" s="1360"/>
      <c r="PWY50" s="1360"/>
      <c r="PWZ50" s="1360"/>
      <c r="PXA50" s="1360"/>
      <c r="PXB50" s="1360"/>
      <c r="PXC50" s="1360"/>
      <c r="PXD50" s="1360"/>
      <c r="PXE50" s="1360"/>
      <c r="PXF50" s="1360"/>
      <c r="PXG50" s="1360"/>
      <c r="PXH50" s="1360"/>
      <c r="PXI50" s="1360"/>
      <c r="PXJ50" s="1360"/>
      <c r="PXK50" s="1360"/>
      <c r="PXL50" s="1360"/>
      <c r="PXM50" s="1360"/>
      <c r="PXN50" s="1360"/>
      <c r="PXO50" s="1360"/>
      <c r="PXP50" s="1360"/>
      <c r="PXQ50" s="1360"/>
      <c r="PXR50" s="1360"/>
      <c r="PXS50" s="1360"/>
      <c r="PXT50" s="1360"/>
      <c r="PXU50" s="1360"/>
      <c r="PXV50" s="1360"/>
      <c r="PXW50" s="1360"/>
      <c r="PXX50" s="1360"/>
      <c r="PXY50" s="1360"/>
      <c r="PXZ50" s="1360"/>
      <c r="PYA50" s="1360"/>
      <c r="PYB50" s="1360"/>
      <c r="PYC50" s="1360"/>
      <c r="PYD50" s="1360"/>
      <c r="PYE50" s="1360"/>
      <c r="PYF50" s="1360"/>
      <c r="PYG50" s="1360"/>
      <c r="PYH50" s="1360"/>
      <c r="PYI50" s="1360"/>
      <c r="PYJ50" s="1360"/>
      <c r="PYK50" s="1360"/>
      <c r="PYL50" s="1360"/>
      <c r="PYM50" s="1360"/>
      <c r="PYN50" s="1360"/>
      <c r="PYO50" s="1360"/>
      <c r="PYP50" s="1360"/>
      <c r="PYQ50" s="1360"/>
      <c r="PYR50" s="1360"/>
      <c r="PYS50" s="1360"/>
      <c r="PYT50" s="1360"/>
      <c r="PYU50" s="1360"/>
      <c r="PYV50" s="1360"/>
      <c r="PYW50" s="1360"/>
      <c r="PYX50" s="1360"/>
      <c r="PYY50" s="1360"/>
      <c r="PYZ50" s="1360"/>
      <c r="PZA50" s="1360"/>
      <c r="PZB50" s="1360"/>
      <c r="PZC50" s="1360"/>
      <c r="PZD50" s="1360"/>
      <c r="PZE50" s="1360"/>
      <c r="PZF50" s="1360"/>
      <c r="PZG50" s="1360"/>
      <c r="PZH50" s="1360"/>
      <c r="PZI50" s="1360"/>
      <c r="PZJ50" s="1360"/>
      <c r="PZK50" s="1360"/>
      <c r="PZL50" s="1360"/>
      <c r="PZM50" s="1360"/>
      <c r="PZN50" s="1360"/>
      <c r="PZO50" s="1360"/>
      <c r="PZP50" s="1360"/>
      <c r="PZQ50" s="1360"/>
      <c r="PZR50" s="1360"/>
      <c r="PZS50" s="1360"/>
      <c r="PZT50" s="1360"/>
      <c r="PZU50" s="1360"/>
      <c r="PZV50" s="1360"/>
      <c r="PZW50" s="1360"/>
      <c r="PZX50" s="1360"/>
      <c r="PZY50" s="1360"/>
      <c r="PZZ50" s="1360"/>
      <c r="QAA50" s="1360"/>
      <c r="QAB50" s="1360"/>
      <c r="QAC50" s="1360"/>
      <c r="QAD50" s="1360"/>
      <c r="QAE50" s="1360"/>
      <c r="QAF50" s="1360"/>
      <c r="QAG50" s="1360"/>
      <c r="QAH50" s="1360"/>
      <c r="QAI50" s="1360"/>
      <c r="QAJ50" s="1360"/>
      <c r="QAK50" s="1360"/>
      <c r="QAL50" s="1360"/>
      <c r="QAM50" s="1360"/>
      <c r="QAN50" s="1360"/>
      <c r="QAO50" s="1360"/>
      <c r="QAP50" s="1360"/>
      <c r="QAQ50" s="1360"/>
      <c r="QAR50" s="1360"/>
      <c r="QAS50" s="1360"/>
      <c r="QAT50" s="1360"/>
      <c r="QAU50" s="1360"/>
      <c r="QAV50" s="1360"/>
      <c r="QAW50" s="1360"/>
      <c r="QAX50" s="1360"/>
      <c r="QAY50" s="1360"/>
      <c r="QAZ50" s="1360"/>
      <c r="QBA50" s="1360"/>
      <c r="QBB50" s="1360"/>
      <c r="QBC50" s="1360"/>
      <c r="QBD50" s="1360"/>
      <c r="QBE50" s="1360"/>
      <c r="QBF50" s="1360"/>
      <c r="QBG50" s="1360"/>
      <c r="QBH50" s="1360"/>
      <c r="QBI50" s="1360"/>
      <c r="QBJ50" s="1360"/>
      <c r="QBK50" s="1360"/>
      <c r="QBL50" s="1360"/>
      <c r="QBM50" s="1360"/>
      <c r="QBN50" s="1360"/>
      <c r="QBO50" s="1360"/>
      <c r="QBP50" s="1360"/>
      <c r="QBQ50" s="1360"/>
      <c r="QBR50" s="1360"/>
      <c r="QBS50" s="1360"/>
      <c r="QBT50" s="1360"/>
      <c r="QBU50" s="1360"/>
      <c r="QBV50" s="1360"/>
      <c r="QBW50" s="1360"/>
      <c r="QBX50" s="1360"/>
      <c r="QBY50" s="1360"/>
      <c r="QBZ50" s="1360"/>
      <c r="QCA50" s="1360"/>
      <c r="QCB50" s="1360"/>
      <c r="QCC50" s="1360"/>
      <c r="QCD50" s="1360"/>
      <c r="QCE50" s="1360"/>
      <c r="QCF50" s="1360"/>
      <c r="QCG50" s="1360"/>
      <c r="QCH50" s="1360"/>
      <c r="QCI50" s="1360"/>
      <c r="QCJ50" s="1360"/>
      <c r="QCK50" s="1360"/>
      <c r="QCL50" s="1360"/>
      <c r="QCM50" s="1360"/>
      <c r="QCN50" s="1360"/>
      <c r="QCO50" s="1360"/>
      <c r="QCP50" s="1360"/>
      <c r="QCQ50" s="1360"/>
      <c r="QCR50" s="1360"/>
      <c r="QCS50" s="1360"/>
      <c r="QCT50" s="1360"/>
      <c r="QCU50" s="1360"/>
      <c r="QCV50" s="1360"/>
      <c r="QCW50" s="1360"/>
      <c r="QCX50" s="1360"/>
      <c r="QCY50" s="1360"/>
      <c r="QCZ50" s="1360"/>
      <c r="QDA50" s="1360"/>
      <c r="QDB50" s="1360"/>
      <c r="QDC50" s="1360"/>
      <c r="QDD50" s="1360"/>
      <c r="QDE50" s="1360"/>
      <c r="QDF50" s="1360"/>
      <c r="QDG50" s="1360"/>
      <c r="QDH50" s="1360"/>
      <c r="QDI50" s="1360"/>
      <c r="QDJ50" s="1360"/>
      <c r="QDK50" s="1360"/>
      <c r="QDL50" s="1360"/>
      <c r="QDM50" s="1360"/>
      <c r="QDN50" s="1360"/>
      <c r="QDO50" s="1360"/>
      <c r="QDP50" s="1360"/>
      <c r="QDQ50" s="1360"/>
      <c r="QDR50" s="1360"/>
      <c r="QDS50" s="1360"/>
      <c r="QDT50" s="1360"/>
      <c r="QDU50" s="1360"/>
      <c r="QDV50" s="1360"/>
      <c r="QDW50" s="1360"/>
      <c r="QDX50" s="1360"/>
      <c r="QDY50" s="1360"/>
      <c r="QDZ50" s="1360"/>
      <c r="QEA50" s="1360"/>
      <c r="QEB50" s="1360"/>
      <c r="QEC50" s="1360"/>
      <c r="QED50" s="1360"/>
      <c r="QEE50" s="1360"/>
      <c r="QEF50" s="1360"/>
      <c r="QEG50" s="1360"/>
      <c r="QEH50" s="1360"/>
      <c r="QEI50" s="1360"/>
      <c r="QEJ50" s="1360"/>
      <c r="QEK50" s="1360"/>
      <c r="QEL50" s="1360"/>
      <c r="QEM50" s="1360"/>
      <c r="QEN50" s="1360"/>
      <c r="QEO50" s="1360"/>
      <c r="QEP50" s="1360"/>
      <c r="QEQ50" s="1360"/>
      <c r="QER50" s="1360"/>
      <c r="QES50" s="1360"/>
      <c r="QET50" s="1360"/>
      <c r="QEU50" s="1360"/>
      <c r="QEV50" s="1360"/>
      <c r="QEW50" s="1360"/>
      <c r="QEX50" s="1360"/>
      <c r="QEY50" s="1360"/>
      <c r="QEZ50" s="1360"/>
      <c r="QFA50" s="1360"/>
      <c r="QFB50" s="1360"/>
      <c r="QFC50" s="1360"/>
      <c r="QFD50" s="1360"/>
      <c r="QFE50" s="1360"/>
      <c r="QFF50" s="1360"/>
      <c r="QFG50" s="1360"/>
      <c r="QFH50" s="1360"/>
      <c r="QFI50" s="1360"/>
      <c r="QFJ50" s="1360"/>
      <c r="QFK50" s="1360"/>
      <c r="QFL50" s="1360"/>
      <c r="QFM50" s="1360"/>
      <c r="QFN50" s="1360"/>
      <c r="QFO50" s="1360"/>
      <c r="QFP50" s="1360"/>
      <c r="QFQ50" s="1360"/>
      <c r="QFR50" s="1360"/>
      <c r="QFS50" s="1360"/>
      <c r="QFT50" s="1360"/>
      <c r="QFU50" s="1360"/>
      <c r="QFV50" s="1360"/>
      <c r="QFW50" s="1360"/>
      <c r="QFX50" s="1360"/>
      <c r="QFY50" s="1360"/>
      <c r="QFZ50" s="1360"/>
      <c r="QGA50" s="1360"/>
      <c r="QGB50" s="1360"/>
      <c r="QGC50" s="1360"/>
      <c r="QGD50" s="1360"/>
      <c r="QGE50" s="1360"/>
      <c r="QGF50" s="1360"/>
      <c r="QGG50" s="1360"/>
      <c r="QGH50" s="1360"/>
      <c r="QGI50" s="1360"/>
      <c r="QGJ50" s="1360"/>
      <c r="QGK50" s="1360"/>
      <c r="QGL50" s="1360"/>
      <c r="QGM50" s="1360"/>
      <c r="QGN50" s="1360"/>
      <c r="QGO50" s="1360"/>
      <c r="QGP50" s="1360"/>
      <c r="QGQ50" s="1360"/>
      <c r="QGR50" s="1360"/>
      <c r="QGS50" s="1360"/>
      <c r="QGT50" s="1360"/>
      <c r="QGU50" s="1360"/>
      <c r="QGV50" s="1360"/>
      <c r="QGW50" s="1360"/>
      <c r="QGX50" s="1360"/>
      <c r="QGY50" s="1360"/>
      <c r="QGZ50" s="1360"/>
      <c r="QHA50" s="1360"/>
      <c r="QHB50" s="1360"/>
      <c r="QHC50" s="1360"/>
      <c r="QHD50" s="1360"/>
      <c r="QHE50" s="1360"/>
      <c r="QHF50" s="1360"/>
      <c r="QHG50" s="1360"/>
      <c r="QHH50" s="1360"/>
      <c r="QHI50" s="1360"/>
      <c r="QHJ50" s="1360"/>
      <c r="QHK50" s="1360"/>
      <c r="QHL50" s="1360"/>
      <c r="QHM50" s="1360"/>
      <c r="QHN50" s="1360"/>
      <c r="QHO50" s="1360"/>
      <c r="QHP50" s="1360"/>
      <c r="QHQ50" s="1360"/>
      <c r="QHR50" s="1360"/>
      <c r="QHS50" s="1360"/>
      <c r="QHT50" s="1360"/>
      <c r="QHU50" s="1360"/>
      <c r="QHV50" s="1360"/>
      <c r="QHW50" s="1360"/>
      <c r="QHX50" s="1360"/>
      <c r="QHY50" s="1360"/>
      <c r="QHZ50" s="1360"/>
      <c r="QIA50" s="1360"/>
      <c r="QIB50" s="1360"/>
      <c r="QIC50" s="1360"/>
      <c r="QID50" s="1360"/>
      <c r="QIE50" s="1360"/>
      <c r="QIF50" s="1360"/>
      <c r="QIG50" s="1360"/>
      <c r="QIH50" s="1360"/>
      <c r="QII50" s="1360"/>
      <c r="QIJ50" s="1360"/>
      <c r="QIK50" s="1360"/>
      <c r="QIL50" s="1360"/>
      <c r="QIM50" s="1360"/>
      <c r="QIN50" s="1360"/>
      <c r="QIO50" s="1360"/>
      <c r="QIP50" s="1360"/>
      <c r="QIQ50" s="1360"/>
      <c r="QIR50" s="1360"/>
      <c r="QIS50" s="1360"/>
      <c r="QIT50" s="1360"/>
      <c r="QIU50" s="1360"/>
      <c r="QIV50" s="1360"/>
      <c r="QIW50" s="1360"/>
      <c r="QIX50" s="1360"/>
      <c r="QIY50" s="1360"/>
      <c r="QIZ50" s="1360"/>
      <c r="QJA50" s="1360"/>
      <c r="QJB50" s="1360"/>
      <c r="QJC50" s="1360"/>
      <c r="QJD50" s="1360"/>
      <c r="QJE50" s="1360"/>
      <c r="QJF50" s="1360"/>
      <c r="QJG50" s="1360"/>
      <c r="QJH50" s="1360"/>
      <c r="QJI50" s="1360"/>
      <c r="QJJ50" s="1360"/>
      <c r="QJK50" s="1360"/>
      <c r="QJL50" s="1360"/>
      <c r="QJM50" s="1360"/>
      <c r="QJN50" s="1360"/>
      <c r="QJO50" s="1360"/>
      <c r="QJP50" s="1360"/>
      <c r="QJQ50" s="1360"/>
      <c r="QJR50" s="1360"/>
      <c r="QJS50" s="1360"/>
      <c r="QJT50" s="1360"/>
      <c r="QJU50" s="1360"/>
      <c r="QJV50" s="1360"/>
      <c r="QJW50" s="1360"/>
      <c r="QJX50" s="1360"/>
      <c r="QJY50" s="1360"/>
      <c r="QJZ50" s="1360"/>
      <c r="QKA50" s="1360"/>
      <c r="QKB50" s="1360"/>
      <c r="QKC50" s="1360"/>
      <c r="QKD50" s="1360"/>
      <c r="QKE50" s="1360"/>
      <c r="QKF50" s="1360"/>
      <c r="QKG50" s="1360"/>
      <c r="QKH50" s="1360"/>
      <c r="QKI50" s="1360"/>
      <c r="QKJ50" s="1360"/>
      <c r="QKK50" s="1360"/>
      <c r="QKL50" s="1360"/>
      <c r="QKM50" s="1360"/>
      <c r="QKN50" s="1360"/>
      <c r="QKO50" s="1360"/>
      <c r="QKP50" s="1360"/>
      <c r="QKQ50" s="1360"/>
      <c r="QKR50" s="1360"/>
      <c r="QKS50" s="1360"/>
      <c r="QKT50" s="1360"/>
      <c r="QKU50" s="1360"/>
      <c r="QKV50" s="1360"/>
      <c r="QKW50" s="1360"/>
      <c r="QKX50" s="1360"/>
      <c r="QKY50" s="1360"/>
      <c r="QKZ50" s="1360"/>
      <c r="QLA50" s="1360"/>
      <c r="QLB50" s="1360"/>
      <c r="QLC50" s="1360"/>
      <c r="QLD50" s="1360"/>
      <c r="QLE50" s="1360"/>
      <c r="QLF50" s="1360"/>
      <c r="QLG50" s="1360"/>
      <c r="QLH50" s="1360"/>
      <c r="QLI50" s="1360"/>
      <c r="QLJ50" s="1360"/>
      <c r="QLK50" s="1360"/>
      <c r="QLL50" s="1360"/>
      <c r="QLM50" s="1360"/>
      <c r="QLN50" s="1360"/>
      <c r="QLO50" s="1360"/>
      <c r="QLP50" s="1360"/>
      <c r="QLQ50" s="1360"/>
      <c r="QLR50" s="1360"/>
      <c r="QLS50" s="1360"/>
      <c r="QLT50" s="1360"/>
      <c r="QLU50" s="1360"/>
      <c r="QLV50" s="1360"/>
      <c r="QLW50" s="1360"/>
      <c r="QLX50" s="1360"/>
      <c r="QLY50" s="1360"/>
      <c r="QLZ50" s="1360"/>
      <c r="QMA50" s="1360"/>
      <c r="QMB50" s="1360"/>
      <c r="QMC50" s="1360"/>
      <c r="QMD50" s="1360"/>
      <c r="QME50" s="1360"/>
      <c r="QMF50" s="1360"/>
      <c r="QMG50" s="1360"/>
      <c r="QMH50" s="1360"/>
      <c r="QMI50" s="1360"/>
      <c r="QMJ50" s="1360"/>
      <c r="QMK50" s="1360"/>
      <c r="QML50" s="1360"/>
      <c r="QMM50" s="1360"/>
      <c r="QMN50" s="1360"/>
      <c r="QMO50" s="1360"/>
      <c r="QMP50" s="1360"/>
      <c r="QMQ50" s="1360"/>
      <c r="QMR50" s="1360"/>
      <c r="QMS50" s="1360"/>
      <c r="QMT50" s="1360"/>
      <c r="QMU50" s="1360"/>
      <c r="QMV50" s="1360"/>
      <c r="QMW50" s="1360"/>
      <c r="QMX50" s="1360"/>
      <c r="QMY50" s="1360"/>
      <c r="QMZ50" s="1360"/>
      <c r="QNA50" s="1360"/>
      <c r="QNB50" s="1360"/>
      <c r="QNC50" s="1360"/>
      <c r="QND50" s="1360"/>
      <c r="QNE50" s="1360"/>
      <c r="QNF50" s="1360"/>
      <c r="QNG50" s="1360"/>
      <c r="QNH50" s="1360"/>
      <c r="QNI50" s="1360"/>
      <c r="QNJ50" s="1360"/>
      <c r="QNK50" s="1360"/>
      <c r="QNL50" s="1360"/>
      <c r="QNM50" s="1360"/>
      <c r="QNN50" s="1360"/>
      <c r="QNO50" s="1360"/>
      <c r="QNP50" s="1360"/>
      <c r="QNQ50" s="1360"/>
      <c r="QNR50" s="1360"/>
      <c r="QNS50" s="1360"/>
      <c r="QNT50" s="1360"/>
      <c r="QNU50" s="1360"/>
      <c r="QNV50" s="1360"/>
      <c r="QNW50" s="1360"/>
      <c r="QNX50" s="1360"/>
      <c r="QNY50" s="1360"/>
      <c r="QNZ50" s="1360"/>
      <c r="QOA50" s="1360"/>
      <c r="QOB50" s="1360"/>
      <c r="QOC50" s="1360"/>
      <c r="QOD50" s="1360"/>
      <c r="QOE50" s="1360"/>
      <c r="QOF50" s="1360"/>
      <c r="QOG50" s="1360"/>
      <c r="QOH50" s="1360"/>
      <c r="QOI50" s="1360"/>
      <c r="QOJ50" s="1360"/>
      <c r="QOK50" s="1360"/>
      <c r="QOL50" s="1360"/>
      <c r="QOM50" s="1360"/>
      <c r="QON50" s="1360"/>
      <c r="QOO50" s="1360"/>
      <c r="QOP50" s="1360"/>
      <c r="QOQ50" s="1360"/>
      <c r="QOR50" s="1360"/>
      <c r="QOS50" s="1360"/>
      <c r="QOT50" s="1360"/>
      <c r="QOU50" s="1360"/>
      <c r="QOV50" s="1360"/>
      <c r="QOW50" s="1360"/>
      <c r="QOX50" s="1360"/>
      <c r="QOY50" s="1360"/>
      <c r="QOZ50" s="1360"/>
      <c r="QPA50" s="1360"/>
      <c r="QPB50" s="1360"/>
      <c r="QPC50" s="1360"/>
      <c r="QPD50" s="1360"/>
      <c r="QPE50" s="1360"/>
      <c r="QPF50" s="1360"/>
      <c r="QPG50" s="1360"/>
      <c r="QPH50" s="1360"/>
      <c r="QPI50" s="1360"/>
      <c r="QPJ50" s="1360"/>
      <c r="QPK50" s="1360"/>
      <c r="QPL50" s="1360"/>
      <c r="QPM50" s="1360"/>
      <c r="QPN50" s="1360"/>
      <c r="QPO50" s="1360"/>
      <c r="QPP50" s="1360"/>
      <c r="QPQ50" s="1360"/>
      <c r="QPR50" s="1360"/>
      <c r="QPS50" s="1360"/>
      <c r="QPT50" s="1360"/>
      <c r="QPU50" s="1360"/>
      <c r="QPV50" s="1360"/>
      <c r="QPW50" s="1360"/>
      <c r="QPX50" s="1360"/>
      <c r="QPY50" s="1360"/>
      <c r="QPZ50" s="1360"/>
      <c r="QQA50" s="1360"/>
      <c r="QQB50" s="1360"/>
      <c r="QQC50" s="1360"/>
      <c r="QQD50" s="1360"/>
      <c r="QQE50" s="1360"/>
      <c r="QQF50" s="1360"/>
      <c r="QQG50" s="1360"/>
      <c r="QQH50" s="1360"/>
      <c r="QQI50" s="1360"/>
      <c r="QQJ50" s="1360"/>
      <c r="QQK50" s="1360"/>
      <c r="QQL50" s="1360"/>
      <c r="QQM50" s="1360"/>
      <c r="QQN50" s="1360"/>
      <c r="QQO50" s="1360"/>
      <c r="QQP50" s="1360"/>
      <c r="QQQ50" s="1360"/>
      <c r="QQR50" s="1360"/>
      <c r="QQS50" s="1360"/>
      <c r="QQT50" s="1360"/>
      <c r="QQU50" s="1360"/>
      <c r="QQV50" s="1360"/>
      <c r="QQW50" s="1360"/>
      <c r="QQX50" s="1360"/>
      <c r="QQY50" s="1360"/>
      <c r="QQZ50" s="1360"/>
      <c r="QRA50" s="1360"/>
      <c r="QRB50" s="1360"/>
      <c r="QRC50" s="1360"/>
      <c r="QRD50" s="1360"/>
      <c r="QRE50" s="1360"/>
      <c r="QRF50" s="1360"/>
      <c r="QRG50" s="1360"/>
      <c r="QRH50" s="1360"/>
      <c r="QRI50" s="1360"/>
      <c r="QRJ50" s="1360"/>
      <c r="QRK50" s="1360"/>
      <c r="QRL50" s="1360"/>
      <c r="QRM50" s="1360"/>
      <c r="QRN50" s="1360"/>
      <c r="QRO50" s="1360"/>
      <c r="QRP50" s="1360"/>
      <c r="QRQ50" s="1360"/>
      <c r="QRR50" s="1360"/>
      <c r="QRS50" s="1360"/>
      <c r="QRT50" s="1360"/>
      <c r="QRU50" s="1360"/>
      <c r="QRV50" s="1360"/>
      <c r="QRW50" s="1360"/>
      <c r="QRX50" s="1360"/>
      <c r="QRY50" s="1360"/>
      <c r="QRZ50" s="1360"/>
      <c r="QSA50" s="1360"/>
      <c r="QSB50" s="1360"/>
      <c r="QSC50" s="1360"/>
      <c r="QSD50" s="1360"/>
      <c r="QSE50" s="1360"/>
      <c r="QSF50" s="1360"/>
      <c r="QSG50" s="1360"/>
      <c r="QSH50" s="1360"/>
      <c r="QSI50" s="1360"/>
      <c r="QSJ50" s="1360"/>
      <c r="QSK50" s="1360"/>
      <c r="QSL50" s="1360"/>
      <c r="QSM50" s="1360"/>
      <c r="QSN50" s="1360"/>
      <c r="QSO50" s="1360"/>
      <c r="QSP50" s="1360"/>
      <c r="QSQ50" s="1360"/>
      <c r="QSR50" s="1360"/>
      <c r="QSS50" s="1360"/>
      <c r="QST50" s="1360"/>
      <c r="QSU50" s="1360"/>
      <c r="QSV50" s="1360"/>
      <c r="QSW50" s="1360"/>
      <c r="QSX50" s="1360"/>
      <c r="QSY50" s="1360"/>
      <c r="QSZ50" s="1360"/>
      <c r="QTA50" s="1360"/>
      <c r="QTB50" s="1360"/>
      <c r="QTC50" s="1360"/>
      <c r="QTD50" s="1360"/>
      <c r="QTE50" s="1360"/>
      <c r="QTF50" s="1360"/>
      <c r="QTG50" s="1360"/>
      <c r="QTH50" s="1360"/>
      <c r="QTI50" s="1360"/>
      <c r="QTJ50" s="1360"/>
      <c r="QTK50" s="1360"/>
      <c r="QTL50" s="1360"/>
      <c r="QTM50" s="1360"/>
      <c r="QTN50" s="1360"/>
      <c r="QTO50" s="1360"/>
      <c r="QTP50" s="1360"/>
      <c r="QTQ50" s="1360"/>
      <c r="QTR50" s="1360"/>
      <c r="QTS50" s="1360"/>
      <c r="QTT50" s="1360"/>
      <c r="QTU50" s="1360"/>
      <c r="QTV50" s="1360"/>
      <c r="QTW50" s="1360"/>
      <c r="QTX50" s="1360"/>
      <c r="QTY50" s="1360"/>
      <c r="QTZ50" s="1360"/>
      <c r="QUA50" s="1360"/>
      <c r="QUB50" s="1360"/>
      <c r="QUC50" s="1360"/>
      <c r="QUD50" s="1360"/>
      <c r="QUE50" s="1360"/>
      <c r="QUF50" s="1360"/>
      <c r="QUG50" s="1360"/>
      <c r="QUH50" s="1360"/>
      <c r="QUI50" s="1360"/>
      <c r="QUJ50" s="1360"/>
      <c r="QUK50" s="1360"/>
      <c r="QUL50" s="1360"/>
      <c r="QUM50" s="1360"/>
      <c r="QUN50" s="1360"/>
      <c r="QUO50" s="1360"/>
      <c r="QUP50" s="1360"/>
      <c r="QUQ50" s="1360"/>
      <c r="QUR50" s="1360"/>
      <c r="QUS50" s="1360"/>
      <c r="QUT50" s="1360"/>
      <c r="QUU50" s="1360"/>
      <c r="QUV50" s="1360"/>
      <c r="QUW50" s="1360"/>
      <c r="QUX50" s="1360"/>
      <c r="QUY50" s="1360"/>
      <c r="QUZ50" s="1360"/>
      <c r="QVA50" s="1360"/>
      <c r="QVB50" s="1360"/>
      <c r="QVC50" s="1360"/>
      <c r="QVD50" s="1360"/>
      <c r="QVE50" s="1360"/>
      <c r="QVF50" s="1360"/>
      <c r="QVG50" s="1360"/>
      <c r="QVH50" s="1360"/>
      <c r="QVI50" s="1360"/>
      <c r="QVJ50" s="1360"/>
      <c r="QVK50" s="1360"/>
      <c r="QVL50" s="1360"/>
      <c r="QVM50" s="1360"/>
      <c r="QVN50" s="1360"/>
      <c r="QVO50" s="1360"/>
      <c r="QVP50" s="1360"/>
      <c r="QVQ50" s="1360"/>
      <c r="QVR50" s="1360"/>
      <c r="QVS50" s="1360"/>
      <c r="QVT50" s="1360"/>
      <c r="QVU50" s="1360"/>
      <c r="QVV50" s="1360"/>
      <c r="QVW50" s="1360"/>
      <c r="QVX50" s="1360"/>
      <c r="QVY50" s="1360"/>
      <c r="QVZ50" s="1360"/>
      <c r="QWA50" s="1360"/>
      <c r="QWB50" s="1360"/>
      <c r="QWC50" s="1360"/>
      <c r="QWD50" s="1360"/>
      <c r="QWE50" s="1360"/>
      <c r="QWF50" s="1360"/>
      <c r="QWG50" s="1360"/>
      <c r="QWH50" s="1360"/>
      <c r="QWI50" s="1360"/>
      <c r="QWJ50" s="1360"/>
      <c r="QWK50" s="1360"/>
      <c r="QWL50" s="1360"/>
      <c r="QWM50" s="1360"/>
      <c r="QWN50" s="1360"/>
      <c r="QWO50" s="1360"/>
      <c r="QWP50" s="1360"/>
      <c r="QWQ50" s="1360"/>
      <c r="QWR50" s="1360"/>
      <c r="QWS50" s="1360"/>
      <c r="QWT50" s="1360"/>
      <c r="QWU50" s="1360"/>
      <c r="QWV50" s="1360"/>
      <c r="QWW50" s="1360"/>
      <c r="QWX50" s="1360"/>
      <c r="QWY50" s="1360"/>
      <c r="QWZ50" s="1360"/>
      <c r="QXA50" s="1360"/>
      <c r="QXB50" s="1360"/>
      <c r="QXC50" s="1360"/>
      <c r="QXD50" s="1360"/>
      <c r="QXE50" s="1360"/>
      <c r="QXF50" s="1360"/>
      <c r="QXG50" s="1360"/>
      <c r="QXH50" s="1360"/>
      <c r="QXI50" s="1360"/>
      <c r="QXJ50" s="1360"/>
      <c r="QXK50" s="1360"/>
      <c r="QXL50" s="1360"/>
      <c r="QXM50" s="1360"/>
      <c r="QXN50" s="1360"/>
      <c r="QXO50" s="1360"/>
      <c r="QXP50" s="1360"/>
      <c r="QXQ50" s="1360"/>
      <c r="QXR50" s="1360"/>
      <c r="QXS50" s="1360"/>
      <c r="QXT50" s="1360"/>
      <c r="QXU50" s="1360"/>
      <c r="QXV50" s="1360"/>
      <c r="QXW50" s="1360"/>
      <c r="QXX50" s="1360"/>
      <c r="QXY50" s="1360"/>
      <c r="QXZ50" s="1360"/>
      <c r="QYA50" s="1360"/>
      <c r="QYB50" s="1360"/>
      <c r="QYC50" s="1360"/>
      <c r="QYD50" s="1360"/>
      <c r="QYE50" s="1360"/>
      <c r="QYF50" s="1360"/>
      <c r="QYG50" s="1360"/>
      <c r="QYH50" s="1360"/>
      <c r="QYI50" s="1360"/>
      <c r="QYJ50" s="1360"/>
      <c r="QYK50" s="1360"/>
      <c r="QYL50" s="1360"/>
      <c r="QYM50" s="1360"/>
      <c r="QYN50" s="1360"/>
      <c r="QYO50" s="1360"/>
      <c r="QYP50" s="1360"/>
      <c r="QYQ50" s="1360"/>
      <c r="QYR50" s="1360"/>
      <c r="QYS50" s="1360"/>
      <c r="QYT50" s="1360"/>
      <c r="QYU50" s="1360"/>
      <c r="QYV50" s="1360"/>
      <c r="QYW50" s="1360"/>
      <c r="QYX50" s="1360"/>
      <c r="QYY50" s="1360"/>
      <c r="QYZ50" s="1360"/>
      <c r="QZA50" s="1360"/>
      <c r="QZB50" s="1360"/>
      <c r="QZC50" s="1360"/>
      <c r="QZD50" s="1360"/>
      <c r="QZE50" s="1360"/>
      <c r="QZF50" s="1360"/>
      <c r="QZG50" s="1360"/>
      <c r="QZH50" s="1360"/>
      <c r="QZI50" s="1360"/>
      <c r="QZJ50" s="1360"/>
      <c r="QZK50" s="1360"/>
      <c r="QZL50" s="1360"/>
      <c r="QZM50" s="1360"/>
      <c r="QZN50" s="1360"/>
      <c r="QZO50" s="1360"/>
      <c r="QZP50" s="1360"/>
      <c r="QZQ50" s="1360"/>
      <c r="QZR50" s="1360"/>
      <c r="QZS50" s="1360"/>
      <c r="QZT50" s="1360"/>
      <c r="QZU50" s="1360"/>
      <c r="QZV50" s="1360"/>
      <c r="QZW50" s="1360"/>
      <c r="QZX50" s="1360"/>
      <c r="QZY50" s="1360"/>
      <c r="QZZ50" s="1360"/>
      <c r="RAA50" s="1360"/>
      <c r="RAB50" s="1360"/>
      <c r="RAC50" s="1360"/>
      <c r="RAD50" s="1360"/>
      <c r="RAE50" s="1360"/>
      <c r="RAF50" s="1360"/>
      <c r="RAG50" s="1360"/>
      <c r="RAH50" s="1360"/>
      <c r="RAI50" s="1360"/>
      <c r="RAJ50" s="1360"/>
      <c r="RAK50" s="1360"/>
      <c r="RAL50" s="1360"/>
      <c r="RAM50" s="1360"/>
      <c r="RAN50" s="1360"/>
      <c r="RAO50" s="1360"/>
      <c r="RAP50" s="1360"/>
      <c r="RAQ50" s="1360"/>
      <c r="RAR50" s="1360"/>
      <c r="RAS50" s="1360"/>
      <c r="RAT50" s="1360"/>
      <c r="RAU50" s="1360"/>
      <c r="RAV50" s="1360"/>
      <c r="RAW50" s="1360"/>
      <c r="RAX50" s="1360"/>
      <c r="RAY50" s="1360"/>
      <c r="RAZ50" s="1360"/>
      <c r="RBA50" s="1360"/>
      <c r="RBB50" s="1360"/>
      <c r="RBC50" s="1360"/>
      <c r="RBD50" s="1360"/>
      <c r="RBE50" s="1360"/>
      <c r="RBF50" s="1360"/>
      <c r="RBG50" s="1360"/>
      <c r="RBH50" s="1360"/>
      <c r="RBI50" s="1360"/>
      <c r="RBJ50" s="1360"/>
      <c r="RBK50" s="1360"/>
      <c r="RBL50" s="1360"/>
      <c r="RBM50" s="1360"/>
      <c r="RBN50" s="1360"/>
      <c r="RBO50" s="1360"/>
      <c r="RBP50" s="1360"/>
      <c r="RBQ50" s="1360"/>
      <c r="RBR50" s="1360"/>
      <c r="RBS50" s="1360"/>
      <c r="RBT50" s="1360"/>
      <c r="RBU50" s="1360"/>
      <c r="RBV50" s="1360"/>
      <c r="RBW50" s="1360"/>
      <c r="RBX50" s="1360"/>
      <c r="RBY50" s="1360"/>
      <c r="RBZ50" s="1360"/>
      <c r="RCA50" s="1360"/>
      <c r="RCB50" s="1360"/>
      <c r="RCC50" s="1360"/>
      <c r="RCD50" s="1360"/>
      <c r="RCE50" s="1360"/>
      <c r="RCF50" s="1360"/>
      <c r="RCG50" s="1360"/>
      <c r="RCH50" s="1360"/>
      <c r="RCI50" s="1360"/>
      <c r="RCJ50" s="1360"/>
      <c r="RCK50" s="1360"/>
      <c r="RCL50" s="1360"/>
      <c r="RCM50" s="1360"/>
      <c r="RCN50" s="1360"/>
      <c r="RCO50" s="1360"/>
      <c r="RCP50" s="1360"/>
      <c r="RCQ50" s="1360"/>
      <c r="RCR50" s="1360"/>
      <c r="RCS50" s="1360"/>
      <c r="RCT50" s="1360"/>
      <c r="RCU50" s="1360"/>
      <c r="RCV50" s="1360"/>
      <c r="RCW50" s="1360"/>
      <c r="RCX50" s="1360"/>
      <c r="RCY50" s="1360"/>
      <c r="RCZ50" s="1360"/>
      <c r="RDA50" s="1360"/>
      <c r="RDB50" s="1360"/>
      <c r="RDC50" s="1360"/>
      <c r="RDD50" s="1360"/>
      <c r="RDE50" s="1360"/>
      <c r="RDF50" s="1360"/>
      <c r="RDG50" s="1360"/>
      <c r="RDH50" s="1360"/>
      <c r="RDI50" s="1360"/>
      <c r="RDJ50" s="1360"/>
      <c r="RDK50" s="1360"/>
      <c r="RDL50" s="1360"/>
      <c r="RDM50" s="1360"/>
      <c r="RDN50" s="1360"/>
      <c r="RDO50" s="1360"/>
      <c r="RDP50" s="1360"/>
      <c r="RDQ50" s="1360"/>
      <c r="RDR50" s="1360"/>
      <c r="RDS50" s="1360"/>
      <c r="RDT50" s="1360"/>
      <c r="RDU50" s="1360"/>
      <c r="RDV50" s="1360"/>
      <c r="RDW50" s="1360"/>
      <c r="RDX50" s="1360"/>
      <c r="RDY50" s="1360"/>
      <c r="RDZ50" s="1360"/>
      <c r="REA50" s="1360"/>
      <c r="REB50" s="1360"/>
      <c r="REC50" s="1360"/>
      <c r="RED50" s="1360"/>
      <c r="REE50" s="1360"/>
      <c r="REF50" s="1360"/>
      <c r="REG50" s="1360"/>
      <c r="REH50" s="1360"/>
      <c r="REI50" s="1360"/>
      <c r="REJ50" s="1360"/>
      <c r="REK50" s="1360"/>
      <c r="REL50" s="1360"/>
      <c r="REM50" s="1360"/>
      <c r="REN50" s="1360"/>
      <c r="REO50" s="1360"/>
      <c r="REP50" s="1360"/>
      <c r="REQ50" s="1360"/>
      <c r="RER50" s="1360"/>
      <c r="RES50" s="1360"/>
      <c r="RET50" s="1360"/>
      <c r="REU50" s="1360"/>
      <c r="REV50" s="1360"/>
      <c r="REW50" s="1360"/>
      <c r="REX50" s="1360"/>
      <c r="REY50" s="1360"/>
      <c r="REZ50" s="1360"/>
      <c r="RFA50" s="1360"/>
      <c r="RFB50" s="1360"/>
      <c r="RFC50" s="1360"/>
      <c r="RFD50" s="1360"/>
      <c r="RFE50" s="1360"/>
      <c r="RFF50" s="1360"/>
      <c r="RFG50" s="1360"/>
      <c r="RFH50" s="1360"/>
      <c r="RFI50" s="1360"/>
      <c r="RFJ50" s="1360"/>
      <c r="RFK50" s="1360"/>
      <c r="RFL50" s="1360"/>
      <c r="RFM50" s="1360"/>
      <c r="RFN50" s="1360"/>
      <c r="RFO50" s="1360"/>
      <c r="RFP50" s="1360"/>
      <c r="RFQ50" s="1360"/>
      <c r="RFR50" s="1360"/>
      <c r="RFS50" s="1360"/>
      <c r="RFT50" s="1360"/>
      <c r="RFU50" s="1360"/>
      <c r="RFV50" s="1360"/>
      <c r="RFW50" s="1360"/>
      <c r="RFX50" s="1360"/>
      <c r="RFY50" s="1360"/>
      <c r="RFZ50" s="1360"/>
      <c r="RGA50" s="1360"/>
      <c r="RGB50" s="1360"/>
      <c r="RGC50" s="1360"/>
      <c r="RGD50" s="1360"/>
      <c r="RGE50" s="1360"/>
      <c r="RGF50" s="1360"/>
      <c r="RGG50" s="1360"/>
      <c r="RGH50" s="1360"/>
      <c r="RGI50" s="1360"/>
      <c r="RGJ50" s="1360"/>
      <c r="RGK50" s="1360"/>
      <c r="RGL50" s="1360"/>
      <c r="RGM50" s="1360"/>
      <c r="RGN50" s="1360"/>
      <c r="RGO50" s="1360"/>
      <c r="RGP50" s="1360"/>
      <c r="RGQ50" s="1360"/>
      <c r="RGR50" s="1360"/>
      <c r="RGS50" s="1360"/>
      <c r="RGT50" s="1360"/>
      <c r="RGU50" s="1360"/>
      <c r="RGV50" s="1360"/>
      <c r="RGW50" s="1360"/>
      <c r="RGX50" s="1360"/>
      <c r="RGY50" s="1360"/>
      <c r="RGZ50" s="1360"/>
      <c r="RHA50" s="1360"/>
      <c r="RHB50" s="1360"/>
      <c r="RHC50" s="1360"/>
      <c r="RHD50" s="1360"/>
      <c r="RHE50" s="1360"/>
      <c r="RHF50" s="1360"/>
      <c r="RHG50" s="1360"/>
      <c r="RHH50" s="1360"/>
      <c r="RHI50" s="1360"/>
      <c r="RHJ50" s="1360"/>
      <c r="RHK50" s="1360"/>
      <c r="RHL50" s="1360"/>
      <c r="RHM50" s="1360"/>
      <c r="RHN50" s="1360"/>
      <c r="RHO50" s="1360"/>
      <c r="RHP50" s="1360"/>
      <c r="RHQ50" s="1360"/>
      <c r="RHR50" s="1360"/>
      <c r="RHS50" s="1360"/>
      <c r="RHT50" s="1360"/>
      <c r="RHU50" s="1360"/>
      <c r="RHV50" s="1360"/>
      <c r="RHW50" s="1360"/>
      <c r="RHX50" s="1360"/>
      <c r="RHY50" s="1360"/>
      <c r="RHZ50" s="1360"/>
      <c r="RIA50" s="1360"/>
      <c r="RIB50" s="1360"/>
      <c r="RIC50" s="1360"/>
      <c r="RID50" s="1360"/>
      <c r="RIE50" s="1360"/>
      <c r="RIF50" s="1360"/>
      <c r="RIG50" s="1360"/>
      <c r="RIH50" s="1360"/>
      <c r="RII50" s="1360"/>
      <c r="RIJ50" s="1360"/>
      <c r="RIK50" s="1360"/>
      <c r="RIL50" s="1360"/>
      <c r="RIM50" s="1360"/>
      <c r="RIN50" s="1360"/>
      <c r="RIO50" s="1360"/>
      <c r="RIP50" s="1360"/>
      <c r="RIQ50" s="1360"/>
      <c r="RIR50" s="1360"/>
      <c r="RIS50" s="1360"/>
      <c r="RIT50" s="1360"/>
      <c r="RIU50" s="1360"/>
      <c r="RIV50" s="1360"/>
      <c r="RIW50" s="1360"/>
      <c r="RIX50" s="1360"/>
      <c r="RIY50" s="1360"/>
      <c r="RIZ50" s="1360"/>
      <c r="RJA50" s="1360"/>
      <c r="RJB50" s="1360"/>
      <c r="RJC50" s="1360"/>
      <c r="RJD50" s="1360"/>
      <c r="RJE50" s="1360"/>
      <c r="RJF50" s="1360"/>
      <c r="RJG50" s="1360"/>
      <c r="RJH50" s="1360"/>
      <c r="RJI50" s="1360"/>
      <c r="RJJ50" s="1360"/>
      <c r="RJK50" s="1360"/>
      <c r="RJL50" s="1360"/>
      <c r="RJM50" s="1360"/>
      <c r="RJN50" s="1360"/>
      <c r="RJO50" s="1360"/>
      <c r="RJP50" s="1360"/>
      <c r="RJQ50" s="1360"/>
      <c r="RJR50" s="1360"/>
      <c r="RJS50" s="1360"/>
      <c r="RJT50" s="1360"/>
      <c r="RJU50" s="1360"/>
      <c r="RJV50" s="1360"/>
      <c r="RJW50" s="1360"/>
      <c r="RJX50" s="1360"/>
      <c r="RJY50" s="1360"/>
      <c r="RJZ50" s="1360"/>
      <c r="RKA50" s="1360"/>
      <c r="RKB50" s="1360"/>
      <c r="RKC50" s="1360"/>
      <c r="RKD50" s="1360"/>
      <c r="RKE50" s="1360"/>
      <c r="RKF50" s="1360"/>
      <c r="RKG50" s="1360"/>
      <c r="RKH50" s="1360"/>
      <c r="RKI50" s="1360"/>
      <c r="RKJ50" s="1360"/>
      <c r="RKK50" s="1360"/>
      <c r="RKL50" s="1360"/>
      <c r="RKM50" s="1360"/>
      <c r="RKN50" s="1360"/>
      <c r="RKO50" s="1360"/>
      <c r="RKP50" s="1360"/>
      <c r="RKQ50" s="1360"/>
      <c r="RKR50" s="1360"/>
      <c r="RKS50" s="1360"/>
      <c r="RKT50" s="1360"/>
      <c r="RKU50" s="1360"/>
      <c r="RKV50" s="1360"/>
      <c r="RKW50" s="1360"/>
      <c r="RKX50" s="1360"/>
      <c r="RKY50" s="1360"/>
      <c r="RKZ50" s="1360"/>
      <c r="RLA50" s="1360"/>
      <c r="RLB50" s="1360"/>
      <c r="RLC50" s="1360"/>
      <c r="RLD50" s="1360"/>
      <c r="RLE50" s="1360"/>
      <c r="RLF50" s="1360"/>
      <c r="RLG50" s="1360"/>
      <c r="RLH50" s="1360"/>
      <c r="RLI50" s="1360"/>
      <c r="RLJ50" s="1360"/>
      <c r="RLK50" s="1360"/>
      <c r="RLL50" s="1360"/>
      <c r="RLM50" s="1360"/>
      <c r="RLN50" s="1360"/>
      <c r="RLO50" s="1360"/>
      <c r="RLP50" s="1360"/>
      <c r="RLQ50" s="1360"/>
      <c r="RLR50" s="1360"/>
      <c r="RLS50" s="1360"/>
      <c r="RLT50" s="1360"/>
      <c r="RLU50" s="1360"/>
      <c r="RLV50" s="1360"/>
      <c r="RLW50" s="1360"/>
      <c r="RLX50" s="1360"/>
      <c r="RLY50" s="1360"/>
      <c r="RLZ50" s="1360"/>
      <c r="RMA50" s="1360"/>
      <c r="RMB50" s="1360"/>
      <c r="RMC50" s="1360"/>
      <c r="RMD50" s="1360"/>
      <c r="RME50" s="1360"/>
      <c r="RMF50" s="1360"/>
      <c r="RMG50" s="1360"/>
      <c r="RMH50" s="1360"/>
      <c r="RMI50" s="1360"/>
      <c r="RMJ50" s="1360"/>
      <c r="RMK50" s="1360"/>
      <c r="RML50" s="1360"/>
      <c r="RMM50" s="1360"/>
      <c r="RMN50" s="1360"/>
      <c r="RMO50" s="1360"/>
      <c r="RMP50" s="1360"/>
      <c r="RMQ50" s="1360"/>
      <c r="RMR50" s="1360"/>
      <c r="RMS50" s="1360"/>
      <c r="RMT50" s="1360"/>
      <c r="RMU50" s="1360"/>
      <c r="RMV50" s="1360"/>
      <c r="RMW50" s="1360"/>
      <c r="RMX50" s="1360"/>
      <c r="RMY50" s="1360"/>
      <c r="RMZ50" s="1360"/>
      <c r="RNA50" s="1360"/>
      <c r="RNB50" s="1360"/>
      <c r="RNC50" s="1360"/>
      <c r="RND50" s="1360"/>
      <c r="RNE50" s="1360"/>
      <c r="RNF50" s="1360"/>
      <c r="RNG50" s="1360"/>
      <c r="RNH50" s="1360"/>
      <c r="RNI50" s="1360"/>
      <c r="RNJ50" s="1360"/>
      <c r="RNK50" s="1360"/>
      <c r="RNL50" s="1360"/>
      <c r="RNM50" s="1360"/>
      <c r="RNN50" s="1360"/>
      <c r="RNO50" s="1360"/>
      <c r="RNP50" s="1360"/>
      <c r="RNQ50" s="1360"/>
      <c r="RNR50" s="1360"/>
      <c r="RNS50" s="1360"/>
      <c r="RNT50" s="1360"/>
      <c r="RNU50" s="1360"/>
      <c r="RNV50" s="1360"/>
      <c r="RNW50" s="1360"/>
      <c r="RNX50" s="1360"/>
      <c r="RNY50" s="1360"/>
      <c r="RNZ50" s="1360"/>
      <c r="ROA50" s="1360"/>
      <c r="ROB50" s="1360"/>
      <c r="ROC50" s="1360"/>
      <c r="ROD50" s="1360"/>
      <c r="ROE50" s="1360"/>
      <c r="ROF50" s="1360"/>
      <c r="ROG50" s="1360"/>
      <c r="ROH50" s="1360"/>
      <c r="ROI50" s="1360"/>
      <c r="ROJ50" s="1360"/>
      <c r="ROK50" s="1360"/>
      <c r="ROL50" s="1360"/>
      <c r="ROM50" s="1360"/>
      <c r="RON50" s="1360"/>
      <c r="ROO50" s="1360"/>
      <c r="ROP50" s="1360"/>
      <c r="ROQ50" s="1360"/>
      <c r="ROR50" s="1360"/>
      <c r="ROS50" s="1360"/>
      <c r="ROT50" s="1360"/>
      <c r="ROU50" s="1360"/>
      <c r="ROV50" s="1360"/>
      <c r="ROW50" s="1360"/>
      <c r="ROX50" s="1360"/>
      <c r="ROY50" s="1360"/>
      <c r="ROZ50" s="1360"/>
      <c r="RPA50" s="1360"/>
      <c r="RPB50" s="1360"/>
      <c r="RPC50" s="1360"/>
      <c r="RPD50" s="1360"/>
      <c r="RPE50" s="1360"/>
      <c r="RPF50" s="1360"/>
      <c r="RPG50" s="1360"/>
      <c r="RPH50" s="1360"/>
      <c r="RPI50" s="1360"/>
      <c r="RPJ50" s="1360"/>
      <c r="RPK50" s="1360"/>
      <c r="RPL50" s="1360"/>
      <c r="RPM50" s="1360"/>
      <c r="RPN50" s="1360"/>
      <c r="RPO50" s="1360"/>
      <c r="RPP50" s="1360"/>
      <c r="RPQ50" s="1360"/>
      <c r="RPR50" s="1360"/>
      <c r="RPS50" s="1360"/>
      <c r="RPT50" s="1360"/>
      <c r="RPU50" s="1360"/>
      <c r="RPV50" s="1360"/>
      <c r="RPW50" s="1360"/>
      <c r="RPX50" s="1360"/>
      <c r="RPY50" s="1360"/>
      <c r="RPZ50" s="1360"/>
      <c r="RQA50" s="1360"/>
      <c r="RQB50" s="1360"/>
      <c r="RQC50" s="1360"/>
      <c r="RQD50" s="1360"/>
      <c r="RQE50" s="1360"/>
      <c r="RQF50" s="1360"/>
      <c r="RQG50" s="1360"/>
      <c r="RQH50" s="1360"/>
      <c r="RQI50" s="1360"/>
      <c r="RQJ50" s="1360"/>
      <c r="RQK50" s="1360"/>
      <c r="RQL50" s="1360"/>
      <c r="RQM50" s="1360"/>
      <c r="RQN50" s="1360"/>
      <c r="RQO50" s="1360"/>
      <c r="RQP50" s="1360"/>
      <c r="RQQ50" s="1360"/>
      <c r="RQR50" s="1360"/>
      <c r="RQS50" s="1360"/>
      <c r="RQT50" s="1360"/>
      <c r="RQU50" s="1360"/>
      <c r="RQV50" s="1360"/>
      <c r="RQW50" s="1360"/>
      <c r="RQX50" s="1360"/>
      <c r="RQY50" s="1360"/>
      <c r="RQZ50" s="1360"/>
      <c r="RRA50" s="1360"/>
      <c r="RRB50" s="1360"/>
      <c r="RRC50" s="1360"/>
      <c r="RRD50" s="1360"/>
      <c r="RRE50" s="1360"/>
      <c r="RRF50" s="1360"/>
      <c r="RRG50" s="1360"/>
      <c r="RRH50" s="1360"/>
      <c r="RRI50" s="1360"/>
      <c r="RRJ50" s="1360"/>
      <c r="RRK50" s="1360"/>
      <c r="RRL50" s="1360"/>
      <c r="RRM50" s="1360"/>
      <c r="RRN50" s="1360"/>
      <c r="RRO50" s="1360"/>
      <c r="RRP50" s="1360"/>
      <c r="RRQ50" s="1360"/>
      <c r="RRR50" s="1360"/>
      <c r="RRS50" s="1360"/>
      <c r="RRT50" s="1360"/>
      <c r="RRU50" s="1360"/>
      <c r="RRV50" s="1360"/>
      <c r="RRW50" s="1360"/>
      <c r="RRX50" s="1360"/>
      <c r="RRY50" s="1360"/>
      <c r="RRZ50" s="1360"/>
      <c r="RSA50" s="1360"/>
      <c r="RSB50" s="1360"/>
      <c r="RSC50" s="1360"/>
      <c r="RSD50" s="1360"/>
      <c r="RSE50" s="1360"/>
      <c r="RSF50" s="1360"/>
      <c r="RSG50" s="1360"/>
      <c r="RSH50" s="1360"/>
      <c r="RSI50" s="1360"/>
      <c r="RSJ50" s="1360"/>
      <c r="RSK50" s="1360"/>
      <c r="RSL50" s="1360"/>
      <c r="RSM50" s="1360"/>
      <c r="RSN50" s="1360"/>
      <c r="RSO50" s="1360"/>
      <c r="RSP50" s="1360"/>
      <c r="RSQ50" s="1360"/>
      <c r="RSR50" s="1360"/>
      <c r="RSS50" s="1360"/>
      <c r="RST50" s="1360"/>
      <c r="RSU50" s="1360"/>
      <c r="RSV50" s="1360"/>
      <c r="RSW50" s="1360"/>
      <c r="RSX50" s="1360"/>
      <c r="RSY50" s="1360"/>
      <c r="RSZ50" s="1360"/>
      <c r="RTA50" s="1360"/>
      <c r="RTB50" s="1360"/>
      <c r="RTC50" s="1360"/>
      <c r="RTD50" s="1360"/>
      <c r="RTE50" s="1360"/>
      <c r="RTF50" s="1360"/>
      <c r="RTG50" s="1360"/>
      <c r="RTH50" s="1360"/>
      <c r="RTI50" s="1360"/>
      <c r="RTJ50" s="1360"/>
      <c r="RTK50" s="1360"/>
      <c r="RTL50" s="1360"/>
      <c r="RTM50" s="1360"/>
      <c r="RTN50" s="1360"/>
      <c r="RTO50" s="1360"/>
      <c r="RTP50" s="1360"/>
      <c r="RTQ50" s="1360"/>
      <c r="RTR50" s="1360"/>
      <c r="RTS50" s="1360"/>
      <c r="RTT50" s="1360"/>
      <c r="RTU50" s="1360"/>
      <c r="RTV50" s="1360"/>
      <c r="RTW50" s="1360"/>
      <c r="RTX50" s="1360"/>
      <c r="RTY50" s="1360"/>
      <c r="RTZ50" s="1360"/>
      <c r="RUA50" s="1360"/>
      <c r="RUB50" s="1360"/>
      <c r="RUC50" s="1360"/>
      <c r="RUD50" s="1360"/>
      <c r="RUE50" s="1360"/>
      <c r="RUF50" s="1360"/>
      <c r="RUG50" s="1360"/>
      <c r="RUH50" s="1360"/>
      <c r="RUI50" s="1360"/>
      <c r="RUJ50" s="1360"/>
      <c r="RUK50" s="1360"/>
      <c r="RUL50" s="1360"/>
      <c r="RUM50" s="1360"/>
      <c r="RUN50" s="1360"/>
      <c r="RUO50" s="1360"/>
      <c r="RUP50" s="1360"/>
      <c r="RUQ50" s="1360"/>
      <c r="RUR50" s="1360"/>
      <c r="RUS50" s="1360"/>
      <c r="RUT50" s="1360"/>
      <c r="RUU50" s="1360"/>
      <c r="RUV50" s="1360"/>
      <c r="RUW50" s="1360"/>
      <c r="RUX50" s="1360"/>
      <c r="RUY50" s="1360"/>
      <c r="RUZ50" s="1360"/>
      <c r="RVA50" s="1360"/>
      <c r="RVB50" s="1360"/>
      <c r="RVC50" s="1360"/>
      <c r="RVD50" s="1360"/>
      <c r="RVE50" s="1360"/>
      <c r="RVF50" s="1360"/>
      <c r="RVG50" s="1360"/>
      <c r="RVH50" s="1360"/>
      <c r="RVI50" s="1360"/>
      <c r="RVJ50" s="1360"/>
      <c r="RVK50" s="1360"/>
      <c r="RVL50" s="1360"/>
      <c r="RVM50" s="1360"/>
      <c r="RVN50" s="1360"/>
      <c r="RVO50" s="1360"/>
      <c r="RVP50" s="1360"/>
      <c r="RVQ50" s="1360"/>
      <c r="RVR50" s="1360"/>
      <c r="RVS50" s="1360"/>
      <c r="RVT50" s="1360"/>
      <c r="RVU50" s="1360"/>
      <c r="RVV50" s="1360"/>
      <c r="RVW50" s="1360"/>
      <c r="RVX50" s="1360"/>
      <c r="RVY50" s="1360"/>
      <c r="RVZ50" s="1360"/>
      <c r="RWA50" s="1360"/>
      <c r="RWB50" s="1360"/>
      <c r="RWC50" s="1360"/>
      <c r="RWD50" s="1360"/>
      <c r="RWE50" s="1360"/>
      <c r="RWF50" s="1360"/>
      <c r="RWG50" s="1360"/>
      <c r="RWH50" s="1360"/>
      <c r="RWI50" s="1360"/>
      <c r="RWJ50" s="1360"/>
      <c r="RWK50" s="1360"/>
      <c r="RWL50" s="1360"/>
      <c r="RWM50" s="1360"/>
      <c r="RWN50" s="1360"/>
      <c r="RWO50" s="1360"/>
      <c r="RWP50" s="1360"/>
      <c r="RWQ50" s="1360"/>
      <c r="RWR50" s="1360"/>
      <c r="RWS50" s="1360"/>
      <c r="RWT50" s="1360"/>
      <c r="RWU50" s="1360"/>
      <c r="RWV50" s="1360"/>
      <c r="RWW50" s="1360"/>
      <c r="RWX50" s="1360"/>
      <c r="RWY50" s="1360"/>
      <c r="RWZ50" s="1360"/>
      <c r="RXA50" s="1360"/>
      <c r="RXB50" s="1360"/>
      <c r="RXC50" s="1360"/>
      <c r="RXD50" s="1360"/>
      <c r="RXE50" s="1360"/>
      <c r="RXF50" s="1360"/>
      <c r="RXG50" s="1360"/>
      <c r="RXH50" s="1360"/>
      <c r="RXI50" s="1360"/>
      <c r="RXJ50" s="1360"/>
      <c r="RXK50" s="1360"/>
      <c r="RXL50" s="1360"/>
      <c r="RXM50" s="1360"/>
      <c r="RXN50" s="1360"/>
      <c r="RXO50" s="1360"/>
      <c r="RXP50" s="1360"/>
      <c r="RXQ50" s="1360"/>
      <c r="RXR50" s="1360"/>
      <c r="RXS50" s="1360"/>
      <c r="RXT50" s="1360"/>
      <c r="RXU50" s="1360"/>
      <c r="RXV50" s="1360"/>
      <c r="RXW50" s="1360"/>
      <c r="RXX50" s="1360"/>
      <c r="RXY50" s="1360"/>
      <c r="RXZ50" s="1360"/>
      <c r="RYA50" s="1360"/>
      <c r="RYB50" s="1360"/>
      <c r="RYC50" s="1360"/>
      <c r="RYD50" s="1360"/>
      <c r="RYE50" s="1360"/>
      <c r="RYF50" s="1360"/>
      <c r="RYG50" s="1360"/>
      <c r="RYH50" s="1360"/>
      <c r="RYI50" s="1360"/>
      <c r="RYJ50" s="1360"/>
      <c r="RYK50" s="1360"/>
      <c r="RYL50" s="1360"/>
      <c r="RYM50" s="1360"/>
      <c r="RYN50" s="1360"/>
      <c r="RYO50" s="1360"/>
      <c r="RYP50" s="1360"/>
      <c r="RYQ50" s="1360"/>
      <c r="RYR50" s="1360"/>
      <c r="RYS50" s="1360"/>
      <c r="RYT50" s="1360"/>
      <c r="RYU50" s="1360"/>
      <c r="RYV50" s="1360"/>
      <c r="RYW50" s="1360"/>
      <c r="RYX50" s="1360"/>
      <c r="RYY50" s="1360"/>
      <c r="RYZ50" s="1360"/>
      <c r="RZA50" s="1360"/>
      <c r="RZB50" s="1360"/>
      <c r="RZC50" s="1360"/>
      <c r="RZD50" s="1360"/>
      <c r="RZE50" s="1360"/>
      <c r="RZF50" s="1360"/>
      <c r="RZG50" s="1360"/>
      <c r="RZH50" s="1360"/>
      <c r="RZI50" s="1360"/>
      <c r="RZJ50" s="1360"/>
      <c r="RZK50" s="1360"/>
      <c r="RZL50" s="1360"/>
      <c r="RZM50" s="1360"/>
      <c r="RZN50" s="1360"/>
      <c r="RZO50" s="1360"/>
      <c r="RZP50" s="1360"/>
      <c r="RZQ50" s="1360"/>
      <c r="RZR50" s="1360"/>
      <c r="RZS50" s="1360"/>
      <c r="RZT50" s="1360"/>
      <c r="RZU50" s="1360"/>
      <c r="RZV50" s="1360"/>
      <c r="RZW50" s="1360"/>
      <c r="RZX50" s="1360"/>
      <c r="RZY50" s="1360"/>
      <c r="RZZ50" s="1360"/>
      <c r="SAA50" s="1360"/>
      <c r="SAB50" s="1360"/>
      <c r="SAC50" s="1360"/>
      <c r="SAD50" s="1360"/>
      <c r="SAE50" s="1360"/>
      <c r="SAF50" s="1360"/>
      <c r="SAG50" s="1360"/>
      <c r="SAH50" s="1360"/>
      <c r="SAI50" s="1360"/>
      <c r="SAJ50" s="1360"/>
      <c r="SAK50" s="1360"/>
      <c r="SAL50" s="1360"/>
      <c r="SAM50" s="1360"/>
      <c r="SAN50" s="1360"/>
      <c r="SAO50" s="1360"/>
      <c r="SAP50" s="1360"/>
      <c r="SAQ50" s="1360"/>
      <c r="SAR50" s="1360"/>
      <c r="SAS50" s="1360"/>
      <c r="SAT50" s="1360"/>
      <c r="SAU50" s="1360"/>
      <c r="SAV50" s="1360"/>
      <c r="SAW50" s="1360"/>
      <c r="SAX50" s="1360"/>
      <c r="SAY50" s="1360"/>
      <c r="SAZ50" s="1360"/>
      <c r="SBA50" s="1360"/>
      <c r="SBB50" s="1360"/>
      <c r="SBC50" s="1360"/>
      <c r="SBD50" s="1360"/>
      <c r="SBE50" s="1360"/>
      <c r="SBF50" s="1360"/>
      <c r="SBG50" s="1360"/>
      <c r="SBH50" s="1360"/>
      <c r="SBI50" s="1360"/>
      <c r="SBJ50" s="1360"/>
      <c r="SBK50" s="1360"/>
      <c r="SBL50" s="1360"/>
      <c r="SBM50" s="1360"/>
      <c r="SBN50" s="1360"/>
      <c r="SBO50" s="1360"/>
      <c r="SBP50" s="1360"/>
      <c r="SBQ50" s="1360"/>
      <c r="SBR50" s="1360"/>
      <c r="SBS50" s="1360"/>
      <c r="SBT50" s="1360"/>
      <c r="SBU50" s="1360"/>
      <c r="SBV50" s="1360"/>
      <c r="SBW50" s="1360"/>
      <c r="SBX50" s="1360"/>
      <c r="SBY50" s="1360"/>
      <c r="SBZ50" s="1360"/>
      <c r="SCA50" s="1360"/>
      <c r="SCB50" s="1360"/>
      <c r="SCC50" s="1360"/>
      <c r="SCD50" s="1360"/>
      <c r="SCE50" s="1360"/>
      <c r="SCF50" s="1360"/>
      <c r="SCG50" s="1360"/>
      <c r="SCH50" s="1360"/>
      <c r="SCI50" s="1360"/>
      <c r="SCJ50" s="1360"/>
      <c r="SCK50" s="1360"/>
      <c r="SCL50" s="1360"/>
      <c r="SCM50" s="1360"/>
      <c r="SCN50" s="1360"/>
      <c r="SCO50" s="1360"/>
      <c r="SCP50" s="1360"/>
      <c r="SCQ50" s="1360"/>
      <c r="SCR50" s="1360"/>
      <c r="SCS50" s="1360"/>
      <c r="SCT50" s="1360"/>
      <c r="SCU50" s="1360"/>
      <c r="SCV50" s="1360"/>
      <c r="SCW50" s="1360"/>
      <c r="SCX50" s="1360"/>
      <c r="SCY50" s="1360"/>
      <c r="SCZ50" s="1360"/>
      <c r="SDA50" s="1360"/>
      <c r="SDB50" s="1360"/>
      <c r="SDC50" s="1360"/>
      <c r="SDD50" s="1360"/>
      <c r="SDE50" s="1360"/>
      <c r="SDF50" s="1360"/>
      <c r="SDG50" s="1360"/>
      <c r="SDH50" s="1360"/>
      <c r="SDI50" s="1360"/>
      <c r="SDJ50" s="1360"/>
      <c r="SDK50" s="1360"/>
      <c r="SDL50" s="1360"/>
      <c r="SDM50" s="1360"/>
      <c r="SDN50" s="1360"/>
      <c r="SDO50" s="1360"/>
      <c r="SDP50" s="1360"/>
      <c r="SDQ50" s="1360"/>
      <c r="SDR50" s="1360"/>
      <c r="SDS50" s="1360"/>
      <c r="SDT50" s="1360"/>
      <c r="SDU50" s="1360"/>
      <c r="SDV50" s="1360"/>
      <c r="SDW50" s="1360"/>
      <c r="SDX50" s="1360"/>
      <c r="SDY50" s="1360"/>
      <c r="SDZ50" s="1360"/>
      <c r="SEA50" s="1360"/>
      <c r="SEB50" s="1360"/>
      <c r="SEC50" s="1360"/>
      <c r="SED50" s="1360"/>
      <c r="SEE50" s="1360"/>
      <c r="SEF50" s="1360"/>
      <c r="SEG50" s="1360"/>
      <c r="SEH50" s="1360"/>
      <c r="SEI50" s="1360"/>
      <c r="SEJ50" s="1360"/>
      <c r="SEK50" s="1360"/>
      <c r="SEL50" s="1360"/>
      <c r="SEM50" s="1360"/>
      <c r="SEN50" s="1360"/>
      <c r="SEO50" s="1360"/>
      <c r="SEP50" s="1360"/>
      <c r="SEQ50" s="1360"/>
      <c r="SER50" s="1360"/>
      <c r="SES50" s="1360"/>
      <c r="SET50" s="1360"/>
      <c r="SEU50" s="1360"/>
      <c r="SEV50" s="1360"/>
      <c r="SEW50" s="1360"/>
      <c r="SEX50" s="1360"/>
      <c r="SEY50" s="1360"/>
      <c r="SEZ50" s="1360"/>
      <c r="SFA50" s="1360"/>
      <c r="SFB50" s="1360"/>
      <c r="SFC50" s="1360"/>
      <c r="SFD50" s="1360"/>
      <c r="SFE50" s="1360"/>
      <c r="SFF50" s="1360"/>
      <c r="SFG50" s="1360"/>
      <c r="SFH50" s="1360"/>
      <c r="SFI50" s="1360"/>
      <c r="SFJ50" s="1360"/>
      <c r="SFK50" s="1360"/>
      <c r="SFL50" s="1360"/>
      <c r="SFM50" s="1360"/>
      <c r="SFN50" s="1360"/>
      <c r="SFO50" s="1360"/>
      <c r="SFP50" s="1360"/>
      <c r="SFQ50" s="1360"/>
      <c r="SFR50" s="1360"/>
      <c r="SFS50" s="1360"/>
      <c r="SFT50" s="1360"/>
      <c r="SFU50" s="1360"/>
      <c r="SFV50" s="1360"/>
      <c r="SFW50" s="1360"/>
      <c r="SFX50" s="1360"/>
      <c r="SFY50" s="1360"/>
      <c r="SFZ50" s="1360"/>
      <c r="SGA50" s="1360"/>
      <c r="SGB50" s="1360"/>
      <c r="SGC50" s="1360"/>
      <c r="SGD50" s="1360"/>
      <c r="SGE50" s="1360"/>
      <c r="SGF50" s="1360"/>
      <c r="SGG50" s="1360"/>
      <c r="SGH50" s="1360"/>
      <c r="SGI50" s="1360"/>
      <c r="SGJ50" s="1360"/>
      <c r="SGK50" s="1360"/>
      <c r="SGL50" s="1360"/>
      <c r="SGM50" s="1360"/>
      <c r="SGN50" s="1360"/>
      <c r="SGO50" s="1360"/>
      <c r="SGP50" s="1360"/>
      <c r="SGQ50" s="1360"/>
      <c r="SGR50" s="1360"/>
      <c r="SGS50" s="1360"/>
      <c r="SGT50" s="1360"/>
      <c r="SGU50" s="1360"/>
      <c r="SGV50" s="1360"/>
      <c r="SGW50" s="1360"/>
      <c r="SGX50" s="1360"/>
      <c r="SGY50" s="1360"/>
      <c r="SGZ50" s="1360"/>
      <c r="SHA50" s="1360"/>
      <c r="SHB50" s="1360"/>
      <c r="SHC50" s="1360"/>
      <c r="SHD50" s="1360"/>
      <c r="SHE50" s="1360"/>
      <c r="SHF50" s="1360"/>
      <c r="SHG50" s="1360"/>
      <c r="SHH50" s="1360"/>
      <c r="SHI50" s="1360"/>
      <c r="SHJ50" s="1360"/>
      <c r="SHK50" s="1360"/>
      <c r="SHL50" s="1360"/>
      <c r="SHM50" s="1360"/>
      <c r="SHN50" s="1360"/>
      <c r="SHO50" s="1360"/>
      <c r="SHP50" s="1360"/>
      <c r="SHQ50" s="1360"/>
      <c r="SHR50" s="1360"/>
      <c r="SHS50" s="1360"/>
      <c r="SHT50" s="1360"/>
      <c r="SHU50" s="1360"/>
      <c r="SHV50" s="1360"/>
      <c r="SHW50" s="1360"/>
      <c r="SHX50" s="1360"/>
      <c r="SHY50" s="1360"/>
      <c r="SHZ50" s="1360"/>
      <c r="SIA50" s="1360"/>
      <c r="SIB50" s="1360"/>
      <c r="SIC50" s="1360"/>
      <c r="SID50" s="1360"/>
      <c r="SIE50" s="1360"/>
      <c r="SIF50" s="1360"/>
      <c r="SIG50" s="1360"/>
      <c r="SIH50" s="1360"/>
      <c r="SII50" s="1360"/>
      <c r="SIJ50" s="1360"/>
      <c r="SIK50" s="1360"/>
      <c r="SIL50" s="1360"/>
      <c r="SIM50" s="1360"/>
      <c r="SIN50" s="1360"/>
      <c r="SIO50" s="1360"/>
      <c r="SIP50" s="1360"/>
      <c r="SIQ50" s="1360"/>
      <c r="SIR50" s="1360"/>
      <c r="SIS50" s="1360"/>
      <c r="SIT50" s="1360"/>
      <c r="SIU50" s="1360"/>
      <c r="SIV50" s="1360"/>
      <c r="SIW50" s="1360"/>
      <c r="SIX50" s="1360"/>
      <c r="SIY50" s="1360"/>
      <c r="SIZ50" s="1360"/>
      <c r="SJA50" s="1360"/>
      <c r="SJB50" s="1360"/>
      <c r="SJC50" s="1360"/>
      <c r="SJD50" s="1360"/>
      <c r="SJE50" s="1360"/>
      <c r="SJF50" s="1360"/>
      <c r="SJG50" s="1360"/>
      <c r="SJH50" s="1360"/>
      <c r="SJI50" s="1360"/>
      <c r="SJJ50" s="1360"/>
      <c r="SJK50" s="1360"/>
      <c r="SJL50" s="1360"/>
      <c r="SJM50" s="1360"/>
      <c r="SJN50" s="1360"/>
      <c r="SJO50" s="1360"/>
      <c r="SJP50" s="1360"/>
      <c r="SJQ50" s="1360"/>
      <c r="SJR50" s="1360"/>
      <c r="SJS50" s="1360"/>
      <c r="SJT50" s="1360"/>
      <c r="SJU50" s="1360"/>
      <c r="SJV50" s="1360"/>
      <c r="SJW50" s="1360"/>
      <c r="SJX50" s="1360"/>
      <c r="SJY50" s="1360"/>
      <c r="SJZ50" s="1360"/>
      <c r="SKA50" s="1360"/>
      <c r="SKB50" s="1360"/>
      <c r="SKC50" s="1360"/>
      <c r="SKD50" s="1360"/>
      <c r="SKE50" s="1360"/>
      <c r="SKF50" s="1360"/>
      <c r="SKG50" s="1360"/>
      <c r="SKH50" s="1360"/>
      <c r="SKI50" s="1360"/>
      <c r="SKJ50" s="1360"/>
      <c r="SKK50" s="1360"/>
      <c r="SKL50" s="1360"/>
      <c r="SKM50" s="1360"/>
      <c r="SKN50" s="1360"/>
      <c r="SKO50" s="1360"/>
      <c r="SKP50" s="1360"/>
      <c r="SKQ50" s="1360"/>
      <c r="SKR50" s="1360"/>
      <c r="SKS50" s="1360"/>
      <c r="SKT50" s="1360"/>
      <c r="SKU50" s="1360"/>
      <c r="SKV50" s="1360"/>
      <c r="SKW50" s="1360"/>
      <c r="SKX50" s="1360"/>
      <c r="SKY50" s="1360"/>
      <c r="SKZ50" s="1360"/>
      <c r="SLA50" s="1360"/>
      <c r="SLB50" s="1360"/>
      <c r="SLC50" s="1360"/>
      <c r="SLD50" s="1360"/>
      <c r="SLE50" s="1360"/>
      <c r="SLF50" s="1360"/>
      <c r="SLG50" s="1360"/>
      <c r="SLH50" s="1360"/>
      <c r="SLI50" s="1360"/>
      <c r="SLJ50" s="1360"/>
      <c r="SLK50" s="1360"/>
      <c r="SLL50" s="1360"/>
      <c r="SLM50" s="1360"/>
      <c r="SLN50" s="1360"/>
      <c r="SLO50" s="1360"/>
      <c r="SLP50" s="1360"/>
      <c r="SLQ50" s="1360"/>
      <c r="SLR50" s="1360"/>
      <c r="SLS50" s="1360"/>
      <c r="SLT50" s="1360"/>
      <c r="SLU50" s="1360"/>
      <c r="SLV50" s="1360"/>
      <c r="SLW50" s="1360"/>
      <c r="SLX50" s="1360"/>
      <c r="SLY50" s="1360"/>
      <c r="SLZ50" s="1360"/>
      <c r="SMA50" s="1360"/>
      <c r="SMB50" s="1360"/>
      <c r="SMC50" s="1360"/>
      <c r="SMD50" s="1360"/>
      <c r="SME50" s="1360"/>
      <c r="SMF50" s="1360"/>
      <c r="SMG50" s="1360"/>
      <c r="SMH50" s="1360"/>
      <c r="SMI50" s="1360"/>
      <c r="SMJ50" s="1360"/>
      <c r="SMK50" s="1360"/>
      <c r="SML50" s="1360"/>
      <c r="SMM50" s="1360"/>
      <c r="SMN50" s="1360"/>
      <c r="SMO50" s="1360"/>
      <c r="SMP50" s="1360"/>
      <c r="SMQ50" s="1360"/>
      <c r="SMR50" s="1360"/>
      <c r="SMS50" s="1360"/>
      <c r="SMT50" s="1360"/>
      <c r="SMU50" s="1360"/>
      <c r="SMV50" s="1360"/>
      <c r="SMW50" s="1360"/>
      <c r="SMX50" s="1360"/>
      <c r="SMY50" s="1360"/>
      <c r="SMZ50" s="1360"/>
      <c r="SNA50" s="1360"/>
      <c r="SNB50" s="1360"/>
      <c r="SNC50" s="1360"/>
      <c r="SND50" s="1360"/>
      <c r="SNE50" s="1360"/>
      <c r="SNF50" s="1360"/>
      <c r="SNG50" s="1360"/>
      <c r="SNH50" s="1360"/>
      <c r="SNI50" s="1360"/>
      <c r="SNJ50" s="1360"/>
      <c r="SNK50" s="1360"/>
      <c r="SNL50" s="1360"/>
      <c r="SNM50" s="1360"/>
      <c r="SNN50" s="1360"/>
      <c r="SNO50" s="1360"/>
      <c r="SNP50" s="1360"/>
      <c r="SNQ50" s="1360"/>
      <c r="SNR50" s="1360"/>
      <c r="SNS50" s="1360"/>
      <c r="SNT50" s="1360"/>
      <c r="SNU50" s="1360"/>
      <c r="SNV50" s="1360"/>
      <c r="SNW50" s="1360"/>
      <c r="SNX50" s="1360"/>
      <c r="SNY50" s="1360"/>
      <c r="SNZ50" s="1360"/>
      <c r="SOA50" s="1360"/>
      <c r="SOB50" s="1360"/>
      <c r="SOC50" s="1360"/>
      <c r="SOD50" s="1360"/>
      <c r="SOE50" s="1360"/>
      <c r="SOF50" s="1360"/>
      <c r="SOG50" s="1360"/>
      <c r="SOH50" s="1360"/>
      <c r="SOI50" s="1360"/>
      <c r="SOJ50" s="1360"/>
      <c r="SOK50" s="1360"/>
      <c r="SOL50" s="1360"/>
      <c r="SOM50" s="1360"/>
      <c r="SON50" s="1360"/>
      <c r="SOO50" s="1360"/>
      <c r="SOP50" s="1360"/>
      <c r="SOQ50" s="1360"/>
      <c r="SOR50" s="1360"/>
      <c r="SOS50" s="1360"/>
      <c r="SOT50" s="1360"/>
      <c r="SOU50" s="1360"/>
      <c r="SOV50" s="1360"/>
      <c r="SOW50" s="1360"/>
      <c r="SOX50" s="1360"/>
      <c r="SOY50" s="1360"/>
      <c r="SOZ50" s="1360"/>
      <c r="SPA50" s="1360"/>
      <c r="SPB50" s="1360"/>
      <c r="SPC50" s="1360"/>
      <c r="SPD50" s="1360"/>
      <c r="SPE50" s="1360"/>
      <c r="SPF50" s="1360"/>
      <c r="SPG50" s="1360"/>
      <c r="SPH50" s="1360"/>
      <c r="SPI50" s="1360"/>
      <c r="SPJ50" s="1360"/>
      <c r="SPK50" s="1360"/>
      <c r="SPL50" s="1360"/>
      <c r="SPM50" s="1360"/>
      <c r="SPN50" s="1360"/>
      <c r="SPO50" s="1360"/>
      <c r="SPP50" s="1360"/>
      <c r="SPQ50" s="1360"/>
      <c r="SPR50" s="1360"/>
      <c r="SPS50" s="1360"/>
      <c r="SPT50" s="1360"/>
      <c r="SPU50" s="1360"/>
      <c r="SPV50" s="1360"/>
      <c r="SPW50" s="1360"/>
      <c r="SPX50" s="1360"/>
      <c r="SPY50" s="1360"/>
      <c r="SPZ50" s="1360"/>
      <c r="SQA50" s="1360"/>
      <c r="SQB50" s="1360"/>
      <c r="SQC50" s="1360"/>
      <c r="SQD50" s="1360"/>
      <c r="SQE50" s="1360"/>
      <c r="SQF50" s="1360"/>
      <c r="SQG50" s="1360"/>
      <c r="SQH50" s="1360"/>
      <c r="SQI50" s="1360"/>
      <c r="SQJ50" s="1360"/>
      <c r="SQK50" s="1360"/>
      <c r="SQL50" s="1360"/>
      <c r="SQM50" s="1360"/>
      <c r="SQN50" s="1360"/>
      <c r="SQO50" s="1360"/>
      <c r="SQP50" s="1360"/>
      <c r="SQQ50" s="1360"/>
      <c r="SQR50" s="1360"/>
      <c r="SQS50" s="1360"/>
      <c r="SQT50" s="1360"/>
      <c r="SQU50" s="1360"/>
      <c r="SQV50" s="1360"/>
      <c r="SQW50" s="1360"/>
      <c r="SQX50" s="1360"/>
      <c r="SQY50" s="1360"/>
      <c r="SQZ50" s="1360"/>
      <c r="SRA50" s="1360"/>
      <c r="SRB50" s="1360"/>
      <c r="SRC50" s="1360"/>
      <c r="SRD50" s="1360"/>
      <c r="SRE50" s="1360"/>
      <c r="SRF50" s="1360"/>
      <c r="SRG50" s="1360"/>
      <c r="SRH50" s="1360"/>
      <c r="SRI50" s="1360"/>
      <c r="SRJ50" s="1360"/>
      <c r="SRK50" s="1360"/>
      <c r="SRL50" s="1360"/>
      <c r="SRM50" s="1360"/>
      <c r="SRN50" s="1360"/>
      <c r="SRO50" s="1360"/>
      <c r="SRP50" s="1360"/>
      <c r="SRQ50" s="1360"/>
      <c r="SRR50" s="1360"/>
      <c r="SRS50" s="1360"/>
      <c r="SRT50" s="1360"/>
      <c r="SRU50" s="1360"/>
      <c r="SRV50" s="1360"/>
      <c r="SRW50" s="1360"/>
      <c r="SRX50" s="1360"/>
      <c r="SRY50" s="1360"/>
      <c r="SRZ50" s="1360"/>
      <c r="SSA50" s="1360"/>
      <c r="SSB50" s="1360"/>
      <c r="SSC50" s="1360"/>
      <c r="SSD50" s="1360"/>
      <c r="SSE50" s="1360"/>
      <c r="SSF50" s="1360"/>
      <c r="SSG50" s="1360"/>
      <c r="SSH50" s="1360"/>
      <c r="SSI50" s="1360"/>
      <c r="SSJ50" s="1360"/>
      <c r="SSK50" s="1360"/>
      <c r="SSL50" s="1360"/>
      <c r="SSM50" s="1360"/>
      <c r="SSN50" s="1360"/>
      <c r="SSO50" s="1360"/>
      <c r="SSP50" s="1360"/>
      <c r="SSQ50" s="1360"/>
      <c r="SSR50" s="1360"/>
      <c r="SSS50" s="1360"/>
      <c r="SST50" s="1360"/>
      <c r="SSU50" s="1360"/>
      <c r="SSV50" s="1360"/>
      <c r="SSW50" s="1360"/>
      <c r="SSX50" s="1360"/>
      <c r="SSY50" s="1360"/>
      <c r="SSZ50" s="1360"/>
      <c r="STA50" s="1360"/>
      <c r="STB50" s="1360"/>
      <c r="STC50" s="1360"/>
      <c r="STD50" s="1360"/>
      <c r="STE50" s="1360"/>
      <c r="STF50" s="1360"/>
      <c r="STG50" s="1360"/>
      <c r="STH50" s="1360"/>
      <c r="STI50" s="1360"/>
      <c r="STJ50" s="1360"/>
      <c r="STK50" s="1360"/>
      <c r="STL50" s="1360"/>
      <c r="STM50" s="1360"/>
      <c r="STN50" s="1360"/>
      <c r="STO50" s="1360"/>
      <c r="STP50" s="1360"/>
      <c r="STQ50" s="1360"/>
      <c r="STR50" s="1360"/>
      <c r="STS50" s="1360"/>
      <c r="STT50" s="1360"/>
      <c r="STU50" s="1360"/>
      <c r="STV50" s="1360"/>
      <c r="STW50" s="1360"/>
      <c r="STX50" s="1360"/>
      <c r="STY50" s="1360"/>
      <c r="STZ50" s="1360"/>
      <c r="SUA50" s="1360"/>
      <c r="SUB50" s="1360"/>
      <c r="SUC50" s="1360"/>
      <c r="SUD50" s="1360"/>
      <c r="SUE50" s="1360"/>
      <c r="SUF50" s="1360"/>
      <c r="SUG50" s="1360"/>
      <c r="SUH50" s="1360"/>
      <c r="SUI50" s="1360"/>
      <c r="SUJ50" s="1360"/>
      <c r="SUK50" s="1360"/>
      <c r="SUL50" s="1360"/>
      <c r="SUM50" s="1360"/>
      <c r="SUN50" s="1360"/>
      <c r="SUO50" s="1360"/>
      <c r="SUP50" s="1360"/>
      <c r="SUQ50" s="1360"/>
      <c r="SUR50" s="1360"/>
      <c r="SUS50" s="1360"/>
      <c r="SUT50" s="1360"/>
      <c r="SUU50" s="1360"/>
      <c r="SUV50" s="1360"/>
      <c r="SUW50" s="1360"/>
      <c r="SUX50" s="1360"/>
      <c r="SUY50" s="1360"/>
      <c r="SUZ50" s="1360"/>
      <c r="SVA50" s="1360"/>
      <c r="SVB50" s="1360"/>
      <c r="SVC50" s="1360"/>
      <c r="SVD50" s="1360"/>
      <c r="SVE50" s="1360"/>
      <c r="SVF50" s="1360"/>
      <c r="SVG50" s="1360"/>
      <c r="SVH50" s="1360"/>
      <c r="SVI50" s="1360"/>
      <c r="SVJ50" s="1360"/>
      <c r="SVK50" s="1360"/>
      <c r="SVL50" s="1360"/>
      <c r="SVM50" s="1360"/>
      <c r="SVN50" s="1360"/>
      <c r="SVO50" s="1360"/>
      <c r="SVP50" s="1360"/>
      <c r="SVQ50" s="1360"/>
      <c r="SVR50" s="1360"/>
      <c r="SVS50" s="1360"/>
      <c r="SVT50" s="1360"/>
      <c r="SVU50" s="1360"/>
      <c r="SVV50" s="1360"/>
      <c r="SVW50" s="1360"/>
      <c r="SVX50" s="1360"/>
      <c r="SVY50" s="1360"/>
      <c r="SVZ50" s="1360"/>
      <c r="SWA50" s="1360"/>
      <c r="SWB50" s="1360"/>
      <c r="SWC50" s="1360"/>
      <c r="SWD50" s="1360"/>
      <c r="SWE50" s="1360"/>
      <c r="SWF50" s="1360"/>
      <c r="SWG50" s="1360"/>
      <c r="SWH50" s="1360"/>
      <c r="SWI50" s="1360"/>
      <c r="SWJ50" s="1360"/>
      <c r="SWK50" s="1360"/>
      <c r="SWL50" s="1360"/>
      <c r="SWM50" s="1360"/>
      <c r="SWN50" s="1360"/>
      <c r="SWO50" s="1360"/>
      <c r="SWP50" s="1360"/>
      <c r="SWQ50" s="1360"/>
      <c r="SWR50" s="1360"/>
      <c r="SWS50" s="1360"/>
      <c r="SWT50" s="1360"/>
      <c r="SWU50" s="1360"/>
      <c r="SWV50" s="1360"/>
      <c r="SWW50" s="1360"/>
      <c r="SWX50" s="1360"/>
      <c r="SWY50" s="1360"/>
      <c r="SWZ50" s="1360"/>
      <c r="SXA50" s="1360"/>
      <c r="SXB50" s="1360"/>
      <c r="SXC50" s="1360"/>
      <c r="SXD50" s="1360"/>
      <c r="SXE50" s="1360"/>
      <c r="SXF50" s="1360"/>
      <c r="SXG50" s="1360"/>
      <c r="SXH50" s="1360"/>
      <c r="SXI50" s="1360"/>
      <c r="SXJ50" s="1360"/>
      <c r="SXK50" s="1360"/>
      <c r="SXL50" s="1360"/>
      <c r="SXM50" s="1360"/>
      <c r="SXN50" s="1360"/>
      <c r="SXO50" s="1360"/>
      <c r="SXP50" s="1360"/>
      <c r="SXQ50" s="1360"/>
      <c r="SXR50" s="1360"/>
      <c r="SXS50" s="1360"/>
      <c r="SXT50" s="1360"/>
      <c r="SXU50" s="1360"/>
      <c r="SXV50" s="1360"/>
      <c r="SXW50" s="1360"/>
      <c r="SXX50" s="1360"/>
      <c r="SXY50" s="1360"/>
      <c r="SXZ50" s="1360"/>
      <c r="SYA50" s="1360"/>
      <c r="SYB50" s="1360"/>
      <c r="SYC50" s="1360"/>
      <c r="SYD50" s="1360"/>
      <c r="SYE50" s="1360"/>
      <c r="SYF50" s="1360"/>
      <c r="SYG50" s="1360"/>
      <c r="SYH50" s="1360"/>
      <c r="SYI50" s="1360"/>
      <c r="SYJ50" s="1360"/>
      <c r="SYK50" s="1360"/>
      <c r="SYL50" s="1360"/>
      <c r="SYM50" s="1360"/>
      <c r="SYN50" s="1360"/>
      <c r="SYO50" s="1360"/>
      <c r="SYP50" s="1360"/>
      <c r="SYQ50" s="1360"/>
      <c r="SYR50" s="1360"/>
      <c r="SYS50" s="1360"/>
      <c r="SYT50" s="1360"/>
      <c r="SYU50" s="1360"/>
      <c r="SYV50" s="1360"/>
      <c r="SYW50" s="1360"/>
      <c r="SYX50" s="1360"/>
      <c r="SYY50" s="1360"/>
      <c r="SYZ50" s="1360"/>
      <c r="SZA50" s="1360"/>
      <c r="SZB50" s="1360"/>
      <c r="SZC50" s="1360"/>
      <c r="SZD50" s="1360"/>
      <c r="SZE50" s="1360"/>
      <c r="SZF50" s="1360"/>
      <c r="SZG50" s="1360"/>
      <c r="SZH50" s="1360"/>
      <c r="SZI50" s="1360"/>
      <c r="SZJ50" s="1360"/>
      <c r="SZK50" s="1360"/>
      <c r="SZL50" s="1360"/>
      <c r="SZM50" s="1360"/>
      <c r="SZN50" s="1360"/>
      <c r="SZO50" s="1360"/>
      <c r="SZP50" s="1360"/>
      <c r="SZQ50" s="1360"/>
      <c r="SZR50" s="1360"/>
      <c r="SZS50" s="1360"/>
      <c r="SZT50" s="1360"/>
      <c r="SZU50" s="1360"/>
      <c r="SZV50" s="1360"/>
      <c r="SZW50" s="1360"/>
      <c r="SZX50" s="1360"/>
      <c r="SZY50" s="1360"/>
      <c r="SZZ50" s="1360"/>
      <c r="TAA50" s="1360"/>
      <c r="TAB50" s="1360"/>
      <c r="TAC50" s="1360"/>
      <c r="TAD50" s="1360"/>
      <c r="TAE50" s="1360"/>
      <c r="TAF50" s="1360"/>
      <c r="TAG50" s="1360"/>
      <c r="TAH50" s="1360"/>
      <c r="TAI50" s="1360"/>
      <c r="TAJ50" s="1360"/>
      <c r="TAK50" s="1360"/>
      <c r="TAL50" s="1360"/>
      <c r="TAM50" s="1360"/>
      <c r="TAN50" s="1360"/>
      <c r="TAO50" s="1360"/>
      <c r="TAP50" s="1360"/>
      <c r="TAQ50" s="1360"/>
      <c r="TAR50" s="1360"/>
      <c r="TAS50" s="1360"/>
      <c r="TAT50" s="1360"/>
      <c r="TAU50" s="1360"/>
      <c r="TAV50" s="1360"/>
      <c r="TAW50" s="1360"/>
      <c r="TAX50" s="1360"/>
      <c r="TAY50" s="1360"/>
      <c r="TAZ50" s="1360"/>
      <c r="TBA50" s="1360"/>
      <c r="TBB50" s="1360"/>
      <c r="TBC50" s="1360"/>
      <c r="TBD50" s="1360"/>
      <c r="TBE50" s="1360"/>
      <c r="TBF50" s="1360"/>
      <c r="TBG50" s="1360"/>
      <c r="TBH50" s="1360"/>
      <c r="TBI50" s="1360"/>
      <c r="TBJ50" s="1360"/>
      <c r="TBK50" s="1360"/>
      <c r="TBL50" s="1360"/>
      <c r="TBM50" s="1360"/>
      <c r="TBN50" s="1360"/>
      <c r="TBO50" s="1360"/>
      <c r="TBP50" s="1360"/>
      <c r="TBQ50" s="1360"/>
      <c r="TBR50" s="1360"/>
      <c r="TBS50" s="1360"/>
      <c r="TBT50" s="1360"/>
      <c r="TBU50" s="1360"/>
      <c r="TBV50" s="1360"/>
      <c r="TBW50" s="1360"/>
      <c r="TBX50" s="1360"/>
      <c r="TBY50" s="1360"/>
      <c r="TBZ50" s="1360"/>
      <c r="TCA50" s="1360"/>
      <c r="TCB50" s="1360"/>
      <c r="TCC50" s="1360"/>
      <c r="TCD50" s="1360"/>
      <c r="TCE50" s="1360"/>
      <c r="TCF50" s="1360"/>
      <c r="TCG50" s="1360"/>
      <c r="TCH50" s="1360"/>
      <c r="TCI50" s="1360"/>
      <c r="TCJ50" s="1360"/>
      <c r="TCK50" s="1360"/>
      <c r="TCL50" s="1360"/>
      <c r="TCM50" s="1360"/>
      <c r="TCN50" s="1360"/>
      <c r="TCO50" s="1360"/>
      <c r="TCP50" s="1360"/>
      <c r="TCQ50" s="1360"/>
      <c r="TCR50" s="1360"/>
      <c r="TCS50" s="1360"/>
      <c r="TCT50" s="1360"/>
      <c r="TCU50" s="1360"/>
      <c r="TCV50" s="1360"/>
      <c r="TCW50" s="1360"/>
      <c r="TCX50" s="1360"/>
      <c r="TCY50" s="1360"/>
      <c r="TCZ50" s="1360"/>
      <c r="TDA50" s="1360"/>
      <c r="TDB50" s="1360"/>
      <c r="TDC50" s="1360"/>
      <c r="TDD50" s="1360"/>
      <c r="TDE50" s="1360"/>
      <c r="TDF50" s="1360"/>
      <c r="TDG50" s="1360"/>
      <c r="TDH50" s="1360"/>
      <c r="TDI50" s="1360"/>
      <c r="TDJ50" s="1360"/>
      <c r="TDK50" s="1360"/>
      <c r="TDL50" s="1360"/>
      <c r="TDM50" s="1360"/>
      <c r="TDN50" s="1360"/>
      <c r="TDO50" s="1360"/>
      <c r="TDP50" s="1360"/>
      <c r="TDQ50" s="1360"/>
      <c r="TDR50" s="1360"/>
      <c r="TDS50" s="1360"/>
      <c r="TDT50" s="1360"/>
      <c r="TDU50" s="1360"/>
      <c r="TDV50" s="1360"/>
      <c r="TDW50" s="1360"/>
      <c r="TDX50" s="1360"/>
      <c r="TDY50" s="1360"/>
      <c r="TDZ50" s="1360"/>
      <c r="TEA50" s="1360"/>
      <c r="TEB50" s="1360"/>
      <c r="TEC50" s="1360"/>
      <c r="TED50" s="1360"/>
      <c r="TEE50" s="1360"/>
      <c r="TEF50" s="1360"/>
      <c r="TEG50" s="1360"/>
      <c r="TEH50" s="1360"/>
      <c r="TEI50" s="1360"/>
      <c r="TEJ50" s="1360"/>
      <c r="TEK50" s="1360"/>
      <c r="TEL50" s="1360"/>
      <c r="TEM50" s="1360"/>
      <c r="TEN50" s="1360"/>
      <c r="TEO50" s="1360"/>
      <c r="TEP50" s="1360"/>
      <c r="TEQ50" s="1360"/>
      <c r="TER50" s="1360"/>
      <c r="TES50" s="1360"/>
      <c r="TET50" s="1360"/>
      <c r="TEU50" s="1360"/>
      <c r="TEV50" s="1360"/>
      <c r="TEW50" s="1360"/>
      <c r="TEX50" s="1360"/>
      <c r="TEY50" s="1360"/>
      <c r="TEZ50" s="1360"/>
      <c r="TFA50" s="1360"/>
      <c r="TFB50" s="1360"/>
      <c r="TFC50" s="1360"/>
      <c r="TFD50" s="1360"/>
      <c r="TFE50" s="1360"/>
      <c r="TFF50" s="1360"/>
      <c r="TFG50" s="1360"/>
      <c r="TFH50" s="1360"/>
      <c r="TFI50" s="1360"/>
      <c r="TFJ50" s="1360"/>
      <c r="TFK50" s="1360"/>
      <c r="TFL50" s="1360"/>
      <c r="TFM50" s="1360"/>
      <c r="TFN50" s="1360"/>
      <c r="TFO50" s="1360"/>
      <c r="TFP50" s="1360"/>
      <c r="TFQ50" s="1360"/>
      <c r="TFR50" s="1360"/>
      <c r="TFS50" s="1360"/>
      <c r="TFT50" s="1360"/>
      <c r="TFU50" s="1360"/>
      <c r="TFV50" s="1360"/>
      <c r="TFW50" s="1360"/>
      <c r="TFX50" s="1360"/>
      <c r="TFY50" s="1360"/>
      <c r="TFZ50" s="1360"/>
      <c r="TGA50" s="1360"/>
      <c r="TGB50" s="1360"/>
      <c r="TGC50" s="1360"/>
      <c r="TGD50" s="1360"/>
      <c r="TGE50" s="1360"/>
      <c r="TGF50" s="1360"/>
      <c r="TGG50" s="1360"/>
      <c r="TGH50" s="1360"/>
      <c r="TGI50" s="1360"/>
      <c r="TGJ50" s="1360"/>
      <c r="TGK50" s="1360"/>
      <c r="TGL50" s="1360"/>
      <c r="TGM50" s="1360"/>
      <c r="TGN50" s="1360"/>
      <c r="TGO50" s="1360"/>
      <c r="TGP50" s="1360"/>
      <c r="TGQ50" s="1360"/>
      <c r="TGR50" s="1360"/>
      <c r="TGS50" s="1360"/>
      <c r="TGT50" s="1360"/>
      <c r="TGU50" s="1360"/>
      <c r="TGV50" s="1360"/>
      <c r="TGW50" s="1360"/>
      <c r="TGX50" s="1360"/>
      <c r="TGY50" s="1360"/>
      <c r="TGZ50" s="1360"/>
      <c r="THA50" s="1360"/>
      <c r="THB50" s="1360"/>
      <c r="THC50" s="1360"/>
      <c r="THD50" s="1360"/>
      <c r="THE50" s="1360"/>
      <c r="THF50" s="1360"/>
      <c r="THG50" s="1360"/>
      <c r="THH50" s="1360"/>
      <c r="THI50" s="1360"/>
      <c r="THJ50" s="1360"/>
      <c r="THK50" s="1360"/>
      <c r="THL50" s="1360"/>
      <c r="THM50" s="1360"/>
      <c r="THN50" s="1360"/>
      <c r="THO50" s="1360"/>
      <c r="THP50" s="1360"/>
      <c r="THQ50" s="1360"/>
      <c r="THR50" s="1360"/>
      <c r="THS50" s="1360"/>
      <c r="THT50" s="1360"/>
      <c r="THU50" s="1360"/>
      <c r="THV50" s="1360"/>
      <c r="THW50" s="1360"/>
      <c r="THX50" s="1360"/>
      <c r="THY50" s="1360"/>
      <c r="THZ50" s="1360"/>
      <c r="TIA50" s="1360"/>
      <c r="TIB50" s="1360"/>
      <c r="TIC50" s="1360"/>
      <c r="TID50" s="1360"/>
      <c r="TIE50" s="1360"/>
      <c r="TIF50" s="1360"/>
      <c r="TIG50" s="1360"/>
      <c r="TIH50" s="1360"/>
      <c r="TII50" s="1360"/>
      <c r="TIJ50" s="1360"/>
      <c r="TIK50" s="1360"/>
      <c r="TIL50" s="1360"/>
      <c r="TIM50" s="1360"/>
      <c r="TIN50" s="1360"/>
      <c r="TIO50" s="1360"/>
      <c r="TIP50" s="1360"/>
      <c r="TIQ50" s="1360"/>
      <c r="TIR50" s="1360"/>
      <c r="TIS50" s="1360"/>
      <c r="TIT50" s="1360"/>
      <c r="TIU50" s="1360"/>
      <c r="TIV50" s="1360"/>
      <c r="TIW50" s="1360"/>
      <c r="TIX50" s="1360"/>
      <c r="TIY50" s="1360"/>
      <c r="TIZ50" s="1360"/>
      <c r="TJA50" s="1360"/>
      <c r="TJB50" s="1360"/>
      <c r="TJC50" s="1360"/>
      <c r="TJD50" s="1360"/>
      <c r="TJE50" s="1360"/>
      <c r="TJF50" s="1360"/>
      <c r="TJG50" s="1360"/>
      <c r="TJH50" s="1360"/>
      <c r="TJI50" s="1360"/>
      <c r="TJJ50" s="1360"/>
      <c r="TJK50" s="1360"/>
      <c r="TJL50" s="1360"/>
      <c r="TJM50" s="1360"/>
      <c r="TJN50" s="1360"/>
      <c r="TJO50" s="1360"/>
      <c r="TJP50" s="1360"/>
      <c r="TJQ50" s="1360"/>
      <c r="TJR50" s="1360"/>
      <c r="TJS50" s="1360"/>
      <c r="TJT50" s="1360"/>
      <c r="TJU50" s="1360"/>
      <c r="TJV50" s="1360"/>
      <c r="TJW50" s="1360"/>
      <c r="TJX50" s="1360"/>
      <c r="TJY50" s="1360"/>
      <c r="TJZ50" s="1360"/>
      <c r="TKA50" s="1360"/>
      <c r="TKB50" s="1360"/>
      <c r="TKC50" s="1360"/>
      <c r="TKD50" s="1360"/>
      <c r="TKE50" s="1360"/>
      <c r="TKF50" s="1360"/>
      <c r="TKG50" s="1360"/>
      <c r="TKH50" s="1360"/>
      <c r="TKI50" s="1360"/>
      <c r="TKJ50" s="1360"/>
      <c r="TKK50" s="1360"/>
      <c r="TKL50" s="1360"/>
      <c r="TKM50" s="1360"/>
      <c r="TKN50" s="1360"/>
      <c r="TKO50" s="1360"/>
      <c r="TKP50" s="1360"/>
      <c r="TKQ50" s="1360"/>
      <c r="TKR50" s="1360"/>
      <c r="TKS50" s="1360"/>
      <c r="TKT50" s="1360"/>
      <c r="TKU50" s="1360"/>
      <c r="TKV50" s="1360"/>
      <c r="TKW50" s="1360"/>
      <c r="TKX50" s="1360"/>
      <c r="TKY50" s="1360"/>
      <c r="TKZ50" s="1360"/>
      <c r="TLA50" s="1360"/>
      <c r="TLB50" s="1360"/>
      <c r="TLC50" s="1360"/>
      <c r="TLD50" s="1360"/>
      <c r="TLE50" s="1360"/>
      <c r="TLF50" s="1360"/>
      <c r="TLG50" s="1360"/>
      <c r="TLH50" s="1360"/>
      <c r="TLI50" s="1360"/>
      <c r="TLJ50" s="1360"/>
      <c r="TLK50" s="1360"/>
      <c r="TLL50" s="1360"/>
      <c r="TLM50" s="1360"/>
      <c r="TLN50" s="1360"/>
      <c r="TLO50" s="1360"/>
      <c r="TLP50" s="1360"/>
      <c r="TLQ50" s="1360"/>
      <c r="TLR50" s="1360"/>
      <c r="TLS50" s="1360"/>
      <c r="TLT50" s="1360"/>
      <c r="TLU50" s="1360"/>
      <c r="TLV50" s="1360"/>
      <c r="TLW50" s="1360"/>
      <c r="TLX50" s="1360"/>
      <c r="TLY50" s="1360"/>
      <c r="TLZ50" s="1360"/>
      <c r="TMA50" s="1360"/>
      <c r="TMB50" s="1360"/>
      <c r="TMC50" s="1360"/>
      <c r="TMD50" s="1360"/>
      <c r="TME50" s="1360"/>
      <c r="TMF50" s="1360"/>
      <c r="TMG50" s="1360"/>
      <c r="TMH50" s="1360"/>
      <c r="TMI50" s="1360"/>
      <c r="TMJ50" s="1360"/>
      <c r="TMK50" s="1360"/>
      <c r="TML50" s="1360"/>
      <c r="TMM50" s="1360"/>
      <c r="TMN50" s="1360"/>
      <c r="TMO50" s="1360"/>
      <c r="TMP50" s="1360"/>
      <c r="TMQ50" s="1360"/>
      <c r="TMR50" s="1360"/>
      <c r="TMS50" s="1360"/>
      <c r="TMT50" s="1360"/>
      <c r="TMU50" s="1360"/>
      <c r="TMV50" s="1360"/>
      <c r="TMW50" s="1360"/>
      <c r="TMX50" s="1360"/>
      <c r="TMY50" s="1360"/>
      <c r="TMZ50" s="1360"/>
      <c r="TNA50" s="1360"/>
      <c r="TNB50" s="1360"/>
      <c r="TNC50" s="1360"/>
      <c r="TND50" s="1360"/>
      <c r="TNE50" s="1360"/>
      <c r="TNF50" s="1360"/>
      <c r="TNG50" s="1360"/>
      <c r="TNH50" s="1360"/>
      <c r="TNI50" s="1360"/>
      <c r="TNJ50" s="1360"/>
      <c r="TNK50" s="1360"/>
      <c r="TNL50" s="1360"/>
      <c r="TNM50" s="1360"/>
      <c r="TNN50" s="1360"/>
      <c r="TNO50" s="1360"/>
      <c r="TNP50" s="1360"/>
      <c r="TNQ50" s="1360"/>
      <c r="TNR50" s="1360"/>
      <c r="TNS50" s="1360"/>
      <c r="TNT50" s="1360"/>
      <c r="TNU50" s="1360"/>
      <c r="TNV50" s="1360"/>
      <c r="TNW50" s="1360"/>
      <c r="TNX50" s="1360"/>
      <c r="TNY50" s="1360"/>
      <c r="TNZ50" s="1360"/>
      <c r="TOA50" s="1360"/>
      <c r="TOB50" s="1360"/>
      <c r="TOC50" s="1360"/>
      <c r="TOD50" s="1360"/>
      <c r="TOE50" s="1360"/>
      <c r="TOF50" s="1360"/>
      <c r="TOG50" s="1360"/>
      <c r="TOH50" s="1360"/>
      <c r="TOI50" s="1360"/>
      <c r="TOJ50" s="1360"/>
      <c r="TOK50" s="1360"/>
      <c r="TOL50" s="1360"/>
      <c r="TOM50" s="1360"/>
      <c r="TON50" s="1360"/>
      <c r="TOO50" s="1360"/>
      <c r="TOP50" s="1360"/>
      <c r="TOQ50" s="1360"/>
      <c r="TOR50" s="1360"/>
      <c r="TOS50" s="1360"/>
      <c r="TOT50" s="1360"/>
      <c r="TOU50" s="1360"/>
      <c r="TOV50" s="1360"/>
      <c r="TOW50" s="1360"/>
      <c r="TOX50" s="1360"/>
      <c r="TOY50" s="1360"/>
      <c r="TOZ50" s="1360"/>
      <c r="TPA50" s="1360"/>
      <c r="TPB50" s="1360"/>
      <c r="TPC50" s="1360"/>
      <c r="TPD50" s="1360"/>
      <c r="TPE50" s="1360"/>
      <c r="TPF50" s="1360"/>
      <c r="TPG50" s="1360"/>
      <c r="TPH50" s="1360"/>
      <c r="TPI50" s="1360"/>
      <c r="TPJ50" s="1360"/>
      <c r="TPK50" s="1360"/>
      <c r="TPL50" s="1360"/>
      <c r="TPM50" s="1360"/>
      <c r="TPN50" s="1360"/>
      <c r="TPO50" s="1360"/>
      <c r="TPP50" s="1360"/>
      <c r="TPQ50" s="1360"/>
      <c r="TPR50" s="1360"/>
      <c r="TPS50" s="1360"/>
      <c r="TPT50" s="1360"/>
      <c r="TPU50" s="1360"/>
      <c r="TPV50" s="1360"/>
      <c r="TPW50" s="1360"/>
      <c r="TPX50" s="1360"/>
      <c r="TPY50" s="1360"/>
      <c r="TPZ50" s="1360"/>
      <c r="TQA50" s="1360"/>
      <c r="TQB50" s="1360"/>
      <c r="TQC50" s="1360"/>
      <c r="TQD50" s="1360"/>
      <c r="TQE50" s="1360"/>
      <c r="TQF50" s="1360"/>
      <c r="TQG50" s="1360"/>
      <c r="TQH50" s="1360"/>
      <c r="TQI50" s="1360"/>
      <c r="TQJ50" s="1360"/>
      <c r="TQK50" s="1360"/>
      <c r="TQL50" s="1360"/>
      <c r="TQM50" s="1360"/>
      <c r="TQN50" s="1360"/>
      <c r="TQO50" s="1360"/>
      <c r="TQP50" s="1360"/>
      <c r="TQQ50" s="1360"/>
      <c r="TQR50" s="1360"/>
      <c r="TQS50" s="1360"/>
      <c r="TQT50" s="1360"/>
      <c r="TQU50" s="1360"/>
      <c r="TQV50" s="1360"/>
      <c r="TQW50" s="1360"/>
      <c r="TQX50" s="1360"/>
      <c r="TQY50" s="1360"/>
      <c r="TQZ50" s="1360"/>
      <c r="TRA50" s="1360"/>
      <c r="TRB50" s="1360"/>
      <c r="TRC50" s="1360"/>
      <c r="TRD50" s="1360"/>
      <c r="TRE50" s="1360"/>
      <c r="TRF50" s="1360"/>
      <c r="TRG50" s="1360"/>
      <c r="TRH50" s="1360"/>
      <c r="TRI50" s="1360"/>
      <c r="TRJ50" s="1360"/>
      <c r="TRK50" s="1360"/>
      <c r="TRL50" s="1360"/>
      <c r="TRM50" s="1360"/>
      <c r="TRN50" s="1360"/>
      <c r="TRO50" s="1360"/>
      <c r="TRP50" s="1360"/>
      <c r="TRQ50" s="1360"/>
      <c r="TRR50" s="1360"/>
      <c r="TRS50" s="1360"/>
      <c r="TRT50" s="1360"/>
      <c r="TRU50" s="1360"/>
      <c r="TRV50" s="1360"/>
      <c r="TRW50" s="1360"/>
      <c r="TRX50" s="1360"/>
      <c r="TRY50" s="1360"/>
      <c r="TRZ50" s="1360"/>
      <c r="TSA50" s="1360"/>
      <c r="TSB50" s="1360"/>
      <c r="TSC50" s="1360"/>
      <c r="TSD50" s="1360"/>
      <c r="TSE50" s="1360"/>
      <c r="TSF50" s="1360"/>
      <c r="TSG50" s="1360"/>
      <c r="TSH50" s="1360"/>
      <c r="TSI50" s="1360"/>
      <c r="TSJ50" s="1360"/>
      <c r="TSK50" s="1360"/>
      <c r="TSL50" s="1360"/>
      <c r="TSM50" s="1360"/>
      <c r="TSN50" s="1360"/>
      <c r="TSO50" s="1360"/>
      <c r="TSP50" s="1360"/>
      <c r="TSQ50" s="1360"/>
      <c r="TSR50" s="1360"/>
      <c r="TSS50" s="1360"/>
      <c r="TST50" s="1360"/>
      <c r="TSU50" s="1360"/>
      <c r="TSV50" s="1360"/>
      <c r="TSW50" s="1360"/>
      <c r="TSX50" s="1360"/>
      <c r="TSY50" s="1360"/>
      <c r="TSZ50" s="1360"/>
      <c r="TTA50" s="1360"/>
      <c r="TTB50" s="1360"/>
      <c r="TTC50" s="1360"/>
      <c r="TTD50" s="1360"/>
      <c r="TTE50" s="1360"/>
      <c r="TTF50" s="1360"/>
      <c r="TTG50" s="1360"/>
      <c r="TTH50" s="1360"/>
      <c r="TTI50" s="1360"/>
      <c r="TTJ50" s="1360"/>
      <c r="TTK50" s="1360"/>
      <c r="TTL50" s="1360"/>
      <c r="TTM50" s="1360"/>
      <c r="TTN50" s="1360"/>
      <c r="TTO50" s="1360"/>
      <c r="TTP50" s="1360"/>
      <c r="TTQ50" s="1360"/>
      <c r="TTR50" s="1360"/>
      <c r="TTS50" s="1360"/>
      <c r="TTT50" s="1360"/>
      <c r="TTU50" s="1360"/>
      <c r="TTV50" s="1360"/>
      <c r="TTW50" s="1360"/>
      <c r="TTX50" s="1360"/>
      <c r="TTY50" s="1360"/>
      <c r="TTZ50" s="1360"/>
      <c r="TUA50" s="1360"/>
      <c r="TUB50" s="1360"/>
      <c r="TUC50" s="1360"/>
      <c r="TUD50" s="1360"/>
      <c r="TUE50" s="1360"/>
      <c r="TUF50" s="1360"/>
      <c r="TUG50" s="1360"/>
      <c r="TUH50" s="1360"/>
      <c r="TUI50" s="1360"/>
      <c r="TUJ50" s="1360"/>
      <c r="TUK50" s="1360"/>
      <c r="TUL50" s="1360"/>
      <c r="TUM50" s="1360"/>
      <c r="TUN50" s="1360"/>
      <c r="TUO50" s="1360"/>
      <c r="TUP50" s="1360"/>
      <c r="TUQ50" s="1360"/>
      <c r="TUR50" s="1360"/>
      <c r="TUS50" s="1360"/>
      <c r="TUT50" s="1360"/>
      <c r="TUU50" s="1360"/>
      <c r="TUV50" s="1360"/>
      <c r="TUW50" s="1360"/>
      <c r="TUX50" s="1360"/>
      <c r="TUY50" s="1360"/>
      <c r="TUZ50" s="1360"/>
      <c r="TVA50" s="1360"/>
      <c r="TVB50" s="1360"/>
      <c r="TVC50" s="1360"/>
      <c r="TVD50" s="1360"/>
      <c r="TVE50" s="1360"/>
      <c r="TVF50" s="1360"/>
      <c r="TVG50" s="1360"/>
      <c r="TVH50" s="1360"/>
      <c r="TVI50" s="1360"/>
      <c r="TVJ50" s="1360"/>
      <c r="TVK50" s="1360"/>
      <c r="TVL50" s="1360"/>
      <c r="TVM50" s="1360"/>
      <c r="TVN50" s="1360"/>
      <c r="TVO50" s="1360"/>
      <c r="TVP50" s="1360"/>
      <c r="TVQ50" s="1360"/>
      <c r="TVR50" s="1360"/>
      <c r="TVS50" s="1360"/>
      <c r="TVT50" s="1360"/>
      <c r="TVU50" s="1360"/>
      <c r="TVV50" s="1360"/>
      <c r="TVW50" s="1360"/>
      <c r="TVX50" s="1360"/>
      <c r="TVY50" s="1360"/>
      <c r="TVZ50" s="1360"/>
      <c r="TWA50" s="1360"/>
      <c r="TWB50" s="1360"/>
      <c r="TWC50" s="1360"/>
      <c r="TWD50" s="1360"/>
      <c r="TWE50" s="1360"/>
      <c r="TWF50" s="1360"/>
      <c r="TWG50" s="1360"/>
      <c r="TWH50" s="1360"/>
      <c r="TWI50" s="1360"/>
      <c r="TWJ50" s="1360"/>
      <c r="TWK50" s="1360"/>
      <c r="TWL50" s="1360"/>
      <c r="TWM50" s="1360"/>
      <c r="TWN50" s="1360"/>
      <c r="TWO50" s="1360"/>
      <c r="TWP50" s="1360"/>
      <c r="TWQ50" s="1360"/>
      <c r="TWR50" s="1360"/>
      <c r="TWS50" s="1360"/>
      <c r="TWT50" s="1360"/>
      <c r="TWU50" s="1360"/>
      <c r="TWV50" s="1360"/>
      <c r="TWW50" s="1360"/>
      <c r="TWX50" s="1360"/>
      <c r="TWY50" s="1360"/>
      <c r="TWZ50" s="1360"/>
      <c r="TXA50" s="1360"/>
      <c r="TXB50" s="1360"/>
      <c r="TXC50" s="1360"/>
      <c r="TXD50" s="1360"/>
      <c r="TXE50" s="1360"/>
      <c r="TXF50" s="1360"/>
      <c r="TXG50" s="1360"/>
      <c r="TXH50" s="1360"/>
      <c r="TXI50" s="1360"/>
      <c r="TXJ50" s="1360"/>
      <c r="TXK50" s="1360"/>
      <c r="TXL50" s="1360"/>
      <c r="TXM50" s="1360"/>
      <c r="TXN50" s="1360"/>
      <c r="TXO50" s="1360"/>
      <c r="TXP50" s="1360"/>
      <c r="TXQ50" s="1360"/>
      <c r="TXR50" s="1360"/>
      <c r="TXS50" s="1360"/>
      <c r="TXT50" s="1360"/>
      <c r="TXU50" s="1360"/>
      <c r="TXV50" s="1360"/>
      <c r="TXW50" s="1360"/>
      <c r="TXX50" s="1360"/>
      <c r="TXY50" s="1360"/>
      <c r="TXZ50" s="1360"/>
      <c r="TYA50" s="1360"/>
      <c r="TYB50" s="1360"/>
      <c r="TYC50" s="1360"/>
      <c r="TYD50" s="1360"/>
      <c r="TYE50" s="1360"/>
      <c r="TYF50" s="1360"/>
      <c r="TYG50" s="1360"/>
      <c r="TYH50" s="1360"/>
      <c r="TYI50" s="1360"/>
      <c r="TYJ50" s="1360"/>
      <c r="TYK50" s="1360"/>
      <c r="TYL50" s="1360"/>
      <c r="TYM50" s="1360"/>
      <c r="TYN50" s="1360"/>
      <c r="TYO50" s="1360"/>
      <c r="TYP50" s="1360"/>
      <c r="TYQ50" s="1360"/>
      <c r="TYR50" s="1360"/>
      <c r="TYS50" s="1360"/>
      <c r="TYT50" s="1360"/>
      <c r="TYU50" s="1360"/>
      <c r="TYV50" s="1360"/>
      <c r="TYW50" s="1360"/>
      <c r="TYX50" s="1360"/>
      <c r="TYY50" s="1360"/>
      <c r="TYZ50" s="1360"/>
      <c r="TZA50" s="1360"/>
      <c r="TZB50" s="1360"/>
      <c r="TZC50" s="1360"/>
      <c r="TZD50" s="1360"/>
      <c r="TZE50" s="1360"/>
      <c r="TZF50" s="1360"/>
      <c r="TZG50" s="1360"/>
      <c r="TZH50" s="1360"/>
      <c r="TZI50" s="1360"/>
      <c r="TZJ50" s="1360"/>
      <c r="TZK50" s="1360"/>
      <c r="TZL50" s="1360"/>
      <c r="TZM50" s="1360"/>
      <c r="TZN50" s="1360"/>
      <c r="TZO50" s="1360"/>
      <c r="TZP50" s="1360"/>
      <c r="TZQ50" s="1360"/>
      <c r="TZR50" s="1360"/>
      <c r="TZS50" s="1360"/>
      <c r="TZT50" s="1360"/>
      <c r="TZU50" s="1360"/>
      <c r="TZV50" s="1360"/>
      <c r="TZW50" s="1360"/>
      <c r="TZX50" s="1360"/>
      <c r="TZY50" s="1360"/>
      <c r="TZZ50" s="1360"/>
      <c r="UAA50" s="1360"/>
      <c r="UAB50" s="1360"/>
      <c r="UAC50" s="1360"/>
      <c r="UAD50" s="1360"/>
      <c r="UAE50" s="1360"/>
      <c r="UAF50" s="1360"/>
      <c r="UAG50" s="1360"/>
      <c r="UAH50" s="1360"/>
      <c r="UAI50" s="1360"/>
      <c r="UAJ50" s="1360"/>
      <c r="UAK50" s="1360"/>
      <c r="UAL50" s="1360"/>
      <c r="UAM50" s="1360"/>
      <c r="UAN50" s="1360"/>
      <c r="UAO50" s="1360"/>
      <c r="UAP50" s="1360"/>
      <c r="UAQ50" s="1360"/>
      <c r="UAR50" s="1360"/>
      <c r="UAS50" s="1360"/>
      <c r="UAT50" s="1360"/>
      <c r="UAU50" s="1360"/>
      <c r="UAV50" s="1360"/>
      <c r="UAW50" s="1360"/>
      <c r="UAX50" s="1360"/>
      <c r="UAY50" s="1360"/>
      <c r="UAZ50" s="1360"/>
      <c r="UBA50" s="1360"/>
      <c r="UBB50" s="1360"/>
      <c r="UBC50" s="1360"/>
      <c r="UBD50" s="1360"/>
      <c r="UBE50" s="1360"/>
      <c r="UBF50" s="1360"/>
      <c r="UBG50" s="1360"/>
      <c r="UBH50" s="1360"/>
      <c r="UBI50" s="1360"/>
      <c r="UBJ50" s="1360"/>
      <c r="UBK50" s="1360"/>
      <c r="UBL50" s="1360"/>
      <c r="UBM50" s="1360"/>
      <c r="UBN50" s="1360"/>
      <c r="UBO50" s="1360"/>
      <c r="UBP50" s="1360"/>
      <c r="UBQ50" s="1360"/>
      <c r="UBR50" s="1360"/>
      <c r="UBS50" s="1360"/>
      <c r="UBT50" s="1360"/>
      <c r="UBU50" s="1360"/>
      <c r="UBV50" s="1360"/>
      <c r="UBW50" s="1360"/>
      <c r="UBX50" s="1360"/>
      <c r="UBY50" s="1360"/>
      <c r="UBZ50" s="1360"/>
      <c r="UCA50" s="1360"/>
      <c r="UCB50" s="1360"/>
      <c r="UCC50" s="1360"/>
      <c r="UCD50" s="1360"/>
      <c r="UCE50" s="1360"/>
      <c r="UCF50" s="1360"/>
      <c r="UCG50" s="1360"/>
      <c r="UCH50" s="1360"/>
      <c r="UCI50" s="1360"/>
      <c r="UCJ50" s="1360"/>
      <c r="UCK50" s="1360"/>
      <c r="UCL50" s="1360"/>
      <c r="UCM50" s="1360"/>
      <c r="UCN50" s="1360"/>
      <c r="UCO50" s="1360"/>
      <c r="UCP50" s="1360"/>
      <c r="UCQ50" s="1360"/>
      <c r="UCR50" s="1360"/>
      <c r="UCS50" s="1360"/>
      <c r="UCT50" s="1360"/>
      <c r="UCU50" s="1360"/>
      <c r="UCV50" s="1360"/>
      <c r="UCW50" s="1360"/>
      <c r="UCX50" s="1360"/>
      <c r="UCY50" s="1360"/>
      <c r="UCZ50" s="1360"/>
      <c r="UDA50" s="1360"/>
      <c r="UDB50" s="1360"/>
      <c r="UDC50" s="1360"/>
      <c r="UDD50" s="1360"/>
      <c r="UDE50" s="1360"/>
      <c r="UDF50" s="1360"/>
      <c r="UDG50" s="1360"/>
      <c r="UDH50" s="1360"/>
      <c r="UDI50" s="1360"/>
      <c r="UDJ50" s="1360"/>
      <c r="UDK50" s="1360"/>
      <c r="UDL50" s="1360"/>
      <c r="UDM50" s="1360"/>
      <c r="UDN50" s="1360"/>
      <c r="UDO50" s="1360"/>
      <c r="UDP50" s="1360"/>
      <c r="UDQ50" s="1360"/>
      <c r="UDR50" s="1360"/>
      <c r="UDS50" s="1360"/>
      <c r="UDT50" s="1360"/>
      <c r="UDU50" s="1360"/>
      <c r="UDV50" s="1360"/>
      <c r="UDW50" s="1360"/>
      <c r="UDX50" s="1360"/>
      <c r="UDY50" s="1360"/>
      <c r="UDZ50" s="1360"/>
      <c r="UEA50" s="1360"/>
      <c r="UEB50" s="1360"/>
      <c r="UEC50" s="1360"/>
      <c r="UED50" s="1360"/>
      <c r="UEE50" s="1360"/>
      <c r="UEF50" s="1360"/>
      <c r="UEG50" s="1360"/>
      <c r="UEH50" s="1360"/>
      <c r="UEI50" s="1360"/>
      <c r="UEJ50" s="1360"/>
      <c r="UEK50" s="1360"/>
      <c r="UEL50" s="1360"/>
      <c r="UEM50" s="1360"/>
      <c r="UEN50" s="1360"/>
      <c r="UEO50" s="1360"/>
      <c r="UEP50" s="1360"/>
      <c r="UEQ50" s="1360"/>
      <c r="UER50" s="1360"/>
      <c r="UES50" s="1360"/>
      <c r="UET50" s="1360"/>
      <c r="UEU50" s="1360"/>
      <c r="UEV50" s="1360"/>
      <c r="UEW50" s="1360"/>
      <c r="UEX50" s="1360"/>
      <c r="UEY50" s="1360"/>
      <c r="UEZ50" s="1360"/>
      <c r="UFA50" s="1360"/>
      <c r="UFB50" s="1360"/>
      <c r="UFC50" s="1360"/>
      <c r="UFD50" s="1360"/>
      <c r="UFE50" s="1360"/>
      <c r="UFF50" s="1360"/>
      <c r="UFG50" s="1360"/>
      <c r="UFH50" s="1360"/>
      <c r="UFI50" s="1360"/>
      <c r="UFJ50" s="1360"/>
      <c r="UFK50" s="1360"/>
      <c r="UFL50" s="1360"/>
      <c r="UFM50" s="1360"/>
      <c r="UFN50" s="1360"/>
      <c r="UFO50" s="1360"/>
      <c r="UFP50" s="1360"/>
      <c r="UFQ50" s="1360"/>
      <c r="UFR50" s="1360"/>
      <c r="UFS50" s="1360"/>
      <c r="UFT50" s="1360"/>
      <c r="UFU50" s="1360"/>
      <c r="UFV50" s="1360"/>
      <c r="UFW50" s="1360"/>
      <c r="UFX50" s="1360"/>
      <c r="UFY50" s="1360"/>
      <c r="UFZ50" s="1360"/>
      <c r="UGA50" s="1360"/>
      <c r="UGB50" s="1360"/>
      <c r="UGC50" s="1360"/>
      <c r="UGD50" s="1360"/>
      <c r="UGE50" s="1360"/>
      <c r="UGF50" s="1360"/>
      <c r="UGG50" s="1360"/>
      <c r="UGH50" s="1360"/>
      <c r="UGI50" s="1360"/>
      <c r="UGJ50" s="1360"/>
      <c r="UGK50" s="1360"/>
      <c r="UGL50" s="1360"/>
      <c r="UGM50" s="1360"/>
      <c r="UGN50" s="1360"/>
      <c r="UGO50" s="1360"/>
      <c r="UGP50" s="1360"/>
      <c r="UGQ50" s="1360"/>
      <c r="UGR50" s="1360"/>
      <c r="UGS50" s="1360"/>
      <c r="UGT50" s="1360"/>
      <c r="UGU50" s="1360"/>
      <c r="UGV50" s="1360"/>
      <c r="UGW50" s="1360"/>
      <c r="UGX50" s="1360"/>
      <c r="UGY50" s="1360"/>
      <c r="UGZ50" s="1360"/>
      <c r="UHA50" s="1360"/>
      <c r="UHB50" s="1360"/>
      <c r="UHC50" s="1360"/>
      <c r="UHD50" s="1360"/>
      <c r="UHE50" s="1360"/>
      <c r="UHF50" s="1360"/>
      <c r="UHG50" s="1360"/>
      <c r="UHH50" s="1360"/>
      <c r="UHI50" s="1360"/>
      <c r="UHJ50" s="1360"/>
      <c r="UHK50" s="1360"/>
      <c r="UHL50" s="1360"/>
      <c r="UHM50" s="1360"/>
      <c r="UHN50" s="1360"/>
      <c r="UHO50" s="1360"/>
      <c r="UHP50" s="1360"/>
      <c r="UHQ50" s="1360"/>
      <c r="UHR50" s="1360"/>
      <c r="UHS50" s="1360"/>
      <c r="UHT50" s="1360"/>
      <c r="UHU50" s="1360"/>
      <c r="UHV50" s="1360"/>
      <c r="UHW50" s="1360"/>
      <c r="UHX50" s="1360"/>
      <c r="UHY50" s="1360"/>
      <c r="UHZ50" s="1360"/>
      <c r="UIA50" s="1360"/>
      <c r="UIB50" s="1360"/>
      <c r="UIC50" s="1360"/>
      <c r="UID50" s="1360"/>
      <c r="UIE50" s="1360"/>
      <c r="UIF50" s="1360"/>
      <c r="UIG50" s="1360"/>
      <c r="UIH50" s="1360"/>
      <c r="UII50" s="1360"/>
      <c r="UIJ50" s="1360"/>
      <c r="UIK50" s="1360"/>
      <c r="UIL50" s="1360"/>
      <c r="UIM50" s="1360"/>
      <c r="UIN50" s="1360"/>
      <c r="UIO50" s="1360"/>
      <c r="UIP50" s="1360"/>
      <c r="UIQ50" s="1360"/>
      <c r="UIR50" s="1360"/>
      <c r="UIS50" s="1360"/>
      <c r="UIT50" s="1360"/>
      <c r="UIU50" s="1360"/>
      <c r="UIV50" s="1360"/>
      <c r="UIW50" s="1360"/>
      <c r="UIX50" s="1360"/>
      <c r="UIY50" s="1360"/>
      <c r="UIZ50" s="1360"/>
      <c r="UJA50" s="1360"/>
      <c r="UJB50" s="1360"/>
      <c r="UJC50" s="1360"/>
      <c r="UJD50" s="1360"/>
      <c r="UJE50" s="1360"/>
      <c r="UJF50" s="1360"/>
      <c r="UJG50" s="1360"/>
      <c r="UJH50" s="1360"/>
      <c r="UJI50" s="1360"/>
      <c r="UJJ50" s="1360"/>
      <c r="UJK50" s="1360"/>
      <c r="UJL50" s="1360"/>
      <c r="UJM50" s="1360"/>
      <c r="UJN50" s="1360"/>
      <c r="UJO50" s="1360"/>
      <c r="UJP50" s="1360"/>
      <c r="UJQ50" s="1360"/>
      <c r="UJR50" s="1360"/>
      <c r="UJS50" s="1360"/>
      <c r="UJT50" s="1360"/>
      <c r="UJU50" s="1360"/>
      <c r="UJV50" s="1360"/>
      <c r="UJW50" s="1360"/>
      <c r="UJX50" s="1360"/>
      <c r="UJY50" s="1360"/>
      <c r="UJZ50" s="1360"/>
      <c r="UKA50" s="1360"/>
      <c r="UKB50" s="1360"/>
      <c r="UKC50" s="1360"/>
      <c r="UKD50" s="1360"/>
      <c r="UKE50" s="1360"/>
      <c r="UKF50" s="1360"/>
      <c r="UKG50" s="1360"/>
      <c r="UKH50" s="1360"/>
      <c r="UKI50" s="1360"/>
      <c r="UKJ50" s="1360"/>
      <c r="UKK50" s="1360"/>
      <c r="UKL50" s="1360"/>
      <c r="UKM50" s="1360"/>
      <c r="UKN50" s="1360"/>
      <c r="UKO50" s="1360"/>
      <c r="UKP50" s="1360"/>
      <c r="UKQ50" s="1360"/>
      <c r="UKR50" s="1360"/>
      <c r="UKS50" s="1360"/>
      <c r="UKT50" s="1360"/>
      <c r="UKU50" s="1360"/>
      <c r="UKV50" s="1360"/>
      <c r="UKW50" s="1360"/>
      <c r="UKX50" s="1360"/>
      <c r="UKY50" s="1360"/>
      <c r="UKZ50" s="1360"/>
      <c r="ULA50" s="1360"/>
      <c r="ULB50" s="1360"/>
      <c r="ULC50" s="1360"/>
      <c r="ULD50" s="1360"/>
      <c r="ULE50" s="1360"/>
      <c r="ULF50" s="1360"/>
      <c r="ULG50" s="1360"/>
      <c r="ULH50" s="1360"/>
      <c r="ULI50" s="1360"/>
      <c r="ULJ50" s="1360"/>
      <c r="ULK50" s="1360"/>
      <c r="ULL50" s="1360"/>
      <c r="ULM50" s="1360"/>
      <c r="ULN50" s="1360"/>
      <c r="ULO50" s="1360"/>
      <c r="ULP50" s="1360"/>
      <c r="ULQ50" s="1360"/>
      <c r="ULR50" s="1360"/>
      <c r="ULS50" s="1360"/>
      <c r="ULT50" s="1360"/>
      <c r="ULU50" s="1360"/>
      <c r="ULV50" s="1360"/>
      <c r="ULW50" s="1360"/>
      <c r="ULX50" s="1360"/>
      <c r="ULY50" s="1360"/>
      <c r="ULZ50" s="1360"/>
      <c r="UMA50" s="1360"/>
      <c r="UMB50" s="1360"/>
      <c r="UMC50" s="1360"/>
      <c r="UMD50" s="1360"/>
      <c r="UME50" s="1360"/>
      <c r="UMF50" s="1360"/>
      <c r="UMG50" s="1360"/>
      <c r="UMH50" s="1360"/>
      <c r="UMI50" s="1360"/>
      <c r="UMJ50" s="1360"/>
      <c r="UMK50" s="1360"/>
      <c r="UML50" s="1360"/>
      <c r="UMM50" s="1360"/>
      <c r="UMN50" s="1360"/>
      <c r="UMO50" s="1360"/>
      <c r="UMP50" s="1360"/>
      <c r="UMQ50" s="1360"/>
      <c r="UMR50" s="1360"/>
      <c r="UMS50" s="1360"/>
      <c r="UMT50" s="1360"/>
      <c r="UMU50" s="1360"/>
      <c r="UMV50" s="1360"/>
      <c r="UMW50" s="1360"/>
      <c r="UMX50" s="1360"/>
      <c r="UMY50" s="1360"/>
      <c r="UMZ50" s="1360"/>
      <c r="UNA50" s="1360"/>
      <c r="UNB50" s="1360"/>
      <c r="UNC50" s="1360"/>
      <c r="UND50" s="1360"/>
      <c r="UNE50" s="1360"/>
      <c r="UNF50" s="1360"/>
      <c r="UNG50" s="1360"/>
      <c r="UNH50" s="1360"/>
      <c r="UNI50" s="1360"/>
      <c r="UNJ50" s="1360"/>
      <c r="UNK50" s="1360"/>
      <c r="UNL50" s="1360"/>
      <c r="UNM50" s="1360"/>
      <c r="UNN50" s="1360"/>
      <c r="UNO50" s="1360"/>
      <c r="UNP50" s="1360"/>
      <c r="UNQ50" s="1360"/>
      <c r="UNR50" s="1360"/>
      <c r="UNS50" s="1360"/>
      <c r="UNT50" s="1360"/>
      <c r="UNU50" s="1360"/>
      <c r="UNV50" s="1360"/>
      <c r="UNW50" s="1360"/>
      <c r="UNX50" s="1360"/>
      <c r="UNY50" s="1360"/>
      <c r="UNZ50" s="1360"/>
      <c r="UOA50" s="1360"/>
      <c r="UOB50" s="1360"/>
      <c r="UOC50" s="1360"/>
      <c r="UOD50" s="1360"/>
      <c r="UOE50" s="1360"/>
      <c r="UOF50" s="1360"/>
      <c r="UOG50" s="1360"/>
      <c r="UOH50" s="1360"/>
      <c r="UOI50" s="1360"/>
      <c r="UOJ50" s="1360"/>
      <c r="UOK50" s="1360"/>
      <c r="UOL50" s="1360"/>
      <c r="UOM50" s="1360"/>
      <c r="UON50" s="1360"/>
      <c r="UOO50" s="1360"/>
      <c r="UOP50" s="1360"/>
      <c r="UOQ50" s="1360"/>
      <c r="UOR50" s="1360"/>
      <c r="UOS50" s="1360"/>
      <c r="UOT50" s="1360"/>
      <c r="UOU50" s="1360"/>
      <c r="UOV50" s="1360"/>
      <c r="UOW50" s="1360"/>
      <c r="UOX50" s="1360"/>
      <c r="UOY50" s="1360"/>
      <c r="UOZ50" s="1360"/>
      <c r="UPA50" s="1360"/>
      <c r="UPB50" s="1360"/>
      <c r="UPC50" s="1360"/>
      <c r="UPD50" s="1360"/>
      <c r="UPE50" s="1360"/>
      <c r="UPF50" s="1360"/>
      <c r="UPG50" s="1360"/>
      <c r="UPH50" s="1360"/>
      <c r="UPI50" s="1360"/>
      <c r="UPJ50" s="1360"/>
      <c r="UPK50" s="1360"/>
      <c r="UPL50" s="1360"/>
      <c r="UPM50" s="1360"/>
      <c r="UPN50" s="1360"/>
      <c r="UPO50" s="1360"/>
      <c r="UPP50" s="1360"/>
      <c r="UPQ50" s="1360"/>
      <c r="UPR50" s="1360"/>
      <c r="UPS50" s="1360"/>
      <c r="UPT50" s="1360"/>
      <c r="UPU50" s="1360"/>
      <c r="UPV50" s="1360"/>
      <c r="UPW50" s="1360"/>
      <c r="UPX50" s="1360"/>
      <c r="UPY50" s="1360"/>
      <c r="UPZ50" s="1360"/>
      <c r="UQA50" s="1360"/>
      <c r="UQB50" s="1360"/>
      <c r="UQC50" s="1360"/>
      <c r="UQD50" s="1360"/>
      <c r="UQE50" s="1360"/>
      <c r="UQF50" s="1360"/>
      <c r="UQG50" s="1360"/>
      <c r="UQH50" s="1360"/>
      <c r="UQI50" s="1360"/>
      <c r="UQJ50" s="1360"/>
      <c r="UQK50" s="1360"/>
      <c r="UQL50" s="1360"/>
      <c r="UQM50" s="1360"/>
      <c r="UQN50" s="1360"/>
      <c r="UQO50" s="1360"/>
      <c r="UQP50" s="1360"/>
      <c r="UQQ50" s="1360"/>
      <c r="UQR50" s="1360"/>
      <c r="UQS50" s="1360"/>
      <c r="UQT50" s="1360"/>
      <c r="UQU50" s="1360"/>
      <c r="UQV50" s="1360"/>
      <c r="UQW50" s="1360"/>
      <c r="UQX50" s="1360"/>
      <c r="UQY50" s="1360"/>
      <c r="UQZ50" s="1360"/>
      <c r="URA50" s="1360"/>
      <c r="URB50" s="1360"/>
      <c r="URC50" s="1360"/>
      <c r="URD50" s="1360"/>
      <c r="URE50" s="1360"/>
      <c r="URF50" s="1360"/>
      <c r="URG50" s="1360"/>
      <c r="URH50" s="1360"/>
      <c r="URI50" s="1360"/>
      <c r="URJ50" s="1360"/>
      <c r="URK50" s="1360"/>
      <c r="URL50" s="1360"/>
      <c r="URM50" s="1360"/>
      <c r="URN50" s="1360"/>
      <c r="URO50" s="1360"/>
      <c r="URP50" s="1360"/>
      <c r="URQ50" s="1360"/>
      <c r="URR50" s="1360"/>
      <c r="URS50" s="1360"/>
      <c r="URT50" s="1360"/>
      <c r="URU50" s="1360"/>
      <c r="URV50" s="1360"/>
      <c r="URW50" s="1360"/>
      <c r="URX50" s="1360"/>
      <c r="URY50" s="1360"/>
      <c r="URZ50" s="1360"/>
      <c r="USA50" s="1360"/>
      <c r="USB50" s="1360"/>
      <c r="USC50" s="1360"/>
      <c r="USD50" s="1360"/>
      <c r="USE50" s="1360"/>
      <c r="USF50" s="1360"/>
      <c r="USG50" s="1360"/>
      <c r="USH50" s="1360"/>
      <c r="USI50" s="1360"/>
      <c r="USJ50" s="1360"/>
      <c r="USK50" s="1360"/>
      <c r="USL50" s="1360"/>
      <c r="USM50" s="1360"/>
      <c r="USN50" s="1360"/>
      <c r="USO50" s="1360"/>
      <c r="USP50" s="1360"/>
      <c r="USQ50" s="1360"/>
      <c r="USR50" s="1360"/>
      <c r="USS50" s="1360"/>
      <c r="UST50" s="1360"/>
      <c r="USU50" s="1360"/>
      <c r="USV50" s="1360"/>
      <c r="USW50" s="1360"/>
      <c r="USX50" s="1360"/>
      <c r="USY50" s="1360"/>
      <c r="USZ50" s="1360"/>
      <c r="UTA50" s="1360"/>
      <c r="UTB50" s="1360"/>
      <c r="UTC50" s="1360"/>
      <c r="UTD50" s="1360"/>
      <c r="UTE50" s="1360"/>
      <c r="UTF50" s="1360"/>
      <c r="UTG50" s="1360"/>
      <c r="UTH50" s="1360"/>
      <c r="UTI50" s="1360"/>
      <c r="UTJ50" s="1360"/>
      <c r="UTK50" s="1360"/>
      <c r="UTL50" s="1360"/>
      <c r="UTM50" s="1360"/>
      <c r="UTN50" s="1360"/>
      <c r="UTO50" s="1360"/>
      <c r="UTP50" s="1360"/>
      <c r="UTQ50" s="1360"/>
      <c r="UTR50" s="1360"/>
      <c r="UTS50" s="1360"/>
      <c r="UTT50" s="1360"/>
      <c r="UTU50" s="1360"/>
      <c r="UTV50" s="1360"/>
      <c r="UTW50" s="1360"/>
      <c r="UTX50" s="1360"/>
      <c r="UTY50" s="1360"/>
      <c r="UTZ50" s="1360"/>
      <c r="UUA50" s="1360"/>
      <c r="UUB50" s="1360"/>
      <c r="UUC50" s="1360"/>
      <c r="UUD50" s="1360"/>
      <c r="UUE50" s="1360"/>
      <c r="UUF50" s="1360"/>
      <c r="UUG50" s="1360"/>
      <c r="UUH50" s="1360"/>
      <c r="UUI50" s="1360"/>
      <c r="UUJ50" s="1360"/>
      <c r="UUK50" s="1360"/>
      <c r="UUL50" s="1360"/>
      <c r="UUM50" s="1360"/>
      <c r="UUN50" s="1360"/>
      <c r="UUO50" s="1360"/>
      <c r="UUP50" s="1360"/>
      <c r="UUQ50" s="1360"/>
      <c r="UUR50" s="1360"/>
      <c r="UUS50" s="1360"/>
      <c r="UUT50" s="1360"/>
      <c r="UUU50" s="1360"/>
      <c r="UUV50" s="1360"/>
      <c r="UUW50" s="1360"/>
      <c r="UUX50" s="1360"/>
      <c r="UUY50" s="1360"/>
      <c r="UUZ50" s="1360"/>
      <c r="UVA50" s="1360"/>
      <c r="UVB50" s="1360"/>
      <c r="UVC50" s="1360"/>
      <c r="UVD50" s="1360"/>
      <c r="UVE50" s="1360"/>
      <c r="UVF50" s="1360"/>
      <c r="UVG50" s="1360"/>
      <c r="UVH50" s="1360"/>
      <c r="UVI50" s="1360"/>
      <c r="UVJ50" s="1360"/>
      <c r="UVK50" s="1360"/>
      <c r="UVL50" s="1360"/>
      <c r="UVM50" s="1360"/>
      <c r="UVN50" s="1360"/>
      <c r="UVO50" s="1360"/>
      <c r="UVP50" s="1360"/>
      <c r="UVQ50" s="1360"/>
      <c r="UVR50" s="1360"/>
      <c r="UVS50" s="1360"/>
      <c r="UVT50" s="1360"/>
      <c r="UVU50" s="1360"/>
      <c r="UVV50" s="1360"/>
      <c r="UVW50" s="1360"/>
      <c r="UVX50" s="1360"/>
      <c r="UVY50" s="1360"/>
      <c r="UVZ50" s="1360"/>
      <c r="UWA50" s="1360"/>
      <c r="UWB50" s="1360"/>
      <c r="UWC50" s="1360"/>
      <c r="UWD50" s="1360"/>
      <c r="UWE50" s="1360"/>
      <c r="UWF50" s="1360"/>
      <c r="UWG50" s="1360"/>
      <c r="UWH50" s="1360"/>
      <c r="UWI50" s="1360"/>
      <c r="UWJ50" s="1360"/>
      <c r="UWK50" s="1360"/>
      <c r="UWL50" s="1360"/>
      <c r="UWM50" s="1360"/>
      <c r="UWN50" s="1360"/>
      <c r="UWO50" s="1360"/>
      <c r="UWP50" s="1360"/>
      <c r="UWQ50" s="1360"/>
      <c r="UWR50" s="1360"/>
      <c r="UWS50" s="1360"/>
      <c r="UWT50" s="1360"/>
      <c r="UWU50" s="1360"/>
      <c r="UWV50" s="1360"/>
      <c r="UWW50" s="1360"/>
      <c r="UWX50" s="1360"/>
      <c r="UWY50" s="1360"/>
      <c r="UWZ50" s="1360"/>
      <c r="UXA50" s="1360"/>
      <c r="UXB50" s="1360"/>
      <c r="UXC50" s="1360"/>
      <c r="UXD50" s="1360"/>
      <c r="UXE50" s="1360"/>
      <c r="UXF50" s="1360"/>
      <c r="UXG50" s="1360"/>
      <c r="UXH50" s="1360"/>
      <c r="UXI50" s="1360"/>
      <c r="UXJ50" s="1360"/>
      <c r="UXK50" s="1360"/>
      <c r="UXL50" s="1360"/>
      <c r="UXM50" s="1360"/>
      <c r="UXN50" s="1360"/>
      <c r="UXO50" s="1360"/>
      <c r="UXP50" s="1360"/>
      <c r="UXQ50" s="1360"/>
      <c r="UXR50" s="1360"/>
      <c r="UXS50" s="1360"/>
      <c r="UXT50" s="1360"/>
      <c r="UXU50" s="1360"/>
      <c r="UXV50" s="1360"/>
      <c r="UXW50" s="1360"/>
      <c r="UXX50" s="1360"/>
      <c r="UXY50" s="1360"/>
      <c r="UXZ50" s="1360"/>
      <c r="UYA50" s="1360"/>
      <c r="UYB50" s="1360"/>
      <c r="UYC50" s="1360"/>
      <c r="UYD50" s="1360"/>
      <c r="UYE50" s="1360"/>
      <c r="UYF50" s="1360"/>
      <c r="UYG50" s="1360"/>
      <c r="UYH50" s="1360"/>
      <c r="UYI50" s="1360"/>
      <c r="UYJ50" s="1360"/>
      <c r="UYK50" s="1360"/>
      <c r="UYL50" s="1360"/>
      <c r="UYM50" s="1360"/>
      <c r="UYN50" s="1360"/>
      <c r="UYO50" s="1360"/>
      <c r="UYP50" s="1360"/>
      <c r="UYQ50" s="1360"/>
      <c r="UYR50" s="1360"/>
      <c r="UYS50" s="1360"/>
      <c r="UYT50" s="1360"/>
      <c r="UYU50" s="1360"/>
      <c r="UYV50" s="1360"/>
      <c r="UYW50" s="1360"/>
      <c r="UYX50" s="1360"/>
      <c r="UYY50" s="1360"/>
      <c r="UYZ50" s="1360"/>
      <c r="UZA50" s="1360"/>
      <c r="UZB50" s="1360"/>
      <c r="UZC50" s="1360"/>
      <c r="UZD50" s="1360"/>
      <c r="UZE50" s="1360"/>
      <c r="UZF50" s="1360"/>
      <c r="UZG50" s="1360"/>
      <c r="UZH50" s="1360"/>
      <c r="UZI50" s="1360"/>
      <c r="UZJ50" s="1360"/>
      <c r="UZK50" s="1360"/>
      <c r="UZL50" s="1360"/>
      <c r="UZM50" s="1360"/>
      <c r="UZN50" s="1360"/>
      <c r="UZO50" s="1360"/>
      <c r="UZP50" s="1360"/>
      <c r="UZQ50" s="1360"/>
      <c r="UZR50" s="1360"/>
      <c r="UZS50" s="1360"/>
      <c r="UZT50" s="1360"/>
      <c r="UZU50" s="1360"/>
      <c r="UZV50" s="1360"/>
      <c r="UZW50" s="1360"/>
      <c r="UZX50" s="1360"/>
      <c r="UZY50" s="1360"/>
      <c r="UZZ50" s="1360"/>
      <c r="VAA50" s="1360"/>
      <c r="VAB50" s="1360"/>
      <c r="VAC50" s="1360"/>
      <c r="VAD50" s="1360"/>
      <c r="VAE50" s="1360"/>
      <c r="VAF50" s="1360"/>
      <c r="VAG50" s="1360"/>
      <c r="VAH50" s="1360"/>
      <c r="VAI50" s="1360"/>
      <c r="VAJ50" s="1360"/>
      <c r="VAK50" s="1360"/>
      <c r="VAL50" s="1360"/>
      <c r="VAM50" s="1360"/>
      <c r="VAN50" s="1360"/>
      <c r="VAO50" s="1360"/>
      <c r="VAP50" s="1360"/>
      <c r="VAQ50" s="1360"/>
      <c r="VAR50" s="1360"/>
      <c r="VAS50" s="1360"/>
      <c r="VAT50" s="1360"/>
      <c r="VAU50" s="1360"/>
      <c r="VAV50" s="1360"/>
      <c r="VAW50" s="1360"/>
      <c r="VAX50" s="1360"/>
      <c r="VAY50" s="1360"/>
      <c r="VAZ50" s="1360"/>
      <c r="VBA50" s="1360"/>
      <c r="VBB50" s="1360"/>
      <c r="VBC50" s="1360"/>
      <c r="VBD50" s="1360"/>
      <c r="VBE50" s="1360"/>
      <c r="VBF50" s="1360"/>
      <c r="VBG50" s="1360"/>
      <c r="VBH50" s="1360"/>
      <c r="VBI50" s="1360"/>
      <c r="VBJ50" s="1360"/>
      <c r="VBK50" s="1360"/>
      <c r="VBL50" s="1360"/>
      <c r="VBM50" s="1360"/>
      <c r="VBN50" s="1360"/>
      <c r="VBO50" s="1360"/>
      <c r="VBP50" s="1360"/>
      <c r="VBQ50" s="1360"/>
      <c r="VBR50" s="1360"/>
      <c r="VBS50" s="1360"/>
      <c r="VBT50" s="1360"/>
      <c r="VBU50" s="1360"/>
      <c r="VBV50" s="1360"/>
      <c r="VBW50" s="1360"/>
      <c r="VBX50" s="1360"/>
      <c r="VBY50" s="1360"/>
      <c r="VBZ50" s="1360"/>
      <c r="VCA50" s="1360"/>
      <c r="VCB50" s="1360"/>
      <c r="VCC50" s="1360"/>
      <c r="VCD50" s="1360"/>
      <c r="VCE50" s="1360"/>
      <c r="VCF50" s="1360"/>
      <c r="VCG50" s="1360"/>
      <c r="VCH50" s="1360"/>
      <c r="VCI50" s="1360"/>
      <c r="VCJ50" s="1360"/>
      <c r="VCK50" s="1360"/>
      <c r="VCL50" s="1360"/>
      <c r="VCM50" s="1360"/>
      <c r="VCN50" s="1360"/>
      <c r="VCO50" s="1360"/>
      <c r="VCP50" s="1360"/>
      <c r="VCQ50" s="1360"/>
      <c r="VCR50" s="1360"/>
      <c r="VCS50" s="1360"/>
      <c r="VCT50" s="1360"/>
      <c r="VCU50" s="1360"/>
      <c r="VCV50" s="1360"/>
      <c r="VCW50" s="1360"/>
      <c r="VCX50" s="1360"/>
      <c r="VCY50" s="1360"/>
      <c r="VCZ50" s="1360"/>
      <c r="VDA50" s="1360"/>
      <c r="VDB50" s="1360"/>
      <c r="VDC50" s="1360"/>
      <c r="VDD50" s="1360"/>
      <c r="VDE50" s="1360"/>
      <c r="VDF50" s="1360"/>
      <c r="VDG50" s="1360"/>
      <c r="VDH50" s="1360"/>
      <c r="VDI50" s="1360"/>
      <c r="VDJ50" s="1360"/>
      <c r="VDK50" s="1360"/>
      <c r="VDL50" s="1360"/>
      <c r="VDM50" s="1360"/>
      <c r="VDN50" s="1360"/>
      <c r="VDO50" s="1360"/>
      <c r="VDP50" s="1360"/>
      <c r="VDQ50" s="1360"/>
      <c r="VDR50" s="1360"/>
      <c r="VDS50" s="1360"/>
      <c r="VDT50" s="1360"/>
      <c r="VDU50" s="1360"/>
      <c r="VDV50" s="1360"/>
      <c r="VDW50" s="1360"/>
      <c r="VDX50" s="1360"/>
      <c r="VDY50" s="1360"/>
      <c r="VDZ50" s="1360"/>
      <c r="VEA50" s="1360"/>
      <c r="VEB50" s="1360"/>
      <c r="VEC50" s="1360"/>
      <c r="VED50" s="1360"/>
      <c r="VEE50" s="1360"/>
      <c r="VEF50" s="1360"/>
      <c r="VEG50" s="1360"/>
      <c r="VEH50" s="1360"/>
      <c r="VEI50" s="1360"/>
      <c r="VEJ50" s="1360"/>
      <c r="VEK50" s="1360"/>
      <c r="VEL50" s="1360"/>
      <c r="VEM50" s="1360"/>
      <c r="VEN50" s="1360"/>
      <c r="VEO50" s="1360"/>
      <c r="VEP50" s="1360"/>
      <c r="VEQ50" s="1360"/>
      <c r="VER50" s="1360"/>
      <c r="VES50" s="1360"/>
      <c r="VET50" s="1360"/>
      <c r="VEU50" s="1360"/>
      <c r="VEV50" s="1360"/>
      <c r="VEW50" s="1360"/>
      <c r="VEX50" s="1360"/>
      <c r="VEY50" s="1360"/>
      <c r="VEZ50" s="1360"/>
      <c r="VFA50" s="1360"/>
      <c r="VFB50" s="1360"/>
      <c r="VFC50" s="1360"/>
      <c r="VFD50" s="1360"/>
      <c r="VFE50" s="1360"/>
      <c r="VFF50" s="1360"/>
      <c r="VFG50" s="1360"/>
      <c r="VFH50" s="1360"/>
      <c r="VFI50" s="1360"/>
      <c r="VFJ50" s="1360"/>
      <c r="VFK50" s="1360"/>
      <c r="VFL50" s="1360"/>
      <c r="VFM50" s="1360"/>
      <c r="VFN50" s="1360"/>
      <c r="VFO50" s="1360"/>
      <c r="VFP50" s="1360"/>
      <c r="VFQ50" s="1360"/>
      <c r="VFR50" s="1360"/>
      <c r="VFS50" s="1360"/>
      <c r="VFT50" s="1360"/>
      <c r="VFU50" s="1360"/>
      <c r="VFV50" s="1360"/>
      <c r="VFW50" s="1360"/>
      <c r="VFX50" s="1360"/>
      <c r="VFY50" s="1360"/>
      <c r="VFZ50" s="1360"/>
      <c r="VGA50" s="1360"/>
      <c r="VGB50" s="1360"/>
      <c r="VGC50" s="1360"/>
      <c r="VGD50" s="1360"/>
      <c r="VGE50" s="1360"/>
      <c r="VGF50" s="1360"/>
      <c r="VGG50" s="1360"/>
      <c r="VGH50" s="1360"/>
      <c r="VGI50" s="1360"/>
      <c r="VGJ50" s="1360"/>
      <c r="VGK50" s="1360"/>
      <c r="VGL50" s="1360"/>
      <c r="VGM50" s="1360"/>
      <c r="VGN50" s="1360"/>
      <c r="VGO50" s="1360"/>
      <c r="VGP50" s="1360"/>
      <c r="VGQ50" s="1360"/>
      <c r="VGR50" s="1360"/>
      <c r="VGS50" s="1360"/>
      <c r="VGT50" s="1360"/>
      <c r="VGU50" s="1360"/>
      <c r="VGV50" s="1360"/>
      <c r="VGW50" s="1360"/>
      <c r="VGX50" s="1360"/>
      <c r="VGY50" s="1360"/>
      <c r="VGZ50" s="1360"/>
      <c r="VHA50" s="1360"/>
      <c r="VHB50" s="1360"/>
      <c r="VHC50" s="1360"/>
      <c r="VHD50" s="1360"/>
      <c r="VHE50" s="1360"/>
      <c r="VHF50" s="1360"/>
      <c r="VHG50" s="1360"/>
      <c r="VHH50" s="1360"/>
      <c r="VHI50" s="1360"/>
      <c r="VHJ50" s="1360"/>
      <c r="VHK50" s="1360"/>
      <c r="VHL50" s="1360"/>
      <c r="VHM50" s="1360"/>
      <c r="VHN50" s="1360"/>
      <c r="VHO50" s="1360"/>
      <c r="VHP50" s="1360"/>
      <c r="VHQ50" s="1360"/>
      <c r="VHR50" s="1360"/>
      <c r="VHS50" s="1360"/>
      <c r="VHT50" s="1360"/>
      <c r="VHU50" s="1360"/>
      <c r="VHV50" s="1360"/>
      <c r="VHW50" s="1360"/>
      <c r="VHX50" s="1360"/>
      <c r="VHY50" s="1360"/>
      <c r="VHZ50" s="1360"/>
      <c r="VIA50" s="1360"/>
      <c r="VIB50" s="1360"/>
      <c r="VIC50" s="1360"/>
      <c r="VID50" s="1360"/>
      <c r="VIE50" s="1360"/>
      <c r="VIF50" s="1360"/>
      <c r="VIG50" s="1360"/>
      <c r="VIH50" s="1360"/>
      <c r="VII50" s="1360"/>
      <c r="VIJ50" s="1360"/>
      <c r="VIK50" s="1360"/>
      <c r="VIL50" s="1360"/>
      <c r="VIM50" s="1360"/>
      <c r="VIN50" s="1360"/>
      <c r="VIO50" s="1360"/>
      <c r="VIP50" s="1360"/>
      <c r="VIQ50" s="1360"/>
      <c r="VIR50" s="1360"/>
      <c r="VIS50" s="1360"/>
      <c r="VIT50" s="1360"/>
      <c r="VIU50" s="1360"/>
      <c r="VIV50" s="1360"/>
      <c r="VIW50" s="1360"/>
      <c r="VIX50" s="1360"/>
      <c r="VIY50" s="1360"/>
      <c r="VIZ50" s="1360"/>
      <c r="VJA50" s="1360"/>
      <c r="VJB50" s="1360"/>
      <c r="VJC50" s="1360"/>
      <c r="VJD50" s="1360"/>
      <c r="VJE50" s="1360"/>
      <c r="VJF50" s="1360"/>
      <c r="VJG50" s="1360"/>
      <c r="VJH50" s="1360"/>
      <c r="VJI50" s="1360"/>
      <c r="VJJ50" s="1360"/>
      <c r="VJK50" s="1360"/>
      <c r="VJL50" s="1360"/>
      <c r="VJM50" s="1360"/>
      <c r="VJN50" s="1360"/>
      <c r="VJO50" s="1360"/>
      <c r="VJP50" s="1360"/>
      <c r="VJQ50" s="1360"/>
      <c r="VJR50" s="1360"/>
      <c r="VJS50" s="1360"/>
      <c r="VJT50" s="1360"/>
      <c r="VJU50" s="1360"/>
      <c r="VJV50" s="1360"/>
      <c r="VJW50" s="1360"/>
      <c r="VJX50" s="1360"/>
      <c r="VJY50" s="1360"/>
      <c r="VJZ50" s="1360"/>
      <c r="VKA50" s="1360"/>
      <c r="VKB50" s="1360"/>
      <c r="VKC50" s="1360"/>
      <c r="VKD50" s="1360"/>
      <c r="VKE50" s="1360"/>
      <c r="VKF50" s="1360"/>
      <c r="VKG50" s="1360"/>
      <c r="VKH50" s="1360"/>
      <c r="VKI50" s="1360"/>
      <c r="VKJ50" s="1360"/>
      <c r="VKK50" s="1360"/>
      <c r="VKL50" s="1360"/>
      <c r="VKM50" s="1360"/>
      <c r="VKN50" s="1360"/>
      <c r="VKO50" s="1360"/>
      <c r="VKP50" s="1360"/>
      <c r="VKQ50" s="1360"/>
      <c r="VKR50" s="1360"/>
      <c r="VKS50" s="1360"/>
      <c r="VKT50" s="1360"/>
      <c r="VKU50" s="1360"/>
      <c r="VKV50" s="1360"/>
      <c r="VKW50" s="1360"/>
      <c r="VKX50" s="1360"/>
      <c r="VKY50" s="1360"/>
      <c r="VKZ50" s="1360"/>
      <c r="VLA50" s="1360"/>
      <c r="VLB50" s="1360"/>
      <c r="VLC50" s="1360"/>
      <c r="VLD50" s="1360"/>
      <c r="VLE50" s="1360"/>
      <c r="VLF50" s="1360"/>
      <c r="VLG50" s="1360"/>
      <c r="VLH50" s="1360"/>
      <c r="VLI50" s="1360"/>
      <c r="VLJ50" s="1360"/>
      <c r="VLK50" s="1360"/>
      <c r="VLL50" s="1360"/>
      <c r="VLM50" s="1360"/>
      <c r="VLN50" s="1360"/>
      <c r="VLO50" s="1360"/>
      <c r="VLP50" s="1360"/>
      <c r="VLQ50" s="1360"/>
      <c r="VLR50" s="1360"/>
      <c r="VLS50" s="1360"/>
      <c r="VLT50" s="1360"/>
      <c r="VLU50" s="1360"/>
      <c r="VLV50" s="1360"/>
      <c r="VLW50" s="1360"/>
      <c r="VLX50" s="1360"/>
      <c r="VLY50" s="1360"/>
      <c r="VLZ50" s="1360"/>
      <c r="VMA50" s="1360"/>
      <c r="VMB50" s="1360"/>
      <c r="VMC50" s="1360"/>
      <c r="VMD50" s="1360"/>
      <c r="VME50" s="1360"/>
      <c r="VMF50" s="1360"/>
      <c r="VMG50" s="1360"/>
      <c r="VMH50" s="1360"/>
      <c r="VMI50" s="1360"/>
      <c r="VMJ50" s="1360"/>
      <c r="VMK50" s="1360"/>
      <c r="VML50" s="1360"/>
      <c r="VMM50" s="1360"/>
      <c r="VMN50" s="1360"/>
      <c r="VMO50" s="1360"/>
      <c r="VMP50" s="1360"/>
      <c r="VMQ50" s="1360"/>
      <c r="VMR50" s="1360"/>
      <c r="VMS50" s="1360"/>
      <c r="VMT50" s="1360"/>
      <c r="VMU50" s="1360"/>
      <c r="VMV50" s="1360"/>
      <c r="VMW50" s="1360"/>
      <c r="VMX50" s="1360"/>
      <c r="VMY50" s="1360"/>
      <c r="VMZ50" s="1360"/>
      <c r="VNA50" s="1360"/>
      <c r="VNB50" s="1360"/>
      <c r="VNC50" s="1360"/>
      <c r="VND50" s="1360"/>
      <c r="VNE50" s="1360"/>
      <c r="VNF50" s="1360"/>
      <c r="VNG50" s="1360"/>
      <c r="VNH50" s="1360"/>
      <c r="VNI50" s="1360"/>
      <c r="VNJ50" s="1360"/>
      <c r="VNK50" s="1360"/>
      <c r="VNL50" s="1360"/>
      <c r="VNM50" s="1360"/>
      <c r="VNN50" s="1360"/>
      <c r="VNO50" s="1360"/>
      <c r="VNP50" s="1360"/>
      <c r="VNQ50" s="1360"/>
      <c r="VNR50" s="1360"/>
      <c r="VNS50" s="1360"/>
      <c r="VNT50" s="1360"/>
      <c r="VNU50" s="1360"/>
      <c r="VNV50" s="1360"/>
      <c r="VNW50" s="1360"/>
      <c r="VNX50" s="1360"/>
      <c r="VNY50" s="1360"/>
      <c r="VNZ50" s="1360"/>
      <c r="VOA50" s="1360"/>
      <c r="VOB50" s="1360"/>
      <c r="VOC50" s="1360"/>
      <c r="VOD50" s="1360"/>
      <c r="VOE50" s="1360"/>
      <c r="VOF50" s="1360"/>
      <c r="VOG50" s="1360"/>
      <c r="VOH50" s="1360"/>
      <c r="VOI50" s="1360"/>
      <c r="VOJ50" s="1360"/>
      <c r="VOK50" s="1360"/>
      <c r="VOL50" s="1360"/>
      <c r="VOM50" s="1360"/>
      <c r="VON50" s="1360"/>
      <c r="VOO50" s="1360"/>
      <c r="VOP50" s="1360"/>
      <c r="VOQ50" s="1360"/>
      <c r="VOR50" s="1360"/>
      <c r="VOS50" s="1360"/>
      <c r="VOT50" s="1360"/>
      <c r="VOU50" s="1360"/>
      <c r="VOV50" s="1360"/>
      <c r="VOW50" s="1360"/>
      <c r="VOX50" s="1360"/>
      <c r="VOY50" s="1360"/>
      <c r="VOZ50" s="1360"/>
      <c r="VPA50" s="1360"/>
      <c r="VPB50" s="1360"/>
      <c r="VPC50" s="1360"/>
      <c r="VPD50" s="1360"/>
      <c r="VPE50" s="1360"/>
      <c r="VPF50" s="1360"/>
      <c r="VPG50" s="1360"/>
      <c r="VPH50" s="1360"/>
      <c r="VPI50" s="1360"/>
      <c r="VPJ50" s="1360"/>
      <c r="VPK50" s="1360"/>
      <c r="VPL50" s="1360"/>
      <c r="VPM50" s="1360"/>
      <c r="VPN50" s="1360"/>
      <c r="VPO50" s="1360"/>
      <c r="VPP50" s="1360"/>
      <c r="VPQ50" s="1360"/>
      <c r="VPR50" s="1360"/>
      <c r="VPS50" s="1360"/>
      <c r="VPT50" s="1360"/>
      <c r="VPU50" s="1360"/>
      <c r="VPV50" s="1360"/>
      <c r="VPW50" s="1360"/>
      <c r="VPX50" s="1360"/>
      <c r="VPY50" s="1360"/>
      <c r="VPZ50" s="1360"/>
      <c r="VQA50" s="1360"/>
      <c r="VQB50" s="1360"/>
      <c r="VQC50" s="1360"/>
      <c r="VQD50" s="1360"/>
      <c r="VQE50" s="1360"/>
      <c r="VQF50" s="1360"/>
      <c r="VQG50" s="1360"/>
      <c r="VQH50" s="1360"/>
      <c r="VQI50" s="1360"/>
      <c r="VQJ50" s="1360"/>
      <c r="VQK50" s="1360"/>
      <c r="VQL50" s="1360"/>
      <c r="VQM50" s="1360"/>
      <c r="VQN50" s="1360"/>
      <c r="VQO50" s="1360"/>
      <c r="VQP50" s="1360"/>
      <c r="VQQ50" s="1360"/>
      <c r="VQR50" s="1360"/>
      <c r="VQS50" s="1360"/>
      <c r="VQT50" s="1360"/>
      <c r="VQU50" s="1360"/>
      <c r="VQV50" s="1360"/>
      <c r="VQW50" s="1360"/>
      <c r="VQX50" s="1360"/>
      <c r="VQY50" s="1360"/>
      <c r="VQZ50" s="1360"/>
      <c r="VRA50" s="1360"/>
      <c r="VRB50" s="1360"/>
      <c r="VRC50" s="1360"/>
      <c r="VRD50" s="1360"/>
      <c r="VRE50" s="1360"/>
      <c r="VRF50" s="1360"/>
      <c r="VRG50" s="1360"/>
      <c r="VRH50" s="1360"/>
      <c r="VRI50" s="1360"/>
      <c r="VRJ50" s="1360"/>
      <c r="VRK50" s="1360"/>
      <c r="VRL50" s="1360"/>
      <c r="VRM50" s="1360"/>
      <c r="VRN50" s="1360"/>
      <c r="VRO50" s="1360"/>
      <c r="VRP50" s="1360"/>
      <c r="VRQ50" s="1360"/>
      <c r="VRR50" s="1360"/>
      <c r="VRS50" s="1360"/>
      <c r="VRT50" s="1360"/>
      <c r="VRU50" s="1360"/>
      <c r="VRV50" s="1360"/>
      <c r="VRW50" s="1360"/>
      <c r="VRX50" s="1360"/>
      <c r="VRY50" s="1360"/>
      <c r="VRZ50" s="1360"/>
      <c r="VSA50" s="1360"/>
      <c r="VSB50" s="1360"/>
      <c r="VSC50" s="1360"/>
      <c r="VSD50" s="1360"/>
      <c r="VSE50" s="1360"/>
      <c r="VSF50" s="1360"/>
      <c r="VSG50" s="1360"/>
      <c r="VSH50" s="1360"/>
      <c r="VSI50" s="1360"/>
      <c r="VSJ50" s="1360"/>
      <c r="VSK50" s="1360"/>
      <c r="VSL50" s="1360"/>
      <c r="VSM50" s="1360"/>
      <c r="VSN50" s="1360"/>
      <c r="VSO50" s="1360"/>
      <c r="VSP50" s="1360"/>
      <c r="VSQ50" s="1360"/>
      <c r="VSR50" s="1360"/>
      <c r="VSS50" s="1360"/>
      <c r="VST50" s="1360"/>
      <c r="VSU50" s="1360"/>
      <c r="VSV50" s="1360"/>
      <c r="VSW50" s="1360"/>
      <c r="VSX50" s="1360"/>
      <c r="VSY50" s="1360"/>
      <c r="VSZ50" s="1360"/>
      <c r="VTA50" s="1360"/>
      <c r="VTB50" s="1360"/>
      <c r="VTC50" s="1360"/>
      <c r="VTD50" s="1360"/>
      <c r="VTE50" s="1360"/>
      <c r="VTF50" s="1360"/>
      <c r="VTG50" s="1360"/>
      <c r="VTH50" s="1360"/>
      <c r="VTI50" s="1360"/>
      <c r="VTJ50" s="1360"/>
      <c r="VTK50" s="1360"/>
      <c r="VTL50" s="1360"/>
      <c r="VTM50" s="1360"/>
      <c r="VTN50" s="1360"/>
      <c r="VTO50" s="1360"/>
      <c r="VTP50" s="1360"/>
      <c r="VTQ50" s="1360"/>
      <c r="VTR50" s="1360"/>
      <c r="VTS50" s="1360"/>
      <c r="VTT50" s="1360"/>
      <c r="VTU50" s="1360"/>
      <c r="VTV50" s="1360"/>
      <c r="VTW50" s="1360"/>
      <c r="VTX50" s="1360"/>
      <c r="VTY50" s="1360"/>
      <c r="VTZ50" s="1360"/>
      <c r="VUA50" s="1360"/>
      <c r="VUB50" s="1360"/>
      <c r="VUC50" s="1360"/>
      <c r="VUD50" s="1360"/>
      <c r="VUE50" s="1360"/>
      <c r="VUF50" s="1360"/>
      <c r="VUG50" s="1360"/>
      <c r="VUH50" s="1360"/>
      <c r="VUI50" s="1360"/>
      <c r="VUJ50" s="1360"/>
      <c r="VUK50" s="1360"/>
      <c r="VUL50" s="1360"/>
      <c r="VUM50" s="1360"/>
      <c r="VUN50" s="1360"/>
      <c r="VUO50" s="1360"/>
      <c r="VUP50" s="1360"/>
      <c r="VUQ50" s="1360"/>
      <c r="VUR50" s="1360"/>
      <c r="VUS50" s="1360"/>
      <c r="VUT50" s="1360"/>
      <c r="VUU50" s="1360"/>
      <c r="VUV50" s="1360"/>
      <c r="VUW50" s="1360"/>
      <c r="VUX50" s="1360"/>
      <c r="VUY50" s="1360"/>
      <c r="VUZ50" s="1360"/>
      <c r="VVA50" s="1360"/>
      <c r="VVB50" s="1360"/>
      <c r="VVC50" s="1360"/>
      <c r="VVD50" s="1360"/>
      <c r="VVE50" s="1360"/>
      <c r="VVF50" s="1360"/>
      <c r="VVG50" s="1360"/>
      <c r="VVH50" s="1360"/>
      <c r="VVI50" s="1360"/>
      <c r="VVJ50" s="1360"/>
      <c r="VVK50" s="1360"/>
      <c r="VVL50" s="1360"/>
      <c r="VVM50" s="1360"/>
      <c r="VVN50" s="1360"/>
      <c r="VVO50" s="1360"/>
      <c r="VVP50" s="1360"/>
      <c r="VVQ50" s="1360"/>
      <c r="VVR50" s="1360"/>
      <c r="VVS50" s="1360"/>
      <c r="VVT50" s="1360"/>
      <c r="VVU50" s="1360"/>
      <c r="VVV50" s="1360"/>
      <c r="VVW50" s="1360"/>
      <c r="VVX50" s="1360"/>
      <c r="VVY50" s="1360"/>
      <c r="VVZ50" s="1360"/>
      <c r="VWA50" s="1360"/>
      <c r="VWB50" s="1360"/>
      <c r="VWC50" s="1360"/>
      <c r="VWD50" s="1360"/>
      <c r="VWE50" s="1360"/>
      <c r="VWF50" s="1360"/>
      <c r="VWG50" s="1360"/>
      <c r="VWH50" s="1360"/>
      <c r="VWI50" s="1360"/>
      <c r="VWJ50" s="1360"/>
      <c r="VWK50" s="1360"/>
      <c r="VWL50" s="1360"/>
      <c r="VWM50" s="1360"/>
      <c r="VWN50" s="1360"/>
      <c r="VWO50" s="1360"/>
      <c r="VWP50" s="1360"/>
      <c r="VWQ50" s="1360"/>
      <c r="VWR50" s="1360"/>
      <c r="VWS50" s="1360"/>
      <c r="VWT50" s="1360"/>
      <c r="VWU50" s="1360"/>
      <c r="VWV50" s="1360"/>
      <c r="VWW50" s="1360"/>
      <c r="VWX50" s="1360"/>
      <c r="VWY50" s="1360"/>
      <c r="VWZ50" s="1360"/>
      <c r="VXA50" s="1360"/>
      <c r="VXB50" s="1360"/>
      <c r="VXC50" s="1360"/>
      <c r="VXD50" s="1360"/>
      <c r="VXE50" s="1360"/>
      <c r="VXF50" s="1360"/>
      <c r="VXG50" s="1360"/>
      <c r="VXH50" s="1360"/>
      <c r="VXI50" s="1360"/>
      <c r="VXJ50" s="1360"/>
      <c r="VXK50" s="1360"/>
      <c r="VXL50" s="1360"/>
      <c r="VXM50" s="1360"/>
      <c r="VXN50" s="1360"/>
      <c r="VXO50" s="1360"/>
      <c r="VXP50" s="1360"/>
      <c r="VXQ50" s="1360"/>
      <c r="VXR50" s="1360"/>
      <c r="VXS50" s="1360"/>
      <c r="VXT50" s="1360"/>
      <c r="VXU50" s="1360"/>
      <c r="VXV50" s="1360"/>
      <c r="VXW50" s="1360"/>
      <c r="VXX50" s="1360"/>
      <c r="VXY50" s="1360"/>
      <c r="VXZ50" s="1360"/>
      <c r="VYA50" s="1360"/>
      <c r="VYB50" s="1360"/>
      <c r="VYC50" s="1360"/>
      <c r="VYD50" s="1360"/>
      <c r="VYE50" s="1360"/>
      <c r="VYF50" s="1360"/>
      <c r="VYG50" s="1360"/>
      <c r="VYH50" s="1360"/>
      <c r="VYI50" s="1360"/>
      <c r="VYJ50" s="1360"/>
      <c r="VYK50" s="1360"/>
      <c r="VYL50" s="1360"/>
      <c r="VYM50" s="1360"/>
      <c r="VYN50" s="1360"/>
      <c r="VYO50" s="1360"/>
      <c r="VYP50" s="1360"/>
      <c r="VYQ50" s="1360"/>
      <c r="VYR50" s="1360"/>
      <c r="VYS50" s="1360"/>
      <c r="VYT50" s="1360"/>
      <c r="VYU50" s="1360"/>
      <c r="VYV50" s="1360"/>
      <c r="VYW50" s="1360"/>
      <c r="VYX50" s="1360"/>
      <c r="VYY50" s="1360"/>
      <c r="VYZ50" s="1360"/>
      <c r="VZA50" s="1360"/>
      <c r="VZB50" s="1360"/>
      <c r="VZC50" s="1360"/>
      <c r="VZD50" s="1360"/>
      <c r="VZE50" s="1360"/>
      <c r="VZF50" s="1360"/>
      <c r="VZG50" s="1360"/>
      <c r="VZH50" s="1360"/>
      <c r="VZI50" s="1360"/>
      <c r="VZJ50" s="1360"/>
      <c r="VZK50" s="1360"/>
      <c r="VZL50" s="1360"/>
      <c r="VZM50" s="1360"/>
      <c r="VZN50" s="1360"/>
      <c r="VZO50" s="1360"/>
      <c r="VZP50" s="1360"/>
      <c r="VZQ50" s="1360"/>
      <c r="VZR50" s="1360"/>
      <c r="VZS50" s="1360"/>
      <c r="VZT50" s="1360"/>
      <c r="VZU50" s="1360"/>
      <c r="VZV50" s="1360"/>
      <c r="VZW50" s="1360"/>
      <c r="VZX50" s="1360"/>
      <c r="VZY50" s="1360"/>
      <c r="VZZ50" s="1360"/>
      <c r="WAA50" s="1360"/>
      <c r="WAB50" s="1360"/>
      <c r="WAC50" s="1360"/>
      <c r="WAD50" s="1360"/>
      <c r="WAE50" s="1360"/>
      <c r="WAF50" s="1360"/>
      <c r="WAG50" s="1360"/>
      <c r="WAH50" s="1360"/>
      <c r="WAI50" s="1360"/>
      <c r="WAJ50" s="1360"/>
      <c r="WAK50" s="1360"/>
      <c r="WAL50" s="1360"/>
      <c r="WAM50" s="1360"/>
      <c r="WAN50" s="1360"/>
      <c r="WAO50" s="1360"/>
      <c r="WAP50" s="1360"/>
      <c r="WAQ50" s="1360"/>
      <c r="WAR50" s="1360"/>
      <c r="WAS50" s="1360"/>
      <c r="WAT50" s="1360"/>
      <c r="WAU50" s="1360"/>
      <c r="WAV50" s="1360"/>
      <c r="WAW50" s="1360"/>
      <c r="WAX50" s="1360"/>
      <c r="WAY50" s="1360"/>
      <c r="WAZ50" s="1360"/>
      <c r="WBA50" s="1360"/>
      <c r="WBB50" s="1360"/>
      <c r="WBC50" s="1360"/>
      <c r="WBD50" s="1360"/>
      <c r="WBE50" s="1360"/>
      <c r="WBF50" s="1360"/>
      <c r="WBG50" s="1360"/>
      <c r="WBH50" s="1360"/>
      <c r="WBI50" s="1360"/>
      <c r="WBJ50" s="1360"/>
      <c r="WBK50" s="1360"/>
      <c r="WBL50" s="1360"/>
      <c r="WBM50" s="1360"/>
      <c r="WBN50" s="1360"/>
      <c r="WBO50" s="1360"/>
      <c r="WBP50" s="1360"/>
      <c r="WBQ50" s="1360"/>
      <c r="WBR50" s="1360"/>
      <c r="WBS50" s="1360"/>
      <c r="WBT50" s="1360"/>
      <c r="WBU50" s="1360"/>
      <c r="WBV50" s="1360"/>
      <c r="WBW50" s="1360"/>
      <c r="WBX50" s="1360"/>
      <c r="WBY50" s="1360"/>
      <c r="WBZ50" s="1360"/>
      <c r="WCA50" s="1360"/>
      <c r="WCB50" s="1360"/>
      <c r="WCC50" s="1360"/>
      <c r="WCD50" s="1360"/>
      <c r="WCE50" s="1360"/>
      <c r="WCF50" s="1360"/>
      <c r="WCG50" s="1360"/>
      <c r="WCH50" s="1360"/>
      <c r="WCI50" s="1360"/>
      <c r="WCJ50" s="1360"/>
      <c r="WCK50" s="1360"/>
      <c r="WCL50" s="1360"/>
      <c r="WCM50" s="1360"/>
      <c r="WCN50" s="1360"/>
      <c r="WCO50" s="1360"/>
      <c r="WCP50" s="1360"/>
      <c r="WCQ50" s="1360"/>
      <c r="WCR50" s="1360"/>
      <c r="WCS50" s="1360"/>
      <c r="WCT50" s="1360"/>
      <c r="WCU50" s="1360"/>
      <c r="WCV50" s="1360"/>
      <c r="WCW50" s="1360"/>
      <c r="WCX50" s="1360"/>
      <c r="WCY50" s="1360"/>
      <c r="WCZ50" s="1360"/>
      <c r="WDA50" s="1360"/>
      <c r="WDB50" s="1360"/>
      <c r="WDC50" s="1360"/>
      <c r="WDD50" s="1360"/>
      <c r="WDE50" s="1360"/>
      <c r="WDF50" s="1360"/>
      <c r="WDG50" s="1360"/>
      <c r="WDH50" s="1360"/>
      <c r="WDI50" s="1360"/>
      <c r="WDJ50" s="1360"/>
      <c r="WDK50" s="1360"/>
      <c r="WDL50" s="1360"/>
      <c r="WDM50" s="1360"/>
      <c r="WDN50" s="1360"/>
      <c r="WDO50" s="1360"/>
      <c r="WDP50" s="1360"/>
      <c r="WDQ50" s="1360"/>
      <c r="WDR50" s="1360"/>
      <c r="WDS50" s="1360"/>
      <c r="WDT50" s="1360"/>
      <c r="WDU50" s="1360"/>
      <c r="WDV50" s="1360"/>
      <c r="WDW50" s="1360"/>
      <c r="WDX50" s="1360"/>
      <c r="WDY50" s="1360"/>
      <c r="WDZ50" s="1360"/>
      <c r="WEA50" s="1360"/>
      <c r="WEB50" s="1360"/>
      <c r="WEC50" s="1360"/>
      <c r="WED50" s="1360"/>
      <c r="WEE50" s="1360"/>
      <c r="WEF50" s="1360"/>
      <c r="WEG50" s="1360"/>
      <c r="WEH50" s="1360"/>
      <c r="WEI50" s="1360"/>
      <c r="WEJ50" s="1360"/>
      <c r="WEK50" s="1360"/>
      <c r="WEL50" s="1360"/>
      <c r="WEM50" s="1360"/>
      <c r="WEN50" s="1360"/>
      <c r="WEO50" s="1360"/>
      <c r="WEP50" s="1360"/>
      <c r="WEQ50" s="1360"/>
      <c r="WER50" s="1360"/>
      <c r="WES50" s="1360"/>
      <c r="WET50" s="1360"/>
      <c r="WEU50" s="1360"/>
      <c r="WEV50" s="1360"/>
      <c r="WEW50" s="1360"/>
      <c r="WEX50" s="1360"/>
      <c r="WEY50" s="1360"/>
      <c r="WEZ50" s="1360"/>
      <c r="WFA50" s="1360"/>
      <c r="WFB50" s="1360"/>
      <c r="WFC50" s="1360"/>
      <c r="WFD50" s="1360"/>
      <c r="WFE50" s="1360"/>
      <c r="WFF50" s="1360"/>
      <c r="WFG50" s="1360"/>
      <c r="WFH50" s="1360"/>
      <c r="WFI50" s="1360"/>
      <c r="WFJ50" s="1360"/>
      <c r="WFK50" s="1360"/>
      <c r="WFL50" s="1360"/>
      <c r="WFM50" s="1360"/>
      <c r="WFN50" s="1360"/>
      <c r="WFO50" s="1360"/>
      <c r="WFP50" s="1360"/>
      <c r="WFQ50" s="1360"/>
      <c r="WFR50" s="1360"/>
      <c r="WFS50" s="1360"/>
      <c r="WFT50" s="1360"/>
      <c r="WFU50" s="1360"/>
      <c r="WFV50" s="1360"/>
      <c r="WFW50" s="1360"/>
      <c r="WFX50" s="1360"/>
      <c r="WFY50" s="1360"/>
      <c r="WFZ50" s="1360"/>
      <c r="WGA50" s="1360"/>
      <c r="WGB50" s="1360"/>
      <c r="WGC50" s="1360"/>
      <c r="WGD50" s="1360"/>
      <c r="WGE50" s="1360"/>
      <c r="WGF50" s="1360"/>
      <c r="WGG50" s="1360"/>
      <c r="WGH50" s="1360"/>
      <c r="WGI50" s="1360"/>
      <c r="WGJ50" s="1360"/>
      <c r="WGK50" s="1360"/>
      <c r="WGL50" s="1360"/>
      <c r="WGM50" s="1360"/>
      <c r="WGN50" s="1360"/>
      <c r="WGO50" s="1360"/>
      <c r="WGP50" s="1360"/>
      <c r="WGQ50" s="1360"/>
      <c r="WGR50" s="1360"/>
      <c r="WGS50" s="1360"/>
      <c r="WGT50" s="1360"/>
      <c r="WGU50" s="1360"/>
      <c r="WGV50" s="1360"/>
      <c r="WGW50" s="1360"/>
      <c r="WGX50" s="1360"/>
      <c r="WGY50" s="1360"/>
      <c r="WGZ50" s="1360"/>
      <c r="WHA50" s="1360"/>
      <c r="WHB50" s="1360"/>
      <c r="WHC50" s="1360"/>
      <c r="WHD50" s="1360"/>
      <c r="WHE50" s="1360"/>
      <c r="WHF50" s="1360"/>
      <c r="WHG50" s="1360"/>
      <c r="WHH50" s="1360"/>
      <c r="WHI50" s="1360"/>
      <c r="WHJ50" s="1360"/>
      <c r="WHK50" s="1360"/>
      <c r="WHL50" s="1360"/>
      <c r="WHM50" s="1360"/>
      <c r="WHN50" s="1360"/>
      <c r="WHO50" s="1360"/>
      <c r="WHP50" s="1360"/>
      <c r="WHQ50" s="1360"/>
      <c r="WHR50" s="1360"/>
      <c r="WHS50" s="1360"/>
      <c r="WHT50" s="1360"/>
      <c r="WHU50" s="1360"/>
      <c r="WHV50" s="1360"/>
      <c r="WHW50" s="1360"/>
      <c r="WHX50" s="1360"/>
      <c r="WHY50" s="1360"/>
      <c r="WHZ50" s="1360"/>
      <c r="WIA50" s="1360"/>
      <c r="WIB50" s="1360"/>
      <c r="WIC50" s="1360"/>
      <c r="WID50" s="1360"/>
      <c r="WIE50" s="1360"/>
      <c r="WIF50" s="1360"/>
      <c r="WIG50" s="1360"/>
      <c r="WIH50" s="1360"/>
      <c r="WII50" s="1360"/>
      <c r="WIJ50" s="1360"/>
      <c r="WIK50" s="1360"/>
      <c r="WIL50" s="1360"/>
      <c r="WIM50" s="1360"/>
      <c r="WIN50" s="1360"/>
      <c r="WIO50" s="1360"/>
      <c r="WIP50" s="1360"/>
      <c r="WIQ50" s="1360"/>
      <c r="WIR50" s="1360"/>
      <c r="WIS50" s="1360"/>
      <c r="WIT50" s="1360"/>
      <c r="WIU50" s="1360"/>
      <c r="WIV50" s="1360"/>
      <c r="WIW50" s="1360"/>
      <c r="WIX50" s="1360"/>
      <c r="WIY50" s="1360"/>
      <c r="WIZ50" s="1360"/>
      <c r="WJA50" s="1360"/>
      <c r="WJB50" s="1360"/>
      <c r="WJC50" s="1360"/>
      <c r="WJD50" s="1360"/>
      <c r="WJE50" s="1360"/>
      <c r="WJF50" s="1360"/>
      <c r="WJG50" s="1360"/>
      <c r="WJH50" s="1360"/>
      <c r="WJI50" s="1360"/>
      <c r="WJJ50" s="1360"/>
      <c r="WJK50" s="1360"/>
      <c r="WJL50" s="1360"/>
      <c r="WJM50" s="1360"/>
      <c r="WJN50" s="1360"/>
      <c r="WJO50" s="1360"/>
      <c r="WJP50" s="1360"/>
      <c r="WJQ50" s="1360"/>
      <c r="WJR50" s="1360"/>
      <c r="WJS50" s="1360"/>
      <c r="WJT50" s="1360"/>
      <c r="WJU50" s="1360"/>
      <c r="WJV50" s="1360"/>
      <c r="WJW50" s="1360"/>
      <c r="WJX50" s="1360"/>
      <c r="WJY50" s="1360"/>
      <c r="WJZ50" s="1360"/>
      <c r="WKA50" s="1360"/>
      <c r="WKB50" s="1360"/>
      <c r="WKC50" s="1360"/>
      <c r="WKD50" s="1360"/>
      <c r="WKE50" s="1360"/>
      <c r="WKF50" s="1360"/>
      <c r="WKG50" s="1360"/>
      <c r="WKH50" s="1360"/>
      <c r="WKI50" s="1360"/>
      <c r="WKJ50" s="1360"/>
      <c r="WKK50" s="1360"/>
      <c r="WKL50" s="1360"/>
      <c r="WKM50" s="1360"/>
      <c r="WKN50" s="1360"/>
      <c r="WKO50" s="1360"/>
      <c r="WKP50" s="1360"/>
      <c r="WKQ50" s="1360"/>
      <c r="WKR50" s="1360"/>
      <c r="WKS50" s="1360"/>
      <c r="WKT50" s="1360"/>
      <c r="WKU50" s="1360"/>
      <c r="WKV50" s="1360"/>
      <c r="WKW50" s="1360"/>
      <c r="WKX50" s="1360"/>
      <c r="WKY50" s="1360"/>
      <c r="WKZ50" s="1360"/>
      <c r="WLA50" s="1360"/>
      <c r="WLB50" s="1360"/>
      <c r="WLC50" s="1360"/>
      <c r="WLD50" s="1360"/>
      <c r="WLE50" s="1360"/>
      <c r="WLF50" s="1360"/>
      <c r="WLG50" s="1360"/>
      <c r="WLH50" s="1360"/>
      <c r="WLI50" s="1360"/>
      <c r="WLJ50" s="1360"/>
      <c r="WLK50" s="1360"/>
      <c r="WLL50" s="1360"/>
      <c r="WLM50" s="1360"/>
      <c r="WLN50" s="1360"/>
      <c r="WLO50" s="1360"/>
      <c r="WLP50" s="1360"/>
      <c r="WLQ50" s="1360"/>
      <c r="WLR50" s="1360"/>
      <c r="WLS50" s="1360"/>
      <c r="WLT50" s="1360"/>
      <c r="WLU50" s="1360"/>
      <c r="WLV50" s="1360"/>
      <c r="WLW50" s="1360"/>
      <c r="WLX50" s="1360"/>
      <c r="WLY50" s="1360"/>
      <c r="WLZ50" s="1360"/>
      <c r="WMA50" s="1360"/>
      <c r="WMB50" s="1360"/>
      <c r="WMC50" s="1360"/>
      <c r="WMD50" s="1360"/>
      <c r="WME50" s="1360"/>
      <c r="WMF50" s="1360"/>
      <c r="WMG50" s="1360"/>
      <c r="WMH50" s="1360"/>
      <c r="WMI50" s="1360"/>
      <c r="WMJ50" s="1360"/>
      <c r="WMK50" s="1360"/>
      <c r="WML50" s="1360"/>
      <c r="WMM50" s="1360"/>
      <c r="WMN50" s="1360"/>
      <c r="WMO50" s="1360"/>
      <c r="WMP50" s="1360"/>
      <c r="WMQ50" s="1360"/>
      <c r="WMR50" s="1360"/>
      <c r="WMS50" s="1360"/>
      <c r="WMT50" s="1360"/>
      <c r="WMU50" s="1360"/>
      <c r="WMV50" s="1360"/>
      <c r="WMW50" s="1360"/>
      <c r="WMX50" s="1360"/>
      <c r="WMY50" s="1360"/>
      <c r="WMZ50" s="1360"/>
      <c r="WNA50" s="1360"/>
      <c r="WNB50" s="1360"/>
      <c r="WNC50" s="1360"/>
      <c r="WND50" s="1360"/>
      <c r="WNE50" s="1360"/>
      <c r="WNF50" s="1360"/>
      <c r="WNG50" s="1360"/>
      <c r="WNH50" s="1360"/>
      <c r="WNI50" s="1360"/>
      <c r="WNJ50" s="1360"/>
      <c r="WNK50" s="1360"/>
      <c r="WNL50" s="1360"/>
      <c r="WNM50" s="1360"/>
      <c r="WNN50" s="1360"/>
      <c r="WNO50" s="1360"/>
      <c r="WNP50" s="1360"/>
      <c r="WNQ50" s="1360"/>
      <c r="WNR50" s="1360"/>
      <c r="WNS50" s="1360"/>
      <c r="WNT50" s="1360"/>
      <c r="WNU50" s="1360"/>
      <c r="WNV50" s="1360"/>
      <c r="WNW50" s="1360"/>
      <c r="WNX50" s="1360"/>
      <c r="WNY50" s="1360"/>
      <c r="WNZ50" s="1360"/>
      <c r="WOA50" s="1360"/>
      <c r="WOB50" s="1360"/>
      <c r="WOC50" s="1360"/>
      <c r="WOD50" s="1360"/>
      <c r="WOE50" s="1360"/>
      <c r="WOF50" s="1360"/>
      <c r="WOG50" s="1360"/>
      <c r="WOH50" s="1360"/>
      <c r="WOI50" s="1360"/>
      <c r="WOJ50" s="1360"/>
      <c r="WOK50" s="1360"/>
      <c r="WOL50" s="1360"/>
      <c r="WOM50" s="1360"/>
      <c r="WON50" s="1360"/>
      <c r="WOO50" s="1360"/>
      <c r="WOP50" s="1360"/>
      <c r="WOQ50" s="1360"/>
      <c r="WOR50" s="1360"/>
      <c r="WOS50" s="1360"/>
      <c r="WOT50" s="1360"/>
      <c r="WOU50" s="1360"/>
      <c r="WOV50" s="1360"/>
      <c r="WOW50" s="1360"/>
      <c r="WOX50" s="1360"/>
      <c r="WOY50" s="1360"/>
      <c r="WOZ50" s="1360"/>
      <c r="WPA50" s="1360"/>
      <c r="WPB50" s="1360"/>
      <c r="WPC50" s="1360"/>
      <c r="WPD50" s="1360"/>
      <c r="WPE50" s="1360"/>
      <c r="WPF50" s="1360"/>
      <c r="WPG50" s="1360"/>
      <c r="WPH50" s="1360"/>
      <c r="WPI50" s="1360"/>
      <c r="WPJ50" s="1360"/>
      <c r="WPK50" s="1360"/>
      <c r="WPL50" s="1360"/>
      <c r="WPM50" s="1360"/>
      <c r="WPN50" s="1360"/>
      <c r="WPO50" s="1360"/>
      <c r="WPP50" s="1360"/>
      <c r="WPQ50" s="1360"/>
      <c r="WPR50" s="1360"/>
      <c r="WPS50" s="1360"/>
      <c r="WPT50" s="1360"/>
      <c r="WPU50" s="1360"/>
      <c r="WPV50" s="1360"/>
      <c r="WPW50" s="1360"/>
      <c r="WPX50" s="1360"/>
      <c r="WPY50" s="1360"/>
      <c r="WPZ50" s="1360"/>
      <c r="WQA50" s="1360"/>
      <c r="WQB50" s="1360"/>
      <c r="WQC50" s="1360"/>
      <c r="WQD50" s="1360"/>
      <c r="WQE50" s="1360"/>
      <c r="WQF50" s="1360"/>
      <c r="WQG50" s="1360"/>
      <c r="WQH50" s="1360"/>
      <c r="WQI50" s="1360"/>
      <c r="WQJ50" s="1360"/>
      <c r="WQK50" s="1360"/>
      <c r="WQL50" s="1360"/>
      <c r="WQM50" s="1360"/>
      <c r="WQN50" s="1360"/>
      <c r="WQO50" s="1360"/>
      <c r="WQP50" s="1360"/>
      <c r="WQQ50" s="1360"/>
      <c r="WQR50" s="1360"/>
      <c r="WQS50" s="1360"/>
      <c r="WQT50" s="1360"/>
      <c r="WQU50" s="1360"/>
      <c r="WQV50" s="1360"/>
      <c r="WQW50" s="1360"/>
      <c r="WQX50" s="1360"/>
      <c r="WQY50" s="1360"/>
      <c r="WQZ50" s="1360"/>
      <c r="WRA50" s="1360"/>
      <c r="WRB50" s="1360"/>
      <c r="WRC50" s="1360"/>
      <c r="WRD50" s="1360"/>
      <c r="WRE50" s="1360"/>
      <c r="WRF50" s="1360"/>
      <c r="WRG50" s="1360"/>
      <c r="WRH50" s="1360"/>
      <c r="WRI50" s="1360"/>
      <c r="WRJ50" s="1360"/>
      <c r="WRK50" s="1360"/>
      <c r="WRL50" s="1360"/>
      <c r="WRM50" s="1360"/>
      <c r="WRN50" s="1360"/>
      <c r="WRO50" s="1360"/>
      <c r="WRP50" s="1360"/>
      <c r="WRQ50" s="1360"/>
      <c r="WRR50" s="1360"/>
      <c r="WRS50" s="1360"/>
      <c r="WRT50" s="1360"/>
      <c r="WRU50" s="1360"/>
      <c r="WRV50" s="1360"/>
      <c r="WRW50" s="1360"/>
      <c r="WRX50" s="1360"/>
      <c r="WRY50" s="1360"/>
      <c r="WRZ50" s="1360"/>
      <c r="WSA50" s="1360"/>
      <c r="WSB50" s="1360"/>
      <c r="WSC50" s="1360"/>
      <c r="WSD50" s="1360"/>
      <c r="WSE50" s="1360"/>
      <c r="WSF50" s="1360"/>
      <c r="WSG50" s="1360"/>
      <c r="WSH50" s="1360"/>
      <c r="WSI50" s="1360"/>
      <c r="WSJ50" s="1360"/>
      <c r="WSK50" s="1360"/>
      <c r="WSL50" s="1360"/>
      <c r="WSM50" s="1360"/>
      <c r="WSN50" s="1360"/>
      <c r="WSO50" s="1360"/>
      <c r="WSP50" s="1360"/>
      <c r="WSQ50" s="1360"/>
      <c r="WSR50" s="1360"/>
      <c r="WSS50" s="1360"/>
      <c r="WST50" s="1360"/>
      <c r="WSU50" s="1360"/>
      <c r="WSV50" s="1360"/>
      <c r="WSW50" s="1360"/>
      <c r="WSX50" s="1360"/>
      <c r="WSY50" s="1360"/>
      <c r="WSZ50" s="1360"/>
      <c r="WTA50" s="1360"/>
      <c r="WTB50" s="1360"/>
      <c r="WTC50" s="1360"/>
      <c r="WTD50" s="1360"/>
      <c r="WTE50" s="1360"/>
      <c r="WTF50" s="1360"/>
      <c r="WTG50" s="1360"/>
      <c r="WTH50" s="1360"/>
      <c r="WTI50" s="1360"/>
      <c r="WTJ50" s="1360"/>
      <c r="WTK50" s="1360"/>
      <c r="WTL50" s="1360"/>
      <c r="WTM50" s="1360"/>
      <c r="WTN50" s="1360"/>
      <c r="WTO50" s="1360"/>
      <c r="WTP50" s="1360"/>
      <c r="WTQ50" s="1360"/>
      <c r="WTR50" s="1360"/>
      <c r="WTS50" s="1360"/>
      <c r="WTT50" s="1360"/>
      <c r="WTU50" s="1360"/>
      <c r="WTV50" s="1360"/>
      <c r="WTW50" s="1360"/>
      <c r="WTX50" s="1360"/>
      <c r="WTY50" s="1360"/>
      <c r="WTZ50" s="1360"/>
      <c r="WUA50" s="1360"/>
      <c r="WUB50" s="1360"/>
      <c r="WUC50" s="1360"/>
      <c r="WUD50" s="1360"/>
      <c r="WUE50" s="1360"/>
      <c r="WUF50" s="1360"/>
      <c r="WUG50" s="1360"/>
      <c r="WUH50" s="1360"/>
      <c r="WUI50" s="1360"/>
      <c r="WUJ50" s="1360"/>
      <c r="WUK50" s="1360"/>
      <c r="WUL50" s="1360"/>
      <c r="WUM50" s="1360"/>
      <c r="WUN50" s="1360"/>
      <c r="WUO50" s="1360"/>
      <c r="WUP50" s="1360"/>
      <c r="WUQ50" s="1360"/>
      <c r="WUR50" s="1360"/>
      <c r="WUS50" s="1360"/>
      <c r="WUT50" s="1360"/>
      <c r="WUU50" s="1360"/>
      <c r="WUV50" s="1360"/>
      <c r="WUW50" s="1360"/>
      <c r="WUX50" s="1360"/>
      <c r="WUY50" s="1360"/>
      <c r="WUZ50" s="1360"/>
      <c r="WVA50" s="1360"/>
      <c r="WVB50" s="1360"/>
      <c r="WVC50" s="1360"/>
      <c r="WVD50" s="1360"/>
      <c r="WVE50" s="1360"/>
      <c r="WVF50" s="1360"/>
      <c r="WVG50" s="1360"/>
      <c r="WVH50" s="1360"/>
      <c r="WVI50" s="1360"/>
      <c r="WVJ50" s="1360"/>
      <c r="WVK50" s="1360"/>
      <c r="WVL50" s="1360"/>
      <c r="WVM50" s="1360"/>
      <c r="WVN50" s="1360"/>
      <c r="WVO50" s="1360"/>
      <c r="WVP50" s="1360"/>
      <c r="WVQ50" s="1360"/>
      <c r="WVR50" s="1360"/>
      <c r="WVS50" s="1360"/>
      <c r="WVT50" s="1360"/>
      <c r="WVU50" s="1360"/>
      <c r="WVV50" s="1360"/>
      <c r="WVW50" s="1360"/>
      <c r="WVX50" s="1360"/>
      <c r="WVY50" s="1360"/>
      <c r="WVZ50" s="1360"/>
      <c r="WWA50" s="1360"/>
      <c r="WWB50" s="1360"/>
      <c r="WWC50" s="1360"/>
      <c r="WWD50" s="1360"/>
      <c r="WWE50" s="1360"/>
      <c r="WWF50" s="1360"/>
      <c r="WWG50" s="1360"/>
      <c r="WWH50" s="1360"/>
      <c r="WWI50" s="1360"/>
      <c r="WWJ50" s="1360"/>
      <c r="WWK50" s="1360"/>
      <c r="WWL50" s="1360"/>
      <c r="WWM50" s="1360"/>
      <c r="WWN50" s="1360"/>
      <c r="WWO50" s="1360"/>
      <c r="WWP50" s="1360"/>
      <c r="WWQ50" s="1360"/>
      <c r="WWR50" s="1360"/>
      <c r="WWS50" s="1360"/>
      <c r="WWT50" s="1360"/>
      <c r="WWU50" s="1360"/>
      <c r="WWV50" s="1360"/>
      <c r="WWW50" s="1360"/>
      <c r="WWX50" s="1360"/>
      <c r="WWY50" s="1360"/>
      <c r="WWZ50" s="1360"/>
      <c r="WXA50" s="1360"/>
      <c r="WXB50" s="1360"/>
      <c r="WXC50" s="1360"/>
      <c r="WXD50" s="1360"/>
      <c r="WXE50" s="1360"/>
      <c r="WXF50" s="1360"/>
      <c r="WXG50" s="1360"/>
      <c r="WXH50" s="1360"/>
      <c r="WXI50" s="1360"/>
      <c r="WXJ50" s="1360"/>
      <c r="WXK50" s="1360"/>
      <c r="WXL50" s="1360"/>
      <c r="WXM50" s="1360"/>
      <c r="WXN50" s="1360"/>
      <c r="WXO50" s="1360"/>
      <c r="WXP50" s="1360"/>
      <c r="WXQ50" s="1360"/>
      <c r="WXR50" s="1360"/>
      <c r="WXS50" s="1360"/>
      <c r="WXT50" s="1360"/>
      <c r="WXU50" s="1360"/>
      <c r="WXV50" s="1360"/>
      <c r="WXW50" s="1360"/>
      <c r="WXX50" s="1360"/>
      <c r="WXY50" s="1360"/>
      <c r="WXZ50" s="1360"/>
      <c r="WYA50" s="1360"/>
      <c r="WYB50" s="1360"/>
      <c r="WYC50" s="1360"/>
      <c r="WYD50" s="1360"/>
      <c r="WYE50" s="1360"/>
      <c r="WYF50" s="1360"/>
      <c r="WYG50" s="1360"/>
      <c r="WYH50" s="1360"/>
      <c r="WYI50" s="1360"/>
      <c r="WYJ50" s="1360"/>
      <c r="WYK50" s="1360"/>
      <c r="WYL50" s="1360"/>
      <c r="WYM50" s="1360"/>
      <c r="WYN50" s="1360"/>
      <c r="WYO50" s="1360"/>
      <c r="WYP50" s="1360"/>
      <c r="WYQ50" s="1360"/>
      <c r="WYR50" s="1360"/>
      <c r="WYS50" s="1360"/>
      <c r="WYT50" s="1360"/>
      <c r="WYU50" s="1360"/>
      <c r="WYV50" s="1360"/>
      <c r="WYW50" s="1360"/>
      <c r="WYX50" s="1360"/>
      <c r="WYY50" s="1360"/>
      <c r="WYZ50" s="1360"/>
      <c r="WZA50" s="1360"/>
      <c r="WZB50" s="1360"/>
      <c r="WZC50" s="1360"/>
      <c r="WZD50" s="1360"/>
      <c r="WZE50" s="1360"/>
      <c r="WZF50" s="1360"/>
      <c r="WZG50" s="1360"/>
      <c r="WZH50" s="1360"/>
      <c r="WZI50" s="1360"/>
      <c r="WZJ50" s="1360"/>
      <c r="WZK50" s="1360"/>
      <c r="WZL50" s="1360"/>
      <c r="WZM50" s="1360"/>
      <c r="WZN50" s="1360"/>
      <c r="WZO50" s="1360"/>
      <c r="WZP50" s="1360"/>
      <c r="WZQ50" s="1360"/>
      <c r="WZR50" s="1360"/>
      <c r="WZS50" s="1360"/>
      <c r="WZT50" s="1360"/>
      <c r="WZU50" s="1360"/>
      <c r="WZV50" s="1360"/>
      <c r="WZW50" s="1360"/>
      <c r="WZX50" s="1360"/>
      <c r="WZY50" s="1360"/>
      <c r="WZZ50" s="1360"/>
      <c r="XAA50" s="1360"/>
      <c r="XAB50" s="1360"/>
      <c r="XAC50" s="1360"/>
      <c r="XAD50" s="1360"/>
      <c r="XAE50" s="1360"/>
      <c r="XAF50" s="1360"/>
      <c r="XAG50" s="1360"/>
      <c r="XAH50" s="1360"/>
      <c r="XAI50" s="1360"/>
      <c r="XAJ50" s="1360"/>
      <c r="XAK50" s="1360"/>
      <c r="XAL50" s="1360"/>
      <c r="XAM50" s="1360"/>
      <c r="XAN50" s="1360"/>
      <c r="XAO50" s="1360"/>
      <c r="XAP50" s="1360"/>
      <c r="XAQ50" s="1360"/>
      <c r="XAR50" s="1360"/>
      <c r="XAS50" s="1360"/>
      <c r="XAT50" s="1360"/>
      <c r="XAU50" s="1360"/>
      <c r="XAV50" s="1360"/>
      <c r="XAW50" s="1360"/>
      <c r="XAX50" s="1360"/>
      <c r="XAY50" s="1360"/>
      <c r="XAZ50" s="1360"/>
      <c r="XBA50" s="1360"/>
      <c r="XBB50" s="1360"/>
      <c r="XBC50" s="1360"/>
      <c r="XBD50" s="1360"/>
      <c r="XBE50" s="1360"/>
      <c r="XBF50" s="1360"/>
      <c r="XBG50" s="1360"/>
      <c r="XBH50" s="1360"/>
      <c r="XBI50" s="1360"/>
      <c r="XBJ50" s="1360"/>
      <c r="XBK50" s="1360"/>
      <c r="XBL50" s="1360"/>
      <c r="XBM50" s="1360"/>
      <c r="XBN50" s="1360"/>
      <c r="XBO50" s="1360"/>
      <c r="XBP50" s="1360"/>
      <c r="XBQ50" s="1360"/>
      <c r="XBR50" s="1360"/>
      <c r="XBS50" s="1360"/>
      <c r="XBT50" s="1360"/>
      <c r="XBU50" s="1360"/>
      <c r="XBV50" s="1360"/>
      <c r="XBW50" s="1360"/>
      <c r="XBX50" s="1360"/>
      <c r="XBY50" s="1360"/>
      <c r="XBZ50" s="1360"/>
      <c r="XCA50" s="1360"/>
      <c r="XCB50" s="1360"/>
      <c r="XCC50" s="1360"/>
      <c r="XCD50" s="1360"/>
      <c r="XCE50" s="1360"/>
      <c r="XCF50" s="1360"/>
      <c r="XCG50" s="1360"/>
      <c r="XCH50" s="1360"/>
      <c r="XCI50" s="1360"/>
      <c r="XCJ50" s="1360"/>
      <c r="XCK50" s="1360"/>
      <c r="XCL50" s="1360"/>
      <c r="XCM50" s="1360"/>
      <c r="XCN50" s="1360"/>
      <c r="XCO50" s="1360"/>
      <c r="XCP50" s="1360"/>
      <c r="XCQ50" s="1360"/>
      <c r="XCR50" s="1360"/>
      <c r="XCS50" s="1360"/>
      <c r="XCT50" s="1360"/>
      <c r="XCU50" s="1360"/>
      <c r="XCV50" s="1360"/>
      <c r="XCW50" s="1360"/>
      <c r="XCX50" s="1360"/>
      <c r="XCY50" s="1360"/>
      <c r="XCZ50" s="1360"/>
      <c r="XDA50" s="1360"/>
      <c r="XDB50" s="1360"/>
      <c r="XDC50" s="1360"/>
      <c r="XDD50" s="1360"/>
      <c r="XDE50" s="1360"/>
      <c r="XDF50" s="1360"/>
      <c r="XDG50" s="1360"/>
      <c r="XDH50" s="1360"/>
      <c r="XDI50" s="1360"/>
      <c r="XDJ50" s="1360"/>
      <c r="XDK50" s="1360"/>
      <c r="XDL50" s="1360"/>
      <c r="XDM50" s="1360"/>
      <c r="XDN50" s="1360"/>
      <c r="XDO50" s="1360"/>
      <c r="XDP50" s="1360"/>
      <c r="XDQ50" s="1360"/>
      <c r="XDR50" s="1360"/>
      <c r="XDS50" s="1360"/>
      <c r="XDT50" s="1360"/>
      <c r="XDU50" s="1360"/>
      <c r="XDV50" s="1360"/>
      <c r="XDW50" s="1360"/>
      <c r="XDX50" s="1360"/>
      <c r="XDY50" s="1360"/>
      <c r="XDZ50" s="1360"/>
      <c r="XEA50" s="1360"/>
      <c r="XEB50" s="1360"/>
      <c r="XEC50" s="1360"/>
      <c r="XED50" s="1360"/>
      <c r="XEE50" s="1360"/>
      <c r="XEF50" s="1360"/>
      <c r="XEG50" s="1360"/>
      <c r="XEH50" s="1360"/>
      <c r="XEI50" s="1360"/>
      <c r="XEJ50" s="1360"/>
      <c r="XEK50" s="1360"/>
      <c r="XEL50" s="1360"/>
      <c r="XEM50" s="1360"/>
      <c r="XEN50" s="1360"/>
      <c r="XEO50" s="1360"/>
      <c r="XEP50" s="1360"/>
      <c r="XEQ50" s="1360"/>
      <c r="XER50" s="1360"/>
      <c r="XES50" s="1360"/>
      <c r="XET50" s="1360"/>
      <c r="XEU50" s="1360"/>
      <c r="XEV50" s="1360"/>
      <c r="XEW50" s="1360"/>
      <c r="XEX50" s="1360"/>
      <c r="XEY50" s="1360"/>
      <c r="XEZ50" s="1360"/>
      <c r="XFA50" s="1360"/>
      <c r="XFB50" s="1360"/>
      <c r="XFC50" s="1360"/>
      <c r="XFD50" s="1360"/>
    </row>
    <row r="51" spans="1:16384" s="1219" customFormat="1" ht="13.8">
      <c r="A51" s="1209"/>
      <c r="B51" s="1278"/>
      <c r="C51" s="1221"/>
      <c r="D51" s="1221"/>
      <c r="E51" s="1221"/>
      <c r="F51" s="1221"/>
      <c r="G51" s="1221"/>
      <c r="H51" s="1221">
        <f>ROUND(SUM(H48:H49),0)</f>
        <v>499035</v>
      </c>
      <c r="I51" s="1221">
        <f>ROUND(SUM(I48:I49),0)</f>
        <v>567848</v>
      </c>
      <c r="J51" s="1221">
        <f>ROUND(SUM(J48:J49),0)</f>
        <v>68813</v>
      </c>
      <c r="K51" s="1226">
        <f>SUM(K48:K49)</f>
        <v>5.3151008763275852E-2</v>
      </c>
      <c r="L51" s="1226">
        <f>SUM(L48:L49)</f>
        <v>5.6099066293534457E-2</v>
      </c>
      <c r="M51" s="1226"/>
      <c r="N51" s="1225"/>
      <c r="O51" s="1226">
        <f>I51/$Q$8</f>
        <v>5.3150994016440037E-2</v>
      </c>
      <c r="P51" s="1227"/>
      <c r="Q51" s="1228"/>
      <c r="R51" s="1238"/>
      <c r="S51" s="1229">
        <f t="shared" si="1"/>
        <v>0</v>
      </c>
      <c r="T51" s="1238"/>
      <c r="U51" s="1229">
        <f t="shared" si="9"/>
        <v>0</v>
      </c>
      <c r="V51" s="1216"/>
      <c r="W51" s="1217"/>
      <c r="X51" s="1218"/>
    </row>
    <row r="52" spans="1:16384" s="1219" customFormat="1" ht="13.8">
      <c r="A52" s="1209"/>
      <c r="B52" s="1279" t="s">
        <v>1033</v>
      </c>
      <c r="C52" s="1197"/>
      <c r="D52" s="1221"/>
      <c r="E52" s="1221"/>
      <c r="F52" s="1197"/>
      <c r="G52" s="1221"/>
      <c r="H52" s="1221"/>
      <c r="I52" s="1221"/>
      <c r="J52" s="1221"/>
      <c r="K52" s="1226"/>
      <c r="L52" s="1226"/>
      <c r="M52" s="1226"/>
      <c r="N52" s="1225"/>
      <c r="O52" s="1225"/>
      <c r="P52" s="1225"/>
      <c r="Q52" s="1228"/>
      <c r="R52" s="1238"/>
      <c r="S52" s="1229">
        <f t="shared" si="1"/>
        <v>0</v>
      </c>
      <c r="T52" s="1238"/>
      <c r="U52" s="1229">
        <f t="shared" si="9"/>
        <v>0</v>
      </c>
      <c r="V52" s="1216"/>
      <c r="W52" s="1216"/>
      <c r="X52" s="1218"/>
    </row>
    <row r="53" spans="1:16384" s="1219" customFormat="1" ht="13.8">
      <c r="A53" s="1209"/>
      <c r="B53" s="1220" t="s">
        <v>1034</v>
      </c>
      <c r="C53" s="1221">
        <v>0</v>
      </c>
      <c r="D53" s="1221">
        <v>300000</v>
      </c>
      <c r="E53" s="1221">
        <v>0</v>
      </c>
      <c r="F53" s="1221">
        <v>300000</v>
      </c>
      <c r="G53" s="1197">
        <f t="shared" ref="G53:G64" si="10">C53+D53+E53-F53</f>
        <v>0</v>
      </c>
      <c r="H53" s="1254">
        <v>0</v>
      </c>
      <c r="I53" s="1254">
        <v>0</v>
      </c>
      <c r="J53" s="1254">
        <f t="shared" ref="J53:J64" si="11">I53-H53</f>
        <v>0</v>
      </c>
      <c r="K53" s="1280">
        <f t="shared" ref="K53:K64" si="12">I53/$X$40</f>
        <v>0</v>
      </c>
      <c r="L53" s="1280">
        <f t="shared" ref="L53:L64" si="13">I53/$X$41</f>
        <v>0</v>
      </c>
      <c r="M53" s="1281">
        <f>G53*10/Q53</f>
        <v>0</v>
      </c>
      <c r="N53" s="1225"/>
      <c r="O53" s="1226">
        <f t="shared" ref="O53:O61" si="14">I53/$Q$8</f>
        <v>0</v>
      </c>
      <c r="P53" s="1227"/>
      <c r="Q53" s="1228">
        <v>11450738300</v>
      </c>
      <c r="R53" s="1229">
        <v>93520000</v>
      </c>
      <c r="S53" s="1229">
        <f t="shared" ref="S53:S84" si="15">R53/1000</f>
        <v>93520</v>
      </c>
      <c r="T53" s="1229">
        <v>98151900</v>
      </c>
      <c r="U53" s="1229">
        <f t="shared" si="9"/>
        <v>98151.9</v>
      </c>
      <c r="V53" s="1230">
        <v>11450738</v>
      </c>
      <c r="W53" s="1216"/>
      <c r="X53" s="1218"/>
    </row>
    <row r="54" spans="1:16384" s="1219" customFormat="1" ht="13.8">
      <c r="A54" s="1209"/>
      <c r="B54" s="1220" t="s">
        <v>1160</v>
      </c>
      <c r="C54" s="1221">
        <v>4944000</v>
      </c>
      <c r="D54" s="1221">
        <v>4221000</v>
      </c>
      <c r="E54" s="1221">
        <v>0</v>
      </c>
      <c r="F54" s="1197">
        <v>0</v>
      </c>
      <c r="G54" s="1197">
        <f t="shared" si="10"/>
        <v>9165000</v>
      </c>
      <c r="H54" s="1233">
        <f>207936340.119/1000</f>
        <v>207936.340119</v>
      </c>
      <c r="I54" s="1233">
        <f>219226800/1000</f>
        <v>219226.8</v>
      </c>
      <c r="J54" s="1233">
        <f t="shared" si="11"/>
        <v>11290.459880999988</v>
      </c>
      <c r="K54" s="1237">
        <f t="shared" si="12"/>
        <v>2.0519791128072395E-2</v>
      </c>
      <c r="L54" s="1237">
        <f t="shared" si="13"/>
        <v>2.1657935561489903E-2</v>
      </c>
      <c r="M54" s="1237">
        <f>G54*10/Q54</f>
        <v>7.2723078499552368E-3</v>
      </c>
      <c r="N54" s="1225"/>
      <c r="O54" s="1226">
        <f t="shared" si="14"/>
        <v>2.0519791097341714E-2</v>
      </c>
      <c r="P54" s="1227"/>
      <c r="Q54" s="1228">
        <v>12602601800</v>
      </c>
      <c r="R54" s="1229">
        <v>145263571</v>
      </c>
      <c r="S54" s="1229">
        <f t="shared" si="15"/>
        <v>145263.571</v>
      </c>
      <c r="T54" s="1229">
        <v>137998915</v>
      </c>
      <c r="U54" s="1229">
        <f t="shared" si="9"/>
        <v>137998.91500000001</v>
      </c>
      <c r="V54" s="1230">
        <v>15952075</v>
      </c>
      <c r="W54" s="1216"/>
      <c r="X54" s="1218"/>
    </row>
    <row r="55" spans="1:16384" s="1219" customFormat="1" ht="13.8">
      <c r="A55" s="1209"/>
      <c r="B55" s="1220" t="s">
        <v>397</v>
      </c>
      <c r="C55" s="1221">
        <v>16346000</v>
      </c>
      <c r="D55" s="1221">
        <v>800000</v>
      </c>
      <c r="E55" s="1221">
        <v>1634600</v>
      </c>
      <c r="F55" s="1197">
        <v>2494500</v>
      </c>
      <c r="G55" s="1197">
        <f t="shared" si="10"/>
        <v>16286100</v>
      </c>
      <c r="H55" s="1233">
        <f>772038607.496472/1000</f>
        <v>772038.60749647196</v>
      </c>
      <c r="I55" s="1233">
        <f>661052799/1000</f>
        <v>661052.799</v>
      </c>
      <c r="J55" s="1233">
        <f t="shared" si="11"/>
        <v>-110985.80849647196</v>
      </c>
      <c r="K55" s="1237">
        <f t="shared" si="12"/>
        <v>6.1875032432657073E-2</v>
      </c>
      <c r="L55" s="1237">
        <f t="shared" si="13"/>
        <v>6.5306973980756633E-2</v>
      </c>
      <c r="M55" s="1237">
        <f>G55*10/Q55</f>
        <v>1.0130868330253685E-2</v>
      </c>
      <c r="N55" s="1225"/>
      <c r="O55" s="1226">
        <f t="shared" si="14"/>
        <v>6.1875032339992288E-2</v>
      </c>
      <c r="P55" s="1227"/>
      <c r="Q55" s="1228">
        <v>16075719740</v>
      </c>
      <c r="R55" s="1229">
        <v>430993028</v>
      </c>
      <c r="S55" s="1229">
        <f t="shared" si="15"/>
        <v>430993.02799999999</v>
      </c>
      <c r="T55" s="1229">
        <v>453708750</v>
      </c>
      <c r="U55" s="1229">
        <f t="shared" si="9"/>
        <v>453708.75</v>
      </c>
      <c r="V55" s="1216">
        <v>11997601</v>
      </c>
      <c r="W55" s="1217"/>
      <c r="X55" s="1218"/>
    </row>
    <row r="56" spans="1:16384" s="1219" customFormat="1" ht="13.8">
      <c r="A56" s="1209"/>
      <c r="B56" s="1232" t="s">
        <v>1035</v>
      </c>
      <c r="C56" s="1197">
        <v>102225</v>
      </c>
      <c r="D56" s="1221">
        <v>5588500</v>
      </c>
      <c r="E56" s="1221">
        <v>0</v>
      </c>
      <c r="F56" s="1197">
        <v>0</v>
      </c>
      <c r="G56" s="1197">
        <f t="shared" si="10"/>
        <v>5690725</v>
      </c>
      <c r="H56" s="1233">
        <f>144770156.19/1000</f>
        <v>144770.15619000001</v>
      </c>
      <c r="I56" s="1233">
        <f>136975750.75/1000</f>
        <v>136975.75075000001</v>
      </c>
      <c r="J56" s="1233">
        <f t="shared" si="11"/>
        <v>-7794.4054400000023</v>
      </c>
      <c r="K56" s="1237">
        <f t="shared" si="12"/>
        <v>1.2821031894827212E-2</v>
      </c>
      <c r="L56" s="1237">
        <f t="shared" si="13"/>
        <v>1.3532159312776551E-2</v>
      </c>
      <c r="M56" s="1237">
        <f>G56*10/Q56</f>
        <v>4.312017347164957E-3</v>
      </c>
      <c r="N56" s="1225"/>
      <c r="O56" s="1226">
        <f t="shared" si="14"/>
        <v>1.2821031875626282E-2</v>
      </c>
      <c r="P56" s="1227"/>
      <c r="Q56" s="1228">
        <v>13197361100</v>
      </c>
      <c r="R56" s="1229">
        <v>247772641</v>
      </c>
      <c r="S56" s="1229">
        <f t="shared" si="15"/>
        <v>247772.641</v>
      </c>
      <c r="T56" s="1229">
        <v>235167490</v>
      </c>
      <c r="U56" s="1229">
        <f t="shared" si="9"/>
        <v>235167.49</v>
      </c>
      <c r="V56" s="1216">
        <v>14668525</v>
      </c>
      <c r="W56" s="1217"/>
      <c r="X56" s="1218"/>
    </row>
    <row r="57" spans="1:16384" s="1219" customFormat="1" ht="13.8">
      <c r="A57" s="1209"/>
      <c r="B57" s="1232" t="s">
        <v>395</v>
      </c>
      <c r="C57" s="1197">
        <v>5019800</v>
      </c>
      <c r="D57" s="1221">
        <v>623000</v>
      </c>
      <c r="E57" s="1221">
        <v>0</v>
      </c>
      <c r="F57" s="1197">
        <v>3963500</v>
      </c>
      <c r="G57" s="1197">
        <f t="shared" si="10"/>
        <v>1679300</v>
      </c>
      <c r="H57" s="1233">
        <f>265713012.898085/1000</f>
        <v>265713.012898085</v>
      </c>
      <c r="I57" s="1233">
        <f>202271685/1000</f>
        <v>202271.685</v>
      </c>
      <c r="J57" s="1233">
        <f t="shared" si="11"/>
        <v>-63441.327898085001</v>
      </c>
      <c r="K57" s="1237">
        <f t="shared" si="12"/>
        <v>1.8932779784785685E-2</v>
      </c>
      <c r="L57" s="1237">
        <f t="shared" si="13"/>
        <v>1.9982899534381673E-2</v>
      </c>
      <c r="M57" s="1282">
        <f>G57*10/Q57</f>
        <v>1.1448322110378121E-3</v>
      </c>
      <c r="N57" s="1225"/>
      <c r="O57" s="1226">
        <f t="shared" si="14"/>
        <v>1.893277975643173E-2</v>
      </c>
      <c r="P57" s="1227"/>
      <c r="Q57" s="1228">
        <v>14668525080</v>
      </c>
      <c r="R57" s="1229">
        <v>480127529</v>
      </c>
      <c r="S57" s="1229">
        <f t="shared" si="15"/>
        <v>480127.52899999998</v>
      </c>
      <c r="T57" s="1229">
        <v>491779288</v>
      </c>
      <c r="U57" s="1229">
        <f t="shared" si="9"/>
        <v>491779.288</v>
      </c>
      <c r="V57" s="1230">
        <v>10478314</v>
      </c>
      <c r="W57" s="1216"/>
      <c r="X57" s="1218"/>
    </row>
    <row r="58" spans="1:16384" s="1219" customFormat="1" ht="13.8">
      <c r="A58" s="1209"/>
      <c r="B58" s="1232" t="s">
        <v>342</v>
      </c>
      <c r="C58" s="1197">
        <v>360</v>
      </c>
      <c r="D58" s="1221">
        <v>0</v>
      </c>
      <c r="E58" s="1221">
        <v>0</v>
      </c>
      <c r="F58" s="1197">
        <v>360</v>
      </c>
      <c r="G58" s="1197">
        <f t="shared" si="10"/>
        <v>0</v>
      </c>
      <c r="H58" s="1233">
        <v>0</v>
      </c>
      <c r="I58" s="1233">
        <v>0</v>
      </c>
      <c r="J58" s="1233">
        <f t="shared" si="11"/>
        <v>0</v>
      </c>
      <c r="K58" s="1282">
        <f t="shared" si="12"/>
        <v>0</v>
      </c>
      <c r="L58" s="1282">
        <f t="shared" si="13"/>
        <v>0</v>
      </c>
      <c r="M58" s="1283">
        <v>0</v>
      </c>
      <c r="N58" s="1225"/>
      <c r="O58" s="1226">
        <f t="shared" si="14"/>
        <v>0</v>
      </c>
      <c r="P58" s="1227"/>
      <c r="Q58" s="1228">
        <v>10629021400</v>
      </c>
      <c r="R58" s="1229">
        <v>14008500</v>
      </c>
      <c r="S58" s="1229">
        <f t="shared" si="15"/>
        <v>14008.5</v>
      </c>
      <c r="T58" s="1229">
        <v>13040214</v>
      </c>
      <c r="U58" s="1229">
        <f t="shared" si="9"/>
        <v>13040.214</v>
      </c>
      <c r="V58" s="1230"/>
      <c r="W58" s="1216"/>
      <c r="X58" s="1218"/>
    </row>
    <row r="59" spans="1:16384" s="1219" customFormat="1" ht="13.8">
      <c r="A59" s="1209"/>
      <c r="B59" s="1232" t="s">
        <v>1064</v>
      </c>
      <c r="C59" s="1197">
        <v>3824500</v>
      </c>
      <c r="D59" s="1221">
        <v>1179000</v>
      </c>
      <c r="E59" s="1221"/>
      <c r="F59" s="1197">
        <v>438500</v>
      </c>
      <c r="G59" s="1197">
        <f t="shared" si="10"/>
        <v>4565000</v>
      </c>
      <c r="H59" s="1233">
        <f>362707861.535519/1000</f>
        <v>362707.86153551901</v>
      </c>
      <c r="I59" s="1233">
        <f>314026350/1000</f>
        <v>314026.34999999998</v>
      </c>
      <c r="J59" s="1233">
        <f t="shared" si="11"/>
        <v>-48681.511535519036</v>
      </c>
      <c r="K59" s="1237">
        <f t="shared" si="12"/>
        <v>2.9393099341462618E-2</v>
      </c>
      <c r="L59" s="1237">
        <f t="shared" si="13"/>
        <v>3.1023407963396237E-2</v>
      </c>
      <c r="M59" s="1282">
        <f t="shared" ref="M59:M64" si="16">G59*10/Q59</f>
        <v>4.1073381281016034E-3</v>
      </c>
      <c r="N59" s="1225"/>
      <c r="O59" s="1226">
        <f t="shared" si="14"/>
        <v>2.9393099297443163E-2</v>
      </c>
      <c r="P59" s="1227"/>
      <c r="Q59" s="1228">
        <v>11114254190</v>
      </c>
      <c r="R59" s="1229">
        <v>229481364</v>
      </c>
      <c r="S59" s="1229">
        <f t="shared" si="15"/>
        <v>229481.364</v>
      </c>
      <c r="T59" s="1229">
        <v>238079620</v>
      </c>
      <c r="U59" s="1229">
        <f t="shared" si="9"/>
        <v>238079.62</v>
      </c>
      <c r="V59" s="1230"/>
      <c r="W59" s="1216"/>
      <c r="X59" s="1218"/>
    </row>
    <row r="60" spans="1:16384" s="1219" customFormat="1" ht="13.8">
      <c r="A60" s="1265"/>
      <c r="B60" s="1284" t="s">
        <v>1036</v>
      </c>
      <c r="C60" s="1197">
        <v>1757000</v>
      </c>
      <c r="D60" s="1221">
        <v>0</v>
      </c>
      <c r="E60" s="1221">
        <v>0</v>
      </c>
      <c r="F60" s="1197">
        <v>1757000</v>
      </c>
      <c r="G60" s="1197">
        <f t="shared" si="10"/>
        <v>0</v>
      </c>
      <c r="H60" s="1233">
        <v>0</v>
      </c>
      <c r="I60" s="1233">
        <v>0</v>
      </c>
      <c r="J60" s="1233">
        <f t="shared" si="11"/>
        <v>0</v>
      </c>
      <c r="K60" s="1237">
        <f t="shared" si="12"/>
        <v>0</v>
      </c>
      <c r="L60" s="1237">
        <f t="shared" si="13"/>
        <v>0</v>
      </c>
      <c r="M60" s="1282">
        <f t="shared" si="16"/>
        <v>0</v>
      </c>
      <c r="N60" s="1225"/>
      <c r="O60" s="1226">
        <f t="shared" si="14"/>
        <v>0</v>
      </c>
      <c r="P60" s="1227"/>
      <c r="Q60" s="1228">
        <v>10478314800</v>
      </c>
      <c r="R60" s="1229">
        <v>73786400</v>
      </c>
      <c r="S60" s="1229">
        <f t="shared" si="15"/>
        <v>73786.399999999994</v>
      </c>
      <c r="T60" s="1229">
        <v>77556000</v>
      </c>
      <c r="U60" s="1229">
        <f t="shared" si="9"/>
        <v>77556</v>
      </c>
      <c r="V60" s="1230">
        <v>11130307</v>
      </c>
      <c r="W60" s="1216"/>
      <c r="X60" s="1218"/>
    </row>
    <row r="61" spans="1:16384" s="1219" customFormat="1" ht="13.8">
      <c r="A61" s="1265" t="s">
        <v>1103</v>
      </c>
      <c r="B61" s="1232" t="s">
        <v>2420</v>
      </c>
      <c r="C61" s="1197">
        <v>2122500</v>
      </c>
      <c r="D61" s="1221">
        <v>902100</v>
      </c>
      <c r="E61" s="1221">
        <v>0</v>
      </c>
      <c r="F61" s="1197">
        <v>517300</v>
      </c>
      <c r="G61" s="1197">
        <f t="shared" si="10"/>
        <v>2507300</v>
      </c>
      <c r="H61" s="1233">
        <f>497566435.220675/1000</f>
        <v>497566.43522067502</v>
      </c>
      <c r="I61" s="1233">
        <f>485338061/1000</f>
        <v>485338.06099999999</v>
      </c>
      <c r="J61" s="1233">
        <f t="shared" si="11"/>
        <v>-12228.374220675032</v>
      </c>
      <c r="K61" s="1237">
        <f t="shared" si="12"/>
        <v>4.5428002590119726E-2</v>
      </c>
      <c r="L61" s="1237">
        <f t="shared" si="13"/>
        <v>4.7947698231586906E-2</v>
      </c>
      <c r="M61" s="1282">
        <f t="shared" si="16"/>
        <v>2.115757841210954E-3</v>
      </c>
      <c r="N61" s="1225"/>
      <c r="O61" s="1226">
        <f t="shared" si="14"/>
        <v>4.542800252208621E-2</v>
      </c>
      <c r="P61" s="1227"/>
      <c r="Q61" s="1228">
        <v>11850600060</v>
      </c>
      <c r="R61" s="1229">
        <v>293598802</v>
      </c>
      <c r="S61" s="1229">
        <f t="shared" si="15"/>
        <v>293598.80200000003</v>
      </c>
      <c r="T61" s="1229">
        <v>299328736</v>
      </c>
      <c r="U61" s="1229">
        <f t="shared" si="9"/>
        <v>299328.73599999998</v>
      </c>
      <c r="V61" s="1230">
        <v>21275128</v>
      </c>
      <c r="W61" s="1217"/>
      <c r="X61" s="1218"/>
    </row>
    <row r="62" spans="1:16384" s="1219" customFormat="1" ht="13.8">
      <c r="A62" s="1265"/>
      <c r="B62" s="1232" t="s">
        <v>2461</v>
      </c>
      <c r="C62" s="1197">
        <v>352000</v>
      </c>
      <c r="D62" s="1221"/>
      <c r="E62" s="1221">
        <v>0</v>
      </c>
      <c r="F62" s="1197">
        <v>352000</v>
      </c>
      <c r="G62" s="1197">
        <f t="shared" si="10"/>
        <v>0</v>
      </c>
      <c r="H62" s="1233">
        <v>0</v>
      </c>
      <c r="I62" s="1233">
        <v>0</v>
      </c>
      <c r="J62" s="1233">
        <f t="shared" si="11"/>
        <v>0</v>
      </c>
      <c r="K62" s="1237">
        <f t="shared" si="12"/>
        <v>0</v>
      </c>
      <c r="L62" s="1237">
        <f t="shared" si="13"/>
        <v>0</v>
      </c>
      <c r="M62" s="1282" t="e">
        <f t="shared" si="16"/>
        <v>#DIV/0!</v>
      </c>
      <c r="N62" s="1225"/>
      <c r="O62" s="1226"/>
      <c r="P62" s="1227"/>
      <c r="Q62" s="1228"/>
      <c r="R62" s="1229"/>
      <c r="S62" s="1229"/>
      <c r="T62" s="1229"/>
      <c r="U62" s="1229"/>
      <c r="V62" s="1230"/>
      <c r="W62" s="1217"/>
      <c r="X62" s="1218"/>
    </row>
    <row r="63" spans="1:16384" s="1219" customFormat="1" ht="13.8">
      <c r="A63" s="1265"/>
      <c r="B63" s="1232" t="s">
        <v>2462</v>
      </c>
      <c r="C63" s="1197">
        <v>13255500</v>
      </c>
      <c r="D63" s="1221">
        <v>19527500</v>
      </c>
      <c r="E63" s="1221"/>
      <c r="F63" s="1197">
        <v>2565500</v>
      </c>
      <c r="G63" s="1197">
        <f t="shared" si="10"/>
        <v>30217500</v>
      </c>
      <c r="H63" s="1233">
        <f>358853965/1000</f>
        <v>358853.96500000003</v>
      </c>
      <c r="I63" s="1233">
        <f>361703475/1000</f>
        <v>361703.47499999998</v>
      </c>
      <c r="J63" s="1233">
        <f t="shared" si="11"/>
        <v>2849.5099999999511</v>
      </c>
      <c r="K63" s="1237">
        <f t="shared" si="12"/>
        <v>3.385571361392839E-2</v>
      </c>
      <c r="L63" s="1237">
        <f t="shared" si="13"/>
        <v>3.5733544228702757E-2</v>
      </c>
      <c r="M63" s="1282" t="e">
        <f t="shared" si="16"/>
        <v>#DIV/0!</v>
      </c>
      <c r="N63" s="1225"/>
      <c r="O63" s="1226"/>
      <c r="P63" s="1227"/>
      <c r="Q63" s="1228"/>
      <c r="R63" s="1229"/>
      <c r="S63" s="1229"/>
      <c r="T63" s="1229"/>
      <c r="U63" s="1229"/>
      <c r="V63" s="1230"/>
      <c r="W63" s="1217"/>
      <c r="X63" s="1218"/>
    </row>
    <row r="64" spans="1:16384" s="1219" customFormat="1" ht="13.8">
      <c r="A64" s="1209"/>
      <c r="B64" s="1232" t="s">
        <v>1038</v>
      </c>
      <c r="C64" s="1197">
        <v>799200</v>
      </c>
      <c r="D64" s="1221">
        <v>6032900</v>
      </c>
      <c r="E64" s="1221">
        <v>0</v>
      </c>
      <c r="F64" s="1197">
        <v>871300</v>
      </c>
      <c r="G64" s="1197">
        <f t="shared" si="10"/>
        <v>5960800</v>
      </c>
      <c r="H64" s="1258">
        <f>874588548.019075/1000</f>
        <v>874588.54801907507</v>
      </c>
      <c r="I64" s="1258">
        <f>731032512/1000</f>
        <v>731032.51199999999</v>
      </c>
      <c r="J64" s="1258">
        <f t="shared" si="11"/>
        <v>-143556.03601907508</v>
      </c>
      <c r="K64" s="1285">
        <f t="shared" si="12"/>
        <v>6.8425185488590251E-2</v>
      </c>
      <c r="L64" s="1285">
        <f t="shared" si="13"/>
        <v>7.2220435814645351E-2</v>
      </c>
      <c r="M64" s="1286">
        <f t="shared" si="16"/>
        <v>4.8692198199583262E-3</v>
      </c>
      <c r="N64" s="1225"/>
      <c r="O64" s="1226">
        <f>I64/$Q$8</f>
        <v>6.8425185386115875E-2</v>
      </c>
      <c r="P64" s="1227"/>
      <c r="Q64" s="1228">
        <v>12241796880</v>
      </c>
      <c r="R64" s="1229">
        <v>348837127</v>
      </c>
      <c r="S64" s="1229">
        <f t="shared" si="15"/>
        <v>348837.12699999998</v>
      </c>
      <c r="T64" s="1229">
        <v>371428720</v>
      </c>
      <c r="U64" s="1229">
        <f t="shared" si="9"/>
        <v>371428.72</v>
      </c>
      <c r="V64" s="1230">
        <v>12241797</v>
      </c>
      <c r="W64" s="1216"/>
      <c r="X64" s="1218"/>
    </row>
    <row r="65" spans="1:24" s="1219" customFormat="1" ht="13.8">
      <c r="A65" s="1209"/>
      <c r="B65" s="1278"/>
      <c r="C65" s="1221"/>
      <c r="D65" s="1197"/>
      <c r="E65" s="1197"/>
      <c r="F65" s="1197"/>
      <c r="G65" s="1197"/>
      <c r="H65" s="1197">
        <f>ROUND(SUM(H53:H64),0)</f>
        <v>3484175</v>
      </c>
      <c r="I65" s="1221">
        <f>ROUND(SUM(I53:I64),0)</f>
        <v>3111627</v>
      </c>
      <c r="J65" s="1221">
        <f>ROUND(SUM(J53:J64),0)</f>
        <v>-372547</v>
      </c>
      <c r="K65" s="1226">
        <f>SUM(K53:K64)</f>
        <v>0.29125063627444336</v>
      </c>
      <c r="L65" s="1226">
        <f>SUM(L53:L64)</f>
        <v>0.30740505462773604</v>
      </c>
      <c r="M65" s="1226"/>
      <c r="N65" s="1225"/>
      <c r="O65" s="1226">
        <f>I65/$Q$8</f>
        <v>0.29125059533254194</v>
      </c>
      <c r="P65" s="1227"/>
      <c r="Q65" s="1228"/>
      <c r="R65" s="1238"/>
      <c r="S65" s="1229">
        <f t="shared" si="15"/>
        <v>0</v>
      </c>
      <c r="T65" s="1238"/>
      <c r="U65" s="1229">
        <f t="shared" si="9"/>
        <v>0</v>
      </c>
      <c r="V65" s="1287"/>
      <c r="W65" s="1217"/>
      <c r="X65" s="1218"/>
    </row>
    <row r="66" spans="1:24" s="1219" customFormat="1" ht="13.8">
      <c r="A66" s="1209"/>
      <c r="B66" s="1210" t="s">
        <v>1039</v>
      </c>
      <c r="C66" s="1221"/>
      <c r="D66" s="1221"/>
      <c r="E66" s="1221"/>
      <c r="F66" s="1221"/>
      <c r="G66" s="1221"/>
      <c r="H66" s="1221"/>
      <c r="I66" s="1197"/>
      <c r="J66" s="1197"/>
      <c r="K66" s="1288"/>
      <c r="L66" s="1288"/>
      <c r="M66" s="1226"/>
      <c r="N66" s="1225"/>
      <c r="O66" s="1225"/>
      <c r="P66" s="1225"/>
      <c r="Q66" s="1228"/>
      <c r="R66" s="1238"/>
      <c r="S66" s="1229">
        <f t="shared" si="15"/>
        <v>0</v>
      </c>
      <c r="T66" s="1238"/>
      <c r="U66" s="1229">
        <f t="shared" si="9"/>
        <v>0</v>
      </c>
      <c r="V66" s="1216"/>
      <c r="W66" s="1218"/>
      <c r="X66" s="1218"/>
    </row>
    <row r="67" spans="1:24" s="1219" customFormat="1" ht="13.8">
      <c r="A67" s="1265" t="s">
        <v>1103</v>
      </c>
      <c r="B67" s="1220" t="s">
        <v>2421</v>
      </c>
      <c r="C67" s="1197">
        <v>49500</v>
      </c>
      <c r="D67" s="1221">
        <v>0</v>
      </c>
      <c r="E67" s="1221">
        <v>0</v>
      </c>
      <c r="F67" s="1197">
        <v>49500</v>
      </c>
      <c r="G67" s="1197">
        <f>C67+D67+E67-F67</f>
        <v>0</v>
      </c>
      <c r="H67" s="1254">
        <v>0</v>
      </c>
      <c r="I67" s="1254">
        <v>0</v>
      </c>
      <c r="J67" s="1254">
        <f>I67-H67</f>
        <v>0</v>
      </c>
      <c r="K67" s="1289">
        <v>0</v>
      </c>
      <c r="L67" s="1289">
        <v>0</v>
      </c>
      <c r="M67" s="1289">
        <v>0</v>
      </c>
      <c r="N67" s="1225"/>
      <c r="O67" s="1226">
        <f>I67/$Q$8</f>
        <v>0</v>
      </c>
      <c r="P67" s="1227"/>
      <c r="Q67" s="1228">
        <v>8321418090</v>
      </c>
      <c r="R67" s="1229">
        <v>1006830</v>
      </c>
      <c r="S67" s="1229">
        <f t="shared" si="15"/>
        <v>1006.83</v>
      </c>
      <c r="T67" s="1229">
        <v>878130</v>
      </c>
      <c r="U67" s="1229">
        <f t="shared" si="9"/>
        <v>878.13</v>
      </c>
      <c r="V67" s="1219">
        <v>2712836</v>
      </c>
      <c r="W67" s="1218"/>
      <c r="X67" s="1218"/>
    </row>
    <row r="68" spans="1:24" s="1219" customFormat="1" ht="13.8">
      <c r="A68" s="1265" t="s">
        <v>1103</v>
      </c>
      <c r="B68" s="1220" t="s">
        <v>2422</v>
      </c>
      <c r="C68" s="1197">
        <v>2013500</v>
      </c>
      <c r="D68" s="1221">
        <v>11760</v>
      </c>
      <c r="E68" s="1221">
        <v>0</v>
      </c>
      <c r="F68" s="1221">
        <v>1334000</v>
      </c>
      <c r="G68" s="1197">
        <f>C68+D68+E68-F68</f>
        <v>691260</v>
      </c>
      <c r="H68" s="1233">
        <f>42457131.1757463/1000</f>
        <v>42457.131175746297</v>
      </c>
      <c r="I68" s="1233">
        <f>27961467/1000</f>
        <v>27961.467000000001</v>
      </c>
      <c r="J68" s="1233">
        <f>I68-H68</f>
        <v>-14495.664175746297</v>
      </c>
      <c r="K68" s="1237">
        <f>I68/$X$40</f>
        <v>2.6172140562854959E-3</v>
      </c>
      <c r="L68" s="1237">
        <f>I68/$X$41</f>
        <v>2.7623796474278072E-3</v>
      </c>
      <c r="M68" s="1237">
        <f>G68*10/Q68</f>
        <v>2.7474601017926695E-3</v>
      </c>
      <c r="N68" s="1225"/>
      <c r="O68" s="1226">
        <f>I68/$Q$8</f>
        <v>2.6172140523659246E-3</v>
      </c>
      <c r="P68" s="1227"/>
      <c r="Q68" s="1228">
        <v>2515996500</v>
      </c>
      <c r="R68" s="1229">
        <v>167727387</v>
      </c>
      <c r="S68" s="1229">
        <f t="shared" si="15"/>
        <v>167727.38699999999</v>
      </c>
      <c r="T68" s="1229">
        <v>142170700</v>
      </c>
      <c r="U68" s="1229">
        <f t="shared" si="9"/>
        <v>142170.70000000001</v>
      </c>
      <c r="W68" s="1218"/>
      <c r="X68" s="1218"/>
    </row>
    <row r="69" spans="1:24" s="1219" customFormat="1" ht="13.8">
      <c r="A69" s="1265"/>
      <c r="B69" s="1220" t="s">
        <v>1040</v>
      </c>
      <c r="C69" s="1197">
        <v>891300</v>
      </c>
      <c r="D69" s="1221">
        <v>0</v>
      </c>
      <c r="E69" s="1221">
        <v>0</v>
      </c>
      <c r="F69" s="1221">
        <v>180700</v>
      </c>
      <c r="G69" s="1197">
        <f>C69+D69+E69-F69</f>
        <v>710600</v>
      </c>
      <c r="H69" s="1233">
        <f>165065212.610793/1000</f>
        <v>165065.21261079301</v>
      </c>
      <c r="I69" s="1233">
        <f>109467930/1000</f>
        <v>109467.93</v>
      </c>
      <c r="J69" s="1233">
        <f>I69-H69</f>
        <v>-55597.282610793016</v>
      </c>
      <c r="K69" s="1237">
        <f>I69/$X$40</f>
        <v>1.0246279464109543E-2</v>
      </c>
      <c r="L69" s="1237">
        <f>I69/$X$41</f>
        <v>1.0814596454401046E-2</v>
      </c>
      <c r="M69" s="1237">
        <f>G69*10/Q69</f>
        <v>5.9269713059855239E-3</v>
      </c>
      <c r="N69" s="1225"/>
      <c r="O69" s="1226">
        <f>I69/$Q$8</f>
        <v>1.0246279448764594E-2</v>
      </c>
      <c r="P69" s="1227"/>
      <c r="Q69" s="1228">
        <v>1198926000</v>
      </c>
      <c r="R69" s="1229">
        <v>366049551</v>
      </c>
      <c r="S69" s="1229">
        <f t="shared" si="15"/>
        <v>366049.55099999998</v>
      </c>
      <c r="T69" s="1229">
        <v>239293626</v>
      </c>
      <c r="U69" s="1229">
        <f t="shared" si="9"/>
        <v>239293.62599999999</v>
      </c>
      <c r="W69" s="1218"/>
      <c r="X69" s="1218"/>
    </row>
    <row r="70" spans="1:24" s="1219" customFormat="1" ht="13.8">
      <c r="A70" s="1209"/>
      <c r="B70" s="1220" t="s">
        <v>1162</v>
      </c>
      <c r="C70" s="1221">
        <v>2781</v>
      </c>
      <c r="D70" s="1221">
        <v>0</v>
      </c>
      <c r="E70" s="1221">
        <v>0</v>
      </c>
      <c r="F70" s="1221">
        <v>2781</v>
      </c>
      <c r="G70" s="1197">
        <f>C70+D70+E70-F70</f>
        <v>0</v>
      </c>
      <c r="H70" s="1258">
        <v>0</v>
      </c>
      <c r="I70" s="1258">
        <v>0</v>
      </c>
      <c r="J70" s="1258">
        <f>I70-H70</f>
        <v>0</v>
      </c>
      <c r="K70" s="1290">
        <v>0</v>
      </c>
      <c r="L70" s="1290">
        <v>0</v>
      </c>
      <c r="M70" s="1290">
        <v>0</v>
      </c>
      <c r="N70" s="1225"/>
      <c r="O70" s="1226">
        <f>I70/$Q$8</f>
        <v>0</v>
      </c>
      <c r="P70" s="1227"/>
      <c r="Q70" s="1228">
        <v>1312212400</v>
      </c>
      <c r="R70" s="1229">
        <v>82669</v>
      </c>
      <c r="S70" s="1229">
        <f t="shared" si="15"/>
        <v>82.668999999999997</v>
      </c>
      <c r="T70" s="1229">
        <v>47110</v>
      </c>
      <c r="U70" s="1229">
        <f t="shared" si="9"/>
        <v>47.11</v>
      </c>
      <c r="V70" s="1216">
        <v>1198926</v>
      </c>
      <c r="W70" s="1218"/>
      <c r="X70" s="1218"/>
    </row>
    <row r="71" spans="1:24" s="1219" customFormat="1" ht="13.8">
      <c r="A71" s="1209"/>
      <c r="B71" s="1220"/>
      <c r="C71" s="1262"/>
      <c r="D71" s="1221"/>
      <c r="E71" s="1221"/>
      <c r="F71" s="1221"/>
      <c r="G71" s="1221"/>
      <c r="H71" s="1221">
        <f>ROUND(SUM(H67:H70),0)</f>
        <v>207522</v>
      </c>
      <c r="I71" s="1197">
        <f>ROUND(SUM(I67:I70),0)</f>
        <v>137429</v>
      </c>
      <c r="J71" s="1197">
        <f>ROUND(SUM(J67:J70),0)</f>
        <v>-70093</v>
      </c>
      <c r="K71" s="1288">
        <f>SUM(K67:K70)</f>
        <v>1.286349352039504E-2</v>
      </c>
      <c r="L71" s="1288">
        <f>SUM(L67:L70)</f>
        <v>1.3576976101828852E-2</v>
      </c>
      <c r="M71" s="1288"/>
      <c r="N71" s="1291"/>
      <c r="O71" s="1226">
        <f>I71/$Q$8</f>
        <v>1.2863456341636033E-2</v>
      </c>
      <c r="P71" s="1227"/>
      <c r="Q71" s="1215"/>
      <c r="R71" s="1200"/>
      <c r="S71" s="1229">
        <f t="shared" si="15"/>
        <v>0</v>
      </c>
      <c r="T71" s="1200"/>
      <c r="U71" s="1229">
        <f t="shared" si="9"/>
        <v>0</v>
      </c>
      <c r="V71" s="1216"/>
      <c r="W71" s="1218"/>
      <c r="X71" s="1218"/>
    </row>
    <row r="72" spans="1:24" s="1219" customFormat="1" ht="13.8">
      <c r="A72" s="1209"/>
      <c r="B72" s="1210" t="s">
        <v>1041</v>
      </c>
      <c r="C72" s="1262"/>
      <c r="D72" s="1221"/>
      <c r="E72" s="1221"/>
      <c r="F72" s="1221"/>
      <c r="G72" s="1221"/>
      <c r="H72" s="1221"/>
      <c r="I72" s="1197"/>
      <c r="J72" s="1197"/>
      <c r="K72" s="1288"/>
      <c r="L72" s="1288"/>
      <c r="M72" s="1288"/>
      <c r="N72" s="1291"/>
      <c r="O72" s="1291"/>
      <c r="P72" s="1291"/>
      <c r="Q72" s="1215"/>
      <c r="R72" s="1200"/>
      <c r="S72" s="1229">
        <f t="shared" si="15"/>
        <v>0</v>
      </c>
      <c r="T72" s="1200"/>
      <c r="U72" s="1229">
        <f t="shared" si="9"/>
        <v>0</v>
      </c>
      <c r="V72" s="1216"/>
      <c r="W72" s="1218"/>
      <c r="X72" s="1218"/>
    </row>
    <row r="73" spans="1:24" s="1219" customFormat="1" ht="13.8">
      <c r="A73" s="1209"/>
      <c r="B73" s="1220" t="s">
        <v>1042</v>
      </c>
      <c r="C73" s="1197">
        <v>1048500</v>
      </c>
      <c r="D73" s="1221">
        <v>845800</v>
      </c>
      <c r="E73" s="1221">
        <v>0</v>
      </c>
      <c r="F73" s="1221">
        <v>634000</v>
      </c>
      <c r="G73" s="1221">
        <f>C73+D73+E73-F73</f>
        <v>1260300</v>
      </c>
      <c r="H73" s="1222">
        <f>397769548.43298/1000</f>
        <v>397769.54843298002</v>
      </c>
      <c r="I73" s="1222">
        <f>366848124/1000</f>
        <v>366848.12400000001</v>
      </c>
      <c r="J73" s="1222">
        <f>I73-H73</f>
        <v>-30921.424432980013</v>
      </c>
      <c r="K73" s="1256">
        <f>I73/$X$40</f>
        <v>3.4337256577230538E-2</v>
      </c>
      <c r="L73" s="1256">
        <f>I73/$X$41</f>
        <v>3.6241796306133459E-2</v>
      </c>
      <c r="M73" s="1257">
        <f>G73*10/Q73</f>
        <v>2.4061410492941895E-3</v>
      </c>
      <c r="N73" s="1293"/>
      <c r="O73" s="1226">
        <f>I73/$Q$8</f>
        <v>3.4337256525806652E-2</v>
      </c>
      <c r="P73" s="1227"/>
      <c r="Q73" s="1228">
        <v>5237847550</v>
      </c>
      <c r="R73" s="1294">
        <v>427317975</v>
      </c>
      <c r="S73" s="1229">
        <f t="shared" si="15"/>
        <v>427317.97499999998</v>
      </c>
      <c r="T73" s="1294">
        <v>422400650</v>
      </c>
      <c r="U73" s="1229">
        <f t="shared" si="9"/>
        <v>422400.65</v>
      </c>
      <c r="V73" s="1219">
        <v>5237847</v>
      </c>
      <c r="W73" s="1217"/>
      <c r="X73" s="1218"/>
    </row>
    <row r="74" spans="1:24" s="1219" customFormat="1" ht="13.8">
      <c r="A74" s="1209"/>
      <c r="B74" s="1220" t="s">
        <v>2432</v>
      </c>
      <c r="C74" s="1221">
        <v>4113000</v>
      </c>
      <c r="D74" s="1221">
        <v>3251000</v>
      </c>
      <c r="E74" s="1221">
        <v>0</v>
      </c>
      <c r="F74" s="1221">
        <v>2767500</v>
      </c>
      <c r="G74" s="1221">
        <f>C74+D74+E74-F74</f>
        <v>4596500</v>
      </c>
      <c r="H74" s="1233">
        <f>347467046.389256/1000</f>
        <v>347467.04638925602</v>
      </c>
      <c r="I74" s="1233">
        <f>317388325/1000</f>
        <v>317388.32500000001</v>
      </c>
      <c r="J74" s="1233">
        <f>I74-H74</f>
        <v>-30078.72138925601</v>
      </c>
      <c r="K74" s="1237">
        <f>I74/$X$40</f>
        <v>2.9707782695768761E-2</v>
      </c>
      <c r="L74" s="1237">
        <f>I74/$X$41</f>
        <v>3.1355545447998213E-2</v>
      </c>
      <c r="M74" s="1318">
        <f>G74*10/Q74</f>
        <v>3.4422992222249787E-3</v>
      </c>
      <c r="N74" s="1225"/>
      <c r="O74" s="1226">
        <f>I74/$Q$8</f>
        <v>2.970778265127803E-2</v>
      </c>
      <c r="P74" s="1227"/>
      <c r="Q74" s="1228">
        <v>13352993750</v>
      </c>
      <c r="R74" s="1229">
        <v>137206504</v>
      </c>
      <c r="S74" s="1229">
        <f t="shared" si="15"/>
        <v>137206.50399999999</v>
      </c>
      <c r="T74" s="1229">
        <v>145902740</v>
      </c>
      <c r="U74" s="1229">
        <f t="shared" si="9"/>
        <v>145902.74</v>
      </c>
      <c r="V74" s="1216">
        <v>13309323</v>
      </c>
      <c r="W74" s="1217"/>
      <c r="X74" s="1218"/>
    </row>
    <row r="75" spans="1:24" s="1219" customFormat="1" ht="13.8">
      <c r="A75" s="1209"/>
      <c r="B75" s="1219" t="s">
        <v>481</v>
      </c>
      <c r="C75" s="1221">
        <v>3777500</v>
      </c>
      <c r="D75" s="1221">
        <v>1694000</v>
      </c>
      <c r="E75" s="1221">
        <v>0</v>
      </c>
      <c r="F75" s="1221">
        <v>4497000</v>
      </c>
      <c r="G75" s="1221">
        <f>C75+D75+E75-F75</f>
        <v>974500</v>
      </c>
      <c r="H75" s="1233">
        <f>89129353.75/1000</f>
        <v>89129.353749999995</v>
      </c>
      <c r="I75" s="1233">
        <f>90482325/1000</f>
        <v>90482.324999999997</v>
      </c>
      <c r="J75" s="1233">
        <f>I75-H75</f>
        <v>1352.9712500000023</v>
      </c>
      <c r="K75" s="1235">
        <f>ROUND(I75/$X$40,2)</f>
        <v>0.01</v>
      </c>
      <c r="L75" s="1235">
        <f>ROUND(I75/$X$41,2)</f>
        <v>0.01</v>
      </c>
      <c r="M75" s="1367">
        <v>0</v>
      </c>
      <c r="N75" s="1293"/>
      <c r="O75" s="1226">
        <f>I75/$Q$8</f>
        <v>8.4692127376843496E-3</v>
      </c>
      <c r="P75" s="1227"/>
      <c r="Q75" s="1228">
        <v>12722381470</v>
      </c>
      <c r="R75" s="1294">
        <v>0</v>
      </c>
      <c r="S75" s="1229">
        <f t="shared" si="15"/>
        <v>0</v>
      </c>
      <c r="T75" s="1294">
        <v>0</v>
      </c>
      <c r="U75" s="1229">
        <f t="shared" si="9"/>
        <v>0</v>
      </c>
      <c r="V75" s="1216">
        <v>21000000</v>
      </c>
      <c r="W75" s="1218"/>
      <c r="X75" s="1218"/>
    </row>
    <row r="76" spans="1:24" s="1219" customFormat="1" ht="13.8">
      <c r="A76" s="1209"/>
      <c r="B76" s="1219" t="s">
        <v>2463</v>
      </c>
      <c r="C76" s="1221">
        <v>0</v>
      </c>
      <c r="D76" s="1221">
        <v>4548500</v>
      </c>
      <c r="E76" s="1221"/>
      <c r="F76" s="1221">
        <v>0</v>
      </c>
      <c r="G76" s="1221">
        <f>C76+D76+E76-F76</f>
        <v>4548500</v>
      </c>
      <c r="H76" s="1239">
        <f>156620774.853/1000</f>
        <v>156620.77485299998</v>
      </c>
      <c r="I76" s="1239">
        <f>165883795/1000</f>
        <v>165883.79500000001</v>
      </c>
      <c r="J76" s="1239">
        <f>I76-H76</f>
        <v>9263.020147000032</v>
      </c>
      <c r="K76" s="1260">
        <f>ROUND(I76/$X$40,2)</f>
        <v>0.02</v>
      </c>
      <c r="L76" s="1260">
        <f>ROUND(I76/$X$41,2)</f>
        <v>0.02</v>
      </c>
      <c r="M76" s="1368">
        <v>0</v>
      </c>
      <c r="N76" s="1293"/>
      <c r="O76" s="1226">
        <f>I76/$Q$8</f>
        <v>1.5526846260741196E-2</v>
      </c>
      <c r="P76" s="1227"/>
      <c r="Q76" s="1228"/>
      <c r="R76" s="1294">
        <v>0</v>
      </c>
      <c r="S76" s="1229">
        <f>R76/1000</f>
        <v>0</v>
      </c>
      <c r="T76" s="1294">
        <v>0</v>
      </c>
      <c r="U76" s="1229">
        <f>T76/1000</f>
        <v>0</v>
      </c>
      <c r="V76" s="1216"/>
      <c r="W76" s="1218"/>
      <c r="X76" s="1218"/>
    </row>
    <row r="77" spans="1:24" s="1219" customFormat="1" ht="13.8">
      <c r="A77" s="1209"/>
      <c r="C77" s="1262"/>
      <c r="D77" s="1221"/>
      <c r="E77" s="1221"/>
      <c r="F77" s="1221"/>
      <c r="G77" s="1221"/>
      <c r="H77" s="1221">
        <f>ROUND(SUM(H73:H76),0)</f>
        <v>990987</v>
      </c>
      <c r="I77" s="1197">
        <f>ROUND(SUM(I73:I76),0)</f>
        <v>940603</v>
      </c>
      <c r="J77" s="1197">
        <f>ROUND(SUM(J73:J76),0)</f>
        <v>-50384</v>
      </c>
      <c r="K77" s="1288">
        <f>SUM(K73:K75)</f>
        <v>7.4045039272999297E-2</v>
      </c>
      <c r="L77" s="1288">
        <f>SUM(L73:L75)</f>
        <v>7.7597341754131674E-2</v>
      </c>
      <c r="M77" s="1288"/>
      <c r="N77" s="1291"/>
      <c r="O77" s="1226">
        <f>I77/$Q$8</f>
        <v>8.8041138517429923E-2</v>
      </c>
      <c r="P77" s="1227"/>
      <c r="Q77" s="1215"/>
      <c r="R77" s="1268"/>
      <c r="S77" s="1229">
        <f t="shared" si="15"/>
        <v>0</v>
      </c>
      <c r="T77" s="1268"/>
      <c r="U77" s="1229">
        <f t="shared" si="9"/>
        <v>0</v>
      </c>
      <c r="V77" s="1216"/>
      <c r="W77" s="1218"/>
      <c r="X77" s="1218"/>
    </row>
    <row r="78" spans="1:24" s="1219" customFormat="1" ht="13.8">
      <c r="A78" s="1209"/>
      <c r="B78" s="1210" t="s">
        <v>2468</v>
      </c>
      <c r="C78" s="1262"/>
      <c r="D78" s="1221"/>
      <c r="E78" s="1221"/>
      <c r="F78" s="1221"/>
      <c r="G78" s="1221"/>
      <c r="H78" s="1221"/>
      <c r="I78" s="1197"/>
      <c r="J78" s="1197"/>
      <c r="K78" s="1288"/>
      <c r="L78" s="1288"/>
      <c r="M78" s="1288"/>
      <c r="N78" s="1291"/>
      <c r="O78" s="1291"/>
      <c r="P78" s="1291"/>
      <c r="Q78" s="1215"/>
      <c r="R78" s="1200"/>
      <c r="S78" s="1229">
        <f>R78/1000</f>
        <v>0</v>
      </c>
      <c r="T78" s="1200"/>
      <c r="U78" s="1229">
        <f>T78/1000</f>
        <v>0</v>
      </c>
      <c r="V78" s="1216"/>
      <c r="W78" s="1218"/>
      <c r="X78" s="1218"/>
    </row>
    <row r="79" spans="1:24" s="1219" customFormat="1" ht="13.8">
      <c r="A79" s="1209"/>
      <c r="B79" s="1220" t="s">
        <v>2467</v>
      </c>
      <c r="C79" s="1197">
        <v>0</v>
      </c>
      <c r="D79" s="1221">
        <v>23455</v>
      </c>
      <c r="E79" s="1221">
        <v>0</v>
      </c>
      <c r="F79" s="1221">
        <v>0</v>
      </c>
      <c r="G79" s="1221">
        <f>C79+D79+E79-F79</f>
        <v>23455</v>
      </c>
      <c r="H79" s="1222">
        <f>643973.752/1000</f>
        <v>643.97375199999999</v>
      </c>
      <c r="I79" s="1222">
        <f>561278.15/1000</f>
        <v>561.27814999999998</v>
      </c>
      <c r="J79" s="1222">
        <f>I79-H79</f>
        <v>-82.695602000000008</v>
      </c>
      <c r="K79" s="1256">
        <f>I79/$X$40</f>
        <v>5.2536051261756721E-5</v>
      </c>
      <c r="L79" s="1256">
        <f>I79/$X$41</f>
        <v>5.5449999748079451E-5</v>
      </c>
      <c r="M79" s="1257">
        <f>G79*10/Q79</f>
        <v>4.4779844728394207E-5</v>
      </c>
      <c r="N79" s="1293"/>
      <c r="O79" s="1226">
        <f>I79/$Q$8</f>
        <v>5.25360511830781E-5</v>
      </c>
      <c r="P79" s="1227"/>
      <c r="Q79" s="1228">
        <v>5237847550</v>
      </c>
      <c r="R79" s="1294">
        <v>427317975</v>
      </c>
      <c r="S79" s="1229">
        <f>R79/1000</f>
        <v>427317.97499999998</v>
      </c>
      <c r="T79" s="1294">
        <v>422400650</v>
      </c>
      <c r="U79" s="1229">
        <f>T79/1000</f>
        <v>422400.65</v>
      </c>
      <c r="V79" s="1219">
        <v>5237847</v>
      </c>
      <c r="W79" s="1218"/>
      <c r="X79" s="1218"/>
    </row>
    <row r="80" spans="1:24" s="1219" customFormat="1" ht="13.8">
      <c r="A80" s="1209"/>
      <c r="B80" s="1220" t="s">
        <v>2204</v>
      </c>
      <c r="C80" s="1221">
        <v>205000</v>
      </c>
      <c r="D80" s="1221">
        <v>41000</v>
      </c>
      <c r="E80" s="1221">
        <v>0</v>
      </c>
      <c r="F80" s="1221">
        <v>0</v>
      </c>
      <c r="G80" s="1221">
        <f>C80+D80+E80-F80</f>
        <v>246000</v>
      </c>
      <c r="H80" s="1233">
        <f>58425000/1000</f>
        <v>58425</v>
      </c>
      <c r="I80" s="1233">
        <f>48093000/1000</f>
        <v>48093</v>
      </c>
      <c r="J80" s="1233">
        <f>I80-H80</f>
        <v>-10332</v>
      </c>
      <c r="K80" s="1237">
        <f>I80/$X$40</f>
        <v>4.5015404810104685E-3</v>
      </c>
      <c r="L80" s="1237">
        <f>I80/$X$41</f>
        <v>4.7512215429807575E-3</v>
      </c>
      <c r="M80" s="1318">
        <f>G80*10/Q80</f>
        <v>1.8422834954146517E-4</v>
      </c>
      <c r="N80" s="1225"/>
      <c r="O80" s="1226">
        <f>I80/$Q$8</f>
        <v>4.5015404742689081E-3</v>
      </c>
      <c r="P80" s="1227"/>
      <c r="Q80" s="1228">
        <v>13352993750</v>
      </c>
      <c r="R80" s="1229">
        <v>137206504</v>
      </c>
      <c r="S80" s="1229">
        <f>R80/1000</f>
        <v>137206.50399999999</v>
      </c>
      <c r="T80" s="1229">
        <v>145902740</v>
      </c>
      <c r="U80" s="1229">
        <f>T80/1000</f>
        <v>145902.74</v>
      </c>
      <c r="V80" s="1216">
        <v>13309323</v>
      </c>
      <c r="W80" s="1218"/>
      <c r="X80" s="1218"/>
    </row>
    <row r="81" spans="1:24" s="1219" customFormat="1" ht="13.8">
      <c r="A81" s="1209"/>
      <c r="B81" s="1219" t="s">
        <v>2198</v>
      </c>
      <c r="C81" s="1221">
        <v>3033</v>
      </c>
      <c r="D81" s="1221"/>
      <c r="E81" s="1221">
        <v>0</v>
      </c>
      <c r="F81" s="1221">
        <v>0</v>
      </c>
      <c r="G81" s="1221">
        <f>C81+D81+E81-F81</f>
        <v>3033</v>
      </c>
      <c r="H81" s="1239">
        <f>34879997.412/1000</f>
        <v>34879.997411999997</v>
      </c>
      <c r="I81" s="1239">
        <f>27297000/1000</f>
        <v>27297</v>
      </c>
      <c r="J81" s="1239">
        <f>I81-H81</f>
        <v>-7582.997411999997</v>
      </c>
      <c r="K81" s="1260">
        <f>ROUND(I81/$X$40,2)</f>
        <v>0</v>
      </c>
      <c r="L81" s="1260">
        <f>ROUND(I81/$X$41,2)</f>
        <v>0</v>
      </c>
      <c r="M81" s="1368">
        <v>0</v>
      </c>
      <c r="N81" s="1293"/>
      <c r="O81" s="1226">
        <f>I81/$Q$8</f>
        <v>2.5550194482797575E-3</v>
      </c>
      <c r="P81" s="1227"/>
      <c r="Q81" s="1228">
        <v>12722381470</v>
      </c>
      <c r="R81" s="1294">
        <v>0</v>
      </c>
      <c r="S81" s="1229">
        <f>R81/1000</f>
        <v>0</v>
      </c>
      <c r="T81" s="1294">
        <v>0</v>
      </c>
      <c r="U81" s="1229">
        <f>T81/1000</f>
        <v>0</v>
      </c>
      <c r="V81" s="1216">
        <v>21000000</v>
      </c>
      <c r="W81" s="1218"/>
      <c r="X81" s="1218"/>
    </row>
    <row r="82" spans="1:24" s="1219" customFormat="1" ht="13.8">
      <c r="A82" s="1209"/>
      <c r="C82" s="1262"/>
      <c r="D82" s="1221"/>
      <c r="E82" s="1221"/>
      <c r="F82" s="1221"/>
      <c r="G82" s="1221"/>
      <c r="H82" s="1221">
        <f t="shared" ref="H82:M82" si="17">SUM(H79:H81)</f>
        <v>93948.971163999988</v>
      </c>
      <c r="I82" s="1221">
        <f t="shared" si="17"/>
        <v>75951.278149999998</v>
      </c>
      <c r="J82" s="1221">
        <f t="shared" si="17"/>
        <v>-17997.693013999997</v>
      </c>
      <c r="K82" s="1221">
        <f t="shared" si="17"/>
        <v>4.5540765322722252E-3</v>
      </c>
      <c r="L82" s="1221">
        <f t="shared" si="17"/>
        <v>4.8066715427288369E-3</v>
      </c>
      <c r="M82" s="1221">
        <f t="shared" si="17"/>
        <v>2.2900819426985937E-4</v>
      </c>
      <c r="N82" s="1291"/>
      <c r="O82" s="1226"/>
      <c r="P82" s="1227"/>
      <c r="Q82" s="1215"/>
      <c r="R82" s="1268"/>
      <c r="S82" s="1229"/>
      <c r="T82" s="1268"/>
      <c r="U82" s="1229"/>
      <c r="V82" s="1216"/>
      <c r="W82" s="1218"/>
      <c r="X82" s="1218"/>
    </row>
    <row r="83" spans="1:24" s="1219" customFormat="1" ht="13.8">
      <c r="A83" s="1209"/>
      <c r="B83" s="1210" t="s">
        <v>1065</v>
      </c>
      <c r="C83" s="1262"/>
      <c r="D83" s="1221"/>
      <c r="E83" s="1221"/>
      <c r="F83" s="1221"/>
      <c r="G83" s="1221"/>
      <c r="H83" s="1221"/>
      <c r="I83" s="1197"/>
      <c r="J83" s="1197"/>
      <c r="K83" s="1288"/>
      <c r="L83" s="1288"/>
      <c r="M83" s="1288"/>
      <c r="N83" s="1291"/>
      <c r="O83" s="1291"/>
      <c r="P83" s="1291"/>
      <c r="Q83" s="1215"/>
      <c r="R83" s="1200"/>
      <c r="S83" s="1229">
        <f t="shared" si="15"/>
        <v>0</v>
      </c>
      <c r="T83" s="1200"/>
      <c r="U83" s="1229">
        <f t="shared" si="9"/>
        <v>0</v>
      </c>
      <c r="V83" s="1216"/>
      <c r="W83" s="1218"/>
      <c r="X83" s="1218"/>
    </row>
    <row r="84" spans="1:24" s="1219" customFormat="1" ht="13.8">
      <c r="A84" s="1209"/>
      <c r="B84" s="1220" t="s">
        <v>2242</v>
      </c>
      <c r="C84" s="1197">
        <v>403400</v>
      </c>
      <c r="D84" s="1221">
        <v>0</v>
      </c>
      <c r="E84" s="1221">
        <v>0</v>
      </c>
      <c r="F84" s="1221">
        <v>159200</v>
      </c>
      <c r="G84" s="1221">
        <f>C84+D84+E84-F84</f>
        <v>244200</v>
      </c>
      <c r="H84" s="1297">
        <f>26168263.7580565/1000</f>
        <v>26168.263758056499</v>
      </c>
      <c r="I84" s="1297">
        <f>21291798/1000</f>
        <v>21291.797999999999</v>
      </c>
      <c r="J84" s="1297">
        <f>I84-H84</f>
        <v>-4876.4657580564999</v>
      </c>
      <c r="K84" s="1251">
        <f>I84/$X$40</f>
        <v>1.9929280895452091E-3</v>
      </c>
      <c r="L84" s="1251">
        <f>I84/$X$41</f>
        <v>2.103467226964311E-3</v>
      </c>
      <c r="M84" s="1298">
        <f>G84*10/Q84</f>
        <v>3.3243486073674753E-3</v>
      </c>
      <c r="N84" s="1293"/>
      <c r="O84" s="1226">
        <f>I84/$Q$8</f>
        <v>1.9929280865605761E-3</v>
      </c>
      <c r="P84" s="1227"/>
      <c r="Q84" s="1228">
        <v>734580000</v>
      </c>
      <c r="R84" s="1294">
        <v>74641164</v>
      </c>
      <c r="S84" s="1229">
        <f t="shared" si="15"/>
        <v>74641.164000000004</v>
      </c>
      <c r="T84" s="1294">
        <v>64013761</v>
      </c>
      <c r="U84" s="1229">
        <f t="shared" si="9"/>
        <v>64013.760999999999</v>
      </c>
      <c r="V84" s="1216"/>
      <c r="W84" s="1218"/>
      <c r="X84" s="1218"/>
    </row>
    <row r="85" spans="1:24" s="1219" customFormat="1" ht="13.8">
      <c r="A85" s="1209"/>
      <c r="C85" s="1262"/>
      <c r="D85" s="1221"/>
      <c r="E85" s="1221"/>
      <c r="F85" s="1221"/>
      <c r="G85" s="1221"/>
      <c r="H85" s="1221">
        <f>SUM(H84)</f>
        <v>26168.263758056499</v>
      </c>
      <c r="I85" s="1221">
        <f>SUM(I84:I84)</f>
        <v>21291.797999999999</v>
      </c>
      <c r="J85" s="1221">
        <f>ROUND(SUM(J84:J84),0)</f>
        <v>-4876</v>
      </c>
      <c r="K85" s="1226">
        <f>SUM(K84:K84)</f>
        <v>1.9929280895452091E-3</v>
      </c>
      <c r="L85" s="1226">
        <f>SUM(L84:L84)</f>
        <v>2.103467226964311E-3</v>
      </c>
      <c r="M85" s="1288"/>
      <c r="N85" s="1291"/>
      <c r="O85" s="1226">
        <f>I85/$Q$8</f>
        <v>1.9929280865605761E-3</v>
      </c>
      <c r="P85" s="1227"/>
      <c r="Q85" s="1215"/>
      <c r="R85" s="1268"/>
      <c r="S85" s="1229"/>
      <c r="T85" s="1268"/>
      <c r="U85" s="1229"/>
      <c r="V85" s="1216"/>
      <c r="W85" s="1218"/>
      <c r="X85" s="1218"/>
    </row>
    <row r="86" spans="1:24" s="1219" customFormat="1" ht="13.8">
      <c r="A86" s="1209"/>
      <c r="B86" s="1210" t="s">
        <v>1043</v>
      </c>
      <c r="C86" s="1221"/>
      <c r="D86" s="1197"/>
      <c r="E86" s="1262"/>
      <c r="F86" s="1262"/>
      <c r="G86" s="1221"/>
      <c r="H86" s="1221"/>
      <c r="I86" s="1221"/>
      <c r="J86" s="1221"/>
      <c r="K86" s="1226"/>
      <c r="L86" s="1226"/>
      <c r="M86" s="1299"/>
      <c r="N86" s="1300"/>
      <c r="O86" s="1300"/>
      <c r="P86" s="1300"/>
      <c r="Q86" s="1205"/>
      <c r="R86" s="1301"/>
      <c r="S86" s="1229">
        <f t="shared" ref="S86:S117" si="18">R86/1000</f>
        <v>0</v>
      </c>
      <c r="T86" s="1301"/>
      <c r="U86" s="1229">
        <f t="shared" ref="U86:U117" si="19">T86/1000</f>
        <v>0</v>
      </c>
      <c r="V86" s="1302"/>
      <c r="X86" s="1218"/>
    </row>
    <row r="87" spans="1:24" s="1219" customFormat="1" ht="13.8">
      <c r="A87" s="1209"/>
      <c r="B87" s="1220" t="s">
        <v>1164</v>
      </c>
      <c r="C87" s="1221">
        <v>2157000</v>
      </c>
      <c r="D87" s="1197">
        <v>0</v>
      </c>
      <c r="E87" s="1262">
        <v>0</v>
      </c>
      <c r="F87" s="1221">
        <v>0</v>
      </c>
      <c r="G87" s="1221">
        <f>C87+D87+E87-F87</f>
        <v>2157000</v>
      </c>
      <c r="H87" s="1292">
        <f>70922000/1000</f>
        <v>70922</v>
      </c>
      <c r="I87" s="1303">
        <f>74847900/1000</f>
        <v>74847.899999999994</v>
      </c>
      <c r="J87" s="1303">
        <f>I87-H87</f>
        <v>3925.8999999999942</v>
      </c>
      <c r="K87" s="1256">
        <f>I87/$X$40</f>
        <v>7.0058189709234905E-3</v>
      </c>
      <c r="L87" s="1257">
        <f>I87/$X$41</f>
        <v>7.39440157459234E-3</v>
      </c>
      <c r="M87" s="1304">
        <f>G87*10/Q87</f>
        <v>7.1900000000000002E-3</v>
      </c>
      <c r="N87" s="1293"/>
      <c r="O87" s="1226">
        <f>I87/$Q$8</f>
        <v>7.0058189604314926E-3</v>
      </c>
      <c r="P87" s="1227"/>
      <c r="Q87" s="1228">
        <v>3000000000</v>
      </c>
      <c r="R87" s="1305">
        <v>108891460</v>
      </c>
      <c r="S87" s="1229">
        <f t="shared" si="18"/>
        <v>108891.46</v>
      </c>
      <c r="T87" s="1305">
        <v>96719185</v>
      </c>
      <c r="U87" s="1229">
        <f t="shared" si="19"/>
        <v>96719.184999999998</v>
      </c>
      <c r="V87" s="1302"/>
      <c r="X87" s="1218"/>
    </row>
    <row r="88" spans="1:24" s="1219" customFormat="1" ht="13.8">
      <c r="A88" s="1265" t="s">
        <v>1103</v>
      </c>
      <c r="B88" s="1284" t="s">
        <v>2423</v>
      </c>
      <c r="C88" s="1221">
        <v>809500</v>
      </c>
      <c r="D88" s="1221">
        <v>0</v>
      </c>
      <c r="E88" s="1221">
        <v>0</v>
      </c>
      <c r="F88" s="1221">
        <v>809500</v>
      </c>
      <c r="G88" s="1221">
        <f>C88+D88+E88-F88</f>
        <v>0</v>
      </c>
      <c r="H88" s="1296">
        <v>0</v>
      </c>
      <c r="I88" s="1306">
        <v>0</v>
      </c>
      <c r="J88" s="1306">
        <f>I88-H88</f>
        <v>0</v>
      </c>
      <c r="K88" s="1241">
        <f>I88/$X$40</f>
        <v>0</v>
      </c>
      <c r="L88" s="1277">
        <f>I88/$X$41</f>
        <v>0</v>
      </c>
      <c r="M88" s="1307">
        <f>G88*10/Q88</f>
        <v>0</v>
      </c>
      <c r="N88" s="1293"/>
      <c r="O88" s="1226">
        <f>I88/$Q$8</f>
        <v>0</v>
      </c>
      <c r="P88" s="1227"/>
      <c r="Q88" s="1228">
        <v>3500000000</v>
      </c>
      <c r="R88" s="1308">
        <v>110340860</v>
      </c>
      <c r="S88" s="1229">
        <f t="shared" si="18"/>
        <v>110340.86</v>
      </c>
      <c r="T88" s="1308">
        <v>84009505</v>
      </c>
      <c r="U88" s="1229">
        <f t="shared" si="19"/>
        <v>84009.505000000005</v>
      </c>
      <c r="V88" s="1309"/>
      <c r="W88" s="1218"/>
      <c r="X88" s="1218"/>
    </row>
    <row r="89" spans="1:24" s="1219" customFormat="1" ht="13.8">
      <c r="A89" s="1209"/>
      <c r="B89" s="1310"/>
      <c r="C89" s="1197"/>
      <c r="D89" s="1197"/>
      <c r="E89" s="1197"/>
      <c r="F89" s="1197"/>
      <c r="G89" s="1197"/>
      <c r="H89" s="1197">
        <f>ROUND(SUM(H87:H88),0)</f>
        <v>70922</v>
      </c>
      <c r="I89" s="1197">
        <f>SUM(I87:I88)</f>
        <v>74847.899999999994</v>
      </c>
      <c r="J89" s="1197">
        <f>ROUND(SUM(J87:J88),0)</f>
        <v>3926</v>
      </c>
      <c r="K89" s="1288">
        <f>SUM(K87:K88)</f>
        <v>7.0058189709234905E-3</v>
      </c>
      <c r="L89" s="1288">
        <f>SUM(L87:L88)</f>
        <v>7.39440157459234E-3</v>
      </c>
      <c r="M89" s="1226"/>
      <c r="N89" s="1225"/>
      <c r="O89" s="1226">
        <f>I89/$Q$8</f>
        <v>7.0058189604314926E-3</v>
      </c>
      <c r="P89" s="1227"/>
      <c r="Q89" s="1228"/>
      <c r="R89" s="1238"/>
      <c r="S89" s="1229">
        <f t="shared" si="18"/>
        <v>0</v>
      </c>
      <c r="T89" s="1238"/>
      <c r="U89" s="1229">
        <f t="shared" si="19"/>
        <v>0</v>
      </c>
      <c r="V89" s="1302"/>
      <c r="X89" s="1218"/>
    </row>
    <row r="90" spans="1:24" s="1219" customFormat="1" ht="12.75" hidden="1" customHeight="1">
      <c r="A90" s="1209"/>
      <c r="B90" s="1279" t="s">
        <v>1044</v>
      </c>
      <c r="C90" s="1197"/>
      <c r="D90" s="1221"/>
      <c r="E90" s="1221"/>
      <c r="F90" s="1221"/>
      <c r="G90" s="1221"/>
      <c r="H90" s="1221"/>
      <c r="I90" s="1221"/>
      <c r="J90" s="1221"/>
      <c r="K90" s="1275"/>
      <c r="L90" s="1276"/>
      <c r="M90" s="1225"/>
      <c r="N90" s="1225"/>
      <c r="O90" s="1225"/>
      <c r="P90" s="1225"/>
      <c r="Q90" s="1228"/>
      <c r="R90" s="1238"/>
      <c r="S90" s="1229">
        <f t="shared" si="18"/>
        <v>0</v>
      </c>
      <c r="T90" s="1238"/>
      <c r="U90" s="1229">
        <f t="shared" si="19"/>
        <v>0</v>
      </c>
      <c r="V90" s="1309"/>
      <c r="W90" s="1217"/>
      <c r="X90" s="1218"/>
    </row>
    <row r="91" spans="1:24" s="1219" customFormat="1" ht="12.75" hidden="1" customHeight="1">
      <c r="A91" s="1265" t="s">
        <v>1103</v>
      </c>
      <c r="B91" s="1311" t="s">
        <v>2424</v>
      </c>
      <c r="C91" s="1221">
        <v>0</v>
      </c>
      <c r="D91" s="1221">
        <v>0</v>
      </c>
      <c r="E91" s="1221">
        <v>0</v>
      </c>
      <c r="F91" s="1221">
        <v>0</v>
      </c>
      <c r="G91" s="1197">
        <f>C91+D91+E91-F91</f>
        <v>0</v>
      </c>
      <c r="H91" s="1248">
        <v>0</v>
      </c>
      <c r="I91" s="1248">
        <v>0</v>
      </c>
      <c r="J91" s="1248">
        <f>I91-H91</f>
        <v>0</v>
      </c>
      <c r="K91" s="1312">
        <f>ROUND(I91/$X$40,2)</f>
        <v>0</v>
      </c>
      <c r="L91" s="1312">
        <f>ROUND(I91/$X$41,2)</f>
        <v>0</v>
      </c>
      <c r="M91" s="1313" t="e">
        <f>G91*10/Q91</f>
        <v>#DIV/0!</v>
      </c>
      <c r="N91" s="1225"/>
      <c r="O91" s="1227">
        <f>I91/$Q$8</f>
        <v>0</v>
      </c>
      <c r="P91" s="1227"/>
      <c r="Q91" s="1228">
        <v>0</v>
      </c>
      <c r="R91" s="1229"/>
      <c r="S91" s="1229">
        <f t="shared" si="18"/>
        <v>0</v>
      </c>
      <c r="T91" s="1229"/>
      <c r="U91" s="1229">
        <f t="shared" si="19"/>
        <v>0</v>
      </c>
      <c r="V91" s="1230"/>
      <c r="W91" s="1216"/>
      <c r="X91" s="1218"/>
    </row>
    <row r="92" spans="1:24" s="1219" customFormat="1" ht="12.75" hidden="1" customHeight="1">
      <c r="A92" s="1209"/>
      <c r="B92" s="1310"/>
      <c r="C92" s="1197"/>
      <c r="D92" s="1221"/>
      <c r="E92" s="1221"/>
      <c r="F92" s="1221"/>
      <c r="G92" s="1221"/>
      <c r="H92" s="1221">
        <f>SUM(H91)</f>
        <v>0</v>
      </c>
      <c r="I92" s="1221">
        <f>SUM(I91:I91)</f>
        <v>0</v>
      </c>
      <c r="J92" s="1221">
        <f>SUM(J91:J91)</f>
        <v>0</v>
      </c>
      <c r="K92" s="1238">
        <f>SUM(K91:K91)</f>
        <v>0</v>
      </c>
      <c r="L92" s="1238">
        <f>SUM(L91:L91)</f>
        <v>0</v>
      </c>
      <c r="M92" s="1226"/>
      <c r="N92" s="1225"/>
      <c r="O92" s="1227">
        <f>I92/$Q$8</f>
        <v>0</v>
      </c>
      <c r="P92" s="1227"/>
      <c r="Q92" s="1228"/>
      <c r="R92" s="1238"/>
      <c r="S92" s="1229">
        <f t="shared" si="18"/>
        <v>0</v>
      </c>
      <c r="T92" s="1238"/>
      <c r="U92" s="1229">
        <f t="shared" si="19"/>
        <v>0</v>
      </c>
      <c r="V92" s="1309"/>
      <c r="W92" s="1217"/>
      <c r="X92" s="1218"/>
    </row>
    <row r="93" spans="1:24" s="1219" customFormat="1" ht="13.8">
      <c r="A93" s="1209"/>
      <c r="B93" s="1314" t="s">
        <v>1045</v>
      </c>
      <c r="C93" s="1197"/>
      <c r="D93" s="1221"/>
      <c r="E93" s="1221"/>
      <c r="F93" s="1221"/>
      <c r="G93" s="1221"/>
      <c r="H93" s="1221"/>
      <c r="I93" s="1221"/>
      <c r="J93" s="1221"/>
      <c r="K93" s="1226"/>
      <c r="L93" s="1226"/>
      <c r="M93" s="1226"/>
      <c r="N93" s="1225"/>
      <c r="O93" s="1225"/>
      <c r="P93" s="1225"/>
      <c r="Q93" s="1228"/>
      <c r="R93" s="1238"/>
      <c r="S93" s="1229">
        <f t="shared" si="18"/>
        <v>0</v>
      </c>
      <c r="T93" s="1238"/>
      <c r="U93" s="1229">
        <f t="shared" si="19"/>
        <v>0</v>
      </c>
      <c r="V93" s="1309"/>
      <c r="W93" s="1216"/>
      <c r="X93" s="1218"/>
    </row>
    <row r="94" spans="1:24" s="1219" customFormat="1" ht="13.8">
      <c r="A94" s="1209"/>
      <c r="B94" s="1220" t="s">
        <v>648</v>
      </c>
      <c r="C94" s="1221">
        <v>40700</v>
      </c>
      <c r="D94" s="1197">
        <v>0</v>
      </c>
      <c r="E94" s="1197">
        <v>0</v>
      </c>
      <c r="F94" s="1197">
        <v>0</v>
      </c>
      <c r="G94" s="1197">
        <f>C94+D94+E94-F94</f>
        <v>40700</v>
      </c>
      <c r="H94" s="1248">
        <f>31948000/1000</f>
        <v>31948</v>
      </c>
      <c r="I94" s="1248">
        <f>29513198/1000</f>
        <v>29513.198</v>
      </c>
      <c r="J94" s="1248">
        <f>I94-H94</f>
        <v>-2434.8019999999997</v>
      </c>
      <c r="K94" s="1312">
        <f>ROUND(I94/$X$40,2)</f>
        <v>0</v>
      </c>
      <c r="L94" s="1312">
        <f>ROUND(I94/$X$41,2)</f>
        <v>0</v>
      </c>
      <c r="M94" s="1313">
        <v>0</v>
      </c>
      <c r="N94" s="1225"/>
      <c r="O94" s="1227">
        <f>I94/$Q$8</f>
        <v>2.7624572250038921E-3</v>
      </c>
      <c r="P94" s="1227"/>
      <c r="Q94" s="1228">
        <v>120288000</v>
      </c>
      <c r="R94" s="1229">
        <v>56125300</v>
      </c>
      <c r="S94" s="1229">
        <f t="shared" si="18"/>
        <v>56125.3</v>
      </c>
      <c r="T94" s="1229">
        <v>30525000</v>
      </c>
      <c r="U94" s="1229">
        <f t="shared" si="19"/>
        <v>30525</v>
      </c>
      <c r="V94" s="1230">
        <v>120288</v>
      </c>
      <c r="X94" s="1218"/>
    </row>
    <row r="95" spans="1:24" s="1219" customFormat="1" ht="13.8">
      <c r="A95" s="1209"/>
      <c r="B95" s="1310"/>
      <c r="C95" s="1197"/>
      <c r="D95" s="1221"/>
      <c r="E95" s="1221"/>
      <c r="F95" s="1221"/>
      <c r="G95" s="1221"/>
      <c r="H95" s="1221">
        <f>ROUND(SUM(H94),0)</f>
        <v>31948</v>
      </c>
      <c r="I95" s="1221">
        <f>SUM(I94:I94)</f>
        <v>29513.198</v>
      </c>
      <c r="J95" s="1221">
        <f>ROUND(SUM(J94:J94),0)</f>
        <v>-2435</v>
      </c>
      <c r="K95" s="1238">
        <f>SUM(K94:K94)</f>
        <v>0</v>
      </c>
      <c r="L95" s="1238">
        <f>SUM(L94:L94)</f>
        <v>0</v>
      </c>
      <c r="M95" s="1226"/>
      <c r="N95" s="1225"/>
      <c r="O95" s="1227">
        <f>I95/$Q$8</f>
        <v>2.7624572250038921E-3</v>
      </c>
      <c r="P95" s="1227"/>
      <c r="Q95" s="1228"/>
      <c r="R95" s="1238"/>
      <c r="S95" s="1229">
        <f t="shared" si="18"/>
        <v>0</v>
      </c>
      <c r="T95" s="1238"/>
      <c r="U95" s="1229">
        <f t="shared" si="19"/>
        <v>0</v>
      </c>
      <c r="V95" s="1309"/>
      <c r="W95" s="1217"/>
      <c r="X95" s="1218"/>
    </row>
    <row r="96" spans="1:24" s="1219" customFormat="1" ht="13.8">
      <c r="A96" s="1209"/>
      <c r="B96" s="1315" t="s">
        <v>1061</v>
      </c>
      <c r="C96" s="1197"/>
      <c r="D96" s="1197"/>
      <c r="E96" s="1197"/>
      <c r="F96" s="1197"/>
      <c r="G96" s="1197"/>
      <c r="H96" s="1197"/>
      <c r="I96" s="1197"/>
      <c r="J96" s="1197"/>
      <c r="K96" s="1246"/>
      <c r="L96" s="1246"/>
      <c r="M96" s="1226"/>
      <c r="N96" s="1225"/>
      <c r="O96" s="1225"/>
      <c r="P96" s="1225"/>
      <c r="Q96" s="1228"/>
      <c r="R96" s="1238"/>
      <c r="S96" s="1229">
        <f t="shared" si="18"/>
        <v>0</v>
      </c>
      <c r="T96" s="1238"/>
      <c r="U96" s="1229">
        <f t="shared" si="19"/>
        <v>0</v>
      </c>
      <c r="V96" s="1309"/>
      <c r="W96" s="1217"/>
      <c r="X96" s="1218"/>
    </row>
    <row r="97" spans="1:24" s="1219" customFormat="1" ht="13.8">
      <c r="A97" s="1265" t="s">
        <v>1103</v>
      </c>
      <c r="B97" s="1219" t="s">
        <v>2425</v>
      </c>
      <c r="C97" s="1197">
        <v>1678500</v>
      </c>
      <c r="D97" s="1197">
        <v>0</v>
      </c>
      <c r="E97" s="1197">
        <v>0</v>
      </c>
      <c r="F97" s="1197">
        <v>0</v>
      </c>
      <c r="G97" s="1197">
        <f>C97+D97+E97-F97</f>
        <v>1678500</v>
      </c>
      <c r="H97" s="1248">
        <f>85771000/1000</f>
        <v>85771</v>
      </c>
      <c r="I97" s="1248">
        <f>56078685/1000</f>
        <v>56078.684999999998</v>
      </c>
      <c r="J97" s="1248">
        <f>I97-H97</f>
        <v>-29692.315000000002</v>
      </c>
      <c r="K97" s="1316">
        <f>I97/$X$40</f>
        <v>5.2490065217252937E-3</v>
      </c>
      <c r="L97" s="1316">
        <f>I97/$X$41</f>
        <v>5.5401463055752779E-3</v>
      </c>
      <c r="M97" s="1251">
        <f>G97*10/Q97</f>
        <v>1.9727331492037373E-2</v>
      </c>
      <c r="N97" s="1225"/>
      <c r="O97" s="1226">
        <f>I97/$Q$8</f>
        <v>5.2490065138643188E-3</v>
      </c>
      <c r="P97" s="1227"/>
      <c r="Q97" s="1228">
        <v>850850000</v>
      </c>
      <c r="R97" s="1229">
        <v>105968915</v>
      </c>
      <c r="S97" s="1229">
        <f t="shared" si="18"/>
        <v>105968.91499999999</v>
      </c>
      <c r="T97" s="1229">
        <v>101448540</v>
      </c>
      <c r="U97" s="1229">
        <f t="shared" si="19"/>
        <v>101448.54</v>
      </c>
      <c r="V97" s="1309">
        <v>2080000</v>
      </c>
      <c r="W97" s="1217"/>
      <c r="X97" s="1218"/>
    </row>
    <row r="98" spans="1:24" s="1219" customFormat="1" ht="13.8">
      <c r="A98" s="1209"/>
      <c r="C98" s="1197"/>
      <c r="D98" s="1197"/>
      <c r="E98" s="1197"/>
      <c r="F98" s="1197"/>
      <c r="G98" s="1197"/>
      <c r="H98" s="1197">
        <f>SUM(H97)</f>
        <v>85771</v>
      </c>
      <c r="I98" s="1197">
        <f>SUM(I97)</f>
        <v>56078.684999999998</v>
      </c>
      <c r="J98" s="1197">
        <f>ROUND(SUM(J97),0)</f>
        <v>-29692</v>
      </c>
      <c r="K98" s="1246">
        <f>SUM(K97)</f>
        <v>5.2490065217252937E-3</v>
      </c>
      <c r="L98" s="1246">
        <f>SUM(L97)</f>
        <v>5.5401463055752779E-3</v>
      </c>
      <c r="M98" s="1226"/>
      <c r="N98" s="1225"/>
      <c r="O98" s="1226">
        <f>I98/$Q$8</f>
        <v>5.2490065138643188E-3</v>
      </c>
      <c r="P98" s="1227"/>
      <c r="Q98" s="1228"/>
      <c r="R98" s="1238"/>
      <c r="S98" s="1229">
        <f t="shared" si="18"/>
        <v>0</v>
      </c>
      <c r="T98" s="1238"/>
      <c r="U98" s="1229">
        <f t="shared" si="19"/>
        <v>0</v>
      </c>
      <c r="V98" s="1309"/>
      <c r="W98" s="1217"/>
      <c r="X98" s="1218"/>
    </row>
    <row r="99" spans="1:24" s="1219" customFormat="1" ht="13.8">
      <c r="A99" s="1209"/>
      <c r="B99" s="1279" t="s">
        <v>1046</v>
      </c>
      <c r="C99" s="1197"/>
      <c r="D99" s="1221"/>
      <c r="E99" s="1221"/>
      <c r="F99" s="1221"/>
      <c r="G99" s="1221"/>
      <c r="H99" s="1221"/>
      <c r="I99" s="1221"/>
      <c r="J99" s="1221"/>
      <c r="K99" s="1226"/>
      <c r="L99" s="1226"/>
      <c r="M99" s="1226"/>
      <c r="N99" s="1225"/>
      <c r="O99" s="1225"/>
      <c r="P99" s="1225"/>
      <c r="Q99" s="1228"/>
      <c r="R99" s="1238"/>
      <c r="S99" s="1229">
        <f t="shared" si="18"/>
        <v>0</v>
      </c>
      <c r="T99" s="1238"/>
      <c r="U99" s="1229">
        <f t="shared" si="19"/>
        <v>0</v>
      </c>
      <c r="V99" s="1309"/>
      <c r="W99" s="1217"/>
      <c r="X99" s="1218"/>
    </row>
    <row r="100" spans="1:24" s="1219" customFormat="1" ht="13.8">
      <c r="A100" s="1209"/>
      <c r="B100" s="1232" t="s">
        <v>1047</v>
      </c>
      <c r="C100" s="1197">
        <v>280</v>
      </c>
      <c r="D100" s="1221">
        <v>21595</v>
      </c>
      <c r="E100" s="1221">
        <v>215670</v>
      </c>
      <c r="F100" s="1221">
        <v>75000</v>
      </c>
      <c r="G100" s="1197">
        <f>C100+D100+E100-F100</f>
        <v>162545</v>
      </c>
      <c r="H100" s="1254">
        <f>222565664.570195/1000</f>
        <v>222565.66457019499</v>
      </c>
      <c r="I100" s="1254">
        <f>200881238.25/1000</f>
        <v>200881.23824999999</v>
      </c>
      <c r="J100" s="1292">
        <f>I100-H100</f>
        <v>-21684.426320194994</v>
      </c>
      <c r="K100" s="1223">
        <f>ROUND(I100/$X$40,2)</f>
        <v>0.02</v>
      </c>
      <c r="L100" s="1224">
        <f>ROUND(I100/$X$41,2)</f>
        <v>0.02</v>
      </c>
      <c r="M100" s="1317">
        <v>0</v>
      </c>
      <c r="N100" s="1225"/>
      <c r="O100" s="1226">
        <f>I100/$Q$8</f>
        <v>1.8802632909230666E-2</v>
      </c>
      <c r="P100" s="1227"/>
      <c r="Q100" s="1228">
        <v>1102500000</v>
      </c>
      <c r="R100" s="1229">
        <v>447402</v>
      </c>
      <c r="S100" s="1229">
        <f t="shared" si="18"/>
        <v>447.40199999999999</v>
      </c>
      <c r="T100" s="1229">
        <v>406244</v>
      </c>
      <c r="U100" s="1229">
        <f t="shared" si="19"/>
        <v>406.24400000000003</v>
      </c>
      <c r="V100" s="1230">
        <v>1102500</v>
      </c>
      <c r="W100" s="1217"/>
      <c r="X100" s="1218"/>
    </row>
    <row r="101" spans="1:24" s="1219" customFormat="1" ht="13.8">
      <c r="A101" s="1209"/>
      <c r="B101" s="1232" t="s">
        <v>1165</v>
      </c>
      <c r="C101" s="1197">
        <v>473800</v>
      </c>
      <c r="D101" s="1221">
        <v>0</v>
      </c>
      <c r="E101" s="1221">
        <v>842880</v>
      </c>
      <c r="F101" s="1221">
        <v>349150</v>
      </c>
      <c r="G101" s="1197">
        <f>C101+D101+E101-F101</f>
        <v>967530</v>
      </c>
      <c r="H101" s="1233">
        <f>533684119.437437/1000</f>
        <v>533684.11943743704</v>
      </c>
      <c r="I101" s="1233">
        <f>411026094.6/1000</f>
        <v>411026.09460000001</v>
      </c>
      <c r="J101" s="1295">
        <f>I101-H101</f>
        <v>-122658.02483743703</v>
      </c>
      <c r="K101" s="1236">
        <f>I101/$X$40</f>
        <v>3.8472347401774444E-2</v>
      </c>
      <c r="L101" s="1237">
        <f>I101/$X$41</f>
        <v>4.0606242808532776E-2</v>
      </c>
      <c r="M101" s="1318">
        <f>G101*10/Q101</f>
        <v>4.0902417594013037E-3</v>
      </c>
      <c r="N101" s="1225"/>
      <c r="O101" s="1226">
        <f>I101/$Q$8</f>
        <v>3.8472347344157797E-2</v>
      </c>
      <c r="P101" s="1227"/>
      <c r="Q101" s="1228">
        <v>2365459200</v>
      </c>
      <c r="R101" s="1229">
        <v>381753025</v>
      </c>
      <c r="S101" s="1229">
        <f t="shared" si="18"/>
        <v>381753.02500000002</v>
      </c>
      <c r="T101" s="1229">
        <v>430571083</v>
      </c>
      <c r="U101" s="1229">
        <f t="shared" si="19"/>
        <v>430571.08299999998</v>
      </c>
      <c r="V101" s="1230"/>
      <c r="W101" s="1217"/>
      <c r="X101" s="1218"/>
    </row>
    <row r="102" spans="1:24" s="1219" customFormat="1" ht="13.8">
      <c r="A102" s="1265"/>
      <c r="B102" s="1232" t="s">
        <v>1048</v>
      </c>
      <c r="C102" s="1197">
        <v>4768500</v>
      </c>
      <c r="D102" s="1221">
        <v>0</v>
      </c>
      <c r="E102" s="1221">
        <v>1652800</v>
      </c>
      <c r="F102" s="1221">
        <v>233200</v>
      </c>
      <c r="G102" s="1197">
        <f>C102+D102+E102-F102</f>
        <v>6188100</v>
      </c>
      <c r="H102" s="1233">
        <f>960531163.502316/1000</f>
        <v>960531.16350231599</v>
      </c>
      <c r="I102" s="1233">
        <f>792076800/1000</f>
        <v>792076.80000000005</v>
      </c>
      <c r="J102" s="1295">
        <f>I102-H102</f>
        <v>-168454.36350231594</v>
      </c>
      <c r="K102" s="1236">
        <f>I102/$X$40</f>
        <v>7.4138976135180445E-2</v>
      </c>
      <c r="L102" s="1237">
        <f>I102/$X$41</f>
        <v>7.8251145818627688E-2</v>
      </c>
      <c r="M102" s="1318">
        <f>G102*10/Q102</f>
        <v>1.4387823801019334E-3</v>
      </c>
      <c r="N102" s="1225"/>
      <c r="O102" s="1226">
        <f>I102/$Q$8</f>
        <v>7.4138976024149025E-2</v>
      </c>
      <c r="P102" s="1227"/>
      <c r="Q102" s="1228">
        <v>43009284000</v>
      </c>
      <c r="R102" s="1229">
        <v>464981741</v>
      </c>
      <c r="S102" s="1229">
        <f t="shared" si="18"/>
        <v>464981.74099999998</v>
      </c>
      <c r="T102" s="1229">
        <v>518746614</v>
      </c>
      <c r="U102" s="1229">
        <f t="shared" si="19"/>
        <v>518746.614</v>
      </c>
      <c r="V102" s="1230">
        <v>43009284</v>
      </c>
      <c r="W102" s="1217"/>
      <c r="X102" s="1218"/>
    </row>
    <row r="103" spans="1:24" s="1219" customFormat="1" ht="13.8">
      <c r="A103" s="1209"/>
      <c r="B103" s="1220" t="s">
        <v>124</v>
      </c>
      <c r="C103" s="1221">
        <v>1975600</v>
      </c>
      <c r="D103" s="1221">
        <v>379530</v>
      </c>
      <c r="E103" s="1221">
        <v>1236200</v>
      </c>
      <c r="F103" s="1221">
        <v>99100</v>
      </c>
      <c r="G103" s="1221">
        <f>C103+D103+E103-F103</f>
        <v>3492230</v>
      </c>
      <c r="H103" s="1258">
        <f>644600382.172742/1000</f>
        <v>644600.38217274204</v>
      </c>
      <c r="I103" s="1258">
        <f>522647141.8/1000</f>
        <v>522647.14179999998</v>
      </c>
      <c r="J103" s="1296">
        <f>I103-H103</f>
        <v>-121953.24037274206</v>
      </c>
      <c r="K103" s="1240">
        <f>I103/$X$40</f>
        <v>4.8920160233238072E-2</v>
      </c>
      <c r="L103" s="1241">
        <f>I103/$X$41</f>
        <v>5.1633550818153968E-2</v>
      </c>
      <c r="M103" s="1319">
        <f>G103*10/Q103</f>
        <v>1.7711631299324067E-3</v>
      </c>
      <c r="N103" s="1225"/>
      <c r="O103" s="1226">
        <f>I103/$Q$8</f>
        <v>4.8920160159974656E-2</v>
      </c>
      <c r="P103" s="1227"/>
      <c r="Q103" s="1228">
        <v>19717156150</v>
      </c>
      <c r="R103" s="1229">
        <v>396584680</v>
      </c>
      <c r="S103" s="1229">
        <f t="shared" si="18"/>
        <v>396584.68</v>
      </c>
      <c r="T103" s="1229">
        <v>517369466</v>
      </c>
      <c r="U103" s="1229">
        <f t="shared" si="19"/>
        <v>517369.46600000001</v>
      </c>
      <c r="V103" s="1309">
        <v>19717156</v>
      </c>
      <c r="W103" s="1217"/>
      <c r="X103" s="1218"/>
    </row>
    <row r="104" spans="1:24" s="1219" customFormat="1" ht="13.8">
      <c r="A104" s="1209"/>
      <c r="B104" s="1210"/>
      <c r="C104" s="1262"/>
      <c r="D104" s="1221"/>
      <c r="E104" s="1221"/>
      <c r="F104" s="1221"/>
      <c r="G104" s="1221"/>
      <c r="H104" s="1221">
        <f>SUM(H100:H103)</f>
        <v>2361381.3296826901</v>
      </c>
      <c r="I104" s="1221">
        <f>ROUND(SUM(I100:I103),0)</f>
        <v>1926631</v>
      </c>
      <c r="J104" s="1221">
        <f>ROUND(SUM(J100:J103),0)</f>
        <v>-434750</v>
      </c>
      <c r="K104" s="1226">
        <f>SUM(K100:K103)</f>
        <v>0.18153148377019296</v>
      </c>
      <c r="L104" s="1226">
        <f>SUM(L100:L103)</f>
        <v>0.19049093944531442</v>
      </c>
      <c r="M104" s="1226"/>
      <c r="N104" s="1320">
        <f>I104/'6.2'!$S$3</f>
        <v>0.18033409100013889</v>
      </c>
      <c r="O104" s="1226">
        <f>I104/$Q$8</f>
        <v>0.18033409073006842</v>
      </c>
      <c r="P104" s="1227"/>
      <c r="Q104" s="1228"/>
      <c r="R104" s="1238"/>
      <c r="S104" s="1229">
        <f t="shared" si="18"/>
        <v>0</v>
      </c>
      <c r="T104" s="1238"/>
      <c r="U104" s="1229">
        <f t="shared" si="19"/>
        <v>0</v>
      </c>
      <c r="V104" s="1309"/>
      <c r="W104" s="1217"/>
      <c r="X104" s="1218"/>
    </row>
    <row r="105" spans="1:24" s="1219" customFormat="1" ht="13.8">
      <c r="A105" s="1209"/>
      <c r="B105" s="1210" t="s">
        <v>1049</v>
      </c>
      <c r="C105" s="1221"/>
      <c r="D105" s="1221"/>
      <c r="E105" s="1221"/>
      <c r="F105" s="1221"/>
      <c r="G105" s="1221"/>
      <c r="H105" s="1221"/>
      <c r="I105" s="1221"/>
      <c r="J105" s="1221"/>
      <c r="K105" s="1226"/>
      <c r="L105" s="1226"/>
      <c r="M105" s="1226"/>
      <c r="N105" s="1225"/>
      <c r="O105" s="1225"/>
      <c r="P105" s="1225"/>
      <c r="Q105" s="1228"/>
      <c r="R105" s="1238"/>
      <c r="S105" s="1229">
        <f t="shared" si="18"/>
        <v>0</v>
      </c>
      <c r="T105" s="1238"/>
      <c r="U105" s="1229">
        <f t="shared" si="19"/>
        <v>0</v>
      </c>
      <c r="V105" s="1309"/>
      <c r="W105" s="1217"/>
      <c r="X105" s="1218"/>
    </row>
    <row r="106" spans="1:24" s="1219" customFormat="1" ht="12.75" hidden="1" customHeight="1">
      <c r="A106" s="1209"/>
      <c r="B106" s="1232" t="s">
        <v>475</v>
      </c>
      <c r="C106" s="1221">
        <v>0</v>
      </c>
      <c r="D106" s="1221">
        <v>0</v>
      </c>
      <c r="E106" s="1221">
        <v>0</v>
      </c>
      <c r="F106" s="1221">
        <v>0</v>
      </c>
      <c r="G106" s="1197">
        <f t="shared" ref="G106:G111" si="20">C106+D106+E106-F106</f>
        <v>0</v>
      </c>
      <c r="H106" s="1254">
        <v>0</v>
      </c>
      <c r="I106" s="1254">
        <v>0</v>
      </c>
      <c r="J106" s="1255">
        <f t="shared" ref="J106:J112" si="21">I106-H106</f>
        <v>0</v>
      </c>
      <c r="K106" s="1321">
        <f>I106/$X$40</f>
        <v>0</v>
      </c>
      <c r="L106" s="1256">
        <f>I106/$X$41</f>
        <v>0</v>
      </c>
      <c r="M106" s="1257">
        <f>G106*10/Q106</f>
        <v>0</v>
      </c>
      <c r="N106" s="1225"/>
      <c r="O106" s="1226">
        <f t="shared" ref="O106:O113" si="22">I106/$Q$8</f>
        <v>0</v>
      </c>
      <c r="P106" s="1227"/>
      <c r="Q106" s="1228">
        <v>1448150400</v>
      </c>
      <c r="R106" s="1229">
        <v>36225150</v>
      </c>
      <c r="S106" s="1229">
        <f t="shared" si="18"/>
        <v>36225.15</v>
      </c>
      <c r="T106" s="1229">
        <v>33557914</v>
      </c>
      <c r="U106" s="1229">
        <f t="shared" si="19"/>
        <v>33557.913999999997</v>
      </c>
      <c r="V106" s="1230">
        <v>1206792</v>
      </c>
      <c r="W106" s="1217"/>
      <c r="X106" s="1218"/>
    </row>
    <row r="107" spans="1:24" s="1219" customFormat="1" ht="13.8">
      <c r="A107" s="1209"/>
      <c r="B107" s="1232" t="s">
        <v>1166</v>
      </c>
      <c r="C107" s="1221">
        <v>2150</v>
      </c>
      <c r="D107" s="1221">
        <v>430</v>
      </c>
      <c r="E107" s="1221">
        <v>0</v>
      </c>
      <c r="F107" s="1221">
        <v>2551</v>
      </c>
      <c r="G107" s="1197">
        <f t="shared" si="20"/>
        <v>29</v>
      </c>
      <c r="H107" s="1222">
        <f>14252.7131782946/1000</f>
        <v>14.2527131782946</v>
      </c>
      <c r="I107" s="1222">
        <f>12512.92/1000</f>
        <v>12.512919999999999</v>
      </c>
      <c r="J107" s="1292">
        <f t="shared" si="21"/>
        <v>-1.739793178294601</v>
      </c>
      <c r="K107" s="1223">
        <v>0</v>
      </c>
      <c r="L107" s="1224">
        <v>0</v>
      </c>
      <c r="M107" s="1317">
        <v>0</v>
      </c>
      <c r="N107" s="1225"/>
      <c r="O107" s="1226">
        <f t="shared" si="22"/>
        <v>1.1712185937930447E-6</v>
      </c>
      <c r="P107" s="1227"/>
      <c r="Q107" s="1228">
        <v>829440000</v>
      </c>
      <c r="R107" s="1229">
        <v>1346825</v>
      </c>
      <c r="S107" s="1229">
        <f t="shared" si="18"/>
        <v>1346.825</v>
      </c>
      <c r="T107" s="1229">
        <v>1124622</v>
      </c>
      <c r="U107" s="1229">
        <f t="shared" si="19"/>
        <v>1124.6220000000001</v>
      </c>
      <c r="V107" s="1230">
        <v>1160040</v>
      </c>
      <c r="W107" s="1217"/>
      <c r="X107" s="1218"/>
    </row>
    <row r="108" spans="1:24" s="1219" customFormat="1" ht="13.8">
      <c r="A108" s="1209"/>
      <c r="B108" s="1284" t="s">
        <v>1050</v>
      </c>
      <c r="C108" s="1221">
        <v>283100</v>
      </c>
      <c r="D108" s="1221">
        <v>445500</v>
      </c>
      <c r="E108" s="1262">
        <v>0</v>
      </c>
      <c r="F108" s="1221">
        <v>77000</v>
      </c>
      <c r="G108" s="1197">
        <f t="shared" si="20"/>
        <v>651600</v>
      </c>
      <c r="H108" s="1233">
        <f>51051046.1664815/1000</f>
        <v>51051.046166481501</v>
      </c>
      <c r="I108" s="1233">
        <f>43070760/1000</f>
        <v>43070.76</v>
      </c>
      <c r="J108" s="1295">
        <f t="shared" si="21"/>
        <v>-7980.2861664814991</v>
      </c>
      <c r="K108" s="1236">
        <f>I108/$X$40</f>
        <v>4.0314550909256331E-3</v>
      </c>
      <c r="L108" s="1237">
        <f>I108/$X$41</f>
        <v>4.2550625410050094E-3</v>
      </c>
      <c r="M108" s="1318">
        <f>G108*10/Q108</f>
        <v>5.6170476880107586E-3</v>
      </c>
      <c r="N108" s="1225"/>
      <c r="O108" s="1226">
        <f t="shared" si="22"/>
        <v>4.0314550848880772E-3</v>
      </c>
      <c r="P108" s="1227"/>
      <c r="Q108" s="1228">
        <v>1160040000</v>
      </c>
      <c r="R108" s="1229">
        <v>30257058</v>
      </c>
      <c r="S108" s="1229">
        <f t="shared" si="18"/>
        <v>30257.058000000001</v>
      </c>
      <c r="T108" s="1229">
        <v>20100100</v>
      </c>
      <c r="U108" s="1229">
        <f t="shared" si="19"/>
        <v>20100.099999999999</v>
      </c>
      <c r="V108" s="1230">
        <v>2716859</v>
      </c>
      <c r="W108" s="1216"/>
      <c r="X108" s="1218"/>
    </row>
    <row r="109" spans="1:24" s="1219" customFormat="1" ht="13.8">
      <c r="A109" s="1209"/>
      <c r="B109" s="1284" t="s">
        <v>170</v>
      </c>
      <c r="C109" s="1221">
        <v>0</v>
      </c>
      <c r="D109" s="1221">
        <v>1492040</v>
      </c>
      <c r="E109" s="1262"/>
      <c r="F109" s="1221">
        <v>0</v>
      </c>
      <c r="G109" s="1197">
        <f t="shared" si="20"/>
        <v>1492040</v>
      </c>
      <c r="H109" s="1233">
        <f>410305861.2218/1000</f>
        <v>410305.86122180003</v>
      </c>
      <c r="I109" s="1233">
        <f>336350577.2/1000</f>
        <v>336350.5772</v>
      </c>
      <c r="J109" s="1295">
        <f t="shared" si="21"/>
        <v>-73955.284021800035</v>
      </c>
      <c r="K109" s="1234">
        <f>I109/$X$40</f>
        <v>3.148266357010452E-2</v>
      </c>
      <c r="L109" s="1235">
        <f>I109/$X$41</f>
        <v>3.3228871319873003E-2</v>
      </c>
      <c r="M109" s="1322">
        <f>G109*10/Q109</f>
        <v>4.5764851803073783E-3</v>
      </c>
      <c r="N109" s="1225"/>
      <c r="O109" s="1226">
        <f t="shared" si="22"/>
        <v>3.1482663522955708E-2</v>
      </c>
      <c r="P109" s="1227"/>
      <c r="Q109" s="1228">
        <v>3260231250</v>
      </c>
      <c r="R109" s="1229">
        <v>0</v>
      </c>
      <c r="S109" s="1229">
        <f t="shared" si="18"/>
        <v>0</v>
      </c>
      <c r="T109" s="1229">
        <v>0</v>
      </c>
      <c r="U109" s="1229">
        <f t="shared" si="19"/>
        <v>0</v>
      </c>
      <c r="V109" s="1230"/>
      <c r="W109" s="1216"/>
      <c r="X109" s="1218"/>
    </row>
    <row r="110" spans="1:24" s="1219" customFormat="1" ht="13.8">
      <c r="A110" s="1209"/>
      <c r="B110" s="1284" t="s">
        <v>332</v>
      </c>
      <c r="C110" s="1221">
        <v>22200</v>
      </c>
      <c r="D110" s="1221">
        <v>0</v>
      </c>
      <c r="E110" s="1262"/>
      <c r="F110" s="1221">
        <v>300</v>
      </c>
      <c r="G110" s="1197">
        <f t="shared" si="20"/>
        <v>21900</v>
      </c>
      <c r="H110" s="1233">
        <f>6922175.67567567/1000</f>
        <v>6922.1756756756695</v>
      </c>
      <c r="I110" s="1233">
        <f>6714540/1000</f>
        <v>6714.54</v>
      </c>
      <c r="J110" s="1295">
        <f t="shared" si="21"/>
        <v>-207.63567567566952</v>
      </c>
      <c r="K110" s="1236">
        <f>I110/$X$40</f>
        <v>6.2848592563084088E-4</v>
      </c>
      <c r="L110" s="1237">
        <f>I110/$X$41</f>
        <v>6.6334533298413525E-4</v>
      </c>
      <c r="M110" s="1318">
        <f>G110*10/Q110</f>
        <v>2.0464931470980962E-4</v>
      </c>
      <c r="N110" s="1225"/>
      <c r="O110" s="1226">
        <f t="shared" si="22"/>
        <v>6.2848592468961288E-4</v>
      </c>
      <c r="P110" s="1227"/>
      <c r="Q110" s="1228">
        <v>1070123300</v>
      </c>
      <c r="R110" s="1229">
        <v>12773214</v>
      </c>
      <c r="S110" s="1229">
        <f t="shared" si="18"/>
        <v>12773.214</v>
      </c>
      <c r="T110" s="1229">
        <v>6819396</v>
      </c>
      <c r="U110" s="1229">
        <f t="shared" si="19"/>
        <v>6819.3959999999997</v>
      </c>
      <c r="V110" s="1230"/>
      <c r="W110" s="1216"/>
      <c r="X110" s="1218"/>
    </row>
    <row r="111" spans="1:24" s="1219" customFormat="1" ht="13.8">
      <c r="A111" s="1265" t="s">
        <v>1103</v>
      </c>
      <c r="B111" s="1247" t="s">
        <v>2426</v>
      </c>
      <c r="C111" s="1221">
        <v>1984800</v>
      </c>
      <c r="D111" s="1221">
        <v>2554000</v>
      </c>
      <c r="E111" s="1221">
        <v>0</v>
      </c>
      <c r="F111" s="1221">
        <v>1160500</v>
      </c>
      <c r="G111" s="1197">
        <f t="shared" si="20"/>
        <v>3378300</v>
      </c>
      <c r="H111" s="1233">
        <f>307596253.643938/1000</f>
        <v>307596.25364393799</v>
      </c>
      <c r="I111" s="1233">
        <f>260365581/1000</f>
        <v>260365.58100000001</v>
      </c>
      <c r="J111" s="1295">
        <f t="shared" si="21"/>
        <v>-47230.672643937985</v>
      </c>
      <c r="K111" s="1234">
        <f>I111/$X$40</f>
        <v>2.4370411551230119E-2</v>
      </c>
      <c r="L111" s="1235">
        <f>I111/$X$41</f>
        <v>2.5722133314575957E-2</v>
      </c>
      <c r="M111" s="1322">
        <f>G111*10/Q111</f>
        <v>5.3267285158349973E-3</v>
      </c>
      <c r="N111" s="1225"/>
      <c r="O111" s="1226">
        <f t="shared" si="22"/>
        <v>2.4370411514732702E-2</v>
      </c>
      <c r="P111" s="1227"/>
      <c r="Q111" s="1228">
        <v>6342166660</v>
      </c>
      <c r="R111" s="1229">
        <v>0</v>
      </c>
      <c r="S111" s="1229">
        <f t="shared" si="18"/>
        <v>0</v>
      </c>
      <c r="T111" s="1229">
        <v>0</v>
      </c>
      <c r="U111" s="1229">
        <f t="shared" si="19"/>
        <v>0</v>
      </c>
      <c r="V111" s="1230">
        <v>6342166</v>
      </c>
      <c r="W111" s="1216"/>
      <c r="X111" s="1218"/>
    </row>
    <row r="112" spans="1:24" s="1219" customFormat="1" ht="13.8">
      <c r="A112" s="1265" t="s">
        <v>1103</v>
      </c>
      <c r="B112" s="1247" t="s">
        <v>2427</v>
      </c>
      <c r="C112" s="1221">
        <v>9500</v>
      </c>
      <c r="D112" s="1221">
        <v>0</v>
      </c>
      <c r="E112" s="1221">
        <v>0</v>
      </c>
      <c r="F112" s="1197">
        <v>0</v>
      </c>
      <c r="G112" s="1197">
        <f>D112+E112-F112</f>
        <v>0</v>
      </c>
      <c r="H112" s="1258">
        <f>312000/1000</f>
        <v>312</v>
      </c>
      <c r="I112" s="1258">
        <f>219450/1000</f>
        <v>219.45</v>
      </c>
      <c r="J112" s="1259">
        <f t="shared" si="21"/>
        <v>-92.550000000000011</v>
      </c>
      <c r="K112" s="1323">
        <v>0</v>
      </c>
      <c r="L112" s="1260">
        <v>0</v>
      </c>
      <c r="M112" s="1261">
        <v>0</v>
      </c>
      <c r="N112" s="1225"/>
      <c r="O112" s="1226">
        <f t="shared" si="22"/>
        <v>2.054068278290628E-5</v>
      </c>
      <c r="P112" s="1227"/>
      <c r="Q112" s="1228">
        <v>8809164000</v>
      </c>
      <c r="R112" s="1229">
        <v>365881</v>
      </c>
      <c r="S112" s="1229">
        <f t="shared" si="18"/>
        <v>365.88099999999997</v>
      </c>
      <c r="T112" s="1229">
        <v>289655</v>
      </c>
      <c r="U112" s="1229">
        <f t="shared" si="19"/>
        <v>289.65499999999997</v>
      </c>
      <c r="V112" s="1230">
        <v>8809164</v>
      </c>
      <c r="X112" s="1218"/>
    </row>
    <row r="113" spans="1:24" s="1219" customFormat="1" ht="13.8">
      <c r="B113" s="1209"/>
      <c r="C113" s="1221"/>
      <c r="D113" s="1197"/>
      <c r="E113" s="1197"/>
      <c r="F113" s="1197"/>
      <c r="G113" s="1197"/>
      <c r="H113" s="1197">
        <f>ROUND(SUM(H106:H112),0)</f>
        <v>776202</v>
      </c>
      <c r="I113" s="1197">
        <f>ROUND(SUM(I106:I112),0)</f>
        <v>646733</v>
      </c>
      <c r="J113" s="1197">
        <f>ROUND(SUM(J106:J112),0)</f>
        <v>-129468</v>
      </c>
      <c r="K113" s="1246">
        <f>SUM(K106:K112)</f>
        <v>6.0513016137891111E-2</v>
      </c>
      <c r="L113" s="1324">
        <f>SUM(L106:L112)</f>
        <v>6.3869412508438111E-2</v>
      </c>
      <c r="M113" s="1324"/>
      <c r="N113" s="1320">
        <f>I113/'6.2'!$S$3</f>
        <v>6.0534688622155892E-2</v>
      </c>
      <c r="O113" s="1226">
        <f t="shared" si="22"/>
        <v>6.0534688531498425E-2</v>
      </c>
      <c r="P113" s="1227"/>
      <c r="Q113" s="1325"/>
      <c r="R113" s="1326"/>
      <c r="S113" s="1229">
        <f t="shared" si="18"/>
        <v>0</v>
      </c>
      <c r="T113" s="1326"/>
      <c r="U113" s="1229">
        <f t="shared" si="19"/>
        <v>0</v>
      </c>
      <c r="V113" s="1302"/>
      <c r="X113" s="1218"/>
    </row>
    <row r="114" spans="1:24" s="1219" customFormat="1" ht="13.8">
      <c r="B114" s="1315" t="s">
        <v>1053</v>
      </c>
      <c r="C114" s="1197"/>
      <c r="D114" s="1197"/>
      <c r="E114" s="1197"/>
      <c r="F114" s="1197"/>
      <c r="G114" s="1197"/>
      <c r="H114" s="1197"/>
      <c r="I114" s="1197"/>
      <c r="J114" s="1197"/>
      <c r="K114" s="1246"/>
      <c r="L114" s="1324"/>
      <c r="M114" s="1324"/>
      <c r="N114" s="1320"/>
      <c r="O114" s="1320"/>
      <c r="P114" s="1320"/>
      <c r="Q114" s="1325"/>
      <c r="R114" s="1326"/>
      <c r="S114" s="1229">
        <f t="shared" si="18"/>
        <v>0</v>
      </c>
      <c r="T114" s="1326"/>
      <c r="U114" s="1229">
        <f t="shared" si="19"/>
        <v>0</v>
      </c>
      <c r="V114" s="1302"/>
      <c r="X114" s="1218"/>
    </row>
    <row r="115" spans="1:24" s="1219" customFormat="1" ht="13.8">
      <c r="B115" s="1219" t="s">
        <v>1167</v>
      </c>
      <c r="C115" s="1197">
        <v>49</v>
      </c>
      <c r="D115" s="1197">
        <v>1</v>
      </c>
      <c r="E115" s="1197">
        <v>0</v>
      </c>
      <c r="F115" s="1197">
        <v>50</v>
      </c>
      <c r="G115" s="1197">
        <f>C115+D115+E115-F115</f>
        <v>0</v>
      </c>
      <c r="H115" s="1297">
        <v>0</v>
      </c>
      <c r="I115" s="1297">
        <v>0</v>
      </c>
      <c r="J115" s="1297">
        <f>I115-H115</f>
        <v>0</v>
      </c>
      <c r="K115" s="1327">
        <f>I115/$X$40</f>
        <v>0</v>
      </c>
      <c r="L115" s="1327">
        <f>I115/$X$41</f>
        <v>0</v>
      </c>
      <c r="M115" s="1251">
        <f>G115*10/Q115</f>
        <v>0</v>
      </c>
      <c r="N115" s="1225"/>
      <c r="O115" s="1227">
        <f>I115/$Q$8</f>
        <v>0</v>
      </c>
      <c r="P115" s="1227"/>
      <c r="Q115" s="1228">
        <v>336022420</v>
      </c>
      <c r="R115" s="1229">
        <v>76676558</v>
      </c>
      <c r="S115" s="1229">
        <f t="shared" si="18"/>
        <v>76676.558000000005</v>
      </c>
      <c r="T115" s="1229">
        <v>68007952</v>
      </c>
      <c r="U115" s="1229">
        <f t="shared" si="19"/>
        <v>68007.952000000005</v>
      </c>
      <c r="V115" s="1302">
        <v>1470183</v>
      </c>
      <c r="X115" s="1218"/>
    </row>
    <row r="116" spans="1:24" s="1219" customFormat="1" ht="13.8">
      <c r="C116" s="1197"/>
      <c r="D116" s="1197"/>
      <c r="E116" s="1197"/>
      <c r="F116" s="1197"/>
      <c r="G116" s="1197"/>
      <c r="H116" s="1197">
        <f>SUM(H115:H115)</f>
        <v>0</v>
      </c>
      <c r="I116" s="1197">
        <f>ROUND(SUM(I115:I115),0)</f>
        <v>0</v>
      </c>
      <c r="J116" s="1197">
        <f>ROUND(SUM(J115:J115),0)</f>
        <v>0</v>
      </c>
      <c r="K116" s="1246">
        <f>SUM(K115:K115)</f>
        <v>0</v>
      </c>
      <c r="L116" s="1246">
        <f>SUM(L115:L115)</f>
        <v>0</v>
      </c>
      <c r="M116" s="1328"/>
      <c r="N116" s="1320">
        <f>I116/'6.2'!$S$3</f>
        <v>0</v>
      </c>
      <c r="O116" s="1227">
        <f>I116/$Q$8</f>
        <v>0</v>
      </c>
      <c r="P116" s="1227"/>
      <c r="Q116" s="1325"/>
      <c r="R116" s="1326"/>
      <c r="S116" s="1229">
        <f t="shared" si="18"/>
        <v>0</v>
      </c>
      <c r="T116" s="1326"/>
      <c r="U116" s="1229">
        <f t="shared" si="19"/>
        <v>0</v>
      </c>
      <c r="V116" s="1302"/>
      <c r="X116" s="1218"/>
    </row>
    <row r="117" spans="1:24" s="1219" customFormat="1" ht="13.8">
      <c r="B117" s="1315" t="s">
        <v>1054</v>
      </c>
      <c r="C117" s="1197"/>
      <c r="D117" s="1197"/>
      <c r="E117" s="1197"/>
      <c r="F117" s="1197"/>
      <c r="G117" s="1197"/>
      <c r="H117" s="1197"/>
      <c r="I117" s="1197"/>
      <c r="J117" s="1197"/>
      <c r="K117" s="1329"/>
      <c r="L117" s="1246"/>
      <c r="M117" s="1328"/>
      <c r="N117" s="1326"/>
      <c r="O117" s="1326"/>
      <c r="P117" s="1326"/>
      <c r="Q117" s="1325"/>
      <c r="R117" s="1326"/>
      <c r="S117" s="1229">
        <f t="shared" si="18"/>
        <v>0</v>
      </c>
      <c r="T117" s="1326"/>
      <c r="U117" s="1229">
        <f t="shared" si="19"/>
        <v>0</v>
      </c>
      <c r="V117" s="1302"/>
      <c r="X117" s="1218"/>
    </row>
    <row r="118" spans="1:24" s="1219" customFormat="1" ht="13.8">
      <c r="B118" s="1219" t="s">
        <v>2464</v>
      </c>
      <c r="C118" s="1197">
        <v>1159577</v>
      </c>
      <c r="D118" s="1197">
        <v>330000</v>
      </c>
      <c r="E118" s="1197">
        <v>0</v>
      </c>
      <c r="F118" s="1197">
        <v>1489000</v>
      </c>
      <c r="G118" s="1197">
        <f>C118+D118+E118-F118</f>
        <v>577</v>
      </c>
      <c r="H118" s="1222">
        <f>52656.3335817456/1000</f>
        <v>52.656333581745599</v>
      </c>
      <c r="I118" s="1222">
        <f>50447.11/1000</f>
        <v>50.447110000000002</v>
      </c>
      <c r="J118" s="1222">
        <f>I118-H118</f>
        <v>-2.2092235817455972</v>
      </c>
      <c r="K118" s="1224">
        <f>ROUND(I118/$X$40,2)</f>
        <v>0</v>
      </c>
      <c r="L118" s="1224">
        <f>ROUND(I118/$X$41,2)</f>
        <v>0</v>
      </c>
      <c r="M118" s="1224">
        <v>0</v>
      </c>
      <c r="N118" s="1225"/>
      <c r="O118" s="1227">
        <f>I118/$Q$8</f>
        <v>4.7218869164929571E-6</v>
      </c>
      <c r="P118" s="1227"/>
      <c r="Q118" s="1228">
        <v>979003020</v>
      </c>
      <c r="R118" s="1229">
        <v>1355170</v>
      </c>
      <c r="S118" s="1229">
        <f t="shared" ref="S118:S149" si="23">R118/1000</f>
        <v>1355.17</v>
      </c>
      <c r="T118" s="1229">
        <v>1011535</v>
      </c>
      <c r="U118" s="1229">
        <f t="shared" ref="U118:U149" si="24">T118/1000</f>
        <v>1011.535</v>
      </c>
      <c r="V118" s="1230">
        <v>979003</v>
      </c>
      <c r="X118" s="1218"/>
    </row>
    <row r="119" spans="1:24" s="1219" customFormat="1" ht="13.8">
      <c r="B119" s="1219" t="s">
        <v>500</v>
      </c>
      <c r="C119" s="1197">
        <v>0</v>
      </c>
      <c r="D119" s="1197">
        <v>24040</v>
      </c>
      <c r="E119" s="1197">
        <v>3606</v>
      </c>
      <c r="F119" s="1197">
        <v>0</v>
      </c>
      <c r="G119" s="1197">
        <f>C119+D119+E119-F119</f>
        <v>27646</v>
      </c>
      <c r="H119" s="1239">
        <f>8077145.001/1000</f>
        <v>8077.1450009999999</v>
      </c>
      <c r="I119" s="1239">
        <f>6789581.14/1000</f>
        <v>6789.5811399999993</v>
      </c>
      <c r="J119" s="1239">
        <f>I119-H119</f>
        <v>-1287.5638610000005</v>
      </c>
      <c r="K119" s="1330">
        <f>ROUND(I119/$X$40,2)</f>
        <v>0</v>
      </c>
      <c r="L119" s="1330">
        <f>ROUND(I119/$X$41,2)</f>
        <v>0</v>
      </c>
      <c r="M119" s="1260">
        <v>0</v>
      </c>
      <c r="N119" s="1225"/>
      <c r="O119" s="1227">
        <f>I119/$Q$8</f>
        <v>6.3550983105738527E-4</v>
      </c>
      <c r="P119" s="1227"/>
      <c r="Q119" s="1228">
        <v>3184672780</v>
      </c>
      <c r="R119" s="1229">
        <v>0</v>
      </c>
      <c r="S119" s="1229">
        <f t="shared" si="23"/>
        <v>0</v>
      </c>
      <c r="T119" s="1229">
        <v>0</v>
      </c>
      <c r="U119" s="1229">
        <f t="shared" si="24"/>
        <v>0</v>
      </c>
      <c r="V119" s="1230">
        <v>3184672</v>
      </c>
      <c r="W119" s="1230"/>
      <c r="X119" s="1218"/>
    </row>
    <row r="120" spans="1:24" s="1219" customFormat="1" ht="13.8">
      <c r="C120" s="1197"/>
      <c r="D120" s="1197"/>
      <c r="E120" s="1197"/>
      <c r="F120" s="1197"/>
      <c r="G120" s="1197"/>
      <c r="H120" s="1197">
        <f>SUM(H118:H119)</f>
        <v>8129.8013345817453</v>
      </c>
      <c r="I120" s="1197">
        <f>ROUND(SUM(I118:I119),0)</f>
        <v>6840</v>
      </c>
      <c r="J120" s="1197">
        <f>ROUND(SUM(J118:J119),0)</f>
        <v>-1290</v>
      </c>
      <c r="K120" s="1231">
        <f>SUM(K118:K119)</f>
        <v>0</v>
      </c>
      <c r="L120" s="1231">
        <f>SUM(L118:L119)</f>
        <v>0</v>
      </c>
      <c r="M120" s="1324"/>
      <c r="N120" s="1320">
        <f>I120/'6.2'!$S$3</f>
        <v>6.4022907471173774E-4</v>
      </c>
      <c r="O120" s="1227">
        <f>I120/$Q$8</f>
        <v>6.4022907375292312E-4</v>
      </c>
      <c r="P120" s="1227"/>
      <c r="Q120" s="1325"/>
      <c r="R120" s="1326"/>
      <c r="S120" s="1229">
        <f t="shared" si="23"/>
        <v>0</v>
      </c>
      <c r="T120" s="1326"/>
      <c r="U120" s="1229">
        <f t="shared" si="24"/>
        <v>0</v>
      </c>
      <c r="V120" s="1302"/>
      <c r="W120" s="1230"/>
      <c r="X120" s="1218"/>
    </row>
    <row r="121" spans="1:24" s="1219" customFormat="1" ht="13.8">
      <c r="B121" s="1315" t="s">
        <v>1055</v>
      </c>
      <c r="C121" s="1197"/>
      <c r="D121" s="1197"/>
      <c r="E121" s="1197"/>
      <c r="F121" s="1197"/>
      <c r="G121" s="1197"/>
      <c r="H121" s="1197"/>
      <c r="I121" s="1197"/>
      <c r="J121" s="1197"/>
      <c r="K121" s="1244"/>
      <c r="L121" s="1331"/>
      <c r="M121" s="1320"/>
      <c r="N121" s="1320"/>
      <c r="O121" s="1320"/>
      <c r="P121" s="1320"/>
      <c r="Q121" s="1325"/>
      <c r="R121" s="1326"/>
      <c r="S121" s="1229">
        <f t="shared" ref="S121:S129" si="25">R121/1000</f>
        <v>0</v>
      </c>
      <c r="T121" s="1326"/>
      <c r="U121" s="1229">
        <f t="shared" ref="U121:U129" si="26">T121/1000</f>
        <v>0</v>
      </c>
      <c r="V121" s="1302"/>
      <c r="W121" s="1230"/>
      <c r="X121" s="1218"/>
    </row>
    <row r="122" spans="1:24" s="1219" customFormat="1" ht="13.8">
      <c r="A122" s="1265" t="s">
        <v>1075</v>
      </c>
      <c r="B122" s="1219" t="s">
        <v>2428</v>
      </c>
      <c r="C122" s="1197">
        <v>2594100</v>
      </c>
      <c r="D122" s="1197">
        <v>3479400</v>
      </c>
      <c r="E122" s="1197">
        <v>0</v>
      </c>
      <c r="F122" s="1197">
        <v>413500</v>
      </c>
      <c r="G122" s="1197">
        <f>C122+D122+E122-F122</f>
        <v>5660000</v>
      </c>
      <c r="H122" s="1254">
        <f>518912087.721306/1000</f>
        <v>518912.08772130602</v>
      </c>
      <c r="I122" s="1254">
        <f>485571400/1000</f>
        <v>485571.4</v>
      </c>
      <c r="J122" s="1254">
        <f>I122-H122</f>
        <v>-33340.687721305992</v>
      </c>
      <c r="K122" s="1280">
        <f>I122/$X$40</f>
        <v>4.5449843293637882E-2</v>
      </c>
      <c r="L122" s="1321">
        <f>I122/$X$41</f>
        <v>4.7970750344859474E-2</v>
      </c>
      <c r="M122" s="1256">
        <f>G122*10/Q122</f>
        <v>4.8913092323721015E-3</v>
      </c>
      <c r="N122" s="1225"/>
      <c r="O122" s="1226">
        <f>I122/$Q$8</f>
        <v>4.5449843225571655E-2</v>
      </c>
      <c r="P122" s="1227"/>
      <c r="Q122" s="1228">
        <v>11571544000</v>
      </c>
      <c r="R122" s="1229">
        <v>349048646</v>
      </c>
      <c r="S122" s="1229">
        <f t="shared" si="25"/>
        <v>349048.64600000001</v>
      </c>
      <c r="T122" s="1229">
        <v>270925200</v>
      </c>
      <c r="U122" s="1229">
        <f t="shared" si="26"/>
        <v>270925.2</v>
      </c>
      <c r="V122" s="1332">
        <v>11571544</v>
      </c>
      <c r="W122" s="1230"/>
      <c r="X122" s="1218"/>
    </row>
    <row r="123" spans="1:24" s="1219" customFormat="1" ht="13.8">
      <c r="B123" s="1219" t="s">
        <v>2299</v>
      </c>
      <c r="C123" s="1197">
        <v>6700000</v>
      </c>
      <c r="D123" s="1197">
        <v>0</v>
      </c>
      <c r="E123" s="1197">
        <v>0</v>
      </c>
      <c r="F123" s="1197">
        <v>6700000</v>
      </c>
      <c r="G123" s="1197">
        <f>C123+D123+E123-F123</f>
        <v>0</v>
      </c>
      <c r="H123" s="1233">
        <v>0</v>
      </c>
      <c r="I123" s="1233">
        <v>0</v>
      </c>
      <c r="J123" s="1233">
        <f>I123-H123</f>
        <v>0</v>
      </c>
      <c r="K123" s="1235">
        <f>ROUND(I123/$X$40,2)</f>
        <v>0</v>
      </c>
      <c r="L123" s="1234">
        <f>ROUND(I123/$X$41,2)</f>
        <v>0</v>
      </c>
      <c r="M123" s="1235">
        <f>G123*3.5/Q123</f>
        <v>0</v>
      </c>
      <c r="N123" s="1225"/>
      <c r="O123" s="1226">
        <f>I123/$Q$8</f>
        <v>0</v>
      </c>
      <c r="P123" s="1227"/>
      <c r="Q123" s="1228">
        <v>96653179857.5</v>
      </c>
      <c r="R123" s="1229">
        <v>0</v>
      </c>
      <c r="S123" s="1229">
        <f t="shared" si="25"/>
        <v>0</v>
      </c>
      <c r="T123" s="1229"/>
      <c r="U123" s="1229">
        <f t="shared" si="26"/>
        <v>0</v>
      </c>
      <c r="V123" s="1332"/>
      <c r="W123" s="1230"/>
      <c r="X123" s="1218"/>
    </row>
    <row r="124" spans="1:24" s="1219" customFormat="1" ht="13.8">
      <c r="A124" s="1333"/>
      <c r="B124" s="1219" t="s">
        <v>2465</v>
      </c>
      <c r="C124" s="1197">
        <v>327000</v>
      </c>
      <c r="D124" s="1197">
        <v>0</v>
      </c>
      <c r="E124" s="1197">
        <v>0</v>
      </c>
      <c r="F124" s="1197">
        <v>0</v>
      </c>
      <c r="G124" s="1197">
        <f>C124+D124+E124-F124</f>
        <v>327000</v>
      </c>
      <c r="H124" s="1233">
        <f>12409650/1000</f>
        <v>12409.65</v>
      </c>
      <c r="I124" s="1233">
        <f>12099000/1000</f>
        <v>12099</v>
      </c>
      <c r="J124" s="1233">
        <f>I124-H124</f>
        <v>-310.64999999999964</v>
      </c>
      <c r="K124" s="1334">
        <f>ROUND(I124/$X$40,2)</f>
        <v>0</v>
      </c>
      <c r="L124" s="1335">
        <f>ROUND(I124/$X$41,2)</f>
        <v>0</v>
      </c>
      <c r="M124" s="1235">
        <f>G124*10/Q124</f>
        <v>3.7148401118956191E-4</v>
      </c>
      <c r="N124" s="1225"/>
      <c r="O124" s="1226">
        <f>I124/$Q$8</f>
        <v>1.1324753747568152E-3</v>
      </c>
      <c r="P124" s="1227"/>
      <c r="Q124" s="1228">
        <v>8802532280</v>
      </c>
      <c r="R124" s="1229">
        <v>0</v>
      </c>
      <c r="S124" s="1229">
        <f t="shared" si="25"/>
        <v>0</v>
      </c>
      <c r="T124" s="1229"/>
      <c r="U124" s="1229">
        <f t="shared" si="26"/>
        <v>0</v>
      </c>
      <c r="V124" s="1302">
        <v>8802532</v>
      </c>
      <c r="W124" s="1230"/>
      <c r="X124" s="1218"/>
    </row>
    <row r="125" spans="1:24" s="1219" customFormat="1" ht="13.8">
      <c r="A125" s="1265" t="s">
        <v>1103</v>
      </c>
      <c r="B125" s="1219" t="s">
        <v>2466</v>
      </c>
      <c r="C125" s="1197">
        <v>0</v>
      </c>
      <c r="D125" s="1197">
        <v>15500</v>
      </c>
      <c r="E125" s="1197">
        <v>0</v>
      </c>
      <c r="F125" s="1197">
        <v>15500</v>
      </c>
      <c r="G125" s="1197">
        <f>C125+D125+E125-F125</f>
        <v>0</v>
      </c>
      <c r="H125" s="1258">
        <v>0</v>
      </c>
      <c r="I125" s="1258">
        <v>0</v>
      </c>
      <c r="J125" s="1258">
        <f>I125-H125</f>
        <v>0</v>
      </c>
      <c r="K125" s="1336">
        <f>ROUND(I125/$X$40,2)</f>
        <v>0</v>
      </c>
      <c r="L125" s="1337">
        <f>ROUND(I125/$X$41,2)</f>
        <v>0</v>
      </c>
      <c r="M125" s="1260">
        <f>G125*10/Q125</f>
        <v>0</v>
      </c>
      <c r="N125" s="1225"/>
      <c r="O125" s="1226">
        <f>I125/$Q$8</f>
        <v>0</v>
      </c>
      <c r="P125" s="1227"/>
      <c r="Q125" s="1228">
        <v>3540885000</v>
      </c>
      <c r="R125" s="1229">
        <v>0</v>
      </c>
      <c r="S125" s="1229">
        <f t="shared" si="25"/>
        <v>0</v>
      </c>
      <c r="T125" s="1229"/>
      <c r="U125" s="1229">
        <f t="shared" si="26"/>
        <v>0</v>
      </c>
      <c r="V125" s="1302">
        <v>3540885</v>
      </c>
      <c r="W125" s="1230"/>
      <c r="X125" s="1218"/>
    </row>
    <row r="126" spans="1:24" s="1219" customFormat="1" ht="13.8">
      <c r="C126" s="1197"/>
      <c r="D126" s="1197"/>
      <c r="E126" s="1197"/>
      <c r="F126" s="1197"/>
      <c r="G126" s="1197"/>
      <c r="H126" s="1197">
        <f>ROUND(SUM(H122:H125),0)</f>
        <v>531322</v>
      </c>
      <c r="I126" s="1197">
        <f>ROUND(SUM(I122:I125),0)</f>
        <v>497670</v>
      </c>
      <c r="J126" s="1197">
        <f>ROUND(SUM(J122:J125),0)</f>
        <v>-33651</v>
      </c>
      <c r="K126" s="1246">
        <f>SUM(K122:K125)</f>
        <v>4.5449843293637882E-2</v>
      </c>
      <c r="L126" s="1246">
        <f>SUM(L122:L125)</f>
        <v>4.7970750344859474E-2</v>
      </c>
      <c r="M126" s="1324"/>
      <c r="N126" s="1320">
        <f>I126/'6.2'!$S$3</f>
        <v>4.6582281229793937E-2</v>
      </c>
      <c r="O126" s="1226">
        <f>I126/$Q$8</f>
        <v>4.6582281160031762E-2</v>
      </c>
      <c r="P126" s="1227"/>
      <c r="Q126" s="1325"/>
      <c r="R126" s="1326"/>
      <c r="S126" s="1229">
        <f t="shared" si="25"/>
        <v>0</v>
      </c>
      <c r="T126" s="1326"/>
      <c r="U126" s="1229">
        <f t="shared" si="26"/>
        <v>0</v>
      </c>
      <c r="V126" s="1302"/>
      <c r="W126" s="1230"/>
      <c r="X126" s="1218"/>
    </row>
    <row r="127" spans="1:24" s="1219" customFormat="1" ht="12.75" hidden="1" customHeight="1">
      <c r="B127" s="1315" t="s">
        <v>1057</v>
      </c>
      <c r="C127" s="1197"/>
      <c r="D127" s="1197"/>
      <c r="E127" s="1197"/>
      <c r="F127" s="1197"/>
      <c r="G127" s="1197"/>
      <c r="H127" s="1197"/>
      <c r="I127" s="1197"/>
      <c r="J127" s="1197"/>
      <c r="K127" s="1246"/>
      <c r="L127" s="1246"/>
      <c r="M127" s="1324"/>
      <c r="N127" s="1320"/>
      <c r="O127" s="1320"/>
      <c r="P127" s="1320"/>
      <c r="Q127" s="1325"/>
      <c r="R127" s="1326"/>
      <c r="S127" s="1229">
        <f t="shared" si="25"/>
        <v>0</v>
      </c>
      <c r="T127" s="1326"/>
      <c r="U127" s="1229">
        <f t="shared" si="26"/>
        <v>0</v>
      </c>
      <c r="V127" s="1302"/>
      <c r="W127" s="1230"/>
      <c r="X127" s="1218"/>
    </row>
    <row r="128" spans="1:24" s="1219" customFormat="1" ht="12.75" hidden="1" customHeight="1">
      <c r="B128" s="1219" t="s">
        <v>473</v>
      </c>
      <c r="C128" s="1197">
        <v>0</v>
      </c>
      <c r="D128" s="1197">
        <v>418400</v>
      </c>
      <c r="E128" s="1197">
        <v>0</v>
      </c>
      <c r="F128" s="1197">
        <v>328100</v>
      </c>
      <c r="G128" s="1197">
        <f>C128+D128+E128-F128</f>
        <v>90300</v>
      </c>
      <c r="H128" s="1297">
        <f>ROUND(137315.094,0)</f>
        <v>137315</v>
      </c>
      <c r="I128" s="1297">
        <v>90463.967999999993</v>
      </c>
      <c r="J128" s="1297">
        <f>I128-H128</f>
        <v>-46851.032000000007</v>
      </c>
      <c r="K128" s="1327">
        <f>I128/$X$40</f>
        <v>8.4674945215485742E-3</v>
      </c>
      <c r="L128" s="1327">
        <f>I128/$X$41</f>
        <v>8.937149972451746E-3</v>
      </c>
      <c r="M128" s="1251">
        <f>G128*10/Q128</f>
        <v>1.0587035278393302E-3</v>
      </c>
      <c r="N128" s="1320"/>
      <c r="O128" s="1226">
        <f>I128/$Q$8</f>
        <v>8.4674945088675548E-3</v>
      </c>
      <c r="P128" s="1227"/>
      <c r="Q128" s="1228">
        <v>852930000</v>
      </c>
      <c r="R128" s="1326">
        <v>137315094</v>
      </c>
      <c r="S128" s="1229">
        <f t="shared" si="25"/>
        <v>137315.09400000001</v>
      </c>
      <c r="T128" s="1326">
        <v>90463968</v>
      </c>
      <c r="U128" s="1229">
        <f t="shared" si="26"/>
        <v>90463.967999999993</v>
      </c>
      <c r="V128" s="1302">
        <v>852930</v>
      </c>
      <c r="W128" s="1230"/>
      <c r="X128" s="1218"/>
    </row>
    <row r="129" spans="1:25" s="1219" customFormat="1" ht="12.75" hidden="1" customHeight="1">
      <c r="C129" s="1197"/>
      <c r="D129" s="1197"/>
      <c r="E129" s="1197"/>
      <c r="F129" s="1197"/>
      <c r="G129" s="1197"/>
      <c r="H129" s="1197">
        <f>SUM(H128:H128)</f>
        <v>137315</v>
      </c>
      <c r="I129" s="1197">
        <f>ROUND(SUM(I128:I128),0)</f>
        <v>90464</v>
      </c>
      <c r="J129" s="1197">
        <f>ROUND(SUM(J128:J128),0)</f>
        <v>-46851</v>
      </c>
      <c r="K129" s="1246">
        <f>SUM(K128:K128)</f>
        <v>8.4674945215485742E-3</v>
      </c>
      <c r="L129" s="1246">
        <f>SUM(L128:L128)</f>
        <v>8.937149972451746E-3</v>
      </c>
      <c r="M129" s="1324"/>
      <c r="N129" s="1320">
        <f>I129/'6.2'!$S$3</f>
        <v>8.4674975167723168E-3</v>
      </c>
      <c r="O129" s="1226">
        <f>I129/$Q$8</f>
        <v>8.4674975040912922E-3</v>
      </c>
      <c r="P129" s="1227"/>
      <c r="Q129" s="1325"/>
      <c r="R129" s="1326"/>
      <c r="S129" s="1229">
        <f t="shared" si="25"/>
        <v>0</v>
      </c>
      <c r="T129" s="1326"/>
      <c r="U129" s="1229">
        <f t="shared" si="26"/>
        <v>0</v>
      </c>
      <c r="V129" s="1302"/>
      <c r="W129" s="1230"/>
      <c r="X129" s="1218"/>
    </row>
    <row r="130" spans="1:25" s="1219" customFormat="1" ht="12.75" hidden="1" customHeight="1">
      <c r="A130" s="1189"/>
      <c r="B130" s="1266"/>
      <c r="C130" s="1206"/>
      <c r="D130" s="1213"/>
      <c r="E130" s="1213"/>
      <c r="F130" s="1213"/>
      <c r="G130" s="1267"/>
      <c r="H130" s="1267"/>
      <c r="I130" s="1267"/>
      <c r="J130" s="1267"/>
      <c r="K130" s="1268"/>
      <c r="L130" s="1268"/>
      <c r="M130" s="1268"/>
      <c r="N130" s="1268"/>
      <c r="O130" s="1268"/>
      <c r="P130" s="1268"/>
      <c r="Q130" s="1215"/>
      <c r="R130" s="1268"/>
      <c r="S130" s="1229">
        <f t="shared" si="23"/>
        <v>0</v>
      </c>
      <c r="T130" s="1268"/>
      <c r="U130" s="1229">
        <f t="shared" si="24"/>
        <v>0</v>
      </c>
      <c r="V130" s="1216"/>
      <c r="W130" s="1218"/>
      <c r="X130" s="1218"/>
    </row>
    <row r="131" spans="1:25" ht="13.8">
      <c r="A131" s="1189"/>
      <c r="B131" s="1269"/>
      <c r="C131" s="1270"/>
      <c r="E131" s="1271"/>
      <c r="F131" s="1271"/>
      <c r="G131" s="1271"/>
      <c r="H131" s="1271"/>
      <c r="I131" s="1271"/>
      <c r="J131" s="1271"/>
      <c r="K131" s="1272"/>
      <c r="L131" s="1273"/>
      <c r="M131" s="1273"/>
      <c r="N131" s="1273"/>
      <c r="O131" s="1273"/>
      <c r="P131" s="1273"/>
      <c r="Q131" s="1274"/>
      <c r="R131" s="1273"/>
      <c r="S131" s="1229">
        <f t="shared" si="23"/>
        <v>0</v>
      </c>
      <c r="T131" s="1273"/>
      <c r="U131" s="1229">
        <f t="shared" si="24"/>
        <v>0</v>
      </c>
    </row>
    <row r="132" spans="1:25" s="1195" customFormat="1" ht="12.75" customHeight="1">
      <c r="A132" s="1192"/>
      <c r="B132" s="2435" t="s">
        <v>116</v>
      </c>
      <c r="C132" s="2435" t="s">
        <v>2441</v>
      </c>
      <c r="D132" s="2435" t="s">
        <v>130</v>
      </c>
      <c r="E132" s="2435" t="s">
        <v>119</v>
      </c>
      <c r="F132" s="2435" t="s">
        <v>2412</v>
      </c>
      <c r="G132" s="2435" t="s">
        <v>2442</v>
      </c>
      <c r="H132" s="2432" t="s">
        <v>2442</v>
      </c>
      <c r="I132" s="2433"/>
      <c r="J132" s="2434"/>
      <c r="K132" s="2428" t="s">
        <v>310</v>
      </c>
      <c r="L132" s="2429"/>
      <c r="M132" s="2425" t="s">
        <v>709</v>
      </c>
      <c r="N132" s="1193"/>
      <c r="O132" s="1193"/>
      <c r="P132" s="1193"/>
      <c r="Q132" s="1194"/>
      <c r="R132" s="1193"/>
      <c r="S132" s="1229">
        <f t="shared" si="23"/>
        <v>0</v>
      </c>
      <c r="T132" s="1193"/>
      <c r="U132" s="1229">
        <f t="shared" si="24"/>
        <v>0</v>
      </c>
      <c r="W132" s="1196" t="s">
        <v>167</v>
      </c>
      <c r="X132" s="1216">
        <f>ROUND(BS!$F$28,0)</f>
        <v>10683676</v>
      </c>
      <c r="Y132" s="1198"/>
    </row>
    <row r="133" spans="1:25" s="1195" customFormat="1" ht="12.75" customHeight="1">
      <c r="A133" s="1192"/>
      <c r="B133" s="2436"/>
      <c r="C133" s="2436"/>
      <c r="D133" s="2436"/>
      <c r="E133" s="2436"/>
      <c r="F133" s="2436"/>
      <c r="G133" s="2436"/>
      <c r="H133" s="2435" t="s">
        <v>985</v>
      </c>
      <c r="I133" s="2435" t="s">
        <v>2443</v>
      </c>
      <c r="J133" s="2435" t="s">
        <v>1028</v>
      </c>
      <c r="K133" s="2430"/>
      <c r="L133" s="2431"/>
      <c r="M133" s="2426"/>
      <c r="N133" s="1193"/>
      <c r="O133" s="1193"/>
      <c r="P133" s="1193"/>
      <c r="Q133" s="1194"/>
      <c r="R133" s="1193"/>
      <c r="S133" s="1229">
        <f t="shared" si="23"/>
        <v>0</v>
      </c>
      <c r="T133" s="1193"/>
      <c r="U133" s="1229">
        <f t="shared" si="24"/>
        <v>0</v>
      </c>
      <c r="W133" s="1199" t="s">
        <v>168</v>
      </c>
      <c r="X133" s="1215">
        <f>ROUND(BS!$F$12,0)</f>
        <v>10122239</v>
      </c>
      <c r="Y133" s="1198"/>
    </row>
    <row r="134" spans="1:25" s="1195" customFormat="1" ht="12.75" customHeight="1">
      <c r="A134" s="1192"/>
      <c r="B134" s="2436"/>
      <c r="C134" s="2436"/>
      <c r="D134" s="2436"/>
      <c r="E134" s="2436"/>
      <c r="F134" s="2436"/>
      <c r="G134" s="2436"/>
      <c r="H134" s="2436"/>
      <c r="I134" s="2436"/>
      <c r="J134" s="2436"/>
      <c r="K134" s="2425" t="s">
        <v>121</v>
      </c>
      <c r="L134" s="2425" t="s">
        <v>296</v>
      </c>
      <c r="M134" s="2426"/>
      <c r="N134" s="1193"/>
      <c r="O134" s="1193"/>
      <c r="P134" s="1193"/>
      <c r="Q134" s="1194"/>
      <c r="R134" s="1193"/>
      <c r="S134" s="1229">
        <f t="shared" si="23"/>
        <v>0</v>
      </c>
      <c r="T134" s="1193"/>
      <c r="U134" s="1229">
        <f t="shared" si="24"/>
        <v>0</v>
      </c>
      <c r="W134" s="1196"/>
      <c r="X134" s="1201"/>
      <c r="Y134" s="1198"/>
    </row>
    <row r="135" spans="1:25" s="1195" customFormat="1" ht="13.8">
      <c r="A135" s="1192"/>
      <c r="B135" s="2436"/>
      <c r="C135" s="2436"/>
      <c r="D135" s="2436"/>
      <c r="E135" s="2436"/>
      <c r="F135" s="2436"/>
      <c r="G135" s="2436"/>
      <c r="H135" s="2436"/>
      <c r="I135" s="2436"/>
      <c r="J135" s="2436"/>
      <c r="K135" s="2426"/>
      <c r="L135" s="2426"/>
      <c r="M135" s="2426"/>
      <c r="N135" s="1193"/>
      <c r="O135" s="1193"/>
      <c r="P135" s="1193"/>
      <c r="Q135" s="1194"/>
      <c r="R135" s="1193"/>
      <c r="S135" s="1229">
        <f t="shared" si="23"/>
        <v>0</v>
      </c>
      <c r="T135" s="1193"/>
      <c r="U135" s="1229">
        <f t="shared" si="24"/>
        <v>0</v>
      </c>
      <c r="X135" s="1202"/>
    </row>
    <row r="136" spans="1:25" s="1195" customFormat="1" ht="13.8">
      <c r="A136" s="1192"/>
      <c r="B136" s="2436"/>
      <c r="C136" s="2436"/>
      <c r="D136" s="2436"/>
      <c r="E136" s="2436"/>
      <c r="F136" s="2436"/>
      <c r="G136" s="2436"/>
      <c r="H136" s="2436"/>
      <c r="I136" s="2436"/>
      <c r="J136" s="2436"/>
      <c r="K136" s="2426"/>
      <c r="L136" s="2426"/>
      <c r="M136" s="2426"/>
      <c r="N136" s="1193"/>
      <c r="O136" s="1193"/>
      <c r="P136" s="1193"/>
      <c r="Q136" s="1194"/>
      <c r="R136" s="1193"/>
      <c r="S136" s="1229">
        <f t="shared" si="23"/>
        <v>0</v>
      </c>
      <c r="T136" s="1193"/>
      <c r="U136" s="1229">
        <f t="shared" si="24"/>
        <v>0</v>
      </c>
      <c r="X136" s="1202"/>
    </row>
    <row r="137" spans="1:25" s="1195" customFormat="1" ht="13.8">
      <c r="A137" s="1192"/>
      <c r="B137" s="2437"/>
      <c r="C137" s="2437"/>
      <c r="D137" s="2437"/>
      <c r="E137" s="2437"/>
      <c r="F137" s="2437"/>
      <c r="G137" s="2437"/>
      <c r="H137" s="2437"/>
      <c r="I137" s="2437"/>
      <c r="J137" s="2437"/>
      <c r="K137" s="2427"/>
      <c r="L137" s="2427"/>
      <c r="M137" s="2427"/>
      <c r="N137" s="1193"/>
      <c r="O137" s="1193"/>
      <c r="P137" s="1193"/>
      <c r="Q137" s="1194"/>
      <c r="R137" s="1193"/>
      <c r="S137" s="1229">
        <f t="shared" si="23"/>
        <v>0</v>
      </c>
      <c r="T137" s="1193"/>
      <c r="U137" s="1229">
        <f t="shared" si="24"/>
        <v>0</v>
      </c>
      <c r="X137" s="1202"/>
    </row>
    <row r="138" spans="1:25" s="1195" customFormat="1" ht="13.8">
      <c r="A138" s="1192"/>
      <c r="B138" s="1203"/>
      <c r="C138" s="2439" t="s">
        <v>2359</v>
      </c>
      <c r="D138" s="2439"/>
      <c r="E138" s="2439"/>
      <c r="F138" s="2439"/>
      <c r="G138" s="2439"/>
      <c r="H138" s="2439" t="s">
        <v>2360</v>
      </c>
      <c r="I138" s="2439"/>
      <c r="J138" s="2439"/>
      <c r="K138" s="2438" t="s">
        <v>2361</v>
      </c>
      <c r="L138" s="2438"/>
      <c r="M138" s="2438"/>
      <c r="N138" s="1204"/>
      <c r="O138" s="1204"/>
      <c r="P138" s="1204"/>
      <c r="Q138" s="1205"/>
      <c r="R138" s="1204"/>
      <c r="S138" s="1229">
        <f t="shared" si="23"/>
        <v>0</v>
      </c>
      <c r="T138" s="1204"/>
      <c r="U138" s="1229">
        <f t="shared" si="24"/>
        <v>0</v>
      </c>
      <c r="X138" s="1202"/>
    </row>
    <row r="139" spans="1:25" s="1219" customFormat="1" ht="13.8">
      <c r="B139" s="1315" t="s">
        <v>1058</v>
      </c>
      <c r="C139" s="1197"/>
      <c r="D139" s="1197"/>
      <c r="E139" s="1197"/>
      <c r="F139" s="1197"/>
      <c r="G139" s="1197"/>
      <c r="H139" s="1197"/>
      <c r="I139" s="1197"/>
      <c r="J139" s="1197"/>
      <c r="K139" s="1246"/>
      <c r="L139" s="1246"/>
      <c r="M139" s="1324"/>
      <c r="N139" s="1320"/>
      <c r="O139" s="1320"/>
      <c r="P139" s="1320"/>
      <c r="Q139" s="1325"/>
      <c r="R139" s="1326"/>
      <c r="S139" s="1229">
        <f t="shared" si="23"/>
        <v>0</v>
      </c>
      <c r="T139" s="1326"/>
      <c r="U139" s="1229">
        <f t="shared" si="24"/>
        <v>0</v>
      </c>
      <c r="V139" s="1302"/>
      <c r="W139" s="1230"/>
      <c r="X139" s="1218"/>
    </row>
    <row r="140" spans="1:25" s="1219" customFormat="1" ht="13.8">
      <c r="B140" s="1219" t="s">
        <v>2052</v>
      </c>
      <c r="C140" s="1197">
        <v>0</v>
      </c>
      <c r="D140" s="1197">
        <v>631500</v>
      </c>
      <c r="E140" s="1197">
        <v>0</v>
      </c>
      <c r="F140" s="1197">
        <v>631500</v>
      </c>
      <c r="G140" s="1197">
        <f>C140+D140+E140-F140</f>
        <v>0</v>
      </c>
      <c r="H140" s="1222">
        <v>0</v>
      </c>
      <c r="I140" s="1222">
        <v>0</v>
      </c>
      <c r="J140" s="1222">
        <f>I140-H140</f>
        <v>0</v>
      </c>
      <c r="K140" s="1338">
        <f>I140/$X$40</f>
        <v>0</v>
      </c>
      <c r="L140" s="1339">
        <f>I140/$X$41</f>
        <v>0</v>
      </c>
      <c r="M140" s="1338">
        <f>G140*10/Q140</f>
        <v>0</v>
      </c>
      <c r="N140" s="1320"/>
      <c r="O140" s="1226">
        <f>I140/$Q$8</f>
        <v>0</v>
      </c>
      <c r="P140" s="1227"/>
      <c r="Q140" s="1228">
        <v>896859230</v>
      </c>
      <c r="R140" s="1326">
        <v>53752985</v>
      </c>
      <c r="S140" s="1229">
        <f t="shared" si="23"/>
        <v>53752.985000000001</v>
      </c>
      <c r="T140" s="1326">
        <v>58883825</v>
      </c>
      <c r="U140" s="1229">
        <f t="shared" si="24"/>
        <v>58883.824999999997</v>
      </c>
      <c r="V140" s="1302">
        <v>1056993</v>
      </c>
      <c r="W140" s="1230"/>
      <c r="X140" s="1218"/>
    </row>
    <row r="141" spans="1:25" s="1219" customFormat="1" ht="13.8">
      <c r="B141" s="1219" t="s">
        <v>1067</v>
      </c>
      <c r="C141" s="1197">
        <v>1127500</v>
      </c>
      <c r="D141" s="1197">
        <v>267250</v>
      </c>
      <c r="E141" s="1197">
        <v>0</v>
      </c>
      <c r="F141" s="1197">
        <v>0</v>
      </c>
      <c r="G141" s="1197">
        <f>C141+D141+E141-F141</f>
        <v>1394750</v>
      </c>
      <c r="H141" s="1233">
        <f>143233915/1000</f>
        <v>143233.91500000001</v>
      </c>
      <c r="I141" s="1233">
        <f>153241182.5/1000</f>
        <v>153241.1825</v>
      </c>
      <c r="J141" s="1233">
        <f>I141-H141</f>
        <v>10007.267499999987</v>
      </c>
      <c r="K141" s="1340">
        <v>0</v>
      </c>
      <c r="L141" s="1340">
        <v>0</v>
      </c>
      <c r="M141" s="1334">
        <v>0</v>
      </c>
      <c r="N141" s="1320"/>
      <c r="O141" s="1226">
        <f>I141/$Q$8</f>
        <v>1.434348835274527E-2</v>
      </c>
      <c r="P141" s="1227"/>
      <c r="Q141" s="1228">
        <v>1118276520</v>
      </c>
      <c r="R141" s="1326">
        <v>187500</v>
      </c>
      <c r="S141" s="1229">
        <f t="shared" si="23"/>
        <v>187.5</v>
      </c>
      <c r="T141" s="1326">
        <v>184800</v>
      </c>
      <c r="U141" s="1229">
        <f t="shared" si="24"/>
        <v>184.8</v>
      </c>
      <c r="V141" s="1302">
        <v>892444</v>
      </c>
      <c r="W141" s="1230"/>
      <c r="X141" s="1218"/>
    </row>
    <row r="142" spans="1:25" s="1219" customFormat="1" ht="13.8">
      <c r="B142" s="1219" t="s">
        <v>2300</v>
      </c>
      <c r="C142" s="1197">
        <v>9750000</v>
      </c>
      <c r="D142" s="1197">
        <v>1000000</v>
      </c>
      <c r="E142" s="1197">
        <v>0</v>
      </c>
      <c r="F142" s="1197">
        <v>0</v>
      </c>
      <c r="G142" s="1197">
        <f>C142+D142+E142-F142</f>
        <v>10750000</v>
      </c>
      <c r="H142" s="1239">
        <f>86127000/1000</f>
        <v>86127</v>
      </c>
      <c r="I142" s="1239">
        <f>47300000/1000</f>
        <v>47300</v>
      </c>
      <c r="J142" s="1239">
        <f>I142-H142</f>
        <v>-38827</v>
      </c>
      <c r="K142" s="1341">
        <f>I142/$X$40</f>
        <v>4.4273150926703508E-3</v>
      </c>
      <c r="L142" s="1342">
        <f>I142/$X$41</f>
        <v>4.6728791920443687E-3</v>
      </c>
      <c r="M142" s="1341">
        <f>G142*1/Q142</f>
        <v>1.1375661375661376E-2</v>
      </c>
      <c r="N142" s="1320"/>
      <c r="O142" s="1226">
        <f>I142/$Q$8</f>
        <v>4.4273150860399506E-3</v>
      </c>
      <c r="P142" s="1227"/>
      <c r="Q142" s="1228">
        <v>945000000</v>
      </c>
      <c r="R142" s="1326">
        <v>85777310</v>
      </c>
      <c r="S142" s="1229">
        <f t="shared" si="23"/>
        <v>85777.31</v>
      </c>
      <c r="T142" s="1326">
        <v>82108500</v>
      </c>
      <c r="U142" s="1229">
        <f t="shared" si="24"/>
        <v>82108.5</v>
      </c>
      <c r="V142" s="1302"/>
      <c r="W142" s="1230"/>
      <c r="X142" s="1218"/>
    </row>
    <row r="143" spans="1:25" s="1219" customFormat="1" ht="13.8">
      <c r="C143" s="1197"/>
      <c r="D143" s="1197"/>
      <c r="E143" s="1197"/>
      <c r="F143" s="1197"/>
      <c r="G143" s="1197"/>
      <c r="H143" s="1197">
        <f>SUM(H140:H142)</f>
        <v>229360.91500000001</v>
      </c>
      <c r="I143" s="1197">
        <f>ROUND(SUM(I140:I142),0)</f>
        <v>200541</v>
      </c>
      <c r="J143" s="1197">
        <f>ROUND(SUM(J140:J142),0)</f>
        <v>-28820</v>
      </c>
      <c r="K143" s="1288">
        <f>SUM(K140:K142)</f>
        <v>4.4273150926703508E-3</v>
      </c>
      <c r="L143" s="1288">
        <f>SUM(L140:L142)</f>
        <v>4.6728791920443687E-3</v>
      </c>
      <c r="M143" s="1324"/>
      <c r="N143" s="1320">
        <f>I143/'6.2'!$S$3</f>
        <v>1.87707863847612E-2</v>
      </c>
      <c r="O143" s="1226">
        <f>I143/$Q$8</f>
        <v>1.8770786356649846E-2</v>
      </c>
      <c r="P143" s="1227"/>
      <c r="Q143" s="1325"/>
      <c r="R143" s="1326"/>
      <c r="S143" s="1229">
        <f t="shared" si="23"/>
        <v>0</v>
      </c>
      <c r="T143" s="1326"/>
      <c r="U143" s="1229">
        <f t="shared" si="24"/>
        <v>0</v>
      </c>
      <c r="V143" s="1302"/>
      <c r="W143" s="1230"/>
      <c r="X143" s="1218"/>
    </row>
    <row r="144" spans="1:25" s="1219" customFormat="1" ht="13.8">
      <c r="B144" s="1315" t="s">
        <v>1059</v>
      </c>
      <c r="C144" s="1197"/>
      <c r="D144" s="1197"/>
      <c r="E144" s="1197"/>
      <c r="F144" s="1197"/>
      <c r="G144" s="1197"/>
      <c r="H144" s="1197"/>
      <c r="I144" s="1197"/>
      <c r="J144" s="1197"/>
      <c r="K144" s="1246"/>
      <c r="L144" s="1246"/>
      <c r="M144" s="1324"/>
      <c r="N144" s="1320"/>
      <c r="O144" s="1320"/>
      <c r="P144" s="1320"/>
      <c r="Q144" s="1325"/>
      <c r="R144" s="1326"/>
      <c r="S144" s="1229">
        <f t="shared" si="23"/>
        <v>0</v>
      </c>
      <c r="T144" s="1326"/>
      <c r="U144" s="1229">
        <f t="shared" si="24"/>
        <v>0</v>
      </c>
      <c r="V144" s="1302"/>
      <c r="W144" s="1230"/>
      <c r="X144" s="1218"/>
    </row>
    <row r="145" spans="1:24" s="1219" customFormat="1" ht="13.8">
      <c r="B145" s="1219" t="s">
        <v>1170</v>
      </c>
      <c r="C145" s="1197">
        <v>1591378</v>
      </c>
      <c r="D145" s="1197">
        <v>995340</v>
      </c>
      <c r="E145" s="1197">
        <v>0</v>
      </c>
      <c r="F145" s="1197">
        <v>0</v>
      </c>
      <c r="G145" s="1197">
        <f>C145+D145+E145-F145</f>
        <v>2586718</v>
      </c>
      <c r="H145" s="1254">
        <f>142243746.6/1000</f>
        <v>142243.74659999998</v>
      </c>
      <c r="I145" s="1254">
        <f>116609247.44/1000</f>
        <v>116609.24743999999</v>
      </c>
      <c r="J145" s="1254">
        <f>I145-H145</f>
        <v>-25634.499159999992</v>
      </c>
      <c r="K145" s="1280">
        <f>I145/$X$40</f>
        <v>1.0914712074757789E-2</v>
      </c>
      <c r="L145" s="1280">
        <f>I145/$X$41</f>
        <v>1.1520104142966787E-2</v>
      </c>
      <c r="M145" s="1280">
        <f>G145*10/Q145</f>
        <v>8.6426616424753119E-3</v>
      </c>
      <c r="N145" s="1320"/>
      <c r="O145" s="1226">
        <f>I145/$Q$8</f>
        <v>1.0914712058411786E-2</v>
      </c>
      <c r="P145" s="1227"/>
      <c r="Q145" s="1228">
        <v>2992964560</v>
      </c>
      <c r="R145" s="1326">
        <v>156707686</v>
      </c>
      <c r="S145" s="1229">
        <f t="shared" si="23"/>
        <v>156707.68599999999</v>
      </c>
      <c r="T145" s="1326">
        <v>105428793</v>
      </c>
      <c r="U145" s="1229">
        <f t="shared" si="24"/>
        <v>105428.79300000001</v>
      </c>
      <c r="V145" s="1302">
        <v>2970801</v>
      </c>
      <c r="W145" s="1230"/>
      <c r="X145" s="1218"/>
    </row>
    <row r="146" spans="1:24" s="1219" customFormat="1" ht="13.8">
      <c r="B146" s="1219" t="s">
        <v>1060</v>
      </c>
      <c r="C146" s="1197">
        <v>3907400</v>
      </c>
      <c r="D146" s="1197">
        <v>2663500</v>
      </c>
      <c r="E146" s="1197">
        <v>0</v>
      </c>
      <c r="F146" s="1197">
        <v>645000</v>
      </c>
      <c r="G146" s="1197">
        <f>C146+D146+E146-F146</f>
        <v>5925900</v>
      </c>
      <c r="H146" s="1233">
        <f>265650693.881101/1000</f>
        <v>265650.69388110103</v>
      </c>
      <c r="I146" s="1233">
        <f>273539544/1000</f>
        <v>273539.54399999999</v>
      </c>
      <c r="J146" s="1233">
        <f>I146-H146</f>
        <v>7888.8501188989612</v>
      </c>
      <c r="K146" s="1237">
        <f>I146/$X$40</f>
        <v>2.5603504262016182E-2</v>
      </c>
      <c r="L146" s="1237">
        <f>I146/$X$41</f>
        <v>2.702362036699588E-2</v>
      </c>
      <c r="M146" s="1237">
        <f>G146*10/Q146</f>
        <v>1.6622649050082747E-2</v>
      </c>
      <c r="N146" s="1320"/>
      <c r="O146" s="1226">
        <f>I146/$Q$8</f>
        <v>2.560350422367207E-2</v>
      </c>
      <c r="P146" s="1227"/>
      <c r="Q146" s="1228">
        <v>3564955250</v>
      </c>
      <c r="R146" s="1326">
        <v>110546756</v>
      </c>
      <c r="S146" s="1229">
        <f t="shared" si="23"/>
        <v>110546.75599999999</v>
      </c>
      <c r="T146" s="1326">
        <v>103041612</v>
      </c>
      <c r="U146" s="1229">
        <f t="shared" si="24"/>
        <v>103041.61199999999</v>
      </c>
      <c r="V146" s="1302"/>
      <c r="W146" s="1230"/>
      <c r="X146" s="1218"/>
    </row>
    <row r="147" spans="1:24" s="1219" customFormat="1" ht="13.8">
      <c r="A147" s="1265" t="s">
        <v>1103</v>
      </c>
      <c r="B147" s="1219" t="s">
        <v>2429</v>
      </c>
      <c r="C147" s="1197">
        <v>0</v>
      </c>
      <c r="D147" s="1197">
        <v>673500</v>
      </c>
      <c r="E147" s="1197">
        <v>0</v>
      </c>
      <c r="F147" s="1197">
        <v>0</v>
      </c>
      <c r="G147" s="1197">
        <f>C147+D147+E147-F147</f>
        <v>673500</v>
      </c>
      <c r="H147" s="1233">
        <f>38806679.9685/1000</f>
        <v>38806.679968500001</v>
      </c>
      <c r="I147" s="1233">
        <f>33392130/1000</f>
        <v>33392.129999999997</v>
      </c>
      <c r="J147" s="1233">
        <f>I147-H147</f>
        <v>-5414.5499685000032</v>
      </c>
      <c r="K147" s="1334">
        <f>ROUND(I147/$X$40,2)</f>
        <v>0</v>
      </c>
      <c r="L147" s="1334">
        <f>ROUND(I147/$X$41,2)</f>
        <v>0</v>
      </c>
      <c r="M147" s="1334">
        <f>G147*10/Q147</f>
        <v>2.8036617996096904E-3</v>
      </c>
      <c r="N147" s="1320"/>
      <c r="O147" s="1226">
        <f>I147/$Q$8</f>
        <v>3.1255281375054378E-3</v>
      </c>
      <c r="P147" s="1227"/>
      <c r="Q147" s="1228">
        <v>2402215560</v>
      </c>
      <c r="R147" s="1326">
        <v>0</v>
      </c>
      <c r="S147" s="1229">
        <f t="shared" si="23"/>
        <v>0</v>
      </c>
      <c r="T147" s="1326">
        <v>0</v>
      </c>
      <c r="U147" s="1229">
        <f t="shared" si="24"/>
        <v>0</v>
      </c>
      <c r="V147" s="1302">
        <v>2402215</v>
      </c>
      <c r="W147" s="1230"/>
      <c r="X147" s="1218"/>
    </row>
    <row r="148" spans="1:24" s="1219" customFormat="1" ht="13.8">
      <c r="A148" s="1265" t="s">
        <v>1103</v>
      </c>
      <c r="B148" s="1219" t="s">
        <v>2430</v>
      </c>
      <c r="C148" s="1197">
        <v>2290100</v>
      </c>
      <c r="D148" s="1197">
        <v>0</v>
      </c>
      <c r="E148" s="1197">
        <v>0</v>
      </c>
      <c r="F148" s="1197">
        <v>968500</v>
      </c>
      <c r="G148" s="1197">
        <f>C148+D148+E148-F148</f>
        <v>1321600</v>
      </c>
      <c r="H148" s="1258">
        <f>186239934.326012/1000</f>
        <v>186239.93432601198</v>
      </c>
      <c r="I148" s="1258">
        <f>167222048/1000</f>
        <v>167222.04800000001</v>
      </c>
      <c r="J148" s="1258">
        <f>I148-H148</f>
        <v>-19017.886326011969</v>
      </c>
      <c r="K148" s="1343">
        <f>I148/$X$40</f>
        <v>1.5652107757666931E-2</v>
      </c>
      <c r="L148" s="1343">
        <f>I148/$X$41</f>
        <v>1.6520262760047456E-2</v>
      </c>
      <c r="M148" s="1343">
        <f>G148*10/Q148</f>
        <v>3.7588184622878449E-3</v>
      </c>
      <c r="N148" s="1225"/>
      <c r="O148" s="1226">
        <f>I148/$Q$8</f>
        <v>1.5652107734226147E-2</v>
      </c>
      <c r="P148" s="1227"/>
      <c r="Q148" s="1228">
        <v>3515998480</v>
      </c>
      <c r="R148" s="1229">
        <v>283700906</v>
      </c>
      <c r="S148" s="1229">
        <f t="shared" si="23"/>
        <v>283700.90600000002</v>
      </c>
      <c r="T148" s="1229">
        <v>295202700</v>
      </c>
      <c r="U148" s="1229">
        <f t="shared" si="24"/>
        <v>295202.7</v>
      </c>
      <c r="V148" s="1302">
        <v>3515998</v>
      </c>
      <c r="W148" s="1230"/>
      <c r="X148" s="1218"/>
    </row>
    <row r="149" spans="1:24" s="1219" customFormat="1" ht="13.8">
      <c r="C149" s="1197"/>
      <c r="D149" s="1197"/>
      <c r="E149" s="1197"/>
      <c r="F149" s="1197"/>
      <c r="G149" s="1197"/>
      <c r="H149" s="1197">
        <f>SUM(H145:H148)</f>
        <v>632941.05477561301</v>
      </c>
      <c r="I149" s="1197">
        <f>ROUND(SUM(I145:I148),0)</f>
        <v>590763</v>
      </c>
      <c r="J149" s="1197">
        <f>ROUND(SUM(J145:J148),0)</f>
        <v>-42178</v>
      </c>
      <c r="K149" s="1246">
        <f>SUM(K145:K148)</f>
        <v>5.2170324094440904E-2</v>
      </c>
      <c r="L149" s="1246">
        <f>SUM(L145:L148)</f>
        <v>5.5063987270010127E-2</v>
      </c>
      <c r="M149" s="1324"/>
      <c r="N149" s="1320">
        <f>I149/'6.2'!$S$3</f>
        <v>5.5295855097065839E-2</v>
      </c>
      <c r="O149" s="1226">
        <f>I149/$Q$8</f>
        <v>5.529585501425411E-2</v>
      </c>
      <c r="P149" s="1227"/>
      <c r="Q149" s="1325"/>
      <c r="R149" s="1326"/>
      <c r="S149" s="1229">
        <f t="shared" si="23"/>
        <v>0</v>
      </c>
      <c r="T149" s="1326"/>
      <c r="U149" s="1229">
        <f t="shared" si="24"/>
        <v>0</v>
      </c>
      <c r="V149" s="1302"/>
      <c r="W149" s="1230"/>
      <c r="X149" s="1218"/>
    </row>
    <row r="150" spans="1:24" s="1219" customFormat="1" ht="6" customHeight="1">
      <c r="C150" s="1197"/>
      <c r="D150" s="1197"/>
      <c r="E150" s="1197"/>
      <c r="F150" s="1197"/>
      <c r="G150" s="1197"/>
      <c r="H150" s="1197"/>
      <c r="I150" s="1197"/>
      <c r="J150" s="1197"/>
      <c r="K150" s="1329"/>
      <c r="L150" s="1246"/>
      <c r="M150" s="1324"/>
      <c r="N150" s="1320"/>
      <c r="O150" s="1320"/>
      <c r="P150" s="1320"/>
      <c r="Q150" s="1325"/>
      <c r="R150" s="1326"/>
      <c r="S150" s="1229">
        <f>R150/1000</f>
        <v>0</v>
      </c>
      <c r="T150" s="1326"/>
      <c r="U150" s="1229">
        <f>T150/1000</f>
        <v>0</v>
      </c>
      <c r="V150" s="1302"/>
      <c r="W150" s="1230"/>
      <c r="X150" s="1218"/>
    </row>
    <row r="151" spans="1:24" s="1219" customFormat="1" ht="14.4" thickBot="1">
      <c r="A151" s="1344"/>
      <c r="B151" s="1344" t="s">
        <v>2444</v>
      </c>
      <c r="C151" s="1197"/>
      <c r="D151" s="1197"/>
      <c r="E151" s="1197"/>
      <c r="F151" s="1197"/>
      <c r="G151" s="1221"/>
      <c r="H151" s="1345">
        <f>ROUND((H20+H25+H29+H37+H51+H65+H71+H77+H89+H92+H95+H98+H104+H113+H116+H85+H120+H126+H129+H143+H149),0)</f>
        <v>10922183</v>
      </c>
      <c r="I151" s="1345">
        <f>I20+I25+I29+I37+I51+I65+I71+I77+I89+I92+I95+I98+I104+I113+I116+I85+I120+I126+I143+I149+I82-525</f>
        <v>9628876.8591499999</v>
      </c>
      <c r="J151" s="1345">
        <f>J20+J25+J29+J37+J51+J65+J71+J77+J89+J92+J95+J98+J104+J113+J116+J85+J120+J126+J143+J149+J82-537+0.5</f>
        <v>-1249948.1930140001</v>
      </c>
      <c r="K151" s="1346">
        <f>K20+K25+K29+K37+K51+K65+K71+K77+K89+K92+K95+K98+K104+K113+K116+K85+K120+K126+K129+K143+K149</f>
        <v>0.8678531425101248</v>
      </c>
      <c r="L151" s="1347">
        <f>L20+L25+L29+L37+L51+L65+L71+L77+L89+L92+L95+L98+L104+L113+L116+L85+L120+L126+L129+L143+L149</f>
        <v>0.91432524762159839</v>
      </c>
      <c r="M151" s="1226"/>
      <c r="N151" s="1226">
        <f>I151/BS!F28</f>
        <v>0.9012700164933567</v>
      </c>
      <c r="O151" s="1227">
        <f>I151/$Q$8</f>
        <v>0.9012700164933567</v>
      </c>
      <c r="P151" s="1227"/>
      <c r="Q151" s="1331">
        <f>I151/BS!F12</f>
        <v>0.9512595823838822</v>
      </c>
      <c r="R151" s="1238"/>
      <c r="S151" s="1229">
        <f>R151/1000</f>
        <v>0</v>
      </c>
      <c r="T151" s="1238"/>
      <c r="U151" s="1229">
        <f>T151/1000</f>
        <v>0</v>
      </c>
      <c r="X151" s="1218"/>
    </row>
    <row r="152" spans="1:24" s="1219" customFormat="1" ht="6" customHeight="1" thickTop="1">
      <c r="A152" s="1344"/>
      <c r="B152" s="1344"/>
      <c r="C152" s="1197"/>
      <c r="D152" s="1197"/>
      <c r="E152" s="1197"/>
      <c r="F152" s="1197"/>
      <c r="G152" s="1221"/>
      <c r="H152" s="1221"/>
      <c r="I152" s="1221"/>
      <c r="J152" s="1221"/>
      <c r="K152" s="1348"/>
      <c r="L152" s="1348"/>
      <c r="M152" s="1324"/>
      <c r="N152" s="1349"/>
      <c r="O152" s="1349"/>
      <c r="P152" s="1349"/>
      <c r="Q152" s="1325"/>
      <c r="R152" s="1302"/>
      <c r="S152" s="1229">
        <f>R152/1000</f>
        <v>0</v>
      </c>
      <c r="T152" s="1302"/>
      <c r="U152" s="1229">
        <f>T152/1000</f>
        <v>0</v>
      </c>
      <c r="W152" s="1230"/>
      <c r="X152" s="1218"/>
    </row>
    <row r="153" spans="1:24" s="1219" customFormat="1" ht="14.4" thickBot="1">
      <c r="A153" s="1344"/>
      <c r="B153" s="1344" t="s">
        <v>2445</v>
      </c>
      <c r="C153" s="1197"/>
      <c r="D153" s="1197"/>
      <c r="E153" s="1197"/>
      <c r="F153" s="1197"/>
      <c r="G153" s="1221"/>
      <c r="H153" s="1350">
        <v>7657790</v>
      </c>
      <c r="I153" s="1350">
        <v>7481528</v>
      </c>
      <c r="J153" s="1350">
        <v>-176262</v>
      </c>
      <c r="K153" s="1351">
        <v>0.6431</v>
      </c>
      <c r="L153" s="1352">
        <v>0.76239999999999997</v>
      </c>
      <c r="M153" s="1353"/>
      <c r="O153" s="1227"/>
      <c r="P153" s="1227"/>
      <c r="Q153" s="1218"/>
      <c r="S153" s="1229">
        <f>R153/1000</f>
        <v>0</v>
      </c>
      <c r="U153" s="1229">
        <f>T153/1000</f>
        <v>0</v>
      </c>
      <c r="X153" s="1218"/>
    </row>
    <row r="154" spans="1:24" s="1182" customFormat="1" ht="5.0999999999999996" customHeight="1" thickTop="1">
      <c r="A154" s="1354"/>
      <c r="B154" s="1369"/>
      <c r="C154" s="1184"/>
      <c r="D154" s="1355"/>
      <c r="E154" s="1355"/>
      <c r="F154" s="1355"/>
      <c r="G154" s="1184"/>
      <c r="H154" s="1197"/>
      <c r="I154" s="1197"/>
      <c r="J154" s="1197"/>
      <c r="K154" s="1244"/>
      <c r="L154" s="1263"/>
      <c r="Q154" s="1187"/>
    </row>
    <row r="155" spans="1:24" s="1182" customFormat="1" ht="10.35" customHeight="1">
      <c r="A155" s="1354"/>
      <c r="B155" s="1369"/>
      <c r="C155" s="1184"/>
      <c r="D155" s="1355"/>
      <c r="E155" s="1355"/>
      <c r="F155" s="1355"/>
      <c r="G155" s="1184"/>
      <c r="H155" s="1221"/>
      <c r="J155" s="1356"/>
      <c r="Q155" s="1187"/>
    </row>
    <row r="156" spans="1:24">
      <c r="H156" s="1181"/>
    </row>
    <row r="157" spans="1:24" ht="13.8">
      <c r="H157" s="1221"/>
    </row>
    <row r="158" spans="1:24">
      <c r="T158" s="1356">
        <f>9628877345/1000</f>
        <v>9628877.3450000007</v>
      </c>
      <c r="U158" s="1190">
        <f>-1249948500.98/1000</f>
        <v>-1249948.50098</v>
      </c>
    </row>
    <row r="159" spans="1:24">
      <c r="T159" s="1190"/>
      <c r="U159" s="1190"/>
    </row>
    <row r="160" spans="1:24">
      <c r="T160" s="1190">
        <f>I151-T158</f>
        <v>-0.48585000075399876</v>
      </c>
      <c r="U160" s="1190">
        <f>J151-U158</f>
        <v>0.30796599993482232</v>
      </c>
    </row>
    <row r="161" spans="20:21">
      <c r="T161" s="1190"/>
      <c r="U161" s="1190"/>
    </row>
    <row r="265" spans="2:10">
      <c r="G265" s="1190">
        <f>'6.2'!E43+G151</f>
        <v>0</v>
      </c>
      <c r="J265" s="1190">
        <v>208762976</v>
      </c>
    </row>
    <row r="266" spans="2:10">
      <c r="J266" s="1190">
        <f>J265/1000</f>
        <v>208762.976</v>
      </c>
    </row>
    <row r="267" spans="2:10">
      <c r="B267" s="1179">
        <v>162.79</v>
      </c>
      <c r="C267" s="1188">
        <f>B267*1000000</f>
        <v>162790000</v>
      </c>
    </row>
    <row r="268" spans="2:10">
      <c r="C268" s="1188"/>
      <c r="J268" s="1190" t="e">
        <f>'6.2'!#REF!-J266</f>
        <v>#REF!</v>
      </c>
    </row>
    <row r="269" spans="2:10">
      <c r="B269" s="1179">
        <v>91</v>
      </c>
      <c r="C269" s="1188">
        <f>B269*2000000</f>
        <v>182000000</v>
      </c>
    </row>
    <row r="558" spans="2:12" ht="12" customHeight="1">
      <c r="B558" s="2443" t="s">
        <v>2408</v>
      </c>
      <c r="C558" s="2443"/>
      <c r="D558" s="2443"/>
      <c r="E558" s="2443"/>
      <c r="F558" s="2443"/>
      <c r="G558" s="2443"/>
      <c r="H558" s="2443"/>
      <c r="I558" s="2443"/>
      <c r="J558" s="2443"/>
      <c r="K558" s="2443"/>
      <c r="L558" s="2443"/>
    </row>
    <row r="559" spans="2:12" ht="12" customHeight="1">
      <c r="B559" s="2443"/>
      <c r="C559" s="2443"/>
      <c r="D559" s="2443"/>
      <c r="E559" s="2443"/>
      <c r="F559" s="2443"/>
      <c r="G559" s="2443"/>
      <c r="H559" s="2443"/>
      <c r="I559" s="2443"/>
      <c r="J559" s="2443"/>
      <c r="K559" s="2443"/>
      <c r="L559" s="2443"/>
    </row>
    <row r="560" spans="2:12" ht="12" customHeight="1">
      <c r="B560" s="2443"/>
      <c r="C560" s="2443"/>
      <c r="D560" s="2443"/>
      <c r="E560" s="2443"/>
      <c r="F560" s="2443"/>
      <c r="G560" s="2443"/>
      <c r="H560" s="2443"/>
      <c r="I560" s="2443"/>
      <c r="J560" s="2443"/>
      <c r="K560" s="2443"/>
      <c r="L560" s="2443"/>
    </row>
    <row r="562" spans="1:1">
      <c r="A562" s="1179">
        <f>A558+0.1</f>
        <v>0.1</v>
      </c>
    </row>
    <row r="699" spans="3:3">
      <c r="C699" s="1190" t="s">
        <v>2409</v>
      </c>
    </row>
    <row r="713" spans="3:3">
      <c r="C713" s="1190" t="s">
        <v>2410</v>
      </c>
    </row>
  </sheetData>
  <mergeCells count="52">
    <mergeCell ref="B558:L560"/>
    <mergeCell ref="K13:M13"/>
    <mergeCell ref="C13:G13"/>
    <mergeCell ref="I7:I12"/>
    <mergeCell ref="F6:F12"/>
    <mergeCell ref="K6:L7"/>
    <mergeCell ref="M6:M12"/>
    <mergeCell ref="J7:J12"/>
    <mergeCell ref="H7:H12"/>
    <mergeCell ref="G6:G12"/>
    <mergeCell ref="H6:J6"/>
    <mergeCell ref="K8:K12"/>
    <mergeCell ref="L8:L12"/>
    <mergeCell ref="H13:J13"/>
    <mergeCell ref="C46:G46"/>
    <mergeCell ref="B6:B12"/>
    <mergeCell ref="C6:C12"/>
    <mergeCell ref="D6:D12"/>
    <mergeCell ref="E6:E12"/>
    <mergeCell ref="B40:B45"/>
    <mergeCell ref="C40:C45"/>
    <mergeCell ref="D40:D45"/>
    <mergeCell ref="E40:E45"/>
    <mergeCell ref="F40:F45"/>
    <mergeCell ref="G40:G45"/>
    <mergeCell ref="K46:M46"/>
    <mergeCell ref="K40:L41"/>
    <mergeCell ref="M40:M45"/>
    <mergeCell ref="H41:H45"/>
    <mergeCell ref="I41:I45"/>
    <mergeCell ref="J41:J45"/>
    <mergeCell ref="K42:K45"/>
    <mergeCell ref="H40:J40"/>
    <mergeCell ref="H46:J46"/>
    <mergeCell ref="L42:L45"/>
    <mergeCell ref="B132:B137"/>
    <mergeCell ref="L134:L137"/>
    <mergeCell ref="K134:K137"/>
    <mergeCell ref="J133:J137"/>
    <mergeCell ref="I133:I137"/>
    <mergeCell ref="H133:H137"/>
    <mergeCell ref="E132:E137"/>
    <mergeCell ref="F132:F137"/>
    <mergeCell ref="M132:M137"/>
    <mergeCell ref="K132:L133"/>
    <mergeCell ref="H132:J132"/>
    <mergeCell ref="G132:G137"/>
    <mergeCell ref="K138:M138"/>
    <mergeCell ref="H138:J138"/>
    <mergeCell ref="C138:G138"/>
    <mergeCell ref="D132:D137"/>
    <mergeCell ref="C132:C137"/>
  </mergeCells>
  <pageMargins left="0.75" right="0.5" top="0.7" bottom="0.4" header="0.45" footer="0.3"/>
  <pageSetup paperSize="9" fitToHeight="0" orientation="portrait" r:id="rId1"/>
  <rowBreaks count="1" manualBreakCount="1">
    <brk id="214" max="13" man="1"/>
  </rowBreaks>
  <ignoredErrors>
    <ignoredError sqref="K147:L14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5"/>
  <sheetViews>
    <sheetView topLeftCell="A112" zoomScale="85" zoomScaleNormal="85" workbookViewId="0">
      <selection activeCell="B136" sqref="B136"/>
    </sheetView>
  </sheetViews>
  <sheetFormatPr defaultRowHeight="15.6"/>
  <cols>
    <col min="3" max="3" width="13.59765625" customWidth="1"/>
  </cols>
  <sheetData>
    <row r="1" spans="1:9">
      <c r="A1" s="383" t="s">
        <v>1177</v>
      </c>
      <c r="B1" s="383"/>
      <c r="C1" s="383"/>
      <c r="D1" s="383"/>
      <c r="E1" s="383"/>
      <c r="F1" s="383"/>
      <c r="G1" s="383"/>
      <c r="H1" s="383"/>
      <c r="I1" s="383" t="s">
        <v>1178</v>
      </c>
    </row>
    <row r="2" spans="1:9">
      <c r="A2" s="383">
        <v>21490</v>
      </c>
      <c r="B2" s="383" t="s">
        <v>1179</v>
      </c>
      <c r="C2" s="383" t="s">
        <v>1180</v>
      </c>
      <c r="D2" s="383">
        <v>806</v>
      </c>
      <c r="E2" s="383" t="s">
        <v>1181</v>
      </c>
      <c r="F2" s="383">
        <v>5000000</v>
      </c>
      <c r="G2" s="383"/>
      <c r="H2" s="383">
        <v>10</v>
      </c>
      <c r="I2" s="383">
        <f>F2*H2</f>
        <v>50000000</v>
      </c>
    </row>
    <row r="3" spans="1:9">
      <c r="A3" s="383">
        <v>21498</v>
      </c>
      <c r="B3" s="383" t="s">
        <v>1182</v>
      </c>
      <c r="C3" s="383" t="s">
        <v>1183</v>
      </c>
      <c r="D3" s="383">
        <v>806</v>
      </c>
      <c r="E3" s="383" t="s">
        <v>1181</v>
      </c>
      <c r="F3" s="383">
        <v>58075000</v>
      </c>
      <c r="G3" s="383"/>
      <c r="H3" s="383">
        <v>10</v>
      </c>
      <c r="I3" s="383">
        <f t="shared" ref="I3:I66" si="0">F3*H3</f>
        <v>580750000</v>
      </c>
    </row>
    <row r="4" spans="1:9">
      <c r="A4" s="383">
        <v>21500</v>
      </c>
      <c r="B4" s="383" t="s">
        <v>1184</v>
      </c>
      <c r="C4" s="383" t="s">
        <v>1185</v>
      </c>
      <c r="D4" s="383">
        <v>806</v>
      </c>
      <c r="E4" s="383" t="s">
        <v>1181</v>
      </c>
      <c r="F4" s="383">
        <v>152098344</v>
      </c>
      <c r="G4" s="383"/>
      <c r="H4" s="383">
        <v>5</v>
      </c>
      <c r="I4" s="383">
        <f t="shared" si="0"/>
        <v>760491720</v>
      </c>
    </row>
    <row r="5" spans="1:9">
      <c r="A5" s="383">
        <v>21900</v>
      </c>
      <c r="B5" s="383" t="s">
        <v>1186</v>
      </c>
      <c r="C5" s="383" t="s">
        <v>1187</v>
      </c>
      <c r="D5" s="383">
        <v>806</v>
      </c>
      <c r="E5" s="383" t="s">
        <v>1181</v>
      </c>
      <c r="F5" s="383">
        <v>283500000</v>
      </c>
      <c r="G5" s="383"/>
      <c r="H5" s="383">
        <v>10</v>
      </c>
      <c r="I5" s="383">
        <f t="shared" si="0"/>
        <v>2835000000</v>
      </c>
    </row>
    <row r="6" spans="1:9">
      <c r="A6" s="383">
        <v>21902</v>
      </c>
      <c r="B6" s="383" t="s">
        <v>1188</v>
      </c>
      <c r="C6" s="383" t="s">
        <v>1189</v>
      </c>
      <c r="D6" s="383">
        <v>806</v>
      </c>
      <c r="E6" s="383" t="s">
        <v>1181</v>
      </c>
      <c r="F6" s="383">
        <v>10000000</v>
      </c>
      <c r="G6" s="383"/>
      <c r="H6" s="383">
        <v>10</v>
      </c>
      <c r="I6" s="383">
        <f t="shared" si="0"/>
        <v>100000000</v>
      </c>
    </row>
    <row r="7" spans="1:9">
      <c r="A7" s="383">
        <v>21903</v>
      </c>
      <c r="B7" s="383" t="s">
        <v>1190</v>
      </c>
      <c r="C7" s="383" t="s">
        <v>1191</v>
      </c>
      <c r="D7" s="383">
        <v>806</v>
      </c>
      <c r="E7" s="383" t="s">
        <v>1181</v>
      </c>
      <c r="F7" s="383">
        <v>284125000</v>
      </c>
      <c r="G7" s="383"/>
      <c r="H7" s="383">
        <v>10</v>
      </c>
      <c r="I7" s="383">
        <f t="shared" si="0"/>
        <v>2841250000</v>
      </c>
    </row>
    <row r="8" spans="1:9">
      <c r="A8" s="383">
        <v>21913</v>
      </c>
      <c r="B8" s="383" t="s">
        <v>1192</v>
      </c>
      <c r="C8" s="383" t="s">
        <v>1193</v>
      </c>
      <c r="D8" s="383">
        <v>819</v>
      </c>
      <c r="E8" s="383" t="s">
        <v>1194</v>
      </c>
      <c r="F8" s="383">
        <v>45000000</v>
      </c>
      <c r="G8" s="383"/>
      <c r="H8" s="383">
        <v>10</v>
      </c>
      <c r="I8" s="383">
        <f t="shared" si="0"/>
        <v>450000000</v>
      </c>
    </row>
    <row r="9" spans="1:9">
      <c r="A9" s="383">
        <v>21920</v>
      </c>
      <c r="B9" s="383" t="s">
        <v>1195</v>
      </c>
      <c r="C9" s="383" t="s">
        <v>1196</v>
      </c>
      <c r="D9" s="383">
        <v>806</v>
      </c>
      <c r="E9" s="383" t="s">
        <v>1181</v>
      </c>
      <c r="F9" s="383">
        <v>6000000</v>
      </c>
      <c r="G9" s="383"/>
      <c r="H9" s="383">
        <v>10</v>
      </c>
      <c r="I9" s="383">
        <f t="shared" si="0"/>
        <v>60000000</v>
      </c>
    </row>
    <row r="10" spans="1:9">
      <c r="A10" s="383">
        <v>21940</v>
      </c>
      <c r="B10" s="383" t="s">
        <v>1197</v>
      </c>
      <c r="C10" s="383" t="s">
        <v>1198</v>
      </c>
      <c r="D10" s="383">
        <v>806</v>
      </c>
      <c r="E10" s="383" t="s">
        <v>1181</v>
      </c>
      <c r="F10" s="383">
        <v>5000000</v>
      </c>
      <c r="G10" s="383"/>
      <c r="H10" s="383">
        <v>10</v>
      </c>
      <c r="I10" s="383">
        <f t="shared" si="0"/>
        <v>50000000</v>
      </c>
    </row>
    <row r="11" spans="1:9">
      <c r="A11" s="383">
        <v>30980</v>
      </c>
      <c r="B11" s="383" t="s">
        <v>1199</v>
      </c>
      <c r="C11" s="383" t="s">
        <v>1200</v>
      </c>
      <c r="D11" s="383">
        <v>819</v>
      </c>
      <c r="E11" s="383" t="s">
        <v>1194</v>
      </c>
      <c r="F11" s="383">
        <v>21000000</v>
      </c>
      <c r="G11" s="383"/>
      <c r="H11" s="383">
        <v>10</v>
      </c>
      <c r="I11" s="383">
        <f t="shared" si="0"/>
        <v>210000000</v>
      </c>
    </row>
    <row r="12" spans="1:9">
      <c r="A12" s="383">
        <v>31010</v>
      </c>
      <c r="B12" s="383" t="s">
        <v>1201</v>
      </c>
      <c r="C12" s="383" t="s">
        <v>1202</v>
      </c>
      <c r="D12" s="383">
        <v>819</v>
      </c>
      <c r="E12" s="383" t="s">
        <v>1194</v>
      </c>
      <c r="F12" s="383">
        <v>175500000</v>
      </c>
      <c r="G12" s="383"/>
      <c r="H12" s="383">
        <v>10</v>
      </c>
      <c r="I12" s="383">
        <f t="shared" si="0"/>
        <v>1755000000</v>
      </c>
    </row>
    <row r="13" spans="1:9">
      <c r="A13" s="383">
        <v>31013</v>
      </c>
      <c r="B13" s="383" t="s">
        <v>1203</v>
      </c>
      <c r="C13" s="383" t="s">
        <v>1204</v>
      </c>
      <c r="D13" s="383">
        <v>819</v>
      </c>
      <c r="E13" s="383" t="s">
        <v>1194</v>
      </c>
      <c r="F13" s="383">
        <v>24500000</v>
      </c>
      <c r="G13" s="383"/>
      <c r="H13" s="383">
        <v>10</v>
      </c>
      <c r="I13" s="383">
        <f t="shared" si="0"/>
        <v>245000000</v>
      </c>
    </row>
    <row r="14" spans="1:9">
      <c r="A14" s="383">
        <v>31040</v>
      </c>
      <c r="B14" s="383" t="s">
        <v>1205</v>
      </c>
      <c r="C14" s="383" t="s">
        <v>1206</v>
      </c>
      <c r="D14" s="383">
        <v>819</v>
      </c>
      <c r="E14" s="383" t="s">
        <v>1194</v>
      </c>
      <c r="F14" s="383">
        <v>7515158</v>
      </c>
      <c r="G14" s="383"/>
      <c r="H14" s="383">
        <v>10</v>
      </c>
      <c r="I14" s="383">
        <f t="shared" si="0"/>
        <v>75151580</v>
      </c>
    </row>
    <row r="15" spans="1:9">
      <c r="A15" s="383">
        <v>31060</v>
      </c>
      <c r="B15" s="383" t="s">
        <v>1207</v>
      </c>
      <c r="C15" s="383" t="s">
        <v>1208</v>
      </c>
      <c r="D15" s="383">
        <v>819</v>
      </c>
      <c r="E15" s="383" t="s">
        <v>1194</v>
      </c>
      <c r="F15" s="383">
        <v>78046255</v>
      </c>
      <c r="G15" s="383"/>
      <c r="H15" s="383">
        <v>10</v>
      </c>
      <c r="I15" s="383">
        <f t="shared" si="0"/>
        <v>780462550</v>
      </c>
    </row>
    <row r="16" spans="1:9">
      <c r="A16" s="383">
        <v>31120</v>
      </c>
      <c r="B16" s="383" t="s">
        <v>1209</v>
      </c>
      <c r="C16" s="383" t="s">
        <v>1210</v>
      </c>
      <c r="D16" s="383">
        <v>819</v>
      </c>
      <c r="E16" s="383" t="s">
        <v>1194</v>
      </c>
      <c r="F16" s="383">
        <v>6462500</v>
      </c>
      <c r="G16" s="383"/>
      <c r="H16" s="383">
        <v>10</v>
      </c>
      <c r="I16" s="383">
        <f t="shared" si="0"/>
        <v>64625000</v>
      </c>
    </row>
    <row r="17" spans="1:9">
      <c r="A17" s="383">
        <v>31150</v>
      </c>
      <c r="B17" s="383" t="s">
        <v>1211</v>
      </c>
      <c r="C17" s="383" t="s">
        <v>1212</v>
      </c>
      <c r="D17" s="383">
        <v>819</v>
      </c>
      <c r="E17" s="383" t="s">
        <v>1194</v>
      </c>
      <c r="F17" s="383">
        <v>3000000</v>
      </c>
      <c r="G17" s="383"/>
      <c r="H17" s="383">
        <v>10</v>
      </c>
      <c r="I17" s="383">
        <f t="shared" si="0"/>
        <v>30000000</v>
      </c>
    </row>
    <row r="18" spans="1:9">
      <c r="A18" s="383">
        <v>31180</v>
      </c>
      <c r="B18" s="383" t="s">
        <v>1213</v>
      </c>
      <c r="C18" s="383" t="s">
        <v>1214</v>
      </c>
      <c r="D18" s="383">
        <v>819</v>
      </c>
      <c r="E18" s="383" t="s">
        <v>1194</v>
      </c>
      <c r="F18" s="383">
        <v>11340000</v>
      </c>
      <c r="G18" s="383"/>
      <c r="H18" s="383">
        <v>10</v>
      </c>
      <c r="I18" s="383">
        <f t="shared" si="0"/>
        <v>113400000</v>
      </c>
    </row>
    <row r="19" spans="1:9">
      <c r="A19" s="383">
        <v>31220</v>
      </c>
      <c r="B19" s="383" t="s">
        <v>1215</v>
      </c>
      <c r="C19" s="383" t="s">
        <v>1216</v>
      </c>
      <c r="D19" s="383">
        <v>819</v>
      </c>
      <c r="E19" s="383" t="s">
        <v>1194</v>
      </c>
      <c r="F19" s="383">
        <v>52440000</v>
      </c>
      <c r="G19" s="383"/>
      <c r="H19" s="383">
        <v>10</v>
      </c>
      <c r="I19" s="383">
        <f t="shared" si="0"/>
        <v>524400000</v>
      </c>
    </row>
    <row r="20" spans="1:9">
      <c r="A20" s="383">
        <v>31230</v>
      </c>
      <c r="B20" s="383" t="s">
        <v>1217</v>
      </c>
      <c r="C20" s="383" t="s">
        <v>1218</v>
      </c>
      <c r="D20" s="383">
        <v>819</v>
      </c>
      <c r="E20" s="383" t="s">
        <v>1194</v>
      </c>
      <c r="F20" s="383">
        <v>20000000</v>
      </c>
      <c r="G20" s="383"/>
      <c r="H20" s="383">
        <v>10</v>
      </c>
      <c r="I20" s="383">
        <f t="shared" si="0"/>
        <v>200000000</v>
      </c>
    </row>
    <row r="21" spans="1:9">
      <c r="A21" s="383">
        <v>31235</v>
      </c>
      <c r="B21" s="383" t="s">
        <v>1219</v>
      </c>
      <c r="C21" s="383" t="s">
        <v>1220</v>
      </c>
      <c r="D21" s="383">
        <v>819</v>
      </c>
      <c r="E21" s="383" t="s">
        <v>1194</v>
      </c>
      <c r="F21" s="383">
        <v>26413804</v>
      </c>
      <c r="G21" s="383"/>
      <c r="H21" s="383">
        <v>10</v>
      </c>
      <c r="I21" s="383">
        <f t="shared" si="0"/>
        <v>264138040</v>
      </c>
    </row>
    <row r="22" spans="1:9">
      <c r="A22" s="383">
        <v>31260</v>
      </c>
      <c r="B22" s="383" t="s">
        <v>1221</v>
      </c>
      <c r="C22" s="383" t="s">
        <v>1222</v>
      </c>
      <c r="D22" s="383">
        <v>819</v>
      </c>
      <c r="E22" s="383" t="s">
        <v>1194</v>
      </c>
      <c r="F22" s="383">
        <v>45383530</v>
      </c>
      <c r="G22" s="383"/>
      <c r="H22" s="383">
        <v>10</v>
      </c>
      <c r="I22" s="383">
        <f t="shared" si="0"/>
        <v>453835300</v>
      </c>
    </row>
    <row r="23" spans="1:9">
      <c r="A23" s="383">
        <v>31300</v>
      </c>
      <c r="B23" s="383" t="s">
        <v>1223</v>
      </c>
      <c r="C23" s="383" t="s">
        <v>1224</v>
      </c>
      <c r="D23" s="383">
        <v>819</v>
      </c>
      <c r="E23" s="383" t="s">
        <v>1194</v>
      </c>
      <c r="F23" s="383">
        <v>201600000</v>
      </c>
      <c r="G23" s="383"/>
      <c r="H23" s="383">
        <v>10</v>
      </c>
      <c r="I23" s="383">
        <f t="shared" si="0"/>
        <v>2016000000</v>
      </c>
    </row>
    <row r="24" spans="1:9">
      <c r="A24" s="383">
        <v>31305</v>
      </c>
      <c r="B24" s="383" t="s">
        <v>1225</v>
      </c>
      <c r="C24" s="383" t="s">
        <v>1226</v>
      </c>
      <c r="D24" s="383">
        <v>819</v>
      </c>
      <c r="E24" s="383" t="s">
        <v>1194</v>
      </c>
      <c r="F24" s="383">
        <v>30000000</v>
      </c>
      <c r="G24" s="383"/>
      <c r="H24" s="383">
        <v>10</v>
      </c>
      <c r="I24" s="383">
        <f t="shared" si="0"/>
        <v>300000000</v>
      </c>
    </row>
    <row r="25" spans="1:9">
      <c r="A25" s="383">
        <v>31310</v>
      </c>
      <c r="B25" s="383" t="s">
        <v>1227</v>
      </c>
      <c r="C25" s="383" t="s">
        <v>1228</v>
      </c>
      <c r="D25" s="383">
        <v>819</v>
      </c>
      <c r="E25" s="383" t="s">
        <v>1194</v>
      </c>
      <c r="F25" s="383">
        <v>195599994</v>
      </c>
      <c r="G25" s="383"/>
      <c r="H25" s="383">
        <v>10</v>
      </c>
      <c r="I25" s="383">
        <f t="shared" si="0"/>
        <v>1955999940</v>
      </c>
    </row>
    <row r="26" spans="1:9">
      <c r="A26" s="383">
        <v>31330</v>
      </c>
      <c r="B26" s="383" t="s">
        <v>1229</v>
      </c>
      <c r="C26" s="383" t="s">
        <v>1230</v>
      </c>
      <c r="D26" s="383">
        <v>819</v>
      </c>
      <c r="E26" s="383" t="s">
        <v>1194</v>
      </c>
      <c r="F26" s="383">
        <v>20187500</v>
      </c>
      <c r="G26" s="383"/>
      <c r="H26" s="383">
        <v>10</v>
      </c>
      <c r="I26" s="383">
        <f t="shared" si="0"/>
        <v>201875000</v>
      </c>
    </row>
    <row r="27" spans="1:9">
      <c r="A27" s="383">
        <v>31350</v>
      </c>
      <c r="B27" s="383" t="s">
        <v>1231</v>
      </c>
      <c r="C27" s="383" t="s">
        <v>1232</v>
      </c>
      <c r="D27" s="383">
        <v>819</v>
      </c>
      <c r="E27" s="383" t="s">
        <v>1194</v>
      </c>
      <c r="F27" s="383">
        <v>3000000</v>
      </c>
      <c r="G27" s="383"/>
      <c r="H27" s="383">
        <v>10</v>
      </c>
      <c r="I27" s="383">
        <f t="shared" si="0"/>
        <v>30000000</v>
      </c>
    </row>
    <row r="28" spans="1:9">
      <c r="A28" s="383">
        <v>31355</v>
      </c>
      <c r="B28" s="383" t="s">
        <v>1233</v>
      </c>
      <c r="C28" s="383" t="s">
        <v>1234</v>
      </c>
      <c r="D28" s="383">
        <v>819</v>
      </c>
      <c r="E28" s="383" t="s">
        <v>1194</v>
      </c>
      <c r="F28" s="383">
        <v>10000000</v>
      </c>
      <c r="G28" s="383"/>
      <c r="H28" s="383">
        <v>10</v>
      </c>
      <c r="I28" s="383">
        <f t="shared" si="0"/>
        <v>100000000</v>
      </c>
    </row>
    <row r="29" spans="1:9">
      <c r="A29" s="383">
        <v>31420</v>
      </c>
      <c r="B29" s="383" t="s">
        <v>1235</v>
      </c>
      <c r="C29" s="383" t="s">
        <v>1236</v>
      </c>
      <c r="D29" s="383">
        <v>819</v>
      </c>
      <c r="E29" s="383" t="s">
        <v>1194</v>
      </c>
      <c r="F29" s="383">
        <v>48066480</v>
      </c>
      <c r="G29" s="383"/>
      <c r="H29" s="383">
        <v>10</v>
      </c>
      <c r="I29" s="383">
        <f t="shared" si="0"/>
        <v>480664800</v>
      </c>
    </row>
    <row r="30" spans="1:9">
      <c r="A30" s="383">
        <v>31430</v>
      </c>
      <c r="B30" s="383" t="s">
        <v>1237</v>
      </c>
      <c r="C30" s="383" t="s">
        <v>1238</v>
      </c>
      <c r="D30" s="383">
        <v>819</v>
      </c>
      <c r="E30" s="383" t="s">
        <v>1194</v>
      </c>
      <c r="F30" s="383">
        <v>18423945</v>
      </c>
      <c r="G30" s="383"/>
      <c r="H30" s="383">
        <v>10</v>
      </c>
      <c r="I30" s="383">
        <f t="shared" si="0"/>
        <v>184239450</v>
      </c>
    </row>
    <row r="31" spans="1:9">
      <c r="A31" s="383">
        <v>31435</v>
      </c>
      <c r="B31" s="383" t="s">
        <v>1239</v>
      </c>
      <c r="C31" s="383" t="s">
        <v>1240</v>
      </c>
      <c r="D31" s="383">
        <v>819</v>
      </c>
      <c r="E31" s="383" t="s">
        <v>1194</v>
      </c>
      <c r="F31" s="383">
        <v>75000000</v>
      </c>
      <c r="G31" s="383"/>
      <c r="H31" s="383">
        <v>10</v>
      </c>
      <c r="I31" s="383">
        <f t="shared" si="0"/>
        <v>750000000</v>
      </c>
    </row>
    <row r="32" spans="1:9">
      <c r="A32" s="383">
        <v>31450</v>
      </c>
      <c r="B32" s="383" t="s">
        <v>1241</v>
      </c>
      <c r="C32" s="383" t="s">
        <v>1242</v>
      </c>
      <c r="D32" s="383">
        <v>819</v>
      </c>
      <c r="E32" s="383" t="s">
        <v>1194</v>
      </c>
      <c r="F32" s="383">
        <v>25000000</v>
      </c>
      <c r="G32" s="383"/>
      <c r="H32" s="383">
        <v>10</v>
      </c>
      <c r="I32" s="383">
        <f t="shared" si="0"/>
        <v>250000000</v>
      </c>
    </row>
    <row r="33" spans="1:9">
      <c r="A33" s="383">
        <v>31500</v>
      </c>
      <c r="B33" s="383" t="s">
        <v>1243</v>
      </c>
      <c r="C33" s="383" t="s">
        <v>1244</v>
      </c>
      <c r="D33" s="383">
        <v>819</v>
      </c>
      <c r="E33" s="383" t="s">
        <v>1194</v>
      </c>
      <c r="F33" s="383">
        <v>12540000</v>
      </c>
      <c r="G33" s="383"/>
      <c r="H33" s="383">
        <v>10</v>
      </c>
      <c r="I33" s="383">
        <f t="shared" si="0"/>
        <v>125400000</v>
      </c>
    </row>
    <row r="34" spans="1:9">
      <c r="A34" s="383">
        <v>31510</v>
      </c>
      <c r="B34" s="383" t="s">
        <v>1245</v>
      </c>
      <c r="C34" s="383" t="s">
        <v>1246</v>
      </c>
      <c r="D34" s="383">
        <v>819</v>
      </c>
      <c r="E34" s="383" t="s">
        <v>1194</v>
      </c>
      <c r="F34" s="383">
        <v>13788418</v>
      </c>
      <c r="G34" s="383"/>
      <c r="H34" s="383">
        <v>10</v>
      </c>
      <c r="I34" s="383">
        <f t="shared" si="0"/>
        <v>137884180</v>
      </c>
    </row>
    <row r="35" spans="1:9">
      <c r="A35" s="383">
        <v>31580</v>
      </c>
      <c r="B35" s="383" t="s">
        <v>1247</v>
      </c>
      <c r="C35" s="383" t="s">
        <v>1248</v>
      </c>
      <c r="D35" s="383">
        <v>819</v>
      </c>
      <c r="E35" s="383" t="s">
        <v>1194</v>
      </c>
      <c r="F35" s="383">
        <v>87217660</v>
      </c>
      <c r="G35" s="383"/>
      <c r="H35" s="383">
        <v>10</v>
      </c>
      <c r="I35" s="383">
        <f t="shared" si="0"/>
        <v>872176600</v>
      </c>
    </row>
    <row r="36" spans="1:9">
      <c r="A36" s="383">
        <v>31640</v>
      </c>
      <c r="B36" s="383" t="s">
        <v>1249</v>
      </c>
      <c r="C36" s="383" t="s">
        <v>1250</v>
      </c>
      <c r="D36" s="383">
        <v>819</v>
      </c>
      <c r="E36" s="383" t="s">
        <v>1194</v>
      </c>
      <c r="F36" s="383">
        <v>34020000</v>
      </c>
      <c r="G36" s="383"/>
      <c r="H36" s="383">
        <v>10</v>
      </c>
      <c r="I36" s="383">
        <f t="shared" si="0"/>
        <v>340200000</v>
      </c>
    </row>
    <row r="37" spans="1:9">
      <c r="A37" s="383">
        <v>31720</v>
      </c>
      <c r="B37" s="383" t="s">
        <v>1251</v>
      </c>
      <c r="C37" s="383" t="s">
        <v>1252</v>
      </c>
      <c r="D37" s="383">
        <v>819</v>
      </c>
      <c r="E37" s="383" t="s">
        <v>1194</v>
      </c>
      <c r="F37" s="383">
        <v>21163104</v>
      </c>
      <c r="G37" s="383"/>
      <c r="H37" s="383">
        <v>10</v>
      </c>
      <c r="I37" s="383">
        <f t="shared" si="0"/>
        <v>211631040</v>
      </c>
    </row>
    <row r="38" spans="1:9">
      <c r="A38" s="383">
        <v>31760</v>
      </c>
      <c r="B38" s="383" t="s">
        <v>1253</v>
      </c>
      <c r="C38" s="383" t="s">
        <v>1254</v>
      </c>
      <c r="D38" s="383">
        <v>819</v>
      </c>
      <c r="E38" s="383" t="s">
        <v>1194</v>
      </c>
      <c r="F38" s="383">
        <v>29800000</v>
      </c>
      <c r="G38" s="383"/>
      <c r="H38" s="383">
        <v>10</v>
      </c>
      <c r="I38" s="383">
        <f t="shared" si="0"/>
        <v>298000000</v>
      </c>
    </row>
    <row r="39" spans="1:9">
      <c r="A39" s="383">
        <v>31780</v>
      </c>
      <c r="B39" s="383" t="s">
        <v>1255</v>
      </c>
      <c r="C39" s="383" t="s">
        <v>1256</v>
      </c>
      <c r="D39" s="383">
        <v>819</v>
      </c>
      <c r="E39" s="383" t="s">
        <v>1194</v>
      </c>
      <c r="F39" s="383">
        <v>26386600</v>
      </c>
      <c r="G39" s="383"/>
      <c r="H39" s="383">
        <v>10</v>
      </c>
      <c r="I39" s="383">
        <f t="shared" si="0"/>
        <v>263866000</v>
      </c>
    </row>
    <row r="40" spans="1:9">
      <c r="A40" s="383">
        <v>31800</v>
      </c>
      <c r="B40" s="383" t="s">
        <v>1257</v>
      </c>
      <c r="C40" s="383" t="s">
        <v>1258</v>
      </c>
      <c r="D40" s="383">
        <v>819</v>
      </c>
      <c r="E40" s="383" t="s">
        <v>1194</v>
      </c>
      <c r="F40" s="383">
        <v>23640000</v>
      </c>
      <c r="G40" s="383"/>
      <c r="H40" s="383">
        <v>10</v>
      </c>
      <c r="I40" s="383">
        <f t="shared" si="0"/>
        <v>236400000</v>
      </c>
    </row>
    <row r="41" spans="1:9">
      <c r="A41" s="383">
        <v>41018</v>
      </c>
      <c r="B41" s="383" t="s">
        <v>1259</v>
      </c>
      <c r="C41" s="383" t="s">
        <v>1260</v>
      </c>
      <c r="D41" s="383">
        <v>815</v>
      </c>
      <c r="E41" s="383" t="s">
        <v>1261</v>
      </c>
      <c r="F41" s="383">
        <v>10744413</v>
      </c>
      <c r="G41" s="383"/>
      <c r="H41" s="383">
        <v>10</v>
      </c>
      <c r="I41" s="383">
        <f t="shared" si="0"/>
        <v>107444130</v>
      </c>
    </row>
    <row r="42" spans="1:9">
      <c r="A42" s="383">
        <v>41022</v>
      </c>
      <c r="B42" s="383" t="s">
        <v>1262</v>
      </c>
      <c r="C42" s="383" t="s">
        <v>1263</v>
      </c>
      <c r="D42" s="383">
        <v>815</v>
      </c>
      <c r="E42" s="383" t="s">
        <v>1261</v>
      </c>
      <c r="F42" s="383">
        <v>8000000</v>
      </c>
      <c r="G42" s="383"/>
      <c r="H42" s="383">
        <v>10</v>
      </c>
      <c r="I42" s="383">
        <f t="shared" si="0"/>
        <v>80000000</v>
      </c>
    </row>
    <row r="43" spans="1:9">
      <c r="A43" s="383">
        <v>41032</v>
      </c>
      <c r="B43" s="383" t="s">
        <v>1264</v>
      </c>
      <c r="C43" s="383" t="s">
        <v>1265</v>
      </c>
      <c r="D43" s="383">
        <v>815</v>
      </c>
      <c r="E43" s="383" t="s">
        <v>1261</v>
      </c>
      <c r="F43" s="383">
        <v>21500000</v>
      </c>
      <c r="G43" s="383"/>
      <c r="H43" s="383">
        <v>10</v>
      </c>
      <c r="I43" s="383">
        <f t="shared" si="0"/>
        <v>215000000</v>
      </c>
    </row>
    <row r="44" spans="1:9">
      <c r="A44" s="383">
        <v>41080</v>
      </c>
      <c r="B44" s="383" t="s">
        <v>1266</v>
      </c>
      <c r="C44" s="383" t="s">
        <v>1267</v>
      </c>
      <c r="D44" s="383">
        <v>815</v>
      </c>
      <c r="E44" s="383" t="s">
        <v>1261</v>
      </c>
      <c r="F44" s="383">
        <v>139212419</v>
      </c>
      <c r="G44" s="383"/>
      <c r="H44" s="383">
        <v>10</v>
      </c>
      <c r="I44" s="383">
        <f t="shared" si="0"/>
        <v>1392124190</v>
      </c>
    </row>
    <row r="45" spans="1:9">
      <c r="A45" s="383">
        <v>41097</v>
      </c>
      <c r="B45" s="383" t="s">
        <v>1268</v>
      </c>
      <c r="C45" s="383" t="s">
        <v>1269</v>
      </c>
      <c r="D45" s="383">
        <v>815</v>
      </c>
      <c r="E45" s="383" t="s">
        <v>1261</v>
      </c>
      <c r="F45" s="383">
        <v>25369800</v>
      </c>
      <c r="G45" s="383"/>
      <c r="H45" s="383">
        <v>10</v>
      </c>
      <c r="I45" s="383">
        <f t="shared" si="0"/>
        <v>253698000</v>
      </c>
    </row>
    <row r="46" spans="1:9">
      <c r="A46" s="383">
        <v>41100</v>
      </c>
      <c r="B46" s="383" t="s">
        <v>1270</v>
      </c>
      <c r="C46" s="383" t="s">
        <v>1271</v>
      </c>
      <c r="D46" s="383">
        <v>815</v>
      </c>
      <c r="E46" s="383" t="s">
        <v>1261</v>
      </c>
      <c r="F46" s="383">
        <v>39398933</v>
      </c>
      <c r="G46" s="383"/>
      <c r="H46" s="383">
        <v>10</v>
      </c>
      <c r="I46" s="383">
        <f t="shared" si="0"/>
        <v>393989330</v>
      </c>
    </row>
    <row r="47" spans="1:9">
      <c r="A47" s="383">
        <v>41110</v>
      </c>
      <c r="B47" s="383" t="s">
        <v>1272</v>
      </c>
      <c r="C47" s="383" t="s">
        <v>1273</v>
      </c>
      <c r="D47" s="383">
        <v>815</v>
      </c>
      <c r="E47" s="383" t="s">
        <v>1261</v>
      </c>
      <c r="F47" s="383">
        <v>32000000</v>
      </c>
      <c r="G47" s="383"/>
      <c r="H47" s="383">
        <v>10</v>
      </c>
      <c r="I47" s="383">
        <f t="shared" si="0"/>
        <v>320000000</v>
      </c>
    </row>
    <row r="48" spans="1:9">
      <c r="A48" s="383">
        <v>41135</v>
      </c>
      <c r="B48" s="383" t="s">
        <v>1274</v>
      </c>
      <c r="C48" s="383" t="s">
        <v>1275</v>
      </c>
      <c r="D48" s="383">
        <v>815</v>
      </c>
      <c r="E48" s="383" t="s">
        <v>1261</v>
      </c>
      <c r="F48" s="383">
        <v>36300000</v>
      </c>
      <c r="G48" s="383"/>
      <c r="H48" s="383">
        <v>10</v>
      </c>
      <c r="I48" s="383">
        <f t="shared" si="0"/>
        <v>363000000</v>
      </c>
    </row>
    <row r="49" spans="1:9">
      <c r="A49" s="383">
        <v>41140</v>
      </c>
      <c r="B49" s="383" t="s">
        <v>1276</v>
      </c>
      <c r="C49" s="383" t="s">
        <v>1277</v>
      </c>
      <c r="D49" s="383">
        <v>815</v>
      </c>
      <c r="E49" s="383" t="s">
        <v>1261</v>
      </c>
      <c r="F49" s="383">
        <v>45160500</v>
      </c>
      <c r="G49" s="383"/>
      <c r="H49" s="383">
        <v>10</v>
      </c>
      <c r="I49" s="383">
        <f t="shared" si="0"/>
        <v>451605000</v>
      </c>
    </row>
    <row r="50" spans="1:9">
      <c r="A50" s="383">
        <v>41146</v>
      </c>
      <c r="B50" s="383" t="s">
        <v>1278</v>
      </c>
      <c r="C50" s="383" t="s">
        <v>1279</v>
      </c>
      <c r="D50" s="383">
        <v>815</v>
      </c>
      <c r="E50" s="383" t="s">
        <v>1261</v>
      </c>
      <c r="F50" s="383">
        <v>11250000</v>
      </c>
      <c r="G50" s="383"/>
      <c r="H50" s="383">
        <v>10</v>
      </c>
      <c r="I50" s="383">
        <f t="shared" si="0"/>
        <v>112500000</v>
      </c>
    </row>
    <row r="51" spans="1:9">
      <c r="A51" s="383">
        <v>50950</v>
      </c>
      <c r="B51" s="383" t="s">
        <v>1280</v>
      </c>
      <c r="C51" s="383" t="s">
        <v>1281</v>
      </c>
      <c r="D51" s="383">
        <v>813</v>
      </c>
      <c r="E51" s="383" t="s">
        <v>1282</v>
      </c>
      <c r="F51" s="383">
        <v>5000000</v>
      </c>
      <c r="G51" s="383"/>
      <c r="H51" s="383">
        <v>10</v>
      </c>
      <c r="I51" s="383">
        <f t="shared" si="0"/>
        <v>50000000</v>
      </c>
    </row>
    <row r="52" spans="1:9">
      <c r="A52" s="383">
        <v>50955</v>
      </c>
      <c r="B52" s="383" t="s">
        <v>1283</v>
      </c>
      <c r="C52" s="383" t="s">
        <v>1077</v>
      </c>
      <c r="D52" s="383">
        <v>813</v>
      </c>
      <c r="E52" s="383" t="s">
        <v>1282</v>
      </c>
      <c r="F52" s="383">
        <v>72000000</v>
      </c>
      <c r="G52" s="383"/>
      <c r="H52" s="383">
        <v>10</v>
      </c>
      <c r="I52" s="383">
        <f t="shared" si="0"/>
        <v>720000000</v>
      </c>
    </row>
    <row r="53" spans="1:9">
      <c r="A53" s="383">
        <v>50960</v>
      </c>
      <c r="B53" s="383" t="s">
        <v>1284</v>
      </c>
      <c r="C53" s="383" t="s">
        <v>1076</v>
      </c>
      <c r="D53" s="383">
        <v>813</v>
      </c>
      <c r="E53" s="383" t="s">
        <v>1282</v>
      </c>
      <c r="F53" s="383">
        <v>55000000</v>
      </c>
      <c r="G53" s="383"/>
      <c r="H53" s="383">
        <v>10</v>
      </c>
      <c r="I53" s="383">
        <f t="shared" si="0"/>
        <v>550000000</v>
      </c>
    </row>
    <row r="54" spans="1:9">
      <c r="A54" s="383">
        <v>50970</v>
      </c>
      <c r="B54" s="383" t="s">
        <v>1285</v>
      </c>
      <c r="C54" s="383" t="s">
        <v>1286</v>
      </c>
      <c r="D54" s="383">
        <v>809</v>
      </c>
      <c r="E54" s="383" t="s">
        <v>1287</v>
      </c>
      <c r="F54" s="383">
        <v>453750000</v>
      </c>
      <c r="G54" s="383"/>
      <c r="H54" s="383">
        <v>10</v>
      </c>
      <c r="I54" s="383">
        <f t="shared" si="0"/>
        <v>4537500000</v>
      </c>
    </row>
    <row r="55" spans="1:9">
      <c r="A55" s="383">
        <v>50990</v>
      </c>
      <c r="B55" s="383" t="s">
        <v>1288</v>
      </c>
      <c r="C55" s="383" t="s">
        <v>1289</v>
      </c>
      <c r="D55" s="383">
        <v>813</v>
      </c>
      <c r="E55" s="383" t="s">
        <v>1282</v>
      </c>
      <c r="F55" s="383">
        <v>284866896</v>
      </c>
      <c r="G55" s="383"/>
      <c r="H55" s="383">
        <v>10</v>
      </c>
      <c r="I55" s="383">
        <f t="shared" si="0"/>
        <v>2848668960</v>
      </c>
    </row>
    <row r="56" spans="1:9">
      <c r="A56" s="383">
        <v>51023</v>
      </c>
      <c r="B56" s="383" t="s">
        <v>1290</v>
      </c>
      <c r="C56" s="383" t="s">
        <v>1291</v>
      </c>
      <c r="D56" s="383">
        <v>813</v>
      </c>
      <c r="E56" s="383" t="s">
        <v>1282</v>
      </c>
      <c r="F56" s="383">
        <v>148390023</v>
      </c>
      <c r="G56" s="383"/>
      <c r="H56" s="383">
        <v>10</v>
      </c>
      <c r="I56" s="383">
        <f t="shared" si="0"/>
        <v>1483900230</v>
      </c>
    </row>
    <row r="57" spans="1:9">
      <c r="A57" s="383">
        <v>51033</v>
      </c>
      <c r="B57" s="383" t="s">
        <v>1292</v>
      </c>
      <c r="C57" s="383" t="s">
        <v>1293</v>
      </c>
      <c r="D57" s="383">
        <v>813</v>
      </c>
      <c r="E57" s="383" t="s">
        <v>1282</v>
      </c>
      <c r="F57" s="383">
        <v>915942388</v>
      </c>
      <c r="G57" s="383"/>
      <c r="H57" s="383">
        <v>10</v>
      </c>
      <c r="I57" s="383">
        <f t="shared" si="0"/>
        <v>9159423880</v>
      </c>
    </row>
    <row r="58" spans="1:9">
      <c r="A58" s="383">
        <v>51034</v>
      </c>
      <c r="B58" s="383" t="s">
        <v>1294</v>
      </c>
      <c r="C58" s="383" t="s">
        <v>1295</v>
      </c>
      <c r="D58" s="383">
        <v>813</v>
      </c>
      <c r="E58" s="383" t="s">
        <v>1282</v>
      </c>
      <c r="F58" s="383">
        <v>100000000</v>
      </c>
      <c r="G58" s="383"/>
      <c r="H58" s="383">
        <v>10</v>
      </c>
      <c r="I58" s="383">
        <f t="shared" si="0"/>
        <v>1000000000</v>
      </c>
    </row>
    <row r="59" spans="1:9">
      <c r="A59" s="383">
        <v>51037</v>
      </c>
      <c r="B59" s="383" t="s">
        <v>1296</v>
      </c>
      <c r="C59" s="383" t="s">
        <v>1071</v>
      </c>
      <c r="D59" s="383">
        <v>813</v>
      </c>
      <c r="E59" s="383" t="s">
        <v>1282</v>
      </c>
      <c r="F59" s="383">
        <v>45000000</v>
      </c>
      <c r="G59" s="383"/>
      <c r="H59" s="383">
        <v>10</v>
      </c>
      <c r="I59" s="383">
        <f t="shared" si="0"/>
        <v>450000000</v>
      </c>
    </row>
    <row r="60" spans="1:9">
      <c r="A60" s="383">
        <v>51040</v>
      </c>
      <c r="B60" s="383" t="s">
        <v>1297</v>
      </c>
      <c r="C60" s="383" t="s">
        <v>1298</v>
      </c>
      <c r="D60" s="383">
        <v>813</v>
      </c>
      <c r="E60" s="383" t="s">
        <v>1282</v>
      </c>
      <c r="F60" s="383">
        <v>250000000</v>
      </c>
      <c r="G60" s="383"/>
      <c r="H60" s="383">
        <v>10</v>
      </c>
      <c r="I60" s="383">
        <f t="shared" si="0"/>
        <v>2500000000</v>
      </c>
    </row>
    <row r="61" spans="1:9">
      <c r="A61" s="383">
        <v>51042</v>
      </c>
      <c r="B61" s="383" t="s">
        <v>1299</v>
      </c>
      <c r="C61" s="383" t="s">
        <v>1300</v>
      </c>
      <c r="D61" s="383">
        <v>813</v>
      </c>
      <c r="E61" s="383" t="s">
        <v>1282</v>
      </c>
      <c r="F61" s="383">
        <v>44100000</v>
      </c>
      <c r="G61" s="383"/>
      <c r="H61" s="383">
        <v>10</v>
      </c>
      <c r="I61" s="383">
        <f t="shared" si="0"/>
        <v>441000000</v>
      </c>
    </row>
    <row r="62" spans="1:9">
      <c r="A62" s="383">
        <v>51046</v>
      </c>
      <c r="B62" s="383" t="s">
        <v>1301</v>
      </c>
      <c r="C62" s="383" t="s">
        <v>1302</v>
      </c>
      <c r="D62" s="383">
        <v>813</v>
      </c>
      <c r="E62" s="383" t="s">
        <v>1282</v>
      </c>
      <c r="F62" s="383">
        <v>141335500</v>
      </c>
      <c r="G62" s="383"/>
      <c r="H62" s="383">
        <v>10</v>
      </c>
      <c r="I62" s="383">
        <f t="shared" si="0"/>
        <v>1413355000</v>
      </c>
    </row>
    <row r="63" spans="1:9">
      <c r="A63" s="383">
        <v>51047</v>
      </c>
      <c r="B63" s="383" t="s">
        <v>1303</v>
      </c>
      <c r="C63" s="383" t="s">
        <v>1304</v>
      </c>
      <c r="D63" s="383">
        <v>813</v>
      </c>
      <c r="E63" s="383" t="s">
        <v>1282</v>
      </c>
      <c r="F63" s="383">
        <v>801476600</v>
      </c>
      <c r="G63" s="383"/>
      <c r="H63" s="383">
        <v>10</v>
      </c>
      <c r="I63" s="383">
        <f t="shared" si="0"/>
        <v>8014766000</v>
      </c>
    </row>
    <row r="64" spans="1:9">
      <c r="A64" s="383">
        <v>51055</v>
      </c>
      <c r="B64" s="383" t="s">
        <v>1305</v>
      </c>
      <c r="C64" s="383" t="s">
        <v>1306</v>
      </c>
      <c r="D64" s="383">
        <v>813</v>
      </c>
      <c r="E64" s="383" t="s">
        <v>1282</v>
      </c>
      <c r="F64" s="383">
        <v>316610115</v>
      </c>
      <c r="G64" s="383"/>
      <c r="H64" s="383">
        <v>10</v>
      </c>
      <c r="I64" s="383">
        <f t="shared" si="0"/>
        <v>3166101150</v>
      </c>
    </row>
    <row r="65" spans="1:9">
      <c r="A65" s="383">
        <v>51058</v>
      </c>
      <c r="B65" s="383" t="s">
        <v>1307</v>
      </c>
      <c r="C65" s="383" t="s">
        <v>1308</v>
      </c>
      <c r="D65" s="383">
        <v>813</v>
      </c>
      <c r="E65" s="383" t="s">
        <v>1282</v>
      </c>
      <c r="F65" s="383">
        <v>65000000</v>
      </c>
      <c r="G65" s="383"/>
      <c r="H65" s="383">
        <v>10</v>
      </c>
      <c r="I65" s="383">
        <f t="shared" si="0"/>
        <v>650000000</v>
      </c>
    </row>
    <row r="66" spans="1:9">
      <c r="A66" s="383">
        <v>51060</v>
      </c>
      <c r="B66" s="383" t="s">
        <v>1309</v>
      </c>
      <c r="C66" s="383" t="s">
        <v>1310</v>
      </c>
      <c r="D66" s="383">
        <v>813</v>
      </c>
      <c r="E66" s="383" t="s">
        <v>1282</v>
      </c>
      <c r="F66" s="383">
        <v>212102550</v>
      </c>
      <c r="G66" s="383"/>
      <c r="H66" s="383">
        <v>10</v>
      </c>
      <c r="I66" s="383">
        <f t="shared" si="0"/>
        <v>2121025500</v>
      </c>
    </row>
    <row r="67" spans="1:9">
      <c r="A67" s="383">
        <v>51065</v>
      </c>
      <c r="B67" s="383" t="s">
        <v>1311</v>
      </c>
      <c r="C67" s="383" t="s">
        <v>1312</v>
      </c>
      <c r="D67" s="383">
        <v>813</v>
      </c>
      <c r="E67" s="383" t="s">
        <v>1282</v>
      </c>
      <c r="F67" s="383">
        <v>20015650</v>
      </c>
      <c r="G67" s="383"/>
      <c r="H67" s="383">
        <v>10</v>
      </c>
      <c r="I67" s="383">
        <f t="shared" ref="I67:I130" si="1">F67*H67</f>
        <v>200156500</v>
      </c>
    </row>
    <row r="68" spans="1:9">
      <c r="A68" s="383">
        <v>51070</v>
      </c>
      <c r="B68" s="383" t="s">
        <v>1313</v>
      </c>
      <c r="C68" s="383" t="s">
        <v>1314</v>
      </c>
      <c r="D68" s="383">
        <v>813</v>
      </c>
      <c r="E68" s="383" t="s">
        <v>1282</v>
      </c>
      <c r="F68" s="383">
        <v>141809831</v>
      </c>
      <c r="G68" s="383"/>
      <c r="H68" s="383">
        <v>10</v>
      </c>
      <c r="I68" s="383">
        <f t="shared" si="1"/>
        <v>1418098310</v>
      </c>
    </row>
    <row r="69" spans="1:9">
      <c r="A69" s="383">
        <v>51076</v>
      </c>
      <c r="B69" s="383" t="s">
        <v>1315</v>
      </c>
      <c r="C69" s="383" t="s">
        <v>1316</v>
      </c>
      <c r="D69" s="383">
        <v>813</v>
      </c>
      <c r="E69" s="383" t="s">
        <v>1282</v>
      </c>
      <c r="F69" s="383">
        <v>16333333</v>
      </c>
      <c r="G69" s="383"/>
      <c r="H69" s="383">
        <v>10</v>
      </c>
      <c r="I69" s="383">
        <f t="shared" si="1"/>
        <v>163333330</v>
      </c>
    </row>
    <row r="70" spans="1:9">
      <c r="A70" s="383">
        <v>51085</v>
      </c>
      <c r="B70" s="383" t="s">
        <v>1317</v>
      </c>
      <c r="C70" s="383" t="s">
        <v>1318</v>
      </c>
      <c r="D70" s="383">
        <v>813</v>
      </c>
      <c r="E70" s="383" t="s">
        <v>1282</v>
      </c>
      <c r="F70" s="383">
        <v>50820000</v>
      </c>
      <c r="G70" s="383"/>
      <c r="H70" s="383">
        <v>10</v>
      </c>
      <c r="I70" s="383">
        <f t="shared" si="1"/>
        <v>508200000</v>
      </c>
    </row>
    <row r="71" spans="1:9">
      <c r="A71" s="383">
        <v>51087</v>
      </c>
      <c r="B71" s="383" t="s">
        <v>1319</v>
      </c>
      <c r="C71" s="383" t="s">
        <v>1320</v>
      </c>
      <c r="D71" s="383">
        <v>813</v>
      </c>
      <c r="E71" s="383" t="s">
        <v>1282</v>
      </c>
      <c r="F71" s="383">
        <v>80171818</v>
      </c>
      <c r="G71" s="383"/>
      <c r="H71" s="383">
        <v>10</v>
      </c>
      <c r="I71" s="383">
        <f t="shared" si="1"/>
        <v>801718180</v>
      </c>
    </row>
    <row r="72" spans="1:9">
      <c r="A72" s="383">
        <v>51090</v>
      </c>
      <c r="B72" s="383" t="s">
        <v>1321</v>
      </c>
      <c r="C72" s="383" t="s">
        <v>1322</v>
      </c>
      <c r="D72" s="383">
        <v>813</v>
      </c>
      <c r="E72" s="383" t="s">
        <v>1282</v>
      </c>
      <c r="F72" s="383">
        <v>38007000</v>
      </c>
      <c r="G72" s="383"/>
      <c r="H72" s="383">
        <v>10</v>
      </c>
      <c r="I72" s="383">
        <f t="shared" si="1"/>
        <v>380070000</v>
      </c>
    </row>
    <row r="73" spans="1:9">
      <c r="A73" s="383">
        <v>51099</v>
      </c>
      <c r="B73" s="383">
        <v>786</v>
      </c>
      <c r="C73" s="383" t="s">
        <v>1323</v>
      </c>
      <c r="D73" s="383">
        <v>813</v>
      </c>
      <c r="E73" s="383" t="s">
        <v>1282</v>
      </c>
      <c r="F73" s="383">
        <v>14973750</v>
      </c>
      <c r="G73" s="383"/>
      <c r="H73" s="383">
        <v>10</v>
      </c>
      <c r="I73" s="383">
        <f t="shared" si="1"/>
        <v>149737500</v>
      </c>
    </row>
    <row r="74" spans="1:9">
      <c r="A74" s="383">
        <v>51102</v>
      </c>
      <c r="B74" s="383" t="s">
        <v>1324</v>
      </c>
      <c r="C74" s="383" t="s">
        <v>1325</v>
      </c>
      <c r="D74" s="383">
        <v>813</v>
      </c>
      <c r="E74" s="383" t="s">
        <v>1282</v>
      </c>
      <c r="F74" s="383">
        <v>25000000</v>
      </c>
      <c r="G74" s="383"/>
      <c r="H74" s="383">
        <v>10</v>
      </c>
      <c r="I74" s="383">
        <f t="shared" si="1"/>
        <v>250000000</v>
      </c>
    </row>
    <row r="75" spans="1:9">
      <c r="A75" s="383">
        <v>51105</v>
      </c>
      <c r="B75" s="383" t="s">
        <v>1326</v>
      </c>
      <c r="C75" s="383" t="s">
        <v>1327</v>
      </c>
      <c r="D75" s="383">
        <v>813</v>
      </c>
      <c r="E75" s="383" t="s">
        <v>1282</v>
      </c>
      <c r="F75" s="383">
        <v>186568487</v>
      </c>
      <c r="G75" s="383"/>
      <c r="H75" s="383">
        <v>10</v>
      </c>
      <c r="I75" s="383">
        <f t="shared" si="1"/>
        <v>1865684870</v>
      </c>
    </row>
    <row r="76" spans="1:9">
      <c r="A76" s="383">
        <v>51110</v>
      </c>
      <c r="B76" s="383" t="s">
        <v>1328</v>
      </c>
      <c r="C76" s="383" t="s">
        <v>1329</v>
      </c>
      <c r="D76" s="383">
        <v>813</v>
      </c>
      <c r="E76" s="383" t="s">
        <v>1282</v>
      </c>
      <c r="F76" s="383">
        <v>10000000</v>
      </c>
      <c r="G76" s="383"/>
      <c r="H76" s="383">
        <v>10</v>
      </c>
      <c r="I76" s="383">
        <f t="shared" si="1"/>
        <v>100000000</v>
      </c>
    </row>
    <row r="77" spans="1:9">
      <c r="A77" s="383">
        <v>51120</v>
      </c>
      <c r="B77" s="383" t="s">
        <v>1330</v>
      </c>
      <c r="C77" s="383" t="s">
        <v>1331</v>
      </c>
      <c r="D77" s="383">
        <v>813</v>
      </c>
      <c r="E77" s="383" t="s">
        <v>1282</v>
      </c>
      <c r="F77" s="383">
        <v>10000000</v>
      </c>
      <c r="G77" s="383"/>
      <c r="H77" s="383">
        <v>10</v>
      </c>
      <c r="I77" s="383">
        <f t="shared" si="1"/>
        <v>100000000</v>
      </c>
    </row>
    <row r="78" spans="1:9">
      <c r="A78" s="383">
        <v>51140</v>
      </c>
      <c r="B78" s="383" t="s">
        <v>1332</v>
      </c>
      <c r="C78" s="383" t="s">
        <v>1333</v>
      </c>
      <c r="D78" s="383">
        <v>813</v>
      </c>
      <c r="E78" s="383" t="s">
        <v>1282</v>
      </c>
      <c r="F78" s="383">
        <v>51433559</v>
      </c>
      <c r="G78" s="383"/>
      <c r="H78" s="383">
        <v>10</v>
      </c>
      <c r="I78" s="383">
        <f t="shared" si="1"/>
        <v>514335590</v>
      </c>
    </row>
    <row r="79" spans="1:9">
      <c r="A79" s="383">
        <v>51150</v>
      </c>
      <c r="B79" s="383" t="s">
        <v>1334</v>
      </c>
      <c r="C79" s="383" t="s">
        <v>1335</v>
      </c>
      <c r="D79" s="383">
        <v>813</v>
      </c>
      <c r="E79" s="383" t="s">
        <v>1282</v>
      </c>
      <c r="F79" s="383">
        <v>119885111</v>
      </c>
      <c r="G79" s="383"/>
      <c r="H79" s="383">
        <v>10</v>
      </c>
      <c r="I79" s="383">
        <f t="shared" si="1"/>
        <v>1198851110</v>
      </c>
    </row>
    <row r="80" spans="1:9">
      <c r="A80" s="383">
        <v>51155</v>
      </c>
      <c r="B80" s="383" t="s">
        <v>1336</v>
      </c>
      <c r="C80" s="383" t="s">
        <v>1337</v>
      </c>
      <c r="D80" s="383">
        <v>813</v>
      </c>
      <c r="E80" s="383" t="s">
        <v>1282</v>
      </c>
      <c r="F80" s="383">
        <v>10000000</v>
      </c>
      <c r="G80" s="383"/>
      <c r="H80" s="383">
        <v>10</v>
      </c>
      <c r="I80" s="383">
        <f t="shared" si="1"/>
        <v>100000000</v>
      </c>
    </row>
    <row r="81" spans="1:9">
      <c r="A81" s="383">
        <v>60960</v>
      </c>
      <c r="B81" s="383" t="s">
        <v>1338</v>
      </c>
      <c r="C81" s="383" t="s">
        <v>1034</v>
      </c>
      <c r="D81" s="383">
        <v>807</v>
      </c>
      <c r="E81" s="383" t="s">
        <v>504</v>
      </c>
      <c r="F81" s="383">
        <v>1145073830</v>
      </c>
      <c r="G81" s="383"/>
      <c r="H81" s="383">
        <v>10</v>
      </c>
      <c r="I81" s="383">
        <f t="shared" si="1"/>
        <v>11450738300</v>
      </c>
    </row>
    <row r="82" spans="1:9">
      <c r="A82" s="383">
        <v>60970</v>
      </c>
      <c r="B82" s="383" t="s">
        <v>1339</v>
      </c>
      <c r="C82" s="383" t="s">
        <v>391</v>
      </c>
      <c r="D82" s="383">
        <v>807</v>
      </c>
      <c r="E82" s="383" t="s">
        <v>504</v>
      </c>
      <c r="F82" s="383">
        <v>1778666303</v>
      </c>
      <c r="G82" s="383"/>
      <c r="H82" s="383">
        <v>10</v>
      </c>
      <c r="I82" s="383">
        <f t="shared" si="1"/>
        <v>17786663030</v>
      </c>
    </row>
    <row r="83" spans="1:9">
      <c r="A83" s="383">
        <v>60973</v>
      </c>
      <c r="B83" s="383" t="s">
        <v>1340</v>
      </c>
      <c r="C83" s="383" t="s">
        <v>1341</v>
      </c>
      <c r="D83" s="383">
        <v>807</v>
      </c>
      <c r="E83" s="383" t="s">
        <v>504</v>
      </c>
      <c r="F83" s="383">
        <v>110942434</v>
      </c>
      <c r="G83" s="383"/>
      <c r="H83" s="383">
        <v>10</v>
      </c>
      <c r="I83" s="383">
        <f t="shared" si="1"/>
        <v>1109424340</v>
      </c>
    </row>
    <row r="84" spans="1:9">
      <c r="A84" s="383">
        <v>60974</v>
      </c>
      <c r="B84" s="383" t="s">
        <v>1342</v>
      </c>
      <c r="C84" s="383" t="s">
        <v>1343</v>
      </c>
      <c r="D84" s="383">
        <v>807</v>
      </c>
      <c r="E84" s="383" t="s">
        <v>504</v>
      </c>
      <c r="F84" s="383">
        <v>104653482</v>
      </c>
      <c r="G84" s="383"/>
      <c r="H84" s="383">
        <v>10</v>
      </c>
      <c r="I84" s="383">
        <f t="shared" si="1"/>
        <v>1046534820</v>
      </c>
    </row>
    <row r="85" spans="1:9">
      <c r="A85" s="383">
        <v>60980</v>
      </c>
      <c r="B85" s="383" t="s">
        <v>1344</v>
      </c>
      <c r="C85" s="383" t="s">
        <v>1160</v>
      </c>
      <c r="D85" s="383">
        <v>807</v>
      </c>
      <c r="E85" s="383" t="s">
        <v>504</v>
      </c>
      <c r="F85" s="383">
        <v>1260260180</v>
      </c>
      <c r="G85" s="383"/>
      <c r="H85" s="383">
        <v>10</v>
      </c>
      <c r="I85" s="383">
        <f t="shared" si="1"/>
        <v>12602601800</v>
      </c>
    </row>
    <row r="86" spans="1:9">
      <c r="A86" s="383">
        <v>61000</v>
      </c>
      <c r="B86" s="383" t="s">
        <v>1345</v>
      </c>
      <c r="C86" s="383" t="s">
        <v>397</v>
      </c>
      <c r="D86" s="383">
        <v>807</v>
      </c>
      <c r="E86" s="383" t="s">
        <v>504</v>
      </c>
      <c r="F86" s="383">
        <v>1607571974</v>
      </c>
      <c r="G86" s="383"/>
      <c r="H86" s="383">
        <v>10</v>
      </c>
      <c r="I86" s="383">
        <f t="shared" si="1"/>
        <v>16075719740</v>
      </c>
    </row>
    <row r="87" spans="1:9">
      <c r="A87" s="383">
        <v>61004</v>
      </c>
      <c r="B87" s="383" t="s">
        <v>1346</v>
      </c>
      <c r="C87" s="383" t="s">
        <v>620</v>
      </c>
      <c r="D87" s="383">
        <v>807</v>
      </c>
      <c r="E87" s="383" t="s">
        <v>504</v>
      </c>
      <c r="F87" s="383">
        <v>1007912192</v>
      </c>
      <c r="G87" s="383"/>
      <c r="H87" s="383">
        <v>10</v>
      </c>
      <c r="I87" s="383">
        <f t="shared" si="1"/>
        <v>10079121920</v>
      </c>
    </row>
    <row r="88" spans="1:9">
      <c r="A88" s="383">
        <v>61005</v>
      </c>
      <c r="B88" s="383" t="s">
        <v>1347</v>
      </c>
      <c r="C88" s="383" t="s">
        <v>1348</v>
      </c>
      <c r="D88" s="383">
        <v>807</v>
      </c>
      <c r="E88" s="383" t="s">
        <v>504</v>
      </c>
      <c r="F88" s="383">
        <v>1000371168</v>
      </c>
      <c r="G88" s="383"/>
      <c r="H88" s="383">
        <v>10</v>
      </c>
      <c r="I88" s="383">
        <f t="shared" si="1"/>
        <v>10003711680</v>
      </c>
    </row>
    <row r="89" spans="1:9">
      <c r="A89" s="383">
        <v>61010</v>
      </c>
      <c r="B89" s="383" t="s">
        <v>1349</v>
      </c>
      <c r="C89" s="383" t="s">
        <v>1350</v>
      </c>
      <c r="D89" s="383">
        <v>807</v>
      </c>
      <c r="E89" s="383" t="s">
        <v>504</v>
      </c>
      <c r="F89" s="383">
        <v>1111425419</v>
      </c>
      <c r="G89" s="383"/>
      <c r="H89" s="383">
        <v>10</v>
      </c>
      <c r="I89" s="383">
        <f t="shared" si="1"/>
        <v>11114254190</v>
      </c>
    </row>
    <row r="90" spans="1:9">
      <c r="A90" s="383">
        <v>61030</v>
      </c>
      <c r="B90" s="383" t="s">
        <v>1351</v>
      </c>
      <c r="C90" s="383" t="s">
        <v>1352</v>
      </c>
      <c r="D90" s="383">
        <v>807</v>
      </c>
      <c r="E90" s="383" t="s">
        <v>504</v>
      </c>
      <c r="F90" s="383">
        <v>2643692380</v>
      </c>
      <c r="G90" s="383"/>
      <c r="H90" s="383">
        <v>10</v>
      </c>
      <c r="I90" s="383">
        <f t="shared" si="1"/>
        <v>26436923800</v>
      </c>
    </row>
    <row r="91" spans="1:9">
      <c r="A91" s="383">
        <v>61045</v>
      </c>
      <c r="B91" s="383" t="s">
        <v>1353</v>
      </c>
      <c r="C91" s="383" t="s">
        <v>1035</v>
      </c>
      <c r="D91" s="383">
        <v>807</v>
      </c>
      <c r="E91" s="383" t="s">
        <v>504</v>
      </c>
      <c r="F91" s="383">
        <v>1319736110</v>
      </c>
      <c r="G91" s="383"/>
      <c r="H91" s="383">
        <v>10</v>
      </c>
      <c r="I91" s="383">
        <f t="shared" si="1"/>
        <v>13197361100</v>
      </c>
    </row>
    <row r="92" spans="1:9">
      <c r="A92" s="383">
        <v>61050</v>
      </c>
      <c r="B92" s="383" t="s">
        <v>1354</v>
      </c>
      <c r="C92" s="383" t="s">
        <v>395</v>
      </c>
      <c r="D92" s="383">
        <v>807</v>
      </c>
      <c r="E92" s="383" t="s">
        <v>504</v>
      </c>
      <c r="F92" s="383">
        <v>1466852508</v>
      </c>
      <c r="G92" s="383"/>
      <c r="H92" s="383">
        <v>10</v>
      </c>
      <c r="I92" s="383">
        <f t="shared" si="1"/>
        <v>14668525080</v>
      </c>
    </row>
    <row r="93" spans="1:9">
      <c r="A93" s="383">
        <v>61094</v>
      </c>
      <c r="B93" s="383" t="s">
        <v>1355</v>
      </c>
      <c r="C93" s="383" t="s">
        <v>342</v>
      </c>
      <c r="D93" s="383">
        <v>807</v>
      </c>
      <c r="E93" s="383" t="s">
        <v>504</v>
      </c>
      <c r="F93" s="383">
        <v>1062902140</v>
      </c>
      <c r="G93" s="383"/>
      <c r="H93" s="383">
        <v>10</v>
      </c>
      <c r="I93" s="383">
        <f t="shared" si="1"/>
        <v>10629021400</v>
      </c>
    </row>
    <row r="94" spans="1:9">
      <c r="A94" s="383">
        <v>61095</v>
      </c>
      <c r="B94" s="383" t="s">
        <v>1356</v>
      </c>
      <c r="C94" s="383" t="s">
        <v>1357</v>
      </c>
      <c r="D94" s="383">
        <v>807</v>
      </c>
      <c r="E94" s="383" t="s">
        <v>504</v>
      </c>
      <c r="F94" s="383">
        <v>2127512862</v>
      </c>
      <c r="G94" s="383"/>
      <c r="H94" s="383">
        <v>10</v>
      </c>
      <c r="I94" s="383">
        <f t="shared" si="1"/>
        <v>21275128620</v>
      </c>
    </row>
    <row r="95" spans="1:9">
      <c r="A95" s="383">
        <v>61097</v>
      </c>
      <c r="B95" s="383" t="s">
        <v>1358</v>
      </c>
      <c r="C95" s="383" t="s">
        <v>1036</v>
      </c>
      <c r="D95" s="383">
        <v>807</v>
      </c>
      <c r="E95" s="383" t="s">
        <v>504</v>
      </c>
      <c r="F95" s="383">
        <v>1047831480</v>
      </c>
      <c r="G95" s="383"/>
      <c r="H95" s="383">
        <v>10</v>
      </c>
      <c r="I95" s="383">
        <f t="shared" si="1"/>
        <v>10478314800</v>
      </c>
    </row>
    <row r="96" spans="1:9">
      <c r="A96" s="383">
        <v>61098</v>
      </c>
      <c r="B96" s="383" t="s">
        <v>1359</v>
      </c>
      <c r="C96" s="383" t="s">
        <v>1037</v>
      </c>
      <c r="D96" s="383">
        <v>807</v>
      </c>
      <c r="E96" s="383" t="s">
        <v>504</v>
      </c>
      <c r="F96" s="383">
        <v>1185060006</v>
      </c>
      <c r="G96" s="383"/>
      <c r="H96" s="383">
        <v>10</v>
      </c>
      <c r="I96" s="383">
        <f t="shared" si="1"/>
        <v>11850600060</v>
      </c>
    </row>
    <row r="97" spans="1:9">
      <c r="A97" s="383">
        <v>61104</v>
      </c>
      <c r="B97" s="383" t="s">
        <v>1360</v>
      </c>
      <c r="C97" s="383" t="s">
        <v>1361</v>
      </c>
      <c r="D97" s="383">
        <v>807</v>
      </c>
      <c r="E97" s="383" t="s">
        <v>504</v>
      </c>
      <c r="F97" s="383">
        <v>1072464262</v>
      </c>
      <c r="G97" s="383"/>
      <c r="H97" s="383">
        <v>10</v>
      </c>
      <c r="I97" s="383">
        <f t="shared" si="1"/>
        <v>10724642620</v>
      </c>
    </row>
    <row r="98" spans="1:9">
      <c r="A98" s="383">
        <v>61114</v>
      </c>
      <c r="B98" s="383" t="s">
        <v>1362</v>
      </c>
      <c r="C98" s="383" t="s">
        <v>1363</v>
      </c>
      <c r="D98" s="383">
        <v>807</v>
      </c>
      <c r="E98" s="383" t="s">
        <v>504</v>
      </c>
      <c r="F98" s="383">
        <v>1008238648</v>
      </c>
      <c r="G98" s="383"/>
      <c r="H98" s="383">
        <v>10</v>
      </c>
      <c r="I98" s="383">
        <f t="shared" si="1"/>
        <v>10082386480</v>
      </c>
    </row>
    <row r="99" spans="1:9">
      <c r="A99" s="383">
        <v>61135</v>
      </c>
      <c r="B99" s="383" t="s">
        <v>1364</v>
      </c>
      <c r="C99" s="383" t="s">
        <v>1365</v>
      </c>
      <c r="D99" s="383">
        <v>807</v>
      </c>
      <c r="E99" s="383" t="s">
        <v>504</v>
      </c>
      <c r="F99" s="383">
        <v>9081861237</v>
      </c>
      <c r="G99" s="383"/>
      <c r="H99" s="383">
        <v>10</v>
      </c>
      <c r="I99" s="383">
        <f t="shared" si="1"/>
        <v>90818612370</v>
      </c>
    </row>
    <row r="100" spans="1:9">
      <c r="A100" s="383">
        <v>61137</v>
      </c>
      <c r="B100" s="383" t="s">
        <v>1366</v>
      </c>
      <c r="C100" s="383" t="s">
        <v>1367</v>
      </c>
      <c r="D100" s="383">
        <v>807</v>
      </c>
      <c r="E100" s="383" t="s">
        <v>504</v>
      </c>
      <c r="F100" s="383">
        <v>6410256410</v>
      </c>
      <c r="G100" s="383"/>
      <c r="H100" s="383">
        <v>10</v>
      </c>
      <c r="I100" s="383">
        <f t="shared" si="1"/>
        <v>64102564100</v>
      </c>
    </row>
    <row r="101" spans="1:9">
      <c r="A101" s="383">
        <v>61150</v>
      </c>
      <c r="B101" s="383" t="s">
        <v>1368</v>
      </c>
      <c r="C101" s="383" t="s">
        <v>1369</v>
      </c>
      <c r="D101" s="383">
        <v>807</v>
      </c>
      <c r="E101" s="383" t="s">
        <v>504</v>
      </c>
      <c r="F101" s="383">
        <v>1102463503</v>
      </c>
      <c r="G101" s="383"/>
      <c r="H101" s="383">
        <v>10</v>
      </c>
      <c r="I101" s="383">
        <f t="shared" si="1"/>
        <v>11024635030</v>
      </c>
    </row>
    <row r="102" spans="1:9">
      <c r="A102" s="383">
        <v>61153</v>
      </c>
      <c r="B102" s="383" t="s">
        <v>1370</v>
      </c>
      <c r="C102" s="383" t="s">
        <v>1371</v>
      </c>
      <c r="D102" s="383">
        <v>807</v>
      </c>
      <c r="E102" s="383" t="s">
        <v>504</v>
      </c>
      <c r="F102" s="383">
        <v>3871585021</v>
      </c>
      <c r="G102" s="383"/>
      <c r="H102" s="383">
        <v>10</v>
      </c>
      <c r="I102" s="383">
        <f t="shared" si="1"/>
        <v>38715850210</v>
      </c>
    </row>
    <row r="103" spans="1:9">
      <c r="A103" s="383">
        <v>61180</v>
      </c>
      <c r="B103" s="383" t="s">
        <v>1372</v>
      </c>
      <c r="C103" s="383" t="s">
        <v>1038</v>
      </c>
      <c r="D103" s="383">
        <v>807</v>
      </c>
      <c r="E103" s="383" t="s">
        <v>504</v>
      </c>
      <c r="F103" s="383">
        <v>1224179688</v>
      </c>
      <c r="G103" s="383"/>
      <c r="H103" s="383">
        <v>10</v>
      </c>
      <c r="I103" s="383">
        <f t="shared" si="1"/>
        <v>12241796880</v>
      </c>
    </row>
    <row r="104" spans="1:9">
      <c r="A104" s="383">
        <v>71000</v>
      </c>
      <c r="B104" s="383" t="s">
        <v>1373</v>
      </c>
      <c r="C104" s="383" t="s">
        <v>1163</v>
      </c>
      <c r="D104" s="383">
        <v>812</v>
      </c>
      <c r="E104" s="383" t="s">
        <v>1374</v>
      </c>
      <c r="F104" s="383">
        <v>350000000</v>
      </c>
      <c r="G104" s="383"/>
      <c r="H104" s="383">
        <v>10</v>
      </c>
      <c r="I104" s="383">
        <f t="shared" si="1"/>
        <v>3500000000</v>
      </c>
    </row>
    <row r="105" spans="1:9">
      <c r="A105" s="383">
        <v>71010</v>
      </c>
      <c r="B105" s="383" t="s">
        <v>1375</v>
      </c>
      <c r="C105" s="383" t="s">
        <v>1376</v>
      </c>
      <c r="D105" s="383">
        <v>812</v>
      </c>
      <c r="E105" s="383" t="s">
        <v>1374</v>
      </c>
      <c r="F105" s="383">
        <v>70567200</v>
      </c>
      <c r="G105" s="383"/>
      <c r="H105" s="383">
        <v>10</v>
      </c>
      <c r="I105" s="383">
        <f t="shared" si="1"/>
        <v>705672000</v>
      </c>
    </row>
    <row r="106" spans="1:9">
      <c r="A106" s="383">
        <v>71020</v>
      </c>
      <c r="B106" s="383" t="s">
        <v>1377</v>
      </c>
      <c r="C106" s="383" t="s">
        <v>1378</v>
      </c>
      <c r="D106" s="383">
        <v>812</v>
      </c>
      <c r="E106" s="383" t="s">
        <v>1374</v>
      </c>
      <c r="F106" s="383">
        <v>45000000</v>
      </c>
      <c r="G106" s="383"/>
      <c r="H106" s="383">
        <v>10</v>
      </c>
      <c r="I106" s="383">
        <f t="shared" si="1"/>
        <v>450000000</v>
      </c>
    </row>
    <row r="107" spans="1:9">
      <c r="A107" s="383">
        <v>71025</v>
      </c>
      <c r="B107" s="383" t="s">
        <v>1379</v>
      </c>
      <c r="C107" s="383" t="s">
        <v>1380</v>
      </c>
      <c r="D107" s="383">
        <v>812</v>
      </c>
      <c r="E107" s="383" t="s">
        <v>1374</v>
      </c>
      <c r="F107" s="383">
        <v>62523390</v>
      </c>
      <c r="G107" s="383"/>
      <c r="H107" s="383">
        <v>10</v>
      </c>
      <c r="I107" s="383">
        <f t="shared" si="1"/>
        <v>625233900</v>
      </c>
    </row>
    <row r="108" spans="1:9">
      <c r="A108" s="383">
        <v>71027</v>
      </c>
      <c r="B108" s="383" t="s">
        <v>1381</v>
      </c>
      <c r="C108" s="383" t="s">
        <v>1382</v>
      </c>
      <c r="D108" s="383">
        <v>812</v>
      </c>
      <c r="E108" s="383" t="s">
        <v>1374</v>
      </c>
      <c r="F108" s="383">
        <v>41683700</v>
      </c>
      <c r="G108" s="383"/>
      <c r="H108" s="383">
        <v>10</v>
      </c>
      <c r="I108" s="383">
        <f t="shared" si="1"/>
        <v>416837000</v>
      </c>
    </row>
    <row r="109" spans="1:9">
      <c r="A109" s="383">
        <v>71030</v>
      </c>
      <c r="B109" s="383" t="s">
        <v>1383</v>
      </c>
      <c r="C109" s="383" t="s">
        <v>1384</v>
      </c>
      <c r="D109" s="383">
        <v>812</v>
      </c>
      <c r="E109" s="383" t="s">
        <v>1374</v>
      </c>
      <c r="F109" s="383">
        <v>8554376</v>
      </c>
      <c r="G109" s="383"/>
      <c r="H109" s="383">
        <v>10</v>
      </c>
      <c r="I109" s="383">
        <f t="shared" si="1"/>
        <v>85543760</v>
      </c>
    </row>
    <row r="110" spans="1:9">
      <c r="A110" s="383">
        <v>71040</v>
      </c>
      <c r="B110" s="383" t="s">
        <v>1385</v>
      </c>
      <c r="C110" s="383" t="s">
        <v>1386</v>
      </c>
      <c r="D110" s="383">
        <v>812</v>
      </c>
      <c r="E110" s="383" t="s">
        <v>1374</v>
      </c>
      <c r="F110" s="383">
        <v>58627584</v>
      </c>
      <c r="G110" s="383"/>
      <c r="H110" s="383">
        <v>10</v>
      </c>
      <c r="I110" s="383">
        <f t="shared" si="1"/>
        <v>586275840</v>
      </c>
    </row>
    <row r="111" spans="1:9">
      <c r="A111" s="383">
        <v>71060</v>
      </c>
      <c r="B111" s="383" t="s">
        <v>1387</v>
      </c>
      <c r="C111" s="383" t="s">
        <v>1388</v>
      </c>
      <c r="D111" s="383">
        <v>812</v>
      </c>
      <c r="E111" s="383" t="s">
        <v>1374</v>
      </c>
      <c r="F111" s="383">
        <v>50296803</v>
      </c>
      <c r="G111" s="383"/>
      <c r="H111" s="383">
        <v>10</v>
      </c>
      <c r="I111" s="383">
        <f t="shared" si="1"/>
        <v>502968030</v>
      </c>
    </row>
    <row r="112" spans="1:9">
      <c r="A112" s="383">
        <v>71070</v>
      </c>
      <c r="B112" s="383" t="s">
        <v>1389</v>
      </c>
      <c r="C112" s="383" t="s">
        <v>1390</v>
      </c>
      <c r="D112" s="383">
        <v>812</v>
      </c>
      <c r="E112" s="383" t="s">
        <v>1374</v>
      </c>
      <c r="F112" s="383">
        <v>79330680</v>
      </c>
      <c r="G112" s="383"/>
      <c r="H112" s="383">
        <v>10</v>
      </c>
      <c r="I112" s="383">
        <f t="shared" si="1"/>
        <v>793306800</v>
      </c>
    </row>
    <row r="113" spans="1:9">
      <c r="A113" s="383">
        <v>71080</v>
      </c>
      <c r="B113" s="383" t="s">
        <v>1391</v>
      </c>
      <c r="C113" s="383" t="s">
        <v>1392</v>
      </c>
      <c r="D113" s="383">
        <v>812</v>
      </c>
      <c r="E113" s="383" t="s">
        <v>1374</v>
      </c>
      <c r="F113" s="383">
        <v>82683333</v>
      </c>
      <c r="G113" s="383"/>
      <c r="H113" s="383">
        <v>10</v>
      </c>
      <c r="I113" s="383">
        <f t="shared" si="1"/>
        <v>826833330</v>
      </c>
    </row>
    <row r="114" spans="1:9">
      <c r="A114" s="383">
        <v>71081</v>
      </c>
      <c r="B114" s="383" t="s">
        <v>1393</v>
      </c>
      <c r="C114" s="383" t="s">
        <v>1394</v>
      </c>
      <c r="D114" s="383">
        <v>812</v>
      </c>
      <c r="E114" s="383" t="s">
        <v>1374</v>
      </c>
      <c r="F114" s="383">
        <v>25011708</v>
      </c>
      <c r="G114" s="383"/>
      <c r="H114" s="383">
        <v>10</v>
      </c>
      <c r="I114" s="383">
        <f t="shared" si="1"/>
        <v>250117080</v>
      </c>
    </row>
    <row r="115" spans="1:9">
      <c r="A115" s="383">
        <v>71100</v>
      </c>
      <c r="B115" s="383" t="s">
        <v>1395</v>
      </c>
      <c r="C115" s="383" t="s">
        <v>1396</v>
      </c>
      <c r="D115" s="383">
        <v>812</v>
      </c>
      <c r="E115" s="383" t="s">
        <v>1374</v>
      </c>
      <c r="F115" s="383">
        <v>200000000</v>
      </c>
      <c r="G115" s="383"/>
      <c r="H115" s="383">
        <v>10</v>
      </c>
      <c r="I115" s="383">
        <f t="shared" si="1"/>
        <v>2000000000</v>
      </c>
    </row>
    <row r="116" spans="1:9">
      <c r="A116" s="383">
        <v>71110</v>
      </c>
      <c r="B116" s="383" t="s">
        <v>1397</v>
      </c>
      <c r="C116" s="383" t="s">
        <v>1398</v>
      </c>
      <c r="D116" s="383">
        <v>812</v>
      </c>
      <c r="E116" s="383" t="s">
        <v>1374</v>
      </c>
      <c r="F116" s="383">
        <v>100000001</v>
      </c>
      <c r="G116" s="383"/>
      <c r="H116" s="383">
        <v>10</v>
      </c>
      <c r="I116" s="383">
        <f t="shared" si="1"/>
        <v>1000000010</v>
      </c>
    </row>
    <row r="117" spans="1:9">
      <c r="A117" s="383">
        <v>71120</v>
      </c>
      <c r="B117" s="383" t="s">
        <v>1399</v>
      </c>
      <c r="C117" s="383" t="s">
        <v>1400</v>
      </c>
      <c r="D117" s="383">
        <v>812</v>
      </c>
      <c r="E117" s="383" t="s">
        <v>1374</v>
      </c>
      <c r="F117" s="383">
        <v>60978201</v>
      </c>
      <c r="G117" s="383"/>
      <c r="H117" s="383">
        <v>10</v>
      </c>
      <c r="I117" s="383">
        <f t="shared" si="1"/>
        <v>609782010</v>
      </c>
    </row>
    <row r="118" spans="1:9">
      <c r="A118" s="383">
        <v>71140</v>
      </c>
      <c r="B118" s="383" t="s">
        <v>1401</v>
      </c>
      <c r="C118" s="383" t="s">
        <v>1402</v>
      </c>
      <c r="D118" s="383">
        <v>812</v>
      </c>
      <c r="E118" s="383" t="s">
        <v>1374</v>
      </c>
      <c r="F118" s="383">
        <v>123874755</v>
      </c>
      <c r="G118" s="383"/>
      <c r="H118" s="383">
        <v>5</v>
      </c>
      <c r="I118" s="383">
        <f t="shared" si="1"/>
        <v>619373775</v>
      </c>
    </row>
    <row r="119" spans="1:9">
      <c r="A119" s="383">
        <v>71160</v>
      </c>
      <c r="B119" s="383" t="s">
        <v>1403</v>
      </c>
      <c r="C119" s="383" t="s">
        <v>1404</v>
      </c>
      <c r="D119" s="383">
        <v>812</v>
      </c>
      <c r="E119" s="383" t="s">
        <v>1374</v>
      </c>
      <c r="F119" s="383">
        <v>122689530</v>
      </c>
      <c r="G119" s="383"/>
      <c r="H119" s="383">
        <v>10</v>
      </c>
      <c r="I119" s="383">
        <f t="shared" si="1"/>
        <v>1226895300</v>
      </c>
    </row>
    <row r="120" spans="1:9">
      <c r="A120" s="383">
        <v>71210</v>
      </c>
      <c r="B120" s="383" t="s">
        <v>1405</v>
      </c>
      <c r="C120" s="383" t="s">
        <v>1406</v>
      </c>
      <c r="D120" s="383">
        <v>812</v>
      </c>
      <c r="E120" s="383" t="s">
        <v>1374</v>
      </c>
      <c r="F120" s="383">
        <v>60172014</v>
      </c>
      <c r="G120" s="383"/>
      <c r="H120" s="383">
        <v>10</v>
      </c>
      <c r="I120" s="383">
        <f t="shared" si="1"/>
        <v>601720140</v>
      </c>
    </row>
    <row r="121" spans="1:9">
      <c r="A121" s="383">
        <v>71220</v>
      </c>
      <c r="B121" s="383" t="s">
        <v>1407</v>
      </c>
      <c r="C121" s="383" t="s">
        <v>1408</v>
      </c>
      <c r="D121" s="383">
        <v>812</v>
      </c>
      <c r="E121" s="383" t="s">
        <v>1374</v>
      </c>
      <c r="F121" s="383">
        <v>70161388</v>
      </c>
      <c r="G121" s="383"/>
      <c r="H121" s="383">
        <v>10</v>
      </c>
      <c r="I121" s="383">
        <f t="shared" si="1"/>
        <v>701613880</v>
      </c>
    </row>
    <row r="122" spans="1:9">
      <c r="A122" s="383">
        <v>71260</v>
      </c>
      <c r="B122" s="383" t="s">
        <v>1409</v>
      </c>
      <c r="C122" s="383" t="s">
        <v>1410</v>
      </c>
      <c r="D122" s="383">
        <v>812</v>
      </c>
      <c r="E122" s="383" t="s">
        <v>1374</v>
      </c>
      <c r="F122" s="383">
        <v>180446708</v>
      </c>
      <c r="G122" s="383"/>
      <c r="H122" s="383">
        <v>10</v>
      </c>
      <c r="I122" s="383">
        <f t="shared" si="1"/>
        <v>1804467080</v>
      </c>
    </row>
    <row r="123" spans="1:9">
      <c r="A123" s="383">
        <v>71265</v>
      </c>
      <c r="B123" s="383" t="s">
        <v>1411</v>
      </c>
      <c r="C123" s="383" t="s">
        <v>1412</v>
      </c>
      <c r="D123" s="383">
        <v>812</v>
      </c>
      <c r="E123" s="383" t="s">
        <v>1374</v>
      </c>
      <c r="F123" s="383">
        <v>35000000</v>
      </c>
      <c r="G123" s="383"/>
      <c r="H123" s="383">
        <v>10</v>
      </c>
      <c r="I123" s="383">
        <f t="shared" si="1"/>
        <v>350000000</v>
      </c>
    </row>
    <row r="124" spans="1:9">
      <c r="A124" s="383">
        <v>71275</v>
      </c>
      <c r="B124" s="383" t="s">
        <v>1413</v>
      </c>
      <c r="C124" s="383" t="s">
        <v>1414</v>
      </c>
      <c r="D124" s="383">
        <v>812</v>
      </c>
      <c r="E124" s="383" t="s">
        <v>1374</v>
      </c>
      <c r="F124" s="383">
        <v>46401450</v>
      </c>
      <c r="G124" s="383"/>
      <c r="H124" s="383">
        <v>10</v>
      </c>
      <c r="I124" s="383">
        <f t="shared" si="1"/>
        <v>464014500</v>
      </c>
    </row>
    <row r="125" spans="1:9">
      <c r="A125" s="383">
        <v>71310</v>
      </c>
      <c r="B125" s="383" t="s">
        <v>1415</v>
      </c>
      <c r="C125" s="383" t="s">
        <v>1164</v>
      </c>
      <c r="D125" s="383">
        <v>812</v>
      </c>
      <c r="E125" s="383" t="s">
        <v>1374</v>
      </c>
      <c r="F125" s="383">
        <v>300000000</v>
      </c>
      <c r="G125" s="383"/>
      <c r="H125" s="383">
        <v>10</v>
      </c>
      <c r="I125" s="383">
        <f t="shared" si="1"/>
        <v>3000000000</v>
      </c>
    </row>
    <row r="126" spans="1:9">
      <c r="A126" s="383">
        <v>71400</v>
      </c>
      <c r="B126" s="383" t="s">
        <v>1416</v>
      </c>
      <c r="C126" s="383" t="s">
        <v>1417</v>
      </c>
      <c r="D126" s="383">
        <v>812</v>
      </c>
      <c r="E126" s="383" t="s">
        <v>1374</v>
      </c>
      <c r="F126" s="383">
        <v>50565105</v>
      </c>
      <c r="G126" s="383"/>
      <c r="H126" s="383">
        <v>10</v>
      </c>
      <c r="I126" s="383">
        <f t="shared" si="1"/>
        <v>505651050</v>
      </c>
    </row>
    <row r="127" spans="1:9">
      <c r="A127" s="383">
        <v>71420</v>
      </c>
      <c r="B127" s="383" t="s">
        <v>1418</v>
      </c>
      <c r="C127" s="383" t="s">
        <v>1419</v>
      </c>
      <c r="D127" s="383">
        <v>812</v>
      </c>
      <c r="E127" s="383" t="s">
        <v>1374</v>
      </c>
      <c r="F127" s="383">
        <v>8500000</v>
      </c>
      <c r="G127" s="383"/>
      <c r="H127" s="383">
        <v>10</v>
      </c>
      <c r="I127" s="383">
        <f t="shared" si="1"/>
        <v>85000000</v>
      </c>
    </row>
    <row r="128" spans="1:9">
      <c r="A128" s="383">
        <v>71440</v>
      </c>
      <c r="B128" s="383" t="s">
        <v>1420</v>
      </c>
      <c r="C128" s="383" t="s">
        <v>1421</v>
      </c>
      <c r="D128" s="383">
        <v>812</v>
      </c>
      <c r="E128" s="383" t="s">
        <v>1374</v>
      </c>
      <c r="F128" s="383">
        <v>500000</v>
      </c>
      <c r="G128" s="383"/>
      <c r="H128" s="383">
        <v>10</v>
      </c>
      <c r="I128" s="383">
        <f t="shared" si="1"/>
        <v>5000000</v>
      </c>
    </row>
    <row r="129" spans="1:9">
      <c r="A129" s="383">
        <v>71460</v>
      </c>
      <c r="B129" s="383" t="s">
        <v>1422</v>
      </c>
      <c r="C129" s="383" t="s">
        <v>1423</v>
      </c>
      <c r="D129" s="383">
        <v>812</v>
      </c>
      <c r="E129" s="383" t="s">
        <v>1374</v>
      </c>
      <c r="F129" s="383">
        <v>56141284</v>
      </c>
      <c r="G129" s="383"/>
      <c r="H129" s="383">
        <v>10</v>
      </c>
      <c r="I129" s="383">
        <f t="shared" si="1"/>
        <v>561412840</v>
      </c>
    </row>
    <row r="130" spans="1:9">
      <c r="A130" s="383">
        <v>71470</v>
      </c>
      <c r="B130" s="383" t="s">
        <v>1424</v>
      </c>
      <c r="C130" s="383" t="s">
        <v>1425</v>
      </c>
      <c r="D130" s="383">
        <v>812</v>
      </c>
      <c r="E130" s="383" t="s">
        <v>1374</v>
      </c>
      <c r="F130" s="383">
        <v>60000000</v>
      </c>
      <c r="G130" s="383"/>
      <c r="H130" s="383">
        <v>10</v>
      </c>
      <c r="I130" s="383">
        <f t="shared" si="1"/>
        <v>600000000</v>
      </c>
    </row>
    <row r="131" spans="1:9">
      <c r="A131" s="383">
        <v>71480</v>
      </c>
      <c r="B131" s="383" t="s">
        <v>1426</v>
      </c>
      <c r="C131" s="383" t="s">
        <v>1427</v>
      </c>
      <c r="D131" s="383">
        <v>812</v>
      </c>
      <c r="E131" s="383" t="s">
        <v>1374</v>
      </c>
      <c r="F131" s="383">
        <v>30564844</v>
      </c>
      <c r="G131" s="383"/>
      <c r="H131" s="383">
        <v>10</v>
      </c>
      <c r="I131" s="383">
        <f t="shared" ref="I131:I194" si="2">F131*H131</f>
        <v>305648440</v>
      </c>
    </row>
    <row r="132" spans="1:9">
      <c r="A132" s="383">
        <v>71490</v>
      </c>
      <c r="B132" s="383" t="s">
        <v>1428</v>
      </c>
      <c r="C132" s="383" t="s">
        <v>1429</v>
      </c>
      <c r="D132" s="383">
        <v>812</v>
      </c>
      <c r="E132" s="383" t="s">
        <v>1374</v>
      </c>
      <c r="F132" s="383">
        <v>75515899</v>
      </c>
      <c r="G132" s="383"/>
      <c r="H132" s="383">
        <v>10</v>
      </c>
      <c r="I132" s="383">
        <f t="shared" si="2"/>
        <v>755158990</v>
      </c>
    </row>
    <row r="133" spans="1:9">
      <c r="A133" s="383">
        <v>71500</v>
      </c>
      <c r="B133" s="383" t="s">
        <v>1430</v>
      </c>
      <c r="C133" s="383" t="s">
        <v>1431</v>
      </c>
      <c r="D133" s="383">
        <v>812</v>
      </c>
      <c r="E133" s="383" t="s">
        <v>1374</v>
      </c>
      <c r="F133" s="383">
        <v>750000</v>
      </c>
      <c r="G133" s="383"/>
      <c r="H133" s="383">
        <v>10</v>
      </c>
      <c r="I133" s="383">
        <f t="shared" si="2"/>
        <v>7500000</v>
      </c>
    </row>
    <row r="134" spans="1:9">
      <c r="A134" s="383">
        <v>71560</v>
      </c>
      <c r="B134" s="383" t="s">
        <v>1432</v>
      </c>
      <c r="C134" s="383" t="s">
        <v>1433</v>
      </c>
      <c r="D134" s="383">
        <v>812</v>
      </c>
      <c r="E134" s="383" t="s">
        <v>1374</v>
      </c>
      <c r="F134" s="383">
        <v>200155200</v>
      </c>
      <c r="G134" s="383"/>
      <c r="H134" s="383">
        <v>10</v>
      </c>
      <c r="I134" s="383">
        <f t="shared" si="2"/>
        <v>2001552000</v>
      </c>
    </row>
    <row r="135" spans="1:9">
      <c r="A135" s="383">
        <v>71580</v>
      </c>
      <c r="B135" s="383" t="s">
        <v>1434</v>
      </c>
      <c r="C135" s="383" t="s">
        <v>1435</v>
      </c>
      <c r="D135" s="383">
        <v>812</v>
      </c>
      <c r="E135" s="383" t="s">
        <v>1374</v>
      </c>
      <c r="F135" s="383">
        <v>50000000</v>
      </c>
      <c r="G135" s="383"/>
      <c r="H135" s="383">
        <v>10</v>
      </c>
      <c r="I135" s="383">
        <f t="shared" si="2"/>
        <v>500000000</v>
      </c>
    </row>
    <row r="136" spans="1:9">
      <c r="A136" s="383">
        <v>81008</v>
      </c>
      <c r="B136" s="383" t="s">
        <v>1436</v>
      </c>
      <c r="C136" s="383" t="s">
        <v>1437</v>
      </c>
      <c r="D136" s="383">
        <v>830</v>
      </c>
      <c r="E136" s="383" t="s">
        <v>1438</v>
      </c>
      <c r="F136" s="383">
        <v>7725800</v>
      </c>
      <c r="G136" s="383"/>
      <c r="H136" s="383">
        <v>10</v>
      </c>
      <c r="I136" s="383">
        <f t="shared" si="2"/>
        <v>77258000</v>
      </c>
    </row>
    <row r="137" spans="1:9">
      <c r="A137" s="383">
        <v>81070</v>
      </c>
      <c r="B137" s="383" t="s">
        <v>1439</v>
      </c>
      <c r="C137" s="383" t="s">
        <v>1440</v>
      </c>
      <c r="D137" s="383">
        <v>830</v>
      </c>
      <c r="E137" s="383" t="s">
        <v>1438</v>
      </c>
      <c r="F137" s="383">
        <v>8550400</v>
      </c>
      <c r="G137" s="383"/>
      <c r="H137" s="383">
        <v>10</v>
      </c>
      <c r="I137" s="383">
        <f t="shared" si="2"/>
        <v>85504000</v>
      </c>
    </row>
    <row r="138" spans="1:9">
      <c r="A138" s="383">
        <v>81080</v>
      </c>
      <c r="B138" s="383" t="s">
        <v>1441</v>
      </c>
      <c r="C138" s="383" t="s">
        <v>1442</v>
      </c>
      <c r="D138" s="383">
        <v>830</v>
      </c>
      <c r="E138" s="383" t="s">
        <v>1438</v>
      </c>
      <c r="F138" s="383">
        <v>44426694</v>
      </c>
      <c r="G138" s="383"/>
      <c r="H138" s="383">
        <v>10</v>
      </c>
      <c r="I138" s="383">
        <f t="shared" si="2"/>
        <v>444266940</v>
      </c>
    </row>
    <row r="139" spans="1:9">
      <c r="A139" s="383">
        <v>81090</v>
      </c>
      <c r="B139" s="383" t="s">
        <v>1443</v>
      </c>
      <c r="C139" s="383" t="s">
        <v>1444</v>
      </c>
      <c r="D139" s="383">
        <v>830</v>
      </c>
      <c r="E139" s="383" t="s">
        <v>1438</v>
      </c>
      <c r="F139" s="383">
        <v>259430134</v>
      </c>
      <c r="G139" s="383"/>
      <c r="H139" s="383">
        <v>10</v>
      </c>
      <c r="I139" s="383">
        <f t="shared" si="2"/>
        <v>2594301340</v>
      </c>
    </row>
    <row r="140" spans="1:9">
      <c r="A140" s="383">
        <v>81100</v>
      </c>
      <c r="B140" s="383" t="s">
        <v>1445</v>
      </c>
      <c r="C140" s="383" t="s">
        <v>1446</v>
      </c>
      <c r="D140" s="383">
        <v>830</v>
      </c>
      <c r="E140" s="383" t="s">
        <v>1438</v>
      </c>
      <c r="F140" s="383">
        <v>800000</v>
      </c>
      <c r="G140" s="383"/>
      <c r="H140" s="383">
        <v>10</v>
      </c>
      <c r="I140" s="383">
        <f t="shared" si="2"/>
        <v>8000000</v>
      </c>
    </row>
    <row r="141" spans="1:9">
      <c r="A141" s="383">
        <v>81155</v>
      </c>
      <c r="B141" s="383" t="s">
        <v>1447</v>
      </c>
      <c r="C141" s="383" t="s">
        <v>1448</v>
      </c>
      <c r="D141" s="383">
        <v>830</v>
      </c>
      <c r="E141" s="383" t="s">
        <v>1438</v>
      </c>
      <c r="F141" s="383">
        <v>7453000</v>
      </c>
      <c r="G141" s="383"/>
      <c r="H141" s="383">
        <v>10</v>
      </c>
      <c r="I141" s="383">
        <f t="shared" si="2"/>
        <v>74530000</v>
      </c>
    </row>
    <row r="142" spans="1:9">
      <c r="A142" s="383">
        <v>81180</v>
      </c>
      <c r="B142" s="383" t="s">
        <v>1449</v>
      </c>
      <c r="C142" s="383" t="s">
        <v>1450</v>
      </c>
      <c r="D142" s="383">
        <v>830</v>
      </c>
      <c r="E142" s="383" t="s">
        <v>1438</v>
      </c>
      <c r="F142" s="383">
        <v>1742400</v>
      </c>
      <c r="G142" s="383"/>
      <c r="H142" s="383">
        <v>10</v>
      </c>
      <c r="I142" s="383">
        <f t="shared" si="2"/>
        <v>17424000</v>
      </c>
    </row>
    <row r="143" spans="1:9">
      <c r="A143" s="383">
        <v>81220</v>
      </c>
      <c r="B143" s="383" t="s">
        <v>1451</v>
      </c>
      <c r="C143" s="383" t="s">
        <v>1452</v>
      </c>
      <c r="D143" s="383">
        <v>830</v>
      </c>
      <c r="E143" s="383" t="s">
        <v>1438</v>
      </c>
      <c r="F143" s="383">
        <v>8284700</v>
      </c>
      <c r="G143" s="383"/>
      <c r="H143" s="383">
        <v>10</v>
      </c>
      <c r="I143" s="383">
        <f t="shared" si="2"/>
        <v>82847000</v>
      </c>
    </row>
    <row r="144" spans="1:9">
      <c r="A144" s="383">
        <v>81225</v>
      </c>
      <c r="B144" s="383" t="s">
        <v>1453</v>
      </c>
      <c r="C144" s="383" t="s">
        <v>1454</v>
      </c>
      <c r="D144" s="383">
        <v>830</v>
      </c>
      <c r="E144" s="383" t="s">
        <v>1438</v>
      </c>
      <c r="F144" s="383">
        <v>15177000</v>
      </c>
      <c r="G144" s="383"/>
      <c r="H144" s="383">
        <v>10</v>
      </c>
      <c r="I144" s="383">
        <f t="shared" si="2"/>
        <v>151770000</v>
      </c>
    </row>
    <row r="145" spans="1:9">
      <c r="A145" s="383">
        <v>81240</v>
      </c>
      <c r="B145" s="383" t="s">
        <v>1455</v>
      </c>
      <c r="C145" s="383" t="s">
        <v>1456</v>
      </c>
      <c r="D145" s="383">
        <v>830</v>
      </c>
      <c r="E145" s="383" t="s">
        <v>1438</v>
      </c>
      <c r="F145" s="383">
        <v>1400000</v>
      </c>
      <c r="G145" s="383"/>
      <c r="H145" s="383">
        <v>10</v>
      </c>
      <c r="I145" s="383">
        <f t="shared" si="2"/>
        <v>14000000</v>
      </c>
    </row>
    <row r="146" spans="1:9">
      <c r="A146" s="383">
        <v>81280</v>
      </c>
      <c r="B146" s="383" t="s">
        <v>1457</v>
      </c>
      <c r="C146" s="383" t="s">
        <v>1458</v>
      </c>
      <c r="D146" s="383">
        <v>830</v>
      </c>
      <c r="E146" s="383" t="s">
        <v>1438</v>
      </c>
      <c r="F146" s="383">
        <v>950000</v>
      </c>
      <c r="G146" s="383"/>
      <c r="H146" s="383">
        <v>10</v>
      </c>
      <c r="I146" s="383">
        <f t="shared" si="2"/>
        <v>9500000</v>
      </c>
    </row>
    <row r="147" spans="1:9">
      <c r="A147" s="383">
        <v>81300</v>
      </c>
      <c r="B147" s="383" t="s">
        <v>1459</v>
      </c>
      <c r="C147" s="383" t="s">
        <v>1460</v>
      </c>
      <c r="D147" s="383">
        <v>830</v>
      </c>
      <c r="E147" s="383" t="s">
        <v>1438</v>
      </c>
      <c r="F147" s="383">
        <v>3652178</v>
      </c>
      <c r="G147" s="383"/>
      <c r="H147" s="383">
        <v>10</v>
      </c>
      <c r="I147" s="383">
        <f t="shared" si="2"/>
        <v>36521780</v>
      </c>
    </row>
    <row r="148" spans="1:9">
      <c r="A148" s="383">
        <v>81325</v>
      </c>
      <c r="B148" s="383" t="s">
        <v>1461</v>
      </c>
      <c r="C148" s="383" t="s">
        <v>1462</v>
      </c>
      <c r="D148" s="383">
        <v>830</v>
      </c>
      <c r="E148" s="383" t="s">
        <v>1438</v>
      </c>
      <c r="F148" s="383">
        <v>14100000</v>
      </c>
      <c r="G148" s="383"/>
      <c r="H148" s="383">
        <v>10</v>
      </c>
      <c r="I148" s="383">
        <f t="shared" si="2"/>
        <v>141000000</v>
      </c>
    </row>
    <row r="149" spans="1:9">
      <c r="A149" s="383">
        <v>81360</v>
      </c>
      <c r="B149" s="383" t="s">
        <v>1463</v>
      </c>
      <c r="C149" s="383" t="s">
        <v>1464</v>
      </c>
      <c r="D149" s="383">
        <v>830</v>
      </c>
      <c r="E149" s="383" t="s">
        <v>1438</v>
      </c>
      <c r="F149" s="383">
        <v>9801000</v>
      </c>
      <c r="G149" s="383"/>
      <c r="H149" s="383">
        <v>10</v>
      </c>
      <c r="I149" s="383">
        <f t="shared" si="2"/>
        <v>98010000</v>
      </c>
    </row>
    <row r="150" spans="1:9">
      <c r="A150" s="383">
        <v>81420</v>
      </c>
      <c r="B150" s="383" t="s">
        <v>1465</v>
      </c>
      <c r="C150" s="383" t="s">
        <v>1466</v>
      </c>
      <c r="D150" s="383">
        <v>830</v>
      </c>
      <c r="E150" s="383" t="s">
        <v>1438</v>
      </c>
      <c r="F150" s="383">
        <v>40000000</v>
      </c>
      <c r="G150" s="383"/>
      <c r="H150" s="383">
        <v>5</v>
      </c>
      <c r="I150" s="383">
        <f t="shared" si="2"/>
        <v>200000000</v>
      </c>
    </row>
    <row r="151" spans="1:9">
      <c r="A151" s="383">
        <v>81450</v>
      </c>
      <c r="B151" s="383" t="s">
        <v>1467</v>
      </c>
      <c r="C151" s="383" t="s">
        <v>1468</v>
      </c>
      <c r="D151" s="383">
        <v>830</v>
      </c>
      <c r="E151" s="383" t="s">
        <v>1438</v>
      </c>
      <c r="F151" s="383">
        <v>86577920</v>
      </c>
      <c r="G151" s="383"/>
      <c r="H151" s="383">
        <v>10</v>
      </c>
      <c r="I151" s="383">
        <f t="shared" si="2"/>
        <v>865779200</v>
      </c>
    </row>
    <row r="152" spans="1:9">
      <c r="A152" s="383">
        <v>81470</v>
      </c>
      <c r="B152" s="383" t="s">
        <v>1469</v>
      </c>
      <c r="C152" s="383" t="s">
        <v>1470</v>
      </c>
      <c r="D152" s="383">
        <v>830</v>
      </c>
      <c r="E152" s="383" t="s">
        <v>1438</v>
      </c>
      <c r="F152" s="383">
        <v>12417876</v>
      </c>
      <c r="G152" s="383"/>
      <c r="H152" s="383">
        <v>10</v>
      </c>
      <c r="I152" s="383">
        <f t="shared" si="2"/>
        <v>124178760</v>
      </c>
    </row>
    <row r="153" spans="1:9">
      <c r="A153" s="383">
        <v>81502</v>
      </c>
      <c r="B153" s="383" t="s">
        <v>1471</v>
      </c>
      <c r="C153" s="383" t="s">
        <v>1472</v>
      </c>
      <c r="D153" s="383">
        <v>830</v>
      </c>
      <c r="E153" s="383" t="s">
        <v>1438</v>
      </c>
      <c r="F153" s="383">
        <v>8000000</v>
      </c>
      <c r="G153" s="383"/>
      <c r="H153" s="383">
        <v>10</v>
      </c>
      <c r="I153" s="383">
        <f t="shared" si="2"/>
        <v>80000000</v>
      </c>
    </row>
    <row r="154" spans="1:9">
      <c r="A154" s="383">
        <v>81503</v>
      </c>
      <c r="B154" s="383" t="s">
        <v>1473</v>
      </c>
      <c r="C154" s="383" t="s">
        <v>1474</v>
      </c>
      <c r="D154" s="383">
        <v>830</v>
      </c>
      <c r="E154" s="383" t="s">
        <v>1438</v>
      </c>
      <c r="F154" s="383">
        <v>9909600</v>
      </c>
      <c r="G154" s="383"/>
      <c r="H154" s="383">
        <v>10</v>
      </c>
      <c r="I154" s="383">
        <f t="shared" si="2"/>
        <v>99096000</v>
      </c>
    </row>
    <row r="155" spans="1:9">
      <c r="A155" s="383">
        <v>81504</v>
      </c>
      <c r="B155" s="383" t="s">
        <v>1475</v>
      </c>
      <c r="C155" s="383" t="s">
        <v>1476</v>
      </c>
      <c r="D155" s="383">
        <v>830</v>
      </c>
      <c r="E155" s="383" t="s">
        <v>1438</v>
      </c>
      <c r="F155" s="383">
        <v>97750726</v>
      </c>
      <c r="G155" s="383"/>
      <c r="H155" s="383">
        <v>10</v>
      </c>
      <c r="I155" s="383">
        <f t="shared" si="2"/>
        <v>977507260</v>
      </c>
    </row>
    <row r="156" spans="1:9">
      <c r="A156" s="383">
        <v>81505</v>
      </c>
      <c r="B156" s="383" t="s">
        <v>1477</v>
      </c>
      <c r="C156" s="383" t="s">
        <v>1478</v>
      </c>
      <c r="D156" s="383">
        <v>830</v>
      </c>
      <c r="E156" s="383" t="s">
        <v>1438</v>
      </c>
      <c r="F156" s="383">
        <v>9610759</v>
      </c>
      <c r="G156" s="383"/>
      <c r="H156" s="383">
        <v>10</v>
      </c>
      <c r="I156" s="383">
        <f t="shared" si="2"/>
        <v>96107590</v>
      </c>
    </row>
    <row r="157" spans="1:9">
      <c r="A157" s="383">
        <v>81510</v>
      </c>
      <c r="B157" s="383" t="s">
        <v>1479</v>
      </c>
      <c r="C157" s="383" t="s">
        <v>1480</v>
      </c>
      <c r="D157" s="383">
        <v>830</v>
      </c>
      <c r="E157" s="383" t="s">
        <v>1438</v>
      </c>
      <c r="F157" s="383">
        <v>6561028</v>
      </c>
      <c r="G157" s="383"/>
      <c r="H157" s="383">
        <v>10</v>
      </c>
      <c r="I157" s="383">
        <f t="shared" si="2"/>
        <v>65610280</v>
      </c>
    </row>
    <row r="158" spans="1:9">
      <c r="A158" s="383">
        <v>81520</v>
      </c>
      <c r="B158" s="383" t="s">
        <v>1481</v>
      </c>
      <c r="C158" s="383" t="s">
        <v>1482</v>
      </c>
      <c r="D158" s="383">
        <v>830</v>
      </c>
      <c r="E158" s="383" t="s">
        <v>1438</v>
      </c>
      <c r="F158" s="383">
        <v>46064609</v>
      </c>
      <c r="G158" s="383"/>
      <c r="H158" s="383">
        <v>10</v>
      </c>
      <c r="I158" s="383">
        <f t="shared" si="2"/>
        <v>460646090</v>
      </c>
    </row>
    <row r="159" spans="1:9">
      <c r="A159" s="383">
        <v>81530</v>
      </c>
      <c r="B159" s="383" t="s">
        <v>1483</v>
      </c>
      <c r="C159" s="383" t="s">
        <v>1484</v>
      </c>
      <c r="D159" s="383">
        <v>830</v>
      </c>
      <c r="E159" s="383" t="s">
        <v>1438</v>
      </c>
      <c r="F159" s="383">
        <v>22421689</v>
      </c>
      <c r="G159" s="383"/>
      <c r="H159" s="383">
        <v>10</v>
      </c>
      <c r="I159" s="383">
        <f t="shared" si="2"/>
        <v>224216890</v>
      </c>
    </row>
    <row r="160" spans="1:9">
      <c r="A160" s="383">
        <v>81560</v>
      </c>
      <c r="B160" s="383" t="s">
        <v>1485</v>
      </c>
      <c r="C160" s="383" t="s">
        <v>1486</v>
      </c>
      <c r="D160" s="383">
        <v>830</v>
      </c>
      <c r="E160" s="383" t="s">
        <v>1438</v>
      </c>
      <c r="F160" s="383">
        <v>3052400</v>
      </c>
      <c r="G160" s="383"/>
      <c r="H160" s="383">
        <v>10</v>
      </c>
      <c r="I160" s="383">
        <f t="shared" si="2"/>
        <v>30524000</v>
      </c>
    </row>
    <row r="161" spans="1:9">
      <c r="A161" s="383">
        <v>81565</v>
      </c>
      <c r="B161" s="383" t="s">
        <v>1487</v>
      </c>
      <c r="C161" s="383" t="s">
        <v>1488</v>
      </c>
      <c r="D161" s="383">
        <v>830</v>
      </c>
      <c r="E161" s="383" t="s">
        <v>1438</v>
      </c>
      <c r="F161" s="383">
        <v>83685631</v>
      </c>
      <c r="G161" s="383"/>
      <c r="H161" s="383">
        <v>10</v>
      </c>
      <c r="I161" s="383">
        <f t="shared" si="2"/>
        <v>836856310</v>
      </c>
    </row>
    <row r="162" spans="1:9">
      <c r="A162" s="383">
        <v>81580</v>
      </c>
      <c r="B162" s="383" t="s">
        <v>1489</v>
      </c>
      <c r="C162" s="383" t="s">
        <v>1490</v>
      </c>
      <c r="D162" s="383">
        <v>830</v>
      </c>
      <c r="E162" s="383" t="s">
        <v>1438</v>
      </c>
      <c r="F162" s="383">
        <v>1300000</v>
      </c>
      <c r="G162" s="383"/>
      <c r="H162" s="383">
        <v>10</v>
      </c>
      <c r="I162" s="383">
        <f t="shared" si="2"/>
        <v>13000000</v>
      </c>
    </row>
    <row r="163" spans="1:9">
      <c r="A163" s="383">
        <v>81600</v>
      </c>
      <c r="B163" s="383" t="s">
        <v>1491</v>
      </c>
      <c r="C163" s="383" t="s">
        <v>1492</v>
      </c>
      <c r="D163" s="383">
        <v>830</v>
      </c>
      <c r="E163" s="383" t="s">
        <v>1438</v>
      </c>
      <c r="F163" s="383">
        <v>10950000</v>
      </c>
      <c r="G163" s="383"/>
      <c r="H163" s="383">
        <v>10</v>
      </c>
      <c r="I163" s="383">
        <f t="shared" si="2"/>
        <v>109500000</v>
      </c>
    </row>
    <row r="164" spans="1:9">
      <c r="A164" s="383">
        <v>81630</v>
      </c>
      <c r="B164" s="383" t="s">
        <v>1493</v>
      </c>
      <c r="C164" s="383" t="s">
        <v>1494</v>
      </c>
      <c r="D164" s="383">
        <v>830</v>
      </c>
      <c r="E164" s="383" t="s">
        <v>1438</v>
      </c>
      <c r="F164" s="383">
        <v>14231000</v>
      </c>
      <c r="G164" s="383"/>
      <c r="H164" s="383">
        <v>10</v>
      </c>
      <c r="I164" s="383">
        <f t="shared" si="2"/>
        <v>142310000</v>
      </c>
    </row>
    <row r="165" spans="1:9">
      <c r="A165" s="383">
        <v>81680</v>
      </c>
      <c r="B165" s="383" t="s">
        <v>1495</v>
      </c>
      <c r="C165" s="383" t="s">
        <v>1496</v>
      </c>
      <c r="D165" s="383">
        <v>830</v>
      </c>
      <c r="E165" s="383" t="s">
        <v>1438</v>
      </c>
      <c r="F165" s="383">
        <v>30000000</v>
      </c>
      <c r="G165" s="383"/>
      <c r="H165" s="383">
        <v>10</v>
      </c>
      <c r="I165" s="383">
        <f t="shared" si="2"/>
        <v>300000000</v>
      </c>
    </row>
    <row r="166" spans="1:9">
      <c r="A166" s="383">
        <v>81725</v>
      </c>
      <c r="B166" s="383" t="s">
        <v>1497</v>
      </c>
      <c r="C166" s="383" t="s">
        <v>1498</v>
      </c>
      <c r="D166" s="383">
        <v>830</v>
      </c>
      <c r="E166" s="383" t="s">
        <v>1438</v>
      </c>
      <c r="F166" s="383">
        <v>28029583</v>
      </c>
      <c r="G166" s="383"/>
      <c r="H166" s="383">
        <v>10</v>
      </c>
      <c r="I166" s="383">
        <f t="shared" si="2"/>
        <v>280295830</v>
      </c>
    </row>
    <row r="167" spans="1:9">
      <c r="A167" s="383">
        <v>81730</v>
      </c>
      <c r="B167" s="383" t="s">
        <v>1499</v>
      </c>
      <c r="C167" s="383" t="s">
        <v>1500</v>
      </c>
      <c r="D167" s="383">
        <v>830</v>
      </c>
      <c r="E167" s="383" t="s">
        <v>1438</v>
      </c>
      <c r="F167" s="383">
        <v>26640000</v>
      </c>
      <c r="G167" s="383"/>
      <c r="H167" s="383">
        <v>10</v>
      </c>
      <c r="I167" s="383">
        <f t="shared" si="2"/>
        <v>266400000</v>
      </c>
    </row>
    <row r="168" spans="1:9">
      <c r="A168" s="383">
        <v>81740</v>
      </c>
      <c r="B168" s="383" t="s">
        <v>1501</v>
      </c>
      <c r="C168" s="383" t="s">
        <v>1502</v>
      </c>
      <c r="D168" s="383">
        <v>830</v>
      </c>
      <c r="E168" s="383" t="s">
        <v>1438</v>
      </c>
      <c r="F168" s="383">
        <v>16367085</v>
      </c>
      <c r="G168" s="383"/>
      <c r="H168" s="383">
        <v>10</v>
      </c>
      <c r="I168" s="383">
        <f t="shared" si="2"/>
        <v>163670850</v>
      </c>
    </row>
    <row r="169" spans="1:9">
      <c r="A169" s="383">
        <v>81760</v>
      </c>
      <c r="B169" s="383" t="s">
        <v>1503</v>
      </c>
      <c r="C169" s="383" t="s">
        <v>1504</v>
      </c>
      <c r="D169" s="383">
        <v>830</v>
      </c>
      <c r="E169" s="383" t="s">
        <v>1438</v>
      </c>
      <c r="F169" s="383">
        <v>4662210</v>
      </c>
      <c r="G169" s="383"/>
      <c r="H169" s="383">
        <v>10</v>
      </c>
      <c r="I169" s="383">
        <f t="shared" si="2"/>
        <v>46622100</v>
      </c>
    </row>
    <row r="170" spans="1:9">
      <c r="A170" s="383">
        <v>81790</v>
      </c>
      <c r="B170" s="383" t="s">
        <v>1505</v>
      </c>
      <c r="C170" s="383" t="s">
        <v>1506</v>
      </c>
      <c r="D170" s="383">
        <v>830</v>
      </c>
      <c r="E170" s="383" t="s">
        <v>1438</v>
      </c>
      <c r="F170" s="383">
        <v>14641000</v>
      </c>
      <c r="G170" s="383"/>
      <c r="H170" s="383">
        <v>10</v>
      </c>
      <c r="I170" s="383">
        <f t="shared" si="2"/>
        <v>146410000</v>
      </c>
    </row>
    <row r="171" spans="1:9">
      <c r="A171" s="383">
        <v>81800</v>
      </c>
      <c r="B171" s="383" t="s">
        <v>1507</v>
      </c>
      <c r="C171" s="383" t="s">
        <v>1508</v>
      </c>
      <c r="D171" s="383">
        <v>830</v>
      </c>
      <c r="E171" s="383" t="s">
        <v>1438</v>
      </c>
      <c r="F171" s="383">
        <v>18983872</v>
      </c>
      <c r="G171" s="383"/>
      <c r="H171" s="383">
        <v>10</v>
      </c>
      <c r="I171" s="383">
        <f t="shared" si="2"/>
        <v>189838720</v>
      </c>
    </row>
    <row r="172" spans="1:9">
      <c r="A172" s="383">
        <v>81820</v>
      </c>
      <c r="B172" s="383" t="s">
        <v>1509</v>
      </c>
      <c r="C172" s="383" t="s">
        <v>1510</v>
      </c>
      <c r="D172" s="383">
        <v>830</v>
      </c>
      <c r="E172" s="383" t="s">
        <v>1438</v>
      </c>
      <c r="F172" s="383">
        <v>22225038</v>
      </c>
      <c r="G172" s="383"/>
      <c r="H172" s="383">
        <v>10</v>
      </c>
      <c r="I172" s="383">
        <f t="shared" si="2"/>
        <v>222250380</v>
      </c>
    </row>
    <row r="173" spans="1:9">
      <c r="A173" s="383">
        <v>81825</v>
      </c>
      <c r="B173" s="383" t="s">
        <v>1511</v>
      </c>
      <c r="C173" s="383" t="s">
        <v>1512</v>
      </c>
      <c r="D173" s="383">
        <v>830</v>
      </c>
      <c r="E173" s="383" t="s">
        <v>1438</v>
      </c>
      <c r="F173" s="383">
        <v>11975040</v>
      </c>
      <c r="G173" s="383"/>
      <c r="H173" s="383">
        <v>10</v>
      </c>
      <c r="I173" s="383">
        <f t="shared" si="2"/>
        <v>119750400</v>
      </c>
    </row>
    <row r="174" spans="1:9">
      <c r="A174" s="383">
        <v>81840</v>
      </c>
      <c r="B174" s="383" t="s">
        <v>1513</v>
      </c>
      <c r="C174" s="383" t="s">
        <v>1514</v>
      </c>
      <c r="D174" s="383">
        <v>830</v>
      </c>
      <c r="E174" s="383" t="s">
        <v>1438</v>
      </c>
      <c r="F174" s="383">
        <v>13750000</v>
      </c>
      <c r="G174" s="383"/>
      <c r="H174" s="383">
        <v>10</v>
      </c>
      <c r="I174" s="383">
        <f t="shared" si="2"/>
        <v>137500000</v>
      </c>
    </row>
    <row r="175" spans="1:9">
      <c r="A175" s="383">
        <v>81910</v>
      </c>
      <c r="B175" s="383" t="s">
        <v>1515</v>
      </c>
      <c r="C175" s="383" t="s">
        <v>1516</v>
      </c>
      <c r="D175" s="383">
        <v>830</v>
      </c>
      <c r="E175" s="383" t="s">
        <v>1438</v>
      </c>
      <c r="F175" s="383">
        <v>9920000</v>
      </c>
      <c r="G175" s="383"/>
      <c r="H175" s="383">
        <v>10</v>
      </c>
      <c r="I175" s="383">
        <f t="shared" si="2"/>
        <v>99200000</v>
      </c>
    </row>
    <row r="176" spans="1:9">
      <c r="A176" s="383">
        <v>81913</v>
      </c>
      <c r="B176" s="383" t="s">
        <v>1517</v>
      </c>
      <c r="C176" s="383" t="s">
        <v>1518</v>
      </c>
      <c r="D176" s="383">
        <v>830</v>
      </c>
      <c r="E176" s="383" t="s">
        <v>1438</v>
      </c>
      <c r="F176" s="383">
        <v>18048000</v>
      </c>
      <c r="G176" s="383"/>
      <c r="H176" s="383">
        <v>10</v>
      </c>
      <c r="I176" s="383">
        <f t="shared" si="2"/>
        <v>180480000</v>
      </c>
    </row>
    <row r="177" spans="1:9">
      <c r="A177" s="383">
        <v>81920</v>
      </c>
      <c r="B177" s="383" t="s">
        <v>1519</v>
      </c>
      <c r="C177" s="383" t="s">
        <v>1520</v>
      </c>
      <c r="D177" s="383">
        <v>830</v>
      </c>
      <c r="E177" s="383" t="s">
        <v>1438</v>
      </c>
      <c r="F177" s="383">
        <v>18073731</v>
      </c>
      <c r="G177" s="383"/>
      <c r="H177" s="383">
        <v>10</v>
      </c>
      <c r="I177" s="383">
        <f t="shared" si="2"/>
        <v>180737310</v>
      </c>
    </row>
    <row r="178" spans="1:9">
      <c r="A178" s="383">
        <v>81940</v>
      </c>
      <c r="B178" s="383" t="s">
        <v>1521</v>
      </c>
      <c r="C178" s="383" t="s">
        <v>1522</v>
      </c>
      <c r="D178" s="383">
        <v>830</v>
      </c>
      <c r="E178" s="383" t="s">
        <v>1438</v>
      </c>
      <c r="F178" s="383">
        <v>4250000</v>
      </c>
      <c r="G178" s="383"/>
      <c r="H178" s="383">
        <v>10</v>
      </c>
      <c r="I178" s="383">
        <f t="shared" si="2"/>
        <v>42500000</v>
      </c>
    </row>
    <row r="179" spans="1:9">
      <c r="A179" s="383">
        <v>81960</v>
      </c>
      <c r="B179" s="383" t="s">
        <v>1523</v>
      </c>
      <c r="C179" s="383" t="s">
        <v>1524</v>
      </c>
      <c r="D179" s="383">
        <v>830</v>
      </c>
      <c r="E179" s="383" t="s">
        <v>1438</v>
      </c>
      <c r="F179" s="383">
        <v>500000</v>
      </c>
      <c r="G179" s="383"/>
      <c r="H179" s="383">
        <v>10</v>
      </c>
      <c r="I179" s="383">
        <f t="shared" si="2"/>
        <v>5000000</v>
      </c>
    </row>
    <row r="180" spans="1:9">
      <c r="A180" s="383">
        <v>81990</v>
      </c>
      <c r="B180" s="383" t="s">
        <v>1525</v>
      </c>
      <c r="C180" s="383" t="s">
        <v>1526</v>
      </c>
      <c r="D180" s="383">
        <v>830</v>
      </c>
      <c r="E180" s="383" t="s">
        <v>1438</v>
      </c>
      <c r="F180" s="383">
        <v>12601200</v>
      </c>
      <c r="G180" s="383"/>
      <c r="H180" s="383">
        <v>10</v>
      </c>
      <c r="I180" s="383">
        <f t="shared" si="2"/>
        <v>126012000</v>
      </c>
    </row>
    <row r="181" spans="1:9">
      <c r="A181" s="383">
        <v>81995</v>
      </c>
      <c r="B181" s="383" t="s">
        <v>1527</v>
      </c>
      <c r="C181" s="383" t="s">
        <v>1528</v>
      </c>
      <c r="D181" s="383">
        <v>830</v>
      </c>
      <c r="E181" s="383" t="s">
        <v>1438</v>
      </c>
      <c r="F181" s="383">
        <v>73083930</v>
      </c>
      <c r="G181" s="383"/>
      <c r="H181" s="383">
        <v>10</v>
      </c>
      <c r="I181" s="383">
        <f t="shared" si="2"/>
        <v>730839300</v>
      </c>
    </row>
    <row r="182" spans="1:9">
      <c r="A182" s="383">
        <v>82000</v>
      </c>
      <c r="B182" s="383" t="s">
        <v>1529</v>
      </c>
      <c r="C182" s="383" t="s">
        <v>1530</v>
      </c>
      <c r="D182" s="383">
        <v>830</v>
      </c>
      <c r="E182" s="383" t="s">
        <v>1438</v>
      </c>
      <c r="F182" s="383">
        <v>4784850</v>
      </c>
      <c r="G182" s="383"/>
      <c r="H182" s="383">
        <v>10</v>
      </c>
      <c r="I182" s="383">
        <f t="shared" si="2"/>
        <v>47848500</v>
      </c>
    </row>
    <row r="183" spans="1:9">
      <c r="A183" s="383">
        <v>82080</v>
      </c>
      <c r="B183" s="383" t="s">
        <v>1531</v>
      </c>
      <c r="C183" s="383" t="s">
        <v>1532</v>
      </c>
      <c r="D183" s="383">
        <v>830</v>
      </c>
      <c r="E183" s="383" t="s">
        <v>1438</v>
      </c>
      <c r="F183" s="383">
        <v>1183200</v>
      </c>
      <c r="G183" s="383"/>
      <c r="H183" s="383">
        <v>10</v>
      </c>
      <c r="I183" s="383">
        <f t="shared" si="2"/>
        <v>11832000</v>
      </c>
    </row>
    <row r="184" spans="1:9">
      <c r="A184" s="383">
        <v>82120</v>
      </c>
      <c r="B184" s="383" t="s">
        <v>1533</v>
      </c>
      <c r="C184" s="383" t="s">
        <v>1534</v>
      </c>
      <c r="D184" s="383">
        <v>830</v>
      </c>
      <c r="E184" s="383" t="s">
        <v>1438</v>
      </c>
      <c r="F184" s="383">
        <v>10700000</v>
      </c>
      <c r="G184" s="383"/>
      <c r="H184" s="383">
        <v>10</v>
      </c>
      <c r="I184" s="383">
        <f t="shared" si="2"/>
        <v>107000000</v>
      </c>
    </row>
    <row r="185" spans="1:9">
      <c r="A185" s="383">
        <v>82140</v>
      </c>
      <c r="B185" s="383" t="s">
        <v>1535</v>
      </c>
      <c r="C185" s="383" t="s">
        <v>1536</v>
      </c>
      <c r="D185" s="383">
        <v>830</v>
      </c>
      <c r="E185" s="383" t="s">
        <v>1438</v>
      </c>
      <c r="F185" s="383">
        <v>13174800</v>
      </c>
      <c r="G185" s="383"/>
      <c r="H185" s="383">
        <v>10</v>
      </c>
      <c r="I185" s="383">
        <f t="shared" si="2"/>
        <v>131748000</v>
      </c>
    </row>
    <row r="186" spans="1:9">
      <c r="A186" s="383">
        <v>82160</v>
      </c>
      <c r="B186" s="383" t="s">
        <v>1537</v>
      </c>
      <c r="C186" s="383" t="s">
        <v>1538</v>
      </c>
      <c r="D186" s="383">
        <v>830</v>
      </c>
      <c r="E186" s="383" t="s">
        <v>1438</v>
      </c>
      <c r="F186" s="383">
        <v>20800000</v>
      </c>
      <c r="G186" s="383"/>
      <c r="H186" s="383">
        <v>10</v>
      </c>
      <c r="I186" s="383">
        <f t="shared" si="2"/>
        <v>208000000</v>
      </c>
    </row>
    <row r="187" spans="1:9">
      <c r="A187" s="383">
        <v>82200</v>
      </c>
      <c r="B187" s="383" t="s">
        <v>1539</v>
      </c>
      <c r="C187" s="383" t="s">
        <v>1540</v>
      </c>
      <c r="D187" s="383">
        <v>830</v>
      </c>
      <c r="E187" s="383" t="s">
        <v>1438</v>
      </c>
      <c r="F187" s="383">
        <v>215714285</v>
      </c>
      <c r="G187" s="383"/>
      <c r="H187" s="383">
        <v>5</v>
      </c>
      <c r="I187" s="383">
        <f t="shared" si="2"/>
        <v>1078571425</v>
      </c>
    </row>
    <row r="188" spans="1:9">
      <c r="A188" s="383">
        <v>82230</v>
      </c>
      <c r="B188" s="383" t="s">
        <v>1541</v>
      </c>
      <c r="C188" s="383" t="s">
        <v>1542</v>
      </c>
      <c r="D188" s="383">
        <v>830</v>
      </c>
      <c r="E188" s="383" t="s">
        <v>1438</v>
      </c>
      <c r="F188" s="383">
        <v>12123700</v>
      </c>
      <c r="G188" s="383"/>
      <c r="H188" s="383">
        <v>10</v>
      </c>
      <c r="I188" s="383">
        <f t="shared" si="2"/>
        <v>121237000</v>
      </c>
    </row>
    <row r="189" spans="1:9">
      <c r="A189" s="383">
        <v>82240</v>
      </c>
      <c r="B189" s="383" t="s">
        <v>1543</v>
      </c>
      <c r="C189" s="383" t="s">
        <v>1544</v>
      </c>
      <c r="D189" s="383">
        <v>830</v>
      </c>
      <c r="E189" s="383" t="s">
        <v>1438</v>
      </c>
      <c r="F189" s="383">
        <v>16800000</v>
      </c>
      <c r="G189" s="383"/>
      <c r="H189" s="383">
        <v>10</v>
      </c>
      <c r="I189" s="383">
        <f t="shared" si="2"/>
        <v>168000000</v>
      </c>
    </row>
    <row r="190" spans="1:9">
      <c r="A190" s="383">
        <v>82270</v>
      </c>
      <c r="B190" s="383" t="s">
        <v>1545</v>
      </c>
      <c r="C190" s="383" t="s">
        <v>1546</v>
      </c>
      <c r="D190" s="383">
        <v>830</v>
      </c>
      <c r="E190" s="383" t="s">
        <v>1438</v>
      </c>
      <c r="F190" s="383">
        <v>9200000</v>
      </c>
      <c r="G190" s="383"/>
      <c r="H190" s="383">
        <v>10</v>
      </c>
      <c r="I190" s="383">
        <f t="shared" si="2"/>
        <v>92000000</v>
      </c>
    </row>
    <row r="191" spans="1:9">
      <c r="A191" s="383">
        <v>82305</v>
      </c>
      <c r="B191" s="383" t="s">
        <v>1547</v>
      </c>
      <c r="C191" s="383" t="s">
        <v>1548</v>
      </c>
      <c r="D191" s="383">
        <v>830</v>
      </c>
      <c r="E191" s="383" t="s">
        <v>1438</v>
      </c>
      <c r="F191" s="383">
        <v>14500000</v>
      </c>
      <c r="G191" s="383"/>
      <c r="H191" s="383">
        <v>10</v>
      </c>
      <c r="I191" s="383">
        <f t="shared" si="2"/>
        <v>145000000</v>
      </c>
    </row>
    <row r="192" spans="1:9">
      <c r="A192" s="383">
        <v>82320</v>
      </c>
      <c r="B192" s="383" t="s">
        <v>1549</v>
      </c>
      <c r="C192" s="383" t="s">
        <v>1550</v>
      </c>
      <c r="D192" s="383">
        <v>830</v>
      </c>
      <c r="E192" s="383" t="s">
        <v>1438</v>
      </c>
      <c r="F192" s="383">
        <v>14700000</v>
      </c>
      <c r="G192" s="383"/>
      <c r="H192" s="383">
        <v>10</v>
      </c>
      <c r="I192" s="383">
        <f t="shared" si="2"/>
        <v>147000000</v>
      </c>
    </row>
    <row r="193" spans="1:9">
      <c r="A193" s="383">
        <v>82325</v>
      </c>
      <c r="B193" s="383" t="s">
        <v>1551</v>
      </c>
      <c r="C193" s="383" t="s">
        <v>1552</v>
      </c>
      <c r="D193" s="383">
        <v>830</v>
      </c>
      <c r="E193" s="383" t="s">
        <v>1438</v>
      </c>
      <c r="F193" s="383">
        <v>19211985</v>
      </c>
      <c r="G193" s="383"/>
      <c r="H193" s="383">
        <v>10</v>
      </c>
      <c r="I193" s="383">
        <f t="shared" si="2"/>
        <v>192119850</v>
      </c>
    </row>
    <row r="194" spans="1:9">
      <c r="A194" s="383">
        <v>82340</v>
      </c>
      <c r="B194" s="383" t="s">
        <v>1553</v>
      </c>
      <c r="C194" s="383" t="s">
        <v>1554</v>
      </c>
      <c r="D194" s="383">
        <v>830</v>
      </c>
      <c r="E194" s="383" t="s">
        <v>1438</v>
      </c>
      <c r="F194" s="383">
        <v>18700000</v>
      </c>
      <c r="G194" s="383"/>
      <c r="H194" s="383">
        <v>10</v>
      </c>
      <c r="I194" s="383">
        <f t="shared" si="2"/>
        <v>187000000</v>
      </c>
    </row>
    <row r="195" spans="1:9">
      <c r="A195" s="383">
        <v>82365</v>
      </c>
      <c r="B195" s="383" t="s">
        <v>1555</v>
      </c>
      <c r="C195" s="383" t="s">
        <v>1556</v>
      </c>
      <c r="D195" s="383">
        <v>830</v>
      </c>
      <c r="E195" s="383" t="s">
        <v>1438</v>
      </c>
      <c r="F195" s="383">
        <v>23000000</v>
      </c>
      <c r="G195" s="383"/>
      <c r="H195" s="383">
        <v>10</v>
      </c>
      <c r="I195" s="383">
        <f t="shared" ref="I195:I258" si="3">F195*H195</f>
        <v>230000000</v>
      </c>
    </row>
    <row r="196" spans="1:9">
      <c r="A196" s="383">
        <v>82440</v>
      </c>
      <c r="B196" s="383" t="s">
        <v>1557</v>
      </c>
      <c r="C196" s="383" t="s">
        <v>1558</v>
      </c>
      <c r="D196" s="383">
        <v>830</v>
      </c>
      <c r="E196" s="383" t="s">
        <v>1438</v>
      </c>
      <c r="F196" s="383">
        <v>12000000</v>
      </c>
      <c r="G196" s="383"/>
      <c r="H196" s="383">
        <v>10</v>
      </c>
      <c r="I196" s="383">
        <f t="shared" si="3"/>
        <v>120000000</v>
      </c>
    </row>
    <row r="197" spans="1:9">
      <c r="A197" s="383">
        <v>82446</v>
      </c>
      <c r="B197" s="383" t="s">
        <v>1559</v>
      </c>
      <c r="C197" s="383" t="s">
        <v>1560</v>
      </c>
      <c r="D197" s="383">
        <v>831</v>
      </c>
      <c r="E197" s="383" t="s">
        <v>1561</v>
      </c>
      <c r="F197" s="383">
        <v>11500000</v>
      </c>
      <c r="G197" s="383"/>
      <c r="H197" s="383">
        <v>10</v>
      </c>
      <c r="I197" s="383">
        <f t="shared" si="3"/>
        <v>115000000</v>
      </c>
    </row>
    <row r="198" spans="1:9">
      <c r="A198" s="383">
        <v>82460</v>
      </c>
      <c r="B198" s="383" t="s">
        <v>1562</v>
      </c>
      <c r="C198" s="383" t="s">
        <v>1563</v>
      </c>
      <c r="D198" s="383">
        <v>830</v>
      </c>
      <c r="E198" s="383" t="s">
        <v>1438</v>
      </c>
      <c r="F198" s="383">
        <v>6163000</v>
      </c>
      <c r="G198" s="383"/>
      <c r="H198" s="383">
        <v>10</v>
      </c>
      <c r="I198" s="383">
        <f t="shared" si="3"/>
        <v>61630000</v>
      </c>
    </row>
    <row r="199" spans="1:9">
      <c r="A199" s="383">
        <v>82500</v>
      </c>
      <c r="B199" s="383" t="s">
        <v>1564</v>
      </c>
      <c r="C199" s="383" t="s">
        <v>1565</v>
      </c>
      <c r="D199" s="383">
        <v>830</v>
      </c>
      <c r="E199" s="383" t="s">
        <v>1438</v>
      </c>
      <c r="F199" s="383">
        <v>25000000</v>
      </c>
      <c r="G199" s="383"/>
      <c r="H199" s="383">
        <v>10</v>
      </c>
      <c r="I199" s="383">
        <f t="shared" si="3"/>
        <v>250000000</v>
      </c>
    </row>
    <row r="200" spans="1:9">
      <c r="A200" s="383">
        <v>82545</v>
      </c>
      <c r="B200" s="383" t="s">
        <v>1566</v>
      </c>
      <c r="C200" s="383" t="s">
        <v>1567</v>
      </c>
      <c r="D200" s="383">
        <v>830</v>
      </c>
      <c r="E200" s="383" t="s">
        <v>1438</v>
      </c>
      <c r="F200" s="383">
        <v>10292000</v>
      </c>
      <c r="G200" s="383"/>
      <c r="H200" s="383">
        <v>10</v>
      </c>
      <c r="I200" s="383">
        <f t="shared" si="3"/>
        <v>102920000</v>
      </c>
    </row>
    <row r="201" spans="1:9">
      <c r="A201" s="383">
        <v>82550</v>
      </c>
      <c r="B201" s="383" t="s">
        <v>1568</v>
      </c>
      <c r="C201" s="383" t="s">
        <v>1569</v>
      </c>
      <c r="D201" s="383">
        <v>830</v>
      </c>
      <c r="E201" s="383" t="s">
        <v>1438</v>
      </c>
      <c r="F201" s="383">
        <v>52214400</v>
      </c>
      <c r="G201" s="383"/>
      <c r="H201" s="383">
        <v>10</v>
      </c>
      <c r="I201" s="383">
        <f t="shared" si="3"/>
        <v>522144000</v>
      </c>
    </row>
    <row r="202" spans="1:9">
      <c r="A202" s="383">
        <v>82570</v>
      </c>
      <c r="B202" s="383" t="s">
        <v>1570</v>
      </c>
      <c r="C202" s="383" t="s">
        <v>1571</v>
      </c>
      <c r="D202" s="383">
        <v>830</v>
      </c>
      <c r="E202" s="383" t="s">
        <v>1438</v>
      </c>
      <c r="F202" s="383">
        <v>26412900</v>
      </c>
      <c r="G202" s="383"/>
      <c r="H202" s="383">
        <v>10</v>
      </c>
      <c r="I202" s="383">
        <f t="shared" si="3"/>
        <v>264129000</v>
      </c>
    </row>
    <row r="203" spans="1:9">
      <c r="A203" s="383">
        <v>82600</v>
      </c>
      <c r="B203" s="383" t="s">
        <v>1572</v>
      </c>
      <c r="C203" s="383" t="s">
        <v>1573</v>
      </c>
      <c r="D203" s="383">
        <v>830</v>
      </c>
      <c r="E203" s="383" t="s">
        <v>1438</v>
      </c>
      <c r="F203" s="383">
        <v>21267800</v>
      </c>
      <c r="G203" s="383"/>
      <c r="H203" s="383">
        <v>10</v>
      </c>
      <c r="I203" s="383">
        <f t="shared" si="3"/>
        <v>212678000</v>
      </c>
    </row>
    <row r="204" spans="1:9">
      <c r="A204" s="383">
        <v>82620</v>
      </c>
      <c r="B204" s="383" t="s">
        <v>1574</v>
      </c>
      <c r="C204" s="383" t="s">
        <v>1575</v>
      </c>
      <c r="D204" s="383">
        <v>830</v>
      </c>
      <c r="E204" s="383" t="s">
        <v>1438</v>
      </c>
      <c r="F204" s="383">
        <v>3342570</v>
      </c>
      <c r="G204" s="383"/>
      <c r="H204" s="383">
        <v>10</v>
      </c>
      <c r="I204" s="383">
        <f t="shared" si="3"/>
        <v>33425700</v>
      </c>
    </row>
    <row r="205" spans="1:9">
      <c r="A205" s="383">
        <v>82640</v>
      </c>
      <c r="B205" s="383" t="s">
        <v>1576</v>
      </c>
      <c r="C205" s="383" t="s">
        <v>1577</v>
      </c>
      <c r="D205" s="383">
        <v>830</v>
      </c>
      <c r="E205" s="383" t="s">
        <v>1438</v>
      </c>
      <c r="F205" s="383">
        <v>8775000</v>
      </c>
      <c r="G205" s="383"/>
      <c r="H205" s="383">
        <v>10</v>
      </c>
      <c r="I205" s="383">
        <f t="shared" si="3"/>
        <v>87750000</v>
      </c>
    </row>
    <row r="206" spans="1:9">
      <c r="A206" s="383">
        <v>82650</v>
      </c>
      <c r="B206" s="383" t="s">
        <v>1578</v>
      </c>
      <c r="C206" s="383" t="s">
        <v>1579</v>
      </c>
      <c r="D206" s="383">
        <v>830</v>
      </c>
      <c r="E206" s="383" t="s">
        <v>1438</v>
      </c>
      <c r="F206" s="383">
        <v>4467036</v>
      </c>
      <c r="G206" s="383"/>
      <c r="H206" s="383">
        <v>10</v>
      </c>
      <c r="I206" s="383">
        <f t="shared" si="3"/>
        <v>44670360</v>
      </c>
    </row>
    <row r="207" spans="1:9">
      <c r="A207" s="383">
        <v>82660</v>
      </c>
      <c r="B207" s="383" t="s">
        <v>1580</v>
      </c>
      <c r="C207" s="383" t="s">
        <v>1581</v>
      </c>
      <c r="D207" s="383">
        <v>830</v>
      </c>
      <c r="E207" s="383" t="s">
        <v>1438</v>
      </c>
      <c r="F207" s="383">
        <v>8593750</v>
      </c>
      <c r="G207" s="383"/>
      <c r="H207" s="383">
        <v>10</v>
      </c>
      <c r="I207" s="383">
        <f t="shared" si="3"/>
        <v>85937500</v>
      </c>
    </row>
    <row r="208" spans="1:9">
      <c r="A208" s="383">
        <v>82710</v>
      </c>
      <c r="B208" s="383" t="s">
        <v>1582</v>
      </c>
      <c r="C208" s="383" t="s">
        <v>1583</v>
      </c>
      <c r="D208" s="383">
        <v>830</v>
      </c>
      <c r="E208" s="383" t="s">
        <v>1438</v>
      </c>
      <c r="F208" s="383">
        <v>31200000</v>
      </c>
      <c r="G208" s="383"/>
      <c r="H208" s="383">
        <v>10</v>
      </c>
      <c r="I208" s="383">
        <f t="shared" si="3"/>
        <v>312000000</v>
      </c>
    </row>
    <row r="209" spans="1:9">
      <c r="A209" s="383">
        <v>82720</v>
      </c>
      <c r="B209" s="383" t="s">
        <v>1584</v>
      </c>
      <c r="C209" s="383" t="s">
        <v>1585</v>
      </c>
      <c r="D209" s="383">
        <v>830</v>
      </c>
      <c r="E209" s="383" t="s">
        <v>1438</v>
      </c>
      <c r="F209" s="383">
        <v>29840607</v>
      </c>
      <c r="G209" s="383"/>
      <c r="H209" s="383">
        <v>10</v>
      </c>
      <c r="I209" s="383">
        <f t="shared" si="3"/>
        <v>298406070</v>
      </c>
    </row>
    <row r="210" spans="1:9">
      <c r="A210" s="383">
        <v>82740</v>
      </c>
      <c r="B210" s="383" t="s">
        <v>1586</v>
      </c>
      <c r="C210" s="383" t="s">
        <v>1587</v>
      </c>
      <c r="D210" s="383">
        <v>830</v>
      </c>
      <c r="E210" s="383" t="s">
        <v>1438</v>
      </c>
      <c r="F210" s="383">
        <v>4449200</v>
      </c>
      <c r="G210" s="383"/>
      <c r="H210" s="383">
        <v>10</v>
      </c>
      <c r="I210" s="383">
        <f t="shared" si="3"/>
        <v>44492000</v>
      </c>
    </row>
    <row r="211" spans="1:9">
      <c r="A211" s="383">
        <v>82780</v>
      </c>
      <c r="B211" s="383" t="s">
        <v>1588</v>
      </c>
      <c r="C211" s="383" t="s">
        <v>1589</v>
      </c>
      <c r="D211" s="383">
        <v>830</v>
      </c>
      <c r="E211" s="383" t="s">
        <v>1438</v>
      </c>
      <c r="F211" s="383">
        <v>3000000</v>
      </c>
      <c r="G211" s="383"/>
      <c r="H211" s="383">
        <v>10</v>
      </c>
      <c r="I211" s="383">
        <f t="shared" si="3"/>
        <v>30000000</v>
      </c>
    </row>
    <row r="212" spans="1:9">
      <c r="A212" s="383">
        <v>82800</v>
      </c>
      <c r="B212" s="383" t="s">
        <v>1590</v>
      </c>
      <c r="C212" s="383" t="s">
        <v>1591</v>
      </c>
      <c r="D212" s="383">
        <v>830</v>
      </c>
      <c r="E212" s="383" t="s">
        <v>1438</v>
      </c>
      <c r="F212" s="383">
        <v>17636800</v>
      </c>
      <c r="G212" s="383"/>
      <c r="H212" s="383">
        <v>10</v>
      </c>
      <c r="I212" s="383">
        <f t="shared" si="3"/>
        <v>176368000</v>
      </c>
    </row>
    <row r="213" spans="1:9">
      <c r="A213" s="383">
        <v>82860</v>
      </c>
      <c r="B213" s="383" t="s">
        <v>1592</v>
      </c>
      <c r="C213" s="383" t="s">
        <v>1593</v>
      </c>
      <c r="D213" s="383">
        <v>830</v>
      </c>
      <c r="E213" s="383" t="s">
        <v>1438</v>
      </c>
      <c r="F213" s="383">
        <v>17971372</v>
      </c>
      <c r="G213" s="383"/>
      <c r="H213" s="383">
        <v>10</v>
      </c>
      <c r="I213" s="383">
        <f t="shared" si="3"/>
        <v>179713720</v>
      </c>
    </row>
    <row r="214" spans="1:9">
      <c r="A214" s="383">
        <v>82950</v>
      </c>
      <c r="B214" s="383" t="s">
        <v>1594</v>
      </c>
      <c r="C214" s="383" t="s">
        <v>1595</v>
      </c>
      <c r="D214" s="383">
        <v>830</v>
      </c>
      <c r="E214" s="383" t="s">
        <v>1438</v>
      </c>
      <c r="F214" s="383">
        <v>6900000</v>
      </c>
      <c r="G214" s="383"/>
      <c r="H214" s="383">
        <v>10</v>
      </c>
      <c r="I214" s="383">
        <f t="shared" si="3"/>
        <v>69000000</v>
      </c>
    </row>
    <row r="215" spans="1:9">
      <c r="A215" s="383">
        <v>82960</v>
      </c>
      <c r="B215" s="383" t="s">
        <v>1596</v>
      </c>
      <c r="C215" s="383" t="s">
        <v>1597</v>
      </c>
      <c r="D215" s="383">
        <v>830</v>
      </c>
      <c r="E215" s="383" t="s">
        <v>1438</v>
      </c>
      <c r="F215" s="383">
        <v>7851100</v>
      </c>
      <c r="G215" s="383"/>
      <c r="H215" s="383">
        <v>10</v>
      </c>
      <c r="I215" s="383">
        <f t="shared" si="3"/>
        <v>78511000</v>
      </c>
    </row>
    <row r="216" spans="1:9">
      <c r="A216" s="383">
        <v>82985</v>
      </c>
      <c r="B216" s="383" t="s">
        <v>1598</v>
      </c>
      <c r="C216" s="383" t="s">
        <v>1599</v>
      </c>
      <c r="D216" s="383">
        <v>830</v>
      </c>
      <c r="E216" s="383" t="s">
        <v>1438</v>
      </c>
      <c r="F216" s="383">
        <v>169050000</v>
      </c>
      <c r="G216" s="383"/>
      <c r="H216" s="383">
        <v>10</v>
      </c>
      <c r="I216" s="383">
        <f t="shared" si="3"/>
        <v>1690500000</v>
      </c>
    </row>
    <row r="217" spans="1:9">
      <c r="A217" s="383">
        <v>82990</v>
      </c>
      <c r="B217" s="383" t="s">
        <v>1600</v>
      </c>
      <c r="C217" s="383" t="s">
        <v>1601</v>
      </c>
      <c r="D217" s="383">
        <v>830</v>
      </c>
      <c r="E217" s="383" t="s">
        <v>1438</v>
      </c>
      <c r="F217" s="383">
        <v>17324750</v>
      </c>
      <c r="G217" s="383"/>
      <c r="H217" s="383">
        <v>10</v>
      </c>
      <c r="I217" s="383">
        <f t="shared" si="3"/>
        <v>173247500</v>
      </c>
    </row>
    <row r="218" spans="1:9">
      <c r="A218" s="383">
        <v>91010</v>
      </c>
      <c r="B218" s="383" t="s">
        <v>1602</v>
      </c>
      <c r="C218" s="383" t="s">
        <v>1603</v>
      </c>
      <c r="D218" s="383">
        <v>831</v>
      </c>
      <c r="E218" s="383" t="s">
        <v>1561</v>
      </c>
      <c r="F218" s="383">
        <v>34985000</v>
      </c>
      <c r="G218" s="383"/>
      <c r="H218" s="383">
        <v>10</v>
      </c>
      <c r="I218" s="383">
        <f t="shared" si="3"/>
        <v>349850000</v>
      </c>
    </row>
    <row r="219" spans="1:9">
      <c r="A219" s="383">
        <v>91060</v>
      </c>
      <c r="B219" s="383" t="s">
        <v>1604</v>
      </c>
      <c r="C219" s="383" t="s">
        <v>1605</v>
      </c>
      <c r="D219" s="383">
        <v>831</v>
      </c>
      <c r="E219" s="383" t="s">
        <v>1561</v>
      </c>
      <c r="F219" s="383">
        <v>5394800</v>
      </c>
      <c r="G219" s="383"/>
      <c r="H219" s="383">
        <v>10</v>
      </c>
      <c r="I219" s="383">
        <f t="shared" si="3"/>
        <v>53948000</v>
      </c>
    </row>
    <row r="220" spans="1:9">
      <c r="A220" s="383">
        <v>91070</v>
      </c>
      <c r="B220" s="383" t="s">
        <v>1606</v>
      </c>
      <c r="C220" s="383" t="s">
        <v>1607</v>
      </c>
      <c r="D220" s="383">
        <v>831</v>
      </c>
      <c r="E220" s="383" t="s">
        <v>1561</v>
      </c>
      <c r="F220" s="383">
        <v>30001120</v>
      </c>
      <c r="G220" s="383"/>
      <c r="H220" s="383">
        <v>10</v>
      </c>
      <c r="I220" s="383">
        <f t="shared" si="3"/>
        <v>300011200</v>
      </c>
    </row>
    <row r="221" spans="1:9">
      <c r="A221" s="383">
        <v>91130</v>
      </c>
      <c r="B221" s="383" t="s">
        <v>1608</v>
      </c>
      <c r="C221" s="383" t="s">
        <v>1609</v>
      </c>
      <c r="D221" s="383">
        <v>831</v>
      </c>
      <c r="E221" s="383" t="s">
        <v>1561</v>
      </c>
      <c r="F221" s="383">
        <v>15180000</v>
      </c>
      <c r="G221" s="383"/>
      <c r="H221" s="383">
        <v>10</v>
      </c>
      <c r="I221" s="383">
        <f t="shared" si="3"/>
        <v>151800000</v>
      </c>
    </row>
    <row r="222" spans="1:9">
      <c r="A222" s="383">
        <v>91160</v>
      </c>
      <c r="B222" s="383" t="s">
        <v>1610</v>
      </c>
      <c r="C222" s="383" t="s">
        <v>1611</v>
      </c>
      <c r="D222" s="383">
        <v>831</v>
      </c>
      <c r="E222" s="383" t="s">
        <v>1561</v>
      </c>
      <c r="F222" s="383">
        <v>376800968</v>
      </c>
      <c r="G222" s="383"/>
      <c r="H222" s="383">
        <v>10</v>
      </c>
      <c r="I222" s="383">
        <f t="shared" si="3"/>
        <v>3768009680</v>
      </c>
    </row>
    <row r="223" spans="1:9">
      <c r="A223" s="383">
        <v>91183</v>
      </c>
      <c r="B223" s="383" t="s">
        <v>1612</v>
      </c>
      <c r="C223" s="383" t="s">
        <v>1613</v>
      </c>
      <c r="D223" s="383">
        <v>831</v>
      </c>
      <c r="E223" s="383" t="s">
        <v>1561</v>
      </c>
      <c r="F223" s="383">
        <v>18480000</v>
      </c>
      <c r="G223" s="383"/>
      <c r="H223" s="383">
        <v>10</v>
      </c>
      <c r="I223" s="383">
        <f t="shared" si="3"/>
        <v>184800000</v>
      </c>
    </row>
    <row r="224" spans="1:9">
      <c r="A224" s="383">
        <v>91190</v>
      </c>
      <c r="B224" s="383" t="s">
        <v>1614</v>
      </c>
      <c r="C224" s="383" t="s">
        <v>1615</v>
      </c>
      <c r="D224" s="383">
        <v>831</v>
      </c>
      <c r="E224" s="383" t="s">
        <v>1561</v>
      </c>
      <c r="F224" s="383">
        <v>3000000</v>
      </c>
      <c r="G224" s="383"/>
      <c r="H224" s="383">
        <v>10</v>
      </c>
      <c r="I224" s="383">
        <f t="shared" si="3"/>
        <v>30000000</v>
      </c>
    </row>
    <row r="225" spans="1:9">
      <c r="A225" s="383">
        <v>91195</v>
      </c>
      <c r="B225" s="383" t="s">
        <v>1616</v>
      </c>
      <c r="C225" s="383" t="s">
        <v>1617</v>
      </c>
      <c r="D225" s="383">
        <v>831</v>
      </c>
      <c r="E225" s="383" t="s">
        <v>1561</v>
      </c>
      <c r="F225" s="383">
        <v>3901800</v>
      </c>
      <c r="G225" s="383"/>
      <c r="H225" s="383">
        <v>10</v>
      </c>
      <c r="I225" s="383">
        <f t="shared" si="3"/>
        <v>39018000</v>
      </c>
    </row>
    <row r="226" spans="1:9">
      <c r="A226" s="383">
        <v>91198</v>
      </c>
      <c r="B226" s="383" t="s">
        <v>1618</v>
      </c>
      <c r="C226" s="383" t="s">
        <v>1619</v>
      </c>
      <c r="D226" s="383">
        <v>831</v>
      </c>
      <c r="E226" s="383" t="s">
        <v>1561</v>
      </c>
      <c r="F226" s="383">
        <v>26728000</v>
      </c>
      <c r="G226" s="383"/>
      <c r="H226" s="383">
        <v>10</v>
      </c>
      <c r="I226" s="383">
        <f t="shared" si="3"/>
        <v>267280000</v>
      </c>
    </row>
    <row r="227" spans="1:9">
      <c r="A227" s="383">
        <v>91200</v>
      </c>
      <c r="B227" s="383" t="s">
        <v>1620</v>
      </c>
      <c r="C227" s="383" t="s">
        <v>1621</v>
      </c>
      <c r="D227" s="383">
        <v>831</v>
      </c>
      <c r="E227" s="383" t="s">
        <v>1561</v>
      </c>
      <c r="F227" s="383">
        <v>15754800</v>
      </c>
      <c r="G227" s="383"/>
      <c r="H227" s="383">
        <v>10</v>
      </c>
      <c r="I227" s="383">
        <f t="shared" si="3"/>
        <v>157548000</v>
      </c>
    </row>
    <row r="228" spans="1:9">
      <c r="A228" s="383">
        <v>91205</v>
      </c>
      <c r="B228" s="383" t="s">
        <v>1622</v>
      </c>
      <c r="C228" s="383" t="s">
        <v>1623</v>
      </c>
      <c r="D228" s="383">
        <v>831</v>
      </c>
      <c r="E228" s="383" t="s">
        <v>1561</v>
      </c>
      <c r="F228" s="383">
        <v>9660000</v>
      </c>
      <c r="G228" s="383"/>
      <c r="H228" s="383">
        <v>10</v>
      </c>
      <c r="I228" s="383">
        <f t="shared" si="3"/>
        <v>96600000</v>
      </c>
    </row>
    <row r="229" spans="1:9">
      <c r="A229" s="383">
        <v>91220</v>
      </c>
      <c r="B229" s="383" t="s">
        <v>1624</v>
      </c>
      <c r="C229" s="383" t="s">
        <v>1625</v>
      </c>
      <c r="D229" s="383">
        <v>831</v>
      </c>
      <c r="E229" s="383" t="s">
        <v>1561</v>
      </c>
      <c r="F229" s="383">
        <v>90000000</v>
      </c>
      <c r="G229" s="383"/>
      <c r="H229" s="383">
        <v>10</v>
      </c>
      <c r="I229" s="383">
        <f t="shared" si="3"/>
        <v>900000000</v>
      </c>
    </row>
    <row r="230" spans="1:9">
      <c r="A230" s="383">
        <v>91240</v>
      </c>
      <c r="B230" s="383" t="s">
        <v>1626</v>
      </c>
      <c r="C230" s="383" t="s">
        <v>1627</v>
      </c>
      <c r="D230" s="383">
        <v>831</v>
      </c>
      <c r="E230" s="383" t="s">
        <v>1561</v>
      </c>
      <c r="F230" s="383">
        <v>59428729</v>
      </c>
      <c r="G230" s="383"/>
      <c r="H230" s="383">
        <v>10</v>
      </c>
      <c r="I230" s="383">
        <f t="shared" si="3"/>
        <v>594287290</v>
      </c>
    </row>
    <row r="231" spans="1:9">
      <c r="A231" s="383">
        <v>101010</v>
      </c>
      <c r="B231" s="383" t="s">
        <v>1628</v>
      </c>
      <c r="C231" s="383" t="s">
        <v>1629</v>
      </c>
      <c r="D231" s="383">
        <v>829</v>
      </c>
      <c r="E231" s="383" t="s">
        <v>1630</v>
      </c>
      <c r="F231" s="383">
        <v>14408260</v>
      </c>
      <c r="G231" s="383"/>
      <c r="H231" s="383">
        <v>10</v>
      </c>
      <c r="I231" s="383">
        <f t="shared" si="3"/>
        <v>144082600</v>
      </c>
    </row>
    <row r="232" spans="1:9">
      <c r="A232" s="383">
        <v>101025</v>
      </c>
      <c r="B232" s="383" t="s">
        <v>1631</v>
      </c>
      <c r="C232" s="383" t="s">
        <v>1632</v>
      </c>
      <c r="D232" s="383">
        <v>829</v>
      </c>
      <c r="E232" s="383" t="s">
        <v>1630</v>
      </c>
      <c r="F232" s="383">
        <v>84000000</v>
      </c>
      <c r="G232" s="383"/>
      <c r="H232" s="383">
        <v>10</v>
      </c>
      <c r="I232" s="383">
        <f t="shared" si="3"/>
        <v>840000000</v>
      </c>
    </row>
    <row r="233" spans="1:9">
      <c r="A233" s="383">
        <v>101030</v>
      </c>
      <c r="B233" s="383" t="s">
        <v>1633</v>
      </c>
      <c r="C233" s="383" t="s">
        <v>1634</v>
      </c>
      <c r="D233" s="383">
        <v>829</v>
      </c>
      <c r="E233" s="383" t="s">
        <v>1630</v>
      </c>
      <c r="F233" s="383">
        <v>10457890</v>
      </c>
      <c r="G233" s="383"/>
      <c r="H233" s="383">
        <v>10</v>
      </c>
      <c r="I233" s="383">
        <f t="shared" si="3"/>
        <v>104578900</v>
      </c>
    </row>
    <row r="234" spans="1:9">
      <c r="A234" s="383">
        <v>101070</v>
      </c>
      <c r="B234" s="383" t="s">
        <v>1635</v>
      </c>
      <c r="C234" s="383" t="s">
        <v>1636</v>
      </c>
      <c r="D234" s="383">
        <v>829</v>
      </c>
      <c r="E234" s="383" t="s">
        <v>1630</v>
      </c>
      <c r="F234" s="383">
        <v>3000000</v>
      </c>
      <c r="G234" s="383"/>
      <c r="H234" s="383">
        <v>10</v>
      </c>
      <c r="I234" s="383">
        <f t="shared" si="3"/>
        <v>30000000</v>
      </c>
    </row>
    <row r="235" spans="1:9">
      <c r="A235" s="383">
        <v>101092</v>
      </c>
      <c r="B235" s="383" t="s">
        <v>1637</v>
      </c>
      <c r="C235" s="383" t="s">
        <v>1638</v>
      </c>
      <c r="D235" s="383">
        <v>829</v>
      </c>
      <c r="E235" s="383" t="s">
        <v>1630</v>
      </c>
      <c r="F235" s="383">
        <v>115000000</v>
      </c>
      <c r="G235" s="383"/>
      <c r="H235" s="383">
        <v>10</v>
      </c>
      <c r="I235" s="383">
        <f t="shared" si="3"/>
        <v>1150000000</v>
      </c>
    </row>
    <row r="236" spans="1:9">
      <c r="A236" s="383">
        <v>101095</v>
      </c>
      <c r="B236" s="383" t="s">
        <v>1639</v>
      </c>
      <c r="C236" s="383" t="s">
        <v>1640</v>
      </c>
      <c r="D236" s="383">
        <v>829</v>
      </c>
      <c r="E236" s="383" t="s">
        <v>1630</v>
      </c>
      <c r="F236" s="383">
        <v>80000000</v>
      </c>
      <c r="G236" s="383"/>
      <c r="H236" s="383">
        <v>10</v>
      </c>
      <c r="I236" s="383">
        <f t="shared" si="3"/>
        <v>800000000</v>
      </c>
    </row>
    <row r="237" spans="1:9">
      <c r="A237" s="383">
        <v>101120</v>
      </c>
      <c r="B237" s="383" t="s">
        <v>1641</v>
      </c>
      <c r="C237" s="383" t="s">
        <v>1642</v>
      </c>
      <c r="D237" s="383">
        <v>829</v>
      </c>
      <c r="E237" s="383" t="s">
        <v>1630</v>
      </c>
      <c r="F237" s="383">
        <v>4000000</v>
      </c>
      <c r="G237" s="383"/>
      <c r="H237" s="383">
        <v>10</v>
      </c>
      <c r="I237" s="383">
        <f t="shared" si="3"/>
        <v>40000000</v>
      </c>
    </row>
    <row r="238" spans="1:9">
      <c r="A238" s="383">
        <v>101140</v>
      </c>
      <c r="B238" s="383" t="s">
        <v>1643</v>
      </c>
      <c r="C238" s="383" t="s">
        <v>1644</v>
      </c>
      <c r="D238" s="383">
        <v>829</v>
      </c>
      <c r="E238" s="383" t="s">
        <v>1630</v>
      </c>
      <c r="F238" s="383">
        <v>5568800</v>
      </c>
      <c r="G238" s="383"/>
      <c r="H238" s="383">
        <v>5</v>
      </c>
      <c r="I238" s="383">
        <f t="shared" si="3"/>
        <v>27844000</v>
      </c>
    </row>
    <row r="239" spans="1:9">
      <c r="A239" s="383">
        <v>101160</v>
      </c>
      <c r="B239" s="383" t="s">
        <v>1645</v>
      </c>
      <c r="C239" s="383" t="s">
        <v>1646</v>
      </c>
      <c r="D239" s="383">
        <v>829</v>
      </c>
      <c r="E239" s="383" t="s">
        <v>1630</v>
      </c>
      <c r="F239" s="383">
        <v>80000000</v>
      </c>
      <c r="G239" s="383"/>
      <c r="H239" s="383">
        <v>10</v>
      </c>
      <c r="I239" s="383">
        <f t="shared" si="3"/>
        <v>800000000</v>
      </c>
    </row>
    <row r="240" spans="1:9">
      <c r="A240" s="383">
        <v>101165</v>
      </c>
      <c r="B240" s="383" t="s">
        <v>1647</v>
      </c>
      <c r="C240" s="383" t="s">
        <v>1073</v>
      </c>
      <c r="D240" s="383">
        <v>829</v>
      </c>
      <c r="E240" s="383" t="s">
        <v>1630</v>
      </c>
      <c r="F240" s="383">
        <v>240221556</v>
      </c>
      <c r="G240" s="383"/>
      <c r="H240" s="383">
        <v>10</v>
      </c>
      <c r="I240" s="383">
        <f t="shared" si="3"/>
        <v>2402215560</v>
      </c>
    </row>
    <row r="241" spans="1:9">
      <c r="A241" s="383">
        <v>101180</v>
      </c>
      <c r="B241" s="383" t="s">
        <v>1648</v>
      </c>
      <c r="C241" s="383" t="s">
        <v>1649</v>
      </c>
      <c r="D241" s="383">
        <v>829</v>
      </c>
      <c r="E241" s="383" t="s">
        <v>1630</v>
      </c>
      <c r="F241" s="383">
        <v>59057856</v>
      </c>
      <c r="G241" s="383"/>
      <c r="H241" s="383">
        <v>10</v>
      </c>
      <c r="I241" s="383">
        <f t="shared" si="3"/>
        <v>590578560</v>
      </c>
    </row>
    <row r="242" spans="1:9">
      <c r="A242" s="383">
        <v>101185</v>
      </c>
      <c r="B242" s="383" t="s">
        <v>1650</v>
      </c>
      <c r="C242" s="383" t="s">
        <v>1651</v>
      </c>
      <c r="D242" s="383">
        <v>829</v>
      </c>
      <c r="E242" s="383" t="s">
        <v>1630</v>
      </c>
      <c r="F242" s="383">
        <v>30810938</v>
      </c>
      <c r="G242" s="383"/>
      <c r="H242" s="383">
        <v>10</v>
      </c>
      <c r="I242" s="383">
        <f t="shared" si="3"/>
        <v>308109380</v>
      </c>
    </row>
    <row r="243" spans="1:9">
      <c r="A243" s="383">
        <v>101190</v>
      </c>
      <c r="B243" s="383" t="s">
        <v>1652</v>
      </c>
      <c r="C243" s="383" t="s">
        <v>1653</v>
      </c>
      <c r="D243" s="383">
        <v>829</v>
      </c>
      <c r="E243" s="383" t="s">
        <v>1630</v>
      </c>
      <c r="F243" s="383">
        <v>2000000</v>
      </c>
      <c r="G243" s="383"/>
      <c r="H243" s="383">
        <v>10</v>
      </c>
      <c r="I243" s="383">
        <f t="shared" si="3"/>
        <v>20000000</v>
      </c>
    </row>
    <row r="244" spans="1:9">
      <c r="A244" s="383">
        <v>101195</v>
      </c>
      <c r="B244" s="383" t="s">
        <v>1654</v>
      </c>
      <c r="C244" s="383" t="s">
        <v>1655</v>
      </c>
      <c r="D244" s="383">
        <v>829</v>
      </c>
      <c r="E244" s="383" t="s">
        <v>1630</v>
      </c>
      <c r="F244" s="383">
        <v>1250000</v>
      </c>
      <c r="G244" s="383"/>
      <c r="H244" s="383">
        <v>10</v>
      </c>
      <c r="I244" s="383">
        <f t="shared" si="3"/>
        <v>12500000</v>
      </c>
    </row>
    <row r="245" spans="1:9">
      <c r="A245" s="383">
        <v>101198</v>
      </c>
      <c r="B245" s="383" t="s">
        <v>1656</v>
      </c>
      <c r="C245" s="383" t="s">
        <v>1657</v>
      </c>
      <c r="D245" s="383">
        <v>829</v>
      </c>
      <c r="E245" s="383" t="s">
        <v>1630</v>
      </c>
      <c r="F245" s="383">
        <v>32635600</v>
      </c>
      <c r="G245" s="383"/>
      <c r="H245" s="383">
        <v>10</v>
      </c>
      <c r="I245" s="383">
        <f t="shared" si="3"/>
        <v>326356000</v>
      </c>
    </row>
    <row r="246" spans="1:9">
      <c r="A246" s="383">
        <v>101200</v>
      </c>
      <c r="B246" s="383" t="s">
        <v>1658</v>
      </c>
      <c r="C246" s="383" t="s">
        <v>1060</v>
      </c>
      <c r="D246" s="383">
        <v>829</v>
      </c>
      <c r="E246" s="383" t="s">
        <v>1630</v>
      </c>
      <c r="F246" s="383">
        <v>356495525</v>
      </c>
      <c r="G246" s="383"/>
      <c r="H246" s="383">
        <v>10</v>
      </c>
      <c r="I246" s="383">
        <f t="shared" si="3"/>
        <v>3564955250</v>
      </c>
    </row>
    <row r="247" spans="1:9">
      <c r="A247" s="383">
        <v>101220</v>
      </c>
      <c r="B247" s="383" t="s">
        <v>1659</v>
      </c>
      <c r="C247" s="383" t="s">
        <v>1660</v>
      </c>
      <c r="D247" s="383">
        <v>829</v>
      </c>
      <c r="E247" s="383" t="s">
        <v>1630</v>
      </c>
      <c r="F247" s="383">
        <v>1200000</v>
      </c>
      <c r="G247" s="383"/>
      <c r="H247" s="383">
        <v>10</v>
      </c>
      <c r="I247" s="383">
        <f t="shared" si="3"/>
        <v>12000000</v>
      </c>
    </row>
    <row r="248" spans="1:9">
      <c r="A248" s="383">
        <v>101230</v>
      </c>
      <c r="B248" s="383" t="s">
        <v>1661</v>
      </c>
      <c r="C248" s="383" t="s">
        <v>1662</v>
      </c>
      <c r="D248" s="383">
        <v>829</v>
      </c>
      <c r="E248" s="383" t="s">
        <v>1630</v>
      </c>
      <c r="F248" s="383">
        <v>6804000</v>
      </c>
      <c r="G248" s="383"/>
      <c r="H248" s="383">
        <v>10</v>
      </c>
      <c r="I248" s="383">
        <f t="shared" si="3"/>
        <v>68040000</v>
      </c>
    </row>
    <row r="249" spans="1:9">
      <c r="A249" s="383">
        <v>101240</v>
      </c>
      <c r="B249" s="383" t="s">
        <v>1663</v>
      </c>
      <c r="C249" s="383" t="s">
        <v>1664</v>
      </c>
      <c r="D249" s="383">
        <v>829</v>
      </c>
      <c r="E249" s="383" t="s">
        <v>1630</v>
      </c>
      <c r="F249" s="383">
        <v>13271600</v>
      </c>
      <c r="G249" s="383"/>
      <c r="H249" s="383">
        <v>10</v>
      </c>
      <c r="I249" s="383">
        <f t="shared" si="3"/>
        <v>132716000</v>
      </c>
    </row>
    <row r="250" spans="1:9">
      <c r="A250" s="383">
        <v>101260</v>
      </c>
      <c r="B250" s="383" t="s">
        <v>1665</v>
      </c>
      <c r="C250" s="383" t="s">
        <v>1666</v>
      </c>
      <c r="D250" s="383">
        <v>829</v>
      </c>
      <c r="E250" s="383" t="s">
        <v>1630</v>
      </c>
      <c r="F250" s="383">
        <v>10625852</v>
      </c>
      <c r="G250" s="383"/>
      <c r="H250" s="383">
        <v>10</v>
      </c>
      <c r="I250" s="383">
        <f t="shared" si="3"/>
        <v>106258520</v>
      </c>
    </row>
    <row r="251" spans="1:9">
      <c r="A251" s="383">
        <v>101270</v>
      </c>
      <c r="B251" s="383" t="s">
        <v>1667</v>
      </c>
      <c r="C251" s="383" t="s">
        <v>1668</v>
      </c>
      <c r="D251" s="383">
        <v>829</v>
      </c>
      <c r="E251" s="383" t="s">
        <v>1630</v>
      </c>
      <c r="F251" s="383">
        <v>9675000</v>
      </c>
      <c r="G251" s="383"/>
      <c r="H251" s="383">
        <v>10</v>
      </c>
      <c r="I251" s="383">
        <f t="shared" si="3"/>
        <v>96750000</v>
      </c>
    </row>
    <row r="252" spans="1:9">
      <c r="A252" s="383">
        <v>101280</v>
      </c>
      <c r="B252" s="383" t="s">
        <v>1669</v>
      </c>
      <c r="C252" s="383" t="s">
        <v>1670</v>
      </c>
      <c r="D252" s="383">
        <v>829</v>
      </c>
      <c r="E252" s="383" t="s">
        <v>1630</v>
      </c>
      <c r="F252" s="383">
        <v>9660000</v>
      </c>
      <c r="G252" s="383"/>
      <c r="H252" s="383">
        <v>10</v>
      </c>
      <c r="I252" s="383">
        <f t="shared" si="3"/>
        <v>96600000</v>
      </c>
    </row>
    <row r="253" spans="1:9">
      <c r="A253" s="383">
        <v>101300</v>
      </c>
      <c r="B253" s="383" t="s">
        <v>1671</v>
      </c>
      <c r="C253" s="383" t="s">
        <v>1672</v>
      </c>
      <c r="D253" s="383">
        <v>829</v>
      </c>
      <c r="E253" s="383" t="s">
        <v>1630</v>
      </c>
      <c r="F253" s="383">
        <v>32491205</v>
      </c>
      <c r="G253" s="383"/>
      <c r="H253" s="383">
        <v>10</v>
      </c>
      <c r="I253" s="383">
        <f t="shared" si="3"/>
        <v>324912050</v>
      </c>
    </row>
    <row r="254" spans="1:9">
      <c r="A254" s="383">
        <v>101310</v>
      </c>
      <c r="B254" s="383" t="s">
        <v>1673</v>
      </c>
      <c r="C254" s="383" t="s">
        <v>1674</v>
      </c>
      <c r="D254" s="383">
        <v>829</v>
      </c>
      <c r="E254" s="383" t="s">
        <v>1630</v>
      </c>
      <c r="F254" s="383">
        <v>8550000</v>
      </c>
      <c r="G254" s="383"/>
      <c r="H254" s="383">
        <v>10</v>
      </c>
      <c r="I254" s="383">
        <f t="shared" si="3"/>
        <v>85500000</v>
      </c>
    </row>
    <row r="255" spans="1:9">
      <c r="A255" s="383">
        <v>101320</v>
      </c>
      <c r="B255" s="383" t="s">
        <v>1675</v>
      </c>
      <c r="C255" s="383" t="s">
        <v>1676</v>
      </c>
      <c r="D255" s="383">
        <v>829</v>
      </c>
      <c r="E255" s="383" t="s">
        <v>1630</v>
      </c>
      <c r="F255" s="383">
        <v>1227500</v>
      </c>
      <c r="G255" s="383"/>
      <c r="H255" s="383">
        <v>10</v>
      </c>
      <c r="I255" s="383">
        <f t="shared" si="3"/>
        <v>12275000</v>
      </c>
    </row>
    <row r="256" spans="1:9">
      <c r="A256" s="383">
        <v>101330</v>
      </c>
      <c r="B256" s="383" t="s">
        <v>1677</v>
      </c>
      <c r="C256" s="383" t="s">
        <v>1678</v>
      </c>
      <c r="D256" s="383">
        <v>829</v>
      </c>
      <c r="E256" s="383" t="s">
        <v>1630</v>
      </c>
      <c r="F256" s="383">
        <v>50911011</v>
      </c>
      <c r="G256" s="383"/>
      <c r="H256" s="383">
        <v>10</v>
      </c>
      <c r="I256" s="383">
        <f t="shared" si="3"/>
        <v>509110110</v>
      </c>
    </row>
    <row r="257" spans="1:9">
      <c r="A257" s="383">
        <v>101340</v>
      </c>
      <c r="B257" s="383" t="s">
        <v>1679</v>
      </c>
      <c r="C257" s="383" t="s">
        <v>1680</v>
      </c>
      <c r="D257" s="383">
        <v>829</v>
      </c>
      <c r="E257" s="383" t="s">
        <v>1630</v>
      </c>
      <c r="F257" s="383">
        <v>30302580</v>
      </c>
      <c r="G257" s="383"/>
      <c r="H257" s="383">
        <v>10</v>
      </c>
      <c r="I257" s="383">
        <f t="shared" si="3"/>
        <v>303025800</v>
      </c>
    </row>
    <row r="258" spans="1:9">
      <c r="A258" s="383">
        <v>101350</v>
      </c>
      <c r="B258" s="383" t="s">
        <v>1681</v>
      </c>
      <c r="C258" s="383" t="s">
        <v>1682</v>
      </c>
      <c r="D258" s="383">
        <v>829</v>
      </c>
      <c r="E258" s="383" t="s">
        <v>1630</v>
      </c>
      <c r="F258" s="383">
        <v>6432000</v>
      </c>
      <c r="G258" s="383"/>
      <c r="H258" s="383">
        <v>10</v>
      </c>
      <c r="I258" s="383">
        <f t="shared" si="3"/>
        <v>64320000</v>
      </c>
    </row>
    <row r="259" spans="1:9">
      <c r="A259" s="383">
        <v>101360</v>
      </c>
      <c r="B259" s="383" t="s">
        <v>1683</v>
      </c>
      <c r="C259" s="383" t="s">
        <v>338</v>
      </c>
      <c r="D259" s="383">
        <v>829</v>
      </c>
      <c r="E259" s="383" t="s">
        <v>1630</v>
      </c>
      <c r="F259" s="383">
        <v>299296456</v>
      </c>
      <c r="G259" s="383"/>
      <c r="H259" s="383">
        <v>10</v>
      </c>
      <c r="I259" s="383">
        <f t="shared" ref="I259:I322" si="4">F259*H259</f>
        <v>2992964560</v>
      </c>
    </row>
    <row r="260" spans="1:9">
      <c r="A260" s="383">
        <v>101362</v>
      </c>
      <c r="B260" s="383" t="s">
        <v>1684</v>
      </c>
      <c r="C260" s="383" t="s">
        <v>1685</v>
      </c>
      <c r="D260" s="383">
        <v>829</v>
      </c>
      <c r="E260" s="383" t="s">
        <v>1630</v>
      </c>
      <c r="F260" s="383">
        <v>449349439</v>
      </c>
      <c r="G260" s="383"/>
      <c r="H260" s="383">
        <v>10</v>
      </c>
      <c r="I260" s="383">
        <f t="shared" si="4"/>
        <v>4493494390</v>
      </c>
    </row>
    <row r="261" spans="1:9">
      <c r="A261" s="383">
        <v>101365</v>
      </c>
      <c r="B261" s="383" t="s">
        <v>1686</v>
      </c>
      <c r="C261" s="383" t="s">
        <v>1687</v>
      </c>
      <c r="D261" s="383">
        <v>829</v>
      </c>
      <c r="E261" s="383" t="s">
        <v>1630</v>
      </c>
      <c r="F261" s="383">
        <v>15000020</v>
      </c>
      <c r="G261" s="383"/>
      <c r="H261" s="383">
        <v>10</v>
      </c>
      <c r="I261" s="383">
        <f t="shared" si="4"/>
        <v>150000200</v>
      </c>
    </row>
    <row r="262" spans="1:9">
      <c r="A262" s="383">
        <v>101367</v>
      </c>
      <c r="B262" s="383" t="s">
        <v>1688</v>
      </c>
      <c r="C262" s="383" t="s">
        <v>1689</v>
      </c>
      <c r="D262" s="383">
        <v>829</v>
      </c>
      <c r="E262" s="383" t="s">
        <v>1630</v>
      </c>
      <c r="F262" s="383">
        <v>66125083</v>
      </c>
      <c r="G262" s="383"/>
      <c r="H262" s="383">
        <v>10</v>
      </c>
      <c r="I262" s="383">
        <f t="shared" si="4"/>
        <v>661250830</v>
      </c>
    </row>
    <row r="263" spans="1:9">
      <c r="A263" s="383">
        <v>101369</v>
      </c>
      <c r="B263" s="383" t="s">
        <v>1690</v>
      </c>
      <c r="C263" s="383" t="s">
        <v>1691</v>
      </c>
      <c r="D263" s="383">
        <v>829</v>
      </c>
      <c r="E263" s="383" t="s">
        <v>1630</v>
      </c>
      <c r="F263" s="383">
        <v>5522433</v>
      </c>
      <c r="G263" s="383"/>
      <c r="H263" s="383">
        <v>10</v>
      </c>
      <c r="I263" s="383">
        <f t="shared" si="4"/>
        <v>55224330</v>
      </c>
    </row>
    <row r="264" spans="1:9">
      <c r="A264" s="383">
        <v>101375</v>
      </c>
      <c r="B264" s="383" t="s">
        <v>1692</v>
      </c>
      <c r="C264" s="383" t="s">
        <v>1693</v>
      </c>
      <c r="D264" s="383">
        <v>829</v>
      </c>
      <c r="E264" s="383" t="s">
        <v>1630</v>
      </c>
      <c r="F264" s="383">
        <v>22105200</v>
      </c>
      <c r="G264" s="383"/>
      <c r="H264" s="383">
        <v>10</v>
      </c>
      <c r="I264" s="383">
        <f t="shared" si="4"/>
        <v>221052000</v>
      </c>
    </row>
    <row r="265" spans="1:9">
      <c r="A265" s="383">
        <v>101400</v>
      </c>
      <c r="B265" s="383" t="s">
        <v>1694</v>
      </c>
      <c r="C265" s="383" t="s">
        <v>1695</v>
      </c>
      <c r="D265" s="383">
        <v>829</v>
      </c>
      <c r="E265" s="383" t="s">
        <v>1630</v>
      </c>
      <c r="F265" s="383">
        <v>18889200</v>
      </c>
      <c r="G265" s="383"/>
      <c r="H265" s="383">
        <v>10</v>
      </c>
      <c r="I265" s="383">
        <f t="shared" si="4"/>
        <v>188892000</v>
      </c>
    </row>
    <row r="266" spans="1:9">
      <c r="A266" s="383">
        <v>101410</v>
      </c>
      <c r="B266" s="383" t="s">
        <v>1696</v>
      </c>
      <c r="C266" s="383" t="s">
        <v>1697</v>
      </c>
      <c r="D266" s="383">
        <v>829</v>
      </c>
      <c r="E266" s="383" t="s">
        <v>1630</v>
      </c>
      <c r="F266" s="383">
        <v>5400000</v>
      </c>
      <c r="G266" s="383"/>
      <c r="H266" s="383">
        <v>10</v>
      </c>
      <c r="I266" s="383">
        <f t="shared" si="4"/>
        <v>54000000</v>
      </c>
    </row>
    <row r="267" spans="1:9">
      <c r="A267" s="383">
        <v>101425</v>
      </c>
      <c r="B267" s="383" t="s">
        <v>1698</v>
      </c>
      <c r="C267" s="383" t="s">
        <v>1699</v>
      </c>
      <c r="D267" s="383">
        <v>829</v>
      </c>
      <c r="E267" s="383" t="s">
        <v>1630</v>
      </c>
      <c r="F267" s="383">
        <v>24200000</v>
      </c>
      <c r="G267" s="383"/>
      <c r="H267" s="383">
        <v>10</v>
      </c>
      <c r="I267" s="383">
        <f t="shared" si="4"/>
        <v>242000000</v>
      </c>
    </row>
    <row r="268" spans="1:9">
      <c r="A268" s="383">
        <v>101440</v>
      </c>
      <c r="B268" s="383" t="s">
        <v>1700</v>
      </c>
      <c r="C268" s="383" t="s">
        <v>578</v>
      </c>
      <c r="D268" s="383">
        <v>829</v>
      </c>
      <c r="E268" s="383" t="s">
        <v>1630</v>
      </c>
      <c r="F268" s="383">
        <v>351599848</v>
      </c>
      <c r="G268" s="383"/>
      <c r="H268" s="383">
        <v>10</v>
      </c>
      <c r="I268" s="383">
        <f t="shared" si="4"/>
        <v>3515998480</v>
      </c>
    </row>
    <row r="269" spans="1:9">
      <c r="A269" s="383">
        <v>101465</v>
      </c>
      <c r="B269" s="383" t="s">
        <v>1701</v>
      </c>
      <c r="C269" s="383" t="s">
        <v>1702</v>
      </c>
      <c r="D269" s="383">
        <v>829</v>
      </c>
      <c r="E269" s="383" t="s">
        <v>1630</v>
      </c>
      <c r="F269" s="383">
        <v>49292600</v>
      </c>
      <c r="G269" s="383"/>
      <c r="H269" s="383">
        <v>10</v>
      </c>
      <c r="I269" s="383">
        <f t="shared" si="4"/>
        <v>492926000</v>
      </c>
    </row>
    <row r="270" spans="1:9">
      <c r="A270" s="383">
        <v>101468</v>
      </c>
      <c r="B270" s="383" t="s">
        <v>1703</v>
      </c>
      <c r="C270" s="383" t="s">
        <v>1704</v>
      </c>
      <c r="D270" s="383">
        <v>829</v>
      </c>
      <c r="E270" s="383" t="s">
        <v>1630</v>
      </c>
      <c r="F270" s="383">
        <v>4000000</v>
      </c>
      <c r="G270" s="383"/>
      <c r="H270" s="383">
        <v>10</v>
      </c>
      <c r="I270" s="383">
        <f t="shared" si="4"/>
        <v>40000000</v>
      </c>
    </row>
    <row r="271" spans="1:9">
      <c r="A271" s="383">
        <v>101469</v>
      </c>
      <c r="B271" s="383" t="s">
        <v>1705</v>
      </c>
      <c r="C271" s="383" t="s">
        <v>1706</v>
      </c>
      <c r="D271" s="383">
        <v>829</v>
      </c>
      <c r="E271" s="383" t="s">
        <v>1630</v>
      </c>
      <c r="F271" s="383">
        <v>19687500</v>
      </c>
      <c r="G271" s="383"/>
      <c r="H271" s="383">
        <v>10</v>
      </c>
      <c r="I271" s="383">
        <f t="shared" si="4"/>
        <v>196875000</v>
      </c>
    </row>
    <row r="272" spans="1:9">
      <c r="A272" s="383">
        <v>101470</v>
      </c>
      <c r="B272" s="383" t="s">
        <v>1707</v>
      </c>
      <c r="C272" s="383" t="s">
        <v>1708</v>
      </c>
      <c r="D272" s="383">
        <v>829</v>
      </c>
      <c r="E272" s="383" t="s">
        <v>1630</v>
      </c>
      <c r="F272" s="383">
        <v>11970000</v>
      </c>
      <c r="G272" s="383"/>
      <c r="H272" s="383">
        <v>10</v>
      </c>
      <c r="I272" s="383">
        <f t="shared" si="4"/>
        <v>119700000</v>
      </c>
    </row>
    <row r="273" spans="1:9">
      <c r="A273" s="383">
        <v>101475</v>
      </c>
      <c r="B273" s="383" t="s">
        <v>1709</v>
      </c>
      <c r="C273" s="383" t="s">
        <v>1710</v>
      </c>
      <c r="D273" s="383">
        <v>829</v>
      </c>
      <c r="E273" s="383" t="s">
        <v>1630</v>
      </c>
      <c r="F273" s="383">
        <v>20091450</v>
      </c>
      <c r="G273" s="383"/>
      <c r="H273" s="383">
        <v>10</v>
      </c>
      <c r="I273" s="383">
        <f t="shared" si="4"/>
        <v>200914500</v>
      </c>
    </row>
    <row r="274" spans="1:9">
      <c r="A274" s="383">
        <v>101480</v>
      </c>
      <c r="B274" s="383" t="s">
        <v>1711</v>
      </c>
      <c r="C274" s="383" t="s">
        <v>1712</v>
      </c>
      <c r="D274" s="383">
        <v>829</v>
      </c>
      <c r="E274" s="383" t="s">
        <v>1630</v>
      </c>
      <c r="F274" s="383">
        <v>8640000</v>
      </c>
      <c r="G274" s="383"/>
      <c r="H274" s="383">
        <v>10</v>
      </c>
      <c r="I274" s="383">
        <f t="shared" si="4"/>
        <v>86400000</v>
      </c>
    </row>
    <row r="275" spans="1:9">
      <c r="A275" s="383">
        <v>101510</v>
      </c>
      <c r="B275" s="383" t="s">
        <v>1713</v>
      </c>
      <c r="C275" s="383" t="s">
        <v>1714</v>
      </c>
      <c r="D275" s="383">
        <v>829</v>
      </c>
      <c r="E275" s="383" t="s">
        <v>1630</v>
      </c>
      <c r="F275" s="383">
        <v>31888098</v>
      </c>
      <c r="G275" s="383"/>
      <c r="H275" s="383">
        <v>10</v>
      </c>
      <c r="I275" s="383">
        <f t="shared" si="4"/>
        <v>318880980</v>
      </c>
    </row>
    <row r="276" spans="1:9">
      <c r="A276" s="383">
        <v>101515</v>
      </c>
      <c r="B276" s="383" t="s">
        <v>1715</v>
      </c>
      <c r="C276" s="383" t="s">
        <v>1716</v>
      </c>
      <c r="D276" s="383">
        <v>829</v>
      </c>
      <c r="E276" s="383" t="s">
        <v>1630</v>
      </c>
      <c r="F276" s="383">
        <v>33442000</v>
      </c>
      <c r="G276" s="383"/>
      <c r="H276" s="383">
        <v>10</v>
      </c>
      <c r="I276" s="383">
        <f t="shared" si="4"/>
        <v>334420000</v>
      </c>
    </row>
    <row r="277" spans="1:9">
      <c r="A277" s="383">
        <v>101522</v>
      </c>
      <c r="B277" s="383" t="s">
        <v>1717</v>
      </c>
      <c r="C277" s="383" t="s">
        <v>1718</v>
      </c>
      <c r="D277" s="383">
        <v>829</v>
      </c>
      <c r="E277" s="383" t="s">
        <v>1630</v>
      </c>
      <c r="F277" s="383">
        <v>17000000</v>
      </c>
      <c r="G277" s="383"/>
      <c r="H277" s="383">
        <v>10</v>
      </c>
      <c r="I277" s="383">
        <f t="shared" si="4"/>
        <v>170000000</v>
      </c>
    </row>
    <row r="278" spans="1:9">
      <c r="A278" s="383">
        <v>101525</v>
      </c>
      <c r="B278" s="383" t="s">
        <v>1719</v>
      </c>
      <c r="C278" s="383" t="s">
        <v>1720</v>
      </c>
      <c r="D278" s="383">
        <v>829</v>
      </c>
      <c r="E278" s="383" t="s">
        <v>1630</v>
      </c>
      <c r="F278" s="383">
        <v>3726300</v>
      </c>
      <c r="G278" s="383"/>
      <c r="H278" s="383">
        <v>10</v>
      </c>
      <c r="I278" s="383">
        <f t="shared" si="4"/>
        <v>37263000</v>
      </c>
    </row>
    <row r="279" spans="1:9">
      <c r="A279" s="383">
        <v>101527</v>
      </c>
      <c r="B279" s="383" t="s">
        <v>1721</v>
      </c>
      <c r="C279" s="383" t="s">
        <v>1722</v>
      </c>
      <c r="D279" s="383">
        <v>829</v>
      </c>
      <c r="E279" s="383" t="s">
        <v>1630</v>
      </c>
      <c r="F279" s="383">
        <v>191421102</v>
      </c>
      <c r="G279" s="383"/>
      <c r="H279" s="383">
        <v>10</v>
      </c>
      <c r="I279" s="383">
        <f t="shared" si="4"/>
        <v>1914211020</v>
      </c>
    </row>
    <row r="280" spans="1:9">
      <c r="A280" s="383">
        <v>101530</v>
      </c>
      <c r="B280" s="383" t="s">
        <v>1723</v>
      </c>
      <c r="C280" s="383" t="s">
        <v>1724</v>
      </c>
      <c r="D280" s="383">
        <v>829</v>
      </c>
      <c r="E280" s="383" t="s">
        <v>1630</v>
      </c>
      <c r="F280" s="383">
        <v>9860000</v>
      </c>
      <c r="G280" s="383"/>
      <c r="H280" s="383">
        <v>10</v>
      </c>
      <c r="I280" s="383">
        <f t="shared" si="4"/>
        <v>98600000</v>
      </c>
    </row>
    <row r="281" spans="1:9">
      <c r="A281" s="383">
        <v>101625</v>
      </c>
      <c r="B281" s="383" t="s">
        <v>1725</v>
      </c>
      <c r="C281" s="383" t="s">
        <v>1726</v>
      </c>
      <c r="D281" s="383">
        <v>829</v>
      </c>
      <c r="E281" s="383" t="s">
        <v>1630</v>
      </c>
      <c r="F281" s="383">
        <v>10000000</v>
      </c>
      <c r="G281" s="383"/>
      <c r="H281" s="383">
        <v>10</v>
      </c>
      <c r="I281" s="383">
        <f t="shared" si="4"/>
        <v>100000000</v>
      </c>
    </row>
    <row r="282" spans="1:9">
      <c r="A282" s="383">
        <v>102260</v>
      </c>
      <c r="B282" s="383" t="s">
        <v>1727</v>
      </c>
      <c r="C282" s="383" t="s">
        <v>1728</v>
      </c>
      <c r="D282" s="383">
        <v>829</v>
      </c>
      <c r="E282" s="383" t="s">
        <v>1630</v>
      </c>
      <c r="F282" s="383">
        <v>67500000</v>
      </c>
      <c r="G282" s="383"/>
      <c r="H282" s="383">
        <v>10</v>
      </c>
      <c r="I282" s="383">
        <f t="shared" si="4"/>
        <v>675000000</v>
      </c>
    </row>
    <row r="283" spans="1:9">
      <c r="A283" s="383">
        <v>102265</v>
      </c>
      <c r="B283" s="383" t="s">
        <v>1729</v>
      </c>
      <c r="C283" s="383" t="s">
        <v>1730</v>
      </c>
      <c r="D283" s="383">
        <v>829</v>
      </c>
      <c r="E283" s="383" t="s">
        <v>1630</v>
      </c>
      <c r="F283" s="383">
        <v>31166668</v>
      </c>
      <c r="G283" s="383"/>
      <c r="H283" s="383">
        <v>10</v>
      </c>
      <c r="I283" s="383">
        <f t="shared" si="4"/>
        <v>311666680</v>
      </c>
    </row>
    <row r="284" spans="1:9">
      <c r="A284" s="383">
        <v>102450</v>
      </c>
      <c r="B284" s="383" t="s">
        <v>1731</v>
      </c>
      <c r="C284" s="383" t="s">
        <v>1732</v>
      </c>
      <c r="D284" s="383">
        <v>829</v>
      </c>
      <c r="E284" s="383" t="s">
        <v>1630</v>
      </c>
      <c r="F284" s="383">
        <v>17352330</v>
      </c>
      <c r="G284" s="383"/>
      <c r="H284" s="383">
        <v>10</v>
      </c>
      <c r="I284" s="383">
        <f t="shared" si="4"/>
        <v>173523300</v>
      </c>
    </row>
    <row r="285" spans="1:9">
      <c r="A285" s="383">
        <v>102480</v>
      </c>
      <c r="B285" s="383" t="s">
        <v>1733</v>
      </c>
      <c r="C285" s="383" t="s">
        <v>1734</v>
      </c>
      <c r="D285" s="383">
        <v>829</v>
      </c>
      <c r="E285" s="383" t="s">
        <v>1630</v>
      </c>
      <c r="F285" s="383">
        <v>13000000</v>
      </c>
      <c r="G285" s="383"/>
      <c r="H285" s="383">
        <v>10</v>
      </c>
      <c r="I285" s="383">
        <f t="shared" si="4"/>
        <v>130000000</v>
      </c>
    </row>
    <row r="286" spans="1:9">
      <c r="A286" s="383">
        <v>102700</v>
      </c>
      <c r="B286" s="383" t="s">
        <v>1735</v>
      </c>
      <c r="C286" s="383" t="s">
        <v>1736</v>
      </c>
      <c r="D286" s="383">
        <v>829</v>
      </c>
      <c r="E286" s="383" t="s">
        <v>1630</v>
      </c>
      <c r="F286" s="383">
        <v>20083140</v>
      </c>
      <c r="G286" s="383"/>
      <c r="H286" s="383">
        <v>10</v>
      </c>
      <c r="I286" s="383">
        <f t="shared" si="4"/>
        <v>200831400</v>
      </c>
    </row>
    <row r="287" spans="1:9">
      <c r="A287" s="383">
        <v>110980</v>
      </c>
      <c r="B287" s="383" t="s">
        <v>1737</v>
      </c>
      <c r="C287" s="383" t="s">
        <v>1738</v>
      </c>
      <c r="D287" s="383">
        <v>835</v>
      </c>
      <c r="E287" s="383" t="s">
        <v>1739</v>
      </c>
      <c r="F287" s="383">
        <v>9506250</v>
      </c>
      <c r="G287" s="383"/>
      <c r="H287" s="383">
        <v>10</v>
      </c>
      <c r="I287" s="383">
        <f t="shared" si="4"/>
        <v>95062500</v>
      </c>
    </row>
    <row r="288" spans="1:9">
      <c r="A288" s="383">
        <v>111080</v>
      </c>
      <c r="B288" s="383" t="s">
        <v>1740</v>
      </c>
      <c r="C288" s="383" t="s">
        <v>1741</v>
      </c>
      <c r="D288" s="383">
        <v>835</v>
      </c>
      <c r="E288" s="383" t="s">
        <v>1739</v>
      </c>
      <c r="F288" s="383">
        <v>2159600</v>
      </c>
      <c r="G288" s="383"/>
      <c r="H288" s="383">
        <v>10</v>
      </c>
      <c r="I288" s="383">
        <f t="shared" si="4"/>
        <v>21596000</v>
      </c>
    </row>
    <row r="289" spans="1:9">
      <c r="A289" s="383">
        <v>120960</v>
      </c>
      <c r="B289" s="383" t="s">
        <v>1742</v>
      </c>
      <c r="C289" s="383" t="s">
        <v>1743</v>
      </c>
      <c r="D289" s="383">
        <v>805</v>
      </c>
      <c r="E289" s="383" t="s">
        <v>1744</v>
      </c>
      <c r="F289" s="383">
        <v>392430000</v>
      </c>
      <c r="G289" s="383"/>
      <c r="H289" s="383">
        <v>10</v>
      </c>
      <c r="I289" s="383">
        <f t="shared" si="4"/>
        <v>3924300000</v>
      </c>
    </row>
    <row r="290" spans="1:9">
      <c r="A290" s="383">
        <v>120965</v>
      </c>
      <c r="B290" s="383" t="s">
        <v>1745</v>
      </c>
      <c r="C290" s="383" t="s">
        <v>1746</v>
      </c>
      <c r="D290" s="383">
        <v>805</v>
      </c>
      <c r="E290" s="383" t="s">
        <v>1744</v>
      </c>
      <c r="F290" s="383">
        <v>159334269</v>
      </c>
      <c r="G290" s="383"/>
      <c r="H290" s="383">
        <v>10</v>
      </c>
      <c r="I290" s="383">
        <f t="shared" si="4"/>
        <v>1593342690</v>
      </c>
    </row>
    <row r="291" spans="1:9">
      <c r="A291" s="383">
        <v>121000</v>
      </c>
      <c r="B291" s="383" t="s">
        <v>1747</v>
      </c>
      <c r="C291" s="383" t="s">
        <v>1748</v>
      </c>
      <c r="D291" s="383">
        <v>827</v>
      </c>
      <c r="E291" s="383" t="s">
        <v>1749</v>
      </c>
      <c r="F291" s="383">
        <v>13409550</v>
      </c>
      <c r="G291" s="383"/>
      <c r="H291" s="383">
        <v>10</v>
      </c>
      <c r="I291" s="383">
        <f t="shared" si="4"/>
        <v>134095500</v>
      </c>
    </row>
    <row r="292" spans="1:9">
      <c r="A292" s="383">
        <v>121040</v>
      </c>
      <c r="B292" s="383" t="s">
        <v>1750</v>
      </c>
      <c r="C292" s="383" t="s">
        <v>1751</v>
      </c>
      <c r="D292" s="383">
        <v>827</v>
      </c>
      <c r="E292" s="383" t="s">
        <v>1749</v>
      </c>
      <c r="F292" s="383">
        <v>366321085</v>
      </c>
      <c r="G292" s="383"/>
      <c r="H292" s="383">
        <v>10</v>
      </c>
      <c r="I292" s="383">
        <f t="shared" si="4"/>
        <v>3663210850</v>
      </c>
    </row>
    <row r="293" spans="1:9">
      <c r="A293" s="383">
        <v>121070</v>
      </c>
      <c r="B293" s="383" t="s">
        <v>1752</v>
      </c>
      <c r="C293" s="383" t="s">
        <v>1753</v>
      </c>
      <c r="D293" s="383">
        <v>827</v>
      </c>
      <c r="E293" s="383" t="s">
        <v>1749</v>
      </c>
      <c r="F293" s="383">
        <v>38364500</v>
      </c>
      <c r="G293" s="383"/>
      <c r="H293" s="383">
        <v>10</v>
      </c>
      <c r="I293" s="383">
        <f t="shared" si="4"/>
        <v>383645000</v>
      </c>
    </row>
    <row r="294" spans="1:9">
      <c r="A294" s="383">
        <v>121074</v>
      </c>
      <c r="B294" s="383" t="s">
        <v>1754</v>
      </c>
      <c r="C294" s="383" t="s">
        <v>1755</v>
      </c>
      <c r="D294" s="383">
        <v>827</v>
      </c>
      <c r="E294" s="383" t="s">
        <v>1749</v>
      </c>
      <c r="F294" s="383">
        <v>310506995</v>
      </c>
      <c r="G294" s="383"/>
      <c r="H294" s="383">
        <v>10</v>
      </c>
      <c r="I294" s="383">
        <f t="shared" si="4"/>
        <v>3105069950</v>
      </c>
    </row>
    <row r="295" spans="1:9">
      <c r="A295" s="383">
        <v>121110</v>
      </c>
      <c r="B295" s="383" t="s">
        <v>1756</v>
      </c>
      <c r="C295" s="383" t="s">
        <v>1757</v>
      </c>
      <c r="D295" s="383">
        <v>827</v>
      </c>
      <c r="E295" s="383" t="s">
        <v>1749</v>
      </c>
      <c r="F295" s="383">
        <v>84777800</v>
      </c>
      <c r="G295" s="383"/>
      <c r="H295" s="383">
        <v>10</v>
      </c>
      <c r="I295" s="383">
        <f t="shared" si="4"/>
        <v>847778000</v>
      </c>
    </row>
    <row r="296" spans="1:9">
      <c r="A296" s="383">
        <v>121120</v>
      </c>
      <c r="B296" s="383" t="s">
        <v>1758</v>
      </c>
      <c r="C296" s="383" t="s">
        <v>1759</v>
      </c>
      <c r="D296" s="383">
        <v>827</v>
      </c>
      <c r="E296" s="383" t="s">
        <v>1749</v>
      </c>
      <c r="F296" s="383">
        <v>15553133</v>
      </c>
      <c r="G296" s="383"/>
      <c r="H296" s="383">
        <v>10</v>
      </c>
      <c r="I296" s="383">
        <f t="shared" si="4"/>
        <v>155531330</v>
      </c>
    </row>
    <row r="297" spans="1:9">
      <c r="A297" s="383">
        <v>121160</v>
      </c>
      <c r="B297" s="383" t="s">
        <v>1760</v>
      </c>
      <c r="C297" s="383" t="s">
        <v>1761</v>
      </c>
      <c r="D297" s="383">
        <v>827</v>
      </c>
      <c r="E297" s="383" t="s">
        <v>1749</v>
      </c>
      <c r="F297" s="383">
        <v>400000</v>
      </c>
      <c r="G297" s="383"/>
      <c r="H297" s="383">
        <v>10</v>
      </c>
      <c r="I297" s="383">
        <f t="shared" si="4"/>
        <v>4000000</v>
      </c>
    </row>
    <row r="298" spans="1:9">
      <c r="A298" s="383">
        <v>121180</v>
      </c>
      <c r="B298" s="383" t="s">
        <v>1762</v>
      </c>
      <c r="C298" s="383" t="s">
        <v>1763</v>
      </c>
      <c r="D298" s="383">
        <v>827</v>
      </c>
      <c r="E298" s="383" t="s">
        <v>1749</v>
      </c>
      <c r="F298" s="383">
        <v>56040000</v>
      </c>
      <c r="G298" s="383"/>
      <c r="H298" s="383">
        <v>10</v>
      </c>
      <c r="I298" s="383">
        <f t="shared" si="4"/>
        <v>560400000</v>
      </c>
    </row>
    <row r="299" spans="1:9">
      <c r="A299" s="383">
        <v>121240</v>
      </c>
      <c r="B299" s="383" t="s">
        <v>1764</v>
      </c>
      <c r="C299" s="383" t="s">
        <v>1765</v>
      </c>
      <c r="D299" s="383">
        <v>827</v>
      </c>
      <c r="E299" s="383" t="s">
        <v>1749</v>
      </c>
      <c r="F299" s="383">
        <v>34068500</v>
      </c>
      <c r="G299" s="383"/>
      <c r="H299" s="383">
        <v>10</v>
      </c>
      <c r="I299" s="383">
        <f t="shared" si="4"/>
        <v>340685000</v>
      </c>
    </row>
    <row r="300" spans="1:9">
      <c r="A300" s="383">
        <v>121242</v>
      </c>
      <c r="B300" s="383" t="s">
        <v>1766</v>
      </c>
      <c r="C300" s="383" t="s">
        <v>1767</v>
      </c>
      <c r="D300" s="383">
        <v>827</v>
      </c>
      <c r="E300" s="383" t="s">
        <v>1749</v>
      </c>
      <c r="F300" s="383">
        <v>15000000</v>
      </c>
      <c r="G300" s="383"/>
      <c r="H300" s="383">
        <v>10</v>
      </c>
      <c r="I300" s="383">
        <f t="shared" si="4"/>
        <v>150000000</v>
      </c>
    </row>
    <row r="301" spans="1:9">
      <c r="A301" s="383">
        <v>121251</v>
      </c>
      <c r="B301" s="383" t="s">
        <v>1768</v>
      </c>
      <c r="C301" s="383" t="s">
        <v>1769</v>
      </c>
      <c r="D301" s="383">
        <v>827</v>
      </c>
      <c r="E301" s="383" t="s">
        <v>1749</v>
      </c>
      <c r="F301" s="383">
        <v>23612270</v>
      </c>
      <c r="G301" s="383"/>
      <c r="H301" s="383">
        <v>10</v>
      </c>
      <c r="I301" s="383">
        <f t="shared" si="4"/>
        <v>236122700</v>
      </c>
    </row>
    <row r="302" spans="1:9">
      <c r="A302" s="383">
        <v>131020</v>
      </c>
      <c r="B302" s="383" t="s">
        <v>1770</v>
      </c>
      <c r="C302" s="383" t="s">
        <v>1771</v>
      </c>
      <c r="D302" s="383">
        <v>814</v>
      </c>
      <c r="E302" s="383" t="s">
        <v>1772</v>
      </c>
      <c r="F302" s="383">
        <v>23763468</v>
      </c>
      <c r="G302" s="383"/>
      <c r="H302" s="383">
        <v>10</v>
      </c>
      <c r="I302" s="383">
        <f t="shared" si="4"/>
        <v>237634680</v>
      </c>
    </row>
    <row r="303" spans="1:9">
      <c r="A303" s="383">
        <v>131140</v>
      </c>
      <c r="B303" s="383" t="s">
        <v>1773</v>
      </c>
      <c r="C303" s="383" t="s">
        <v>1774</v>
      </c>
      <c r="D303" s="383">
        <v>814</v>
      </c>
      <c r="E303" s="383" t="s">
        <v>1772</v>
      </c>
      <c r="F303" s="383">
        <v>3745000</v>
      </c>
      <c r="G303" s="383"/>
      <c r="H303" s="383">
        <v>10</v>
      </c>
      <c r="I303" s="383">
        <f t="shared" si="4"/>
        <v>37450000</v>
      </c>
    </row>
    <row r="304" spans="1:9">
      <c r="A304" s="383">
        <v>131160</v>
      </c>
      <c r="B304" s="383" t="s">
        <v>1775</v>
      </c>
      <c r="C304" s="383" t="s">
        <v>1776</v>
      </c>
      <c r="D304" s="383">
        <v>802</v>
      </c>
      <c r="E304" s="383" t="s">
        <v>1777</v>
      </c>
      <c r="F304" s="383">
        <v>81029917</v>
      </c>
      <c r="G304" s="383"/>
      <c r="H304" s="383">
        <v>10</v>
      </c>
      <c r="I304" s="383">
        <f t="shared" si="4"/>
        <v>810299170</v>
      </c>
    </row>
    <row r="305" spans="1:9">
      <c r="A305" s="383">
        <v>141000</v>
      </c>
      <c r="B305" s="383" t="s">
        <v>1778</v>
      </c>
      <c r="C305" s="383" t="s">
        <v>1779</v>
      </c>
      <c r="D305" s="383">
        <v>826</v>
      </c>
      <c r="E305" s="383" t="s">
        <v>1780</v>
      </c>
      <c r="F305" s="383">
        <v>17291008</v>
      </c>
      <c r="G305" s="383"/>
      <c r="H305" s="383">
        <v>10</v>
      </c>
      <c r="I305" s="383">
        <f t="shared" si="4"/>
        <v>172910080</v>
      </c>
    </row>
    <row r="306" spans="1:9">
      <c r="A306" s="383">
        <v>141010</v>
      </c>
      <c r="B306" s="383" t="s">
        <v>1781</v>
      </c>
      <c r="C306" s="383" t="s">
        <v>1782</v>
      </c>
      <c r="D306" s="383">
        <v>826</v>
      </c>
      <c r="E306" s="383" t="s">
        <v>1780</v>
      </c>
      <c r="F306" s="383">
        <v>17362300</v>
      </c>
      <c r="G306" s="383"/>
      <c r="H306" s="383">
        <v>10</v>
      </c>
      <c r="I306" s="383">
        <f t="shared" si="4"/>
        <v>173623000</v>
      </c>
    </row>
    <row r="307" spans="1:9">
      <c r="A307" s="383">
        <v>141020</v>
      </c>
      <c r="B307" s="383" t="s">
        <v>1783</v>
      </c>
      <c r="C307" s="383" t="s">
        <v>1784</v>
      </c>
      <c r="D307" s="383">
        <v>826</v>
      </c>
      <c r="E307" s="383" t="s">
        <v>1780</v>
      </c>
      <c r="F307" s="383">
        <v>79261700</v>
      </c>
      <c r="G307" s="383"/>
      <c r="H307" s="383">
        <v>10</v>
      </c>
      <c r="I307" s="383">
        <f t="shared" si="4"/>
        <v>792617000</v>
      </c>
    </row>
    <row r="308" spans="1:9">
      <c r="A308" s="383">
        <v>141040</v>
      </c>
      <c r="B308" s="383" t="s">
        <v>1785</v>
      </c>
      <c r="C308" s="383" t="s">
        <v>1786</v>
      </c>
      <c r="D308" s="383">
        <v>826</v>
      </c>
      <c r="E308" s="383" t="s">
        <v>1780</v>
      </c>
      <c r="F308" s="383">
        <v>20473755</v>
      </c>
      <c r="G308" s="383"/>
      <c r="H308" s="383">
        <v>10</v>
      </c>
      <c r="I308" s="383">
        <f t="shared" si="4"/>
        <v>204737550</v>
      </c>
    </row>
    <row r="309" spans="1:9">
      <c r="A309" s="383">
        <v>141060</v>
      </c>
      <c r="B309" s="383" t="s">
        <v>1787</v>
      </c>
      <c r="C309" s="383" t="s">
        <v>1788</v>
      </c>
      <c r="D309" s="383">
        <v>826</v>
      </c>
      <c r="E309" s="383" t="s">
        <v>1780</v>
      </c>
      <c r="F309" s="383">
        <v>24407300</v>
      </c>
      <c r="G309" s="383"/>
      <c r="H309" s="383">
        <v>10</v>
      </c>
      <c r="I309" s="383">
        <f t="shared" si="4"/>
        <v>244073000</v>
      </c>
    </row>
    <row r="310" spans="1:9">
      <c r="A310" s="383">
        <v>141080</v>
      </c>
      <c r="B310" s="383" t="s">
        <v>1789</v>
      </c>
      <c r="C310" s="383" t="s">
        <v>1790</v>
      </c>
      <c r="D310" s="383">
        <v>826</v>
      </c>
      <c r="E310" s="383" t="s">
        <v>1780</v>
      </c>
      <c r="F310" s="383">
        <v>9450000</v>
      </c>
      <c r="G310" s="383"/>
      <c r="H310" s="383">
        <v>10</v>
      </c>
      <c r="I310" s="383">
        <f t="shared" si="4"/>
        <v>94500000</v>
      </c>
    </row>
    <row r="311" spans="1:9">
      <c r="A311" s="383">
        <v>141120</v>
      </c>
      <c r="B311" s="383" t="s">
        <v>1791</v>
      </c>
      <c r="C311" s="383" t="s">
        <v>1792</v>
      </c>
      <c r="D311" s="383">
        <v>826</v>
      </c>
      <c r="E311" s="383" t="s">
        <v>1780</v>
      </c>
      <c r="F311" s="383">
        <v>1121600</v>
      </c>
      <c r="G311" s="383"/>
      <c r="H311" s="383">
        <v>10</v>
      </c>
      <c r="I311" s="383">
        <f t="shared" si="4"/>
        <v>11216000</v>
      </c>
    </row>
    <row r="312" spans="1:9">
      <c r="A312" s="383">
        <v>141140</v>
      </c>
      <c r="B312" s="383" t="s">
        <v>1793</v>
      </c>
      <c r="C312" s="383" t="s">
        <v>1794</v>
      </c>
      <c r="D312" s="383">
        <v>826</v>
      </c>
      <c r="E312" s="383" t="s">
        <v>1780</v>
      </c>
      <c r="F312" s="383">
        <v>50000</v>
      </c>
      <c r="G312" s="383"/>
      <c r="H312" s="383">
        <v>10</v>
      </c>
      <c r="I312" s="383">
        <f t="shared" si="4"/>
        <v>500000</v>
      </c>
    </row>
    <row r="313" spans="1:9">
      <c r="A313" s="383">
        <v>141160</v>
      </c>
      <c r="B313" s="383" t="s">
        <v>1795</v>
      </c>
      <c r="C313" s="383" t="s">
        <v>1796</v>
      </c>
      <c r="D313" s="383">
        <v>826</v>
      </c>
      <c r="E313" s="383" t="s">
        <v>1780</v>
      </c>
      <c r="F313" s="383">
        <v>160000</v>
      </c>
      <c r="G313" s="383"/>
      <c r="H313" s="383">
        <v>10</v>
      </c>
      <c r="I313" s="383">
        <f t="shared" si="4"/>
        <v>1600000</v>
      </c>
    </row>
    <row r="314" spans="1:9">
      <c r="A314" s="383">
        <v>141170</v>
      </c>
      <c r="B314" s="383" t="s">
        <v>1797</v>
      </c>
      <c r="C314" s="383" t="s">
        <v>1798</v>
      </c>
      <c r="D314" s="383">
        <v>826</v>
      </c>
      <c r="E314" s="383" t="s">
        <v>1780</v>
      </c>
      <c r="F314" s="383">
        <v>28692000</v>
      </c>
      <c r="G314" s="383"/>
      <c r="H314" s="383">
        <v>10</v>
      </c>
      <c r="I314" s="383">
        <f t="shared" si="4"/>
        <v>286920000</v>
      </c>
    </row>
    <row r="315" spans="1:9">
      <c r="A315" s="383">
        <v>141175</v>
      </c>
      <c r="B315" s="383" t="s">
        <v>1799</v>
      </c>
      <c r="C315" s="383" t="s">
        <v>1800</v>
      </c>
      <c r="D315" s="383">
        <v>826</v>
      </c>
      <c r="E315" s="383" t="s">
        <v>1780</v>
      </c>
      <c r="F315" s="383">
        <v>99020000</v>
      </c>
      <c r="G315" s="383"/>
      <c r="H315" s="383">
        <v>10</v>
      </c>
      <c r="I315" s="383">
        <f t="shared" si="4"/>
        <v>990200000</v>
      </c>
    </row>
    <row r="316" spans="1:9">
      <c r="A316" s="383">
        <v>141180</v>
      </c>
      <c r="B316" s="383" t="s">
        <v>1801</v>
      </c>
      <c r="C316" s="383" t="s">
        <v>1802</v>
      </c>
      <c r="D316" s="383">
        <v>830</v>
      </c>
      <c r="E316" s="383" t="s">
        <v>1438</v>
      </c>
      <c r="F316" s="383">
        <v>22660123</v>
      </c>
      <c r="G316" s="383"/>
      <c r="H316" s="383">
        <v>10</v>
      </c>
      <c r="I316" s="383">
        <f t="shared" si="4"/>
        <v>226601230</v>
      </c>
    </row>
    <row r="317" spans="1:9">
      <c r="A317" s="383">
        <v>141200</v>
      </c>
      <c r="B317" s="383" t="s">
        <v>1803</v>
      </c>
      <c r="C317" s="383" t="s">
        <v>1804</v>
      </c>
      <c r="D317" s="383">
        <v>826</v>
      </c>
      <c r="E317" s="383" t="s">
        <v>1780</v>
      </c>
      <c r="F317" s="383">
        <v>66511992</v>
      </c>
      <c r="G317" s="383"/>
      <c r="H317" s="383">
        <v>10</v>
      </c>
      <c r="I317" s="383">
        <f t="shared" si="4"/>
        <v>665119920</v>
      </c>
    </row>
    <row r="318" spans="1:9">
      <c r="A318" s="383">
        <v>141210</v>
      </c>
      <c r="B318" s="383" t="s">
        <v>1805</v>
      </c>
      <c r="C318" s="383" t="s">
        <v>1806</v>
      </c>
      <c r="D318" s="383">
        <v>810</v>
      </c>
      <c r="E318" s="383" t="s">
        <v>1807</v>
      </c>
      <c r="F318" s="383">
        <v>766596075</v>
      </c>
      <c r="G318" s="383"/>
      <c r="H318" s="383">
        <v>10</v>
      </c>
      <c r="I318" s="383">
        <f t="shared" si="4"/>
        <v>7665960750</v>
      </c>
    </row>
    <row r="319" spans="1:9">
      <c r="A319" s="383">
        <v>141220</v>
      </c>
      <c r="B319" s="383" t="s">
        <v>1808</v>
      </c>
      <c r="C319" s="383" t="s">
        <v>1809</v>
      </c>
      <c r="D319" s="383">
        <v>826</v>
      </c>
      <c r="E319" s="383" t="s">
        <v>1780</v>
      </c>
      <c r="F319" s="383">
        <v>25007151</v>
      </c>
      <c r="G319" s="383"/>
      <c r="H319" s="383">
        <v>10</v>
      </c>
      <c r="I319" s="383">
        <f t="shared" si="4"/>
        <v>250071510</v>
      </c>
    </row>
    <row r="320" spans="1:9">
      <c r="A320" s="383">
        <v>141320</v>
      </c>
      <c r="B320" s="383" t="s">
        <v>1810</v>
      </c>
      <c r="C320" s="383" t="s">
        <v>1811</v>
      </c>
      <c r="D320" s="383">
        <v>826</v>
      </c>
      <c r="E320" s="383" t="s">
        <v>1780</v>
      </c>
      <c r="F320" s="383">
        <v>150000000</v>
      </c>
      <c r="G320" s="383"/>
      <c r="H320" s="383">
        <v>5</v>
      </c>
      <c r="I320" s="383">
        <f t="shared" si="4"/>
        <v>750000000</v>
      </c>
    </row>
    <row r="321" spans="1:9">
      <c r="A321" s="383">
        <v>141340</v>
      </c>
      <c r="B321" s="383" t="s">
        <v>1812</v>
      </c>
      <c r="C321" s="383" t="s">
        <v>1813</v>
      </c>
      <c r="D321" s="383">
        <v>826</v>
      </c>
      <c r="E321" s="383" t="s">
        <v>1780</v>
      </c>
      <c r="F321" s="383">
        <v>40000000</v>
      </c>
      <c r="G321" s="383"/>
      <c r="H321" s="383">
        <v>5</v>
      </c>
      <c r="I321" s="383">
        <f t="shared" si="4"/>
        <v>200000000</v>
      </c>
    </row>
    <row r="322" spans="1:9">
      <c r="A322" s="383">
        <v>141350</v>
      </c>
      <c r="B322" s="383" t="s">
        <v>1814</v>
      </c>
      <c r="C322" s="383" t="s">
        <v>1815</v>
      </c>
      <c r="D322" s="383">
        <v>826</v>
      </c>
      <c r="E322" s="383" t="s">
        <v>1780</v>
      </c>
      <c r="F322" s="383">
        <v>32400000</v>
      </c>
      <c r="G322" s="383"/>
      <c r="H322" s="383">
        <v>10</v>
      </c>
      <c r="I322" s="383">
        <f t="shared" si="4"/>
        <v>324000000</v>
      </c>
    </row>
    <row r="323" spans="1:9">
      <c r="A323" s="383">
        <v>141360</v>
      </c>
      <c r="B323" s="383" t="s">
        <v>1816</v>
      </c>
      <c r="C323" s="383" t="s">
        <v>1817</v>
      </c>
      <c r="D323" s="383">
        <v>826</v>
      </c>
      <c r="E323" s="383" t="s">
        <v>1780</v>
      </c>
      <c r="F323" s="383">
        <v>25000000</v>
      </c>
      <c r="G323" s="383"/>
      <c r="H323" s="383">
        <v>10</v>
      </c>
      <c r="I323" s="383">
        <f t="shared" ref="I323:I386" si="5">F323*H323</f>
        <v>250000000</v>
      </c>
    </row>
    <row r="324" spans="1:9">
      <c r="A324" s="383">
        <v>141390</v>
      </c>
      <c r="B324" s="383" t="s">
        <v>1818</v>
      </c>
      <c r="C324" s="383" t="s">
        <v>1819</v>
      </c>
      <c r="D324" s="383">
        <v>826</v>
      </c>
      <c r="E324" s="383" t="s">
        <v>1780</v>
      </c>
      <c r="F324" s="383">
        <v>59776661</v>
      </c>
      <c r="G324" s="383"/>
      <c r="H324" s="383">
        <v>10</v>
      </c>
      <c r="I324" s="383">
        <f t="shared" si="5"/>
        <v>597766610</v>
      </c>
    </row>
    <row r="325" spans="1:9">
      <c r="A325" s="383">
        <v>141395</v>
      </c>
      <c r="B325" s="383" t="s">
        <v>1820</v>
      </c>
      <c r="C325" s="383" t="s">
        <v>1821</v>
      </c>
      <c r="D325" s="383">
        <v>826</v>
      </c>
      <c r="E325" s="383" t="s">
        <v>1780</v>
      </c>
      <c r="F325" s="383">
        <v>16017500</v>
      </c>
      <c r="G325" s="383"/>
      <c r="H325" s="383">
        <v>10</v>
      </c>
      <c r="I325" s="383">
        <f t="shared" si="5"/>
        <v>160175000</v>
      </c>
    </row>
    <row r="326" spans="1:9">
      <c r="A326" s="383">
        <v>141400</v>
      </c>
      <c r="B326" s="383" t="s">
        <v>1822</v>
      </c>
      <c r="C326" s="383" t="s">
        <v>1823</v>
      </c>
      <c r="D326" s="383">
        <v>826</v>
      </c>
      <c r="E326" s="383" t="s">
        <v>1780</v>
      </c>
      <c r="F326" s="383">
        <v>24730764</v>
      </c>
      <c r="G326" s="383"/>
      <c r="H326" s="383">
        <v>10</v>
      </c>
      <c r="I326" s="383">
        <f t="shared" si="5"/>
        <v>247307640</v>
      </c>
    </row>
    <row r="327" spans="1:9">
      <c r="A327" s="383">
        <v>141420</v>
      </c>
      <c r="B327" s="383" t="s">
        <v>1824</v>
      </c>
      <c r="C327" s="383" t="s">
        <v>1825</v>
      </c>
      <c r="D327" s="383">
        <v>826</v>
      </c>
      <c r="E327" s="383" t="s">
        <v>1780</v>
      </c>
      <c r="F327" s="383">
        <v>32031407</v>
      </c>
      <c r="G327" s="383"/>
      <c r="H327" s="383">
        <v>10</v>
      </c>
      <c r="I327" s="383">
        <f t="shared" si="5"/>
        <v>320314070</v>
      </c>
    </row>
    <row r="328" spans="1:9">
      <c r="A328" s="383">
        <v>141440</v>
      </c>
      <c r="B328" s="383" t="s">
        <v>1826</v>
      </c>
      <c r="C328" s="383" t="s">
        <v>1827</v>
      </c>
      <c r="D328" s="383">
        <v>826</v>
      </c>
      <c r="E328" s="383" t="s">
        <v>1780</v>
      </c>
      <c r="F328" s="383">
        <v>12268219</v>
      </c>
      <c r="G328" s="383"/>
      <c r="H328" s="383">
        <v>10</v>
      </c>
      <c r="I328" s="383">
        <f t="shared" si="5"/>
        <v>122682190</v>
      </c>
    </row>
    <row r="329" spans="1:9">
      <c r="A329" s="383">
        <v>141450</v>
      </c>
      <c r="B329" s="383" t="s">
        <v>1828</v>
      </c>
      <c r="C329" s="383" t="s">
        <v>1829</v>
      </c>
      <c r="D329" s="383">
        <v>826</v>
      </c>
      <c r="E329" s="383" t="s">
        <v>1780</v>
      </c>
      <c r="F329" s="383">
        <v>14100000</v>
      </c>
      <c r="G329" s="383"/>
      <c r="H329" s="383">
        <v>10</v>
      </c>
      <c r="I329" s="383">
        <f t="shared" si="5"/>
        <v>141000000</v>
      </c>
    </row>
    <row r="330" spans="1:9">
      <c r="A330" s="383">
        <v>141460</v>
      </c>
      <c r="B330" s="383" t="s">
        <v>1830</v>
      </c>
      <c r="C330" s="383" t="s">
        <v>1831</v>
      </c>
      <c r="D330" s="383">
        <v>826</v>
      </c>
      <c r="E330" s="383" t="s">
        <v>1780</v>
      </c>
      <c r="F330" s="383">
        <v>16517456</v>
      </c>
      <c r="G330" s="383"/>
      <c r="H330" s="383">
        <v>10</v>
      </c>
      <c r="I330" s="383">
        <f t="shared" si="5"/>
        <v>165174560</v>
      </c>
    </row>
    <row r="331" spans="1:9">
      <c r="A331" s="383">
        <v>141480</v>
      </c>
      <c r="B331" s="383" t="s">
        <v>1832</v>
      </c>
      <c r="C331" s="383" t="s">
        <v>1833</v>
      </c>
      <c r="D331" s="383">
        <v>826</v>
      </c>
      <c r="E331" s="383" t="s">
        <v>1780</v>
      </c>
      <c r="F331" s="383">
        <v>10850000</v>
      </c>
      <c r="G331" s="383"/>
      <c r="H331" s="383">
        <v>10</v>
      </c>
      <c r="I331" s="383">
        <f t="shared" si="5"/>
        <v>108500000</v>
      </c>
    </row>
    <row r="332" spans="1:9">
      <c r="A332" s="383">
        <v>141500</v>
      </c>
      <c r="B332" s="383" t="s">
        <v>1834</v>
      </c>
      <c r="C332" s="383" t="s">
        <v>1835</v>
      </c>
      <c r="D332" s="383">
        <v>826</v>
      </c>
      <c r="E332" s="383" t="s">
        <v>1780</v>
      </c>
      <c r="F332" s="383">
        <v>3750000</v>
      </c>
      <c r="G332" s="383"/>
      <c r="H332" s="383">
        <v>10</v>
      </c>
      <c r="I332" s="383">
        <f t="shared" si="5"/>
        <v>37500000</v>
      </c>
    </row>
    <row r="333" spans="1:9">
      <c r="A333" s="383">
        <v>141520</v>
      </c>
      <c r="B333" s="383" t="s">
        <v>1836</v>
      </c>
      <c r="C333" s="383" t="s">
        <v>1837</v>
      </c>
      <c r="D333" s="383">
        <v>826</v>
      </c>
      <c r="E333" s="383" t="s">
        <v>1780</v>
      </c>
      <c r="F333" s="383">
        <v>44616000</v>
      </c>
      <c r="G333" s="383"/>
      <c r="H333" s="383">
        <v>10</v>
      </c>
      <c r="I333" s="383">
        <f t="shared" si="5"/>
        <v>446160000</v>
      </c>
    </row>
    <row r="334" spans="1:9">
      <c r="A334" s="383">
        <v>141540</v>
      </c>
      <c r="B334" s="383" t="s">
        <v>1838</v>
      </c>
      <c r="C334" s="383" t="s">
        <v>1839</v>
      </c>
      <c r="D334" s="383">
        <v>826</v>
      </c>
      <c r="E334" s="383" t="s">
        <v>1780</v>
      </c>
      <c r="F334" s="383">
        <v>11946000</v>
      </c>
      <c r="G334" s="383"/>
      <c r="H334" s="383">
        <v>10</v>
      </c>
      <c r="I334" s="383">
        <f t="shared" si="5"/>
        <v>119460000</v>
      </c>
    </row>
    <row r="335" spans="1:9">
      <c r="A335" s="383">
        <v>141560</v>
      </c>
      <c r="B335" s="383" t="s">
        <v>1840</v>
      </c>
      <c r="C335" s="383" t="s">
        <v>1841</v>
      </c>
      <c r="D335" s="383">
        <v>826</v>
      </c>
      <c r="E335" s="383" t="s">
        <v>1780</v>
      </c>
      <c r="F335" s="383">
        <v>12011200</v>
      </c>
      <c r="G335" s="383"/>
      <c r="H335" s="383">
        <v>10</v>
      </c>
      <c r="I335" s="383">
        <f t="shared" si="5"/>
        <v>120112000</v>
      </c>
    </row>
    <row r="336" spans="1:9">
      <c r="A336" s="383">
        <v>141580</v>
      </c>
      <c r="B336" s="383" t="s">
        <v>1842</v>
      </c>
      <c r="C336" s="383" t="s">
        <v>1843</v>
      </c>
      <c r="D336" s="383">
        <v>826</v>
      </c>
      <c r="E336" s="383" t="s">
        <v>1780</v>
      </c>
      <c r="F336" s="383">
        <v>21118800</v>
      </c>
      <c r="G336" s="383"/>
      <c r="H336" s="383">
        <v>10</v>
      </c>
      <c r="I336" s="383">
        <f t="shared" si="5"/>
        <v>211188000</v>
      </c>
    </row>
    <row r="337" spans="1:9">
      <c r="A337" s="383">
        <v>141600</v>
      </c>
      <c r="B337" s="383" t="s">
        <v>1844</v>
      </c>
      <c r="C337" s="383" t="s">
        <v>1845</v>
      </c>
      <c r="D337" s="383">
        <v>826</v>
      </c>
      <c r="E337" s="383" t="s">
        <v>1780</v>
      </c>
      <c r="F337" s="383">
        <v>125000000</v>
      </c>
      <c r="G337" s="383"/>
      <c r="H337" s="383">
        <v>10</v>
      </c>
      <c r="I337" s="383">
        <f t="shared" si="5"/>
        <v>1250000000</v>
      </c>
    </row>
    <row r="338" spans="1:9">
      <c r="A338" s="383">
        <v>141620</v>
      </c>
      <c r="B338" s="383" t="s">
        <v>1846</v>
      </c>
      <c r="C338" s="383" t="s">
        <v>1847</v>
      </c>
      <c r="D338" s="383">
        <v>826</v>
      </c>
      <c r="E338" s="383" t="s">
        <v>1780</v>
      </c>
      <c r="F338" s="383">
        <v>10425000</v>
      </c>
      <c r="G338" s="383"/>
      <c r="H338" s="383">
        <v>10</v>
      </c>
      <c r="I338" s="383">
        <f t="shared" si="5"/>
        <v>104250000</v>
      </c>
    </row>
    <row r="339" spans="1:9">
      <c r="A339" s="383">
        <v>141630</v>
      </c>
      <c r="B339" s="383" t="s">
        <v>1848</v>
      </c>
      <c r="C339" s="383" t="s">
        <v>1849</v>
      </c>
      <c r="D339" s="383">
        <v>826</v>
      </c>
      <c r="E339" s="383" t="s">
        <v>1780</v>
      </c>
      <c r="F339" s="383">
        <v>117706300</v>
      </c>
      <c r="G339" s="383"/>
      <c r="H339" s="383">
        <v>10</v>
      </c>
      <c r="I339" s="383">
        <f t="shared" si="5"/>
        <v>1177063000</v>
      </c>
    </row>
    <row r="340" spans="1:9">
      <c r="A340" s="383">
        <v>141640</v>
      </c>
      <c r="B340" s="383" t="s">
        <v>1850</v>
      </c>
      <c r="C340" s="383" t="s">
        <v>1851</v>
      </c>
      <c r="D340" s="383">
        <v>826</v>
      </c>
      <c r="E340" s="383" t="s">
        <v>1780</v>
      </c>
      <c r="F340" s="383">
        <v>15023200</v>
      </c>
      <c r="G340" s="383"/>
      <c r="H340" s="383">
        <v>10</v>
      </c>
      <c r="I340" s="383">
        <f t="shared" si="5"/>
        <v>150232000</v>
      </c>
    </row>
    <row r="341" spans="1:9">
      <c r="A341" s="383">
        <v>150940</v>
      </c>
      <c r="B341" s="383" t="s">
        <v>1852</v>
      </c>
      <c r="C341" s="383" t="s">
        <v>485</v>
      </c>
      <c r="D341" s="383">
        <v>804</v>
      </c>
      <c r="E341" s="383" t="s">
        <v>1853</v>
      </c>
      <c r="F341" s="383">
        <v>114522468</v>
      </c>
      <c r="G341" s="383"/>
      <c r="H341" s="383">
        <v>10</v>
      </c>
      <c r="I341" s="383">
        <f t="shared" si="5"/>
        <v>1145224680</v>
      </c>
    </row>
    <row r="342" spans="1:9">
      <c r="A342" s="383">
        <v>150960</v>
      </c>
      <c r="B342" s="383" t="s">
        <v>1854</v>
      </c>
      <c r="C342" s="383" t="s">
        <v>1855</v>
      </c>
      <c r="D342" s="383">
        <v>804</v>
      </c>
      <c r="E342" s="383" t="s">
        <v>1853</v>
      </c>
      <c r="F342" s="383">
        <v>596252783</v>
      </c>
      <c r="G342" s="383"/>
      <c r="H342" s="383">
        <v>10</v>
      </c>
      <c r="I342" s="383">
        <f t="shared" si="5"/>
        <v>5962527830</v>
      </c>
    </row>
    <row r="343" spans="1:9">
      <c r="A343" s="383">
        <v>151000</v>
      </c>
      <c r="B343" s="383" t="s">
        <v>1856</v>
      </c>
      <c r="C343" s="383" t="s">
        <v>1062</v>
      </c>
      <c r="D343" s="383">
        <v>804</v>
      </c>
      <c r="E343" s="383" t="s">
        <v>1853</v>
      </c>
      <c r="F343" s="383">
        <v>176631853</v>
      </c>
      <c r="G343" s="383"/>
      <c r="H343" s="383">
        <v>10</v>
      </c>
      <c r="I343" s="383">
        <f t="shared" si="5"/>
        <v>1766318530</v>
      </c>
    </row>
    <row r="344" spans="1:9">
      <c r="A344" s="383">
        <v>151010</v>
      </c>
      <c r="B344" s="383" t="s">
        <v>1857</v>
      </c>
      <c r="C344" s="383" t="s">
        <v>1858</v>
      </c>
      <c r="D344" s="383">
        <v>804</v>
      </c>
      <c r="E344" s="383" t="s">
        <v>1853</v>
      </c>
      <c r="F344" s="383">
        <v>98236644</v>
      </c>
      <c r="G344" s="383"/>
      <c r="H344" s="383">
        <v>10</v>
      </c>
      <c r="I344" s="383">
        <f t="shared" si="5"/>
        <v>982366440</v>
      </c>
    </row>
    <row r="345" spans="1:9">
      <c r="A345" s="383">
        <v>151040</v>
      </c>
      <c r="B345" s="383" t="s">
        <v>1859</v>
      </c>
      <c r="C345" s="383" t="s">
        <v>1860</v>
      </c>
      <c r="D345" s="383">
        <v>804</v>
      </c>
      <c r="E345" s="383" t="s">
        <v>1853</v>
      </c>
      <c r="F345" s="383">
        <v>94840000</v>
      </c>
      <c r="G345" s="383"/>
      <c r="H345" s="383">
        <v>10</v>
      </c>
      <c r="I345" s="383">
        <f t="shared" si="5"/>
        <v>948400000</v>
      </c>
    </row>
    <row r="346" spans="1:9">
      <c r="A346" s="383">
        <v>151050</v>
      </c>
      <c r="B346" s="383" t="s">
        <v>1861</v>
      </c>
      <c r="C346" s="383" t="s">
        <v>483</v>
      </c>
      <c r="D346" s="383">
        <v>804</v>
      </c>
      <c r="E346" s="383" t="s">
        <v>1853</v>
      </c>
      <c r="F346" s="383">
        <v>438119097</v>
      </c>
      <c r="G346" s="383"/>
      <c r="H346" s="383">
        <v>10</v>
      </c>
      <c r="I346" s="383">
        <f t="shared" si="5"/>
        <v>4381190970</v>
      </c>
    </row>
    <row r="347" spans="1:9">
      <c r="A347" s="383">
        <v>151056</v>
      </c>
      <c r="B347" s="383" t="s">
        <v>1862</v>
      </c>
      <c r="C347" s="383" t="s">
        <v>1863</v>
      </c>
      <c r="D347" s="383">
        <v>805</v>
      </c>
      <c r="E347" s="383" t="s">
        <v>1744</v>
      </c>
      <c r="F347" s="383">
        <v>46443250</v>
      </c>
      <c r="G347" s="383"/>
      <c r="H347" s="383">
        <v>10</v>
      </c>
      <c r="I347" s="383">
        <f t="shared" si="5"/>
        <v>464432500</v>
      </c>
    </row>
    <row r="348" spans="1:9">
      <c r="A348" s="383">
        <v>151060</v>
      </c>
      <c r="B348" s="383" t="s">
        <v>1864</v>
      </c>
      <c r="C348" s="383" t="s">
        <v>1865</v>
      </c>
      <c r="D348" s="383">
        <v>804</v>
      </c>
      <c r="E348" s="383" t="s">
        <v>1853</v>
      </c>
      <c r="F348" s="383">
        <v>958755764</v>
      </c>
      <c r="G348" s="383"/>
      <c r="H348" s="383">
        <v>10</v>
      </c>
      <c r="I348" s="383">
        <f t="shared" si="5"/>
        <v>9587557640</v>
      </c>
    </row>
    <row r="349" spans="1:9">
      <c r="A349" s="383">
        <v>151065</v>
      </c>
      <c r="B349" s="383" t="s">
        <v>1866</v>
      </c>
      <c r="C349" s="383" t="s">
        <v>642</v>
      </c>
      <c r="D349" s="383">
        <v>804</v>
      </c>
      <c r="E349" s="383" t="s">
        <v>1853</v>
      </c>
      <c r="F349" s="383">
        <v>1379815025</v>
      </c>
      <c r="G349" s="383"/>
      <c r="H349" s="383">
        <v>10</v>
      </c>
      <c r="I349" s="383">
        <f t="shared" si="5"/>
        <v>13798150250</v>
      </c>
    </row>
    <row r="350" spans="1:9">
      <c r="A350" s="383">
        <v>151070</v>
      </c>
      <c r="B350" s="383" t="s">
        <v>1867</v>
      </c>
      <c r="C350" s="383" t="s">
        <v>1868</v>
      </c>
      <c r="D350" s="383">
        <v>804</v>
      </c>
      <c r="E350" s="383" t="s">
        <v>1853</v>
      </c>
      <c r="F350" s="383">
        <v>50160000</v>
      </c>
      <c r="G350" s="383"/>
      <c r="H350" s="383">
        <v>10</v>
      </c>
      <c r="I350" s="383">
        <f t="shared" si="5"/>
        <v>501600000</v>
      </c>
    </row>
    <row r="351" spans="1:9">
      <c r="A351" s="383">
        <v>151075</v>
      </c>
      <c r="B351" s="383" t="s">
        <v>1869</v>
      </c>
      <c r="C351" s="383" t="s">
        <v>1870</v>
      </c>
      <c r="D351" s="383">
        <v>804</v>
      </c>
      <c r="E351" s="383" t="s">
        <v>1853</v>
      </c>
      <c r="F351" s="383">
        <v>176000000</v>
      </c>
      <c r="G351" s="383"/>
      <c r="H351" s="383">
        <v>10</v>
      </c>
      <c r="I351" s="383">
        <f t="shared" si="5"/>
        <v>1760000000</v>
      </c>
    </row>
    <row r="352" spans="1:9">
      <c r="A352" s="383">
        <v>151080</v>
      </c>
      <c r="B352" s="383" t="s">
        <v>1871</v>
      </c>
      <c r="C352" s="383" t="s">
        <v>1872</v>
      </c>
      <c r="D352" s="383">
        <v>804</v>
      </c>
      <c r="E352" s="383" t="s">
        <v>1853</v>
      </c>
      <c r="F352" s="383">
        <v>400273960</v>
      </c>
      <c r="G352" s="383"/>
      <c r="H352" s="383">
        <v>10</v>
      </c>
      <c r="I352" s="383">
        <f t="shared" si="5"/>
        <v>4002739600</v>
      </c>
    </row>
    <row r="353" spans="1:9">
      <c r="A353" s="383">
        <v>151100</v>
      </c>
      <c r="B353" s="383" t="s">
        <v>1873</v>
      </c>
      <c r="C353" s="383" t="s">
        <v>1874</v>
      </c>
      <c r="D353" s="383">
        <v>804</v>
      </c>
      <c r="E353" s="383" t="s">
        <v>1853</v>
      </c>
      <c r="F353" s="383">
        <v>157051028</v>
      </c>
      <c r="G353" s="383"/>
      <c r="H353" s="383">
        <v>10</v>
      </c>
      <c r="I353" s="383">
        <f t="shared" si="5"/>
        <v>1570510280</v>
      </c>
    </row>
    <row r="354" spans="1:9">
      <c r="A354" s="383">
        <v>151102</v>
      </c>
      <c r="B354" s="383" t="s">
        <v>1875</v>
      </c>
      <c r="C354" s="383" t="s">
        <v>1876</v>
      </c>
      <c r="D354" s="383">
        <v>804</v>
      </c>
      <c r="E354" s="383" t="s">
        <v>1853</v>
      </c>
      <c r="F354" s="383">
        <v>45150200</v>
      </c>
      <c r="G354" s="383"/>
      <c r="H354" s="383">
        <v>10</v>
      </c>
      <c r="I354" s="383">
        <f t="shared" si="5"/>
        <v>451502000</v>
      </c>
    </row>
    <row r="355" spans="1:9">
      <c r="A355" s="383">
        <v>151103</v>
      </c>
      <c r="B355" s="383" t="s">
        <v>1877</v>
      </c>
      <c r="C355" s="383" t="s">
        <v>336</v>
      </c>
      <c r="D355" s="383">
        <v>804</v>
      </c>
      <c r="E355" s="383" t="s">
        <v>1853</v>
      </c>
      <c r="F355" s="383">
        <v>154508688</v>
      </c>
      <c r="G355" s="383"/>
      <c r="H355" s="383">
        <v>10</v>
      </c>
      <c r="I355" s="383">
        <f t="shared" si="5"/>
        <v>1545086880</v>
      </c>
    </row>
    <row r="356" spans="1:9">
      <c r="A356" s="383">
        <v>151105</v>
      </c>
      <c r="B356" s="383" t="s">
        <v>1878</v>
      </c>
      <c r="C356" s="383" t="s">
        <v>125</v>
      </c>
      <c r="D356" s="383">
        <v>804</v>
      </c>
      <c r="E356" s="383" t="s">
        <v>1853</v>
      </c>
      <c r="F356" s="383">
        <v>323375000</v>
      </c>
      <c r="G356" s="383"/>
      <c r="H356" s="383">
        <v>10</v>
      </c>
      <c r="I356" s="383">
        <f t="shared" si="5"/>
        <v>3233750000</v>
      </c>
    </row>
    <row r="357" spans="1:9">
      <c r="A357" s="383">
        <v>151110</v>
      </c>
      <c r="B357" s="383" t="s">
        <v>1879</v>
      </c>
      <c r="C357" s="383" t="s">
        <v>171</v>
      </c>
      <c r="D357" s="383">
        <v>804</v>
      </c>
      <c r="E357" s="383" t="s">
        <v>1853</v>
      </c>
      <c r="F357" s="383">
        <v>593700666</v>
      </c>
      <c r="G357" s="383"/>
      <c r="H357" s="383">
        <v>10</v>
      </c>
      <c r="I357" s="383">
        <f t="shared" si="5"/>
        <v>5937006660</v>
      </c>
    </row>
    <row r="358" spans="1:9">
      <c r="A358" s="383">
        <v>151140</v>
      </c>
      <c r="B358" s="383" t="s">
        <v>1880</v>
      </c>
      <c r="C358" s="383" t="s">
        <v>1881</v>
      </c>
      <c r="D358" s="383">
        <v>804</v>
      </c>
      <c r="E358" s="383" t="s">
        <v>1853</v>
      </c>
      <c r="F358" s="383">
        <v>484113343</v>
      </c>
      <c r="G358" s="383"/>
      <c r="H358" s="383">
        <v>10</v>
      </c>
      <c r="I358" s="383">
        <f t="shared" si="5"/>
        <v>4841133430</v>
      </c>
    </row>
    <row r="359" spans="1:9">
      <c r="A359" s="383">
        <v>151150</v>
      </c>
      <c r="B359" s="383" t="s">
        <v>1882</v>
      </c>
      <c r="C359" s="383" t="s">
        <v>484</v>
      </c>
      <c r="D359" s="383">
        <v>804</v>
      </c>
      <c r="E359" s="383" t="s">
        <v>1853</v>
      </c>
      <c r="F359" s="383">
        <v>227148793</v>
      </c>
      <c r="G359" s="383"/>
      <c r="H359" s="383">
        <v>10</v>
      </c>
      <c r="I359" s="383">
        <f t="shared" si="5"/>
        <v>2271487930</v>
      </c>
    </row>
    <row r="360" spans="1:9">
      <c r="A360" s="383">
        <v>151155</v>
      </c>
      <c r="B360" s="383" t="s">
        <v>1883</v>
      </c>
      <c r="C360" s="383" t="s">
        <v>1884</v>
      </c>
      <c r="D360" s="383">
        <v>804</v>
      </c>
      <c r="E360" s="383" t="s">
        <v>1853</v>
      </c>
      <c r="F360" s="383">
        <v>25000000</v>
      </c>
      <c r="G360" s="383"/>
      <c r="H360" s="383">
        <v>10</v>
      </c>
      <c r="I360" s="383">
        <f t="shared" si="5"/>
        <v>250000000</v>
      </c>
    </row>
    <row r="361" spans="1:9">
      <c r="A361" s="383">
        <v>151160</v>
      </c>
      <c r="B361" s="383" t="s">
        <v>1885</v>
      </c>
      <c r="C361" s="383" t="s">
        <v>1159</v>
      </c>
      <c r="D361" s="383">
        <v>804</v>
      </c>
      <c r="E361" s="383" t="s">
        <v>1853</v>
      </c>
      <c r="F361" s="383">
        <v>99718125</v>
      </c>
      <c r="G361" s="383"/>
      <c r="H361" s="383">
        <v>10</v>
      </c>
      <c r="I361" s="383">
        <f t="shared" si="5"/>
        <v>997181250</v>
      </c>
    </row>
    <row r="362" spans="1:9">
      <c r="A362" s="383">
        <v>151180</v>
      </c>
      <c r="B362" s="383" t="s">
        <v>1886</v>
      </c>
      <c r="C362" s="383" t="s">
        <v>1887</v>
      </c>
      <c r="D362" s="383">
        <v>804</v>
      </c>
      <c r="E362" s="383" t="s">
        <v>1853</v>
      </c>
      <c r="F362" s="383">
        <v>427838526</v>
      </c>
      <c r="G362" s="383"/>
      <c r="H362" s="383">
        <v>10</v>
      </c>
      <c r="I362" s="383">
        <f t="shared" si="5"/>
        <v>4278385260</v>
      </c>
    </row>
    <row r="363" spans="1:9">
      <c r="A363" s="383">
        <v>161000</v>
      </c>
      <c r="B363" s="383" t="s">
        <v>1888</v>
      </c>
      <c r="C363" s="383" t="s">
        <v>1889</v>
      </c>
      <c r="D363" s="383">
        <v>832</v>
      </c>
      <c r="E363" s="383" t="s">
        <v>1890</v>
      </c>
      <c r="F363" s="383">
        <v>4807200</v>
      </c>
      <c r="G363" s="383"/>
      <c r="H363" s="383">
        <v>10</v>
      </c>
      <c r="I363" s="383">
        <f t="shared" si="5"/>
        <v>48072000</v>
      </c>
    </row>
    <row r="364" spans="1:9">
      <c r="A364" s="383">
        <v>161020</v>
      </c>
      <c r="B364" s="383" t="s">
        <v>1891</v>
      </c>
      <c r="C364" s="383" t="s">
        <v>1892</v>
      </c>
      <c r="D364" s="383">
        <v>832</v>
      </c>
      <c r="E364" s="383" t="s">
        <v>1890</v>
      </c>
      <c r="F364" s="383">
        <v>61580341</v>
      </c>
      <c r="G364" s="383"/>
      <c r="H364" s="383">
        <v>10</v>
      </c>
      <c r="I364" s="383">
        <f t="shared" si="5"/>
        <v>615803410</v>
      </c>
    </row>
    <row r="365" spans="1:9">
      <c r="A365" s="383">
        <v>161040</v>
      </c>
      <c r="B365" s="383" t="s">
        <v>1893</v>
      </c>
      <c r="C365" s="383" t="s">
        <v>1894</v>
      </c>
      <c r="D365" s="383">
        <v>832</v>
      </c>
      <c r="E365" s="383" t="s">
        <v>1890</v>
      </c>
      <c r="F365" s="383">
        <v>255493792</v>
      </c>
      <c r="G365" s="383"/>
      <c r="H365" s="383">
        <v>10</v>
      </c>
      <c r="I365" s="383">
        <f t="shared" si="5"/>
        <v>2554937920</v>
      </c>
    </row>
    <row r="366" spans="1:9">
      <c r="A366" s="383">
        <v>171000</v>
      </c>
      <c r="B366" s="383" t="s">
        <v>1895</v>
      </c>
      <c r="C366" s="383" t="s">
        <v>473</v>
      </c>
      <c r="D366" s="383">
        <v>825</v>
      </c>
      <c r="E366" s="383" t="s">
        <v>1896</v>
      </c>
      <c r="F366" s="383">
        <v>85293000</v>
      </c>
      <c r="G366" s="383"/>
      <c r="H366" s="383">
        <v>10</v>
      </c>
      <c r="I366" s="383">
        <f t="shared" si="5"/>
        <v>852930000</v>
      </c>
    </row>
    <row r="367" spans="1:9">
      <c r="A367" s="383">
        <v>171010</v>
      </c>
      <c r="B367" s="383" t="s">
        <v>1897</v>
      </c>
      <c r="C367" s="383" t="s">
        <v>1898</v>
      </c>
      <c r="D367" s="383">
        <v>825</v>
      </c>
      <c r="E367" s="383" t="s">
        <v>1896</v>
      </c>
      <c r="F367" s="383">
        <v>5329884706</v>
      </c>
      <c r="G367" s="383"/>
      <c r="H367" s="383">
        <v>10</v>
      </c>
      <c r="I367" s="383">
        <f t="shared" si="5"/>
        <v>53298847060</v>
      </c>
    </row>
    <row r="368" spans="1:9">
      <c r="A368" s="383">
        <v>171080</v>
      </c>
      <c r="B368" s="383" t="s">
        <v>1899</v>
      </c>
      <c r="C368" s="383" t="s">
        <v>474</v>
      </c>
      <c r="D368" s="383">
        <v>825</v>
      </c>
      <c r="E368" s="383" t="s">
        <v>1896</v>
      </c>
      <c r="F368" s="383">
        <v>79966560</v>
      </c>
      <c r="G368" s="383"/>
      <c r="H368" s="383">
        <v>10</v>
      </c>
      <c r="I368" s="383">
        <f t="shared" si="5"/>
        <v>799665600</v>
      </c>
    </row>
    <row r="369" spans="1:9">
      <c r="A369" s="383">
        <v>171140</v>
      </c>
      <c r="B369" s="383" t="s">
        <v>1900</v>
      </c>
      <c r="C369" s="383" t="s">
        <v>1901</v>
      </c>
      <c r="D369" s="383">
        <v>825</v>
      </c>
      <c r="E369" s="383" t="s">
        <v>1896</v>
      </c>
      <c r="F369" s="383">
        <v>294000000</v>
      </c>
      <c r="G369" s="383"/>
      <c r="H369" s="383">
        <v>10</v>
      </c>
      <c r="I369" s="383">
        <f t="shared" si="5"/>
        <v>2940000000</v>
      </c>
    </row>
    <row r="370" spans="1:9">
      <c r="A370" s="383">
        <v>180980</v>
      </c>
      <c r="B370" s="383" t="s">
        <v>1902</v>
      </c>
      <c r="C370" s="383" t="s">
        <v>1066</v>
      </c>
      <c r="D370" s="383">
        <v>824</v>
      </c>
      <c r="E370" s="383" t="s">
        <v>1903</v>
      </c>
      <c r="F370" s="383">
        <v>363380000</v>
      </c>
      <c r="G370" s="383"/>
      <c r="H370" s="383">
        <v>10</v>
      </c>
      <c r="I370" s="383">
        <f t="shared" si="5"/>
        <v>3633800000</v>
      </c>
    </row>
    <row r="371" spans="1:9">
      <c r="A371" s="383">
        <v>180990</v>
      </c>
      <c r="B371" s="383" t="s">
        <v>1904</v>
      </c>
      <c r="C371" s="383" t="s">
        <v>1905</v>
      </c>
      <c r="D371" s="383">
        <v>824</v>
      </c>
      <c r="E371" s="383" t="s">
        <v>1903</v>
      </c>
      <c r="F371" s="383">
        <v>323800000</v>
      </c>
      <c r="G371" s="383"/>
      <c r="H371" s="383">
        <v>10</v>
      </c>
      <c r="I371" s="383">
        <f t="shared" si="5"/>
        <v>3238000000</v>
      </c>
    </row>
    <row r="372" spans="1:9">
      <c r="A372" s="383">
        <v>181025</v>
      </c>
      <c r="B372" s="383" t="s">
        <v>1906</v>
      </c>
      <c r="C372" s="383" t="s">
        <v>1907</v>
      </c>
      <c r="D372" s="383">
        <v>824</v>
      </c>
      <c r="E372" s="383" t="s">
        <v>1903</v>
      </c>
      <c r="F372" s="383">
        <v>19800000</v>
      </c>
      <c r="G372" s="383"/>
      <c r="H372" s="383">
        <v>10</v>
      </c>
      <c r="I372" s="383">
        <f t="shared" si="5"/>
        <v>198000000</v>
      </c>
    </row>
    <row r="373" spans="1:9">
      <c r="A373" s="383">
        <v>181035</v>
      </c>
      <c r="B373" s="383" t="s">
        <v>1908</v>
      </c>
      <c r="C373" s="383" t="s">
        <v>1909</v>
      </c>
      <c r="D373" s="383">
        <v>824</v>
      </c>
      <c r="E373" s="383" t="s">
        <v>1903</v>
      </c>
      <c r="F373" s="383">
        <v>8000000</v>
      </c>
      <c r="G373" s="383"/>
      <c r="H373" s="383">
        <v>10</v>
      </c>
      <c r="I373" s="383">
        <f t="shared" si="5"/>
        <v>80000000</v>
      </c>
    </row>
    <row r="374" spans="1:9">
      <c r="A374" s="383">
        <v>181037</v>
      </c>
      <c r="B374" s="383" t="s">
        <v>1910</v>
      </c>
      <c r="C374" s="383" t="s">
        <v>1911</v>
      </c>
      <c r="D374" s="383">
        <v>824</v>
      </c>
      <c r="E374" s="383" t="s">
        <v>1903</v>
      </c>
      <c r="F374" s="383">
        <v>156037591</v>
      </c>
      <c r="G374" s="383"/>
      <c r="H374" s="383">
        <v>10</v>
      </c>
      <c r="I374" s="383">
        <f t="shared" si="5"/>
        <v>1560375910</v>
      </c>
    </row>
    <row r="375" spans="1:9">
      <c r="A375" s="383">
        <v>181050</v>
      </c>
      <c r="B375" s="383" t="s">
        <v>1912</v>
      </c>
      <c r="C375" s="383" t="s">
        <v>126</v>
      </c>
      <c r="D375" s="383">
        <v>824</v>
      </c>
      <c r="E375" s="383" t="s">
        <v>1903</v>
      </c>
      <c r="F375" s="383">
        <v>1157154400</v>
      </c>
      <c r="G375" s="383"/>
      <c r="H375" s="383">
        <v>10</v>
      </c>
      <c r="I375" s="383">
        <f t="shared" si="5"/>
        <v>11571544000</v>
      </c>
    </row>
    <row r="376" spans="1:9">
      <c r="A376" s="383">
        <v>181060</v>
      </c>
      <c r="B376" s="383" t="s">
        <v>1913</v>
      </c>
      <c r="C376" s="383" t="s">
        <v>1168</v>
      </c>
      <c r="D376" s="383">
        <v>824</v>
      </c>
      <c r="E376" s="383" t="s">
        <v>1903</v>
      </c>
      <c r="F376" s="383">
        <v>27615194245</v>
      </c>
      <c r="G376" s="383"/>
      <c r="H376" s="383">
        <v>3.5</v>
      </c>
      <c r="I376" s="383">
        <f t="shared" si="5"/>
        <v>96653179857.5</v>
      </c>
    </row>
    <row r="377" spans="1:9">
      <c r="A377" s="383">
        <v>181062</v>
      </c>
      <c r="B377" s="383" t="s">
        <v>1914</v>
      </c>
      <c r="C377" s="383" t="s">
        <v>1915</v>
      </c>
      <c r="D377" s="383">
        <v>824</v>
      </c>
      <c r="E377" s="383" t="s">
        <v>1903</v>
      </c>
      <c r="F377" s="383">
        <v>169458614</v>
      </c>
      <c r="G377" s="383"/>
      <c r="H377" s="383">
        <v>10</v>
      </c>
      <c r="I377" s="383">
        <f t="shared" si="5"/>
        <v>1694586140</v>
      </c>
    </row>
    <row r="378" spans="1:9">
      <c r="A378" s="383">
        <v>181070</v>
      </c>
      <c r="B378" s="383" t="s">
        <v>1916</v>
      </c>
      <c r="C378" s="383" t="s">
        <v>1917</v>
      </c>
      <c r="D378" s="383">
        <v>824</v>
      </c>
      <c r="E378" s="383" t="s">
        <v>1903</v>
      </c>
      <c r="F378" s="383">
        <v>12600000</v>
      </c>
      <c r="G378" s="383"/>
      <c r="H378" s="383">
        <v>10</v>
      </c>
      <c r="I378" s="383">
        <f t="shared" si="5"/>
        <v>126000000</v>
      </c>
    </row>
    <row r="379" spans="1:9">
      <c r="A379" s="383">
        <v>181075</v>
      </c>
      <c r="B379" s="383" t="s">
        <v>1918</v>
      </c>
      <c r="C379" s="383" t="s">
        <v>341</v>
      </c>
      <c r="D379" s="383">
        <v>824</v>
      </c>
      <c r="E379" s="383" t="s">
        <v>1903</v>
      </c>
      <c r="F379" s="383">
        <v>379838732</v>
      </c>
      <c r="G379" s="383"/>
      <c r="H379" s="383">
        <v>10</v>
      </c>
      <c r="I379" s="383">
        <f t="shared" si="5"/>
        <v>3798387320</v>
      </c>
    </row>
    <row r="380" spans="1:9">
      <c r="A380" s="383">
        <v>181080</v>
      </c>
      <c r="B380" s="383" t="s">
        <v>1919</v>
      </c>
      <c r="C380" s="383" t="s">
        <v>182</v>
      </c>
      <c r="D380" s="383">
        <v>824</v>
      </c>
      <c r="E380" s="383" t="s">
        <v>1903</v>
      </c>
      <c r="F380" s="383">
        <v>880253228</v>
      </c>
      <c r="G380" s="383"/>
      <c r="H380" s="383">
        <v>10</v>
      </c>
      <c r="I380" s="383">
        <f t="shared" si="5"/>
        <v>8802532280</v>
      </c>
    </row>
    <row r="381" spans="1:9">
      <c r="A381" s="383">
        <v>181085</v>
      </c>
      <c r="B381" s="383" t="s">
        <v>1920</v>
      </c>
      <c r="C381" s="383" t="s">
        <v>1921</v>
      </c>
      <c r="D381" s="383">
        <v>824</v>
      </c>
      <c r="E381" s="383" t="s">
        <v>1903</v>
      </c>
      <c r="F381" s="383">
        <v>367346939</v>
      </c>
      <c r="G381" s="383"/>
      <c r="H381" s="383">
        <v>10</v>
      </c>
      <c r="I381" s="383">
        <f t="shared" si="5"/>
        <v>3673469390</v>
      </c>
    </row>
    <row r="382" spans="1:9">
      <c r="A382" s="383">
        <v>181090</v>
      </c>
      <c r="B382" s="383" t="s">
        <v>1922</v>
      </c>
      <c r="C382" s="383" t="s">
        <v>1056</v>
      </c>
      <c r="D382" s="383">
        <v>824</v>
      </c>
      <c r="E382" s="383" t="s">
        <v>1903</v>
      </c>
      <c r="F382" s="383">
        <v>354088500</v>
      </c>
      <c r="G382" s="383"/>
      <c r="H382" s="383">
        <v>10</v>
      </c>
      <c r="I382" s="383">
        <f t="shared" si="5"/>
        <v>3540885000</v>
      </c>
    </row>
    <row r="383" spans="1:9">
      <c r="A383" s="383">
        <v>181095</v>
      </c>
      <c r="B383" s="383" t="s">
        <v>1923</v>
      </c>
      <c r="C383" s="383" t="s">
        <v>503</v>
      </c>
      <c r="D383" s="383">
        <v>824</v>
      </c>
      <c r="E383" s="383" t="s">
        <v>1903</v>
      </c>
      <c r="F383" s="383">
        <v>372081591</v>
      </c>
      <c r="G383" s="383"/>
      <c r="H383" s="383">
        <v>10</v>
      </c>
      <c r="I383" s="383">
        <f t="shared" si="5"/>
        <v>3720815910</v>
      </c>
    </row>
    <row r="384" spans="1:9">
      <c r="A384" s="383">
        <v>181100</v>
      </c>
      <c r="B384" s="383" t="s">
        <v>1924</v>
      </c>
      <c r="C384" s="383" t="s">
        <v>1925</v>
      </c>
      <c r="D384" s="383">
        <v>824</v>
      </c>
      <c r="E384" s="383" t="s">
        <v>1903</v>
      </c>
      <c r="F384" s="383">
        <v>386471779</v>
      </c>
      <c r="G384" s="383"/>
      <c r="H384" s="383">
        <v>10</v>
      </c>
      <c r="I384" s="383">
        <f t="shared" si="5"/>
        <v>3864717790</v>
      </c>
    </row>
    <row r="385" spans="1:9">
      <c r="A385" s="383">
        <v>181165</v>
      </c>
      <c r="B385" s="383" t="s">
        <v>1926</v>
      </c>
      <c r="C385" s="383" t="s">
        <v>1927</v>
      </c>
      <c r="D385" s="383">
        <v>824</v>
      </c>
      <c r="E385" s="383" t="s">
        <v>1903</v>
      </c>
      <c r="F385" s="383">
        <v>17833200</v>
      </c>
      <c r="G385" s="383"/>
      <c r="H385" s="383">
        <v>10</v>
      </c>
      <c r="I385" s="383">
        <f t="shared" si="5"/>
        <v>178332000</v>
      </c>
    </row>
    <row r="386" spans="1:9">
      <c r="A386" s="383">
        <v>181175</v>
      </c>
      <c r="B386" s="383" t="s">
        <v>1928</v>
      </c>
      <c r="C386" s="383" t="s">
        <v>1929</v>
      </c>
      <c r="D386" s="383">
        <v>824</v>
      </c>
      <c r="E386" s="383" t="s">
        <v>1903</v>
      </c>
      <c r="F386" s="383">
        <v>19092000</v>
      </c>
      <c r="G386" s="383"/>
      <c r="H386" s="383">
        <v>10</v>
      </c>
      <c r="I386" s="383">
        <f t="shared" si="5"/>
        <v>190920000</v>
      </c>
    </row>
    <row r="387" spans="1:9">
      <c r="A387" s="383">
        <v>181190</v>
      </c>
      <c r="B387" s="383" t="s">
        <v>1930</v>
      </c>
      <c r="C387" s="383" t="s">
        <v>1931</v>
      </c>
      <c r="D387" s="383">
        <v>824</v>
      </c>
      <c r="E387" s="383" t="s">
        <v>1903</v>
      </c>
      <c r="F387" s="383">
        <v>136675752</v>
      </c>
      <c r="G387" s="383"/>
      <c r="H387" s="383">
        <v>10</v>
      </c>
      <c r="I387" s="383">
        <f t="shared" ref="I387:I450" si="6">F387*H387</f>
        <v>1366757520</v>
      </c>
    </row>
    <row r="388" spans="1:9">
      <c r="A388" s="383">
        <v>181220</v>
      </c>
      <c r="B388" s="383" t="s">
        <v>1932</v>
      </c>
      <c r="C388" s="383" t="s">
        <v>1933</v>
      </c>
      <c r="D388" s="383">
        <v>824</v>
      </c>
      <c r="E388" s="383" t="s">
        <v>1903</v>
      </c>
      <c r="F388" s="383">
        <v>15000000</v>
      </c>
      <c r="G388" s="383"/>
      <c r="H388" s="383">
        <v>10</v>
      </c>
      <c r="I388" s="383">
        <f t="shared" si="6"/>
        <v>150000000</v>
      </c>
    </row>
    <row r="389" spans="1:9">
      <c r="A389" s="383">
        <v>191000</v>
      </c>
      <c r="B389" s="383" t="s">
        <v>1934</v>
      </c>
      <c r="C389" s="383" t="s">
        <v>1166</v>
      </c>
      <c r="D389" s="383">
        <v>821</v>
      </c>
      <c r="E389" s="383" t="s">
        <v>1935</v>
      </c>
      <c r="F389" s="383">
        <v>82944000</v>
      </c>
      <c r="G389" s="383"/>
      <c r="H389" s="383">
        <v>10</v>
      </c>
      <c r="I389" s="383">
        <f t="shared" si="6"/>
        <v>829440000</v>
      </c>
    </row>
    <row r="390" spans="1:9">
      <c r="A390" s="383">
        <v>191160</v>
      </c>
      <c r="B390" s="383" t="s">
        <v>1936</v>
      </c>
      <c r="C390" s="383" t="s">
        <v>170</v>
      </c>
      <c r="D390" s="383">
        <v>821</v>
      </c>
      <c r="E390" s="383" t="s">
        <v>1935</v>
      </c>
      <c r="F390" s="383">
        <v>326023125</v>
      </c>
      <c r="G390" s="383"/>
      <c r="H390" s="383">
        <v>10</v>
      </c>
      <c r="I390" s="383">
        <f t="shared" si="6"/>
        <v>3260231250</v>
      </c>
    </row>
    <row r="391" spans="1:9">
      <c r="A391" s="383">
        <v>191168</v>
      </c>
      <c r="B391" s="383" t="s">
        <v>1937</v>
      </c>
      <c r="C391" s="383" t="s">
        <v>1938</v>
      </c>
      <c r="D391" s="383">
        <v>821</v>
      </c>
      <c r="E391" s="383" t="s">
        <v>1935</v>
      </c>
      <c r="F391" s="383">
        <v>22488890</v>
      </c>
      <c r="G391" s="383"/>
      <c r="H391" s="383">
        <v>10</v>
      </c>
      <c r="I391" s="383">
        <f t="shared" si="6"/>
        <v>224888900</v>
      </c>
    </row>
    <row r="392" spans="1:9">
      <c r="A392" s="383">
        <v>191170</v>
      </c>
      <c r="B392" s="383" t="s">
        <v>1939</v>
      </c>
      <c r="C392" s="383" t="s">
        <v>332</v>
      </c>
      <c r="D392" s="383">
        <v>821</v>
      </c>
      <c r="E392" s="383" t="s">
        <v>1935</v>
      </c>
      <c r="F392" s="383">
        <v>107012330</v>
      </c>
      <c r="G392" s="383"/>
      <c r="H392" s="383">
        <v>10</v>
      </c>
      <c r="I392" s="383">
        <f t="shared" si="6"/>
        <v>1070123300</v>
      </c>
    </row>
    <row r="393" spans="1:9">
      <c r="A393" s="383">
        <v>191180</v>
      </c>
      <c r="B393" s="383" t="s">
        <v>1940</v>
      </c>
      <c r="C393" s="383" t="s">
        <v>1052</v>
      </c>
      <c r="D393" s="383">
        <v>821</v>
      </c>
      <c r="E393" s="383" t="s">
        <v>1935</v>
      </c>
      <c r="F393" s="383">
        <v>880916400</v>
      </c>
      <c r="G393" s="383"/>
      <c r="H393" s="383">
        <v>10</v>
      </c>
      <c r="I393" s="383">
        <f t="shared" si="6"/>
        <v>8809164000</v>
      </c>
    </row>
    <row r="394" spans="1:9">
      <c r="A394" s="383">
        <v>191200</v>
      </c>
      <c r="B394" s="383" t="s">
        <v>1941</v>
      </c>
      <c r="C394" s="383" t="s">
        <v>1051</v>
      </c>
      <c r="D394" s="383">
        <v>821</v>
      </c>
      <c r="E394" s="383" t="s">
        <v>1935</v>
      </c>
      <c r="F394" s="383">
        <v>634216666</v>
      </c>
      <c r="G394" s="383"/>
      <c r="H394" s="383">
        <v>10</v>
      </c>
      <c r="I394" s="383">
        <f t="shared" si="6"/>
        <v>6342166660</v>
      </c>
    </row>
    <row r="395" spans="1:9">
      <c r="A395" s="383">
        <v>201040</v>
      </c>
      <c r="B395" s="383" t="s">
        <v>1942</v>
      </c>
      <c r="C395" s="383" t="s">
        <v>475</v>
      </c>
      <c r="D395" s="383">
        <v>821</v>
      </c>
      <c r="E395" s="383" t="s">
        <v>1935</v>
      </c>
      <c r="F395" s="383">
        <v>144815040</v>
      </c>
      <c r="G395" s="383"/>
      <c r="H395" s="383">
        <v>10</v>
      </c>
      <c r="I395" s="383">
        <f t="shared" si="6"/>
        <v>1448150400</v>
      </c>
    </row>
    <row r="396" spans="1:9">
      <c r="A396" s="383">
        <v>201050</v>
      </c>
      <c r="B396" s="383" t="s">
        <v>1943</v>
      </c>
      <c r="C396" s="383" t="s">
        <v>1050</v>
      </c>
      <c r="D396" s="383">
        <v>821</v>
      </c>
      <c r="E396" s="383" t="s">
        <v>1935</v>
      </c>
      <c r="F396" s="383">
        <v>116004000</v>
      </c>
      <c r="G396" s="383"/>
      <c r="H396" s="383">
        <v>10</v>
      </c>
      <c r="I396" s="383">
        <f t="shared" si="6"/>
        <v>1160040000</v>
      </c>
    </row>
    <row r="397" spans="1:9">
      <c r="A397" s="383">
        <v>201075</v>
      </c>
      <c r="B397" s="383" t="s">
        <v>1944</v>
      </c>
      <c r="C397" s="383" t="s">
        <v>1047</v>
      </c>
      <c r="D397" s="383">
        <v>820</v>
      </c>
      <c r="E397" s="383" t="s">
        <v>1945</v>
      </c>
      <c r="F397" s="383">
        <v>110250000</v>
      </c>
      <c r="G397" s="383"/>
      <c r="H397" s="383">
        <v>10</v>
      </c>
      <c r="I397" s="383">
        <f t="shared" si="6"/>
        <v>1102500000</v>
      </c>
    </row>
    <row r="398" spans="1:9">
      <c r="A398" s="383">
        <v>201080</v>
      </c>
      <c r="B398" s="383" t="s">
        <v>1946</v>
      </c>
      <c r="C398" s="383" t="s">
        <v>1048</v>
      </c>
      <c r="D398" s="383">
        <v>820</v>
      </c>
      <c r="E398" s="383" t="s">
        <v>1945</v>
      </c>
      <c r="F398" s="383">
        <v>4300928400</v>
      </c>
      <c r="G398" s="383"/>
      <c r="H398" s="383">
        <v>10</v>
      </c>
      <c r="I398" s="383">
        <f t="shared" si="6"/>
        <v>43009284000</v>
      </c>
    </row>
    <row r="399" spans="1:9">
      <c r="A399" s="383">
        <v>201120</v>
      </c>
      <c r="B399" s="383" t="s">
        <v>1947</v>
      </c>
      <c r="C399" s="383" t="s">
        <v>123</v>
      </c>
      <c r="D399" s="383">
        <v>820</v>
      </c>
      <c r="E399" s="383" t="s">
        <v>1945</v>
      </c>
      <c r="F399" s="383">
        <v>236545920</v>
      </c>
      <c r="G399" s="383"/>
      <c r="H399" s="383">
        <v>10</v>
      </c>
      <c r="I399" s="383">
        <f t="shared" si="6"/>
        <v>2365459200</v>
      </c>
    </row>
    <row r="400" spans="1:9">
      <c r="A400" s="383">
        <v>201130</v>
      </c>
      <c r="B400" s="383" t="s">
        <v>1948</v>
      </c>
      <c r="C400" s="383" t="s">
        <v>124</v>
      </c>
      <c r="D400" s="383">
        <v>820</v>
      </c>
      <c r="E400" s="383" t="s">
        <v>1945</v>
      </c>
      <c r="F400" s="383">
        <v>1971715615</v>
      </c>
      <c r="G400" s="383"/>
      <c r="H400" s="383">
        <v>10</v>
      </c>
      <c r="I400" s="383">
        <f t="shared" si="6"/>
        <v>19717156150</v>
      </c>
    </row>
    <row r="401" spans="1:9">
      <c r="A401" s="383">
        <v>210980</v>
      </c>
      <c r="B401" s="383" t="s">
        <v>1949</v>
      </c>
      <c r="C401" s="383" t="s">
        <v>1950</v>
      </c>
      <c r="D401" s="383">
        <v>808</v>
      </c>
      <c r="E401" s="383" t="s">
        <v>496</v>
      </c>
      <c r="F401" s="383">
        <v>6582600</v>
      </c>
      <c r="G401" s="383"/>
      <c r="H401" s="383">
        <v>10</v>
      </c>
      <c r="I401" s="383">
        <f t="shared" si="6"/>
        <v>65826000</v>
      </c>
    </row>
    <row r="402" spans="1:9">
      <c r="A402" s="383">
        <v>211010</v>
      </c>
      <c r="B402" s="383" t="s">
        <v>1951</v>
      </c>
      <c r="C402" s="383" t="s">
        <v>1952</v>
      </c>
      <c r="D402" s="383">
        <v>808</v>
      </c>
      <c r="E402" s="383" t="s">
        <v>496</v>
      </c>
      <c r="F402" s="383">
        <v>832141809</v>
      </c>
      <c r="G402" s="383"/>
      <c r="H402" s="383">
        <v>10</v>
      </c>
      <c r="I402" s="383">
        <f t="shared" si="6"/>
        <v>8321418090</v>
      </c>
    </row>
    <row r="403" spans="1:9">
      <c r="A403" s="383">
        <v>211011</v>
      </c>
      <c r="B403" s="383" t="s">
        <v>1953</v>
      </c>
      <c r="C403" s="383" t="s">
        <v>1954</v>
      </c>
      <c r="D403" s="383">
        <v>808</v>
      </c>
      <c r="E403" s="383" t="s">
        <v>496</v>
      </c>
      <c r="F403" s="383">
        <v>44418307</v>
      </c>
      <c r="G403" s="383"/>
      <c r="H403" s="383">
        <v>10</v>
      </c>
      <c r="I403" s="383">
        <f t="shared" si="6"/>
        <v>444183070</v>
      </c>
    </row>
    <row r="404" spans="1:9">
      <c r="A404" s="383">
        <v>211013</v>
      </c>
      <c r="B404" s="383" t="s">
        <v>1955</v>
      </c>
      <c r="C404" s="383" t="s">
        <v>1956</v>
      </c>
      <c r="D404" s="383">
        <v>808</v>
      </c>
      <c r="E404" s="383" t="s">
        <v>496</v>
      </c>
      <c r="F404" s="383">
        <v>2911583</v>
      </c>
      <c r="G404" s="383"/>
      <c r="H404" s="383">
        <v>10</v>
      </c>
      <c r="I404" s="383">
        <f t="shared" si="6"/>
        <v>29115830</v>
      </c>
    </row>
    <row r="405" spans="1:9">
      <c r="A405" s="383">
        <v>211014</v>
      </c>
      <c r="B405" s="383" t="s">
        <v>1957</v>
      </c>
      <c r="C405" s="383" t="s">
        <v>1958</v>
      </c>
      <c r="D405" s="383">
        <v>808</v>
      </c>
      <c r="E405" s="383" t="s">
        <v>496</v>
      </c>
      <c r="F405" s="383">
        <v>297011427</v>
      </c>
      <c r="G405" s="383"/>
      <c r="H405" s="383">
        <v>10</v>
      </c>
      <c r="I405" s="383">
        <f t="shared" si="6"/>
        <v>2970114270</v>
      </c>
    </row>
    <row r="406" spans="1:9">
      <c r="A406" s="383">
        <v>211020</v>
      </c>
      <c r="B406" s="383" t="s">
        <v>1959</v>
      </c>
      <c r="C406" s="383" t="s">
        <v>1960</v>
      </c>
      <c r="D406" s="383">
        <v>808</v>
      </c>
      <c r="E406" s="383" t="s">
        <v>496</v>
      </c>
      <c r="F406" s="383">
        <v>11472529</v>
      </c>
      <c r="G406" s="383"/>
      <c r="H406" s="383">
        <v>10</v>
      </c>
      <c r="I406" s="383">
        <f t="shared" si="6"/>
        <v>114725290</v>
      </c>
    </row>
    <row r="407" spans="1:9">
      <c r="A407" s="383">
        <v>211030</v>
      </c>
      <c r="B407" s="383" t="s">
        <v>1961</v>
      </c>
      <c r="C407" s="383" t="s">
        <v>1962</v>
      </c>
      <c r="D407" s="383">
        <v>808</v>
      </c>
      <c r="E407" s="383" t="s">
        <v>496</v>
      </c>
      <c r="F407" s="383">
        <v>10764000</v>
      </c>
      <c r="G407" s="383"/>
      <c r="H407" s="383">
        <v>10</v>
      </c>
      <c r="I407" s="383">
        <f t="shared" si="6"/>
        <v>107640000</v>
      </c>
    </row>
    <row r="408" spans="1:9">
      <c r="A408" s="383">
        <v>211035</v>
      </c>
      <c r="B408" s="383" t="s">
        <v>1963</v>
      </c>
      <c r="C408" s="383" t="s">
        <v>1964</v>
      </c>
      <c r="D408" s="383">
        <v>808</v>
      </c>
      <c r="E408" s="383" t="s">
        <v>496</v>
      </c>
      <c r="F408" s="383">
        <v>315733860</v>
      </c>
      <c r="G408" s="383"/>
      <c r="H408" s="383">
        <v>10</v>
      </c>
      <c r="I408" s="383">
        <f t="shared" si="6"/>
        <v>3157338600</v>
      </c>
    </row>
    <row r="409" spans="1:9">
      <c r="A409" s="383">
        <v>211040</v>
      </c>
      <c r="B409" s="383" t="s">
        <v>1965</v>
      </c>
      <c r="C409" s="383" t="s">
        <v>507</v>
      </c>
      <c r="D409" s="383">
        <v>808</v>
      </c>
      <c r="E409" s="383" t="s">
        <v>496</v>
      </c>
      <c r="F409" s="383">
        <v>77632491</v>
      </c>
      <c r="G409" s="383"/>
      <c r="H409" s="383">
        <v>10</v>
      </c>
      <c r="I409" s="383">
        <f t="shared" si="6"/>
        <v>776324910</v>
      </c>
    </row>
    <row r="410" spans="1:9">
      <c r="A410" s="383">
        <v>211050</v>
      </c>
      <c r="B410" s="383" t="s">
        <v>1966</v>
      </c>
      <c r="C410" s="383" t="s">
        <v>1967</v>
      </c>
      <c r="D410" s="383">
        <v>808</v>
      </c>
      <c r="E410" s="383" t="s">
        <v>496</v>
      </c>
      <c r="F410" s="383">
        <v>10000000</v>
      </c>
      <c r="G410" s="383"/>
      <c r="H410" s="383">
        <v>10</v>
      </c>
      <c r="I410" s="383">
        <f t="shared" si="6"/>
        <v>100000000</v>
      </c>
    </row>
    <row r="411" spans="1:9">
      <c r="A411" s="383">
        <v>211080</v>
      </c>
      <c r="B411" s="383" t="s">
        <v>1968</v>
      </c>
      <c r="C411" s="383" t="s">
        <v>1969</v>
      </c>
      <c r="D411" s="383">
        <v>808</v>
      </c>
      <c r="E411" s="383" t="s">
        <v>496</v>
      </c>
      <c r="F411" s="383">
        <v>55484300</v>
      </c>
      <c r="G411" s="383"/>
      <c r="H411" s="383">
        <v>10</v>
      </c>
      <c r="I411" s="383">
        <f t="shared" si="6"/>
        <v>554843000</v>
      </c>
    </row>
    <row r="412" spans="1:9">
      <c r="A412" s="383">
        <v>211100</v>
      </c>
      <c r="B412" s="383" t="s">
        <v>1970</v>
      </c>
      <c r="C412" s="383" t="s">
        <v>1040</v>
      </c>
      <c r="D412" s="383">
        <v>808</v>
      </c>
      <c r="E412" s="383" t="s">
        <v>496</v>
      </c>
      <c r="F412" s="383">
        <v>119892600</v>
      </c>
      <c r="G412" s="383"/>
      <c r="H412" s="383">
        <v>10</v>
      </c>
      <c r="I412" s="383">
        <f t="shared" si="6"/>
        <v>1198926000</v>
      </c>
    </row>
    <row r="413" spans="1:9">
      <c r="A413" s="383">
        <v>211110</v>
      </c>
      <c r="B413" s="383" t="s">
        <v>1971</v>
      </c>
      <c r="C413" s="383" t="s">
        <v>1161</v>
      </c>
      <c r="D413" s="383">
        <v>808</v>
      </c>
      <c r="E413" s="383" t="s">
        <v>496</v>
      </c>
      <c r="F413" s="383">
        <v>435000000</v>
      </c>
      <c r="G413" s="383"/>
      <c r="H413" s="383">
        <v>10</v>
      </c>
      <c r="I413" s="383">
        <f t="shared" si="6"/>
        <v>4350000000</v>
      </c>
    </row>
    <row r="414" spans="1:9">
      <c r="A414" s="383">
        <v>211115</v>
      </c>
      <c r="B414" s="383" t="s">
        <v>1972</v>
      </c>
      <c r="C414" s="383" t="s">
        <v>1162</v>
      </c>
      <c r="D414" s="383">
        <v>808</v>
      </c>
      <c r="E414" s="383" t="s">
        <v>496</v>
      </c>
      <c r="F414" s="383">
        <v>131221240</v>
      </c>
      <c r="G414" s="383"/>
      <c r="H414" s="383">
        <v>10</v>
      </c>
      <c r="I414" s="383">
        <f t="shared" si="6"/>
        <v>1312212400</v>
      </c>
    </row>
    <row r="415" spans="1:9">
      <c r="A415" s="383">
        <v>211140</v>
      </c>
      <c r="B415" s="383" t="s">
        <v>1973</v>
      </c>
      <c r="C415" s="383" t="s">
        <v>1974</v>
      </c>
      <c r="D415" s="383">
        <v>808</v>
      </c>
      <c r="E415" s="383" t="s">
        <v>496</v>
      </c>
      <c r="F415" s="383">
        <v>13200000</v>
      </c>
      <c r="G415" s="383"/>
      <c r="H415" s="383">
        <v>10</v>
      </c>
      <c r="I415" s="383">
        <f t="shared" si="6"/>
        <v>132000000</v>
      </c>
    </row>
    <row r="416" spans="1:9">
      <c r="A416" s="383">
        <v>211145</v>
      </c>
      <c r="B416" s="383" t="s">
        <v>1975</v>
      </c>
      <c r="C416" s="383" t="s">
        <v>1976</v>
      </c>
      <c r="D416" s="383">
        <v>808</v>
      </c>
      <c r="E416" s="383" t="s">
        <v>496</v>
      </c>
      <c r="F416" s="383">
        <v>251599650</v>
      </c>
      <c r="G416" s="383"/>
      <c r="H416" s="383">
        <v>10</v>
      </c>
      <c r="I416" s="383">
        <f t="shared" si="6"/>
        <v>2515996500</v>
      </c>
    </row>
    <row r="417" spans="1:9">
      <c r="A417" s="383">
        <v>211160</v>
      </c>
      <c r="B417" s="383" t="s">
        <v>1977</v>
      </c>
      <c r="C417" s="383" t="s">
        <v>1978</v>
      </c>
      <c r="D417" s="383">
        <v>808</v>
      </c>
      <c r="E417" s="383" t="s">
        <v>496</v>
      </c>
      <c r="F417" s="383">
        <v>30977500</v>
      </c>
      <c r="G417" s="383"/>
      <c r="H417" s="383">
        <v>10</v>
      </c>
      <c r="I417" s="383">
        <f t="shared" si="6"/>
        <v>309775000</v>
      </c>
    </row>
    <row r="418" spans="1:9">
      <c r="A418" s="383">
        <v>211200</v>
      </c>
      <c r="B418" s="383" t="s">
        <v>1979</v>
      </c>
      <c r="C418" s="383" t="s">
        <v>1980</v>
      </c>
      <c r="D418" s="383">
        <v>808</v>
      </c>
      <c r="E418" s="383" t="s">
        <v>496</v>
      </c>
      <c r="F418" s="383">
        <v>5690200</v>
      </c>
      <c r="G418" s="383"/>
      <c r="H418" s="383">
        <v>10</v>
      </c>
      <c r="I418" s="383">
        <f t="shared" si="6"/>
        <v>56902000</v>
      </c>
    </row>
    <row r="419" spans="1:9">
      <c r="A419" s="383">
        <v>211220</v>
      </c>
      <c r="B419" s="383" t="s">
        <v>1981</v>
      </c>
      <c r="C419" s="383" t="s">
        <v>1982</v>
      </c>
      <c r="D419" s="383">
        <v>808</v>
      </c>
      <c r="E419" s="383" t="s">
        <v>496</v>
      </c>
      <c r="F419" s="383">
        <v>1771800</v>
      </c>
      <c r="G419" s="383"/>
      <c r="H419" s="383">
        <v>10</v>
      </c>
      <c r="I419" s="383">
        <f t="shared" si="6"/>
        <v>17718000</v>
      </c>
    </row>
    <row r="420" spans="1:9">
      <c r="A420" s="383">
        <v>221020</v>
      </c>
      <c r="B420" s="383" t="s">
        <v>1983</v>
      </c>
      <c r="C420" s="383" t="s">
        <v>1984</v>
      </c>
      <c r="D420" s="383">
        <v>801</v>
      </c>
      <c r="E420" s="383" t="s">
        <v>986</v>
      </c>
      <c r="F420" s="383">
        <v>57964201</v>
      </c>
      <c r="G420" s="383"/>
      <c r="H420" s="383">
        <v>5</v>
      </c>
      <c r="I420" s="383">
        <f t="shared" si="6"/>
        <v>289821005</v>
      </c>
    </row>
    <row r="421" spans="1:9">
      <c r="A421" s="383">
        <v>221100</v>
      </c>
      <c r="B421" s="383" t="s">
        <v>1985</v>
      </c>
      <c r="C421" s="383" t="s">
        <v>1986</v>
      </c>
      <c r="D421" s="383">
        <v>801</v>
      </c>
      <c r="E421" s="383" t="s">
        <v>986</v>
      </c>
      <c r="F421" s="383">
        <v>103406613</v>
      </c>
      <c r="G421" s="383"/>
      <c r="H421" s="383">
        <v>10</v>
      </c>
      <c r="I421" s="383">
        <f t="shared" si="6"/>
        <v>1034066130</v>
      </c>
    </row>
    <row r="422" spans="1:9">
      <c r="A422" s="383">
        <v>221150</v>
      </c>
      <c r="B422" s="383" t="s">
        <v>1987</v>
      </c>
      <c r="C422" s="383" t="s">
        <v>1988</v>
      </c>
      <c r="D422" s="383">
        <v>801</v>
      </c>
      <c r="E422" s="383" t="s">
        <v>986</v>
      </c>
      <c r="F422" s="383">
        <v>138735242</v>
      </c>
      <c r="G422" s="383"/>
      <c r="H422" s="383">
        <v>10</v>
      </c>
      <c r="I422" s="383">
        <f t="shared" si="6"/>
        <v>1387352420</v>
      </c>
    </row>
    <row r="423" spans="1:9">
      <c r="A423" s="383">
        <v>221160</v>
      </c>
      <c r="B423" s="383" t="s">
        <v>1989</v>
      </c>
      <c r="C423" s="383" t="s">
        <v>1990</v>
      </c>
      <c r="D423" s="383">
        <v>801</v>
      </c>
      <c r="E423" s="383" t="s">
        <v>986</v>
      </c>
      <c r="F423" s="383">
        <v>50000000</v>
      </c>
      <c r="G423" s="383"/>
      <c r="H423" s="383">
        <v>10</v>
      </c>
      <c r="I423" s="383">
        <f t="shared" si="6"/>
        <v>500000000</v>
      </c>
    </row>
    <row r="424" spans="1:9">
      <c r="A424" s="383">
        <v>221175</v>
      </c>
      <c r="B424" s="383" t="s">
        <v>1991</v>
      </c>
      <c r="C424" s="383" t="s">
        <v>1992</v>
      </c>
      <c r="D424" s="383">
        <v>801</v>
      </c>
      <c r="E424" s="383" t="s">
        <v>986</v>
      </c>
      <c r="F424" s="383">
        <v>21304422</v>
      </c>
      <c r="G424" s="383"/>
      <c r="H424" s="383">
        <v>10</v>
      </c>
      <c r="I424" s="383">
        <f t="shared" si="6"/>
        <v>213044220</v>
      </c>
    </row>
    <row r="425" spans="1:9">
      <c r="A425" s="383">
        <v>221190</v>
      </c>
      <c r="B425" s="383" t="s">
        <v>1993</v>
      </c>
      <c r="C425" s="383" t="s">
        <v>490</v>
      </c>
      <c r="D425" s="383">
        <v>801</v>
      </c>
      <c r="E425" s="383" t="s">
        <v>986</v>
      </c>
      <c r="F425" s="383">
        <v>45002500</v>
      </c>
      <c r="G425" s="383"/>
      <c r="H425" s="383">
        <v>10</v>
      </c>
      <c r="I425" s="383">
        <f t="shared" si="6"/>
        <v>450025000</v>
      </c>
    </row>
    <row r="426" spans="1:9">
      <c r="A426" s="383">
        <v>221200</v>
      </c>
      <c r="B426" s="383" t="s">
        <v>1994</v>
      </c>
      <c r="C426" s="383" t="s">
        <v>1995</v>
      </c>
      <c r="D426" s="383">
        <v>801</v>
      </c>
      <c r="E426" s="383" t="s">
        <v>986</v>
      </c>
      <c r="F426" s="383">
        <v>12400600</v>
      </c>
      <c r="G426" s="383"/>
      <c r="H426" s="383">
        <v>10</v>
      </c>
      <c r="I426" s="383">
        <f t="shared" si="6"/>
        <v>124006000</v>
      </c>
    </row>
    <row r="427" spans="1:9">
      <c r="A427" s="383">
        <v>221205</v>
      </c>
      <c r="B427" s="383" t="s">
        <v>1996</v>
      </c>
      <c r="C427" s="383" t="s">
        <v>492</v>
      </c>
      <c r="D427" s="383">
        <v>801</v>
      </c>
      <c r="E427" s="383" t="s">
        <v>986</v>
      </c>
      <c r="F427" s="383">
        <v>142800000</v>
      </c>
      <c r="G427" s="383"/>
      <c r="H427" s="383">
        <v>10</v>
      </c>
      <c r="I427" s="383">
        <f t="shared" si="6"/>
        <v>1428000000</v>
      </c>
    </row>
    <row r="428" spans="1:9">
      <c r="A428" s="383">
        <v>221210</v>
      </c>
      <c r="B428" s="383" t="s">
        <v>1997</v>
      </c>
      <c r="C428" s="383" t="s">
        <v>337</v>
      </c>
      <c r="D428" s="383">
        <v>801</v>
      </c>
      <c r="E428" s="383" t="s">
        <v>986</v>
      </c>
      <c r="F428" s="383">
        <v>78600000</v>
      </c>
      <c r="G428" s="383"/>
      <c r="H428" s="383">
        <v>10</v>
      </c>
      <c r="I428" s="383">
        <f t="shared" si="6"/>
        <v>786000000</v>
      </c>
    </row>
    <row r="429" spans="1:9">
      <c r="A429" s="383">
        <v>221220</v>
      </c>
      <c r="B429" s="383" t="s">
        <v>1998</v>
      </c>
      <c r="C429" s="383" t="s">
        <v>1999</v>
      </c>
      <c r="D429" s="383">
        <v>801</v>
      </c>
      <c r="E429" s="383" t="s">
        <v>986</v>
      </c>
      <c r="F429" s="383">
        <v>44292541</v>
      </c>
      <c r="G429" s="383"/>
      <c r="H429" s="383">
        <v>10</v>
      </c>
      <c r="I429" s="383">
        <f t="shared" si="6"/>
        <v>442925410</v>
      </c>
    </row>
    <row r="430" spans="1:9">
      <c r="A430" s="383">
        <v>221260</v>
      </c>
      <c r="B430" s="383" t="s">
        <v>2000</v>
      </c>
      <c r="C430" s="383" t="s">
        <v>0</v>
      </c>
      <c r="D430" s="383">
        <v>801</v>
      </c>
      <c r="E430" s="383" t="s">
        <v>986</v>
      </c>
      <c r="F430" s="383">
        <v>82299851</v>
      </c>
      <c r="G430" s="383"/>
      <c r="H430" s="383">
        <v>10</v>
      </c>
      <c r="I430" s="383">
        <f t="shared" si="6"/>
        <v>822998510</v>
      </c>
    </row>
    <row r="431" spans="1:9">
      <c r="A431" s="383">
        <v>221270</v>
      </c>
      <c r="B431" s="383" t="s">
        <v>2001</v>
      </c>
      <c r="C431" s="383" t="s">
        <v>491</v>
      </c>
      <c r="D431" s="383">
        <v>801</v>
      </c>
      <c r="E431" s="383" t="s">
        <v>986</v>
      </c>
      <c r="F431" s="383">
        <v>21566841</v>
      </c>
      <c r="G431" s="383"/>
      <c r="H431" s="383">
        <v>10</v>
      </c>
      <c r="I431" s="383">
        <f t="shared" si="6"/>
        <v>215668410</v>
      </c>
    </row>
    <row r="432" spans="1:9">
      <c r="A432" s="383">
        <v>231000</v>
      </c>
      <c r="B432" s="383" t="s">
        <v>2002</v>
      </c>
      <c r="C432" s="383" t="s">
        <v>2003</v>
      </c>
      <c r="D432" s="383">
        <v>802</v>
      </c>
      <c r="E432" s="383" t="s">
        <v>1777</v>
      </c>
      <c r="F432" s="383">
        <v>28800000</v>
      </c>
      <c r="G432" s="383"/>
      <c r="H432" s="383">
        <v>5</v>
      </c>
      <c r="I432" s="383">
        <f t="shared" si="6"/>
        <v>144000000</v>
      </c>
    </row>
    <row r="433" spans="1:9">
      <c r="A433" s="383">
        <v>231040</v>
      </c>
      <c r="B433" s="383" t="s">
        <v>2004</v>
      </c>
      <c r="C433" s="383" t="s">
        <v>2005</v>
      </c>
      <c r="D433" s="383">
        <v>802</v>
      </c>
      <c r="E433" s="383" t="s">
        <v>1777</v>
      </c>
      <c r="F433" s="383">
        <v>21400000</v>
      </c>
      <c r="G433" s="383"/>
      <c r="H433" s="383">
        <v>10</v>
      </c>
      <c r="I433" s="383">
        <f t="shared" si="6"/>
        <v>214000000</v>
      </c>
    </row>
    <row r="434" spans="1:9">
      <c r="A434" s="383">
        <v>231080</v>
      </c>
      <c r="B434" s="383" t="s">
        <v>2006</v>
      </c>
      <c r="C434" s="383" t="s">
        <v>2007</v>
      </c>
      <c r="D434" s="383">
        <v>802</v>
      </c>
      <c r="E434" s="383" t="s">
        <v>1777</v>
      </c>
      <c r="F434" s="383">
        <v>17399769</v>
      </c>
      <c r="G434" s="383"/>
      <c r="H434" s="383">
        <v>10</v>
      </c>
      <c r="I434" s="383">
        <f t="shared" si="6"/>
        <v>173997690</v>
      </c>
    </row>
    <row r="435" spans="1:9">
      <c r="A435" s="383">
        <v>231130</v>
      </c>
      <c r="B435" s="383" t="s">
        <v>2008</v>
      </c>
      <c r="C435" s="383" t="s">
        <v>489</v>
      </c>
      <c r="D435" s="383">
        <v>802</v>
      </c>
      <c r="E435" s="383" t="s">
        <v>1777</v>
      </c>
      <c r="F435" s="383">
        <v>13334250</v>
      </c>
      <c r="G435" s="383"/>
      <c r="H435" s="383">
        <v>10</v>
      </c>
      <c r="I435" s="383">
        <f t="shared" si="6"/>
        <v>133342500</v>
      </c>
    </row>
    <row r="436" spans="1:9">
      <c r="A436" s="383">
        <v>231135</v>
      </c>
      <c r="B436" s="383" t="s">
        <v>2009</v>
      </c>
      <c r="C436" s="383" t="s">
        <v>2010</v>
      </c>
      <c r="D436" s="383">
        <v>802</v>
      </c>
      <c r="E436" s="383" t="s">
        <v>1777</v>
      </c>
      <c r="F436" s="383">
        <v>5800000</v>
      </c>
      <c r="G436" s="383"/>
      <c r="H436" s="383">
        <v>10</v>
      </c>
      <c r="I436" s="383">
        <f t="shared" si="6"/>
        <v>58000000</v>
      </c>
    </row>
    <row r="437" spans="1:9">
      <c r="A437" s="383">
        <v>231160</v>
      </c>
      <c r="B437" s="383" t="s">
        <v>2011</v>
      </c>
      <c r="C437" s="383" t="s">
        <v>2012</v>
      </c>
      <c r="D437" s="383">
        <v>802</v>
      </c>
      <c r="E437" s="383" t="s">
        <v>1777</v>
      </c>
      <c r="F437" s="383">
        <v>7768618</v>
      </c>
      <c r="G437" s="383"/>
      <c r="H437" s="383">
        <v>10</v>
      </c>
      <c r="I437" s="383">
        <f t="shared" si="6"/>
        <v>77686180</v>
      </c>
    </row>
    <row r="438" spans="1:9">
      <c r="A438" s="383">
        <v>231170</v>
      </c>
      <c r="B438" s="383" t="s">
        <v>2013</v>
      </c>
      <c r="C438" s="383" t="s">
        <v>2014</v>
      </c>
      <c r="D438" s="383">
        <v>802</v>
      </c>
      <c r="E438" s="383" t="s">
        <v>1777</v>
      </c>
      <c r="F438" s="383">
        <v>59771250</v>
      </c>
      <c r="G438" s="383"/>
      <c r="H438" s="383">
        <v>10</v>
      </c>
      <c r="I438" s="383">
        <f t="shared" si="6"/>
        <v>597712500</v>
      </c>
    </row>
    <row r="439" spans="1:9">
      <c r="A439" s="383">
        <v>231175</v>
      </c>
      <c r="B439" s="383" t="s">
        <v>2015</v>
      </c>
      <c r="C439" s="383" t="s">
        <v>2016</v>
      </c>
      <c r="D439" s="383">
        <v>802</v>
      </c>
      <c r="E439" s="383" t="s">
        <v>1777</v>
      </c>
      <c r="F439" s="383">
        <v>151250000</v>
      </c>
      <c r="G439" s="383"/>
      <c r="H439" s="383">
        <v>10</v>
      </c>
      <c r="I439" s="383">
        <f t="shared" si="6"/>
        <v>1512500000</v>
      </c>
    </row>
    <row r="440" spans="1:9">
      <c r="A440" s="383">
        <v>231280</v>
      </c>
      <c r="B440" s="383" t="s">
        <v>2017</v>
      </c>
      <c r="C440" s="383" t="s">
        <v>2018</v>
      </c>
      <c r="D440" s="383">
        <v>802</v>
      </c>
      <c r="E440" s="383" t="s">
        <v>1777</v>
      </c>
      <c r="F440" s="383">
        <v>11700000</v>
      </c>
      <c r="G440" s="383"/>
      <c r="H440" s="383">
        <v>10</v>
      </c>
      <c r="I440" s="383">
        <f t="shared" si="6"/>
        <v>117000000</v>
      </c>
    </row>
    <row r="441" spans="1:9">
      <c r="A441" s="383">
        <v>241030</v>
      </c>
      <c r="B441" s="383" t="s">
        <v>2019</v>
      </c>
      <c r="C441" s="383" t="s">
        <v>2020</v>
      </c>
      <c r="D441" s="383">
        <v>803</v>
      </c>
      <c r="E441" s="383" t="s">
        <v>2021</v>
      </c>
      <c r="F441" s="383">
        <v>3312000</v>
      </c>
      <c r="G441" s="383"/>
      <c r="H441" s="383">
        <v>10</v>
      </c>
      <c r="I441" s="383">
        <f t="shared" si="6"/>
        <v>33120000</v>
      </c>
    </row>
    <row r="442" spans="1:9">
      <c r="A442" s="383">
        <v>241080</v>
      </c>
      <c r="B442" s="383" t="s">
        <v>2022</v>
      </c>
      <c r="C442" s="383" t="s">
        <v>2023</v>
      </c>
      <c r="D442" s="383">
        <v>803</v>
      </c>
      <c r="E442" s="383" t="s">
        <v>2021</v>
      </c>
      <c r="F442" s="383">
        <v>5450000</v>
      </c>
      <c r="G442" s="383"/>
      <c r="H442" s="383">
        <v>10</v>
      </c>
      <c r="I442" s="383">
        <f t="shared" si="6"/>
        <v>54500000</v>
      </c>
    </row>
    <row r="443" spans="1:9">
      <c r="A443" s="383">
        <v>241100</v>
      </c>
      <c r="B443" s="383" t="s">
        <v>2024</v>
      </c>
      <c r="C443" s="383" t="s">
        <v>2025</v>
      </c>
      <c r="D443" s="383">
        <v>803</v>
      </c>
      <c r="E443" s="383" t="s">
        <v>2021</v>
      </c>
      <c r="F443" s="383">
        <v>28462376</v>
      </c>
      <c r="G443" s="383"/>
      <c r="H443" s="383">
        <v>10</v>
      </c>
      <c r="I443" s="383">
        <f t="shared" si="6"/>
        <v>284623760</v>
      </c>
    </row>
    <row r="444" spans="1:9">
      <c r="A444" s="383">
        <v>241120</v>
      </c>
      <c r="B444" s="383" t="s">
        <v>2026</v>
      </c>
      <c r="C444" s="383" t="s">
        <v>495</v>
      </c>
      <c r="D444" s="383">
        <v>803</v>
      </c>
      <c r="E444" s="383" t="s">
        <v>2021</v>
      </c>
      <c r="F444" s="383">
        <v>497681485</v>
      </c>
      <c r="G444" s="383"/>
      <c r="H444" s="383">
        <v>10</v>
      </c>
      <c r="I444" s="383">
        <f t="shared" si="6"/>
        <v>4976814850</v>
      </c>
    </row>
    <row r="445" spans="1:9">
      <c r="A445" s="383">
        <v>241125</v>
      </c>
      <c r="B445" s="383" t="s">
        <v>2027</v>
      </c>
      <c r="C445" s="383" t="s">
        <v>2028</v>
      </c>
      <c r="D445" s="383">
        <v>803</v>
      </c>
      <c r="E445" s="383" t="s">
        <v>2021</v>
      </c>
      <c r="F445" s="383">
        <v>44957592</v>
      </c>
      <c r="G445" s="383"/>
      <c r="H445" s="383">
        <v>10</v>
      </c>
      <c r="I445" s="383">
        <f t="shared" si="6"/>
        <v>449575920</v>
      </c>
    </row>
    <row r="446" spans="1:9">
      <c r="A446" s="383">
        <v>241150</v>
      </c>
      <c r="B446" s="383" t="s">
        <v>2029</v>
      </c>
      <c r="C446" s="383" t="s">
        <v>2030</v>
      </c>
      <c r="D446" s="383">
        <v>803</v>
      </c>
      <c r="E446" s="383" t="s">
        <v>2021</v>
      </c>
      <c r="F446" s="383">
        <v>217248963</v>
      </c>
      <c r="G446" s="383"/>
      <c r="H446" s="383">
        <v>10</v>
      </c>
      <c r="I446" s="383">
        <f t="shared" si="6"/>
        <v>2172489630</v>
      </c>
    </row>
    <row r="447" spans="1:9">
      <c r="A447" s="383">
        <v>241170</v>
      </c>
      <c r="B447" s="383" t="s">
        <v>2031</v>
      </c>
      <c r="C447" s="383" t="s">
        <v>340</v>
      </c>
      <c r="D447" s="383">
        <v>828</v>
      </c>
      <c r="E447" s="383" t="s">
        <v>2032</v>
      </c>
      <c r="F447" s="383">
        <v>132124125</v>
      </c>
      <c r="G447" s="383"/>
      <c r="H447" s="383">
        <v>10</v>
      </c>
      <c r="I447" s="383">
        <f t="shared" si="6"/>
        <v>1321241250</v>
      </c>
    </row>
    <row r="448" spans="1:9">
      <c r="A448" s="383">
        <v>241220</v>
      </c>
      <c r="B448" s="383" t="s">
        <v>2033</v>
      </c>
      <c r="C448" s="383" t="s">
        <v>2034</v>
      </c>
      <c r="D448" s="383">
        <v>803</v>
      </c>
      <c r="E448" s="383" t="s">
        <v>2021</v>
      </c>
      <c r="F448" s="383">
        <v>45405624</v>
      </c>
      <c r="G448" s="383"/>
      <c r="H448" s="383">
        <v>10</v>
      </c>
      <c r="I448" s="383">
        <f t="shared" si="6"/>
        <v>454056240</v>
      </c>
    </row>
    <row r="449" spans="1:9">
      <c r="A449" s="383">
        <v>241240</v>
      </c>
      <c r="B449" s="383" t="s">
        <v>2035</v>
      </c>
      <c r="C449" s="383" t="s">
        <v>2036</v>
      </c>
      <c r="D449" s="383">
        <v>803</v>
      </c>
      <c r="E449" s="383" t="s">
        <v>2021</v>
      </c>
      <c r="F449" s="383">
        <v>8247037</v>
      </c>
      <c r="G449" s="383"/>
      <c r="H449" s="383">
        <v>10</v>
      </c>
      <c r="I449" s="383">
        <f t="shared" si="6"/>
        <v>82470370</v>
      </c>
    </row>
    <row r="450" spans="1:9">
      <c r="A450" s="383">
        <v>241250</v>
      </c>
      <c r="B450" s="383" t="s">
        <v>2037</v>
      </c>
      <c r="C450" s="383" t="s">
        <v>2038</v>
      </c>
      <c r="D450" s="383">
        <v>818</v>
      </c>
      <c r="E450" s="383" t="s">
        <v>2039</v>
      </c>
      <c r="F450" s="383">
        <v>85085000</v>
      </c>
      <c r="G450" s="383"/>
      <c r="H450" s="383">
        <v>10</v>
      </c>
      <c r="I450" s="383">
        <f t="shared" si="6"/>
        <v>850850000</v>
      </c>
    </row>
    <row r="451" spans="1:9">
      <c r="A451" s="383">
        <v>251000</v>
      </c>
      <c r="B451" s="383" t="s">
        <v>2040</v>
      </c>
      <c r="C451" s="383" t="s">
        <v>2041</v>
      </c>
      <c r="D451" s="383">
        <v>833</v>
      </c>
      <c r="E451" s="383" t="s">
        <v>2042</v>
      </c>
      <c r="F451" s="383">
        <v>132063360</v>
      </c>
      <c r="G451" s="383"/>
      <c r="H451" s="383">
        <v>10</v>
      </c>
      <c r="I451" s="383">
        <f t="shared" ref="I451:I514" si="7">F451*H451</f>
        <v>1320633600</v>
      </c>
    </row>
    <row r="452" spans="1:9">
      <c r="A452" s="383">
        <v>251010</v>
      </c>
      <c r="B452" s="383" t="s">
        <v>2043</v>
      </c>
      <c r="C452" s="383" t="s">
        <v>2044</v>
      </c>
      <c r="D452" s="383">
        <v>833</v>
      </c>
      <c r="E452" s="383" t="s">
        <v>2042</v>
      </c>
      <c r="F452" s="383">
        <v>1485995900</v>
      </c>
      <c r="G452" s="383"/>
      <c r="H452" s="383">
        <v>10</v>
      </c>
      <c r="I452" s="383">
        <f t="shared" si="7"/>
        <v>14859959000</v>
      </c>
    </row>
    <row r="453" spans="1:9">
      <c r="A453" s="383">
        <v>251020</v>
      </c>
      <c r="B453" s="383" t="s">
        <v>2045</v>
      </c>
      <c r="C453" s="383" t="s">
        <v>2046</v>
      </c>
      <c r="D453" s="383">
        <v>833</v>
      </c>
      <c r="E453" s="383" t="s">
        <v>2042</v>
      </c>
      <c r="F453" s="383">
        <v>109153152</v>
      </c>
      <c r="G453" s="383"/>
      <c r="H453" s="383">
        <v>10</v>
      </c>
      <c r="I453" s="383">
        <f t="shared" si="7"/>
        <v>1091531520</v>
      </c>
    </row>
    <row r="454" spans="1:9">
      <c r="A454" s="383">
        <v>251040</v>
      </c>
      <c r="B454" s="383" t="s">
        <v>2047</v>
      </c>
      <c r="C454" s="383" t="s">
        <v>2048</v>
      </c>
      <c r="D454" s="383">
        <v>833</v>
      </c>
      <c r="E454" s="383" t="s">
        <v>2042</v>
      </c>
      <c r="F454" s="383">
        <v>2877217467</v>
      </c>
      <c r="G454" s="383"/>
      <c r="H454" s="383">
        <v>10</v>
      </c>
      <c r="I454" s="383">
        <f t="shared" si="7"/>
        <v>28772174670</v>
      </c>
    </row>
    <row r="455" spans="1:9">
      <c r="A455" s="383">
        <v>251060</v>
      </c>
      <c r="B455" s="383" t="s">
        <v>2049</v>
      </c>
      <c r="C455" s="383" t="s">
        <v>2048</v>
      </c>
      <c r="D455" s="383">
        <v>833</v>
      </c>
      <c r="E455" s="383" t="s">
        <v>2042</v>
      </c>
      <c r="F455" s="383">
        <v>1500000</v>
      </c>
      <c r="G455" s="383"/>
      <c r="H455" s="383">
        <v>10</v>
      </c>
      <c r="I455" s="383">
        <f t="shared" si="7"/>
        <v>15000000</v>
      </c>
    </row>
    <row r="456" spans="1:9">
      <c r="A456" s="383">
        <v>261008</v>
      </c>
      <c r="B456" s="383" t="s">
        <v>2050</v>
      </c>
      <c r="C456" s="383" t="s">
        <v>1169</v>
      </c>
      <c r="D456" s="383">
        <v>828</v>
      </c>
      <c r="E456" s="383" t="s">
        <v>2032</v>
      </c>
      <c r="F456" s="383">
        <v>945000000</v>
      </c>
      <c r="G456" s="383"/>
      <c r="H456" s="383">
        <v>1</v>
      </c>
      <c r="I456" s="383">
        <f t="shared" si="7"/>
        <v>945000000</v>
      </c>
    </row>
    <row r="457" spans="1:9">
      <c r="A457" s="383">
        <v>261009</v>
      </c>
      <c r="B457" s="383" t="s">
        <v>2051</v>
      </c>
      <c r="C457" s="383" t="s">
        <v>2052</v>
      </c>
      <c r="D457" s="383">
        <v>828</v>
      </c>
      <c r="E457" s="383" t="s">
        <v>2032</v>
      </c>
      <c r="F457" s="383">
        <v>89685923</v>
      </c>
      <c r="G457" s="383"/>
      <c r="H457" s="383">
        <v>10</v>
      </c>
      <c r="I457" s="383">
        <f t="shared" si="7"/>
        <v>896859230</v>
      </c>
    </row>
    <row r="458" spans="1:9">
      <c r="A458" s="383">
        <v>261010</v>
      </c>
      <c r="B458" s="383" t="s">
        <v>2053</v>
      </c>
      <c r="C458" s="383" t="s">
        <v>2054</v>
      </c>
      <c r="D458" s="383">
        <v>828</v>
      </c>
      <c r="E458" s="383" t="s">
        <v>2032</v>
      </c>
      <c r="F458" s="383">
        <v>9801000</v>
      </c>
      <c r="G458" s="383"/>
      <c r="H458" s="383">
        <v>10</v>
      </c>
      <c r="I458" s="383">
        <f t="shared" si="7"/>
        <v>98010000</v>
      </c>
    </row>
    <row r="459" spans="1:9">
      <c r="A459" s="383">
        <v>261015</v>
      </c>
      <c r="B459" s="383" t="s">
        <v>2055</v>
      </c>
      <c r="C459" s="383" t="s">
        <v>2056</v>
      </c>
      <c r="D459" s="383">
        <v>828</v>
      </c>
      <c r="E459" s="383" t="s">
        <v>2032</v>
      </c>
      <c r="F459" s="383">
        <v>178851010</v>
      </c>
      <c r="G459" s="383"/>
      <c r="H459" s="383">
        <v>10</v>
      </c>
      <c r="I459" s="383">
        <f t="shared" si="7"/>
        <v>1788510100</v>
      </c>
    </row>
    <row r="460" spans="1:9">
      <c r="A460" s="383">
        <v>261020</v>
      </c>
      <c r="B460" s="383" t="s">
        <v>2057</v>
      </c>
      <c r="C460" s="383" t="s">
        <v>1067</v>
      </c>
      <c r="D460" s="383">
        <v>828</v>
      </c>
      <c r="E460" s="383" t="s">
        <v>2032</v>
      </c>
      <c r="F460" s="383">
        <v>111827652</v>
      </c>
      <c r="G460" s="383"/>
      <c r="H460" s="383">
        <v>10</v>
      </c>
      <c r="I460" s="383">
        <f t="shared" si="7"/>
        <v>1118276520</v>
      </c>
    </row>
    <row r="461" spans="1:9">
      <c r="A461" s="383">
        <v>261070</v>
      </c>
      <c r="B461" s="383" t="s">
        <v>2058</v>
      </c>
      <c r="C461" s="383" t="s">
        <v>2059</v>
      </c>
      <c r="D461" s="383">
        <v>828</v>
      </c>
      <c r="E461" s="383" t="s">
        <v>2032</v>
      </c>
      <c r="F461" s="383">
        <v>3774000000</v>
      </c>
      <c r="G461" s="383"/>
      <c r="H461" s="383">
        <v>10</v>
      </c>
      <c r="I461" s="383">
        <f t="shared" si="7"/>
        <v>37740000000</v>
      </c>
    </row>
    <row r="462" spans="1:9">
      <c r="A462" s="383">
        <v>261073</v>
      </c>
      <c r="B462" s="383" t="s">
        <v>2060</v>
      </c>
      <c r="C462" s="383" t="s">
        <v>2061</v>
      </c>
      <c r="D462" s="383">
        <v>828</v>
      </c>
      <c r="E462" s="383" t="s">
        <v>2032</v>
      </c>
      <c r="F462" s="383">
        <v>545390665</v>
      </c>
      <c r="G462" s="383"/>
      <c r="H462" s="383">
        <v>10</v>
      </c>
      <c r="I462" s="383">
        <f t="shared" si="7"/>
        <v>5453906650</v>
      </c>
    </row>
    <row r="463" spans="1:9">
      <c r="A463" s="383">
        <v>261075</v>
      </c>
      <c r="B463" s="383" t="s">
        <v>2062</v>
      </c>
      <c r="C463" s="383" t="s">
        <v>2063</v>
      </c>
      <c r="D463" s="383">
        <v>828</v>
      </c>
      <c r="E463" s="383" t="s">
        <v>2032</v>
      </c>
      <c r="F463" s="383">
        <v>300000000</v>
      </c>
      <c r="G463" s="383"/>
      <c r="H463" s="383">
        <v>10</v>
      </c>
      <c r="I463" s="383">
        <f t="shared" si="7"/>
        <v>3000000000</v>
      </c>
    </row>
    <row r="464" spans="1:9">
      <c r="A464" s="383">
        <v>261088</v>
      </c>
      <c r="B464" s="383" t="s">
        <v>2064</v>
      </c>
      <c r="C464" s="383" t="s">
        <v>2065</v>
      </c>
      <c r="D464" s="383">
        <v>828</v>
      </c>
      <c r="E464" s="383" t="s">
        <v>2032</v>
      </c>
      <c r="F464" s="383">
        <v>1022742099</v>
      </c>
      <c r="G464" s="383"/>
      <c r="H464" s="383">
        <v>10</v>
      </c>
      <c r="I464" s="383">
        <f t="shared" si="7"/>
        <v>10227420990</v>
      </c>
    </row>
    <row r="465" spans="1:9">
      <c r="A465" s="383">
        <v>271160</v>
      </c>
      <c r="B465" s="383" t="s">
        <v>2066</v>
      </c>
      <c r="C465" s="383" t="s">
        <v>480</v>
      </c>
      <c r="D465" s="383">
        <v>809</v>
      </c>
      <c r="E465" s="383" t="s">
        <v>1287</v>
      </c>
      <c r="F465" s="383">
        <v>481287116</v>
      </c>
      <c r="G465" s="383"/>
      <c r="H465" s="383">
        <v>10</v>
      </c>
      <c r="I465" s="383">
        <f t="shared" si="7"/>
        <v>4812871160</v>
      </c>
    </row>
    <row r="466" spans="1:9">
      <c r="A466" s="383">
        <v>271200</v>
      </c>
      <c r="B466" s="383" t="s">
        <v>2067</v>
      </c>
      <c r="C466" s="383" t="s">
        <v>334</v>
      </c>
      <c r="D466" s="383">
        <v>809</v>
      </c>
      <c r="E466" s="383" t="s">
        <v>1287</v>
      </c>
      <c r="F466" s="383">
        <v>523784755</v>
      </c>
      <c r="G466" s="383"/>
      <c r="H466" s="383">
        <v>10</v>
      </c>
      <c r="I466" s="383">
        <f t="shared" si="7"/>
        <v>5237847550</v>
      </c>
    </row>
    <row r="467" spans="1:9">
      <c r="A467" s="383">
        <v>271202</v>
      </c>
      <c r="B467" s="383" t="s">
        <v>2068</v>
      </c>
      <c r="C467" s="383" t="s">
        <v>479</v>
      </c>
      <c r="D467" s="383">
        <v>809</v>
      </c>
      <c r="E467" s="383" t="s">
        <v>1287</v>
      </c>
      <c r="F467" s="383">
        <v>1335299375</v>
      </c>
      <c r="G467" s="383"/>
      <c r="H467" s="383">
        <v>10</v>
      </c>
      <c r="I467" s="383">
        <f t="shared" si="7"/>
        <v>13352993750</v>
      </c>
    </row>
    <row r="468" spans="1:9">
      <c r="A468" s="383">
        <v>271205</v>
      </c>
      <c r="B468" s="383" t="s">
        <v>2069</v>
      </c>
      <c r="C468" s="383" t="s">
        <v>2070</v>
      </c>
      <c r="D468" s="383">
        <v>809</v>
      </c>
      <c r="E468" s="383" t="s">
        <v>1287</v>
      </c>
      <c r="F468" s="383">
        <v>934110000</v>
      </c>
      <c r="G468" s="383"/>
      <c r="H468" s="383">
        <v>10</v>
      </c>
      <c r="I468" s="383">
        <f t="shared" si="7"/>
        <v>9341100000</v>
      </c>
    </row>
    <row r="469" spans="1:9">
      <c r="A469" s="383">
        <v>271210</v>
      </c>
      <c r="B469" s="383" t="s">
        <v>2071</v>
      </c>
      <c r="C469" s="383" t="s">
        <v>481</v>
      </c>
      <c r="D469" s="383">
        <v>809</v>
      </c>
      <c r="E469" s="383" t="s">
        <v>1287</v>
      </c>
      <c r="F469" s="383">
        <v>1272238147</v>
      </c>
      <c r="G469" s="383"/>
      <c r="H469" s="383">
        <v>10</v>
      </c>
      <c r="I469" s="383">
        <f t="shared" si="7"/>
        <v>12722381470</v>
      </c>
    </row>
    <row r="470" spans="1:9">
      <c r="A470" s="383">
        <v>281000</v>
      </c>
      <c r="B470" s="383" t="s">
        <v>2072</v>
      </c>
      <c r="C470" s="383" t="s">
        <v>2073</v>
      </c>
      <c r="D470" s="383">
        <v>823</v>
      </c>
      <c r="E470" s="383" t="s">
        <v>2074</v>
      </c>
      <c r="F470" s="383">
        <v>97900302</v>
      </c>
      <c r="G470" s="383"/>
      <c r="H470" s="383">
        <v>10</v>
      </c>
      <c r="I470" s="383">
        <f t="shared" si="7"/>
        <v>979003020</v>
      </c>
    </row>
    <row r="471" spans="1:9">
      <c r="A471" s="383">
        <v>281220</v>
      </c>
      <c r="B471" s="383" t="s">
        <v>2075</v>
      </c>
      <c r="C471" s="383" t="s">
        <v>339</v>
      </c>
      <c r="D471" s="383">
        <v>823</v>
      </c>
      <c r="E471" s="383" t="s">
        <v>2074</v>
      </c>
      <c r="F471" s="383">
        <v>30186841</v>
      </c>
      <c r="G471" s="383"/>
      <c r="H471" s="383">
        <v>10</v>
      </c>
      <c r="I471" s="383">
        <f t="shared" si="7"/>
        <v>301868410</v>
      </c>
    </row>
    <row r="472" spans="1:9">
      <c r="A472" s="383">
        <v>281240</v>
      </c>
      <c r="B472" s="383" t="s">
        <v>2076</v>
      </c>
      <c r="C472" s="383" t="s">
        <v>2077</v>
      </c>
      <c r="D472" s="383">
        <v>823</v>
      </c>
      <c r="E472" s="383" t="s">
        <v>2074</v>
      </c>
      <c r="F472" s="383">
        <v>318467278</v>
      </c>
      <c r="G472" s="383"/>
      <c r="H472" s="383">
        <v>10</v>
      </c>
      <c r="I472" s="383">
        <f t="shared" si="7"/>
        <v>3184672780</v>
      </c>
    </row>
    <row r="473" spans="1:9">
      <c r="A473" s="383">
        <v>281245</v>
      </c>
      <c r="B473" s="383" t="s">
        <v>2078</v>
      </c>
      <c r="C473" s="383" t="s">
        <v>2079</v>
      </c>
      <c r="D473" s="383">
        <v>823</v>
      </c>
      <c r="E473" s="383" t="s">
        <v>2074</v>
      </c>
      <c r="F473" s="383">
        <v>95550183</v>
      </c>
      <c r="G473" s="383"/>
      <c r="H473" s="383">
        <v>10</v>
      </c>
      <c r="I473" s="383">
        <f t="shared" si="7"/>
        <v>955501830</v>
      </c>
    </row>
    <row r="474" spans="1:9">
      <c r="A474" s="383">
        <v>281250</v>
      </c>
      <c r="B474" s="383" t="s">
        <v>2080</v>
      </c>
      <c r="C474" s="383" t="s">
        <v>2081</v>
      </c>
      <c r="D474" s="383">
        <v>823</v>
      </c>
      <c r="E474" s="383" t="s">
        <v>2074</v>
      </c>
      <c r="F474" s="383">
        <v>25542317</v>
      </c>
      <c r="G474" s="383"/>
      <c r="H474" s="383">
        <v>10</v>
      </c>
      <c r="I474" s="383">
        <f t="shared" si="7"/>
        <v>255423170</v>
      </c>
    </row>
    <row r="475" spans="1:9">
      <c r="A475" s="383">
        <v>281260</v>
      </c>
      <c r="B475" s="383" t="s">
        <v>2082</v>
      </c>
      <c r="C475" s="383" t="s">
        <v>2083</v>
      </c>
      <c r="D475" s="383">
        <v>823</v>
      </c>
      <c r="E475" s="383" t="s">
        <v>2074</v>
      </c>
      <c r="F475" s="383">
        <v>9644800</v>
      </c>
      <c r="G475" s="383"/>
      <c r="H475" s="383">
        <v>10</v>
      </c>
      <c r="I475" s="383">
        <f t="shared" si="7"/>
        <v>96448000</v>
      </c>
    </row>
    <row r="476" spans="1:9">
      <c r="A476" s="383">
        <v>281360</v>
      </c>
      <c r="B476" s="383" t="s">
        <v>2084</v>
      </c>
      <c r="C476" s="383" t="s">
        <v>2085</v>
      </c>
      <c r="D476" s="383">
        <v>823</v>
      </c>
      <c r="E476" s="383" t="s">
        <v>2074</v>
      </c>
      <c r="F476" s="383">
        <v>12100000</v>
      </c>
      <c r="G476" s="383"/>
      <c r="H476" s="383">
        <v>10</v>
      </c>
      <c r="I476" s="383">
        <f t="shared" si="7"/>
        <v>121000000</v>
      </c>
    </row>
    <row r="477" spans="1:9">
      <c r="A477" s="383">
        <v>281530</v>
      </c>
      <c r="B477" s="383" t="s">
        <v>2086</v>
      </c>
      <c r="C477" s="383" t="s">
        <v>500</v>
      </c>
      <c r="D477" s="383">
        <v>823</v>
      </c>
      <c r="E477" s="383" t="s">
        <v>2074</v>
      </c>
      <c r="F477" s="383">
        <v>184717628</v>
      </c>
      <c r="G477" s="383"/>
      <c r="H477" s="383">
        <v>10</v>
      </c>
      <c r="I477" s="383">
        <f t="shared" si="7"/>
        <v>1847176280</v>
      </c>
    </row>
    <row r="478" spans="1:9">
      <c r="A478" s="383">
        <v>281610</v>
      </c>
      <c r="B478" s="383" t="s">
        <v>2087</v>
      </c>
      <c r="C478" s="383" t="s">
        <v>2088</v>
      </c>
      <c r="D478" s="383">
        <v>823</v>
      </c>
      <c r="E478" s="383" t="s">
        <v>2074</v>
      </c>
      <c r="F478" s="383">
        <v>1421610</v>
      </c>
      <c r="G478" s="383"/>
      <c r="H478" s="383">
        <v>100</v>
      </c>
      <c r="I478" s="383">
        <f t="shared" si="7"/>
        <v>142161000</v>
      </c>
    </row>
    <row r="479" spans="1:9">
      <c r="A479" s="383">
        <v>291020</v>
      </c>
      <c r="B479" s="383" t="s">
        <v>2089</v>
      </c>
      <c r="C479" s="383" t="s">
        <v>2090</v>
      </c>
      <c r="D479" s="383">
        <v>805</v>
      </c>
      <c r="E479" s="383" t="s">
        <v>1744</v>
      </c>
      <c r="F479" s="383">
        <v>7502510</v>
      </c>
      <c r="G479" s="383"/>
      <c r="H479" s="383">
        <v>10</v>
      </c>
      <c r="I479" s="383">
        <f t="shared" si="7"/>
        <v>75025100</v>
      </c>
    </row>
    <row r="480" spans="1:9">
      <c r="A480" s="383">
        <v>291030</v>
      </c>
      <c r="B480" s="383" t="s">
        <v>2091</v>
      </c>
      <c r="C480" s="383" t="s">
        <v>2092</v>
      </c>
      <c r="D480" s="383">
        <v>805</v>
      </c>
      <c r="E480" s="383" t="s">
        <v>1744</v>
      </c>
      <c r="F480" s="383">
        <v>22000000</v>
      </c>
      <c r="G480" s="383"/>
      <c r="H480" s="383">
        <v>10</v>
      </c>
      <c r="I480" s="383">
        <f t="shared" si="7"/>
        <v>220000000</v>
      </c>
    </row>
    <row r="481" spans="1:9">
      <c r="A481" s="383">
        <v>291040</v>
      </c>
      <c r="B481" s="383" t="s">
        <v>2093</v>
      </c>
      <c r="C481" s="383" t="s">
        <v>2094</v>
      </c>
      <c r="D481" s="383">
        <v>805</v>
      </c>
      <c r="E481" s="383" t="s">
        <v>1744</v>
      </c>
      <c r="F481" s="383">
        <v>18186409</v>
      </c>
      <c r="G481" s="383"/>
      <c r="H481" s="383">
        <v>10</v>
      </c>
      <c r="I481" s="383">
        <f t="shared" si="7"/>
        <v>181864090</v>
      </c>
    </row>
    <row r="482" spans="1:9">
      <c r="A482" s="383">
        <v>291080</v>
      </c>
      <c r="B482" s="383" t="s">
        <v>2095</v>
      </c>
      <c r="C482" s="383" t="s">
        <v>2096</v>
      </c>
      <c r="D482" s="383">
        <v>805</v>
      </c>
      <c r="E482" s="383" t="s">
        <v>1744</v>
      </c>
      <c r="F482" s="383">
        <v>1440000</v>
      </c>
      <c r="G482" s="383"/>
      <c r="H482" s="383">
        <v>10</v>
      </c>
      <c r="I482" s="383">
        <f t="shared" si="7"/>
        <v>14400000</v>
      </c>
    </row>
    <row r="483" spans="1:9">
      <c r="A483" s="383">
        <v>291110</v>
      </c>
      <c r="B483" s="383" t="s">
        <v>2097</v>
      </c>
      <c r="C483" s="383" t="s">
        <v>1063</v>
      </c>
      <c r="D483" s="383">
        <v>805</v>
      </c>
      <c r="E483" s="383" t="s">
        <v>1744</v>
      </c>
      <c r="F483" s="383">
        <v>34118229</v>
      </c>
      <c r="G483" s="383"/>
      <c r="H483" s="383">
        <v>10</v>
      </c>
      <c r="I483" s="383">
        <f t="shared" si="7"/>
        <v>341182290</v>
      </c>
    </row>
    <row r="484" spans="1:9">
      <c r="A484" s="383">
        <v>291120</v>
      </c>
      <c r="B484" s="383" t="s">
        <v>2098</v>
      </c>
      <c r="C484" s="383" t="s">
        <v>2099</v>
      </c>
      <c r="D484" s="383">
        <v>805</v>
      </c>
      <c r="E484" s="383" t="s">
        <v>1744</v>
      </c>
      <c r="F484" s="383">
        <v>47954934</v>
      </c>
      <c r="G484" s="383"/>
      <c r="H484" s="383">
        <v>10</v>
      </c>
      <c r="I484" s="383">
        <f t="shared" si="7"/>
        <v>479549340</v>
      </c>
    </row>
    <row r="485" spans="1:9">
      <c r="A485" s="383">
        <v>291130</v>
      </c>
      <c r="B485" s="383" t="s">
        <v>2100</v>
      </c>
      <c r="C485" s="383" t="s">
        <v>2101</v>
      </c>
      <c r="D485" s="383">
        <v>830</v>
      </c>
      <c r="E485" s="383" t="s">
        <v>1438</v>
      </c>
      <c r="F485" s="383">
        <v>498010000</v>
      </c>
      <c r="G485" s="383"/>
      <c r="H485" s="383">
        <v>10</v>
      </c>
      <c r="I485" s="383">
        <f t="shared" si="7"/>
        <v>4980100000</v>
      </c>
    </row>
    <row r="486" spans="1:9">
      <c r="A486" s="383">
        <v>291140</v>
      </c>
      <c r="B486" s="383" t="s">
        <v>2102</v>
      </c>
      <c r="C486" s="383" t="s">
        <v>2103</v>
      </c>
      <c r="D486" s="383">
        <v>805</v>
      </c>
      <c r="E486" s="383" t="s">
        <v>1744</v>
      </c>
      <c r="F486" s="383">
        <v>102000000</v>
      </c>
      <c r="G486" s="383"/>
      <c r="H486" s="383">
        <v>10</v>
      </c>
      <c r="I486" s="383">
        <f t="shared" si="7"/>
        <v>1020000000</v>
      </c>
    </row>
    <row r="487" spans="1:9">
      <c r="A487" s="383">
        <v>291142</v>
      </c>
      <c r="B487" s="383" t="s">
        <v>2104</v>
      </c>
      <c r="C487" s="383" t="s">
        <v>2105</v>
      </c>
      <c r="D487" s="383">
        <v>805</v>
      </c>
      <c r="E487" s="383" t="s">
        <v>1744</v>
      </c>
      <c r="F487" s="383">
        <v>110000000</v>
      </c>
      <c r="G487" s="383"/>
      <c r="H487" s="383">
        <v>10</v>
      </c>
      <c r="I487" s="383">
        <f t="shared" si="7"/>
        <v>1100000000</v>
      </c>
    </row>
    <row r="488" spans="1:9">
      <c r="A488" s="383">
        <v>291150</v>
      </c>
      <c r="B488" s="383" t="s">
        <v>2106</v>
      </c>
      <c r="C488" s="383" t="s">
        <v>2107</v>
      </c>
      <c r="D488" s="383">
        <v>805</v>
      </c>
      <c r="E488" s="383" t="s">
        <v>1744</v>
      </c>
      <c r="F488" s="383">
        <v>4000000</v>
      </c>
      <c r="G488" s="383"/>
      <c r="H488" s="383">
        <v>10</v>
      </c>
      <c r="I488" s="383">
        <f t="shared" si="7"/>
        <v>40000000</v>
      </c>
    </row>
    <row r="489" spans="1:9">
      <c r="A489" s="383">
        <v>291175</v>
      </c>
      <c r="B489" s="383" t="s">
        <v>2108</v>
      </c>
      <c r="C489" s="383" t="s">
        <v>2109</v>
      </c>
      <c r="D489" s="383">
        <v>805</v>
      </c>
      <c r="E489" s="383" t="s">
        <v>1744</v>
      </c>
      <c r="F489" s="383">
        <v>18872400</v>
      </c>
      <c r="G489" s="383"/>
      <c r="H489" s="383">
        <v>5</v>
      </c>
      <c r="I489" s="383">
        <f t="shared" si="7"/>
        <v>94362000</v>
      </c>
    </row>
    <row r="490" spans="1:9">
      <c r="A490" s="383">
        <v>291200</v>
      </c>
      <c r="B490" s="383" t="s">
        <v>2110</v>
      </c>
      <c r="C490" s="383" t="s">
        <v>2111</v>
      </c>
      <c r="D490" s="383">
        <v>805</v>
      </c>
      <c r="E490" s="383" t="s">
        <v>1744</v>
      </c>
      <c r="F490" s="383">
        <v>663468788</v>
      </c>
      <c r="G490" s="383"/>
      <c r="H490" s="383">
        <v>10</v>
      </c>
      <c r="I490" s="383">
        <f t="shared" si="7"/>
        <v>6634687880</v>
      </c>
    </row>
    <row r="491" spans="1:9">
      <c r="A491" s="383">
        <v>291210</v>
      </c>
      <c r="B491" s="383" t="s">
        <v>2112</v>
      </c>
      <c r="C491" s="383" t="s">
        <v>335</v>
      </c>
      <c r="D491" s="383">
        <v>809</v>
      </c>
      <c r="E491" s="383" t="s">
        <v>1287</v>
      </c>
      <c r="F491" s="383">
        <v>2100000000</v>
      </c>
      <c r="G491" s="383"/>
      <c r="H491" s="383">
        <v>10</v>
      </c>
      <c r="I491" s="383">
        <f t="shared" si="7"/>
        <v>21000000000</v>
      </c>
    </row>
    <row r="492" spans="1:9">
      <c r="A492" s="383">
        <v>291250</v>
      </c>
      <c r="B492" s="383" t="s">
        <v>2113</v>
      </c>
      <c r="C492" s="383" t="s">
        <v>2114</v>
      </c>
      <c r="D492" s="383">
        <v>805</v>
      </c>
      <c r="E492" s="383" t="s">
        <v>1744</v>
      </c>
      <c r="F492" s="383">
        <v>132268163</v>
      </c>
      <c r="G492" s="383"/>
      <c r="H492" s="383">
        <v>10</v>
      </c>
      <c r="I492" s="383">
        <f t="shared" si="7"/>
        <v>1322681630</v>
      </c>
    </row>
    <row r="493" spans="1:9">
      <c r="A493" s="383">
        <v>291300</v>
      </c>
      <c r="B493" s="383" t="s">
        <v>2115</v>
      </c>
      <c r="C493" s="383" t="s">
        <v>2116</v>
      </c>
      <c r="D493" s="383">
        <v>805</v>
      </c>
      <c r="E493" s="383" t="s">
        <v>1744</v>
      </c>
      <c r="F493" s="383">
        <v>92359050</v>
      </c>
      <c r="G493" s="383"/>
      <c r="H493" s="383">
        <v>10</v>
      </c>
      <c r="I493" s="383">
        <f t="shared" si="7"/>
        <v>923590500</v>
      </c>
    </row>
    <row r="494" spans="1:9">
      <c r="A494" s="383">
        <v>291305</v>
      </c>
      <c r="B494" s="383" t="s">
        <v>2117</v>
      </c>
      <c r="C494" s="383" t="s">
        <v>2118</v>
      </c>
      <c r="D494" s="383">
        <v>805</v>
      </c>
      <c r="E494" s="383" t="s">
        <v>1744</v>
      </c>
      <c r="F494" s="383">
        <v>77000000</v>
      </c>
      <c r="G494" s="383"/>
      <c r="H494" s="383">
        <v>10</v>
      </c>
      <c r="I494" s="383">
        <f t="shared" si="7"/>
        <v>770000000</v>
      </c>
    </row>
    <row r="495" spans="1:9">
      <c r="A495" s="383">
        <v>291340</v>
      </c>
      <c r="B495" s="383" t="s">
        <v>2119</v>
      </c>
      <c r="C495" s="383" t="s">
        <v>2120</v>
      </c>
      <c r="D495" s="383">
        <v>805</v>
      </c>
      <c r="E495" s="383" t="s">
        <v>1744</v>
      </c>
      <c r="F495" s="383">
        <v>7500000</v>
      </c>
      <c r="G495" s="383"/>
      <c r="H495" s="383">
        <v>10</v>
      </c>
      <c r="I495" s="383">
        <f t="shared" si="7"/>
        <v>75000000</v>
      </c>
    </row>
    <row r="496" spans="1:9">
      <c r="A496" s="383">
        <v>291380</v>
      </c>
      <c r="B496" s="383" t="s">
        <v>2121</v>
      </c>
      <c r="C496" s="383" t="s">
        <v>2122</v>
      </c>
      <c r="D496" s="383">
        <v>805</v>
      </c>
      <c r="E496" s="383" t="s">
        <v>1744</v>
      </c>
      <c r="F496" s="383">
        <v>4248552</v>
      </c>
      <c r="G496" s="383"/>
      <c r="H496" s="383">
        <v>10</v>
      </c>
      <c r="I496" s="383">
        <f t="shared" si="7"/>
        <v>42485520</v>
      </c>
    </row>
    <row r="497" spans="1:9">
      <c r="A497" s="383">
        <v>291390</v>
      </c>
      <c r="B497" s="383" t="s">
        <v>2123</v>
      </c>
      <c r="C497" s="383" t="s">
        <v>2124</v>
      </c>
      <c r="D497" s="383">
        <v>805</v>
      </c>
      <c r="E497" s="383" t="s">
        <v>1744</v>
      </c>
      <c r="F497" s="383">
        <v>1514207200</v>
      </c>
      <c r="G497" s="383"/>
      <c r="H497" s="383">
        <v>10</v>
      </c>
      <c r="I497" s="383">
        <f t="shared" si="7"/>
        <v>15142072000</v>
      </c>
    </row>
    <row r="498" spans="1:9">
      <c r="A498" s="383">
        <v>291400</v>
      </c>
      <c r="B498" s="383" t="s">
        <v>2125</v>
      </c>
      <c r="C498" s="383" t="s">
        <v>2126</v>
      </c>
      <c r="D498" s="383">
        <v>805</v>
      </c>
      <c r="E498" s="383" t="s">
        <v>1744</v>
      </c>
      <c r="F498" s="383">
        <v>14958000</v>
      </c>
      <c r="G498" s="383"/>
      <c r="H498" s="383">
        <v>10</v>
      </c>
      <c r="I498" s="383">
        <f t="shared" si="7"/>
        <v>149580000</v>
      </c>
    </row>
    <row r="499" spans="1:9">
      <c r="A499" s="383">
        <v>291450</v>
      </c>
      <c r="B499" s="383" t="s">
        <v>2127</v>
      </c>
      <c r="C499" s="383" t="s">
        <v>2128</v>
      </c>
      <c r="D499" s="383">
        <v>805</v>
      </c>
      <c r="E499" s="383" t="s">
        <v>1744</v>
      </c>
      <c r="F499" s="383">
        <v>110590546</v>
      </c>
      <c r="G499" s="383"/>
      <c r="H499" s="383">
        <v>10</v>
      </c>
      <c r="I499" s="383">
        <f t="shared" si="7"/>
        <v>1105905460</v>
      </c>
    </row>
    <row r="500" spans="1:9">
      <c r="A500" s="383">
        <v>291460</v>
      </c>
      <c r="B500" s="383" t="s">
        <v>2129</v>
      </c>
      <c r="C500" s="383" t="s">
        <v>2130</v>
      </c>
      <c r="D500" s="383">
        <v>805</v>
      </c>
      <c r="E500" s="383" t="s">
        <v>1744</v>
      </c>
      <c r="F500" s="383">
        <v>25038700</v>
      </c>
      <c r="G500" s="383"/>
      <c r="H500" s="383">
        <v>10</v>
      </c>
      <c r="I500" s="383">
        <f t="shared" si="7"/>
        <v>250387000</v>
      </c>
    </row>
    <row r="501" spans="1:9">
      <c r="A501" s="383">
        <v>291470</v>
      </c>
      <c r="B501" s="383" t="s">
        <v>2131</v>
      </c>
      <c r="C501" s="383" t="s">
        <v>2132</v>
      </c>
      <c r="D501" s="383">
        <v>805</v>
      </c>
      <c r="E501" s="383" t="s">
        <v>1744</v>
      </c>
      <c r="F501" s="383">
        <v>282642128</v>
      </c>
      <c r="G501" s="383"/>
      <c r="H501" s="383">
        <v>5</v>
      </c>
      <c r="I501" s="383">
        <f t="shared" si="7"/>
        <v>1413210640</v>
      </c>
    </row>
    <row r="502" spans="1:9">
      <c r="A502" s="383">
        <v>291525</v>
      </c>
      <c r="B502" s="383" t="s">
        <v>2133</v>
      </c>
      <c r="C502" s="383" t="s">
        <v>2134</v>
      </c>
      <c r="D502" s="383">
        <v>805</v>
      </c>
      <c r="E502" s="383" t="s">
        <v>1744</v>
      </c>
      <c r="F502" s="383">
        <v>6000000</v>
      </c>
      <c r="G502" s="383"/>
      <c r="H502" s="383">
        <v>10</v>
      </c>
      <c r="I502" s="383">
        <f t="shared" si="7"/>
        <v>60000000</v>
      </c>
    </row>
    <row r="503" spans="1:9">
      <c r="A503" s="383">
        <v>291535</v>
      </c>
      <c r="B503" s="383" t="s">
        <v>2135</v>
      </c>
      <c r="C503" s="383" t="s">
        <v>2136</v>
      </c>
      <c r="D503" s="383">
        <v>805</v>
      </c>
      <c r="E503" s="383" t="s">
        <v>1744</v>
      </c>
      <c r="F503" s="383">
        <v>12000000</v>
      </c>
      <c r="G503" s="383"/>
      <c r="H503" s="383">
        <v>10</v>
      </c>
      <c r="I503" s="383">
        <f t="shared" si="7"/>
        <v>120000000</v>
      </c>
    </row>
    <row r="504" spans="1:9">
      <c r="A504" s="383">
        <v>291560</v>
      </c>
      <c r="B504" s="383" t="s">
        <v>2137</v>
      </c>
      <c r="C504" s="383" t="s">
        <v>2138</v>
      </c>
      <c r="D504" s="383">
        <v>805</v>
      </c>
      <c r="E504" s="383" t="s">
        <v>1744</v>
      </c>
      <c r="F504" s="383">
        <v>21429524</v>
      </c>
      <c r="G504" s="383"/>
      <c r="H504" s="383">
        <v>10</v>
      </c>
      <c r="I504" s="383">
        <f t="shared" si="7"/>
        <v>214295240</v>
      </c>
    </row>
    <row r="505" spans="1:9">
      <c r="A505" s="383">
        <v>291565</v>
      </c>
      <c r="B505" s="383" t="s">
        <v>2139</v>
      </c>
      <c r="C505" s="383" t="s">
        <v>2140</v>
      </c>
      <c r="D505" s="383">
        <v>805</v>
      </c>
      <c r="E505" s="383" t="s">
        <v>1744</v>
      </c>
      <c r="F505" s="383">
        <v>55100000</v>
      </c>
      <c r="G505" s="383"/>
      <c r="H505" s="383">
        <v>10</v>
      </c>
      <c r="I505" s="383">
        <f t="shared" si="7"/>
        <v>551000000</v>
      </c>
    </row>
    <row r="506" spans="1:9">
      <c r="A506" s="383">
        <v>291600</v>
      </c>
      <c r="B506" s="383" t="s">
        <v>2141</v>
      </c>
      <c r="C506" s="383" t="s">
        <v>2142</v>
      </c>
      <c r="D506" s="383">
        <v>805</v>
      </c>
      <c r="E506" s="383" t="s">
        <v>1744</v>
      </c>
      <c r="F506" s="383">
        <v>9000000</v>
      </c>
      <c r="G506" s="383"/>
      <c r="H506" s="383">
        <v>10</v>
      </c>
      <c r="I506" s="383">
        <f t="shared" si="7"/>
        <v>90000000</v>
      </c>
    </row>
    <row r="507" spans="1:9">
      <c r="A507" s="383">
        <v>300980</v>
      </c>
      <c r="B507" s="383" t="s">
        <v>2143</v>
      </c>
      <c r="C507" s="383" t="s">
        <v>2144</v>
      </c>
      <c r="D507" s="383">
        <v>822</v>
      </c>
      <c r="E507" s="383" t="s">
        <v>2145</v>
      </c>
      <c r="F507" s="383">
        <v>3100000</v>
      </c>
      <c r="G507" s="383"/>
      <c r="H507" s="383">
        <v>10</v>
      </c>
      <c r="I507" s="383">
        <f t="shared" si="7"/>
        <v>31000000</v>
      </c>
    </row>
    <row r="508" spans="1:9">
      <c r="A508" s="383">
        <v>301040</v>
      </c>
      <c r="B508" s="383" t="s">
        <v>2146</v>
      </c>
      <c r="C508" s="383" t="s">
        <v>2147</v>
      </c>
      <c r="D508" s="383">
        <v>822</v>
      </c>
      <c r="E508" s="383" t="s">
        <v>2145</v>
      </c>
      <c r="F508" s="383">
        <v>6000000</v>
      </c>
      <c r="G508" s="383"/>
      <c r="H508" s="383">
        <v>10</v>
      </c>
      <c r="I508" s="383">
        <f t="shared" si="7"/>
        <v>60000000</v>
      </c>
    </row>
    <row r="509" spans="1:9">
      <c r="A509" s="383">
        <v>301060</v>
      </c>
      <c r="B509" s="383" t="s">
        <v>2148</v>
      </c>
      <c r="C509" s="383" t="s">
        <v>2149</v>
      </c>
      <c r="D509" s="383">
        <v>822</v>
      </c>
      <c r="E509" s="383" t="s">
        <v>2145</v>
      </c>
      <c r="F509" s="383">
        <v>147018345</v>
      </c>
      <c r="G509" s="383"/>
      <c r="H509" s="383">
        <v>10</v>
      </c>
      <c r="I509" s="383">
        <f t="shared" si="7"/>
        <v>1470183450</v>
      </c>
    </row>
    <row r="510" spans="1:9">
      <c r="A510" s="383">
        <v>301070</v>
      </c>
      <c r="B510" s="383" t="s">
        <v>2150</v>
      </c>
      <c r="C510" s="383" t="s">
        <v>1167</v>
      </c>
      <c r="D510" s="383">
        <v>822</v>
      </c>
      <c r="E510" s="383" t="s">
        <v>2145</v>
      </c>
      <c r="F510" s="383">
        <v>33602242</v>
      </c>
      <c r="G510" s="383"/>
      <c r="H510" s="383">
        <v>10</v>
      </c>
      <c r="I510" s="383">
        <f t="shared" si="7"/>
        <v>336022420</v>
      </c>
    </row>
    <row r="511" spans="1:9">
      <c r="A511" s="383">
        <v>301110</v>
      </c>
      <c r="B511" s="383" t="s">
        <v>2151</v>
      </c>
      <c r="C511" s="383" t="s">
        <v>2152</v>
      </c>
      <c r="D511" s="383">
        <v>822</v>
      </c>
      <c r="E511" s="383" t="s">
        <v>2145</v>
      </c>
      <c r="F511" s="383">
        <v>4000000</v>
      </c>
      <c r="G511" s="383"/>
      <c r="H511" s="383">
        <v>10</v>
      </c>
      <c r="I511" s="383">
        <f t="shared" si="7"/>
        <v>40000000</v>
      </c>
    </row>
    <row r="512" spans="1:9">
      <c r="A512" s="383">
        <v>301120</v>
      </c>
      <c r="B512" s="383" t="s">
        <v>2153</v>
      </c>
      <c r="C512" s="383" t="s">
        <v>2154</v>
      </c>
      <c r="D512" s="383">
        <v>822</v>
      </c>
      <c r="E512" s="383" t="s">
        <v>2145</v>
      </c>
      <c r="F512" s="383">
        <v>40314199</v>
      </c>
      <c r="G512" s="383"/>
      <c r="H512" s="383">
        <v>10</v>
      </c>
      <c r="I512" s="383">
        <f t="shared" si="7"/>
        <v>403141990</v>
      </c>
    </row>
    <row r="513" spans="1:9">
      <c r="A513" s="383">
        <v>301160</v>
      </c>
      <c r="B513" s="383" t="s">
        <v>2155</v>
      </c>
      <c r="C513" s="383" t="s">
        <v>2156</v>
      </c>
      <c r="D513" s="383">
        <v>822</v>
      </c>
      <c r="E513" s="383" t="s">
        <v>2145</v>
      </c>
      <c r="F513" s="383">
        <v>89379504</v>
      </c>
      <c r="G513" s="383"/>
      <c r="H513" s="383">
        <v>10</v>
      </c>
      <c r="I513" s="383">
        <f t="shared" si="7"/>
        <v>893795040</v>
      </c>
    </row>
    <row r="514" spans="1:9">
      <c r="A514" s="383">
        <v>301180</v>
      </c>
      <c r="B514" s="383" t="s">
        <v>2157</v>
      </c>
      <c r="C514" s="383" t="s">
        <v>2158</v>
      </c>
      <c r="D514" s="383">
        <v>822</v>
      </c>
      <c r="E514" s="383" t="s">
        <v>2145</v>
      </c>
      <c r="F514" s="383">
        <v>6000000</v>
      </c>
      <c r="G514" s="383"/>
      <c r="H514" s="383">
        <v>10</v>
      </c>
      <c r="I514" s="383">
        <f t="shared" si="7"/>
        <v>60000000</v>
      </c>
    </row>
    <row r="515" spans="1:9">
      <c r="A515" s="383">
        <v>301182</v>
      </c>
      <c r="B515" s="383" t="s">
        <v>2159</v>
      </c>
      <c r="C515" s="383" t="s">
        <v>2160</v>
      </c>
      <c r="D515" s="383">
        <v>822</v>
      </c>
      <c r="E515" s="383" t="s">
        <v>2145</v>
      </c>
      <c r="F515" s="383">
        <v>118250000</v>
      </c>
      <c r="G515" s="383"/>
      <c r="H515" s="383">
        <v>10</v>
      </c>
      <c r="I515" s="383">
        <f t="shared" ref="I515:I578" si="8">F515*H515</f>
        <v>1182500000</v>
      </c>
    </row>
    <row r="516" spans="1:9">
      <c r="A516" s="383">
        <v>301220</v>
      </c>
      <c r="B516" s="383" t="s">
        <v>2161</v>
      </c>
      <c r="C516" s="383" t="s">
        <v>2162</v>
      </c>
      <c r="D516" s="383">
        <v>822</v>
      </c>
      <c r="E516" s="383" t="s">
        <v>2145</v>
      </c>
      <c r="F516" s="383">
        <v>59255985</v>
      </c>
      <c r="G516" s="383"/>
      <c r="H516" s="383">
        <v>10</v>
      </c>
      <c r="I516" s="383">
        <f t="shared" si="8"/>
        <v>592559850</v>
      </c>
    </row>
    <row r="517" spans="1:9">
      <c r="A517" s="383">
        <v>311040</v>
      </c>
      <c r="B517" s="383" t="s">
        <v>2163</v>
      </c>
      <c r="C517" s="383" t="s">
        <v>2164</v>
      </c>
      <c r="D517" s="383">
        <v>834</v>
      </c>
      <c r="E517" s="383" t="s">
        <v>2165</v>
      </c>
      <c r="F517" s="383">
        <v>1000000</v>
      </c>
      <c r="G517" s="383"/>
      <c r="H517" s="383">
        <v>10</v>
      </c>
      <c r="I517" s="383">
        <f t="shared" si="8"/>
        <v>10000000</v>
      </c>
    </row>
    <row r="518" spans="1:9">
      <c r="A518" s="383">
        <v>311160</v>
      </c>
      <c r="B518" s="383" t="s">
        <v>2166</v>
      </c>
      <c r="C518" s="383" t="s">
        <v>2167</v>
      </c>
      <c r="D518" s="383">
        <v>834</v>
      </c>
      <c r="E518" s="383" t="s">
        <v>2165</v>
      </c>
      <c r="F518" s="383">
        <v>568300</v>
      </c>
      <c r="G518" s="383"/>
      <c r="H518" s="383">
        <v>10</v>
      </c>
      <c r="I518" s="383">
        <f t="shared" si="8"/>
        <v>5683000</v>
      </c>
    </row>
    <row r="519" spans="1:9">
      <c r="A519" s="383">
        <v>311200</v>
      </c>
      <c r="B519" s="383" t="s">
        <v>2168</v>
      </c>
      <c r="C519" s="383" t="s">
        <v>2169</v>
      </c>
      <c r="D519" s="383">
        <v>834</v>
      </c>
      <c r="E519" s="383" t="s">
        <v>2165</v>
      </c>
      <c r="F519" s="383">
        <v>5390625</v>
      </c>
      <c r="G519" s="383"/>
      <c r="H519" s="383">
        <v>10</v>
      </c>
      <c r="I519" s="383">
        <f t="shared" si="8"/>
        <v>53906250</v>
      </c>
    </row>
    <row r="520" spans="1:9">
      <c r="A520" s="383">
        <v>311210</v>
      </c>
      <c r="B520" s="383" t="s">
        <v>2170</v>
      </c>
      <c r="C520" s="383" t="s">
        <v>2171</v>
      </c>
      <c r="D520" s="383">
        <v>834</v>
      </c>
      <c r="E520" s="383" t="s">
        <v>2165</v>
      </c>
      <c r="F520" s="383">
        <v>5658400</v>
      </c>
      <c r="G520" s="383"/>
      <c r="H520" s="383">
        <v>10</v>
      </c>
      <c r="I520" s="383">
        <f t="shared" si="8"/>
        <v>56584000</v>
      </c>
    </row>
    <row r="521" spans="1:9">
      <c r="A521" s="383">
        <v>311260</v>
      </c>
      <c r="B521" s="383" t="s">
        <v>2172</v>
      </c>
      <c r="C521" s="383" t="s">
        <v>2173</v>
      </c>
      <c r="D521" s="383">
        <v>834</v>
      </c>
      <c r="E521" s="383" t="s">
        <v>2165</v>
      </c>
      <c r="F521" s="383">
        <v>958100</v>
      </c>
      <c r="G521" s="383"/>
      <c r="H521" s="383">
        <v>10</v>
      </c>
      <c r="I521" s="383">
        <f t="shared" si="8"/>
        <v>9581000</v>
      </c>
    </row>
    <row r="522" spans="1:9">
      <c r="A522" s="383">
        <v>321000</v>
      </c>
      <c r="B522" s="383" t="s">
        <v>2174</v>
      </c>
      <c r="C522" s="383" t="s">
        <v>2175</v>
      </c>
      <c r="D522" s="383">
        <v>816</v>
      </c>
      <c r="E522" s="383" t="s">
        <v>2176</v>
      </c>
      <c r="F522" s="383">
        <v>7560000</v>
      </c>
      <c r="G522" s="383"/>
      <c r="H522" s="383">
        <v>10</v>
      </c>
      <c r="I522" s="383">
        <f t="shared" si="8"/>
        <v>75600000</v>
      </c>
    </row>
    <row r="523" spans="1:9">
      <c r="A523" s="383">
        <v>321010</v>
      </c>
      <c r="B523" s="383" t="s">
        <v>2177</v>
      </c>
      <c r="C523" s="383" t="s">
        <v>2178</v>
      </c>
      <c r="D523" s="383">
        <v>816</v>
      </c>
      <c r="E523" s="383" t="s">
        <v>2176</v>
      </c>
      <c r="F523" s="383">
        <v>2000000</v>
      </c>
      <c r="G523" s="383"/>
      <c r="H523" s="383">
        <v>10</v>
      </c>
      <c r="I523" s="383">
        <f t="shared" si="8"/>
        <v>20000000</v>
      </c>
    </row>
    <row r="524" spans="1:9">
      <c r="A524" s="383">
        <v>321030</v>
      </c>
      <c r="B524" s="383" t="s">
        <v>2179</v>
      </c>
      <c r="C524" s="383" t="s">
        <v>2180</v>
      </c>
      <c r="D524" s="383">
        <v>816</v>
      </c>
      <c r="E524" s="383" t="s">
        <v>2176</v>
      </c>
      <c r="F524" s="383">
        <v>6000000</v>
      </c>
      <c r="G524" s="383"/>
      <c r="H524" s="383">
        <v>10</v>
      </c>
      <c r="I524" s="383">
        <f t="shared" si="8"/>
        <v>60000000</v>
      </c>
    </row>
    <row r="525" spans="1:9">
      <c r="A525" s="383">
        <v>321060</v>
      </c>
      <c r="B525" s="383" t="s">
        <v>2181</v>
      </c>
      <c r="C525" s="383" t="s">
        <v>2182</v>
      </c>
      <c r="D525" s="383">
        <v>816</v>
      </c>
      <c r="E525" s="383" t="s">
        <v>2176</v>
      </c>
      <c r="F525" s="383">
        <v>3400000</v>
      </c>
      <c r="G525" s="383"/>
      <c r="H525" s="383">
        <v>10</v>
      </c>
      <c r="I525" s="383">
        <f t="shared" si="8"/>
        <v>34000000</v>
      </c>
    </row>
    <row r="526" spans="1:9">
      <c r="A526" s="383">
        <v>321085</v>
      </c>
      <c r="B526" s="383" t="s">
        <v>2183</v>
      </c>
      <c r="C526" s="383" t="s">
        <v>648</v>
      </c>
      <c r="D526" s="383">
        <v>816</v>
      </c>
      <c r="E526" s="383" t="s">
        <v>2176</v>
      </c>
      <c r="F526" s="383">
        <v>12028800</v>
      </c>
      <c r="G526" s="383"/>
      <c r="H526" s="383">
        <v>10</v>
      </c>
      <c r="I526" s="383">
        <f t="shared" si="8"/>
        <v>120288000</v>
      </c>
    </row>
    <row r="527" spans="1:9">
      <c r="A527" s="383">
        <v>331050</v>
      </c>
      <c r="B527" s="383" t="s">
        <v>2184</v>
      </c>
      <c r="C527" s="383" t="s">
        <v>725</v>
      </c>
      <c r="D527" s="383">
        <v>810</v>
      </c>
      <c r="E527" s="383" t="s">
        <v>1807</v>
      </c>
      <c r="F527" s="383">
        <v>142117427</v>
      </c>
      <c r="G527" s="383"/>
      <c r="H527" s="383">
        <v>10</v>
      </c>
      <c r="I527" s="383">
        <f t="shared" si="8"/>
        <v>1421174270</v>
      </c>
    </row>
    <row r="528" spans="1:9">
      <c r="A528" s="383">
        <v>331060</v>
      </c>
      <c r="B528" s="383" t="s">
        <v>2185</v>
      </c>
      <c r="C528" s="383" t="s">
        <v>2186</v>
      </c>
      <c r="D528" s="383">
        <v>810</v>
      </c>
      <c r="E528" s="383" t="s">
        <v>1807</v>
      </c>
      <c r="F528" s="383">
        <v>9434880</v>
      </c>
      <c r="G528" s="383"/>
      <c r="H528" s="383">
        <v>10</v>
      </c>
      <c r="I528" s="383">
        <f t="shared" si="8"/>
        <v>94348800</v>
      </c>
    </row>
    <row r="529" spans="1:9">
      <c r="A529" s="383">
        <v>331070</v>
      </c>
      <c r="B529" s="383" t="s">
        <v>2187</v>
      </c>
      <c r="C529" s="383" t="s">
        <v>2188</v>
      </c>
      <c r="D529" s="383">
        <v>810</v>
      </c>
      <c r="E529" s="383" t="s">
        <v>1807</v>
      </c>
      <c r="F529" s="383">
        <v>19200000</v>
      </c>
      <c r="G529" s="383"/>
      <c r="H529" s="383">
        <v>10</v>
      </c>
      <c r="I529" s="383">
        <f t="shared" si="8"/>
        <v>192000000</v>
      </c>
    </row>
    <row r="530" spans="1:9">
      <c r="A530" s="383">
        <v>331080</v>
      </c>
      <c r="B530" s="383" t="s">
        <v>2189</v>
      </c>
      <c r="C530" s="383" t="s">
        <v>2190</v>
      </c>
      <c r="D530" s="383">
        <v>810</v>
      </c>
      <c r="E530" s="383" t="s">
        <v>1807</v>
      </c>
      <c r="F530" s="383">
        <v>300000</v>
      </c>
      <c r="G530" s="383"/>
      <c r="H530" s="383">
        <v>10</v>
      </c>
      <c r="I530" s="383">
        <f t="shared" si="8"/>
        <v>3000000</v>
      </c>
    </row>
    <row r="531" spans="1:9">
      <c r="A531" s="383">
        <v>331090</v>
      </c>
      <c r="B531" s="383" t="s">
        <v>2191</v>
      </c>
      <c r="C531" s="383" t="s">
        <v>2192</v>
      </c>
      <c r="D531" s="383">
        <v>823</v>
      </c>
      <c r="E531" s="383" t="s">
        <v>2074</v>
      </c>
      <c r="F531" s="383">
        <v>54087605</v>
      </c>
      <c r="G531" s="383"/>
      <c r="H531" s="383">
        <v>10</v>
      </c>
      <c r="I531" s="383">
        <f t="shared" si="8"/>
        <v>540876050</v>
      </c>
    </row>
    <row r="532" spans="1:9">
      <c r="A532" s="383">
        <v>331092</v>
      </c>
      <c r="B532" s="383" t="s">
        <v>2193</v>
      </c>
      <c r="C532" s="383" t="s">
        <v>2194</v>
      </c>
      <c r="D532" s="383">
        <v>823</v>
      </c>
      <c r="E532" s="383" t="s">
        <v>2074</v>
      </c>
      <c r="F532" s="383">
        <v>39144351</v>
      </c>
      <c r="G532" s="383"/>
      <c r="H532" s="383">
        <v>10</v>
      </c>
      <c r="I532" s="383">
        <f t="shared" si="8"/>
        <v>391443510</v>
      </c>
    </row>
    <row r="533" spans="1:9">
      <c r="A533" s="383">
        <v>331120</v>
      </c>
      <c r="B533" s="383" t="s">
        <v>2195</v>
      </c>
      <c r="C533" s="383" t="s">
        <v>2196</v>
      </c>
      <c r="D533" s="383">
        <v>810</v>
      </c>
      <c r="E533" s="383" t="s">
        <v>1807</v>
      </c>
      <c r="F533" s="383">
        <v>63804750</v>
      </c>
      <c r="G533" s="383"/>
      <c r="H533" s="383">
        <v>10</v>
      </c>
      <c r="I533" s="383">
        <f t="shared" si="8"/>
        <v>638047500</v>
      </c>
    </row>
    <row r="534" spans="1:9">
      <c r="A534" s="383">
        <v>331160</v>
      </c>
      <c r="B534" s="383" t="s">
        <v>2197</v>
      </c>
      <c r="C534" s="383" t="s">
        <v>2198</v>
      </c>
      <c r="D534" s="383">
        <v>810</v>
      </c>
      <c r="E534" s="383" t="s">
        <v>1807</v>
      </c>
      <c r="F534" s="383">
        <v>45349551</v>
      </c>
      <c r="G534" s="383"/>
      <c r="H534" s="383">
        <v>10</v>
      </c>
      <c r="I534" s="383">
        <f t="shared" si="8"/>
        <v>453495510</v>
      </c>
    </row>
    <row r="535" spans="1:9">
      <c r="A535" s="383">
        <v>331170</v>
      </c>
      <c r="B535" s="383" t="s">
        <v>2199</v>
      </c>
      <c r="C535" s="383" t="s">
        <v>2200</v>
      </c>
      <c r="D535" s="383">
        <v>810</v>
      </c>
      <c r="E535" s="383" t="s">
        <v>1807</v>
      </c>
      <c r="F535" s="383">
        <v>7875000</v>
      </c>
      <c r="G535" s="383"/>
      <c r="H535" s="383">
        <v>10</v>
      </c>
      <c r="I535" s="383">
        <f t="shared" si="8"/>
        <v>78750000</v>
      </c>
    </row>
    <row r="536" spans="1:9">
      <c r="A536" s="383">
        <v>331200</v>
      </c>
      <c r="B536" s="383" t="s">
        <v>2201</v>
      </c>
      <c r="C536" s="383" t="s">
        <v>2202</v>
      </c>
      <c r="D536" s="383">
        <v>810</v>
      </c>
      <c r="E536" s="383" t="s">
        <v>1807</v>
      </c>
      <c r="F536" s="383">
        <v>23053026</v>
      </c>
      <c r="G536" s="383"/>
      <c r="H536" s="383">
        <v>10</v>
      </c>
      <c r="I536" s="383">
        <f t="shared" si="8"/>
        <v>230530260</v>
      </c>
    </row>
    <row r="537" spans="1:9">
      <c r="A537" s="383">
        <v>331220</v>
      </c>
      <c r="B537" s="383" t="s">
        <v>2203</v>
      </c>
      <c r="C537" s="383" t="s">
        <v>2204</v>
      </c>
      <c r="D537" s="383">
        <v>810</v>
      </c>
      <c r="E537" s="383" t="s">
        <v>1807</v>
      </c>
      <c r="F537" s="383">
        <v>103606858</v>
      </c>
      <c r="G537" s="383"/>
      <c r="H537" s="383">
        <v>5</v>
      </c>
      <c r="I537" s="383">
        <f t="shared" si="8"/>
        <v>518034290</v>
      </c>
    </row>
    <row r="538" spans="1:9">
      <c r="A538" s="383">
        <v>331240</v>
      </c>
      <c r="B538" s="383" t="s">
        <v>2205</v>
      </c>
      <c r="C538" s="383" t="s">
        <v>2206</v>
      </c>
      <c r="D538" s="383">
        <v>810</v>
      </c>
      <c r="E538" s="383" t="s">
        <v>1807</v>
      </c>
      <c r="F538" s="383">
        <v>449999192</v>
      </c>
      <c r="G538" s="383"/>
      <c r="H538" s="383">
        <v>10</v>
      </c>
      <c r="I538" s="383">
        <f t="shared" si="8"/>
        <v>4499991920</v>
      </c>
    </row>
    <row r="539" spans="1:9">
      <c r="A539" s="383">
        <v>331242</v>
      </c>
      <c r="B539" s="383" t="s">
        <v>2207</v>
      </c>
      <c r="C539" s="383" t="s">
        <v>2208</v>
      </c>
      <c r="D539" s="383">
        <v>810</v>
      </c>
      <c r="E539" s="383" t="s">
        <v>1807</v>
      </c>
      <c r="F539" s="383">
        <v>78408000</v>
      </c>
      <c r="G539" s="383"/>
      <c r="H539" s="383">
        <v>10</v>
      </c>
      <c r="I539" s="383">
        <f t="shared" si="8"/>
        <v>784080000</v>
      </c>
    </row>
    <row r="540" spans="1:9">
      <c r="A540" s="383">
        <v>331290</v>
      </c>
      <c r="B540" s="383" t="s">
        <v>2209</v>
      </c>
      <c r="C540" s="383" t="s">
        <v>2210</v>
      </c>
      <c r="D540" s="383">
        <v>810</v>
      </c>
      <c r="E540" s="383" t="s">
        <v>1807</v>
      </c>
      <c r="F540" s="383">
        <v>98461828</v>
      </c>
      <c r="G540" s="383"/>
      <c r="H540" s="383">
        <v>10</v>
      </c>
      <c r="I540" s="383">
        <f t="shared" si="8"/>
        <v>984618280</v>
      </c>
    </row>
    <row r="541" spans="1:9">
      <c r="A541" s="383">
        <v>331295</v>
      </c>
      <c r="B541" s="383" t="s">
        <v>2211</v>
      </c>
      <c r="C541" s="383" t="s">
        <v>2212</v>
      </c>
      <c r="D541" s="383">
        <v>810</v>
      </c>
      <c r="E541" s="383" t="s">
        <v>1807</v>
      </c>
      <c r="F541" s="383">
        <v>6157600</v>
      </c>
      <c r="G541" s="383"/>
      <c r="H541" s="383">
        <v>10</v>
      </c>
      <c r="I541" s="383">
        <f t="shared" si="8"/>
        <v>61576000</v>
      </c>
    </row>
    <row r="542" spans="1:9">
      <c r="A542" s="383">
        <v>331300</v>
      </c>
      <c r="B542" s="383" t="s">
        <v>2213</v>
      </c>
      <c r="C542" s="383" t="s">
        <v>2214</v>
      </c>
      <c r="D542" s="383">
        <v>810</v>
      </c>
      <c r="E542" s="383" t="s">
        <v>1807</v>
      </c>
      <c r="F542" s="383">
        <v>9236400</v>
      </c>
      <c r="G542" s="383"/>
      <c r="H542" s="383">
        <v>10</v>
      </c>
      <c r="I542" s="383">
        <f t="shared" si="8"/>
        <v>92364000</v>
      </c>
    </row>
    <row r="543" spans="1:9">
      <c r="A543" s="383">
        <v>331310</v>
      </c>
      <c r="B543" s="383" t="s">
        <v>2215</v>
      </c>
      <c r="C543" s="383" t="s">
        <v>2216</v>
      </c>
      <c r="D543" s="383">
        <v>810</v>
      </c>
      <c r="E543" s="383" t="s">
        <v>1807</v>
      </c>
      <c r="F543" s="383">
        <v>16589500</v>
      </c>
      <c r="G543" s="383"/>
      <c r="H543" s="383">
        <v>10</v>
      </c>
      <c r="I543" s="383">
        <f t="shared" si="8"/>
        <v>165895000</v>
      </c>
    </row>
    <row r="544" spans="1:9">
      <c r="A544" s="383">
        <v>331320</v>
      </c>
      <c r="B544" s="383" t="s">
        <v>2217</v>
      </c>
      <c r="C544" s="383" t="s">
        <v>647</v>
      </c>
      <c r="D544" s="383">
        <v>810</v>
      </c>
      <c r="E544" s="383" t="s">
        <v>1807</v>
      </c>
      <c r="F544" s="383">
        <v>7986000</v>
      </c>
      <c r="G544" s="383"/>
      <c r="H544" s="383">
        <v>10</v>
      </c>
      <c r="I544" s="383">
        <f t="shared" si="8"/>
        <v>79860000</v>
      </c>
    </row>
    <row r="545" spans="1:9">
      <c r="A545" s="383">
        <v>331420</v>
      </c>
      <c r="B545" s="383" t="s">
        <v>2218</v>
      </c>
      <c r="C545" s="383" t="s">
        <v>2219</v>
      </c>
      <c r="D545" s="383">
        <v>810</v>
      </c>
      <c r="E545" s="383" t="s">
        <v>1807</v>
      </c>
      <c r="F545" s="383">
        <v>3900000</v>
      </c>
      <c r="G545" s="383"/>
      <c r="H545" s="383">
        <v>10</v>
      </c>
      <c r="I545" s="383">
        <f t="shared" si="8"/>
        <v>39000000</v>
      </c>
    </row>
    <row r="546" spans="1:9">
      <c r="A546" s="383">
        <v>331440</v>
      </c>
      <c r="B546" s="383" t="s">
        <v>2220</v>
      </c>
      <c r="C546" s="383" t="s">
        <v>2221</v>
      </c>
      <c r="D546" s="383">
        <v>810</v>
      </c>
      <c r="E546" s="383" t="s">
        <v>1807</v>
      </c>
      <c r="F546" s="383">
        <v>145797674</v>
      </c>
      <c r="G546" s="383"/>
      <c r="H546" s="383">
        <v>10</v>
      </c>
      <c r="I546" s="383">
        <f t="shared" si="8"/>
        <v>1457976740</v>
      </c>
    </row>
    <row r="547" spans="1:9">
      <c r="A547" s="383">
        <v>331455</v>
      </c>
      <c r="B547" s="383" t="s">
        <v>2222</v>
      </c>
      <c r="C547" s="383" t="s">
        <v>2223</v>
      </c>
      <c r="D547" s="383">
        <v>810</v>
      </c>
      <c r="E547" s="383" t="s">
        <v>1807</v>
      </c>
      <c r="F547" s="383">
        <v>41822250</v>
      </c>
      <c r="G547" s="383"/>
      <c r="H547" s="383">
        <v>8.5500000000000007</v>
      </c>
      <c r="I547" s="383">
        <f t="shared" si="8"/>
        <v>357580237.5</v>
      </c>
    </row>
    <row r="548" spans="1:9">
      <c r="A548" s="383">
        <v>331523</v>
      </c>
      <c r="B548" s="383" t="s">
        <v>2224</v>
      </c>
      <c r="C548" s="383" t="s">
        <v>2225</v>
      </c>
      <c r="D548" s="383">
        <v>810</v>
      </c>
      <c r="E548" s="383" t="s">
        <v>1807</v>
      </c>
      <c r="F548" s="383">
        <v>6122600</v>
      </c>
      <c r="G548" s="383"/>
      <c r="H548" s="383">
        <v>10</v>
      </c>
      <c r="I548" s="383">
        <f t="shared" si="8"/>
        <v>61226000</v>
      </c>
    </row>
    <row r="549" spans="1:9">
      <c r="A549" s="383">
        <v>341000</v>
      </c>
      <c r="B549" s="383" t="s">
        <v>2226</v>
      </c>
      <c r="C549" s="383" t="s">
        <v>2227</v>
      </c>
      <c r="D549" s="383">
        <v>811</v>
      </c>
      <c r="E549" s="383" t="s">
        <v>2228</v>
      </c>
      <c r="F549" s="383">
        <v>171600000</v>
      </c>
      <c r="G549" s="383"/>
      <c r="H549" s="383">
        <v>10</v>
      </c>
      <c r="I549" s="383">
        <f t="shared" si="8"/>
        <v>1716000000</v>
      </c>
    </row>
    <row r="550" spans="1:9">
      <c r="A550" s="383">
        <v>341040</v>
      </c>
      <c r="B550" s="383" t="s">
        <v>2229</v>
      </c>
      <c r="C550" s="383" t="s">
        <v>2230</v>
      </c>
      <c r="D550" s="383">
        <v>811</v>
      </c>
      <c r="E550" s="383" t="s">
        <v>2228</v>
      </c>
      <c r="F550" s="383">
        <v>34999667</v>
      </c>
      <c r="G550" s="383"/>
      <c r="H550" s="383">
        <v>10</v>
      </c>
      <c r="I550" s="383">
        <f t="shared" si="8"/>
        <v>349996670</v>
      </c>
    </row>
    <row r="551" spans="1:9">
      <c r="A551" s="383">
        <v>341060</v>
      </c>
      <c r="B551" s="383" t="s">
        <v>2231</v>
      </c>
      <c r="C551" s="383" t="s">
        <v>2232</v>
      </c>
      <c r="D551" s="383">
        <v>811</v>
      </c>
      <c r="E551" s="383" t="s">
        <v>2228</v>
      </c>
      <c r="F551" s="383">
        <v>37873821</v>
      </c>
      <c r="G551" s="383"/>
      <c r="H551" s="383">
        <v>10</v>
      </c>
      <c r="I551" s="383">
        <f t="shared" si="8"/>
        <v>378738210</v>
      </c>
    </row>
    <row r="552" spans="1:9">
      <c r="A552" s="383">
        <v>341065</v>
      </c>
      <c r="B552" s="383" t="s">
        <v>2233</v>
      </c>
      <c r="C552" s="383" t="s">
        <v>2234</v>
      </c>
      <c r="D552" s="383">
        <v>811</v>
      </c>
      <c r="E552" s="383" t="s">
        <v>2228</v>
      </c>
      <c r="F552" s="383">
        <v>416571281</v>
      </c>
      <c r="G552" s="383"/>
      <c r="H552" s="383">
        <v>10</v>
      </c>
      <c r="I552" s="383">
        <f t="shared" si="8"/>
        <v>4165712810</v>
      </c>
    </row>
    <row r="553" spans="1:9">
      <c r="A553" s="383">
        <v>341066</v>
      </c>
      <c r="B553" s="383" t="s">
        <v>2235</v>
      </c>
      <c r="C553" s="383" t="s">
        <v>2236</v>
      </c>
      <c r="D553" s="383">
        <v>811</v>
      </c>
      <c r="E553" s="383" t="s">
        <v>2228</v>
      </c>
      <c r="F553" s="383">
        <v>100000000</v>
      </c>
      <c r="G553" s="383"/>
      <c r="H553" s="383">
        <v>10</v>
      </c>
      <c r="I553" s="383">
        <f t="shared" si="8"/>
        <v>1000000000</v>
      </c>
    </row>
    <row r="554" spans="1:9">
      <c r="A554" s="383">
        <v>341067</v>
      </c>
      <c r="B554" s="383" t="s">
        <v>2237</v>
      </c>
      <c r="C554" s="383" t="s">
        <v>2238</v>
      </c>
      <c r="D554" s="383">
        <v>811</v>
      </c>
      <c r="E554" s="383" t="s">
        <v>2228</v>
      </c>
      <c r="F554" s="383">
        <v>29951625</v>
      </c>
      <c r="G554" s="383"/>
      <c r="H554" s="383">
        <v>10</v>
      </c>
      <c r="I554" s="383">
        <f t="shared" si="8"/>
        <v>299516250</v>
      </c>
    </row>
    <row r="555" spans="1:9">
      <c r="A555" s="383">
        <v>341070</v>
      </c>
      <c r="B555" s="383" t="s">
        <v>2239</v>
      </c>
      <c r="C555" s="383" t="s">
        <v>2240</v>
      </c>
      <c r="D555" s="383">
        <v>811</v>
      </c>
      <c r="E555" s="383" t="s">
        <v>2228</v>
      </c>
      <c r="F555" s="383">
        <v>14549060</v>
      </c>
      <c r="G555" s="383"/>
      <c r="H555" s="383">
        <v>10</v>
      </c>
      <c r="I555" s="383">
        <f t="shared" si="8"/>
        <v>145490600</v>
      </c>
    </row>
    <row r="556" spans="1:9">
      <c r="A556" s="383">
        <v>341100</v>
      </c>
      <c r="B556" s="383" t="s">
        <v>2241</v>
      </c>
      <c r="C556" s="383" t="s">
        <v>2242</v>
      </c>
      <c r="D556" s="383">
        <v>811</v>
      </c>
      <c r="E556" s="383" t="s">
        <v>2228</v>
      </c>
      <c r="F556" s="383">
        <v>73458000</v>
      </c>
      <c r="G556" s="383"/>
      <c r="H556" s="383">
        <v>10</v>
      </c>
      <c r="I556" s="383">
        <f t="shared" si="8"/>
        <v>734580000</v>
      </c>
    </row>
    <row r="557" spans="1:9">
      <c r="A557" s="383">
        <v>341140</v>
      </c>
      <c r="B557" s="383" t="s">
        <v>2243</v>
      </c>
      <c r="C557" s="383" t="s">
        <v>2244</v>
      </c>
      <c r="D557" s="383">
        <v>811</v>
      </c>
      <c r="E557" s="383" t="s">
        <v>2228</v>
      </c>
      <c r="F557" s="383">
        <v>7300000</v>
      </c>
      <c r="G557" s="383"/>
      <c r="H557" s="383">
        <v>10</v>
      </c>
      <c r="I557" s="383">
        <f t="shared" si="8"/>
        <v>73000000</v>
      </c>
    </row>
    <row r="558" spans="1:9">
      <c r="A558" s="383">
        <v>341160</v>
      </c>
      <c r="B558" s="383" t="s">
        <v>2245</v>
      </c>
      <c r="C558" s="383" t="s">
        <v>2246</v>
      </c>
      <c r="D558" s="383">
        <v>811</v>
      </c>
      <c r="E558" s="383" t="s">
        <v>2228</v>
      </c>
      <c r="F558" s="383">
        <v>239320620</v>
      </c>
      <c r="G558" s="383"/>
      <c r="H558" s="383">
        <v>5</v>
      </c>
      <c r="I558" s="383">
        <f t="shared" si="8"/>
        <v>1196603100</v>
      </c>
    </row>
    <row r="559" spans="1:9">
      <c r="A559" s="383">
        <v>351000</v>
      </c>
      <c r="B559" s="383" t="s">
        <v>2247</v>
      </c>
      <c r="C559" s="383" t="s">
        <v>2248</v>
      </c>
      <c r="D559" s="383">
        <v>818</v>
      </c>
      <c r="E559" s="383" t="s">
        <v>2039</v>
      </c>
      <c r="F559" s="383">
        <v>28266231</v>
      </c>
      <c r="G559" s="383"/>
      <c r="H559" s="383">
        <v>10</v>
      </c>
      <c r="I559" s="383">
        <f t="shared" si="8"/>
        <v>282662310</v>
      </c>
    </row>
    <row r="560" spans="1:9">
      <c r="A560" s="383">
        <v>351010</v>
      </c>
      <c r="B560" s="383" t="s">
        <v>2249</v>
      </c>
      <c r="C560" s="383" t="s">
        <v>2250</v>
      </c>
      <c r="D560" s="383">
        <v>818</v>
      </c>
      <c r="E560" s="383" t="s">
        <v>2039</v>
      </c>
      <c r="F560" s="383">
        <v>10000000</v>
      </c>
      <c r="G560" s="383"/>
      <c r="H560" s="383">
        <v>10</v>
      </c>
      <c r="I560" s="383">
        <f t="shared" si="8"/>
        <v>100000000</v>
      </c>
    </row>
    <row r="561" spans="1:9">
      <c r="A561" s="383">
        <v>351020</v>
      </c>
      <c r="B561" s="383" t="s">
        <v>2251</v>
      </c>
      <c r="C561" s="383" t="s">
        <v>2252</v>
      </c>
      <c r="D561" s="383">
        <v>818</v>
      </c>
      <c r="E561" s="383" t="s">
        <v>2039</v>
      </c>
      <c r="F561" s="383">
        <v>6400000</v>
      </c>
      <c r="G561" s="383"/>
      <c r="H561" s="383">
        <v>10</v>
      </c>
      <c r="I561" s="383">
        <f t="shared" si="8"/>
        <v>64000000</v>
      </c>
    </row>
    <row r="562" spans="1:9">
      <c r="A562" s="383">
        <v>351021</v>
      </c>
      <c r="B562" s="383" t="s">
        <v>2253</v>
      </c>
      <c r="C562" s="383" t="s">
        <v>2254</v>
      </c>
      <c r="D562" s="383">
        <v>818</v>
      </c>
      <c r="E562" s="383" t="s">
        <v>2039</v>
      </c>
      <c r="F562" s="383">
        <v>4000000</v>
      </c>
      <c r="G562" s="383"/>
      <c r="H562" s="383">
        <v>10</v>
      </c>
      <c r="I562" s="383">
        <f t="shared" si="8"/>
        <v>40000000</v>
      </c>
    </row>
    <row r="563" spans="1:9">
      <c r="A563" s="383">
        <v>351022</v>
      </c>
      <c r="B563" s="383" t="s">
        <v>2255</v>
      </c>
      <c r="C563" s="383" t="s">
        <v>2256</v>
      </c>
      <c r="D563" s="383">
        <v>818</v>
      </c>
      <c r="E563" s="383" t="s">
        <v>2039</v>
      </c>
      <c r="F563" s="383">
        <v>59301150</v>
      </c>
      <c r="G563" s="383"/>
      <c r="H563" s="383">
        <v>10</v>
      </c>
      <c r="I563" s="383">
        <f t="shared" si="8"/>
        <v>593011500</v>
      </c>
    </row>
    <row r="564" spans="1:9">
      <c r="A564" s="383">
        <v>351025</v>
      </c>
      <c r="B564" s="383" t="s">
        <v>2257</v>
      </c>
      <c r="C564" s="383" t="s">
        <v>2258</v>
      </c>
      <c r="D564" s="383">
        <v>818</v>
      </c>
      <c r="E564" s="383" t="s">
        <v>2039</v>
      </c>
      <c r="F564" s="383">
        <v>9000000</v>
      </c>
      <c r="G564" s="383"/>
      <c r="H564" s="383">
        <v>10</v>
      </c>
      <c r="I564" s="383">
        <f t="shared" si="8"/>
        <v>90000000</v>
      </c>
    </row>
    <row r="565" spans="1:9">
      <c r="A565" s="383">
        <v>351050</v>
      </c>
      <c r="B565" s="383" t="s">
        <v>2259</v>
      </c>
      <c r="C565" s="383" t="s">
        <v>641</v>
      </c>
      <c r="D565" s="383">
        <v>818</v>
      </c>
      <c r="E565" s="383" t="s">
        <v>2039</v>
      </c>
      <c r="F565" s="383">
        <v>30157272</v>
      </c>
      <c r="G565" s="383"/>
      <c r="H565" s="383">
        <v>10</v>
      </c>
      <c r="I565" s="383">
        <f t="shared" si="8"/>
        <v>301572720</v>
      </c>
    </row>
    <row r="566" spans="1:9">
      <c r="A566" s="383">
        <v>351060</v>
      </c>
      <c r="B566" s="383" t="s">
        <v>2260</v>
      </c>
      <c r="C566" s="383" t="s">
        <v>2261</v>
      </c>
      <c r="D566" s="383">
        <v>818</v>
      </c>
      <c r="E566" s="383" t="s">
        <v>2039</v>
      </c>
      <c r="F566" s="383">
        <v>2322800</v>
      </c>
      <c r="G566" s="383"/>
      <c r="H566" s="383">
        <v>10</v>
      </c>
      <c r="I566" s="383">
        <f t="shared" si="8"/>
        <v>23228000</v>
      </c>
    </row>
    <row r="567" spans="1:9">
      <c r="A567" s="383">
        <v>351080</v>
      </c>
      <c r="B567" s="383" t="s">
        <v>2262</v>
      </c>
      <c r="C567" s="383" t="s">
        <v>2263</v>
      </c>
      <c r="D567" s="383">
        <v>818</v>
      </c>
      <c r="E567" s="383" t="s">
        <v>2039</v>
      </c>
      <c r="F567" s="383">
        <v>7348950</v>
      </c>
      <c r="G567" s="383"/>
      <c r="H567" s="383">
        <v>10</v>
      </c>
      <c r="I567" s="383">
        <f t="shared" si="8"/>
        <v>73489500</v>
      </c>
    </row>
    <row r="568" spans="1:9">
      <c r="A568" s="383">
        <v>351120</v>
      </c>
      <c r="B568" s="383" t="s">
        <v>2264</v>
      </c>
      <c r="C568" s="383" t="s">
        <v>2265</v>
      </c>
      <c r="D568" s="383">
        <v>818</v>
      </c>
      <c r="E568" s="383" t="s">
        <v>2039</v>
      </c>
      <c r="F568" s="383">
        <v>1633500</v>
      </c>
      <c r="G568" s="383"/>
      <c r="H568" s="383">
        <v>10</v>
      </c>
      <c r="I568" s="383">
        <f t="shared" si="8"/>
        <v>16335000</v>
      </c>
    </row>
    <row r="569" spans="1:9">
      <c r="A569" s="383">
        <v>351185</v>
      </c>
      <c r="B569" s="383" t="s">
        <v>2266</v>
      </c>
      <c r="C569" s="383" t="s">
        <v>2267</v>
      </c>
      <c r="D569" s="383">
        <v>818</v>
      </c>
      <c r="E569" s="383" t="s">
        <v>2039</v>
      </c>
      <c r="F569" s="383">
        <v>7355400</v>
      </c>
      <c r="G569" s="383"/>
      <c r="H569" s="383">
        <v>10</v>
      </c>
      <c r="I569" s="383">
        <f t="shared" si="8"/>
        <v>73554000</v>
      </c>
    </row>
    <row r="570" spans="1:9">
      <c r="A570" s="383">
        <v>351187</v>
      </c>
      <c r="B570" s="383" t="s">
        <v>2268</v>
      </c>
      <c r="C570" s="383" t="s">
        <v>2269</v>
      </c>
      <c r="D570" s="383">
        <v>818</v>
      </c>
      <c r="E570" s="383" t="s">
        <v>2039</v>
      </c>
      <c r="F570" s="383">
        <v>278876604</v>
      </c>
      <c r="G570" s="383"/>
      <c r="H570" s="383">
        <v>10</v>
      </c>
      <c r="I570" s="383">
        <f t="shared" si="8"/>
        <v>2788766040</v>
      </c>
    </row>
    <row r="571" spans="1:9">
      <c r="A571" s="383">
        <v>351210</v>
      </c>
      <c r="B571" s="383" t="s">
        <v>2270</v>
      </c>
      <c r="C571" s="383" t="s">
        <v>2271</v>
      </c>
      <c r="D571" s="383">
        <v>818</v>
      </c>
      <c r="E571" s="383" t="s">
        <v>2039</v>
      </c>
      <c r="F571" s="383">
        <v>18000000</v>
      </c>
      <c r="G571" s="383"/>
      <c r="H571" s="383">
        <v>10</v>
      </c>
      <c r="I571" s="383">
        <f t="shared" si="8"/>
        <v>180000000</v>
      </c>
    </row>
    <row r="572" spans="1:9">
      <c r="A572" s="383">
        <v>351240</v>
      </c>
      <c r="B572" s="383" t="s">
        <v>2272</v>
      </c>
      <c r="C572" s="383" t="s">
        <v>2273</v>
      </c>
      <c r="D572" s="383">
        <v>818</v>
      </c>
      <c r="E572" s="383" t="s">
        <v>2039</v>
      </c>
      <c r="F572" s="383">
        <v>32524250</v>
      </c>
      <c r="G572" s="383"/>
      <c r="H572" s="383">
        <v>10</v>
      </c>
      <c r="I572" s="383">
        <f t="shared" si="8"/>
        <v>325242500</v>
      </c>
    </row>
    <row r="573" spans="1:9">
      <c r="A573" s="383">
        <v>351260</v>
      </c>
      <c r="B573" s="383" t="s">
        <v>2274</v>
      </c>
      <c r="C573" s="383" t="s">
        <v>2275</v>
      </c>
      <c r="D573" s="383">
        <v>818</v>
      </c>
      <c r="E573" s="383" t="s">
        <v>2039</v>
      </c>
      <c r="F573" s="383">
        <v>2507273</v>
      </c>
      <c r="G573" s="383"/>
      <c r="H573" s="383">
        <v>10</v>
      </c>
      <c r="I573" s="383">
        <f t="shared" si="8"/>
        <v>25072730</v>
      </c>
    </row>
    <row r="574" spans="1:9">
      <c r="A574" s="383">
        <v>351270</v>
      </c>
      <c r="B574" s="383" t="s">
        <v>2276</v>
      </c>
      <c r="C574" s="383" t="s">
        <v>2277</v>
      </c>
      <c r="D574" s="383">
        <v>818</v>
      </c>
      <c r="E574" s="383" t="s">
        <v>2039</v>
      </c>
      <c r="F574" s="383">
        <v>54537900</v>
      </c>
      <c r="G574" s="383"/>
      <c r="H574" s="383">
        <v>10</v>
      </c>
      <c r="I574" s="383">
        <f t="shared" si="8"/>
        <v>545379000</v>
      </c>
    </row>
    <row r="575" spans="1:9">
      <c r="A575" s="383">
        <v>351275</v>
      </c>
      <c r="B575" s="383" t="s">
        <v>2278</v>
      </c>
      <c r="C575" s="383" t="s">
        <v>2279</v>
      </c>
      <c r="D575" s="383">
        <v>818</v>
      </c>
      <c r="E575" s="383" t="s">
        <v>2039</v>
      </c>
      <c r="F575" s="383">
        <v>78520090</v>
      </c>
      <c r="G575" s="383"/>
      <c r="H575" s="383">
        <v>10</v>
      </c>
      <c r="I575" s="383">
        <f t="shared" si="8"/>
        <v>785200900</v>
      </c>
    </row>
    <row r="576" spans="1:9">
      <c r="A576" s="383">
        <v>351276</v>
      </c>
      <c r="B576" s="383" t="s">
        <v>2280</v>
      </c>
      <c r="C576" s="383" t="s">
        <v>2281</v>
      </c>
      <c r="D576" s="383">
        <v>818</v>
      </c>
      <c r="E576" s="383" t="s">
        <v>2039</v>
      </c>
      <c r="F576" s="383">
        <v>273511367</v>
      </c>
      <c r="G576" s="383"/>
      <c r="H576" s="383">
        <v>10</v>
      </c>
      <c r="I576" s="383">
        <f t="shared" si="8"/>
        <v>2735113670</v>
      </c>
    </row>
    <row r="577" spans="1:9">
      <c r="A577" s="383">
        <v>351450</v>
      </c>
      <c r="B577" s="383" t="s">
        <v>2282</v>
      </c>
      <c r="C577" s="383" t="s">
        <v>2283</v>
      </c>
      <c r="D577" s="383">
        <v>818</v>
      </c>
      <c r="E577" s="383" t="s">
        <v>2039</v>
      </c>
      <c r="F577" s="383">
        <v>38800000</v>
      </c>
      <c r="G577" s="383"/>
      <c r="H577" s="383">
        <v>10</v>
      </c>
      <c r="I577" s="383">
        <f t="shared" si="8"/>
        <v>388000000</v>
      </c>
    </row>
    <row r="578" spans="1:9">
      <c r="A578" s="383">
        <v>351480</v>
      </c>
      <c r="B578" s="383" t="s">
        <v>2284</v>
      </c>
      <c r="C578" s="383" t="s">
        <v>2285</v>
      </c>
      <c r="D578" s="383">
        <v>818</v>
      </c>
      <c r="E578" s="383" t="s">
        <v>2039</v>
      </c>
      <c r="F578" s="383">
        <v>10800000</v>
      </c>
      <c r="G578" s="383"/>
      <c r="H578" s="383">
        <v>10</v>
      </c>
      <c r="I578" s="383">
        <f t="shared" si="8"/>
        <v>108000000</v>
      </c>
    </row>
    <row r="579" spans="1:9">
      <c r="A579" s="383">
        <v>351500</v>
      </c>
      <c r="B579" s="383" t="s">
        <v>2286</v>
      </c>
      <c r="C579" s="383" t="s">
        <v>2287</v>
      </c>
      <c r="D579" s="383">
        <v>818</v>
      </c>
      <c r="E579" s="383" t="s">
        <v>2039</v>
      </c>
      <c r="F579" s="383">
        <v>26670045</v>
      </c>
      <c r="G579" s="383"/>
      <c r="H579" s="383">
        <v>10</v>
      </c>
      <c r="I579" s="383">
        <f t="shared" ref="I579:I585" si="9">F579*H579</f>
        <v>266700450</v>
      </c>
    </row>
    <row r="580" spans="1:9">
      <c r="A580" s="383">
        <v>400074</v>
      </c>
      <c r="B580" s="383" t="s">
        <v>2288</v>
      </c>
      <c r="C580" s="383" t="s">
        <v>2288</v>
      </c>
      <c r="D580" s="383">
        <v>40</v>
      </c>
      <c r="E580" s="383" t="s">
        <v>2289</v>
      </c>
      <c r="F580" s="383">
        <v>0</v>
      </c>
      <c r="G580" s="383"/>
      <c r="H580" s="383">
        <v>10</v>
      </c>
      <c r="I580" s="383">
        <f t="shared" si="9"/>
        <v>0</v>
      </c>
    </row>
    <row r="581" spans="1:9">
      <c r="A581" s="383">
        <v>400107</v>
      </c>
      <c r="B581" s="383" t="s">
        <v>2290</v>
      </c>
      <c r="C581" s="383" t="s">
        <v>2290</v>
      </c>
      <c r="D581" s="383">
        <v>40</v>
      </c>
      <c r="E581" s="383" t="s">
        <v>2289</v>
      </c>
      <c r="F581" s="383">
        <v>0</v>
      </c>
      <c r="G581" s="383"/>
      <c r="H581" s="383">
        <v>10</v>
      </c>
      <c r="I581" s="383">
        <f t="shared" si="9"/>
        <v>0</v>
      </c>
    </row>
    <row r="582" spans="1:9">
      <c r="A582" s="383">
        <v>400147</v>
      </c>
      <c r="B582" s="383" t="s">
        <v>2291</v>
      </c>
      <c r="C582" s="383" t="s">
        <v>2291</v>
      </c>
      <c r="D582" s="383">
        <v>40</v>
      </c>
      <c r="E582" s="383" t="s">
        <v>2289</v>
      </c>
      <c r="F582" s="383">
        <v>0</v>
      </c>
      <c r="G582" s="383"/>
      <c r="H582" s="383">
        <v>10</v>
      </c>
      <c r="I582" s="383">
        <f t="shared" si="9"/>
        <v>0</v>
      </c>
    </row>
    <row r="583" spans="1:9">
      <c r="A583" s="383">
        <v>400847</v>
      </c>
      <c r="B583" s="383" t="s">
        <v>2292</v>
      </c>
      <c r="C583" s="383" t="s">
        <v>2293</v>
      </c>
      <c r="D583" s="383">
        <v>40</v>
      </c>
      <c r="E583" s="383" t="s">
        <v>2289</v>
      </c>
      <c r="F583" s="383">
        <v>0</v>
      </c>
      <c r="G583" s="383"/>
      <c r="H583" s="383">
        <v>10</v>
      </c>
      <c r="I583" s="383">
        <f t="shared" si="9"/>
        <v>0</v>
      </c>
    </row>
    <row r="584" spans="1:9">
      <c r="A584" s="383">
        <v>421343</v>
      </c>
      <c r="B584" s="383" t="s">
        <v>2294</v>
      </c>
      <c r="C584" s="383" t="s">
        <v>2295</v>
      </c>
      <c r="D584" s="383">
        <v>819</v>
      </c>
      <c r="E584" s="383" t="s">
        <v>1194</v>
      </c>
      <c r="F584" s="383">
        <v>100000000</v>
      </c>
      <c r="G584" s="383"/>
      <c r="H584" s="383">
        <v>10</v>
      </c>
      <c r="I584" s="383">
        <f t="shared" si="9"/>
        <v>1000000000</v>
      </c>
    </row>
    <row r="585" spans="1:9">
      <c r="A585" s="383">
        <v>460000</v>
      </c>
      <c r="B585" s="383" t="s">
        <v>2296</v>
      </c>
      <c r="C585" s="383" t="s">
        <v>2297</v>
      </c>
      <c r="D585" s="383">
        <v>836</v>
      </c>
      <c r="E585" s="383" t="s">
        <v>2298</v>
      </c>
      <c r="F585" s="383">
        <v>2223700000</v>
      </c>
      <c r="G585" s="383"/>
      <c r="H585" s="383">
        <v>10</v>
      </c>
      <c r="I585" s="383">
        <f t="shared" si="9"/>
        <v>22237000000</v>
      </c>
    </row>
  </sheetData>
  <pageMargins left="0.7" right="0.7" top="0.75" bottom="0.75" header="0.3" footer="0.3"/>
  <pageSetup paperSize="9" orientation="portrait" horizontalDpi="30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4"/>
  <sheetViews>
    <sheetView view="pageBreakPreview" topLeftCell="A31" zoomScaleNormal="75" zoomScaleSheetLayoutView="100" workbookViewId="0">
      <selection activeCell="A51" sqref="A51:XFD54"/>
    </sheetView>
  </sheetViews>
  <sheetFormatPr defaultColWidth="9.09765625" defaultRowHeight="13.8"/>
  <cols>
    <col min="1" max="1" width="3.59765625" style="1373" customWidth="1"/>
    <col min="2" max="2" width="5.09765625" style="1372" customWidth="1"/>
    <col min="3" max="3" width="3.09765625" style="1372" customWidth="1"/>
    <col min="4" max="4" width="13.59765625" style="1372" customWidth="1"/>
    <col min="5" max="5" width="10.59765625" style="1372" customWidth="1"/>
    <col min="6" max="6" width="15.59765625" style="1372" hidden="1" customWidth="1"/>
    <col min="7" max="7" width="0.59765625" style="1372" hidden="1" customWidth="1"/>
    <col min="8" max="8" width="16.59765625" style="1372" hidden="1" customWidth="1"/>
    <col min="9" max="9" width="1.09765625" style="1372" hidden="1" customWidth="1"/>
    <col min="10" max="10" width="16.59765625" style="1372" hidden="1" customWidth="1"/>
    <col min="11" max="11" width="0.59765625" style="1372" hidden="1" customWidth="1"/>
    <col min="12" max="12" width="15.59765625" style="1372" hidden="1" customWidth="1"/>
    <col min="13" max="13" width="0.59765625" style="1372" hidden="1" customWidth="1"/>
    <col min="14" max="14" width="15.59765625" style="1372" hidden="1" customWidth="1"/>
    <col min="15" max="15" width="0.59765625" style="1372" hidden="1" customWidth="1"/>
    <col min="16" max="16" width="1.59765625" style="1372" hidden="1" customWidth="1"/>
    <col min="17" max="17" width="13.59765625" style="1372" customWidth="1"/>
    <col min="18" max="18" width="1.09765625" style="1372" customWidth="1"/>
    <col min="19" max="19" width="13.59765625" style="1372" customWidth="1"/>
    <col min="20" max="20" width="1.09765625" style="1372" customWidth="1"/>
    <col min="21" max="21" width="13.59765625" style="1372" customWidth="1"/>
    <col min="22" max="22" width="1.09765625" style="1372" customWidth="1"/>
    <col min="23" max="23" width="13.59765625" style="1372" customWidth="1"/>
    <col min="24" max="24" width="9.09765625" style="1372"/>
    <col min="25" max="25" width="10.5" style="1372" bestFit="1" customWidth="1"/>
    <col min="26" max="16384" width="9.09765625" style="1372"/>
  </cols>
  <sheetData>
    <row r="1" spans="1:23">
      <c r="A1" s="1370" t="s">
        <v>2549</v>
      </c>
      <c r="B1" s="1371" t="s">
        <v>247</v>
      </c>
    </row>
    <row r="3" spans="1:23">
      <c r="B3" s="2460" t="s">
        <v>2479</v>
      </c>
      <c r="C3" s="2460"/>
      <c r="D3" s="2460"/>
      <c r="E3" s="2460"/>
      <c r="F3" s="2460"/>
      <c r="G3" s="2460"/>
      <c r="H3" s="2460"/>
      <c r="I3" s="2460"/>
      <c r="J3" s="2460"/>
      <c r="K3" s="2460"/>
      <c r="L3" s="2460"/>
      <c r="M3" s="2460"/>
      <c r="N3" s="2460"/>
      <c r="O3" s="2460"/>
      <c r="P3" s="2460"/>
      <c r="Q3" s="2460"/>
      <c r="R3" s="2460"/>
      <c r="S3" s="2460"/>
      <c r="T3" s="2460"/>
      <c r="U3" s="2460"/>
      <c r="V3" s="2460"/>
      <c r="W3" s="2460"/>
    </row>
    <row r="4" spans="1:23">
      <c r="B4" s="2460"/>
      <c r="C4" s="2460"/>
      <c r="D4" s="2460"/>
      <c r="E4" s="2460"/>
      <c r="F4" s="2460"/>
      <c r="G4" s="2460"/>
      <c r="H4" s="2460"/>
      <c r="I4" s="2460"/>
      <c r="J4" s="2460"/>
      <c r="K4" s="2460"/>
      <c r="L4" s="2460"/>
      <c r="M4" s="2460"/>
      <c r="N4" s="2460"/>
      <c r="O4" s="2460"/>
      <c r="P4" s="2460"/>
      <c r="Q4" s="2460"/>
      <c r="R4" s="2460"/>
      <c r="S4" s="2460"/>
      <c r="T4" s="2460"/>
      <c r="U4" s="2460"/>
      <c r="V4" s="2460"/>
      <c r="W4" s="2460"/>
    </row>
    <row r="5" spans="1:23">
      <c r="B5" s="2460"/>
      <c r="C5" s="2460"/>
      <c r="D5" s="2460"/>
      <c r="E5" s="2460"/>
      <c r="F5" s="2460"/>
      <c r="G5" s="2460"/>
      <c r="H5" s="2460"/>
      <c r="I5" s="2460"/>
      <c r="J5" s="2460"/>
      <c r="K5" s="2460"/>
      <c r="L5" s="2460"/>
      <c r="M5" s="2460"/>
      <c r="N5" s="2460"/>
      <c r="O5" s="2460"/>
      <c r="P5" s="2460"/>
      <c r="Q5" s="2460"/>
      <c r="R5" s="2460"/>
      <c r="S5" s="2460"/>
      <c r="T5" s="2460"/>
      <c r="U5" s="2460"/>
      <c r="V5" s="2460"/>
      <c r="W5" s="2460"/>
    </row>
    <row r="6" spans="1:23">
      <c r="B6" s="2460"/>
      <c r="C6" s="2460"/>
      <c r="D6" s="2460"/>
      <c r="E6" s="2460"/>
      <c r="F6" s="2460"/>
      <c r="G6" s="2460"/>
      <c r="H6" s="2460"/>
      <c r="I6" s="2460"/>
      <c r="J6" s="2460"/>
      <c r="K6" s="2460"/>
      <c r="L6" s="2460"/>
      <c r="M6" s="2460"/>
      <c r="N6" s="2460"/>
      <c r="O6" s="2460"/>
      <c r="P6" s="2460"/>
      <c r="Q6" s="2460"/>
      <c r="R6" s="2460"/>
      <c r="S6" s="2460"/>
      <c r="T6" s="2460"/>
      <c r="U6" s="2460"/>
      <c r="V6" s="2460"/>
      <c r="W6" s="2460"/>
    </row>
    <row r="7" spans="1:23">
      <c r="B7" s="2460"/>
      <c r="C7" s="2460"/>
      <c r="D7" s="2460"/>
      <c r="E7" s="2460"/>
      <c r="F7" s="2460"/>
      <c r="G7" s="2460"/>
      <c r="H7" s="2460"/>
      <c r="I7" s="2460"/>
      <c r="J7" s="2460"/>
      <c r="K7" s="2460"/>
      <c r="L7" s="2460"/>
      <c r="M7" s="2460"/>
      <c r="N7" s="2460"/>
      <c r="O7" s="2460"/>
      <c r="P7" s="2460"/>
      <c r="Q7" s="2460"/>
      <c r="R7" s="2460"/>
      <c r="S7" s="2460"/>
      <c r="T7" s="2460"/>
      <c r="U7" s="2460"/>
      <c r="V7" s="2460"/>
      <c r="W7" s="2460"/>
    </row>
    <row r="9" spans="1:23">
      <c r="B9" s="2460" t="s">
        <v>2470</v>
      </c>
      <c r="C9" s="2460"/>
      <c r="D9" s="2460"/>
      <c r="E9" s="2460"/>
      <c r="F9" s="2460"/>
      <c r="G9" s="2460"/>
      <c r="H9" s="2460"/>
      <c r="I9" s="2460"/>
      <c r="J9" s="2460"/>
      <c r="K9" s="2460"/>
      <c r="L9" s="2460"/>
      <c r="M9" s="2460"/>
      <c r="N9" s="2460"/>
      <c r="O9" s="2460"/>
      <c r="P9" s="2460"/>
      <c r="Q9" s="2460"/>
      <c r="R9" s="2460"/>
      <c r="S9" s="2460"/>
      <c r="T9" s="2460"/>
      <c r="U9" s="2460"/>
      <c r="V9" s="2460"/>
      <c r="W9" s="2460"/>
    </row>
    <row r="10" spans="1:23">
      <c r="B10" s="2460"/>
      <c r="C10" s="2460"/>
      <c r="D10" s="2460"/>
      <c r="E10" s="2460"/>
      <c r="F10" s="2460"/>
      <c r="G10" s="2460"/>
      <c r="H10" s="2460"/>
      <c r="I10" s="2460"/>
      <c r="J10" s="2460"/>
      <c r="K10" s="2460"/>
      <c r="L10" s="2460"/>
      <c r="M10" s="2460"/>
      <c r="N10" s="2460"/>
      <c r="O10" s="2460"/>
      <c r="P10" s="2460"/>
      <c r="Q10" s="2460"/>
      <c r="R10" s="2460"/>
      <c r="S10" s="2460"/>
      <c r="T10" s="2460"/>
      <c r="U10" s="2460"/>
      <c r="V10" s="2460"/>
      <c r="W10" s="2460"/>
    </row>
    <row r="11" spans="1:23">
      <c r="B11" s="2460"/>
      <c r="C11" s="2460"/>
      <c r="D11" s="2460"/>
      <c r="E11" s="2460"/>
      <c r="F11" s="2460"/>
      <c r="G11" s="2460"/>
      <c r="H11" s="2460"/>
      <c r="I11" s="2460"/>
      <c r="J11" s="2460"/>
      <c r="K11" s="2460"/>
      <c r="L11" s="2460"/>
      <c r="M11" s="2460"/>
      <c r="N11" s="2460"/>
      <c r="O11" s="2460"/>
      <c r="P11" s="2460"/>
      <c r="Q11" s="2460"/>
      <c r="R11" s="2460"/>
      <c r="S11" s="2460"/>
      <c r="T11" s="2460"/>
      <c r="U11" s="2460"/>
      <c r="V11" s="2460"/>
      <c r="W11" s="2460"/>
    </row>
    <row r="13" spans="1:23" ht="15" customHeight="1">
      <c r="B13" s="2460" t="s">
        <v>2471</v>
      </c>
      <c r="C13" s="2460"/>
      <c r="D13" s="2460"/>
      <c r="E13" s="2460"/>
      <c r="F13" s="2460"/>
      <c r="G13" s="2460"/>
      <c r="H13" s="2460"/>
      <c r="I13" s="2460"/>
      <c r="J13" s="2460"/>
      <c r="K13" s="2460"/>
      <c r="L13" s="2460"/>
      <c r="M13" s="2460"/>
      <c r="N13" s="2460"/>
      <c r="O13" s="2460"/>
      <c r="P13" s="2460"/>
      <c r="Q13" s="2460"/>
      <c r="R13" s="2460"/>
      <c r="S13" s="2460"/>
      <c r="T13" s="2460"/>
      <c r="U13" s="2460"/>
      <c r="V13" s="2460"/>
      <c r="W13" s="2460"/>
    </row>
    <row r="14" spans="1:23">
      <c r="B14" s="2460"/>
      <c r="C14" s="2460"/>
      <c r="D14" s="2460"/>
      <c r="E14" s="2460"/>
      <c r="F14" s="2460"/>
      <c r="G14" s="2460"/>
      <c r="H14" s="2460"/>
      <c r="I14" s="2460"/>
      <c r="J14" s="2460"/>
      <c r="K14" s="2460"/>
      <c r="L14" s="2460"/>
      <c r="M14" s="2460"/>
      <c r="N14" s="2460"/>
      <c r="O14" s="2460"/>
      <c r="P14" s="2460"/>
      <c r="Q14" s="2460"/>
      <c r="R14" s="2460"/>
      <c r="S14" s="2460"/>
      <c r="T14" s="2460"/>
      <c r="U14" s="2460"/>
      <c r="V14" s="2460"/>
      <c r="W14" s="2460"/>
    </row>
    <row r="16" spans="1:23">
      <c r="B16" s="1374" t="s">
        <v>2472</v>
      </c>
      <c r="C16" s="1722"/>
      <c r="D16" s="1375" t="s">
        <v>2473</v>
      </c>
      <c r="E16" s="1376"/>
      <c r="F16" s="1376"/>
      <c r="G16" s="1376"/>
      <c r="H16" s="1376"/>
      <c r="I16" s="1376"/>
      <c r="J16" s="1376"/>
      <c r="K16" s="1376"/>
      <c r="L16" s="1376"/>
      <c r="M16" s="1376"/>
      <c r="N16" s="1376"/>
      <c r="O16" s="1376"/>
      <c r="P16" s="1377"/>
      <c r="Q16" s="1376"/>
      <c r="R16" s="1376"/>
      <c r="S16" s="1376"/>
      <c r="T16" s="1376"/>
      <c r="U16" s="1377"/>
    </row>
    <row r="17" spans="1:23">
      <c r="B17" s="1378"/>
      <c r="C17" s="1722"/>
      <c r="D17" s="1376"/>
      <c r="E17" s="1376"/>
      <c r="F17" s="1376"/>
      <c r="G17" s="1376"/>
      <c r="H17" s="1376"/>
      <c r="I17" s="1376"/>
      <c r="J17" s="1376"/>
      <c r="K17" s="1376"/>
      <c r="L17" s="1376"/>
      <c r="M17" s="1376"/>
      <c r="N17" s="1376"/>
      <c r="O17" s="1376"/>
      <c r="P17" s="1377"/>
      <c r="Q17" s="1376"/>
      <c r="R17" s="1376"/>
      <c r="S17" s="1376"/>
      <c r="T17" s="1376"/>
      <c r="U17" s="1377"/>
    </row>
    <row r="18" spans="1:23">
      <c r="B18" s="1374" t="s">
        <v>2474</v>
      </c>
      <c r="C18" s="1722"/>
      <c r="D18" s="2462" t="s">
        <v>2475</v>
      </c>
      <c r="E18" s="2462"/>
      <c r="F18" s="2462"/>
      <c r="G18" s="2462"/>
      <c r="H18" s="2462"/>
      <c r="I18" s="2462"/>
      <c r="J18" s="2462"/>
      <c r="K18" s="2462"/>
      <c r="L18" s="2462"/>
      <c r="M18" s="2462"/>
      <c r="N18" s="2462"/>
      <c r="O18" s="2462"/>
      <c r="P18" s="2462"/>
      <c r="Q18" s="2462"/>
      <c r="R18" s="2462"/>
      <c r="S18" s="2462"/>
      <c r="T18" s="2462"/>
      <c r="U18" s="2462"/>
      <c r="V18" s="2462"/>
      <c r="W18" s="2462"/>
    </row>
    <row r="19" spans="1:23">
      <c r="B19" s="1374"/>
      <c r="C19" s="1722"/>
      <c r="D19" s="2462"/>
      <c r="E19" s="2462"/>
      <c r="F19" s="2462"/>
      <c r="G19" s="2462"/>
      <c r="H19" s="2462"/>
      <c r="I19" s="2462"/>
      <c r="J19" s="2462"/>
      <c r="K19" s="2462"/>
      <c r="L19" s="2462"/>
      <c r="M19" s="2462"/>
      <c r="N19" s="2462"/>
      <c r="O19" s="2462"/>
      <c r="P19" s="2462"/>
      <c r="Q19" s="2462"/>
      <c r="R19" s="2462"/>
      <c r="S19" s="2462"/>
      <c r="T19" s="2462"/>
      <c r="U19" s="2462"/>
      <c r="V19" s="2462"/>
      <c r="W19" s="2462"/>
    </row>
    <row r="20" spans="1:23">
      <c r="B20" s="1378"/>
      <c r="C20" s="1722"/>
      <c r="D20" s="1719"/>
      <c r="E20" s="1719"/>
      <c r="F20" s="1719"/>
      <c r="G20" s="1719"/>
      <c r="H20" s="1719"/>
      <c r="I20" s="1719"/>
      <c r="J20" s="1719"/>
      <c r="K20" s="1719"/>
      <c r="L20" s="1719"/>
      <c r="M20" s="1719"/>
      <c r="N20" s="1719"/>
      <c r="O20" s="1719"/>
      <c r="P20" s="1719"/>
      <c r="Q20" s="1719"/>
      <c r="R20" s="1719"/>
      <c r="S20" s="1719"/>
      <c r="T20" s="1719"/>
      <c r="U20" s="1719"/>
    </row>
    <row r="21" spans="1:23">
      <c r="B21" s="1374" t="s">
        <v>2476</v>
      </c>
      <c r="C21" s="1722"/>
      <c r="D21" s="2460" t="s">
        <v>2477</v>
      </c>
      <c r="E21" s="2460"/>
      <c r="F21" s="2460"/>
      <c r="G21" s="2460"/>
      <c r="H21" s="2460"/>
      <c r="I21" s="2460"/>
      <c r="J21" s="2460"/>
      <c r="K21" s="2460"/>
      <c r="L21" s="2460"/>
      <c r="M21" s="2460"/>
      <c r="N21" s="2460"/>
      <c r="O21" s="2460"/>
      <c r="P21" s="2460"/>
      <c r="Q21" s="2460"/>
      <c r="R21" s="2460"/>
      <c r="S21" s="2460"/>
      <c r="T21" s="2460"/>
      <c r="U21" s="2460"/>
      <c r="V21" s="2460"/>
      <c r="W21" s="2460"/>
    </row>
    <row r="22" spans="1:23">
      <c r="B22" s="1374"/>
      <c r="C22" s="1722"/>
      <c r="D22" s="2460"/>
      <c r="E22" s="2460"/>
      <c r="F22" s="2460"/>
      <c r="G22" s="2460"/>
      <c r="H22" s="2460"/>
      <c r="I22" s="2460"/>
      <c r="J22" s="2460"/>
      <c r="K22" s="2460"/>
      <c r="L22" s="2460"/>
      <c r="M22" s="2460"/>
      <c r="N22" s="2460"/>
      <c r="O22" s="2460"/>
      <c r="P22" s="2460"/>
      <c r="Q22" s="2460"/>
      <c r="R22" s="2460"/>
      <c r="S22" s="2460"/>
      <c r="T22" s="2460"/>
      <c r="U22" s="2460"/>
      <c r="V22" s="2460"/>
      <c r="W22" s="2460"/>
    </row>
    <row r="23" spans="1:23">
      <c r="B23" s="1380"/>
      <c r="C23" s="1722"/>
      <c r="D23" s="1719"/>
      <c r="E23" s="1719"/>
      <c r="F23" s="1719"/>
      <c r="G23" s="1719"/>
      <c r="H23" s="1719"/>
      <c r="I23" s="1719"/>
      <c r="J23" s="1719"/>
      <c r="K23" s="1719"/>
      <c r="L23" s="1719"/>
      <c r="M23" s="1719"/>
      <c r="N23" s="1719"/>
      <c r="O23" s="1719"/>
      <c r="P23" s="1719"/>
      <c r="Q23" s="1719"/>
      <c r="R23" s="1719"/>
      <c r="S23" s="1719"/>
      <c r="T23" s="1719"/>
      <c r="U23" s="1719"/>
    </row>
    <row r="24" spans="1:23">
      <c r="B24" s="2102" t="s">
        <v>2684</v>
      </c>
      <c r="C24" s="1722"/>
      <c r="D24" s="1379"/>
      <c r="E24" s="1719"/>
      <c r="F24" s="1719"/>
      <c r="G24" s="1719"/>
      <c r="H24" s="1719"/>
      <c r="I24" s="1719"/>
      <c r="J24" s="1719"/>
      <c r="K24" s="1719"/>
      <c r="L24" s="1719"/>
      <c r="M24" s="1719"/>
      <c r="N24" s="1719"/>
      <c r="O24" s="1719"/>
      <c r="P24" s="1719"/>
      <c r="Q24" s="1719"/>
      <c r="R24" s="1719"/>
      <c r="S24" s="1719"/>
      <c r="T24" s="1719"/>
      <c r="U24" s="1719"/>
    </row>
    <row r="25" spans="1:23">
      <c r="B25" s="1725"/>
      <c r="C25" s="1722"/>
      <c r="D25" s="1379"/>
      <c r="E25" s="1719"/>
      <c r="F25" s="1719"/>
      <c r="G25" s="1719"/>
      <c r="H25" s="1719"/>
      <c r="I25" s="1719"/>
      <c r="J25" s="1719"/>
      <c r="K25" s="1719"/>
      <c r="L25" s="1719"/>
      <c r="M25" s="1719"/>
      <c r="N25" s="1719"/>
      <c r="O25" s="1719"/>
      <c r="P25" s="1719"/>
      <c r="Q25" s="1719"/>
      <c r="R25" s="1719"/>
      <c r="S25" s="1719"/>
      <c r="T25" s="1719"/>
      <c r="U25" s="1719"/>
    </row>
    <row r="26" spans="1:23">
      <c r="B26" s="1380"/>
      <c r="C26" s="1722"/>
      <c r="D26" s="1719"/>
      <c r="E26" s="1719"/>
      <c r="F26" s="1719"/>
      <c r="G26" s="1719"/>
      <c r="H26" s="1719"/>
      <c r="I26" s="1719"/>
      <c r="J26" s="1719"/>
      <c r="K26" s="1719"/>
      <c r="L26" s="1719"/>
      <c r="M26" s="1719"/>
      <c r="N26" s="1719"/>
      <c r="O26" s="1719"/>
      <c r="P26" s="1719"/>
      <c r="Q26" s="1719"/>
      <c r="R26" s="1719"/>
      <c r="S26" s="1719"/>
      <c r="T26" s="1719"/>
      <c r="U26" s="1719"/>
    </row>
    <row r="27" spans="1:23" s="1723" customFormat="1">
      <c r="A27" s="1712"/>
      <c r="B27" s="1713"/>
      <c r="C27" s="1714"/>
      <c r="E27" s="1720"/>
      <c r="F27" s="1721"/>
      <c r="G27" s="1720"/>
      <c r="H27" s="1721"/>
      <c r="I27" s="1720"/>
      <c r="J27" s="1721"/>
      <c r="K27" s="1720"/>
      <c r="L27" s="1721"/>
      <c r="M27" s="1720"/>
      <c r="N27" s="1721"/>
      <c r="O27" s="1720"/>
      <c r="P27" s="1715"/>
      <c r="Q27" s="1716" t="s">
        <v>212</v>
      </c>
      <c r="R27" s="1717"/>
      <c r="S27" s="1716" t="s">
        <v>213</v>
      </c>
      <c r="T27" s="1717"/>
      <c r="U27" s="1716" t="s">
        <v>214</v>
      </c>
      <c r="V27" s="1718"/>
      <c r="W27" s="1716" t="s">
        <v>44</v>
      </c>
    </row>
    <row r="28" spans="1:23" s="1722" customFormat="1">
      <c r="A28" s="1381"/>
      <c r="B28" s="1382"/>
      <c r="C28" s="1383"/>
      <c r="E28" s="1384"/>
      <c r="F28" s="2461" t="s">
        <v>2478</v>
      </c>
      <c r="G28" s="2461"/>
      <c r="H28" s="2461"/>
      <c r="I28" s="2461"/>
      <c r="J28" s="2461"/>
      <c r="K28" s="2461"/>
      <c r="L28" s="2461"/>
      <c r="M28" s="2461"/>
      <c r="N28" s="2461"/>
      <c r="O28" s="2461"/>
      <c r="P28" s="1616"/>
      <c r="Q28" s="2461" t="s">
        <v>2562</v>
      </c>
      <c r="R28" s="2461"/>
      <c r="S28" s="2461"/>
      <c r="T28" s="2461"/>
      <c r="U28" s="2461"/>
      <c r="V28" s="2461"/>
      <c r="W28" s="2461"/>
    </row>
    <row r="29" spans="1:23" s="1722" customFormat="1">
      <c r="A29" s="1381"/>
      <c r="B29" s="1385" t="s">
        <v>2682</v>
      </c>
      <c r="C29" s="1383"/>
      <c r="D29" s="1383"/>
      <c r="E29" s="1383"/>
      <c r="F29" s="1383"/>
      <c r="G29" s="1383"/>
      <c r="H29" s="1616"/>
      <c r="I29" s="1616"/>
      <c r="J29" s="1616"/>
      <c r="K29" s="1616"/>
      <c r="L29" s="1616"/>
      <c r="M29" s="1616"/>
      <c r="N29" s="1616"/>
      <c r="O29" s="1616"/>
      <c r="P29" s="1616"/>
      <c r="Q29" s="1386"/>
      <c r="R29" s="1386"/>
      <c r="S29" s="1386"/>
      <c r="T29" s="1386"/>
      <c r="U29" s="1386"/>
      <c r="V29" s="1386"/>
      <c r="W29" s="1386"/>
    </row>
    <row r="30" spans="1:23" s="1722" customFormat="1">
      <c r="A30" s="1381"/>
      <c r="B30" s="1399" t="s">
        <v>313</v>
      </c>
      <c r="C30" s="1383"/>
      <c r="D30" s="1383"/>
      <c r="E30" s="1383"/>
      <c r="F30" s="1383"/>
      <c r="G30" s="1383"/>
      <c r="H30" s="1616"/>
      <c r="I30" s="1616"/>
      <c r="J30" s="1616"/>
      <c r="K30" s="1616"/>
      <c r="L30" s="1616"/>
      <c r="M30" s="1616"/>
      <c r="N30" s="1616"/>
      <c r="O30" s="1616"/>
      <c r="P30" s="1616"/>
      <c r="Q30" s="1386"/>
      <c r="R30" s="1386"/>
      <c r="S30" s="1386"/>
      <c r="T30" s="1386"/>
      <c r="U30" s="1386"/>
      <c r="V30" s="1386"/>
      <c r="W30" s="1386"/>
    </row>
    <row r="31" spans="1:23" s="1722" customFormat="1" ht="14.4" thickBot="1">
      <c r="A31" s="1381"/>
      <c r="B31" s="1399" t="s">
        <v>2634</v>
      </c>
      <c r="C31" s="1383"/>
      <c r="D31" s="1383"/>
      <c r="E31" s="1400"/>
      <c r="F31" s="1396">
        <f>BS!F12</f>
        <v>10122239.016000001</v>
      </c>
      <c r="G31" s="1396"/>
      <c r="H31" s="1396"/>
      <c r="I31" s="1396"/>
      <c r="J31" s="1396"/>
      <c r="K31" s="1396"/>
      <c r="L31" s="1396"/>
      <c r="M31" s="1396"/>
      <c r="N31" s="1396">
        <f>F31+H31+J31+L31</f>
        <v>10122239.016000001</v>
      </c>
      <c r="O31" s="1616"/>
      <c r="P31" s="1616"/>
      <c r="Q31" s="1396">
        <f>BS!F12</f>
        <v>10122239.016000001</v>
      </c>
      <c r="R31" s="1386"/>
      <c r="S31" s="1396">
        <v>0</v>
      </c>
      <c r="T31" s="1386"/>
      <c r="U31" s="1396">
        <v>0</v>
      </c>
      <c r="V31" s="1386"/>
      <c r="W31" s="1396">
        <f>SUM(Q31:V31)</f>
        <v>10122239.016000001</v>
      </c>
    </row>
    <row r="32" spans="1:23" s="1722" customFormat="1" ht="14.4" thickTop="1">
      <c r="A32" s="1381"/>
      <c r="B32" s="1387"/>
      <c r="C32" s="1383"/>
      <c r="D32" s="1383"/>
      <c r="E32" s="1383"/>
      <c r="F32" s="1389"/>
      <c r="G32" s="1383"/>
      <c r="H32" s="1616"/>
      <c r="I32" s="1616"/>
      <c r="J32" s="1616"/>
      <c r="K32" s="1616"/>
      <c r="L32" s="1616"/>
      <c r="M32" s="1616"/>
      <c r="N32" s="1616"/>
      <c r="O32" s="1616"/>
      <c r="P32" s="1616"/>
      <c r="Q32" s="1386"/>
      <c r="R32" s="1386"/>
      <c r="S32" s="1386"/>
      <c r="T32" s="1386"/>
      <c r="U32" s="1386"/>
      <c r="V32" s="1386"/>
      <c r="W32" s="1386"/>
    </row>
    <row r="33" spans="1:24" s="1722" customFormat="1">
      <c r="A33" s="1381"/>
      <c r="B33" s="1385" t="s">
        <v>2656</v>
      </c>
      <c r="C33" s="1383"/>
      <c r="D33" s="1383"/>
      <c r="E33" s="1383"/>
      <c r="F33" s="1383"/>
      <c r="G33" s="1383"/>
      <c r="H33" s="1616"/>
      <c r="I33" s="1616"/>
      <c r="J33" s="1616"/>
      <c r="K33" s="1616"/>
      <c r="L33" s="1616"/>
      <c r="M33" s="1616"/>
      <c r="N33" s="1616"/>
      <c r="O33" s="1616"/>
      <c r="P33" s="1616"/>
      <c r="Q33" s="1616"/>
      <c r="R33" s="1616"/>
      <c r="S33" s="1616"/>
      <c r="T33" s="1616"/>
      <c r="U33" s="1616"/>
      <c r="V33" s="1376"/>
      <c r="W33" s="1377"/>
    </row>
    <row r="34" spans="1:24" s="1722" customFormat="1">
      <c r="A34" s="1381"/>
      <c r="B34" s="1399" t="s">
        <v>313</v>
      </c>
      <c r="C34" s="1383"/>
      <c r="D34" s="1383"/>
      <c r="E34" s="1383"/>
      <c r="F34" s="1383"/>
      <c r="G34" s="1383"/>
      <c r="H34" s="1616"/>
      <c r="I34" s="1616"/>
      <c r="J34" s="1616"/>
      <c r="K34" s="1616"/>
      <c r="L34" s="1616"/>
      <c r="M34" s="1616"/>
      <c r="N34" s="1616"/>
      <c r="O34" s="1616"/>
      <c r="P34" s="1616"/>
      <c r="Q34" s="1616"/>
      <c r="R34" s="1616"/>
      <c r="S34" s="1616"/>
      <c r="T34" s="1616"/>
      <c r="U34" s="1616"/>
      <c r="V34" s="1376"/>
      <c r="W34" s="1377"/>
    </row>
    <row r="35" spans="1:24" s="1722" customFormat="1" ht="14.4" thickBot="1">
      <c r="A35" s="1381"/>
      <c r="B35" s="1399" t="s">
        <v>2634</v>
      </c>
      <c r="C35" s="1383"/>
      <c r="D35" s="1383"/>
      <c r="E35" s="1383"/>
      <c r="F35" s="1397">
        <f>BS!H12</f>
        <v>11903844</v>
      </c>
      <c r="G35" s="1397"/>
      <c r="H35" s="1397">
        <v>0</v>
      </c>
      <c r="I35" s="1397"/>
      <c r="J35" s="1397"/>
      <c r="K35" s="1397"/>
      <c r="L35" s="1397">
        <v>0</v>
      </c>
      <c r="M35" s="1397"/>
      <c r="N35" s="1397">
        <f>F35+H35+J35+L35</f>
        <v>11903844</v>
      </c>
      <c r="O35" s="1616"/>
      <c r="P35" s="1616"/>
      <c r="Q35" s="1397">
        <f>BS!H12</f>
        <v>11903844</v>
      </c>
      <c r="R35" s="1390"/>
      <c r="S35" s="1397">
        <v>0</v>
      </c>
      <c r="T35" s="1390"/>
      <c r="U35" s="1397">
        <v>0</v>
      </c>
      <c r="V35" s="1390"/>
      <c r="W35" s="1397">
        <f>Q35+S35+U35</f>
        <v>11903844</v>
      </c>
    </row>
    <row r="36" spans="1:24" s="1722" customFormat="1" ht="14.4" thickTop="1">
      <c r="A36" s="1381"/>
      <c r="B36" s="1388"/>
      <c r="C36" s="1383"/>
      <c r="D36" s="1383"/>
      <c r="E36" s="1383"/>
      <c r="F36" s="1391"/>
      <c r="G36" s="1383"/>
      <c r="H36" s="1392"/>
      <c r="I36" s="1392"/>
      <c r="J36" s="1392"/>
      <c r="K36" s="1392"/>
      <c r="L36" s="1392"/>
      <c r="M36" s="1392"/>
      <c r="N36" s="1392"/>
      <c r="O36" s="1392"/>
      <c r="P36" s="1392"/>
      <c r="Q36" s="1393"/>
      <c r="R36" s="1392"/>
      <c r="S36" s="1392"/>
      <c r="T36" s="1392"/>
      <c r="U36" s="1393"/>
      <c r="V36" s="1394"/>
      <c r="W36" s="1395"/>
    </row>
    <row r="37" spans="1:24">
      <c r="B37" s="2460" t="s">
        <v>2683</v>
      </c>
      <c r="C37" s="2460"/>
      <c r="D37" s="2460"/>
      <c r="E37" s="2460"/>
      <c r="F37" s="2460"/>
      <c r="G37" s="2460"/>
      <c r="H37" s="2460"/>
      <c r="I37" s="2460"/>
      <c r="J37" s="2460"/>
      <c r="K37" s="2460"/>
      <c r="L37" s="2460"/>
      <c r="M37" s="2460"/>
      <c r="N37" s="2460"/>
      <c r="O37" s="2460"/>
      <c r="P37" s="2460"/>
      <c r="Q37" s="2460"/>
      <c r="R37" s="2460"/>
      <c r="S37" s="2460"/>
      <c r="T37" s="2460"/>
      <c r="U37" s="2460"/>
      <c r="V37" s="2460"/>
      <c r="W37" s="2460"/>
    </row>
    <row r="38" spans="1:24">
      <c r="B38" s="2460"/>
      <c r="C38" s="2460"/>
      <c r="D38" s="2460"/>
      <c r="E38" s="2460"/>
      <c r="F38" s="2460"/>
      <c r="G38" s="2460"/>
      <c r="H38" s="2460"/>
      <c r="I38" s="2460"/>
      <c r="J38" s="2460"/>
      <c r="K38" s="2460"/>
      <c r="L38" s="2460"/>
      <c r="M38" s="2460"/>
      <c r="N38" s="2460"/>
      <c r="O38" s="2460"/>
      <c r="P38" s="2460"/>
      <c r="Q38" s="2460"/>
      <c r="R38" s="2460"/>
      <c r="S38" s="2460"/>
      <c r="T38" s="2460"/>
      <c r="U38" s="2460"/>
      <c r="V38" s="2460"/>
      <c r="W38" s="2460"/>
    </row>
    <row r="39" spans="1:24">
      <c r="B39" s="1728"/>
      <c r="C39" s="1728"/>
      <c r="D39" s="1728"/>
      <c r="E39" s="1728"/>
      <c r="F39" s="1728"/>
      <c r="G39" s="1728"/>
      <c r="H39" s="1728"/>
      <c r="I39" s="1728"/>
      <c r="J39" s="1728"/>
      <c r="K39" s="1728"/>
      <c r="L39" s="1728"/>
      <c r="M39" s="1728"/>
      <c r="N39" s="1728"/>
      <c r="O39" s="1728"/>
      <c r="P39" s="1728"/>
      <c r="Q39" s="1728"/>
      <c r="R39" s="1728"/>
      <c r="S39" s="1728"/>
      <c r="T39" s="1728"/>
      <c r="U39" s="1728"/>
      <c r="V39" s="1728"/>
      <c r="W39" s="1728"/>
    </row>
    <row r="40" spans="1:24">
      <c r="B40" s="2460" t="s">
        <v>2569</v>
      </c>
      <c r="C40" s="2460"/>
      <c r="D40" s="2460"/>
      <c r="E40" s="2460"/>
      <c r="F40" s="2460"/>
      <c r="G40" s="2460"/>
      <c r="H40" s="2460"/>
      <c r="I40" s="2460"/>
      <c r="J40" s="2460"/>
      <c r="K40" s="2460"/>
      <c r="L40" s="2460"/>
      <c r="M40" s="2460"/>
      <c r="N40" s="2460"/>
      <c r="O40" s="2460"/>
      <c r="P40" s="2460"/>
      <c r="Q40" s="2460"/>
      <c r="R40" s="2460"/>
      <c r="S40" s="2460"/>
      <c r="T40" s="2460"/>
      <c r="U40" s="2460"/>
      <c r="V40" s="2460"/>
      <c r="W40" s="2460"/>
    </row>
    <row r="41" spans="1:24">
      <c r="B41" s="2460"/>
      <c r="C41" s="2460"/>
      <c r="D41" s="2460"/>
      <c r="E41" s="2460"/>
      <c r="F41" s="2460"/>
      <c r="G41" s="2460"/>
      <c r="H41" s="2460"/>
      <c r="I41" s="2460"/>
      <c r="J41" s="2460"/>
      <c r="K41" s="2460"/>
      <c r="L41" s="2460"/>
      <c r="M41" s="2460"/>
      <c r="N41" s="2460"/>
      <c r="O41" s="2460"/>
      <c r="P41" s="2460"/>
      <c r="Q41" s="2460"/>
      <c r="R41" s="2460"/>
      <c r="S41" s="2460"/>
      <c r="T41" s="2460"/>
      <c r="U41" s="2460"/>
      <c r="V41" s="2460"/>
      <c r="W41" s="2460"/>
    </row>
    <row r="42" spans="1:24">
      <c r="B42" s="2460"/>
      <c r="C42" s="2460"/>
      <c r="D42" s="2460"/>
      <c r="E42" s="2460"/>
      <c r="F42" s="2460"/>
      <c r="G42" s="2460"/>
      <c r="H42" s="2460"/>
      <c r="I42" s="2460"/>
      <c r="J42" s="2460"/>
      <c r="K42" s="2460"/>
      <c r="L42" s="2460"/>
      <c r="M42" s="2460"/>
      <c r="N42" s="2460"/>
      <c r="O42" s="2460"/>
      <c r="P42" s="2460"/>
      <c r="Q42" s="2460"/>
      <c r="R42" s="2460"/>
      <c r="S42" s="2460"/>
      <c r="T42" s="2460"/>
      <c r="U42" s="2460"/>
      <c r="V42" s="2460"/>
      <c r="W42" s="2460"/>
    </row>
    <row r="43" spans="1:24" ht="15" customHeight="1"/>
    <row r="44" spans="1:24" ht="15" customHeight="1">
      <c r="A44" s="1608" t="s">
        <v>2636</v>
      </c>
      <c r="B44" s="1562" t="s">
        <v>2551</v>
      </c>
      <c r="C44" s="1537"/>
      <c r="D44" s="1537"/>
      <c r="E44" s="1537"/>
      <c r="F44" s="1537"/>
      <c r="G44" s="1537"/>
      <c r="H44" s="1537"/>
      <c r="I44" s="1537"/>
      <c r="J44" s="1537"/>
      <c r="K44" s="1537"/>
      <c r="X44" s="1537" t="s">
        <v>2591</v>
      </c>
    </row>
    <row r="45" spans="1:24" ht="15" customHeight="1">
      <c r="A45" s="1607"/>
      <c r="B45" s="1537"/>
      <c r="C45" s="1537"/>
      <c r="D45" s="1537"/>
      <c r="E45" s="1537"/>
      <c r="F45" s="1537"/>
      <c r="G45" s="1537"/>
      <c r="H45" s="1537"/>
      <c r="I45" s="1537"/>
      <c r="J45" s="1537"/>
      <c r="K45" s="1537"/>
    </row>
    <row r="46" spans="1:24" ht="15" customHeight="1">
      <c r="A46" s="1607"/>
      <c r="B46" s="2355" t="s">
        <v>2712</v>
      </c>
      <c r="C46" s="2355"/>
      <c r="D46" s="2355"/>
      <c r="E46" s="2355"/>
      <c r="F46" s="2355"/>
      <c r="G46" s="2355"/>
      <c r="H46" s="2355"/>
      <c r="I46" s="2355"/>
      <c r="J46" s="2355"/>
      <c r="K46" s="2355"/>
      <c r="L46" s="2459"/>
      <c r="M46" s="2459"/>
      <c r="N46" s="2459"/>
      <c r="O46" s="2459"/>
      <c r="P46" s="2459"/>
      <c r="Q46" s="2459"/>
      <c r="R46" s="2459"/>
      <c r="S46" s="2459"/>
      <c r="T46" s="2459"/>
      <c r="U46" s="2459"/>
      <c r="V46" s="2459"/>
      <c r="W46" s="2459"/>
    </row>
    <row r="47" spans="1:24" ht="15" customHeight="1">
      <c r="A47" s="1607"/>
      <c r="B47" s="2355"/>
      <c r="C47" s="2355"/>
      <c r="D47" s="2355"/>
      <c r="E47" s="2355"/>
      <c r="F47" s="2355"/>
      <c r="G47" s="2355"/>
      <c r="H47" s="2355"/>
      <c r="I47" s="2355"/>
      <c r="J47" s="2355"/>
      <c r="K47" s="2355"/>
      <c r="L47" s="2459"/>
      <c r="M47" s="2459"/>
      <c r="N47" s="2459"/>
      <c r="O47" s="2459"/>
      <c r="P47" s="2459"/>
      <c r="Q47" s="2459"/>
      <c r="R47" s="2459"/>
      <c r="S47" s="2459"/>
      <c r="T47" s="2459"/>
      <c r="U47" s="2459"/>
      <c r="V47" s="2459"/>
      <c r="W47" s="2459"/>
    </row>
    <row r="48" spans="1:24" ht="15" customHeight="1">
      <c r="A48" s="1607"/>
      <c r="B48" s="2355"/>
      <c r="C48" s="2355"/>
      <c r="D48" s="2355"/>
      <c r="E48" s="2355"/>
      <c r="F48" s="2355"/>
      <c r="G48" s="2355"/>
      <c r="H48" s="2355"/>
      <c r="I48" s="2355"/>
      <c r="J48" s="2355"/>
      <c r="K48" s="2355"/>
      <c r="L48" s="2459"/>
      <c r="M48" s="2459"/>
      <c r="N48" s="2459"/>
      <c r="O48" s="2459"/>
      <c r="P48" s="2459"/>
      <c r="Q48" s="2459"/>
      <c r="R48" s="2459"/>
      <c r="S48" s="2459"/>
      <c r="T48" s="2459"/>
      <c r="U48" s="2459"/>
      <c r="V48" s="2459"/>
      <c r="W48" s="2459"/>
    </row>
    <row r="49" spans="1:23" ht="15" hidden="1" customHeight="1">
      <c r="A49" s="1607"/>
      <c r="B49" s="2355"/>
      <c r="C49" s="2355"/>
      <c r="D49" s="2355"/>
      <c r="E49" s="2355"/>
      <c r="F49" s="2355"/>
      <c r="G49" s="2355"/>
      <c r="H49" s="2355"/>
      <c r="I49" s="2355"/>
      <c r="J49" s="2355"/>
      <c r="K49" s="2355"/>
      <c r="L49" s="2459"/>
      <c r="M49" s="2459"/>
      <c r="N49" s="2459"/>
      <c r="O49" s="2459"/>
      <c r="P49" s="2459"/>
      <c r="Q49" s="2459"/>
      <c r="R49" s="2459"/>
      <c r="S49" s="2459"/>
      <c r="T49" s="2459"/>
      <c r="U49" s="2459"/>
      <c r="V49" s="2459"/>
      <c r="W49" s="2459"/>
    </row>
    <row r="50" spans="1:23" ht="15" customHeight="1"/>
    <row r="51" spans="1:23" ht="15" customHeight="1">
      <c r="A51" s="1608" t="s">
        <v>2637</v>
      </c>
      <c r="B51" s="1562" t="s">
        <v>140</v>
      </c>
      <c r="C51" s="1530"/>
      <c r="D51" s="1604"/>
      <c r="E51" s="1604"/>
      <c r="F51" s="1604"/>
      <c r="G51" s="1604"/>
      <c r="H51" s="1604"/>
      <c r="I51" s="1604"/>
      <c r="J51" s="1604"/>
      <c r="K51" s="1604"/>
    </row>
    <row r="52" spans="1:23" ht="15" customHeight="1">
      <c r="A52" s="1530"/>
      <c r="B52" s="1611"/>
      <c r="C52" s="1611"/>
      <c r="D52" s="1611"/>
      <c r="E52" s="1611"/>
      <c r="F52" s="1611"/>
      <c r="G52" s="1611"/>
      <c r="H52" s="1611"/>
      <c r="I52" s="1611"/>
      <c r="J52" s="1611"/>
      <c r="K52" s="1611"/>
    </row>
    <row r="53" spans="1:23" ht="15" customHeight="1">
      <c r="A53" s="1610"/>
      <c r="B53" s="1729" t="s">
        <v>2638</v>
      </c>
      <c r="C53" s="1612" t="s">
        <v>2548</v>
      </c>
      <c r="D53" s="1611"/>
      <c r="E53" s="1611"/>
      <c r="F53" s="1611"/>
      <c r="G53" s="1611"/>
      <c r="H53" s="1611"/>
      <c r="I53" s="1611"/>
      <c r="J53" s="1611"/>
      <c r="K53" s="1611"/>
    </row>
    <row r="54" spans="1:23" ht="15" customHeight="1">
      <c r="A54" s="1610"/>
      <c r="B54" s="1612"/>
      <c r="C54" s="1611"/>
      <c r="D54" s="1611"/>
      <c r="E54" s="1611"/>
      <c r="F54" s="1611"/>
      <c r="G54" s="1611"/>
      <c r="H54" s="1611"/>
      <c r="I54" s="1611"/>
      <c r="J54" s="1611"/>
      <c r="K54" s="1611"/>
    </row>
  </sheetData>
  <mergeCells count="10">
    <mergeCell ref="B46:W49"/>
    <mergeCell ref="B40:W42"/>
    <mergeCell ref="B37:W38"/>
    <mergeCell ref="Q28:W28"/>
    <mergeCell ref="B3:W7"/>
    <mergeCell ref="B9:W11"/>
    <mergeCell ref="F28:O28"/>
    <mergeCell ref="D18:W19"/>
    <mergeCell ref="D21:W22"/>
    <mergeCell ref="B13:W14"/>
  </mergeCells>
  <pageMargins left="0.75" right="0.25" top="0.75" bottom="0" header="0.25" footer="0"/>
  <pageSetup paperSize="9" scale="90" firstPageNumber="17" fitToHeight="0" orientation="portrait" useFirstPageNumber="1" r:id="rId1"/>
  <headerFooter>
    <oddHeader>&amp;C&amp;"Arial Black,Regular"&amp;11&amp;P&amp;R&amp;"Arial Black,Regular"&amp;11MCB PAKISTAN STOCK MARKET FUND</oddHead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8"/>
  <sheetViews>
    <sheetView view="pageBreakPreview" topLeftCell="A43" zoomScale="90" zoomScaleSheetLayoutView="90" workbookViewId="0">
      <selection activeCell="M2" sqref="M2"/>
    </sheetView>
  </sheetViews>
  <sheetFormatPr defaultColWidth="9" defaultRowHeight="13.8"/>
  <cols>
    <col min="1" max="1" width="4.09765625" style="1402" customWidth="1"/>
    <col min="2" max="2" width="6.09765625" style="1402" bestFit="1" customWidth="1"/>
    <col min="3" max="3" width="51" style="1402" customWidth="1"/>
    <col min="4" max="4" width="11.5" style="1402" customWidth="1"/>
    <col min="5" max="5" width="13.09765625" style="1402" customWidth="1"/>
    <col min="6" max="6" width="11.5" style="1402" customWidth="1"/>
    <col min="7" max="7" width="12.3984375" style="1402" customWidth="1"/>
    <col min="8" max="8" width="1" style="1402" customWidth="1"/>
    <col min="9" max="9" width="11" style="1402" customWidth="1"/>
    <col min="10" max="10" width="13.09765625" style="1402" customWidth="1"/>
    <col min="11" max="12" width="11.5" style="1402" customWidth="1"/>
    <col min="13" max="13" width="11.8984375" style="1402" bestFit="1" customWidth="1"/>
    <col min="14" max="14" width="9.5" style="1402" bestFit="1" customWidth="1"/>
    <col min="15" max="16384" width="9" style="1402"/>
  </cols>
  <sheetData>
    <row r="1" spans="1:14">
      <c r="A1" s="1530"/>
      <c r="B1" s="1562"/>
      <c r="C1" s="1552"/>
      <c r="D1" s="2213"/>
      <c r="E1" s="2214"/>
      <c r="F1" s="2214"/>
      <c r="G1" s="2214"/>
      <c r="H1" s="2214"/>
      <c r="I1" s="2214"/>
      <c r="J1" s="2214"/>
      <c r="K1" s="2214"/>
      <c r="L1" s="2214"/>
    </row>
    <row r="2" spans="1:14">
      <c r="A2" s="1530"/>
      <c r="B2" s="1562"/>
      <c r="C2" s="1552"/>
      <c r="D2" s="2478" t="s">
        <v>2917</v>
      </c>
      <c r="E2" s="2479"/>
      <c r="F2" s="2479"/>
      <c r="G2" s="2479"/>
      <c r="H2" s="2479"/>
      <c r="I2" s="2479"/>
      <c r="J2" s="2479"/>
      <c r="K2" s="2479"/>
      <c r="L2" s="2479"/>
    </row>
    <row r="3" spans="1:14" ht="14.1" customHeight="1">
      <c r="A3" s="1530"/>
      <c r="B3" s="1562"/>
      <c r="C3" s="1552"/>
      <c r="D3" s="2471" t="s">
        <v>2809</v>
      </c>
      <c r="E3" s="2474" t="s">
        <v>2333</v>
      </c>
      <c r="F3" s="2474" t="s">
        <v>2334</v>
      </c>
      <c r="G3" s="2474" t="s">
        <v>2818</v>
      </c>
      <c r="H3" s="1452"/>
      <c r="I3" s="2471" t="str">
        <f>D3</f>
        <v>As at July 01, 2021</v>
      </c>
      <c r="J3" s="2474" t="s">
        <v>2335</v>
      </c>
      <c r="K3" s="2474" t="s">
        <v>2334</v>
      </c>
      <c r="L3" s="2474" t="str">
        <f>+G3</f>
        <v>As at
March
31, 2022</v>
      </c>
    </row>
    <row r="4" spans="1:14">
      <c r="A4" s="1530"/>
      <c r="B4" s="1562"/>
      <c r="C4" s="1552"/>
      <c r="D4" s="2472"/>
      <c r="E4" s="2475"/>
      <c r="F4" s="2475"/>
      <c r="G4" s="2475"/>
      <c r="H4" s="1452"/>
      <c r="I4" s="2472"/>
      <c r="J4" s="2475"/>
      <c r="K4" s="2475"/>
      <c r="L4" s="2475"/>
      <c r="M4" s="1402">
        <v>77.423000000000002</v>
      </c>
    </row>
    <row r="5" spans="1:14">
      <c r="A5" s="1530"/>
      <c r="B5" s="1562"/>
      <c r="C5" s="1552"/>
      <c r="D5" s="2472"/>
      <c r="E5" s="2475"/>
      <c r="F5" s="2475"/>
      <c r="G5" s="2475"/>
      <c r="H5" s="1452"/>
      <c r="I5" s="2472"/>
      <c r="J5" s="2475"/>
      <c r="K5" s="2475"/>
      <c r="L5" s="2475"/>
      <c r="M5" s="1402">
        <f>+BS!F40</f>
        <v>98.582899999999995</v>
      </c>
    </row>
    <row r="6" spans="1:14">
      <c r="A6" s="1966" t="s">
        <v>2775</v>
      </c>
      <c r="B6" s="1552" t="s">
        <v>2331</v>
      </c>
      <c r="C6" s="1552"/>
      <c r="D6" s="2473"/>
      <c r="E6" s="2476"/>
      <c r="F6" s="2476"/>
      <c r="G6" s="2476"/>
      <c r="H6" s="1452"/>
      <c r="I6" s="2473"/>
      <c r="J6" s="2476"/>
      <c r="K6" s="2476"/>
      <c r="L6" s="2476"/>
    </row>
    <row r="7" spans="1:14">
      <c r="A7" s="1530"/>
      <c r="B7" s="1562"/>
      <c r="C7" s="1552"/>
      <c r="D7" s="2477" t="s">
        <v>2536</v>
      </c>
      <c r="E7" s="2477"/>
      <c r="F7" s="2477"/>
      <c r="G7" s="2477"/>
      <c r="H7" s="1965"/>
      <c r="I7" s="2477" t="s">
        <v>2535</v>
      </c>
      <c r="J7" s="2477"/>
      <c r="K7" s="2477"/>
      <c r="L7" s="2477"/>
    </row>
    <row r="8" spans="1:14">
      <c r="B8" s="1401" t="s">
        <v>2621</v>
      </c>
      <c r="D8" s="1562"/>
      <c r="E8" s="1562"/>
      <c r="F8" s="1530"/>
      <c r="G8" s="1530"/>
      <c r="H8" s="1530"/>
      <c r="I8" s="1530"/>
      <c r="J8" s="1530"/>
      <c r="K8" s="1557"/>
      <c r="L8" s="2266"/>
    </row>
    <row r="9" spans="1:14">
      <c r="B9" s="2304" t="s">
        <v>576</v>
      </c>
      <c r="D9" s="1507">
        <v>1415390.8318999999</v>
      </c>
      <c r="E9" s="1507">
        <v>742947</v>
      </c>
      <c r="F9" s="1507">
        <v>1415390.7649999999</v>
      </c>
      <c r="G9" s="1507">
        <f>+D9+E9-F9</f>
        <v>742947.06689999974</v>
      </c>
      <c r="H9" s="1507"/>
      <c r="I9" s="1507">
        <f>(D9*$M$4)/1000</f>
        <v>109583.80437819369</v>
      </c>
      <c r="J9" s="1507">
        <v>75000</v>
      </c>
      <c r="K9" s="1507">
        <v>140830.43915000002</v>
      </c>
      <c r="L9" s="1507">
        <f>(G9*$M$5)/1000</f>
        <v>73241.876401495974</v>
      </c>
      <c r="M9" s="1920">
        <f>+I9+J9-K9</f>
        <v>43753.365228193667</v>
      </c>
      <c r="N9" s="1920">
        <f>+L9-M9</f>
        <v>29488.511173302308</v>
      </c>
    </row>
    <row r="10" spans="1:14" ht="10.35" customHeight="1">
      <c r="A10" s="1530"/>
      <c r="B10" s="1552"/>
      <c r="D10" s="1562"/>
      <c r="E10" s="1562"/>
      <c r="F10" s="1562"/>
      <c r="G10" s="1562"/>
      <c r="H10" s="1562"/>
      <c r="I10" s="1562"/>
      <c r="J10" s="1562"/>
      <c r="K10" s="1557"/>
      <c r="L10" s="2266"/>
    </row>
    <row r="11" spans="1:14">
      <c r="B11" s="1562" t="s">
        <v>2668</v>
      </c>
      <c r="D11" s="1562"/>
      <c r="E11" s="1562"/>
      <c r="F11" s="1562"/>
      <c r="G11" s="1562"/>
      <c r="H11" s="1562"/>
      <c r="I11" s="1562"/>
      <c r="J11" s="1562"/>
      <c r="K11" s="1557"/>
      <c r="L11" s="2266"/>
    </row>
    <row r="12" spans="1:14">
      <c r="B12" s="1182" t="s">
        <v>2640</v>
      </c>
      <c r="D12" s="1507">
        <v>106179.1344</v>
      </c>
      <c r="E12" s="1507">
        <v>49003</v>
      </c>
      <c r="F12" s="1507">
        <v>155182.13440000001</v>
      </c>
      <c r="G12" s="2305">
        <f t="shared" ref="G12:G17" si="0">+D12+E12-F12</f>
        <v>0</v>
      </c>
      <c r="H12" s="1507"/>
      <c r="I12" s="1507">
        <f t="shared" ref="I12:I20" si="1">(D12*$M$4)/1000</f>
        <v>8220.7071226511998</v>
      </c>
      <c r="J12" s="1507">
        <v>5097.38</v>
      </c>
      <c r="K12" s="1507">
        <v>15321.839330000001</v>
      </c>
      <c r="L12" s="1507">
        <f t="shared" ref="L12:L20" si="2">(G12*$M$5)/1000</f>
        <v>0</v>
      </c>
      <c r="M12" s="1920">
        <f>+I12+J12-K12</f>
        <v>-2003.7522073488017</v>
      </c>
      <c r="N12" s="1920">
        <f>+L12-M12</f>
        <v>2003.7522073488017</v>
      </c>
    </row>
    <row r="13" spans="1:14">
      <c r="B13" s="1182" t="s">
        <v>1087</v>
      </c>
      <c r="C13" s="1401"/>
      <c r="D13" s="1507">
        <v>35917385.082900003</v>
      </c>
      <c r="E13" s="1507">
        <v>6660065</v>
      </c>
      <c r="F13" s="1507">
        <v>2873581.7280000001</v>
      </c>
      <c r="G13" s="1507">
        <f t="shared" si="0"/>
        <v>39703868.354900002</v>
      </c>
      <c r="H13" s="1507"/>
      <c r="I13" s="1507">
        <f t="shared" si="1"/>
        <v>2780831.705273367</v>
      </c>
      <c r="J13" s="1507">
        <v>665000</v>
      </c>
      <c r="K13" s="1507">
        <v>293000</v>
      </c>
      <c r="L13" s="1507">
        <f t="shared" si="2"/>
        <v>3914122.4836442713</v>
      </c>
      <c r="M13" s="1920">
        <f t="shared" ref="M13:M26" si="3">+I13+J13-K13</f>
        <v>3152831.705273367</v>
      </c>
      <c r="N13" s="1920">
        <f t="shared" ref="N13:N22" si="4">+L13-M13</f>
        <v>761290.77837090427</v>
      </c>
    </row>
    <row r="14" spans="1:14">
      <c r="B14" s="1182" t="s">
        <v>2346</v>
      </c>
      <c r="D14" s="1507">
        <v>1609457</v>
      </c>
      <c r="E14" s="1507">
        <v>306633</v>
      </c>
      <c r="F14" s="1507">
        <v>1916090</v>
      </c>
      <c r="G14" s="2306">
        <f t="shared" si="0"/>
        <v>0</v>
      </c>
      <c r="H14" s="1507"/>
      <c r="I14" s="1507">
        <f t="shared" si="1"/>
        <v>124608.989311</v>
      </c>
      <c r="J14" s="1507">
        <v>32000</v>
      </c>
      <c r="K14" s="1507">
        <v>201356.21655000001</v>
      </c>
      <c r="L14" s="1507">
        <f t="shared" si="2"/>
        <v>0</v>
      </c>
      <c r="M14" s="1920">
        <f t="shared" si="3"/>
        <v>-44747.227239000029</v>
      </c>
      <c r="N14" s="1920">
        <f t="shared" si="4"/>
        <v>44747.227239000029</v>
      </c>
    </row>
    <row r="15" spans="1:14">
      <c r="B15" s="1182" t="s">
        <v>2830</v>
      </c>
      <c r="D15" s="1507">
        <v>0</v>
      </c>
      <c r="E15" s="1507">
        <v>19165</v>
      </c>
      <c r="F15" s="1507">
        <v>0</v>
      </c>
      <c r="G15" s="1507">
        <f t="shared" si="0"/>
        <v>19165</v>
      </c>
      <c r="H15" s="1507"/>
      <c r="I15" s="1507">
        <v>0</v>
      </c>
      <c r="J15" s="1507">
        <v>2000</v>
      </c>
      <c r="K15" s="1507">
        <v>0</v>
      </c>
      <c r="L15" s="1507">
        <f t="shared" si="2"/>
        <v>1889.3412785</v>
      </c>
      <c r="M15" s="1920">
        <f t="shared" ref="M15" si="5">+I15+J15-K15</f>
        <v>2000</v>
      </c>
      <c r="N15" s="1920">
        <f t="shared" ref="N15" si="6">+L15-M15</f>
        <v>-110.65872149999996</v>
      </c>
    </row>
    <row r="16" spans="1:14">
      <c r="B16" s="1182" t="s">
        <v>2641</v>
      </c>
      <c r="D16" s="1507">
        <v>428789.7194</v>
      </c>
      <c r="E16" s="1507">
        <v>191296</v>
      </c>
      <c r="F16" s="1507">
        <v>620085.71940000006</v>
      </c>
      <c r="G16" s="2307">
        <f t="shared" si="0"/>
        <v>0</v>
      </c>
      <c r="H16" s="1507"/>
      <c r="I16" s="1507">
        <f t="shared" si="1"/>
        <v>33198.186445106199</v>
      </c>
      <c r="J16" s="1507">
        <v>19898.746859999999</v>
      </c>
      <c r="K16" s="1507">
        <v>63232.90713</v>
      </c>
      <c r="L16" s="1507">
        <f t="shared" si="2"/>
        <v>0</v>
      </c>
      <c r="M16" s="1920">
        <f t="shared" si="3"/>
        <v>-10135.973824893801</v>
      </c>
      <c r="N16" s="1920">
        <f t="shared" si="4"/>
        <v>10135.973824893801</v>
      </c>
    </row>
    <row r="17" spans="1:14">
      <c r="B17" s="1182" t="s">
        <v>2639</v>
      </c>
      <c r="D17" s="1507">
        <v>199264.73240000001</v>
      </c>
      <c r="E17" s="1507">
        <v>0</v>
      </c>
      <c r="F17" s="1507">
        <v>0</v>
      </c>
      <c r="G17" s="1507">
        <f t="shared" si="0"/>
        <v>199264.73240000001</v>
      </c>
      <c r="H17" s="1507"/>
      <c r="I17" s="1507">
        <f t="shared" si="1"/>
        <v>15427.673376605202</v>
      </c>
      <c r="J17" s="1507">
        <v>0</v>
      </c>
      <c r="K17" s="1507">
        <v>0</v>
      </c>
      <c r="L17" s="1507">
        <f t="shared" si="2"/>
        <v>19644.09518771596</v>
      </c>
      <c r="M17" s="1920">
        <f t="shared" si="3"/>
        <v>15427.673376605202</v>
      </c>
      <c r="N17" s="1920">
        <f t="shared" si="4"/>
        <v>4216.4218111107584</v>
      </c>
    </row>
    <row r="18" spans="1:14">
      <c r="B18" s="1182" t="s">
        <v>2612</v>
      </c>
      <c r="D18" s="1507">
        <v>40726.106599999999</v>
      </c>
      <c r="E18" s="1507">
        <v>0</v>
      </c>
      <c r="F18" s="1507">
        <v>7688.5320000000002</v>
      </c>
      <c r="G18" s="1507">
        <f>+D18+E18-F18</f>
        <v>33037.5746</v>
      </c>
      <c r="H18" s="1507"/>
      <c r="I18" s="1507">
        <f t="shared" si="1"/>
        <v>3153.1373512917999</v>
      </c>
      <c r="J18" s="1507">
        <v>0</v>
      </c>
      <c r="K18" s="1507">
        <v>750</v>
      </c>
      <c r="L18" s="1507">
        <f t="shared" si="2"/>
        <v>3256.93991303434</v>
      </c>
      <c r="M18" s="1920">
        <f t="shared" si="3"/>
        <v>2403.1373512917999</v>
      </c>
      <c r="N18" s="1920">
        <f t="shared" si="4"/>
        <v>853.80256174254009</v>
      </c>
    </row>
    <row r="19" spans="1:14">
      <c r="B19" s="1182" t="s">
        <v>2831</v>
      </c>
      <c r="D19" s="2308">
        <v>836.26909999999998</v>
      </c>
      <c r="E19" s="2308">
        <v>203</v>
      </c>
      <c r="F19" s="1507">
        <v>1039.2691</v>
      </c>
      <c r="G19" s="2307">
        <f t="shared" ref="G19:G20" si="7">+D19+E19-F19</f>
        <v>0</v>
      </c>
      <c r="H19" s="1507"/>
      <c r="I19" s="1507">
        <f t="shared" si="1"/>
        <v>64.746462529300004</v>
      </c>
      <c r="J19" s="1507">
        <v>21.254000000000001</v>
      </c>
      <c r="K19" s="1507">
        <v>101.20478</v>
      </c>
      <c r="L19" s="1507">
        <f t="shared" si="2"/>
        <v>0</v>
      </c>
      <c r="M19" s="1920"/>
      <c r="N19" s="1920"/>
    </row>
    <row r="20" spans="1:14">
      <c r="B20" s="1182" t="s">
        <v>2832</v>
      </c>
      <c r="D20" s="1507">
        <v>97462.438699999999</v>
      </c>
      <c r="E20" s="1507">
        <v>0</v>
      </c>
      <c r="F20" s="1507">
        <v>0</v>
      </c>
      <c r="G20" s="1507">
        <f t="shared" si="7"/>
        <v>97462.438699999999</v>
      </c>
      <c r="H20" s="1507"/>
      <c r="I20" s="1507">
        <f t="shared" si="1"/>
        <v>7545.8343914700999</v>
      </c>
      <c r="J20" s="1507">
        <v>0</v>
      </c>
      <c r="K20" s="1507">
        <v>0</v>
      </c>
      <c r="L20" s="1507">
        <f t="shared" si="2"/>
        <v>9608.1298481182293</v>
      </c>
      <c r="M20" s="1920"/>
      <c r="N20" s="1920"/>
    </row>
    <row r="21" spans="1:14" ht="15.75" customHeight="1">
      <c r="A21" s="1530"/>
      <c r="B21" s="1552"/>
      <c r="D21" s="1562"/>
      <c r="E21" s="1562"/>
      <c r="F21" s="1562"/>
      <c r="G21" s="1507"/>
      <c r="H21" s="1562"/>
      <c r="I21" s="1562"/>
      <c r="J21" s="1562"/>
      <c r="K21" s="1557"/>
      <c r="L21" s="2266"/>
    </row>
    <row r="22" spans="1:14">
      <c r="B22" s="1401" t="s">
        <v>2635</v>
      </c>
      <c r="D22" s="1507">
        <v>139320.3149</v>
      </c>
      <c r="E22" s="1507">
        <v>882462</v>
      </c>
      <c r="F22" s="1507">
        <v>998529.62400000007</v>
      </c>
      <c r="G22" s="1507">
        <f>+D22+E22-F22</f>
        <v>23252.690899999929</v>
      </c>
      <c r="H22" s="1507"/>
      <c r="I22" s="1507">
        <f>(D22*$M$4)/1000</f>
        <v>10786.5967405027</v>
      </c>
      <c r="J22" s="1507">
        <v>88684.493560000003</v>
      </c>
      <c r="K22" s="1507">
        <v>100860.3285</v>
      </c>
      <c r="L22" s="1507">
        <f>(G22*$M$5)/1000</f>
        <v>2292.317701725603</v>
      </c>
      <c r="M22" s="1920">
        <f t="shared" si="3"/>
        <v>-1389.2381994972966</v>
      </c>
      <c r="N22" s="1920">
        <f t="shared" si="4"/>
        <v>3681.5559012228996</v>
      </c>
    </row>
    <row r="23" spans="1:14">
      <c r="D23" s="1507"/>
      <c r="E23" s="1507"/>
      <c r="F23" s="1507"/>
      <c r="G23" s="1507"/>
      <c r="H23" s="1507"/>
      <c r="I23" s="1507"/>
      <c r="J23" s="1507"/>
      <c r="K23" s="1507"/>
      <c r="L23" s="1507"/>
    </row>
    <row r="24" spans="1:14">
      <c r="B24" s="1401" t="s">
        <v>2783</v>
      </c>
      <c r="D24" s="1507">
        <v>1986606.4130000004</v>
      </c>
      <c r="E24" s="1507">
        <v>1212590</v>
      </c>
      <c r="F24" s="1507">
        <v>1822155.9509999999</v>
      </c>
      <c r="G24" s="1507">
        <f>+D24+E24-F24</f>
        <v>1377040.4620000008</v>
      </c>
      <c r="H24" s="1507"/>
      <c r="I24" s="1507">
        <f>(D24*$M$4)/1000</f>
        <v>153809.02831369903</v>
      </c>
      <c r="J24" s="1507">
        <v>123858.00767000002</v>
      </c>
      <c r="K24" s="1507">
        <v>179209.63939000003</v>
      </c>
      <c r="L24" s="1507">
        <f>(G24*$M$5)/1000</f>
        <v>135752.64216129985</v>
      </c>
      <c r="M24" s="1920">
        <f t="shared" si="3"/>
        <v>98457.396593698999</v>
      </c>
      <c r="N24" s="1920">
        <f>+L24-M24</f>
        <v>37295.245567600854</v>
      </c>
    </row>
    <row r="25" spans="1:14" ht="10.35" customHeight="1">
      <c r="B25" s="1401"/>
      <c r="D25" s="1507"/>
      <c r="E25" s="1507"/>
      <c r="F25" s="1507"/>
      <c r="G25" s="1507"/>
      <c r="H25" s="1507"/>
      <c r="I25" s="1507"/>
      <c r="J25" s="1507"/>
      <c r="K25" s="1507"/>
      <c r="L25" s="1507"/>
    </row>
    <row r="26" spans="1:14" ht="14.1" customHeight="1">
      <c r="A26" s="1556"/>
      <c r="B26" s="2485" t="s">
        <v>2784</v>
      </c>
      <c r="C26" s="2485"/>
      <c r="D26" s="1507">
        <v>11370827.1961</v>
      </c>
      <c r="E26" s="1507">
        <v>1193251.8922000001</v>
      </c>
      <c r="F26" s="1507">
        <v>0</v>
      </c>
      <c r="G26" s="1507">
        <f>+D26+E26-F26</f>
        <v>12564079.088300001</v>
      </c>
      <c r="H26" s="1507">
        <v>0</v>
      </c>
      <c r="I26" s="1507">
        <f>(D26*$M$4)/1000</f>
        <v>880363.55400365032</v>
      </c>
      <c r="J26" s="1507">
        <v>120480</v>
      </c>
      <c r="K26" s="1507">
        <v>0</v>
      </c>
      <c r="L26" s="1507">
        <f>(G26*$M$5)/1000</f>
        <v>1238603.3523539701</v>
      </c>
      <c r="M26" s="1920">
        <f t="shared" si="3"/>
        <v>1000843.5540036503</v>
      </c>
      <c r="N26" s="1920">
        <f>+L26-M26</f>
        <v>237759.79835031973</v>
      </c>
    </row>
    <row r="27" spans="1:14" ht="14.1" customHeight="1">
      <c r="A27" s="1556"/>
      <c r="B27" s="2159"/>
      <c r="C27" s="2159"/>
      <c r="D27" s="1507"/>
      <c r="E27" s="1507"/>
      <c r="F27" s="1507"/>
      <c r="G27" s="1507"/>
      <c r="H27" s="1507"/>
      <c r="I27" s="1507"/>
      <c r="J27" s="1507"/>
      <c r="K27" s="1507"/>
      <c r="L27" s="1507"/>
    </row>
    <row r="28" spans="1:14" ht="14.1" customHeight="1">
      <c r="A28" s="1556"/>
      <c r="B28" s="2480" t="s">
        <v>2819</v>
      </c>
      <c r="C28" s="2480"/>
      <c r="D28" s="2480"/>
      <c r="E28" s="2480"/>
      <c r="F28" s="2480"/>
      <c r="G28" s="2480"/>
      <c r="H28" s="1507"/>
      <c r="I28" s="1507"/>
      <c r="J28" s="1507"/>
      <c r="K28" s="1507"/>
      <c r="L28" s="1507"/>
    </row>
    <row r="29" spans="1:14">
      <c r="A29" s="1556"/>
      <c r="B29" s="2159"/>
      <c r="C29" s="2150"/>
      <c r="D29" s="1507"/>
      <c r="E29" s="1507"/>
      <c r="F29" s="1507"/>
      <c r="G29" s="1507"/>
      <c r="H29" s="1507"/>
      <c r="I29" s="1507"/>
      <c r="J29" s="1507"/>
      <c r="K29" s="1507"/>
      <c r="L29" s="1507"/>
    </row>
    <row r="30" spans="1:14">
      <c r="A30" s="1530"/>
      <c r="B30" s="1562"/>
      <c r="C30" s="1552"/>
      <c r="D30" s="2463" t="s">
        <v>2780</v>
      </c>
      <c r="E30" s="2464"/>
      <c r="F30" s="2464"/>
      <c r="G30" s="2464"/>
      <c r="H30" s="2464"/>
      <c r="I30" s="2464"/>
      <c r="J30" s="2464"/>
      <c r="K30" s="2464"/>
      <c r="L30" s="2464"/>
    </row>
    <row r="31" spans="1:14" ht="15" customHeight="1">
      <c r="A31" s="1530"/>
      <c r="B31" s="1562"/>
      <c r="C31" s="2309"/>
      <c r="D31" s="2482" t="s">
        <v>2643</v>
      </c>
      <c r="E31" s="2468" t="s">
        <v>2333</v>
      </c>
      <c r="F31" s="2468" t="s">
        <v>2334</v>
      </c>
      <c r="G31" s="2468" t="s">
        <v>2681</v>
      </c>
      <c r="H31" s="1452"/>
      <c r="I31" s="2482" t="str">
        <f>D31</f>
        <v>As at July 01, 2020</v>
      </c>
      <c r="J31" s="2468" t="s">
        <v>2333</v>
      </c>
      <c r="K31" s="2468" t="s">
        <v>2334</v>
      </c>
      <c r="L31" s="2468" t="str">
        <f>G31</f>
        <v>As at
March
31, 2021</v>
      </c>
    </row>
    <row r="32" spans="1:14">
      <c r="A32" s="1530"/>
      <c r="B32" s="1562"/>
      <c r="C32" s="2309"/>
      <c r="D32" s="2483"/>
      <c r="E32" s="2469"/>
      <c r="F32" s="2469"/>
      <c r="G32" s="2469"/>
      <c r="H32" s="1452"/>
      <c r="I32" s="2483"/>
      <c r="J32" s="2469"/>
      <c r="K32" s="2469"/>
      <c r="L32" s="2469"/>
    </row>
    <row r="33" spans="1:13">
      <c r="A33" s="1530"/>
      <c r="B33" s="1562"/>
      <c r="C33" s="2309"/>
      <c r="D33" s="2483"/>
      <c r="E33" s="2469"/>
      <c r="F33" s="2469"/>
      <c r="G33" s="2469"/>
      <c r="H33" s="1452"/>
      <c r="I33" s="2483"/>
      <c r="J33" s="2469"/>
      <c r="K33" s="2469"/>
      <c r="L33" s="2469"/>
    </row>
    <row r="34" spans="1:13">
      <c r="A34" s="1530"/>
      <c r="B34" s="1562"/>
      <c r="C34" s="1552"/>
      <c r="D34" s="2484"/>
      <c r="E34" s="2470"/>
      <c r="F34" s="2470"/>
      <c r="G34" s="2470"/>
      <c r="H34" s="1452"/>
      <c r="I34" s="2484"/>
      <c r="J34" s="2470"/>
      <c r="K34" s="2470"/>
      <c r="L34" s="2470"/>
    </row>
    <row r="35" spans="1:13">
      <c r="C35" s="1552"/>
      <c r="D35" s="2465" t="s">
        <v>2536</v>
      </c>
      <c r="E35" s="2466"/>
      <c r="F35" s="2466"/>
      <c r="G35" s="2467"/>
      <c r="H35" s="2101"/>
      <c r="I35" s="2465" t="s">
        <v>2535</v>
      </c>
      <c r="J35" s="2466"/>
      <c r="K35" s="2466"/>
      <c r="L35" s="2467"/>
    </row>
    <row r="36" spans="1:13">
      <c r="B36" s="1402" t="s">
        <v>2621</v>
      </c>
      <c r="D36" s="1530"/>
      <c r="E36" s="1530"/>
      <c r="F36" s="1530"/>
      <c r="G36" s="1530"/>
      <c r="H36" s="1530"/>
      <c r="I36" s="1530"/>
      <c r="J36" s="1530"/>
      <c r="K36" s="1556"/>
      <c r="L36" s="2100"/>
    </row>
    <row r="37" spans="1:13" ht="15.75" customHeight="1">
      <c r="B37" s="2215" t="s">
        <v>576</v>
      </c>
      <c r="D37" s="1502">
        <v>1422539</v>
      </c>
      <c r="E37" s="1502">
        <v>4202831.43</v>
      </c>
      <c r="F37" s="1502">
        <v>2452130.9890000001</v>
      </c>
      <c r="G37" s="1502">
        <v>3173239.4409999996</v>
      </c>
      <c r="H37" s="1502"/>
      <c r="I37" s="1502">
        <v>110137.23699700001</v>
      </c>
      <c r="J37" s="1502">
        <v>397420.886</v>
      </c>
      <c r="K37" s="1502">
        <v>235000</v>
      </c>
      <c r="L37" s="1502">
        <v>315357</v>
      </c>
      <c r="M37" s="1402">
        <f>G13/BS!F36</f>
        <v>0.36636462149250409</v>
      </c>
    </row>
    <row r="38" spans="1:13" ht="10.35" customHeight="1">
      <c r="B38" s="1555"/>
      <c r="D38" s="1606"/>
      <c r="E38" s="1606"/>
      <c r="F38" s="1606"/>
      <c r="G38" s="1606"/>
      <c r="H38" s="1530"/>
      <c r="I38" s="1606"/>
      <c r="J38" s="1606"/>
      <c r="K38" s="2216"/>
      <c r="L38" s="2236"/>
    </row>
    <row r="39" spans="1:13" ht="14.1" customHeight="1">
      <c r="B39" s="1530" t="s">
        <v>2668</v>
      </c>
      <c r="D39" s="1606"/>
      <c r="E39" s="1606"/>
      <c r="F39" s="1606"/>
      <c r="G39" s="1606"/>
      <c r="H39" s="1530"/>
      <c r="I39" s="1606"/>
      <c r="J39" s="1606"/>
      <c r="K39" s="2216"/>
      <c r="L39" s="2236"/>
      <c r="M39" s="1920"/>
    </row>
    <row r="40" spans="1:13" ht="15" customHeight="1">
      <c r="B40" s="1182" t="s">
        <v>2640</v>
      </c>
      <c r="D40" s="1502">
        <v>24724.440000000002</v>
      </c>
      <c r="E40" s="1502">
        <v>128677.285</v>
      </c>
      <c r="F40" s="1502">
        <v>922.97299999999996</v>
      </c>
      <c r="G40" s="1502">
        <v>152478.75200000001</v>
      </c>
      <c r="H40" s="1502"/>
      <c r="I40" s="1502">
        <v>1914.2403181200002</v>
      </c>
      <c r="J40" s="1502">
        <v>12153.71225</v>
      </c>
      <c r="K40" s="1502">
        <v>95</v>
      </c>
      <c r="L40" s="1502">
        <v>15153</v>
      </c>
    </row>
    <row r="41" spans="1:13" ht="15" customHeight="1">
      <c r="B41" s="1182" t="s">
        <v>1087</v>
      </c>
      <c r="D41" s="1502">
        <v>34698987.512000002</v>
      </c>
      <c r="E41" s="1502">
        <v>1623338.335</v>
      </c>
      <c r="F41" s="1502">
        <v>0</v>
      </c>
      <c r="G41" s="1502">
        <v>36322325.847000003</v>
      </c>
      <c r="H41" s="1502"/>
      <c r="I41" s="1502">
        <v>2686499.7101415764</v>
      </c>
      <c r="J41" s="1502">
        <v>157500.00000999999</v>
      </c>
      <c r="K41" s="1502">
        <v>0</v>
      </c>
      <c r="L41" s="1502">
        <v>3609724</v>
      </c>
    </row>
    <row r="42" spans="1:13" ht="15" customHeight="1">
      <c r="B42" s="1182" t="s">
        <v>2346</v>
      </c>
      <c r="D42" s="1502">
        <v>3502316.9</v>
      </c>
      <c r="E42" s="1502">
        <v>54040.733999999997</v>
      </c>
      <c r="F42" s="1502">
        <v>1802154.088</v>
      </c>
      <c r="G42" s="1502">
        <v>1754203.5460000001</v>
      </c>
      <c r="H42" s="1502"/>
      <c r="I42" s="1502">
        <v>271159.88134869997</v>
      </c>
      <c r="J42" s="1502">
        <v>5000</v>
      </c>
      <c r="K42" s="1502">
        <v>172300</v>
      </c>
      <c r="L42" s="1502">
        <v>174333</v>
      </c>
    </row>
    <row r="43" spans="1:13" ht="15" customHeight="1">
      <c r="B43" s="1182" t="s">
        <v>2641</v>
      </c>
      <c r="D43" s="1502">
        <v>48978.233999999997</v>
      </c>
      <c r="E43" s="1502">
        <v>561314.74800000002</v>
      </c>
      <c r="F43" s="1502">
        <v>0</v>
      </c>
      <c r="G43" s="1502">
        <v>610292.98200000008</v>
      </c>
      <c r="H43" s="1502"/>
      <c r="I43" s="1502">
        <v>3792.0418109819998</v>
      </c>
      <c r="J43" s="1502">
        <v>55687.794520000003</v>
      </c>
      <c r="K43" s="1502">
        <v>0</v>
      </c>
      <c r="L43" s="1502">
        <v>60651</v>
      </c>
    </row>
    <row r="44" spans="1:13" ht="15" customHeight="1">
      <c r="B44" s="1182" t="s">
        <v>2639</v>
      </c>
      <c r="D44" s="1502">
        <v>199265</v>
      </c>
      <c r="E44" s="1502">
        <v>0</v>
      </c>
      <c r="F44" s="1502">
        <v>0</v>
      </c>
      <c r="G44" s="1502">
        <v>199265</v>
      </c>
      <c r="H44" s="1502"/>
      <c r="I44" s="1502">
        <v>15427.694095000001</v>
      </c>
      <c r="J44" s="1502">
        <v>0</v>
      </c>
      <c r="K44" s="1502">
        <v>0</v>
      </c>
      <c r="L44" s="1502">
        <v>19803</v>
      </c>
    </row>
    <row r="45" spans="1:13" ht="15" customHeight="1">
      <c r="B45" s="1182" t="s">
        <v>2612</v>
      </c>
      <c r="D45" s="1502">
        <v>41813.625100000005</v>
      </c>
      <c r="E45" s="1502">
        <v>0</v>
      </c>
      <c r="F45" s="1502">
        <v>1087.2909999999999</v>
      </c>
      <c r="G45" s="1502">
        <v>40727.334100000007</v>
      </c>
      <c r="H45" s="1502"/>
      <c r="I45" s="1502">
        <v>3237.3362961173007</v>
      </c>
      <c r="J45" s="1502">
        <v>0</v>
      </c>
      <c r="K45" s="1502">
        <v>100</v>
      </c>
      <c r="L45" s="1502">
        <v>4047</v>
      </c>
    </row>
    <row r="46" spans="1:13">
      <c r="B46" s="1555"/>
      <c r="D46" s="1606"/>
      <c r="E46" s="1606"/>
      <c r="F46" s="1606"/>
      <c r="G46" s="1502"/>
      <c r="H46" s="1530"/>
      <c r="I46" s="1606"/>
      <c r="J46" s="1606"/>
      <c r="K46" s="2216"/>
      <c r="L46" s="1502"/>
    </row>
    <row r="47" spans="1:13">
      <c r="B47" s="1555" t="s">
        <v>2635</v>
      </c>
      <c r="D47" s="1606">
        <v>169139.97269999998</v>
      </c>
      <c r="E47" s="1606">
        <v>2551030.4239999996</v>
      </c>
      <c r="F47" s="1606">
        <v>2456777.4810000001</v>
      </c>
      <c r="G47" s="1502">
        <v>263392.91569999931</v>
      </c>
      <c r="H47" s="1530"/>
      <c r="I47" s="1606">
        <v>13095.324106352098</v>
      </c>
      <c r="J47" s="1606">
        <v>241683.73803000001</v>
      </c>
      <c r="K47" s="2216">
        <v>234131.28318999999</v>
      </c>
      <c r="L47" s="1502">
        <v>26176</v>
      </c>
    </row>
    <row r="48" spans="1:13" ht="14.1" customHeight="1">
      <c r="D48" s="1502"/>
      <c r="E48" s="1502"/>
      <c r="F48" s="1502"/>
      <c r="G48" s="1502"/>
      <c r="H48" s="1502"/>
      <c r="I48" s="1502"/>
      <c r="J48" s="1502"/>
      <c r="K48" s="1502"/>
      <c r="L48" s="1502"/>
    </row>
    <row r="49" spans="1:13">
      <c r="B49" s="1555" t="s">
        <v>2783</v>
      </c>
      <c r="D49" s="1606">
        <v>3144736.9139</v>
      </c>
      <c r="E49" s="1606">
        <v>2056864.0829999999</v>
      </c>
      <c r="F49" s="1606">
        <v>2511275.2859999994</v>
      </c>
      <c r="G49" s="1502">
        <v>2690325.7109000003</v>
      </c>
      <c r="H49" s="1530"/>
      <c r="I49" s="1606">
        <v>243474.96608487971</v>
      </c>
      <c r="J49" s="1606">
        <v>195769.23181</v>
      </c>
      <c r="K49" s="2216">
        <v>242284.74533999999</v>
      </c>
      <c r="L49" s="1502">
        <v>267365</v>
      </c>
    </row>
    <row r="50" spans="1:13" ht="14.1" customHeight="1">
      <c r="D50" s="1502"/>
      <c r="E50" s="1502"/>
      <c r="F50" s="1502"/>
      <c r="G50" s="1502"/>
      <c r="H50" s="1502"/>
      <c r="I50" s="1502"/>
      <c r="J50" s="1502"/>
      <c r="K50" s="1502"/>
      <c r="L50" s="1502"/>
    </row>
    <row r="51" spans="1:13">
      <c r="B51" s="1555" t="s">
        <v>2784</v>
      </c>
      <c r="D51" s="1502">
        <v>0</v>
      </c>
      <c r="E51" s="1502">
        <v>0</v>
      </c>
      <c r="F51" s="1502">
        <v>0</v>
      </c>
      <c r="G51" s="1502">
        <v>0</v>
      </c>
      <c r="H51" s="1502">
        <v>0</v>
      </c>
      <c r="I51" s="1502">
        <v>0</v>
      </c>
      <c r="J51" s="1502">
        <v>0</v>
      </c>
      <c r="K51" s="1502">
        <v>0</v>
      </c>
      <c r="L51" s="1502">
        <v>0</v>
      </c>
    </row>
    <row r="52" spans="1:13" ht="14.1" customHeight="1">
      <c r="A52" s="1556"/>
      <c r="B52" s="1562"/>
      <c r="D52" s="1502"/>
      <c r="E52" s="1502"/>
      <c r="F52" s="1502"/>
      <c r="G52" s="1502"/>
      <c r="H52" s="1507"/>
      <c r="I52" s="1502"/>
      <c r="J52" s="1502"/>
      <c r="K52" s="1502"/>
      <c r="L52" s="1502"/>
    </row>
    <row r="53" spans="1:13" ht="14.1" customHeight="1">
      <c r="A53" s="1556"/>
      <c r="B53" s="2481" t="s">
        <v>2782</v>
      </c>
      <c r="C53" s="2481"/>
      <c r="D53" s="2481"/>
      <c r="E53" s="2481"/>
      <c r="F53" s="2481"/>
      <c r="G53" s="2481"/>
      <c r="H53" s="1507"/>
      <c r="I53" s="1502"/>
      <c r="J53" s="1502"/>
      <c r="K53" s="1502"/>
      <c r="L53" s="1502"/>
    </row>
    <row r="54" spans="1:13" ht="10.35" customHeight="1"/>
    <row r="55" spans="1:13" hidden="1">
      <c r="B55" s="1402" t="s">
        <v>2613</v>
      </c>
      <c r="I55" s="1402">
        <v>0</v>
      </c>
    </row>
    <row r="56" spans="1:13" hidden="1">
      <c r="M56" s="1988" t="s">
        <v>2626</v>
      </c>
    </row>
    <row r="57" spans="1:13" hidden="1"/>
    <row r="58" spans="1:13" hidden="1">
      <c r="I58" s="1402">
        <v>8181</v>
      </c>
    </row>
    <row r="59" spans="1:13" hidden="1"/>
    <row r="60" spans="1:13" hidden="1"/>
    <row r="61" spans="1:13" hidden="1"/>
    <row r="62" spans="1:13" hidden="1"/>
    <row r="63" spans="1:13" hidden="1"/>
    <row r="64" spans="1:13" hidden="1"/>
    <row r="65" spans="2:9" hidden="1"/>
    <row r="66" spans="2:9" hidden="1"/>
    <row r="67" spans="2:9" hidden="1"/>
    <row r="68" spans="2:9" hidden="1"/>
    <row r="69" spans="2:9" hidden="1">
      <c r="B69" s="1402" t="s">
        <v>2614</v>
      </c>
      <c r="I69" s="1402">
        <v>0</v>
      </c>
    </row>
    <row r="70" spans="2:9" hidden="1"/>
    <row r="71" spans="2:9" hidden="1"/>
    <row r="72" spans="2:9" hidden="1"/>
    <row r="73" spans="2:9" hidden="1"/>
    <row r="74" spans="2:9" hidden="1"/>
    <row r="75" spans="2:9" hidden="1"/>
    <row r="76" spans="2:9" hidden="1"/>
    <row r="77" spans="2:9" hidden="1"/>
    <row r="78" spans="2:9" hidden="1"/>
  </sheetData>
  <mergeCells count="25">
    <mergeCell ref="D2:L2"/>
    <mergeCell ref="B28:G28"/>
    <mergeCell ref="B53:G53"/>
    <mergeCell ref="K31:K34"/>
    <mergeCell ref="L31:L34"/>
    <mergeCell ref="D31:D34"/>
    <mergeCell ref="E31:E34"/>
    <mergeCell ref="F31:F34"/>
    <mergeCell ref="G31:G34"/>
    <mergeCell ref="I31:I34"/>
    <mergeCell ref="B26:C26"/>
    <mergeCell ref="I35:L35"/>
    <mergeCell ref="D3:D6"/>
    <mergeCell ref="E3:E6"/>
    <mergeCell ref="F3:F6"/>
    <mergeCell ref="G3:G6"/>
    <mergeCell ref="D30:L30"/>
    <mergeCell ref="D35:G35"/>
    <mergeCell ref="J31:J34"/>
    <mergeCell ref="I3:I6"/>
    <mergeCell ref="J3:J6"/>
    <mergeCell ref="K3:K6"/>
    <mergeCell ref="L3:L6"/>
    <mergeCell ref="D7:G7"/>
    <mergeCell ref="I7:L7"/>
  </mergeCells>
  <pageMargins left="0.75" right="0.25" top="0.6" bottom="0" header="0.25" footer="0"/>
  <pageSetup paperSize="9" scale="74" firstPageNumber="14" orientation="landscape" useFirstPageNumber="1" r:id="rId1"/>
  <headerFooter>
    <oddHeader>&amp;C&amp;"Arial Black,Regular"&amp;11&amp;P&amp;R&amp;"Arial Black,Regular"&amp;11MCB PAKISTAN STOCK MARKET FUND</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67"/>
  <sheetViews>
    <sheetView view="pageBreakPreview" topLeftCell="A28" zoomScaleNormal="100" zoomScaleSheetLayoutView="100" workbookViewId="0">
      <selection activeCell="E44" sqref="E44"/>
    </sheetView>
  </sheetViews>
  <sheetFormatPr defaultColWidth="9" defaultRowHeight="13.8"/>
  <cols>
    <col min="1" max="1" width="7.09765625" style="1402" customWidth="1"/>
    <col min="2" max="2" width="24.09765625" style="1402" customWidth="1"/>
    <col min="3" max="3" width="7" style="1402" customWidth="1"/>
    <col min="4" max="4" width="7.3984375" style="1402" customWidth="1"/>
    <col min="5" max="5" width="5.59765625" style="1402" customWidth="1"/>
    <col min="6" max="6" width="12.59765625" style="1428" customWidth="1"/>
    <col min="7" max="7" width="0.59765625" style="1428" customWidth="1"/>
    <col min="8" max="8" width="12.59765625" style="1428" customWidth="1"/>
    <col min="9" max="9" width="0.59765625" style="1428" customWidth="1"/>
    <col min="10" max="10" width="12.59765625" style="1428" customWidth="1"/>
    <col min="11" max="11" width="0.59765625" style="1428" customWidth="1"/>
    <col min="12" max="12" width="12.59765625" style="1428" customWidth="1"/>
    <col min="13" max="13" width="8.59765625" style="1402" customWidth="1"/>
    <col min="14" max="14" width="14.09765625" style="1507" bestFit="1" customWidth="1"/>
    <col min="15" max="15" width="11.5" style="1402" bestFit="1" customWidth="1"/>
    <col min="16" max="16" width="14.59765625" style="1402" bestFit="1" customWidth="1"/>
    <col min="17" max="17" width="17.59765625" style="1402" bestFit="1" customWidth="1"/>
    <col min="18" max="18" width="11.5" style="1402" bestFit="1" customWidth="1"/>
    <col min="19" max="16384" width="9" style="1402"/>
  </cols>
  <sheetData>
    <row r="1" spans="1:18" ht="18.75" customHeight="1">
      <c r="A1" s="2326" t="str">
        <f>BS!$A$1</f>
        <v>MCB PAKISTAN STOCK MARKET FUND</v>
      </c>
      <c r="B1" s="2326"/>
      <c r="C1" s="2326"/>
      <c r="D1" s="2326"/>
      <c r="E1" s="2326"/>
      <c r="F1" s="2326"/>
      <c r="G1" s="2326"/>
      <c r="H1" s="2326"/>
      <c r="I1" s="2326"/>
      <c r="J1" s="2326"/>
      <c r="K1" s="2326"/>
      <c r="L1" s="2326"/>
      <c r="O1" s="1529"/>
    </row>
    <row r="2" spans="1:18" ht="18.75" customHeight="1">
      <c r="A2" s="2326" t="s">
        <v>1070</v>
      </c>
      <c r="B2" s="2326"/>
      <c r="C2" s="2326"/>
      <c r="D2" s="2326"/>
      <c r="E2" s="2326"/>
      <c r="F2" s="2326"/>
      <c r="G2" s="2326"/>
      <c r="H2" s="2326"/>
      <c r="I2" s="2326"/>
      <c r="J2" s="2326"/>
      <c r="K2" s="2326"/>
      <c r="L2" s="2326"/>
    </row>
    <row r="3" spans="1:18" ht="18.75" customHeight="1">
      <c r="A3" s="2326" t="s">
        <v>2794</v>
      </c>
      <c r="B3" s="2326"/>
      <c r="C3" s="2326"/>
      <c r="D3" s="2326"/>
      <c r="E3" s="2326"/>
      <c r="F3" s="2326"/>
      <c r="G3" s="2326"/>
      <c r="H3" s="2326"/>
      <c r="I3" s="2326"/>
      <c r="J3" s="2326"/>
      <c r="K3" s="2326"/>
      <c r="L3" s="2326"/>
    </row>
    <row r="4" spans="1:18">
      <c r="A4" s="1401"/>
      <c r="B4" s="1401"/>
      <c r="C4" s="1401"/>
      <c r="D4" s="1401"/>
      <c r="E4" s="1401"/>
      <c r="F4" s="1473"/>
      <c r="G4" s="1473"/>
      <c r="H4" s="1473"/>
      <c r="I4" s="1473"/>
      <c r="J4" s="1473"/>
      <c r="K4" s="1473"/>
      <c r="L4" s="1473"/>
    </row>
    <row r="5" spans="1:18">
      <c r="A5" s="1401"/>
      <c r="B5" s="1401"/>
      <c r="C5" s="1401"/>
      <c r="D5" s="1401"/>
      <c r="E5" s="1401"/>
      <c r="F5" s="1473"/>
      <c r="G5" s="1473"/>
      <c r="H5" s="1473"/>
      <c r="I5" s="1473"/>
      <c r="J5" s="1473"/>
      <c r="K5" s="1473"/>
      <c r="L5" s="1473"/>
    </row>
    <row r="6" spans="1:18">
      <c r="A6" s="1401"/>
      <c r="B6" s="1401"/>
      <c r="C6" s="1401"/>
      <c r="D6" s="1401"/>
      <c r="F6" s="2328" t="s">
        <v>2677</v>
      </c>
      <c r="G6" s="2328"/>
      <c r="H6" s="2328"/>
      <c r="I6" s="2082"/>
      <c r="J6" s="2328" t="s">
        <v>706</v>
      </c>
      <c r="K6" s="2328"/>
      <c r="L6" s="2328"/>
      <c r="N6" s="2097" t="s">
        <v>705</v>
      </c>
    </row>
    <row r="7" spans="1:18">
      <c r="A7" s="1401"/>
      <c r="B7" s="1401"/>
      <c r="C7" s="1401"/>
      <c r="D7" s="1401"/>
      <c r="E7" s="1474"/>
      <c r="F7" s="2330" t="s">
        <v>2676</v>
      </c>
      <c r="G7" s="2330"/>
      <c r="H7" s="2330"/>
      <c r="I7" s="2082"/>
      <c r="J7" s="2329" t="s">
        <v>2676</v>
      </c>
      <c r="K7" s="2329"/>
      <c r="L7" s="2329"/>
      <c r="N7" s="2090" t="s">
        <v>624</v>
      </c>
      <c r="O7" s="2096"/>
    </row>
    <row r="8" spans="1:18">
      <c r="A8" s="1401"/>
      <c r="B8" s="1401"/>
      <c r="C8" s="1401"/>
      <c r="D8" s="1401"/>
      <c r="E8" s="1474"/>
      <c r="F8" s="1918" t="s">
        <v>2795</v>
      </c>
      <c r="G8" s="2082"/>
      <c r="H8" s="2090" t="s">
        <v>2678</v>
      </c>
      <c r="I8" s="1475"/>
      <c r="J8" s="1918" t="s">
        <v>2795</v>
      </c>
      <c r="K8" s="2161"/>
      <c r="L8" s="2161" t="s">
        <v>2678</v>
      </c>
      <c r="N8" s="2090" t="s">
        <v>2678</v>
      </c>
    </row>
    <row r="9" spans="1:18">
      <c r="A9" s="1401"/>
      <c r="B9" s="1401"/>
      <c r="C9" s="1401"/>
      <c r="D9" s="1401"/>
      <c r="E9" s="1474" t="s">
        <v>51</v>
      </c>
      <c r="F9" s="2320" t="s">
        <v>2485</v>
      </c>
      <c r="G9" s="2320"/>
      <c r="H9" s="2320"/>
      <c r="I9" s="2320"/>
      <c r="J9" s="2320"/>
      <c r="K9" s="2320"/>
      <c r="L9" s="2320"/>
      <c r="M9" s="2162" t="s">
        <v>2820</v>
      </c>
      <c r="N9" s="2162"/>
      <c r="O9" s="2091"/>
      <c r="P9" s="2091"/>
      <c r="Q9" s="2091"/>
      <c r="R9" s="2091"/>
    </row>
    <row r="10" spans="1:18">
      <c r="A10" s="1476" t="s">
        <v>59</v>
      </c>
      <c r="E10" s="1477"/>
      <c r="F10" s="1402"/>
      <c r="G10" s="1402"/>
      <c r="H10" s="1402"/>
      <c r="I10" s="1402"/>
      <c r="J10" s="1402"/>
      <c r="K10" s="1402"/>
      <c r="L10" s="1402"/>
    </row>
    <row r="11" spans="1:18">
      <c r="A11" s="1402" t="s">
        <v>2825</v>
      </c>
      <c r="D11" s="1908"/>
      <c r="F11" s="1423">
        <f>'TB-31 Dec'!H121</f>
        <v>-594619</v>
      </c>
      <c r="G11" s="1410"/>
      <c r="H11" s="1479">
        <v>2080432</v>
      </c>
      <c r="I11" s="1410"/>
      <c r="J11" s="1423">
        <f>F11-N11</f>
        <v>-211386</v>
      </c>
      <c r="K11" s="1480"/>
      <c r="L11" s="2217">
        <v>979074</v>
      </c>
      <c r="M11" s="1428"/>
      <c r="N11" s="2000">
        <v>-383233</v>
      </c>
      <c r="O11" s="1428"/>
      <c r="P11" s="1845"/>
    </row>
    <row r="12" spans="1:18">
      <c r="A12" s="1402" t="s">
        <v>115</v>
      </c>
      <c r="D12" s="1908"/>
      <c r="E12" s="1426"/>
      <c r="F12" s="1482">
        <f>'TB-31 Dec'!H123</f>
        <v>578976</v>
      </c>
      <c r="G12" s="1483"/>
      <c r="H12" s="1484">
        <v>332507</v>
      </c>
      <c r="I12" s="1483"/>
      <c r="J12" s="1482">
        <f>F12-N12</f>
        <v>209158</v>
      </c>
      <c r="K12" s="1480"/>
      <c r="L12" s="1483">
        <v>195537</v>
      </c>
      <c r="M12" s="1428"/>
      <c r="N12" s="1786">
        <v>369818</v>
      </c>
      <c r="P12" s="1908"/>
    </row>
    <row r="13" spans="1:18">
      <c r="A13" s="1402" t="s">
        <v>2486</v>
      </c>
      <c r="E13" s="1426"/>
      <c r="F13" s="1482">
        <f>'TB-31 Dec'!H138</f>
        <v>279</v>
      </c>
      <c r="G13" s="1483"/>
      <c r="H13" s="1484">
        <v>1380</v>
      </c>
      <c r="I13" s="1483"/>
      <c r="J13" s="1482">
        <f>F13-N13</f>
        <v>0</v>
      </c>
      <c r="K13" s="1480"/>
      <c r="L13" s="1412">
        <v>0</v>
      </c>
      <c r="M13" s="1428"/>
      <c r="N13" s="1786">
        <v>279</v>
      </c>
    </row>
    <row r="14" spans="1:18">
      <c r="A14" s="1402" t="s">
        <v>2401</v>
      </c>
      <c r="E14" s="1426"/>
      <c r="F14" s="1482">
        <f>'TB-31 Dec'!H126</f>
        <v>23840</v>
      </c>
      <c r="G14" s="1483"/>
      <c r="H14" s="1484">
        <v>10847</v>
      </c>
      <c r="I14" s="1483"/>
      <c r="J14" s="1482">
        <f>F14-N14</f>
        <v>8508</v>
      </c>
      <c r="K14" s="1480"/>
      <c r="L14" s="1483">
        <v>2044</v>
      </c>
      <c r="M14" s="1428"/>
      <c r="N14" s="1786">
        <v>15332</v>
      </c>
      <c r="O14" s="1908">
        <v>-592192543</v>
      </c>
      <c r="P14" s="1908"/>
    </row>
    <row r="15" spans="1:18">
      <c r="A15" s="1452" t="s">
        <v>2824</v>
      </c>
      <c r="E15" s="1426"/>
      <c r="F15" s="1482"/>
      <c r="G15" s="1483"/>
      <c r="H15" s="1484"/>
      <c r="I15" s="1483"/>
      <c r="J15" s="1482"/>
      <c r="K15" s="1480"/>
      <c r="L15" s="1483"/>
      <c r="M15" s="1428"/>
      <c r="N15" s="1786"/>
      <c r="O15" s="1908">
        <v>-2426767</v>
      </c>
      <c r="P15" s="1908"/>
    </row>
    <row r="16" spans="1:18">
      <c r="A16" s="1485" t="s">
        <v>2597</v>
      </c>
      <c r="E16" s="1486">
        <f>+'6-6.1.2'!A1</f>
        <v>6.1</v>
      </c>
      <c r="F16" s="1482">
        <f>'6-6.1.2'!J173</f>
        <v>-319538.68199999974</v>
      </c>
      <c r="G16" s="1483"/>
      <c r="H16" s="1823">
        <v>619534.74499999988</v>
      </c>
      <c r="I16" s="1483"/>
      <c r="J16" s="1482">
        <f>F16-N16</f>
        <v>65798.318000000261</v>
      </c>
      <c r="K16" s="1480"/>
      <c r="L16" s="1483">
        <v>-848664.54</v>
      </c>
      <c r="M16" s="1428"/>
      <c r="N16" s="1786">
        <v>-385337</v>
      </c>
      <c r="O16" s="1908">
        <f>SUM(O14:O15)</f>
        <v>-594619310</v>
      </c>
    </row>
    <row r="17" spans="1:17">
      <c r="A17" s="1402" t="s">
        <v>2610</v>
      </c>
      <c r="E17" s="1486"/>
      <c r="F17" s="1487">
        <f>'TB-31 Dec'!H139</f>
        <v>108</v>
      </c>
      <c r="G17" s="1483"/>
      <c r="H17" s="1824">
        <v>101</v>
      </c>
      <c r="I17" s="1412"/>
      <c r="J17" s="1487">
        <f>F17-N17</f>
        <v>44</v>
      </c>
      <c r="K17" s="1480"/>
      <c r="L17" s="2165">
        <v>44</v>
      </c>
      <c r="M17" s="1428"/>
      <c r="N17" s="1622">
        <v>64</v>
      </c>
    </row>
    <row r="18" spans="1:17">
      <c r="A18" s="1401" t="s">
        <v>2659</v>
      </c>
      <c r="F18" s="1488">
        <f>ROUND(SUM(F11:F17),0)</f>
        <v>-310955</v>
      </c>
      <c r="G18" s="1483"/>
      <c r="H18" s="1483">
        <f>ROUND(SUM(H11:H17),0)</f>
        <v>3044802</v>
      </c>
      <c r="I18" s="1483"/>
      <c r="J18" s="1488">
        <f>SUM(J11:J17)</f>
        <v>72122.318000000261</v>
      </c>
      <c r="K18" s="1483"/>
      <c r="L18" s="1483">
        <f>SUM(L11:L17)</f>
        <v>328034.45999999996</v>
      </c>
      <c r="M18" s="1489"/>
      <c r="N18" s="1951">
        <f>SUM(N11:N17)</f>
        <v>-383077</v>
      </c>
      <c r="P18" s="1502"/>
    </row>
    <row r="19" spans="1:17">
      <c r="B19" s="1401"/>
      <c r="C19" s="1401"/>
      <c r="D19" s="1401"/>
      <c r="E19" s="1490"/>
      <c r="F19" s="1490"/>
      <c r="G19" s="1491"/>
      <c r="H19" s="1491"/>
      <c r="I19" s="1491"/>
      <c r="J19" s="1490"/>
      <c r="K19" s="1491"/>
      <c r="L19" s="1491"/>
      <c r="P19" s="2103"/>
    </row>
    <row r="20" spans="1:17">
      <c r="A20" s="1476" t="s">
        <v>60</v>
      </c>
      <c r="B20" s="1476"/>
      <c r="C20" s="1476"/>
      <c r="D20" s="1476"/>
      <c r="E20" s="1428"/>
      <c r="F20" s="1490"/>
      <c r="G20" s="1491"/>
      <c r="H20" s="1491"/>
      <c r="I20" s="1491"/>
      <c r="J20" s="1490"/>
      <c r="K20" s="1491"/>
      <c r="L20" s="1491"/>
    </row>
    <row r="21" spans="1:17" s="1401" customFormat="1">
      <c r="A21" s="1492" t="s">
        <v>2372</v>
      </c>
      <c r="B21" s="1402"/>
      <c r="C21" s="1402"/>
      <c r="D21" s="1402"/>
      <c r="E21" s="1493"/>
      <c r="F21" s="1494">
        <f>'TB-31 Dec'!F146</f>
        <v>172954</v>
      </c>
      <c r="G21" s="1483"/>
      <c r="H21" s="1495">
        <v>169465</v>
      </c>
      <c r="I21" s="1433"/>
      <c r="J21" s="1505">
        <f>F21-N21</f>
        <v>51779</v>
      </c>
      <c r="K21" s="1433"/>
      <c r="L21" s="2218">
        <v>58150</v>
      </c>
      <c r="M21" s="1496"/>
      <c r="N21" s="2000">
        <v>121175</v>
      </c>
      <c r="P21" s="2104"/>
    </row>
    <row r="22" spans="1:17" s="1401" customFormat="1">
      <c r="A22" s="1492" t="s">
        <v>2553</v>
      </c>
      <c r="B22" s="1402"/>
      <c r="C22" s="1402"/>
      <c r="D22" s="1402"/>
      <c r="E22" s="1493"/>
      <c r="F22" s="1482"/>
      <c r="G22" s="1483"/>
      <c r="H22" s="1497"/>
      <c r="I22" s="1433"/>
      <c r="J22" s="1623"/>
      <c r="K22" s="1433"/>
      <c r="L22" s="2219"/>
      <c r="M22" s="1496"/>
      <c r="N22" s="1786"/>
    </row>
    <row r="23" spans="1:17" s="1401" customFormat="1">
      <c r="A23" s="1724" t="s">
        <v>2554</v>
      </c>
      <c r="B23" s="1402"/>
      <c r="C23" s="1402"/>
      <c r="D23" s="1402"/>
      <c r="E23" s="1493"/>
      <c r="F23" s="1482">
        <f>'TB-31 Dec'!F147</f>
        <v>22484</v>
      </c>
      <c r="G23" s="1483"/>
      <c r="H23" s="1497">
        <v>22030</v>
      </c>
      <c r="I23" s="1433"/>
      <c r="J23" s="1623">
        <f>F23-N23</f>
        <v>6731</v>
      </c>
      <c r="K23" s="1433"/>
      <c r="L23" s="2219">
        <v>7559</v>
      </c>
      <c r="M23" s="1496"/>
      <c r="N23" s="1786">
        <v>15753</v>
      </c>
    </row>
    <row r="24" spans="1:17" s="1401" customFormat="1">
      <c r="A24" s="1498" t="s">
        <v>2373</v>
      </c>
      <c r="B24" s="1402"/>
      <c r="C24" s="1402"/>
      <c r="D24" s="1402"/>
      <c r="E24" s="1493"/>
      <c r="F24" s="1482">
        <f>'TB-31 Dec'!F149</f>
        <v>9507</v>
      </c>
      <c r="G24" s="1483"/>
      <c r="H24" s="1497">
        <v>9225</v>
      </c>
      <c r="I24" s="1433"/>
      <c r="J24" s="1623">
        <f>F24-N24</f>
        <v>2944</v>
      </c>
      <c r="K24" s="1433"/>
      <c r="L24" s="2219">
        <v>3154.5</v>
      </c>
      <c r="M24" s="1496"/>
      <c r="N24" s="1786">
        <v>6563</v>
      </c>
    </row>
    <row r="25" spans="1:17" s="1401" customFormat="1">
      <c r="A25" s="1498" t="s">
        <v>707</v>
      </c>
      <c r="B25" s="1402"/>
      <c r="C25" s="1402"/>
      <c r="D25" s="1402"/>
      <c r="E25" s="1493"/>
      <c r="F25" s="1482">
        <f>'TB-31 Dec'!F150</f>
        <v>1236</v>
      </c>
      <c r="G25" s="1483"/>
      <c r="H25" s="1497">
        <v>1199</v>
      </c>
      <c r="I25" s="1433"/>
      <c r="J25" s="1623">
        <f>F25-N25</f>
        <v>383</v>
      </c>
      <c r="K25" s="1433"/>
      <c r="L25" s="2219">
        <v>410</v>
      </c>
      <c r="M25" s="1496"/>
      <c r="N25" s="1786">
        <v>853</v>
      </c>
    </row>
    <row r="26" spans="1:17" s="1401" customFormat="1">
      <c r="A26" s="1492" t="s">
        <v>2555</v>
      </c>
      <c r="B26" s="1402"/>
      <c r="C26" s="1402"/>
      <c r="D26" s="1402"/>
      <c r="E26" s="1493"/>
      <c r="F26" s="1482"/>
      <c r="G26" s="1483"/>
      <c r="H26" s="1497"/>
      <c r="I26" s="1433"/>
      <c r="J26" s="1623"/>
      <c r="K26" s="1433"/>
      <c r="L26" s="2219"/>
      <c r="M26" s="1496"/>
      <c r="N26" s="1786"/>
      <c r="P26" s="2141"/>
    </row>
    <row r="27" spans="1:17" s="1401" customFormat="1">
      <c r="A27" s="1724" t="s">
        <v>2556</v>
      </c>
      <c r="B27" s="1402"/>
      <c r="C27" s="1402"/>
      <c r="D27" s="1402"/>
      <c r="E27" s="1493"/>
      <c r="F27" s="1482">
        <f>'TB-31 Dec'!F151</f>
        <v>1751</v>
      </c>
      <c r="G27" s="1483"/>
      <c r="H27" s="1497">
        <v>1695</v>
      </c>
      <c r="I27" s="1433"/>
      <c r="J27" s="1623">
        <f t="shared" ref="J27:J36" si="0">F27-N27</f>
        <v>539</v>
      </c>
      <c r="K27" s="1433"/>
      <c r="L27" s="2219">
        <v>582</v>
      </c>
      <c r="M27" s="1496"/>
      <c r="N27" s="1786">
        <v>1212</v>
      </c>
      <c r="P27" s="2141"/>
    </row>
    <row r="28" spans="1:17" s="1401" customFormat="1" ht="15.6">
      <c r="A28" s="1499" t="s">
        <v>1104</v>
      </c>
      <c r="B28" s="1402"/>
      <c r="C28" s="1402"/>
      <c r="D28" s="1402"/>
      <c r="E28" s="1500"/>
      <c r="F28" s="1482">
        <f>'TB-31 Dec'!F152</f>
        <v>8756</v>
      </c>
      <c r="G28" s="1483"/>
      <c r="H28" s="1497">
        <v>8473</v>
      </c>
      <c r="I28" s="1433"/>
      <c r="J28" s="1623">
        <f t="shared" si="0"/>
        <v>2697</v>
      </c>
      <c r="K28" s="1433"/>
      <c r="L28" s="2219">
        <v>2907</v>
      </c>
      <c r="M28" s="1496"/>
      <c r="N28" s="1786">
        <v>6059</v>
      </c>
      <c r="P28" s="2260"/>
    </row>
    <row r="29" spans="1:17" ht="15.6">
      <c r="A29" s="1499" t="s">
        <v>2435</v>
      </c>
      <c r="E29" s="1500"/>
      <c r="F29" s="1482">
        <f>'TB-31 Dec'!F154</f>
        <v>113822</v>
      </c>
      <c r="G29" s="1483"/>
      <c r="H29" s="1484">
        <v>110151</v>
      </c>
      <c r="I29" s="1433"/>
      <c r="J29" s="1623">
        <f t="shared" si="0"/>
        <v>35059</v>
      </c>
      <c r="K29" s="1433"/>
      <c r="L29" s="2219">
        <v>37797</v>
      </c>
      <c r="M29" s="1496"/>
      <c r="N29" s="1786">
        <v>78763</v>
      </c>
      <c r="P29" s="2260"/>
    </row>
    <row r="30" spans="1:17" s="1401" customFormat="1" ht="15.6">
      <c r="A30" s="1492" t="s">
        <v>62</v>
      </c>
      <c r="B30" s="1402"/>
      <c r="C30" s="1402"/>
      <c r="D30" s="1402"/>
      <c r="E30" s="1500"/>
      <c r="F30" s="1482">
        <f>'TB-31 Dec'!H158</f>
        <v>916</v>
      </c>
      <c r="G30" s="1483"/>
      <c r="H30" s="1497">
        <v>716</v>
      </c>
      <c r="I30" s="1433"/>
      <c r="J30" s="1623">
        <f t="shared" si="0"/>
        <v>300</v>
      </c>
      <c r="K30" s="1433"/>
      <c r="L30" s="2219">
        <v>272</v>
      </c>
      <c r="M30" s="1496"/>
      <c r="N30" s="1786">
        <v>616</v>
      </c>
      <c r="P30" s="2260"/>
    </row>
    <row r="31" spans="1:17">
      <c r="A31" s="1492" t="s">
        <v>61</v>
      </c>
      <c r="E31" s="1410"/>
      <c r="F31" s="1482">
        <f>'TB-31 Dec'!H153</f>
        <v>39782</v>
      </c>
      <c r="G31" s="1483"/>
      <c r="H31" s="1497">
        <v>70016</v>
      </c>
      <c r="I31" s="1433"/>
      <c r="J31" s="1623">
        <f t="shared" si="0"/>
        <v>12393</v>
      </c>
      <c r="K31" s="1433"/>
      <c r="L31" s="2219">
        <v>28491</v>
      </c>
      <c r="M31" s="1496"/>
      <c r="N31" s="1786">
        <v>27389</v>
      </c>
      <c r="P31" s="1908"/>
      <c r="Q31" s="1428"/>
    </row>
    <row r="32" spans="1:17">
      <c r="A32" s="1492" t="s">
        <v>158</v>
      </c>
      <c r="F32" s="1482">
        <f>'TB-31 Dec'!H165</f>
        <v>2989</v>
      </c>
      <c r="G32" s="1483"/>
      <c r="H32" s="1497">
        <v>4212</v>
      </c>
      <c r="I32" s="1433"/>
      <c r="J32" s="1623">
        <f t="shared" si="0"/>
        <v>967</v>
      </c>
      <c r="K32" s="1433"/>
      <c r="L32" s="2219">
        <v>2232</v>
      </c>
      <c r="M32" s="1496"/>
      <c r="N32" s="1786">
        <v>2022</v>
      </c>
      <c r="Q32" s="1428"/>
    </row>
    <row r="33" spans="1:18">
      <c r="A33" s="1492" t="s">
        <v>2367</v>
      </c>
      <c r="F33" s="1482">
        <f>'TB-31 Dec'!H159</f>
        <v>513</v>
      </c>
      <c r="G33" s="1483"/>
      <c r="H33" s="1497">
        <v>101</v>
      </c>
      <c r="I33" s="1433"/>
      <c r="J33" s="1623">
        <f t="shared" si="0"/>
        <v>42</v>
      </c>
      <c r="K33" s="1433"/>
      <c r="L33" s="2219">
        <v>33</v>
      </c>
      <c r="M33" s="1496"/>
      <c r="N33" s="1786">
        <v>471</v>
      </c>
    </row>
    <row r="34" spans="1:18">
      <c r="A34" s="1499" t="s">
        <v>999</v>
      </c>
      <c r="F34" s="1482">
        <f>'TB-31 Dec'!H160</f>
        <v>20</v>
      </c>
      <c r="G34" s="1483"/>
      <c r="H34" s="1497">
        <v>33</v>
      </c>
      <c r="I34" s="1433"/>
      <c r="J34" s="1623">
        <f t="shared" si="0"/>
        <v>6</v>
      </c>
      <c r="K34" s="1433"/>
      <c r="L34" s="2219">
        <v>7</v>
      </c>
      <c r="M34" s="1496"/>
      <c r="N34" s="1786">
        <v>14</v>
      </c>
    </row>
    <row r="35" spans="1:18">
      <c r="A35" s="1499" t="s">
        <v>2821</v>
      </c>
      <c r="F35" s="1788">
        <f>-'TB-31 Dec'!G158</f>
        <v>-120605</v>
      </c>
      <c r="G35" s="1483"/>
      <c r="H35" s="1501">
        <v>52950</v>
      </c>
      <c r="I35" s="1433"/>
      <c r="J35" s="1506">
        <f t="shared" si="0"/>
        <v>0</v>
      </c>
      <c r="K35" s="1433"/>
      <c r="L35" s="2220">
        <v>3729</v>
      </c>
      <c r="M35" s="1496"/>
      <c r="N35" s="1622">
        <v>-120605</v>
      </c>
    </row>
    <row r="36" spans="1:18" hidden="1">
      <c r="A36" s="1499"/>
      <c r="F36" s="1951">
        <v>0</v>
      </c>
      <c r="G36" s="1483"/>
      <c r="H36" s="1433">
        <v>0</v>
      </c>
      <c r="I36" s="1433"/>
      <c r="J36" s="1868">
        <f t="shared" si="0"/>
        <v>0</v>
      </c>
      <c r="K36" s="1433"/>
      <c r="L36" s="1433">
        <v>0</v>
      </c>
      <c r="M36" s="1496"/>
      <c r="N36" s="1507">
        <v>0</v>
      </c>
    </row>
    <row r="37" spans="1:18">
      <c r="A37" s="1401" t="s">
        <v>464</v>
      </c>
      <c r="B37" s="1401"/>
      <c r="C37" s="1401"/>
      <c r="D37" s="1401"/>
      <c r="E37" s="1434"/>
      <c r="F37" s="1488">
        <f>ROUND(SUM(F21:F36),0)</f>
        <v>254125</v>
      </c>
      <c r="G37" s="1483"/>
      <c r="H37" s="1483">
        <f>SUM(H21:H36)</f>
        <v>450266</v>
      </c>
      <c r="I37" s="1483"/>
      <c r="J37" s="1488">
        <f>SUM(J21:J36)</f>
        <v>113840</v>
      </c>
      <c r="K37" s="1483"/>
      <c r="L37" s="1483">
        <f>ROUND(SUM(L21:L36),0)</f>
        <v>145324</v>
      </c>
      <c r="M37" s="1433"/>
      <c r="N37" s="1951">
        <f>SUM(N21:N36)</f>
        <v>140285</v>
      </c>
      <c r="O37" s="1428"/>
    </row>
    <row r="38" spans="1:18" ht="12" customHeight="1">
      <c r="A38" s="1401"/>
      <c r="B38" s="1401"/>
      <c r="C38" s="1401"/>
      <c r="D38" s="1401"/>
      <c r="E38" s="1435"/>
      <c r="F38" s="1503"/>
      <c r="G38" s="1483"/>
      <c r="H38" s="1483"/>
      <c r="I38" s="1483"/>
      <c r="J38" s="1488"/>
      <c r="K38" s="1483"/>
      <c r="L38" s="1483"/>
      <c r="M38" s="1405"/>
    </row>
    <row r="39" spans="1:18" s="1401" customFormat="1">
      <c r="A39" s="1401" t="s">
        <v>2839</v>
      </c>
      <c r="E39" s="1434"/>
      <c r="F39" s="1490">
        <f>+F18-F37</f>
        <v>-565080</v>
      </c>
      <c r="G39" s="1491"/>
      <c r="H39" s="1504">
        <f>ROUND(+H18-H37,0)-0.65</f>
        <v>2594535.35</v>
      </c>
      <c r="I39" s="1483"/>
      <c r="J39" s="2093">
        <f>J18-J37-1</f>
        <v>-41718.681999999739</v>
      </c>
      <c r="K39" s="1483"/>
      <c r="L39" s="2221">
        <f>L18-L37</f>
        <v>182710.45999999996</v>
      </c>
      <c r="M39" s="1433"/>
      <c r="N39" s="2098">
        <f>+N18-N37</f>
        <v>-523362</v>
      </c>
      <c r="P39" s="1507"/>
      <c r="Q39" s="1507"/>
    </row>
    <row r="40" spans="1:18" ht="12" customHeight="1">
      <c r="E40" s="1428"/>
      <c r="F40" s="1490"/>
      <c r="G40" s="1491"/>
      <c r="H40" s="1491"/>
      <c r="I40" s="1491"/>
      <c r="J40" s="1490"/>
      <c r="K40" s="1491"/>
      <c r="L40" s="1491"/>
      <c r="N40" s="1490"/>
      <c r="P40" s="1502"/>
    </row>
    <row r="41" spans="1:18" s="1401" customFormat="1">
      <c r="A41" s="1402" t="s">
        <v>63</v>
      </c>
      <c r="B41" s="1402"/>
      <c r="C41" s="1402"/>
      <c r="D41" s="1402"/>
      <c r="E41" s="1426" t="str">
        <f>+'7-12'!A47</f>
        <v>9.</v>
      </c>
      <c r="F41" s="1507">
        <v>0</v>
      </c>
      <c r="G41" s="1502"/>
      <c r="H41" s="1502">
        <v>0</v>
      </c>
      <c r="I41" s="1502"/>
      <c r="J41" s="1507">
        <v>0</v>
      </c>
      <c r="K41" s="1502"/>
      <c r="L41" s="1502">
        <v>0</v>
      </c>
      <c r="N41" s="1507">
        <v>0</v>
      </c>
    </row>
    <row r="42" spans="1:18" s="1401" customFormat="1" ht="12" customHeight="1">
      <c r="A42" s="1402"/>
      <c r="B42" s="1402"/>
      <c r="C42" s="1402"/>
      <c r="D42" s="1402"/>
      <c r="E42" s="1426"/>
      <c r="F42" s="1490"/>
      <c r="G42" s="1491"/>
      <c r="H42" s="1491"/>
      <c r="I42" s="1491"/>
      <c r="J42" s="1490"/>
      <c r="K42" s="1491"/>
      <c r="L42" s="1491"/>
      <c r="N42" s="1490"/>
      <c r="P42" s="1434"/>
    </row>
    <row r="43" spans="1:18" ht="14.4" thickBot="1">
      <c r="A43" s="1401" t="s">
        <v>2838</v>
      </c>
      <c r="B43" s="1401"/>
      <c r="C43" s="1401"/>
      <c r="D43" s="1401"/>
      <c r="E43" s="1434"/>
      <c r="F43" s="1509">
        <f>+F39-F41</f>
        <v>-565080</v>
      </c>
      <c r="G43" s="1483"/>
      <c r="H43" s="1510">
        <f>+H39-H41</f>
        <v>2594535.35</v>
      </c>
      <c r="I43" s="1483"/>
      <c r="J43" s="1509">
        <f>+J39-J41</f>
        <v>-41718.681999999739</v>
      </c>
      <c r="K43" s="1483"/>
      <c r="L43" s="1510">
        <f>+L39-L41</f>
        <v>182710.45999999996</v>
      </c>
      <c r="M43" s="1512"/>
      <c r="N43" s="1509">
        <f>+N39-N41</f>
        <v>-523362</v>
      </c>
      <c r="P43" s="1428"/>
    </row>
    <row r="44" spans="1:18" ht="14.4" thickTop="1">
      <c r="A44" s="1401"/>
      <c r="B44" s="1401"/>
      <c r="C44" s="1401"/>
      <c r="D44" s="1401"/>
      <c r="E44" s="1434"/>
      <c r="F44" s="1488"/>
      <c r="G44" s="1483"/>
      <c r="H44" s="1483"/>
      <c r="I44" s="1483"/>
      <c r="J44" s="1483"/>
      <c r="K44" s="1483"/>
      <c r="L44" s="1483"/>
      <c r="N44" s="1490"/>
    </row>
    <row r="45" spans="1:18">
      <c r="A45" s="1401" t="s">
        <v>2661</v>
      </c>
      <c r="E45" s="1426" t="str">
        <f>+'7-12'!A60</f>
        <v>10.</v>
      </c>
      <c r="F45" s="1434"/>
      <c r="N45" s="1490"/>
    </row>
    <row r="46" spans="1:18" ht="12" customHeight="1">
      <c r="E46" s="1428"/>
      <c r="F46" s="1434"/>
      <c r="N46" s="1490"/>
    </row>
    <row r="47" spans="1:18">
      <c r="A47" s="1995" t="s">
        <v>2710</v>
      </c>
      <c r="E47" s="1428"/>
      <c r="F47" s="1434"/>
    </row>
    <row r="48" spans="1:18">
      <c r="A48" s="1996" t="s">
        <v>2838</v>
      </c>
      <c r="E48" s="1428"/>
      <c r="F48" s="1951"/>
      <c r="H48" s="1502">
        <v>2594535.2450000001</v>
      </c>
      <c r="I48" s="1502"/>
      <c r="J48" s="1951"/>
      <c r="K48" s="1412"/>
      <c r="L48" s="1412"/>
      <c r="N48" s="1507">
        <f>N43</f>
        <v>-523362</v>
      </c>
      <c r="P48" s="2167" t="s">
        <v>2796</v>
      </c>
      <c r="Q48" s="2167" t="s">
        <v>2797</v>
      </c>
      <c r="R48" s="2167" t="s">
        <v>44</v>
      </c>
    </row>
    <row r="49" spans="1:18">
      <c r="A49" s="1996" t="s">
        <v>2603</v>
      </c>
      <c r="E49" s="1428"/>
      <c r="F49" s="1951"/>
      <c r="H49" s="1502">
        <v>-575174.01600000006</v>
      </c>
      <c r="I49" s="1502"/>
      <c r="J49" s="1951"/>
      <c r="K49" s="1412"/>
      <c r="L49" s="1412"/>
      <c r="N49" s="1507">
        <v>0</v>
      </c>
      <c r="O49" s="1920"/>
      <c r="P49" s="2166">
        <v>-128167329</v>
      </c>
      <c r="Q49" s="2166">
        <v>51467698</v>
      </c>
      <c r="R49" s="2166">
        <f>SUM(P49:Q49)</f>
        <v>-76699631</v>
      </c>
    </row>
    <row r="50" spans="1:18" ht="14.4" thickBot="1">
      <c r="E50" s="1428"/>
      <c r="F50" s="1951"/>
      <c r="H50" s="1997">
        <f>SUM(H48:H49)</f>
        <v>2019361.2290000001</v>
      </c>
      <c r="J50" s="1951"/>
      <c r="K50" s="1410"/>
      <c r="L50" s="1412"/>
      <c r="N50" s="2001">
        <f>SUM(N48:N49)</f>
        <v>-523362</v>
      </c>
      <c r="O50" s="1502"/>
      <c r="P50" s="2166">
        <f>P49/1000</f>
        <v>-128167.329</v>
      </c>
      <c r="Q50" s="2166">
        <f>Q49/1000</f>
        <v>51467.697999999997</v>
      </c>
      <c r="R50" s="2166">
        <f>R49/1000</f>
        <v>-76699.630999999994</v>
      </c>
    </row>
    <row r="51" spans="1:18" ht="14.4" thickTop="1">
      <c r="A51" s="1998" t="s">
        <v>2402</v>
      </c>
      <c r="E51" s="1428"/>
      <c r="F51" s="1435"/>
      <c r="J51" s="1435"/>
      <c r="K51" s="1410"/>
      <c r="L51" s="1410"/>
    </row>
    <row r="52" spans="1:18">
      <c r="A52" s="1999" t="s">
        <v>2604</v>
      </c>
      <c r="E52" s="1428"/>
      <c r="F52" s="1951"/>
      <c r="H52" s="1932">
        <f>H54-H53</f>
        <v>2019361.2290000001</v>
      </c>
      <c r="J52" s="1951"/>
      <c r="K52" s="1410"/>
      <c r="L52" s="1951"/>
      <c r="N52" s="2000">
        <f>N54-N53</f>
        <v>-523362</v>
      </c>
      <c r="O52" s="1920"/>
    </row>
    <row r="53" spans="1:18">
      <c r="A53" s="1999" t="s">
        <v>2605</v>
      </c>
      <c r="E53" s="1428"/>
      <c r="F53" s="1951"/>
      <c r="H53" s="1824">
        <v>0</v>
      </c>
      <c r="J53" s="1951"/>
      <c r="K53" s="1410"/>
      <c r="L53" s="1951"/>
      <c r="N53" s="1622">
        <v>0</v>
      </c>
      <c r="O53" s="1502"/>
    </row>
    <row r="54" spans="1:18" ht="14.4" thickBot="1">
      <c r="E54" s="1428"/>
      <c r="F54" s="1951"/>
      <c r="H54" s="1997">
        <f>H50</f>
        <v>2019361.2290000001</v>
      </c>
      <c r="J54" s="1951"/>
      <c r="K54" s="1410"/>
      <c r="L54" s="1412"/>
      <c r="N54" s="2001">
        <f>N50</f>
        <v>-523362</v>
      </c>
    </row>
    <row r="55" spans="1:18" ht="12" customHeight="1" thickTop="1">
      <c r="E55" s="1428"/>
      <c r="F55" s="1434"/>
      <c r="J55" s="2094"/>
      <c r="L55" s="1010"/>
      <c r="O55" s="1920"/>
    </row>
    <row r="56" spans="1:18">
      <c r="A56" s="1624" t="str">
        <f>BS!$A$43</f>
        <v>The annexed notes 1 to 15 form an integral part of these interim financial statements.</v>
      </c>
      <c r="F56" s="1402"/>
      <c r="G56" s="1402"/>
      <c r="H56" s="1402"/>
      <c r="I56" s="1402"/>
      <c r="J56" s="1401"/>
      <c r="K56" s="1402"/>
      <c r="L56" s="1402"/>
      <c r="M56" s="1405"/>
    </row>
    <row r="57" spans="1:18" ht="10.35" customHeight="1">
      <c r="A57" s="1452"/>
      <c r="F57" s="1402"/>
      <c r="G57" s="1402"/>
      <c r="H57" s="1402"/>
      <c r="I57" s="1402"/>
      <c r="J57" s="1402"/>
      <c r="K57" s="1402"/>
      <c r="L57" s="1402"/>
      <c r="M57" s="1405"/>
      <c r="O57" s="1920"/>
    </row>
    <row r="58" spans="1:18">
      <c r="A58" s="2327" t="s">
        <v>2488</v>
      </c>
      <c r="B58" s="2327"/>
      <c r="C58" s="2327"/>
      <c r="D58" s="2327"/>
      <c r="E58" s="2327"/>
      <c r="F58" s="2327"/>
      <c r="G58" s="2327"/>
      <c r="H58" s="2327"/>
      <c r="I58" s="2327"/>
      <c r="J58" s="2327"/>
      <c r="K58" s="2327"/>
      <c r="L58" s="2327"/>
      <c r="M58" s="1405"/>
      <c r="O58" s="1502"/>
    </row>
    <row r="59" spans="1:18">
      <c r="A59" s="2327" t="s">
        <v>149</v>
      </c>
      <c r="B59" s="2327"/>
      <c r="C59" s="2327"/>
      <c r="D59" s="2327"/>
      <c r="E59" s="2327"/>
      <c r="F59" s="2327"/>
      <c r="G59" s="2327"/>
      <c r="H59" s="2327"/>
      <c r="I59" s="2327"/>
      <c r="J59" s="2327"/>
      <c r="K59" s="2327"/>
      <c r="L59" s="2327"/>
      <c r="M59" s="1405"/>
      <c r="O59" s="1920"/>
    </row>
    <row r="60" spans="1:18" s="1454" customFormat="1">
      <c r="A60" s="1455"/>
      <c r="B60" s="1455"/>
      <c r="C60" s="1455"/>
      <c r="D60" s="1455"/>
      <c r="E60" s="1455"/>
      <c r="F60" s="1455"/>
      <c r="G60" s="1455"/>
      <c r="H60" s="1455"/>
      <c r="I60" s="1455"/>
      <c r="J60" s="1455"/>
      <c r="K60" s="1455"/>
      <c r="L60" s="1455"/>
      <c r="N60" s="1507"/>
      <c r="O60" s="1502"/>
    </row>
    <row r="61" spans="1:18" s="1454" customFormat="1">
      <c r="A61" s="1455"/>
      <c r="B61" s="1455"/>
      <c r="C61" s="1455"/>
      <c r="D61" s="1455"/>
      <c r="E61" s="1455"/>
      <c r="F61" s="1455"/>
      <c r="G61" s="1455"/>
      <c r="H61" s="1455"/>
      <c r="I61" s="1455"/>
      <c r="J61" s="1455"/>
      <c r="K61" s="1455"/>
      <c r="L61" s="1455"/>
      <c r="N61" s="1507"/>
      <c r="O61" s="1920"/>
    </row>
    <row r="62" spans="1:18" s="1454" customFormat="1">
      <c r="A62" s="1455"/>
      <c r="B62" s="1455"/>
      <c r="C62" s="1455"/>
      <c r="D62" s="1455"/>
      <c r="E62" s="1455"/>
      <c r="F62" s="1455"/>
      <c r="G62" s="1455"/>
      <c r="H62" s="1455"/>
      <c r="I62" s="1455"/>
      <c r="J62" s="1455"/>
      <c r="K62" s="1455"/>
      <c r="L62" s="1455"/>
      <c r="N62" s="1507"/>
      <c r="O62" s="1502"/>
    </row>
    <row r="63" spans="1:18" s="1461" customFormat="1">
      <c r="A63" s="1456"/>
      <c r="B63" s="2079"/>
      <c r="C63" s="2079"/>
      <c r="D63" s="2079"/>
      <c r="E63" s="2079"/>
      <c r="F63" s="1458"/>
      <c r="G63" s="2079"/>
      <c r="H63" s="1459"/>
      <c r="I63" s="1459"/>
      <c r="J63" s="1459"/>
      <c r="K63" s="1459"/>
      <c r="L63" s="1459"/>
      <c r="N63" s="1806"/>
    </row>
    <row r="64" spans="1:18" s="1461" customFormat="1">
      <c r="A64" s="1461" t="s">
        <v>2490</v>
      </c>
      <c r="B64" s="2079"/>
      <c r="D64" s="1627" t="s">
        <v>2490</v>
      </c>
      <c r="F64" s="1458"/>
      <c r="G64" s="2079"/>
      <c r="H64" s="1459"/>
      <c r="I64" s="1459"/>
      <c r="J64" s="1459"/>
      <c r="K64" s="2083" t="s">
        <v>2492</v>
      </c>
      <c r="N64" s="1806"/>
    </row>
    <row r="65" spans="1:14" s="1461" customFormat="1">
      <c r="A65" s="1456" t="s">
        <v>2489</v>
      </c>
      <c r="B65" s="2079"/>
      <c r="D65" s="1628" t="s">
        <v>2493</v>
      </c>
      <c r="F65" s="1458"/>
      <c r="G65" s="2079"/>
      <c r="H65" s="1459"/>
      <c r="I65" s="1459"/>
      <c r="J65" s="1459"/>
      <c r="K65" s="2079" t="s">
        <v>2491</v>
      </c>
      <c r="N65" s="1806"/>
    </row>
    <row r="66" spans="1:14" s="1461" customFormat="1">
      <c r="B66" s="2079"/>
      <c r="C66" s="2079"/>
      <c r="D66" s="2079"/>
      <c r="E66" s="2079"/>
      <c r="F66" s="1458"/>
      <c r="G66" s="2079"/>
      <c r="H66" s="1459"/>
      <c r="I66" s="1459"/>
      <c r="J66" s="1459"/>
      <c r="K66" s="1459"/>
      <c r="L66" s="1459"/>
      <c r="N66" s="1806"/>
    </row>
    <row r="67" spans="1:14" s="1461" customFormat="1">
      <c r="A67" s="1465"/>
      <c r="B67" s="1463"/>
      <c r="C67" s="1463"/>
      <c r="D67" s="2079"/>
      <c r="E67" s="2079"/>
      <c r="F67" s="1458"/>
      <c r="G67" s="2079"/>
      <c r="H67" s="1466"/>
      <c r="I67" s="1466"/>
      <c r="J67" s="1466"/>
      <c r="K67" s="1466"/>
      <c r="L67" s="1466"/>
      <c r="N67" s="1806"/>
    </row>
  </sheetData>
  <mergeCells count="10">
    <mergeCell ref="A1:L1"/>
    <mergeCell ref="A2:L2"/>
    <mergeCell ref="A3:L3"/>
    <mergeCell ref="A58:L58"/>
    <mergeCell ref="A59:L59"/>
    <mergeCell ref="J6:L6"/>
    <mergeCell ref="J7:L7"/>
    <mergeCell ref="F6:H6"/>
    <mergeCell ref="F7:H7"/>
    <mergeCell ref="F9:L9"/>
  </mergeCells>
  <phoneticPr fontId="38" type="noConversion"/>
  <pageMargins left="0.75" right="0.25" top="0.75" bottom="0" header="0.25" footer="0"/>
  <pageSetup paperSize="9" scale="84" firstPageNumber="2" orientation="portrait" useFirstPageNumber="1" r:id="rId1"/>
  <headerFooter>
    <oddHeader>&amp;C&amp;"Arial Black,Regular"&amp;11&amp;P</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Y176"/>
  <sheetViews>
    <sheetView view="pageBreakPreview" topLeftCell="A145" zoomScaleSheetLayoutView="100" workbookViewId="0">
      <selection activeCell="G32" sqref="G32"/>
    </sheetView>
  </sheetViews>
  <sheetFormatPr defaultColWidth="10.09765625" defaultRowHeight="13.8"/>
  <cols>
    <col min="1" max="1" width="5.09765625" style="1607" customWidth="1"/>
    <col min="2" max="2" width="3.59765625" style="1537" customWidth="1"/>
    <col min="3" max="3" width="15.5" style="1537" customWidth="1"/>
    <col min="4" max="4" width="9.59765625" style="1537" customWidth="1"/>
    <col min="5" max="5" width="11" style="1537" customWidth="1"/>
    <col min="6" max="6" width="7.59765625" style="1537" customWidth="1"/>
    <col min="7" max="7" width="7.5" style="1537" customWidth="1"/>
    <col min="8" max="8" width="12.09765625" style="1537" customWidth="1"/>
    <col min="9" max="9" width="13" style="1537" customWidth="1"/>
    <col min="10" max="10" width="1.09765625" style="1537" customWidth="1"/>
    <col min="11" max="11" width="13" style="1537" customWidth="1"/>
    <col min="12" max="12" width="17.59765625" style="1537" customWidth="1"/>
    <col min="13" max="13" width="16" style="1537" bestFit="1" customWidth="1"/>
    <col min="14" max="14" width="10.09765625" style="1537" bestFit="1" customWidth="1"/>
    <col min="15" max="15" width="11.5" style="1537" bestFit="1" customWidth="1"/>
    <col min="16" max="17" width="10.09765625" style="1537" bestFit="1" customWidth="1"/>
    <col min="18" max="25" width="10.09765625" style="1537"/>
    <col min="26" max="26" width="10.09765625" style="1537" bestFit="1" customWidth="1"/>
    <col min="27" max="48" width="10.09765625" style="1537"/>
    <col min="49" max="51" width="10.09765625" style="1537" bestFit="1" customWidth="1"/>
    <col min="52" max="16384" width="10.09765625" style="1537"/>
  </cols>
  <sheetData>
    <row r="1" spans="1:51" s="1530" customFormat="1" ht="15" customHeight="1">
      <c r="A1" s="1966" t="s">
        <v>2776</v>
      </c>
      <c r="B1" s="1967" t="s">
        <v>2538</v>
      </c>
      <c r="C1" s="1562"/>
      <c r="D1" s="1562"/>
      <c r="E1" s="1546"/>
      <c r="F1" s="1546"/>
      <c r="G1" s="1546"/>
      <c r="H1" s="2151"/>
      <c r="I1" s="2487" t="s">
        <v>716</v>
      </c>
      <c r="J1" s="2487"/>
      <c r="K1" s="2487"/>
    </row>
    <row r="2" spans="1:51" s="1530" customFormat="1" ht="15" customHeight="1">
      <c r="C2" s="1562"/>
      <c r="D2" s="1562"/>
      <c r="E2" s="1546"/>
      <c r="F2" s="1546"/>
      <c r="G2" s="1546"/>
      <c r="H2" s="2151"/>
      <c r="I2" s="2328" t="s">
        <v>2680</v>
      </c>
      <c r="J2" s="2328"/>
      <c r="K2" s="2328"/>
    </row>
    <row r="3" spans="1:51" s="1530" customFormat="1" ht="15" customHeight="1">
      <c r="C3" s="1562"/>
      <c r="D3" s="1562"/>
      <c r="E3" s="1546"/>
      <c r="F3" s="1546"/>
      <c r="G3" s="1546"/>
      <c r="H3" s="2151"/>
      <c r="I3" s="2329" t="s">
        <v>2676</v>
      </c>
      <c r="J3" s="2329"/>
      <c r="K3" s="2329"/>
    </row>
    <row r="4" spans="1:51" s="1530" customFormat="1" ht="15" customHeight="1">
      <c r="C4" s="1562"/>
      <c r="D4" s="1562"/>
      <c r="E4" s="1546"/>
      <c r="F4" s="1546"/>
      <c r="G4" s="1546"/>
      <c r="H4" s="2151"/>
      <c r="I4" s="2255" t="s">
        <v>2795</v>
      </c>
      <c r="J4" s="2255"/>
      <c r="K4" s="2255" t="s">
        <v>2678</v>
      </c>
    </row>
    <row r="5" spans="1:51" s="1530" customFormat="1" ht="15" customHeight="1">
      <c r="A5" s="1966"/>
      <c r="B5" s="1967"/>
      <c r="C5" s="1562"/>
      <c r="D5" s="1562"/>
      <c r="E5" s="1583"/>
      <c r="F5" s="1583"/>
      <c r="G5" s="1583"/>
      <c r="I5" s="2347" t="s">
        <v>2539</v>
      </c>
      <c r="J5" s="2488"/>
      <c r="K5" s="2488"/>
      <c r="AW5" s="2144" t="s">
        <v>626</v>
      </c>
    </row>
    <row r="6" spans="1:51" s="1530" customFormat="1" ht="15" customHeight="1">
      <c r="B6" s="1552" t="s">
        <v>2540</v>
      </c>
      <c r="Z6" s="1557"/>
      <c r="AA6" s="1557"/>
      <c r="AB6" s="1557"/>
      <c r="AC6" s="1557"/>
      <c r="AD6" s="1557"/>
      <c r="AE6" s="1557"/>
      <c r="AF6" s="1557"/>
      <c r="AG6" s="1557"/>
      <c r="AH6" s="1557"/>
      <c r="AI6" s="1557"/>
      <c r="AJ6" s="1557"/>
      <c r="AK6" s="1557"/>
      <c r="AL6" s="1557"/>
      <c r="AM6" s="1557"/>
      <c r="AN6" s="1557"/>
      <c r="AO6" s="1557"/>
      <c r="AP6" s="1557"/>
      <c r="AQ6" s="1557"/>
      <c r="AR6" s="1557"/>
      <c r="AS6" s="1557"/>
      <c r="AT6" s="1557"/>
      <c r="AU6" s="1557"/>
      <c r="AV6" s="1557"/>
    </row>
    <row r="7" spans="1:51" s="1530" customFormat="1" ht="15" customHeight="1">
      <c r="A7" s="1605"/>
      <c r="B7" s="1555" t="s">
        <v>2615</v>
      </c>
      <c r="E7" s="1563"/>
      <c r="F7" s="1563"/>
      <c r="G7" s="1563"/>
      <c r="H7" s="1563"/>
      <c r="I7" s="2113">
        <f>IS!F21+IS!F23</f>
        <v>195438</v>
      </c>
      <c r="J7" s="1968"/>
      <c r="K7" s="1563">
        <v>191495</v>
      </c>
      <c r="L7" s="1563"/>
      <c r="M7" s="1969"/>
      <c r="Z7" s="1563">
        <f>K7-AW7</f>
        <v>181213</v>
      </c>
      <c r="AW7" s="1970">
        <v>10282</v>
      </c>
    </row>
    <row r="8" spans="1:51" s="1530" customFormat="1" ht="15" customHeight="1">
      <c r="A8" s="1605"/>
      <c r="B8" s="1555" t="s">
        <v>2616</v>
      </c>
      <c r="E8" s="1563"/>
      <c r="F8" s="1563"/>
      <c r="G8" s="1563"/>
      <c r="H8" s="1563"/>
      <c r="I8" s="2113">
        <f>IS!F29</f>
        <v>113822</v>
      </c>
      <c r="J8" s="1968"/>
      <c r="K8" s="1563">
        <v>110151</v>
      </c>
      <c r="L8" s="1563"/>
      <c r="M8" s="1969"/>
      <c r="Z8" s="1563"/>
      <c r="AW8" s="1970"/>
    </row>
    <row r="9" spans="1:51" s="1530" customFormat="1" ht="15" customHeight="1">
      <c r="A9" s="1605"/>
      <c r="B9" s="1555" t="s">
        <v>2617</v>
      </c>
      <c r="E9" s="1563"/>
      <c r="F9" s="1563"/>
      <c r="G9" s="1563"/>
      <c r="H9" s="1563"/>
      <c r="I9" s="2113">
        <f>IS!F28</f>
        <v>8756</v>
      </c>
      <c r="J9" s="1968"/>
      <c r="K9" s="1563">
        <v>8473</v>
      </c>
      <c r="L9" s="1563"/>
      <c r="M9" s="1969"/>
      <c r="Z9" s="1563"/>
      <c r="AW9" s="1970"/>
    </row>
    <row r="10" spans="1:51" s="1530" customFormat="1" ht="15" customHeight="1">
      <c r="A10" s="1605"/>
      <c r="B10" s="1555"/>
      <c r="E10" s="1563"/>
      <c r="F10" s="1563"/>
      <c r="G10" s="1563"/>
      <c r="H10" s="1563"/>
      <c r="I10" s="1613"/>
      <c r="J10" s="1968"/>
      <c r="K10" s="1563"/>
      <c r="L10" s="1586"/>
      <c r="M10" s="1969"/>
      <c r="Z10" s="1563">
        <f>K10-AW10</f>
        <v>-1645</v>
      </c>
      <c r="AW10" s="1970">
        <v>1645</v>
      </c>
    </row>
    <row r="11" spans="1:51" s="1530" customFormat="1" ht="15" customHeight="1">
      <c r="A11" s="1605"/>
      <c r="B11" s="1562" t="s">
        <v>2541</v>
      </c>
      <c r="E11" s="1563"/>
      <c r="F11" s="1563"/>
      <c r="G11" s="1563"/>
      <c r="H11" s="1563"/>
      <c r="I11" s="1613"/>
      <c r="J11" s="1968"/>
      <c r="K11" s="1563"/>
      <c r="L11" s="1584"/>
    </row>
    <row r="12" spans="1:51" s="1530" customFormat="1" ht="15" customHeight="1">
      <c r="A12" s="1605"/>
      <c r="B12" s="1530" t="s">
        <v>2542</v>
      </c>
      <c r="E12" s="1563"/>
      <c r="F12" s="1563"/>
      <c r="G12" s="1563"/>
      <c r="H12" s="1563"/>
      <c r="I12" s="1613">
        <f>IS!F24+IS!F25</f>
        <v>10743</v>
      </c>
      <c r="J12" s="1968"/>
      <c r="K12" s="1563">
        <v>10424</v>
      </c>
      <c r="L12" s="1584"/>
      <c r="M12" s="1969"/>
      <c r="Z12" s="1969">
        <f>K12-AW12</f>
        <v>9179</v>
      </c>
      <c r="AW12" s="1530">
        <v>1245</v>
      </c>
      <c r="AX12" s="1530">
        <f>7436.7428+24759.3034+10657.9614</f>
        <v>42854.007599999997</v>
      </c>
    </row>
    <row r="13" spans="1:51" s="1530" customFormat="1" ht="15" customHeight="1">
      <c r="A13" s="1605"/>
      <c r="B13" s="1530" t="s">
        <v>2543</v>
      </c>
      <c r="E13" s="1563"/>
      <c r="F13" s="1563"/>
      <c r="G13" s="1563"/>
      <c r="H13" s="1563"/>
      <c r="I13" s="1613">
        <f>'TB-31 Dec'!F156</f>
        <v>957</v>
      </c>
      <c r="J13" s="1968"/>
      <c r="K13" s="1563">
        <v>1808</v>
      </c>
      <c r="L13" s="1584"/>
      <c r="AX13" s="1530">
        <f>74376+24759+10657</f>
        <v>109792</v>
      </c>
      <c r="AY13" s="1530">
        <f>843506+280795+120871</f>
        <v>1245172</v>
      </c>
    </row>
    <row r="14" spans="1:51" s="1530" customFormat="1" ht="15" customHeight="1">
      <c r="A14" s="1605"/>
      <c r="E14" s="1563"/>
      <c r="F14" s="1563"/>
      <c r="G14" s="1563"/>
      <c r="H14" s="1563"/>
      <c r="I14" s="1613"/>
      <c r="J14" s="1968"/>
      <c r="K14" s="1563"/>
      <c r="L14" s="1584"/>
    </row>
    <row r="15" spans="1:51" s="1530" customFormat="1" ht="15" customHeight="1">
      <c r="A15" s="1554"/>
      <c r="B15" s="1552" t="s">
        <v>2544</v>
      </c>
      <c r="E15" s="1563"/>
      <c r="F15" s="1563"/>
      <c r="G15" s="1563"/>
      <c r="H15" s="1563"/>
      <c r="I15" s="1613"/>
      <c r="J15" s="1971"/>
      <c r="K15" s="1563"/>
    </row>
    <row r="16" spans="1:51" s="1530" customFormat="1" ht="15" customHeight="1">
      <c r="A16" s="1554"/>
      <c r="B16" s="1899" t="s">
        <v>2433</v>
      </c>
      <c r="E16" s="1969"/>
      <c r="F16" s="1969"/>
      <c r="G16" s="1969"/>
      <c r="H16" s="1969"/>
      <c r="I16" s="1613">
        <f>L16/1000</f>
        <v>2212.1849999999999</v>
      </c>
      <c r="J16" s="1971"/>
      <c r="K16" s="1969">
        <v>3650.645</v>
      </c>
      <c r="L16" s="2249">
        <v>2212185</v>
      </c>
      <c r="M16" s="1969"/>
      <c r="P16" s="1969"/>
      <c r="Z16" s="1969">
        <f>K16-AW16</f>
        <v>-123560.355</v>
      </c>
      <c r="AW16" s="1530">
        <v>127211</v>
      </c>
    </row>
    <row r="17" spans="1:13" s="1530" customFormat="1" ht="15" customHeight="1">
      <c r="A17" s="1554"/>
      <c r="B17" s="1555"/>
      <c r="E17" s="1563"/>
      <c r="F17" s="1563"/>
      <c r="G17" s="1563"/>
      <c r="H17" s="1563"/>
      <c r="I17" s="1613"/>
      <c r="J17" s="1971"/>
      <c r="K17" s="1563"/>
    </row>
    <row r="18" spans="1:13" s="1530" customFormat="1" ht="15" customHeight="1">
      <c r="A18" s="1554"/>
      <c r="B18" s="1552" t="s">
        <v>1037</v>
      </c>
      <c r="E18" s="1563"/>
      <c r="F18" s="1563"/>
      <c r="G18" s="1563"/>
      <c r="H18" s="1563"/>
      <c r="I18" s="1613"/>
      <c r="J18" s="1971"/>
      <c r="K18" s="1563"/>
    </row>
    <row r="19" spans="1:13" s="1530" customFormat="1" ht="15" customHeight="1">
      <c r="A19" s="1554"/>
      <c r="B19" s="1530" t="s">
        <v>1072</v>
      </c>
      <c r="E19" s="1563"/>
      <c r="F19" s="1563"/>
      <c r="G19" s="1563"/>
      <c r="H19" s="1563"/>
      <c r="I19" s="1613">
        <f>'TB-31 Dec'!F166</f>
        <v>83</v>
      </c>
      <c r="J19" s="1971"/>
      <c r="K19" s="1563">
        <v>168</v>
      </c>
    </row>
    <row r="20" spans="1:13" s="1530" customFormat="1" ht="15" customHeight="1">
      <c r="A20" s="1554"/>
      <c r="B20" s="1530" t="s">
        <v>2401</v>
      </c>
      <c r="E20" s="1563"/>
      <c r="F20" s="1563"/>
      <c r="G20" s="1563"/>
      <c r="H20" s="1563"/>
      <c r="I20" s="1613">
        <f>'TB-31 Dec'!G129+'TB-31 Dec'!G130+'TB-31 Dec'!G131</f>
        <v>18131</v>
      </c>
      <c r="J20" s="1971"/>
      <c r="K20" s="1563">
        <v>5821</v>
      </c>
      <c r="L20" s="2247"/>
    </row>
    <row r="21" spans="1:13" s="1530" customFormat="1" ht="15" customHeight="1">
      <c r="A21" s="1554"/>
      <c r="B21" s="1530" t="s">
        <v>115</v>
      </c>
      <c r="E21" s="1563"/>
      <c r="F21" s="1563"/>
      <c r="G21" s="1563"/>
      <c r="H21" s="1563"/>
      <c r="I21" s="1613">
        <f>L21/1000</f>
        <v>4.2249999999999996</v>
      </c>
      <c r="J21" s="1971"/>
      <c r="K21" s="1563">
        <v>7892.8050000000003</v>
      </c>
      <c r="L21" s="2248">
        <v>4225</v>
      </c>
    </row>
    <row r="22" spans="1:13" s="1530" customFormat="1" ht="15" customHeight="1">
      <c r="A22" s="1554"/>
      <c r="B22" s="1555" t="s">
        <v>2841</v>
      </c>
      <c r="E22" s="1563"/>
      <c r="F22" s="1563"/>
      <c r="G22" s="1563"/>
      <c r="H22" s="1563"/>
      <c r="I22" s="1613">
        <f>L22/1000</f>
        <v>0</v>
      </c>
      <c r="J22" s="1971"/>
      <c r="K22" s="1563">
        <v>2463277.5</v>
      </c>
      <c r="L22" s="2248"/>
    </row>
    <row r="23" spans="1:13" s="1530" customFormat="1" ht="15" customHeight="1">
      <c r="A23" s="1554"/>
      <c r="B23" s="1555" t="s">
        <v>2842</v>
      </c>
      <c r="E23" s="1563"/>
      <c r="F23" s="1563"/>
      <c r="G23" s="1563"/>
      <c r="H23" s="1563"/>
      <c r="I23" s="1613">
        <f t="shared" ref="I23:I24" si="0">L23/1000</f>
        <v>201530.5086</v>
      </c>
      <c r="J23" s="1971"/>
      <c r="K23" s="1563">
        <v>398702</v>
      </c>
      <c r="L23" s="2248">
        <v>201530508.59999999</v>
      </c>
    </row>
    <row r="24" spans="1:13" s="1530" customFormat="1" ht="15" customHeight="1">
      <c r="A24" s="1554"/>
      <c r="B24" s="1555" t="s">
        <v>2843</v>
      </c>
      <c r="E24" s="1563"/>
      <c r="F24" s="1563"/>
      <c r="G24" s="1563"/>
      <c r="H24" s="1563"/>
      <c r="I24" s="1613">
        <f t="shared" si="0"/>
        <v>209277.70121999999</v>
      </c>
      <c r="J24" s="1971"/>
      <c r="K24" s="1563">
        <v>841552</v>
      </c>
      <c r="L24" s="2248">
        <v>209277701.22</v>
      </c>
    </row>
    <row r="25" spans="1:13" s="1530" customFormat="1" ht="15" customHeight="1">
      <c r="A25" s="1554"/>
      <c r="B25" s="1555"/>
      <c r="E25" s="1563"/>
      <c r="F25" s="1563"/>
      <c r="G25" s="1563"/>
      <c r="H25" s="1563"/>
      <c r="I25" s="1613"/>
      <c r="J25" s="1971"/>
      <c r="K25" s="1563"/>
      <c r="L25" s="1606"/>
    </row>
    <row r="26" spans="1:13" s="1530" customFormat="1" ht="15" customHeight="1">
      <c r="A26" s="1554"/>
      <c r="B26" s="1552" t="s">
        <v>1163</v>
      </c>
      <c r="E26" s="1563"/>
      <c r="F26" s="1563"/>
      <c r="G26" s="1563"/>
      <c r="H26" s="1563"/>
      <c r="I26" s="1613"/>
      <c r="J26" s="1971"/>
      <c r="K26" s="1563"/>
      <c r="L26" s="1606"/>
    </row>
    <row r="27" spans="1:13" s="1530" customFormat="1" ht="15" customHeight="1">
      <c r="A27" s="1554"/>
      <c r="B27" s="1555" t="s">
        <v>329</v>
      </c>
      <c r="E27" s="1563"/>
      <c r="F27" s="1563"/>
      <c r="G27" s="1563"/>
      <c r="H27" s="1563"/>
      <c r="I27" s="1613">
        <f>L27/1000</f>
        <v>1551.75</v>
      </c>
      <c r="J27" s="1971"/>
      <c r="K27" s="1563">
        <v>4693.75</v>
      </c>
      <c r="L27" s="2268">
        <v>1551750</v>
      </c>
    </row>
    <row r="28" spans="1:13" s="1530" customFormat="1" ht="15" customHeight="1">
      <c r="A28" s="1554"/>
      <c r="B28" s="1555" t="s">
        <v>2868</v>
      </c>
      <c r="E28" s="1563"/>
      <c r="F28" s="1563"/>
      <c r="G28" s="1563"/>
      <c r="H28" s="1563"/>
      <c r="I28" s="1613">
        <f>L28/1000</f>
        <v>2146.1250199999999</v>
      </c>
      <c r="J28" s="1971"/>
      <c r="K28" s="1563">
        <v>105102</v>
      </c>
      <c r="L28" s="2268">
        <v>2146125.02</v>
      </c>
      <c r="M28" s="2268"/>
    </row>
    <row r="29" spans="1:13" s="1530" customFormat="1" ht="15" customHeight="1">
      <c r="A29" s="1554"/>
      <c r="B29" s="1555" t="s">
        <v>2869</v>
      </c>
      <c r="E29" s="1563"/>
      <c r="F29" s="1563"/>
      <c r="G29" s="1563"/>
      <c r="H29" s="1563"/>
      <c r="I29" s="1613">
        <f>L29/1000</f>
        <v>41040.125030000003</v>
      </c>
      <c r="J29" s="1971"/>
      <c r="K29" s="1563">
        <v>218019</v>
      </c>
      <c r="L29" s="2269">
        <v>41040125.030000001</v>
      </c>
      <c r="M29" s="2268"/>
    </row>
    <row r="30" spans="1:13" s="1530" customFormat="1" ht="15" customHeight="1">
      <c r="A30" s="1554"/>
      <c r="B30" s="1555"/>
      <c r="E30" s="1563"/>
      <c r="F30" s="1563"/>
      <c r="G30" s="1563"/>
      <c r="H30" s="1563"/>
      <c r="I30" s="1613"/>
      <c r="J30" s="1971"/>
      <c r="K30" s="1563"/>
      <c r="L30" s="1606"/>
      <c r="M30" s="2242"/>
    </row>
    <row r="31" spans="1:13" s="1530" customFormat="1" ht="15" customHeight="1">
      <c r="A31" s="1554"/>
      <c r="B31" s="1552" t="s">
        <v>2912</v>
      </c>
      <c r="E31" s="1563"/>
      <c r="F31" s="1563"/>
      <c r="G31" s="1563"/>
      <c r="H31" s="1563"/>
      <c r="I31" s="1613"/>
      <c r="J31" s="1971"/>
      <c r="K31" s="1563"/>
      <c r="L31" s="1606"/>
      <c r="M31" s="2242"/>
    </row>
    <row r="32" spans="1:13" s="1530" customFormat="1" ht="15" customHeight="1">
      <c r="A32" s="1554"/>
      <c r="B32" s="1555" t="s">
        <v>2916</v>
      </c>
      <c r="E32" s="1563"/>
      <c r="F32" s="1563"/>
      <c r="G32" s="1563"/>
      <c r="H32" s="1563"/>
      <c r="I32" s="1613">
        <f>L32/1000</f>
        <v>63744.911999999997</v>
      </c>
      <c r="J32" s="1971"/>
      <c r="K32" s="1563">
        <v>0</v>
      </c>
      <c r="L32" s="2269">
        <v>63744912</v>
      </c>
      <c r="M32" s="2242"/>
    </row>
    <row r="33" spans="1:13" s="1530" customFormat="1" ht="15" customHeight="1">
      <c r="A33" s="1554"/>
      <c r="B33" s="1555" t="s">
        <v>2890</v>
      </c>
      <c r="E33" s="1563"/>
      <c r="F33" s="1563"/>
      <c r="G33" s="1563"/>
      <c r="H33" s="1563"/>
      <c r="I33" s="1613">
        <f>L33/1000</f>
        <v>20076.710039999998</v>
      </c>
      <c r="J33" s="1971"/>
      <c r="K33" s="1563">
        <v>0</v>
      </c>
      <c r="L33" s="2269">
        <v>20076710.039999999</v>
      </c>
      <c r="M33" s="2242"/>
    </row>
    <row r="34" spans="1:13" s="1530" customFormat="1" ht="15" customHeight="1">
      <c r="A34" s="1554"/>
      <c r="B34" s="1555"/>
      <c r="E34" s="1563"/>
      <c r="F34" s="1563"/>
      <c r="G34" s="1563"/>
      <c r="H34" s="1563"/>
      <c r="I34" s="1613"/>
      <c r="J34" s="1971"/>
      <c r="K34" s="1563"/>
      <c r="L34" s="1606"/>
      <c r="M34" s="2242"/>
    </row>
    <row r="35" spans="1:13" s="1530" customFormat="1" ht="15" customHeight="1">
      <c r="A35" s="1554"/>
      <c r="B35" s="1552" t="s">
        <v>1952</v>
      </c>
      <c r="E35" s="1973"/>
      <c r="F35" s="1563"/>
      <c r="G35" s="1563"/>
      <c r="H35" s="1563"/>
      <c r="I35" s="1613"/>
      <c r="J35" s="1600"/>
      <c r="K35" s="1563"/>
      <c r="L35" s="1606"/>
    </row>
    <row r="36" spans="1:13" s="1530" customFormat="1" ht="15" customHeight="1">
      <c r="A36" s="1554"/>
      <c r="B36" s="1555" t="s">
        <v>329</v>
      </c>
      <c r="E36" s="1973"/>
      <c r="F36" s="1563"/>
      <c r="G36" s="1563"/>
      <c r="H36" s="1563"/>
      <c r="I36" s="1613">
        <f>L36/1000</f>
        <v>3700</v>
      </c>
      <c r="J36" s="1600"/>
      <c r="K36" s="1563">
        <v>0</v>
      </c>
      <c r="L36" s="2268">
        <v>3700000</v>
      </c>
    </row>
    <row r="37" spans="1:13" s="1530" customFormat="1" ht="15" customHeight="1">
      <c r="A37" s="1554"/>
      <c r="B37" s="1555" t="s">
        <v>2870</v>
      </c>
      <c r="E37" s="1973"/>
      <c r="F37" s="1563"/>
      <c r="G37" s="1563"/>
      <c r="H37" s="1563"/>
      <c r="I37" s="1613">
        <f t="shared" ref="I37:I38" si="1">L37/1000</f>
        <v>109945.38052999999</v>
      </c>
      <c r="J37" s="1600"/>
      <c r="K37" s="1563">
        <v>349621</v>
      </c>
      <c r="L37" s="2269">
        <v>109945380.53</v>
      </c>
    </row>
    <row r="38" spans="1:13" s="1530" customFormat="1" ht="15" customHeight="1">
      <c r="A38" s="1554"/>
      <c r="B38" s="1555" t="s">
        <v>2871</v>
      </c>
      <c r="E38" s="1973"/>
      <c r="F38" s="1563"/>
      <c r="G38" s="1563"/>
      <c r="H38" s="1563"/>
      <c r="I38" s="1613">
        <f t="shared" si="1"/>
        <v>148784.67325999998</v>
      </c>
      <c r="J38" s="1600"/>
      <c r="K38" s="1563">
        <v>257184</v>
      </c>
      <c r="L38" s="2269">
        <v>148784673.25999999</v>
      </c>
    </row>
    <row r="39" spans="1:13" s="1530" customFormat="1" ht="15" customHeight="1">
      <c r="A39" s="1554"/>
      <c r="B39" s="1555"/>
      <c r="E39" s="1563"/>
      <c r="F39" s="1563"/>
      <c r="G39" s="1563"/>
      <c r="H39" s="1563"/>
      <c r="I39" s="1613"/>
      <c r="J39" s="1971"/>
      <c r="K39" s="1563"/>
      <c r="L39" s="1606"/>
    </row>
    <row r="40" spans="1:13" s="1530" customFormat="1" ht="15" customHeight="1">
      <c r="A40" s="1554"/>
      <c r="B40" s="1729" t="s">
        <v>1076</v>
      </c>
      <c r="C40" s="1609"/>
      <c r="D40" s="1609"/>
      <c r="E40" s="2234"/>
      <c r="F40" s="2234"/>
      <c r="G40" s="2234"/>
      <c r="H40" s="2234"/>
      <c r="I40" s="2267"/>
      <c r="J40" s="1971"/>
      <c r="K40" s="1969"/>
      <c r="L40" s="1606"/>
    </row>
    <row r="41" spans="1:13" s="1530" customFormat="1" ht="15" customHeight="1">
      <c r="A41" s="1554"/>
      <c r="B41" s="1899" t="s">
        <v>2836</v>
      </c>
      <c r="E41" s="2234"/>
      <c r="F41" s="2234"/>
      <c r="G41" s="2234"/>
      <c r="H41" s="2234"/>
      <c r="I41" s="2267">
        <v>6121</v>
      </c>
      <c r="J41" s="1971"/>
      <c r="K41" s="1969">
        <v>0</v>
      </c>
      <c r="L41" s="2269">
        <v>6120640.0199999996</v>
      </c>
    </row>
    <row r="42" spans="1:13" s="1530" customFormat="1" ht="15" customHeight="1">
      <c r="A42" s="1554"/>
      <c r="B42" s="1555"/>
      <c r="E42" s="1563"/>
      <c r="F42" s="1563"/>
      <c r="G42" s="1563"/>
      <c r="H42" s="1563"/>
      <c r="I42" s="1613"/>
      <c r="J42" s="1971"/>
      <c r="K42" s="1563"/>
      <c r="L42" s="1606"/>
    </row>
    <row r="43" spans="1:13" s="1530" customFormat="1" ht="15" customHeight="1">
      <c r="A43" s="1554"/>
      <c r="B43" s="1552" t="s">
        <v>483</v>
      </c>
      <c r="E43" s="1563"/>
      <c r="F43" s="1563"/>
      <c r="G43" s="1563"/>
      <c r="H43" s="1563"/>
      <c r="I43" s="1613"/>
      <c r="J43" s="1971"/>
      <c r="K43" s="1563"/>
      <c r="L43" s="1606"/>
    </row>
    <row r="44" spans="1:13" s="1530" customFormat="1" ht="15" customHeight="1">
      <c r="A44" s="1554"/>
      <c r="B44" s="1555" t="s">
        <v>329</v>
      </c>
      <c r="E44" s="1563"/>
      <c r="F44" s="1563"/>
      <c r="G44" s="1563"/>
      <c r="H44" s="1563"/>
      <c r="I44" s="1613">
        <f>L44/1000</f>
        <v>1887.925</v>
      </c>
      <c r="J44" s="1971"/>
      <c r="K44" s="1563">
        <v>0</v>
      </c>
      <c r="L44" s="2268">
        <v>1887925</v>
      </c>
    </row>
    <row r="45" spans="1:13" s="1530" customFormat="1" ht="15" customHeight="1">
      <c r="A45" s="1554"/>
      <c r="B45" s="1555" t="s">
        <v>2872</v>
      </c>
      <c r="E45" s="1563"/>
      <c r="F45" s="1563"/>
      <c r="G45" s="1563"/>
      <c r="H45" s="1563"/>
      <c r="I45" s="1613">
        <f t="shared" ref="I45:I46" si="2">L45/1000</f>
        <v>490203.91819999978</v>
      </c>
      <c r="J45" s="1971"/>
      <c r="K45" s="1563">
        <v>720019</v>
      </c>
      <c r="L45" s="2269">
        <v>490203918.19999981</v>
      </c>
    </row>
    <row r="46" spans="1:13" s="1530" customFormat="1" ht="15" customHeight="1">
      <c r="A46" s="1554"/>
      <c r="B46" s="1555" t="s">
        <v>2889</v>
      </c>
      <c r="E46" s="1563"/>
      <c r="F46" s="1563"/>
      <c r="G46" s="1563"/>
      <c r="H46" s="1563"/>
      <c r="I46" s="1613">
        <f t="shared" si="2"/>
        <v>271015.69883000001</v>
      </c>
      <c r="J46" s="1971"/>
      <c r="K46" s="1563">
        <v>442583</v>
      </c>
      <c r="L46" s="2269">
        <v>271015698.82999998</v>
      </c>
    </row>
    <row r="47" spans="1:13" s="1530" customFormat="1" ht="15" customHeight="1">
      <c r="A47" s="1554"/>
      <c r="B47" s="1972"/>
      <c r="E47" s="1563"/>
      <c r="F47" s="1563"/>
      <c r="G47" s="1563"/>
      <c r="H47" s="1563"/>
      <c r="I47" s="1613"/>
      <c r="J47" s="1971"/>
      <c r="K47" s="1563"/>
    </row>
    <row r="48" spans="1:13" s="1530" customFormat="1" ht="15" customHeight="1">
      <c r="A48" s="1554"/>
      <c r="B48" s="1552" t="s">
        <v>335</v>
      </c>
      <c r="E48" s="1563"/>
      <c r="F48" s="1563"/>
      <c r="G48" s="1563"/>
      <c r="H48" s="1563"/>
      <c r="I48" s="1613"/>
      <c r="J48" s="1971"/>
      <c r="K48" s="1563"/>
    </row>
    <row r="49" spans="1:13" s="1530" customFormat="1" ht="15" customHeight="1">
      <c r="A49" s="1554"/>
      <c r="B49" s="1555" t="s">
        <v>2837</v>
      </c>
      <c r="E49" s="1563"/>
      <c r="F49" s="1563"/>
      <c r="G49" s="1563"/>
      <c r="H49" s="1563"/>
      <c r="I49" s="1613">
        <v>0</v>
      </c>
      <c r="J49" s="1971"/>
      <c r="K49" s="1563">
        <v>117015.0040915</v>
      </c>
      <c r="L49" s="1606">
        <v>0</v>
      </c>
      <c r="M49" s="1606"/>
    </row>
    <row r="50" spans="1:13" s="1530" customFormat="1" ht="15" customHeight="1">
      <c r="A50" s="1554"/>
      <c r="B50" s="1555"/>
      <c r="E50" s="1563"/>
      <c r="F50" s="1563"/>
      <c r="G50" s="1563"/>
      <c r="H50" s="1563"/>
      <c r="I50" s="1613"/>
      <c r="J50" s="1971"/>
      <c r="K50" s="1563"/>
    </row>
    <row r="51" spans="1:13" s="1530" customFormat="1" ht="15" customHeight="1">
      <c r="A51" s="1554"/>
      <c r="B51" s="1552" t="s">
        <v>341</v>
      </c>
      <c r="E51" s="1563"/>
      <c r="F51" s="1563"/>
      <c r="G51" s="1563"/>
      <c r="H51" s="1563"/>
      <c r="I51" s="1613"/>
      <c r="J51" s="1971"/>
      <c r="K51" s="1563"/>
      <c r="L51" s="2268"/>
    </row>
    <row r="52" spans="1:13" s="1530" customFormat="1" ht="15" customHeight="1">
      <c r="A52" s="1554"/>
      <c r="B52" s="1555" t="s">
        <v>329</v>
      </c>
      <c r="E52" s="1563"/>
      <c r="F52" s="1563"/>
      <c r="G52" s="1563"/>
      <c r="H52" s="1563"/>
      <c r="I52" s="1613">
        <f t="shared" ref="I52:I54" si="3">L52/1000</f>
        <v>7190.5</v>
      </c>
      <c r="J52" s="1971"/>
      <c r="K52" s="1563">
        <v>13267</v>
      </c>
      <c r="L52" s="2268">
        <v>7190500</v>
      </c>
    </row>
    <row r="53" spans="1:13" s="1530" customFormat="1" ht="15" customHeight="1">
      <c r="A53" s="1554"/>
      <c r="B53" s="1555" t="s">
        <v>2874</v>
      </c>
      <c r="E53" s="1563"/>
      <c r="F53" s="1563"/>
      <c r="G53" s="1563"/>
      <c r="H53" s="1563"/>
      <c r="I53" s="1613">
        <f t="shared" si="3"/>
        <v>0</v>
      </c>
      <c r="J53" s="1971"/>
      <c r="K53" s="1563">
        <v>118011.02</v>
      </c>
      <c r="L53" s="2269">
        <v>0</v>
      </c>
    </row>
    <row r="54" spans="1:13" s="1530" customFormat="1" ht="15" customHeight="1">
      <c r="A54" s="1554"/>
      <c r="B54" s="1555" t="s">
        <v>2873</v>
      </c>
      <c r="E54" s="1563"/>
      <c r="F54" s="1563"/>
      <c r="G54" s="1563"/>
      <c r="H54" s="1563"/>
      <c r="I54" s="1613">
        <f t="shared" si="3"/>
        <v>111247.91984999999</v>
      </c>
      <c r="J54" s="1971"/>
      <c r="K54" s="1563">
        <v>76452.495577499998</v>
      </c>
      <c r="L54" s="2269">
        <v>111247919.84999999</v>
      </c>
    </row>
    <row r="55" spans="1:13" s="1530" customFormat="1" ht="15" customHeight="1">
      <c r="A55" s="1554"/>
      <c r="B55" s="1555"/>
      <c r="E55" s="1563"/>
      <c r="F55" s="1563"/>
      <c r="G55" s="1563"/>
      <c r="H55" s="1563"/>
      <c r="I55" s="1613"/>
      <c r="J55" s="1971"/>
      <c r="K55" s="1563"/>
    </row>
    <row r="56" spans="1:13" s="1530" customFormat="1" ht="15" customHeight="1">
      <c r="A56" s="1554"/>
      <c r="B56" s="1552"/>
      <c r="E56" s="1563"/>
      <c r="F56" s="1563"/>
      <c r="G56" s="1563"/>
      <c r="H56" s="1563"/>
      <c r="I56" s="1613"/>
      <c r="J56" s="1971"/>
      <c r="K56" s="1563"/>
    </row>
    <row r="57" spans="1:13" s="1530" customFormat="1" ht="15" customHeight="1">
      <c r="A57" s="1554"/>
      <c r="B57" s="1552" t="s">
        <v>1073</v>
      </c>
      <c r="E57" s="1563"/>
      <c r="F57" s="1563"/>
      <c r="G57" s="1563"/>
      <c r="H57" s="1563"/>
      <c r="I57" s="1613"/>
      <c r="J57" s="1971"/>
      <c r="K57" s="1563"/>
    </row>
    <row r="58" spans="1:13" s="1530" customFormat="1" ht="15" customHeight="1">
      <c r="A58" s="1554"/>
      <c r="B58" s="1555" t="s">
        <v>329</v>
      </c>
      <c r="E58" s="1563"/>
      <c r="F58" s="1563"/>
      <c r="G58" s="1563"/>
      <c r="H58" s="1563"/>
      <c r="I58" s="1613">
        <f>L58/1000</f>
        <v>32344.420999999998</v>
      </c>
      <c r="J58" s="1971"/>
      <c r="K58" s="1563">
        <v>0</v>
      </c>
      <c r="L58" s="2268">
        <v>32344421</v>
      </c>
      <c r="M58" s="2268"/>
    </row>
    <row r="59" spans="1:13" s="1530" customFormat="1" ht="15" customHeight="1">
      <c r="A59" s="1554"/>
      <c r="B59" s="1555" t="s">
        <v>2875</v>
      </c>
      <c r="E59" s="1563"/>
      <c r="F59" s="1563"/>
      <c r="G59" s="1563"/>
      <c r="H59" s="1563"/>
      <c r="I59" s="1613">
        <f t="shared" ref="I59:I60" si="4">L59/1000</f>
        <v>374260.14230000001</v>
      </c>
      <c r="J59" s="1971"/>
      <c r="K59" s="1563">
        <v>60765</v>
      </c>
      <c r="L59" s="2269">
        <v>374260142.30000001</v>
      </c>
      <c r="M59" s="2268"/>
    </row>
    <row r="60" spans="1:13" s="1530" customFormat="1" ht="15" customHeight="1">
      <c r="A60" s="1554"/>
      <c r="B60" s="1555" t="s">
        <v>2876</v>
      </c>
      <c r="E60" s="1563"/>
      <c r="F60" s="1563"/>
      <c r="G60" s="1563"/>
      <c r="H60" s="1563"/>
      <c r="I60" s="1613">
        <f t="shared" si="4"/>
        <v>103132.35006999999</v>
      </c>
      <c r="J60" s="1971"/>
      <c r="K60" s="1563">
        <v>64527</v>
      </c>
      <c r="L60" s="2269">
        <v>103132350.06999999</v>
      </c>
      <c r="M60" s="2242"/>
    </row>
    <row r="61" spans="1:13" s="1530" customFormat="1" ht="15" customHeight="1">
      <c r="A61" s="1554"/>
      <c r="B61" s="1555"/>
      <c r="E61" s="1563"/>
      <c r="F61" s="1563"/>
      <c r="G61" s="1563"/>
      <c r="H61" s="1563"/>
      <c r="I61" s="1613"/>
      <c r="J61" s="1971"/>
      <c r="K61" s="1563"/>
    </row>
    <row r="62" spans="1:13" s="1530" customFormat="1" ht="15" customHeight="1">
      <c r="A62" s="1554"/>
      <c r="B62" s="1552" t="s">
        <v>1921</v>
      </c>
      <c r="E62" s="1563"/>
      <c r="F62" s="1563"/>
      <c r="G62" s="1563"/>
      <c r="H62" s="1563"/>
      <c r="I62" s="1613"/>
      <c r="J62" s="1971"/>
      <c r="K62" s="1563"/>
    </row>
    <row r="63" spans="1:13" s="1530" customFormat="1" ht="15" customHeight="1">
      <c r="A63" s="1554"/>
      <c r="B63" s="1555" t="s">
        <v>2877</v>
      </c>
      <c r="E63" s="1563"/>
      <c r="F63" s="1563"/>
      <c r="G63" s="1563"/>
      <c r="H63" s="1563"/>
      <c r="I63" s="1613">
        <f>L63/1000</f>
        <v>0</v>
      </c>
      <c r="J63" s="1971"/>
      <c r="K63" s="1563">
        <v>9368</v>
      </c>
      <c r="L63" s="2269">
        <v>0</v>
      </c>
    </row>
    <row r="64" spans="1:13" s="1530" customFormat="1" ht="15" customHeight="1">
      <c r="A64" s="1554"/>
      <c r="B64" s="1555" t="s">
        <v>2878</v>
      </c>
      <c r="E64" s="1563"/>
      <c r="F64" s="1563"/>
      <c r="G64" s="1563"/>
      <c r="H64" s="1563"/>
      <c r="I64" s="1613">
        <f>L64/1000</f>
        <v>0</v>
      </c>
      <c r="J64" s="1971"/>
      <c r="K64" s="1563">
        <v>9522</v>
      </c>
      <c r="L64" s="2269">
        <v>0</v>
      </c>
    </row>
    <row r="65" spans="1:15" s="1530" customFormat="1" ht="15" customHeight="1">
      <c r="A65" s="1554"/>
      <c r="B65" s="1555"/>
      <c r="E65" s="1563"/>
      <c r="F65" s="1563"/>
      <c r="G65" s="1563"/>
      <c r="H65" s="1563"/>
      <c r="I65" s="1613"/>
      <c r="J65" s="1971"/>
      <c r="K65" s="1563"/>
    </row>
    <row r="66" spans="1:15" s="1530" customFormat="1" ht="15" customHeight="1">
      <c r="A66" s="1554"/>
      <c r="B66" s="1552" t="s">
        <v>578</v>
      </c>
      <c r="E66" s="1563"/>
      <c r="F66" s="1563"/>
      <c r="G66" s="1563"/>
      <c r="H66" s="1563"/>
      <c r="I66" s="1613"/>
      <c r="J66" s="1971"/>
      <c r="K66" s="1563"/>
    </row>
    <row r="67" spans="1:15" s="1530" customFormat="1" ht="15" customHeight="1">
      <c r="A67" s="1554"/>
      <c r="B67" s="1555" t="s">
        <v>329</v>
      </c>
      <c r="E67" s="1563"/>
      <c r="F67" s="1563"/>
      <c r="G67" s="1563"/>
      <c r="H67" s="1563"/>
      <c r="I67" s="1613">
        <f>L67/1000</f>
        <v>398</v>
      </c>
      <c r="J67" s="1971"/>
      <c r="K67" s="1563">
        <v>5844</v>
      </c>
      <c r="L67" s="2268">
        <v>398000</v>
      </c>
    </row>
    <row r="68" spans="1:15" s="1530" customFormat="1" ht="15" customHeight="1">
      <c r="A68" s="1554"/>
      <c r="B68" s="1530" t="s">
        <v>2879</v>
      </c>
      <c r="E68" s="1563"/>
      <c r="F68" s="1563"/>
      <c r="G68" s="1563"/>
      <c r="H68" s="1563"/>
      <c r="I68" s="1613">
        <f>L68/1000</f>
        <v>262513.56000000006</v>
      </c>
      <c r="J68" s="1971"/>
      <c r="K68" s="1563">
        <v>482362</v>
      </c>
      <c r="L68" s="2269">
        <v>262513560.00000003</v>
      </c>
    </row>
    <row r="69" spans="1:15" s="1530" customFormat="1" ht="15" customHeight="1">
      <c r="A69" s="1554"/>
      <c r="B69" s="1555" t="s">
        <v>2880</v>
      </c>
      <c r="E69" s="1563"/>
      <c r="F69" s="1563"/>
      <c r="G69" s="1563"/>
      <c r="H69" s="1563"/>
      <c r="I69" s="1613">
        <f>L69/1000</f>
        <v>80806.426630000002</v>
      </c>
      <c r="J69" s="1971"/>
      <c r="K69" s="1563">
        <v>506036</v>
      </c>
      <c r="L69" s="2269">
        <v>80806426.629999995</v>
      </c>
    </row>
    <row r="70" spans="1:15" s="1530" customFormat="1" ht="15" customHeight="1">
      <c r="A70" s="1554"/>
      <c r="B70" s="1555"/>
      <c r="E70" s="1563"/>
      <c r="F70" s="1563"/>
      <c r="G70" s="1563"/>
      <c r="H70" s="1563"/>
      <c r="I70" s="1613"/>
      <c r="J70" s="1971"/>
      <c r="K70" s="1563"/>
      <c r="M70" s="2268"/>
    </row>
    <row r="71" spans="1:15" s="1530" customFormat="1" ht="15" customHeight="1">
      <c r="A71" s="1554"/>
      <c r="B71" s="1552" t="s">
        <v>1056</v>
      </c>
      <c r="E71" s="1563"/>
      <c r="F71" s="1563"/>
      <c r="G71" s="1563"/>
      <c r="H71" s="1563"/>
      <c r="I71" s="1613"/>
      <c r="J71" s="1971"/>
      <c r="K71" s="1563"/>
      <c r="M71" s="2268"/>
    </row>
    <row r="72" spans="1:15" s="1530" customFormat="1" ht="15" customHeight="1">
      <c r="A72" s="1554"/>
      <c r="B72" s="1555" t="s">
        <v>329</v>
      </c>
      <c r="E72" s="1563"/>
      <c r="F72" s="1563"/>
      <c r="G72" s="1563"/>
      <c r="H72" s="1563"/>
      <c r="I72" s="1613">
        <f>L72/1000</f>
        <v>4503.5</v>
      </c>
      <c r="J72" s="1971"/>
      <c r="K72" s="1563">
        <v>0</v>
      </c>
      <c r="L72" s="2268">
        <v>4503500</v>
      </c>
      <c r="M72" s="2242"/>
    </row>
    <row r="73" spans="1:15" s="1530" customFormat="1" ht="15" customHeight="1">
      <c r="A73" s="1554"/>
      <c r="B73" s="1555" t="s">
        <v>2881</v>
      </c>
      <c r="E73" s="1563"/>
      <c r="F73" s="1563"/>
      <c r="G73" s="1563"/>
      <c r="H73" s="1563"/>
      <c r="I73" s="1613">
        <f t="shared" ref="I73:I74" si="5">L73/1000</f>
        <v>14759.614800000001</v>
      </c>
      <c r="J73" s="1971"/>
      <c r="K73" s="1563">
        <v>29499</v>
      </c>
      <c r="L73" s="2268">
        <v>14759614.800000001</v>
      </c>
    </row>
    <row r="74" spans="1:15" s="1530" customFormat="1" ht="15" customHeight="1">
      <c r="A74" s="1554"/>
      <c r="B74" s="1555" t="s">
        <v>2882</v>
      </c>
      <c r="E74" s="1563"/>
      <c r="F74" s="1563"/>
      <c r="G74" s="1563"/>
      <c r="H74" s="1563"/>
      <c r="I74" s="1613">
        <f t="shared" si="5"/>
        <v>31944.869859999999</v>
      </c>
      <c r="J74" s="1971"/>
      <c r="K74" s="1563">
        <v>313</v>
      </c>
      <c r="L74" s="2268">
        <v>31944869.859999999</v>
      </c>
    </row>
    <row r="75" spans="1:15" s="1530" customFormat="1" ht="15" customHeight="1">
      <c r="A75" s="1554"/>
      <c r="B75" s="1555"/>
      <c r="E75" s="1563"/>
      <c r="F75" s="1563"/>
      <c r="G75" s="1563"/>
      <c r="H75" s="1563"/>
      <c r="I75" s="1613"/>
      <c r="J75" s="1971"/>
      <c r="K75" s="1563"/>
    </row>
    <row r="76" spans="1:15" s="1530" customFormat="1" ht="15" customHeight="1">
      <c r="A76" s="1554"/>
      <c r="B76" s="1401" t="s">
        <v>495</v>
      </c>
    </row>
    <row r="77" spans="1:15" s="1530" customFormat="1" ht="15" customHeight="1">
      <c r="A77" s="1554"/>
      <c r="B77" s="1555" t="s">
        <v>2883</v>
      </c>
      <c r="I77" s="1613">
        <f>L77/1000</f>
        <v>175263.98014000003</v>
      </c>
      <c r="J77" s="1971"/>
      <c r="K77" s="1563">
        <v>429461.16989999998</v>
      </c>
      <c r="L77" s="2269">
        <v>175263980.14000002</v>
      </c>
      <c r="M77" s="1981"/>
    </row>
    <row r="78" spans="1:15" s="1530" customFormat="1" ht="15" customHeight="1">
      <c r="A78" s="1554"/>
      <c r="B78" s="1555" t="s">
        <v>2884</v>
      </c>
      <c r="I78" s="1613">
        <f>L78/1000</f>
        <v>120349.59987000001</v>
      </c>
      <c r="J78" s="1971"/>
      <c r="K78" s="1563">
        <v>379054.09057999996</v>
      </c>
      <c r="L78" s="2269">
        <v>120349599.87</v>
      </c>
      <c r="M78" s="1981"/>
    </row>
    <row r="79" spans="1:15" s="1530" customFormat="1" ht="15" customHeight="1">
      <c r="A79" s="1554"/>
      <c r="B79" s="1555"/>
      <c r="E79" s="1563"/>
      <c r="F79" s="1563"/>
      <c r="G79" s="1563"/>
      <c r="H79" s="1563"/>
      <c r="I79" s="1613"/>
      <c r="J79" s="1971"/>
      <c r="K79" s="1563"/>
      <c r="L79" s="1981"/>
      <c r="M79" s="1981"/>
      <c r="O79" s="1980"/>
    </row>
    <row r="80" spans="1:15" s="1530" customFormat="1" ht="15" customHeight="1">
      <c r="A80" s="1554"/>
      <c r="B80" s="1552" t="s">
        <v>503</v>
      </c>
      <c r="E80" s="1563"/>
      <c r="F80" s="1563"/>
      <c r="G80" s="1563"/>
      <c r="H80" s="1563"/>
      <c r="I80" s="1613"/>
      <c r="J80" s="1971"/>
      <c r="K80" s="1563"/>
      <c r="L80" s="1606"/>
      <c r="M80" s="1606"/>
    </row>
    <row r="81" spans="1:49" s="1530" customFormat="1" ht="15" customHeight="1">
      <c r="A81" s="1554"/>
      <c r="B81" s="1555" t="s">
        <v>2885</v>
      </c>
      <c r="E81" s="1563"/>
      <c r="F81" s="1563"/>
      <c r="G81" s="1563"/>
      <c r="H81" s="1563"/>
      <c r="I81" s="1613">
        <f t="shared" ref="I81:I82" si="6">L81/1000</f>
        <v>0</v>
      </c>
      <c r="J81" s="1971"/>
      <c r="K81" s="1563">
        <v>14482.7199975</v>
      </c>
      <c r="L81" s="2269">
        <v>0</v>
      </c>
      <c r="O81" s="1980"/>
    </row>
    <row r="82" spans="1:49" s="1530" customFormat="1" ht="15" customHeight="1">
      <c r="A82" s="1554"/>
      <c r="B82" s="1555" t="s">
        <v>2886</v>
      </c>
      <c r="E82" s="1563"/>
      <c r="F82" s="1563"/>
      <c r="G82" s="1563"/>
      <c r="H82" s="1563"/>
      <c r="I82" s="1613">
        <f t="shared" si="6"/>
        <v>0</v>
      </c>
      <c r="J82" s="1971"/>
      <c r="K82" s="1563">
        <v>16575.91</v>
      </c>
      <c r="L82" s="2269">
        <v>0</v>
      </c>
      <c r="O82" s="1980"/>
    </row>
    <row r="83" spans="1:49" s="1530" customFormat="1" ht="15" customHeight="1">
      <c r="A83" s="1554"/>
      <c r="O83" s="1980"/>
    </row>
    <row r="84" spans="1:49" s="1530" customFormat="1" ht="15" customHeight="1">
      <c r="A84" s="1554"/>
      <c r="B84" s="1552" t="s">
        <v>1865</v>
      </c>
      <c r="E84" s="1563"/>
      <c r="F84" s="1563"/>
      <c r="G84" s="1563"/>
      <c r="H84" s="1563"/>
      <c r="I84" s="1613"/>
      <c r="J84" s="1971"/>
      <c r="K84" s="1563"/>
    </row>
    <row r="85" spans="1:49" s="1530" customFormat="1" ht="15" customHeight="1">
      <c r="A85" s="1554"/>
      <c r="B85" s="1555" t="s">
        <v>2888</v>
      </c>
      <c r="E85" s="1563"/>
      <c r="F85" s="1563"/>
      <c r="G85" s="1563"/>
      <c r="H85" s="1563"/>
      <c r="I85" s="1613">
        <f>L85/1000</f>
        <v>0</v>
      </c>
      <c r="J85" s="1971"/>
      <c r="K85" s="1563">
        <v>202327</v>
      </c>
      <c r="L85" s="2269">
        <v>0</v>
      </c>
    </row>
    <row r="86" spans="1:49" s="1530" customFormat="1" ht="15" customHeight="1">
      <c r="A86" s="1554"/>
      <c r="B86" s="1555" t="s">
        <v>2887</v>
      </c>
      <c r="E86" s="1563"/>
      <c r="F86" s="1563"/>
      <c r="G86" s="1563"/>
      <c r="H86" s="1563"/>
      <c r="I86" s="1613">
        <f>L86/1000</f>
        <v>63265.531609999998</v>
      </c>
      <c r="J86" s="1971"/>
      <c r="K86" s="1563">
        <v>43655</v>
      </c>
      <c r="L86" s="2269">
        <v>63265531.609999999</v>
      </c>
    </row>
    <row r="87" spans="1:49" s="1530" customFormat="1" ht="15" customHeight="1">
      <c r="A87" s="1554"/>
      <c r="B87" s="1555"/>
      <c r="E87" s="1563"/>
      <c r="F87" s="1563"/>
      <c r="G87" s="1563"/>
      <c r="H87" s="1563"/>
      <c r="I87" s="1613"/>
      <c r="J87" s="1971"/>
      <c r="K87" s="1563"/>
    </row>
    <row r="88" spans="1:49" s="1530" customFormat="1" ht="15" customHeight="1">
      <c r="A88" s="1554"/>
      <c r="B88" s="1555"/>
      <c r="E88" s="1563"/>
      <c r="F88" s="1563"/>
      <c r="G88" s="1563"/>
      <c r="H88" s="1563"/>
      <c r="I88" s="1613"/>
      <c r="J88" s="1971"/>
      <c r="K88" s="1563"/>
    </row>
    <row r="89" spans="1:49" s="1530" customFormat="1" ht="15" customHeight="1">
      <c r="A89" s="1966" t="s">
        <v>2777</v>
      </c>
      <c r="B89" s="1562" t="s">
        <v>2545</v>
      </c>
      <c r="E89" s="1563"/>
      <c r="F89" s="1563"/>
      <c r="G89" s="1563"/>
      <c r="H89" s="1563"/>
      <c r="I89" s="1563"/>
      <c r="J89" s="1600"/>
      <c r="K89" s="1563"/>
    </row>
    <row r="90" spans="1:49" s="1530" customFormat="1" ht="15" customHeight="1">
      <c r="A90" s="1963"/>
      <c r="B90" s="1562"/>
      <c r="E90" s="1563"/>
      <c r="F90" s="1563"/>
      <c r="G90" s="1563"/>
      <c r="H90" s="1563"/>
      <c r="I90" s="1406" t="s">
        <v>716</v>
      </c>
      <c r="J90" s="1404"/>
      <c r="K90" s="1406" t="s">
        <v>632</v>
      </c>
    </row>
    <row r="91" spans="1:49" s="1530" customFormat="1" ht="15" customHeight="1">
      <c r="C91" s="1562"/>
      <c r="D91" s="1562"/>
      <c r="E91" s="1974"/>
      <c r="F91" s="2258"/>
      <c r="G91" s="2258"/>
      <c r="H91" s="2258"/>
      <c r="I91" s="2270" t="s">
        <v>2676</v>
      </c>
      <c r="J91" s="1975"/>
      <c r="K91" s="2270" t="s">
        <v>2469</v>
      </c>
    </row>
    <row r="92" spans="1:49" s="1530" customFormat="1" ht="15" customHeight="1">
      <c r="B92" s="1562" t="s">
        <v>576</v>
      </c>
      <c r="C92" s="1562"/>
      <c r="D92" s="1562"/>
      <c r="E92" s="1976"/>
      <c r="F92" s="1977"/>
      <c r="G92" s="1977"/>
      <c r="H92" s="1977"/>
      <c r="I92" s="2271">
        <v>2022</v>
      </c>
      <c r="J92" s="1620"/>
      <c r="K92" s="2271">
        <v>2021</v>
      </c>
    </row>
    <row r="93" spans="1:49" s="1530" customFormat="1" ht="15" customHeight="1">
      <c r="I93" s="2347" t="s">
        <v>2539</v>
      </c>
      <c r="J93" s="2488"/>
      <c r="K93" s="2488"/>
      <c r="L93" s="1562"/>
      <c r="M93" s="1562"/>
      <c r="N93" s="1562"/>
      <c r="O93" s="1562"/>
      <c r="P93" s="1562"/>
      <c r="Q93" s="1562"/>
      <c r="R93" s="1562"/>
      <c r="S93" s="1562"/>
      <c r="T93" s="1562"/>
      <c r="U93" s="1562"/>
      <c r="V93" s="1562"/>
      <c r="W93" s="1562"/>
      <c r="X93" s="1562"/>
      <c r="Y93" s="1562"/>
      <c r="Z93" s="1562"/>
      <c r="AW93" s="2256"/>
    </row>
    <row r="94" spans="1:49" s="1530" customFormat="1" ht="15" customHeight="1">
      <c r="A94" s="1554"/>
      <c r="B94" s="1562" t="s">
        <v>1091</v>
      </c>
      <c r="K94" s="1978"/>
    </row>
    <row r="95" spans="1:49" s="1530" customFormat="1" ht="15" customHeight="1">
      <c r="A95" s="1554"/>
      <c r="B95" s="1530" t="s">
        <v>1074</v>
      </c>
      <c r="E95" s="1563"/>
      <c r="F95" s="1563"/>
      <c r="G95" s="1979"/>
      <c r="H95" s="1563"/>
      <c r="I95" s="1613">
        <f>'TB-31 Dec'!G83</f>
        <v>17496</v>
      </c>
      <c r="K95" s="1542">
        <v>20619</v>
      </c>
      <c r="Z95" s="1530">
        <v>2977</v>
      </c>
    </row>
    <row r="96" spans="1:49" s="1530" customFormat="1" ht="15" customHeight="1">
      <c r="A96" s="1554"/>
      <c r="B96" s="1530" t="s">
        <v>2546</v>
      </c>
      <c r="E96" s="1563"/>
      <c r="F96" s="1563"/>
      <c r="G96" s="1979"/>
      <c r="H96" s="1563"/>
      <c r="I96" s="1613">
        <f>'TB-31 Dec'!G86</f>
        <v>2275</v>
      </c>
      <c r="K96" s="1542">
        <v>2681</v>
      </c>
      <c r="Z96" s="1530">
        <v>518</v>
      </c>
    </row>
    <row r="97" spans="1:26" s="1530" customFormat="1" ht="15" customHeight="1">
      <c r="A97" s="1554"/>
      <c r="B97" s="1530" t="s">
        <v>2348</v>
      </c>
      <c r="E97" s="1563"/>
      <c r="F97" s="1563"/>
      <c r="G97" s="1979"/>
      <c r="H97" s="1563"/>
      <c r="I97" s="1613">
        <f>'TB-31 Dec'!G84</f>
        <v>450</v>
      </c>
      <c r="K97" s="1542">
        <v>848</v>
      </c>
      <c r="Z97" s="1530">
        <v>2010</v>
      </c>
    </row>
    <row r="98" spans="1:26" s="1530" customFormat="1" ht="15" customHeight="1">
      <c r="A98" s="1554"/>
      <c r="B98" s="1530" t="s">
        <v>2365</v>
      </c>
      <c r="E98" s="1563"/>
      <c r="F98" s="1563"/>
      <c r="G98" s="1979"/>
      <c r="H98" s="1563"/>
      <c r="I98" s="1613">
        <f>'TB-31 Dec'!G113</f>
        <v>875</v>
      </c>
      <c r="K98" s="1542">
        <v>1031</v>
      </c>
    </row>
    <row r="99" spans="1:26" s="1530" customFormat="1" ht="15" customHeight="1">
      <c r="A99" s="1554"/>
      <c r="B99" s="1530" t="s">
        <v>2349</v>
      </c>
      <c r="E99" s="1563"/>
      <c r="F99" s="1563"/>
      <c r="G99" s="1979"/>
      <c r="H99" s="1563"/>
      <c r="I99" s="1613">
        <f>'TB-31 Dec'!G114</f>
        <v>35058</v>
      </c>
      <c r="K99" s="1542">
        <v>38437</v>
      </c>
      <c r="Z99" s="1530">
        <v>2698</v>
      </c>
    </row>
    <row r="100" spans="1:26" s="1530" customFormat="1" ht="15" customHeight="1">
      <c r="A100" s="1554"/>
      <c r="B100" s="1555"/>
      <c r="E100" s="1563"/>
      <c r="F100" s="1563"/>
      <c r="G100" s="1563"/>
      <c r="H100" s="1563"/>
      <c r="I100" s="1613"/>
      <c r="K100" s="1563"/>
    </row>
    <row r="101" spans="1:26" s="1530" customFormat="1" ht="15" customHeight="1">
      <c r="A101" s="1554"/>
      <c r="B101" s="1552" t="s">
        <v>2541</v>
      </c>
      <c r="E101" s="1563"/>
      <c r="F101" s="1563"/>
      <c r="G101" s="1563"/>
      <c r="H101" s="1563"/>
      <c r="I101" s="1613"/>
      <c r="K101" s="1542"/>
    </row>
    <row r="102" spans="1:26" s="1530" customFormat="1" ht="15" customHeight="1">
      <c r="A102" s="1554"/>
      <c r="B102" s="1530" t="s">
        <v>1074</v>
      </c>
      <c r="E102" s="1563"/>
      <c r="F102" s="1563"/>
      <c r="G102" s="1563"/>
      <c r="H102" s="1563"/>
      <c r="I102" s="1613">
        <f>'TB-31 Dec'!G90</f>
        <v>960</v>
      </c>
      <c r="K102" s="1542">
        <v>1113</v>
      </c>
      <c r="Z102" s="1530">
        <v>103</v>
      </c>
    </row>
    <row r="103" spans="1:26" s="1530" customFormat="1" ht="15" customHeight="1">
      <c r="A103" s="1554"/>
      <c r="B103" s="1530" t="s">
        <v>2546</v>
      </c>
      <c r="E103" s="1563"/>
      <c r="F103" s="1563"/>
      <c r="G103" s="1563"/>
      <c r="H103" s="1563"/>
      <c r="I103" s="1613">
        <f>'TB-31 Dec'!G88</f>
        <v>125</v>
      </c>
      <c r="K103" s="1542">
        <v>145</v>
      </c>
    </row>
    <row r="104" spans="1:26" s="1530" customFormat="1" ht="15" customHeight="1">
      <c r="A104" s="1554"/>
      <c r="B104" s="1530" t="s">
        <v>508</v>
      </c>
      <c r="E104" s="1563"/>
      <c r="F104" s="1563"/>
      <c r="G104" s="1979"/>
      <c r="H104" s="1563"/>
      <c r="I104" s="1613">
        <f>'TB-31 Dec'!F47</f>
        <v>500</v>
      </c>
      <c r="K104" s="1542">
        <v>500</v>
      </c>
    </row>
    <row r="105" spans="1:26" s="1530" customFormat="1" ht="15" customHeight="1">
      <c r="A105" s="1554"/>
      <c r="E105" s="1563"/>
      <c r="F105" s="1563"/>
      <c r="G105" s="1979"/>
      <c r="H105" s="1563"/>
      <c r="I105" s="1613"/>
      <c r="K105" s="1542"/>
    </row>
    <row r="106" spans="1:26" s="1530" customFormat="1" ht="15" customHeight="1">
      <c r="A106" s="1554"/>
      <c r="B106" s="1562" t="s">
        <v>2537</v>
      </c>
      <c r="E106" s="1563"/>
      <c r="F106" s="1563"/>
      <c r="G106" s="1979"/>
      <c r="H106" s="1563"/>
      <c r="I106" s="1613"/>
      <c r="K106" s="1542"/>
    </row>
    <row r="107" spans="1:26" s="1530" customFormat="1" ht="15" customHeight="1">
      <c r="A107" s="1554"/>
      <c r="E107" s="1563"/>
      <c r="F107" s="1563"/>
      <c r="G107" s="1979"/>
      <c r="H107" s="1563"/>
      <c r="I107" s="1613"/>
      <c r="K107" s="1542"/>
    </row>
    <row r="108" spans="1:26" s="1530" customFormat="1" ht="15" customHeight="1">
      <c r="A108" s="1554"/>
      <c r="B108" s="1552" t="s">
        <v>1037</v>
      </c>
      <c r="E108" s="1563"/>
      <c r="F108" s="1563"/>
      <c r="G108" s="1563"/>
      <c r="H108" s="1563"/>
      <c r="I108" s="1613"/>
      <c r="K108" s="1542"/>
    </row>
    <row r="109" spans="1:26" s="1530" customFormat="1" ht="15" customHeight="1">
      <c r="A109" s="1554"/>
      <c r="B109" s="1555" t="s">
        <v>2658</v>
      </c>
      <c r="E109" s="1563"/>
      <c r="F109" s="1563"/>
      <c r="G109" s="1563"/>
      <c r="H109" s="1563"/>
      <c r="I109" s="1613">
        <f>'TB-31 Dec'!I11</f>
        <v>487548</v>
      </c>
      <c r="K109" s="1542">
        <v>219105</v>
      </c>
      <c r="M109" s="2077"/>
      <c r="Z109" s="1980">
        <v>59342</v>
      </c>
    </row>
    <row r="110" spans="1:26" s="1530" customFormat="1" ht="15" customHeight="1">
      <c r="A110" s="1554"/>
      <c r="B110" s="1555" t="s">
        <v>2341</v>
      </c>
      <c r="E110" s="1563"/>
      <c r="F110" s="1563"/>
      <c r="G110" s="1563"/>
      <c r="H110" s="1563"/>
      <c r="I110" s="1613">
        <f>'TB-31 Dec'!F38+'TB-31 Dec'!F39</f>
        <v>2572</v>
      </c>
      <c r="K110" s="1542">
        <v>680</v>
      </c>
    </row>
    <row r="111" spans="1:26" s="1530" customFormat="1" ht="14.4" customHeight="1">
      <c r="A111" s="1554"/>
      <c r="B111" s="1555"/>
      <c r="E111" s="1563"/>
      <c r="F111" s="1563"/>
      <c r="G111" s="1563"/>
      <c r="H111" s="1563"/>
      <c r="L111" s="1981"/>
      <c r="M111" s="1981"/>
    </row>
    <row r="112" spans="1:26" s="1530" customFormat="1">
      <c r="A112" s="1982"/>
      <c r="B112" s="1552" t="s">
        <v>2913</v>
      </c>
      <c r="E112" s="1563"/>
      <c r="F112" s="1563"/>
      <c r="G112" s="1563"/>
      <c r="H112" s="1563"/>
      <c r="I112" s="1613"/>
      <c r="K112" s="1542"/>
    </row>
    <row r="113" spans="1:12" s="1530" customFormat="1">
      <c r="A113" s="1982"/>
      <c r="B113" s="1530" t="s">
        <v>2891</v>
      </c>
      <c r="E113" s="1563"/>
      <c r="F113" s="1563"/>
      <c r="G113" s="1563"/>
      <c r="H113" s="1563"/>
      <c r="I113" s="1613">
        <f>'6-6.1.2'!I91</f>
        <v>0</v>
      </c>
      <c r="K113" s="1542">
        <v>42901</v>
      </c>
      <c r="L113" s="1530">
        <f>1034500+65000-1099500</f>
        <v>0</v>
      </c>
    </row>
    <row r="114" spans="1:12" s="1530" customFormat="1">
      <c r="A114" s="1982"/>
      <c r="B114" s="1555"/>
      <c r="E114" s="1563"/>
      <c r="F114" s="1563"/>
      <c r="G114" s="1563"/>
      <c r="H114" s="1563"/>
      <c r="I114" s="1613"/>
      <c r="K114" s="1542"/>
    </row>
    <row r="115" spans="1:12" s="1530" customFormat="1">
      <c r="A115" s="1982"/>
      <c r="B115" s="1552" t="s">
        <v>2912</v>
      </c>
      <c r="E115" s="1563"/>
      <c r="F115" s="1563"/>
      <c r="G115" s="1563"/>
      <c r="H115" s="1563"/>
      <c r="I115" s="1613"/>
      <c r="K115" s="1542"/>
    </row>
    <row r="116" spans="1:12" s="1530" customFormat="1">
      <c r="A116" s="1982"/>
      <c r="B116" s="1530" t="s">
        <v>2914</v>
      </c>
      <c r="E116" s="1563"/>
      <c r="F116" s="1563"/>
      <c r="G116" s="1563"/>
      <c r="H116" s="1563"/>
      <c r="I116" s="1613">
        <f>'6-6.1.2'!I92</f>
        <v>28598.626</v>
      </c>
      <c r="K116" s="1542">
        <v>0</v>
      </c>
      <c r="L116" s="1530">
        <f>2276604-816000</f>
        <v>1460604</v>
      </c>
    </row>
    <row r="117" spans="1:12" s="1530" customFormat="1">
      <c r="A117" s="1982"/>
      <c r="E117" s="1563"/>
      <c r="F117" s="1563"/>
      <c r="G117" s="1563"/>
      <c r="H117" s="1563"/>
      <c r="I117" s="1613"/>
      <c r="K117" s="1542"/>
    </row>
    <row r="118" spans="1:12" s="1530" customFormat="1">
      <c r="A118" s="1982"/>
      <c r="B118" s="1552" t="s">
        <v>2671</v>
      </c>
      <c r="E118" s="1563"/>
      <c r="F118" s="1563"/>
      <c r="G118" s="1563"/>
      <c r="H118" s="1563"/>
      <c r="I118" s="1613"/>
    </row>
    <row r="119" spans="1:12" s="1530" customFormat="1">
      <c r="A119" s="1982"/>
      <c r="B119" s="1530" t="s">
        <v>2892</v>
      </c>
      <c r="E119" s="1563"/>
      <c r="F119" s="1563"/>
      <c r="G119" s="1563"/>
      <c r="H119" s="1563"/>
      <c r="I119" s="1613">
        <f>'6-6.1.2'!I64</f>
        <v>56053.04</v>
      </c>
      <c r="K119" s="1542">
        <v>109330</v>
      </c>
      <c r="L119" s="1530">
        <f>4389000+7287309-7740000</f>
        <v>3936309</v>
      </c>
    </row>
    <row r="120" spans="1:12" s="1530" customFormat="1">
      <c r="A120" s="1982"/>
      <c r="B120" s="1552"/>
      <c r="E120" s="1563"/>
      <c r="F120" s="1563"/>
      <c r="G120" s="1563"/>
      <c r="H120" s="1563"/>
      <c r="I120" s="1613"/>
      <c r="K120" s="1542"/>
    </row>
    <row r="121" spans="1:12" s="1530" customFormat="1">
      <c r="A121" s="1982"/>
      <c r="B121" s="1562" t="s">
        <v>1076</v>
      </c>
      <c r="E121" s="1563"/>
      <c r="F121" s="1563"/>
      <c r="G121" s="1563"/>
      <c r="H121" s="1563"/>
      <c r="I121" s="1613"/>
      <c r="K121" s="1542"/>
    </row>
    <row r="122" spans="1:12" s="1530" customFormat="1">
      <c r="A122" s="1982"/>
      <c r="B122" s="1530" t="s">
        <v>2893</v>
      </c>
      <c r="E122" s="1563"/>
      <c r="F122" s="1563"/>
      <c r="G122" s="1563"/>
      <c r="H122" s="1563"/>
      <c r="I122" s="1613">
        <f>'6-6.1.2'!I96</f>
        <v>0</v>
      </c>
      <c r="K122" s="1542">
        <v>5516</v>
      </c>
      <c r="L122" s="1530">
        <f>68000-68000</f>
        <v>0</v>
      </c>
    </row>
    <row r="123" spans="1:12" s="1530" customFormat="1">
      <c r="A123" s="1982"/>
      <c r="B123" s="1552"/>
      <c r="E123" s="1563"/>
      <c r="F123" s="1563"/>
      <c r="G123" s="1563"/>
      <c r="H123" s="1563"/>
      <c r="I123" s="1613"/>
      <c r="K123" s="1542"/>
    </row>
    <row r="124" spans="1:12" s="1530" customFormat="1" ht="15" customHeight="1">
      <c r="A124" s="1982"/>
      <c r="B124" s="1552" t="s">
        <v>483</v>
      </c>
      <c r="E124" s="1563"/>
      <c r="F124" s="1563"/>
      <c r="G124" s="1563"/>
      <c r="H124" s="1563"/>
      <c r="I124" s="1613"/>
      <c r="K124" s="1542"/>
    </row>
    <row r="125" spans="1:12" s="1530" customFormat="1" ht="15" customHeight="1">
      <c r="A125" s="1982"/>
      <c r="B125" s="1530" t="s">
        <v>2894</v>
      </c>
      <c r="E125" s="1563"/>
      <c r="F125" s="1563"/>
      <c r="G125" s="1563"/>
      <c r="H125" s="1563"/>
      <c r="I125" s="1613">
        <f>'6-6.1.2'!I31</f>
        <v>380902.43300000002</v>
      </c>
      <c r="K125" s="1542">
        <v>218327</v>
      </c>
      <c r="L125" s="1530">
        <f>1851480+6111925-2954826</f>
        <v>5008579</v>
      </c>
    </row>
    <row r="126" spans="1:12" s="1530" customFormat="1" ht="15" customHeight="1">
      <c r="A126" s="1554"/>
      <c r="B126" s="1555"/>
      <c r="E126" s="1563"/>
      <c r="F126" s="1563"/>
      <c r="G126" s="1563"/>
      <c r="H126" s="1563"/>
    </row>
    <row r="127" spans="1:12" s="1530" customFormat="1" ht="15" customHeight="1">
      <c r="A127" s="1554"/>
      <c r="B127" s="1552" t="s">
        <v>341</v>
      </c>
      <c r="E127" s="1563"/>
      <c r="F127" s="1563"/>
      <c r="G127" s="1563"/>
      <c r="H127" s="1563"/>
    </row>
    <row r="128" spans="1:12" s="1530" customFormat="1" ht="15" customHeight="1">
      <c r="A128" s="1554"/>
      <c r="B128" s="1530" t="s">
        <v>2895</v>
      </c>
      <c r="E128" s="1563"/>
      <c r="F128" s="1563"/>
      <c r="G128" s="1563"/>
      <c r="H128" s="1563"/>
      <c r="I128" s="1613">
        <f>'6-6.1.2'!I141</f>
        <v>0</v>
      </c>
      <c r="K128" s="1542">
        <v>128637</v>
      </c>
      <c r="L128" s="1530">
        <f>7202500-7202500</f>
        <v>0</v>
      </c>
    </row>
    <row r="129" spans="1:15" s="1530" customFormat="1" ht="15" customHeight="1">
      <c r="A129" s="1554"/>
      <c r="B129" s="1555"/>
      <c r="E129" s="1563"/>
      <c r="F129" s="1563"/>
      <c r="G129" s="1563"/>
      <c r="H129" s="1563"/>
    </row>
    <row r="130" spans="1:15" s="1530" customFormat="1" ht="15" customHeight="1">
      <c r="A130" s="1554"/>
      <c r="B130" s="1552" t="s">
        <v>1073</v>
      </c>
      <c r="E130" s="1563"/>
      <c r="F130" s="1563"/>
      <c r="G130" s="1563"/>
      <c r="H130" s="1563"/>
    </row>
    <row r="131" spans="1:15" s="1530" customFormat="1" ht="15" customHeight="1">
      <c r="A131" s="1554"/>
      <c r="B131" s="1530" t="s">
        <v>2897</v>
      </c>
      <c r="E131" s="1563"/>
      <c r="F131" s="1563"/>
      <c r="G131" s="1563"/>
      <c r="H131" s="1563"/>
      <c r="I131" s="1613">
        <f>'6-6.1.2'!I164</f>
        <v>288238.07199999999</v>
      </c>
      <c r="K131" s="1542">
        <v>0</v>
      </c>
      <c r="L131" s="1530">
        <f>7688753-2141446</f>
        <v>5547307</v>
      </c>
    </row>
    <row r="132" spans="1:15" s="1530" customFormat="1" ht="15" customHeight="1">
      <c r="A132" s="1554"/>
      <c r="B132" s="1555"/>
      <c r="E132" s="1563"/>
      <c r="F132" s="1563"/>
      <c r="G132" s="1563"/>
      <c r="H132" s="1563"/>
    </row>
    <row r="133" spans="1:15" s="1530" customFormat="1" ht="15" customHeight="1">
      <c r="A133" s="1554"/>
      <c r="B133" s="1562" t="s">
        <v>578</v>
      </c>
      <c r="E133" s="1563"/>
      <c r="F133" s="1563"/>
      <c r="G133" s="1563"/>
      <c r="H133" s="1563"/>
    </row>
    <row r="134" spans="1:15" s="1530" customFormat="1" ht="15" customHeight="1">
      <c r="A134" s="1554"/>
      <c r="B134" s="1530" t="s">
        <v>2896</v>
      </c>
      <c r="E134" s="1563"/>
      <c r="F134" s="1563"/>
      <c r="G134" s="1563"/>
      <c r="H134" s="1563"/>
      <c r="I134" s="1613">
        <f>'6-6.1.2'!I165</f>
        <v>194260.97899999999</v>
      </c>
      <c r="K134" s="1542">
        <v>0</v>
      </c>
      <c r="L134" s="1530">
        <f>3151785-884500</f>
        <v>2267285</v>
      </c>
    </row>
    <row r="135" spans="1:15" s="1530" customFormat="1" ht="15" customHeight="1">
      <c r="A135" s="1554"/>
      <c r="E135" s="1563"/>
      <c r="F135" s="1563"/>
      <c r="G135" s="1563"/>
      <c r="H135" s="1563"/>
    </row>
    <row r="136" spans="1:15" s="1530" customFormat="1" ht="15" customHeight="1">
      <c r="A136" s="1554"/>
      <c r="B136" s="1552" t="s">
        <v>1056</v>
      </c>
      <c r="E136" s="1563"/>
      <c r="F136" s="1563"/>
      <c r="G136" s="1563"/>
      <c r="H136" s="1563"/>
    </row>
    <row r="137" spans="1:15" s="1530" customFormat="1" ht="15" customHeight="1">
      <c r="A137" s="1554"/>
      <c r="B137" s="1555" t="s">
        <v>2898</v>
      </c>
      <c r="E137" s="1563"/>
      <c r="F137" s="1563"/>
      <c r="G137" s="1563"/>
      <c r="H137" s="1563"/>
      <c r="I137" s="1613">
        <f>'6-6.1.2'!I142</f>
        <v>0</v>
      </c>
      <c r="K137" s="1570">
        <v>19041</v>
      </c>
      <c r="L137" s="1530">
        <f>969000+700000-1669000</f>
        <v>0</v>
      </c>
    </row>
    <row r="138" spans="1:15" s="1530" customFormat="1" ht="15" customHeight="1">
      <c r="A138" s="1554"/>
      <c r="B138" s="1555"/>
      <c r="E138" s="1563"/>
      <c r="F138" s="1563"/>
      <c r="G138" s="1563"/>
      <c r="H138" s="1563"/>
    </row>
    <row r="139" spans="1:15" s="1530" customFormat="1" ht="15" customHeight="1">
      <c r="A139" s="1554"/>
      <c r="B139" s="1401" t="s">
        <v>495</v>
      </c>
      <c r="E139" s="1563"/>
      <c r="F139" s="1563"/>
      <c r="G139" s="1563"/>
      <c r="H139" s="1563"/>
    </row>
    <row r="140" spans="1:15" s="1530" customFormat="1" ht="15" customHeight="1">
      <c r="A140" s="1554"/>
      <c r="B140" s="1555" t="s">
        <v>2899</v>
      </c>
      <c r="E140" s="1563"/>
      <c r="F140" s="1563"/>
      <c r="G140" s="1563"/>
      <c r="H140" s="1563"/>
      <c r="I140" s="1613">
        <f>'6-6.1.2'!I25</f>
        <v>6612</v>
      </c>
      <c r="K140" s="1606">
        <v>0</v>
      </c>
      <c r="L140" s="1530">
        <f>6122000-5722000</f>
        <v>400000</v>
      </c>
    </row>
    <row r="141" spans="1:15" s="1530" customFormat="1" ht="15" customHeight="1">
      <c r="A141" s="1554"/>
      <c r="B141" s="1401"/>
      <c r="E141" s="1563"/>
      <c r="F141" s="1563"/>
      <c r="G141" s="1563"/>
      <c r="H141" s="1563"/>
    </row>
    <row r="142" spans="1:15" s="1530" customFormat="1" ht="15" customHeight="1">
      <c r="A142" s="1982"/>
      <c r="B142" s="1552" t="s">
        <v>2672</v>
      </c>
      <c r="E142" s="1563"/>
      <c r="F142" s="1563"/>
      <c r="G142" s="1563"/>
      <c r="H142" s="1563"/>
      <c r="I142" s="1613"/>
      <c r="K142" s="1542"/>
    </row>
    <row r="143" spans="1:15" s="1530" customFormat="1" ht="15" customHeight="1">
      <c r="A143" s="1982"/>
      <c r="B143" s="1530" t="s">
        <v>2835</v>
      </c>
      <c r="E143" s="1563"/>
      <c r="F143" s="1563"/>
      <c r="G143" s="1563"/>
      <c r="H143" s="1563"/>
      <c r="I143" s="1613">
        <f>'6-6.1.2'!I38</f>
        <v>0</v>
      </c>
      <c r="K143" s="1542">
        <v>69125</v>
      </c>
      <c r="L143" s="1530">
        <f>7193000-7193000</f>
        <v>0</v>
      </c>
    </row>
    <row r="144" spans="1:15" s="1530" customFormat="1" ht="15" customHeight="1">
      <c r="A144" s="1554"/>
      <c r="B144" s="1552"/>
      <c r="E144" s="1563"/>
      <c r="F144" s="1563"/>
      <c r="G144" s="1983"/>
      <c r="H144" s="1563"/>
      <c r="I144" s="1613"/>
      <c r="J144" s="1600"/>
      <c r="K144" s="1542"/>
      <c r="M144" s="1406"/>
      <c r="N144" s="1404"/>
      <c r="O144" s="1406"/>
    </row>
    <row r="145" spans="1:15" s="1530" customFormat="1" ht="15" customHeight="1">
      <c r="A145" s="1554"/>
      <c r="B145" s="1552" t="s">
        <v>2547</v>
      </c>
      <c r="E145" s="1563"/>
      <c r="F145" s="1563"/>
      <c r="G145" s="1983"/>
      <c r="H145" s="1563"/>
      <c r="I145" s="1613"/>
      <c r="J145" s="1600"/>
      <c r="K145" s="1542"/>
      <c r="M145" s="2270"/>
      <c r="N145" s="1975"/>
      <c r="O145" s="2270"/>
    </row>
    <row r="146" spans="1:15" s="1530" customFormat="1" ht="15" customHeight="1">
      <c r="A146" s="1554"/>
      <c r="B146" s="1555" t="s">
        <v>2561</v>
      </c>
      <c r="E146" s="1563"/>
      <c r="F146" s="1563"/>
      <c r="G146" s="1983"/>
      <c r="H146" s="1563"/>
      <c r="I146" s="1613">
        <f>L146/1000</f>
        <v>586.84500000000003</v>
      </c>
      <c r="J146" s="1600"/>
      <c r="K146" s="1542">
        <v>776</v>
      </c>
      <c r="L146" s="1980">
        <v>586845</v>
      </c>
      <c r="M146" s="2271"/>
      <c r="N146" s="1620"/>
      <c r="O146" s="2271"/>
    </row>
    <row r="147" spans="1:15" s="1530" customFormat="1" ht="15" customHeight="1">
      <c r="A147" s="1554"/>
      <c r="B147" s="1552"/>
      <c r="E147" s="1563"/>
      <c r="F147" s="1563"/>
      <c r="G147" s="1983"/>
      <c r="H147" s="1563"/>
      <c r="I147" s="1613"/>
      <c r="J147" s="1600"/>
      <c r="K147" s="1542"/>
      <c r="M147" s="1406"/>
      <c r="N147" s="1404"/>
      <c r="O147" s="1406"/>
    </row>
    <row r="148" spans="1:15" s="1530" customFormat="1" ht="15" customHeight="1">
      <c r="A148" s="1986" t="s">
        <v>2622</v>
      </c>
      <c r="B148" s="2486" t="s">
        <v>2623</v>
      </c>
      <c r="C148" s="2486"/>
      <c r="D148" s="2486"/>
      <c r="E148" s="2486"/>
      <c r="F148" s="2486"/>
      <c r="G148" s="2486"/>
      <c r="H148" s="2486"/>
      <c r="I148" s="2486"/>
      <c r="J148" s="2486"/>
      <c r="K148" s="2486"/>
    </row>
    <row r="149" spans="1:15" s="1530" customFormat="1" ht="15" customHeight="1">
      <c r="A149" s="2257"/>
      <c r="B149" s="2486"/>
      <c r="C149" s="2486"/>
      <c r="D149" s="2486"/>
      <c r="E149" s="2486"/>
      <c r="F149" s="2486"/>
      <c r="G149" s="2486"/>
      <c r="H149" s="2486"/>
      <c r="I149" s="2486"/>
      <c r="J149" s="2486"/>
      <c r="K149" s="2486"/>
    </row>
    <row r="150" spans="1:15" s="1530" customFormat="1" ht="15" customHeight="1">
      <c r="A150" s="2257"/>
      <c r="B150" s="2486"/>
      <c r="C150" s="2486"/>
      <c r="D150" s="2486"/>
      <c r="E150" s="2486"/>
      <c r="F150" s="2486"/>
      <c r="G150" s="2486"/>
      <c r="H150" s="2486"/>
      <c r="I150" s="2486"/>
      <c r="J150" s="2486"/>
      <c r="K150" s="2486"/>
    </row>
    <row r="151" spans="1:15" s="1530" customFormat="1" ht="15" customHeight="1">
      <c r="A151" s="1554"/>
      <c r="B151" s="1552"/>
      <c r="E151" s="1563"/>
      <c r="F151" s="1563"/>
      <c r="G151" s="1983"/>
      <c r="H151" s="1563"/>
      <c r="I151" s="1613"/>
      <c r="J151" s="1600"/>
      <c r="K151" s="1542"/>
      <c r="M151" s="1406"/>
      <c r="N151" s="1404"/>
      <c r="O151" s="1406"/>
    </row>
    <row r="152" spans="1:15" s="1530" customFormat="1" ht="15" customHeight="1">
      <c r="A152" s="1610"/>
      <c r="M152" s="1406"/>
      <c r="N152" s="1404"/>
      <c r="O152" s="1406"/>
    </row>
    <row r="153" spans="1:15" s="1530" customFormat="1" ht="15" customHeight="1">
      <c r="B153" s="1605"/>
      <c r="E153" s="1563"/>
      <c r="F153" s="1563"/>
      <c r="G153" s="1563"/>
      <c r="H153" s="1563"/>
      <c r="I153" s="1563"/>
      <c r="K153" s="1563"/>
      <c r="M153" s="1406"/>
      <c r="N153" s="1404"/>
      <c r="O153" s="1406"/>
    </row>
    <row r="154" spans="1:15" s="1530" customFormat="1" ht="15" customHeight="1">
      <c r="A154" s="1607"/>
      <c r="B154" s="1537"/>
      <c r="C154" s="1537"/>
      <c r="D154" s="1537"/>
      <c r="E154" s="1537"/>
      <c r="F154" s="1537"/>
      <c r="G154" s="1537"/>
      <c r="H154" s="1537"/>
      <c r="I154" s="1537"/>
      <c r="J154" s="1537"/>
      <c r="K154" s="1537"/>
      <c r="M154" s="1406"/>
      <c r="N154" s="1404"/>
      <c r="O154" s="1406"/>
    </row>
    <row r="155" spans="1:15" s="1530" customFormat="1" ht="15" customHeight="1">
      <c r="A155" s="1607"/>
      <c r="B155" s="1537"/>
      <c r="C155" s="1537"/>
      <c r="D155" s="1537"/>
      <c r="E155" s="1537"/>
      <c r="F155" s="1537"/>
      <c r="G155" s="1537"/>
      <c r="H155" s="1537"/>
      <c r="I155" s="1537"/>
      <c r="J155" s="1537"/>
      <c r="K155" s="1537"/>
      <c r="M155" s="1406"/>
      <c r="N155" s="1404"/>
      <c r="O155" s="1406"/>
    </row>
    <row r="156" spans="1:15" s="1530" customFormat="1" ht="15" customHeight="1">
      <c r="A156" s="1607"/>
      <c r="B156" s="1537"/>
      <c r="C156" s="1537"/>
      <c r="D156" s="1537"/>
      <c r="E156" s="1537"/>
      <c r="F156" s="1537"/>
      <c r="G156" s="1537"/>
      <c r="H156" s="1537"/>
      <c r="I156" s="1537"/>
      <c r="J156" s="1537"/>
      <c r="K156" s="1537"/>
      <c r="M156" s="1406"/>
      <c r="N156" s="1404"/>
      <c r="O156" s="1406"/>
    </row>
    <row r="157" spans="1:15" s="1530" customFormat="1" ht="15" customHeight="1">
      <c r="A157" s="1607"/>
      <c r="B157" s="1537"/>
      <c r="C157" s="1537"/>
      <c r="D157" s="1537"/>
      <c r="E157" s="1537"/>
      <c r="F157" s="1537"/>
      <c r="G157" s="1537"/>
      <c r="H157" s="1537"/>
      <c r="I157" s="1537"/>
      <c r="J157" s="1537"/>
      <c r="K157" s="1537"/>
      <c r="M157" s="1406"/>
      <c r="N157" s="1404"/>
      <c r="O157" s="1406"/>
    </row>
    <row r="158" spans="1:15" s="1530" customFormat="1" ht="15" customHeight="1">
      <c r="A158" s="1607"/>
      <c r="B158" s="1537"/>
      <c r="C158" s="1537"/>
      <c r="D158" s="1537"/>
      <c r="E158" s="1537"/>
      <c r="F158" s="1537"/>
      <c r="G158" s="1537"/>
      <c r="H158" s="1537"/>
      <c r="I158" s="1537"/>
      <c r="J158" s="1537"/>
      <c r="K158" s="1537"/>
      <c r="M158" s="1406"/>
      <c r="N158" s="1404"/>
      <c r="O158" s="1406"/>
    </row>
    <row r="159" spans="1:15" s="1530" customFormat="1" ht="15" customHeight="1">
      <c r="A159" s="1607"/>
      <c r="B159" s="1537"/>
      <c r="C159" s="1537"/>
      <c r="D159" s="1537"/>
      <c r="E159" s="1537"/>
      <c r="F159" s="1537"/>
      <c r="G159" s="1537"/>
      <c r="H159" s="1537"/>
      <c r="I159" s="1537"/>
      <c r="J159" s="1537"/>
      <c r="K159" s="1537"/>
      <c r="M159" s="1406"/>
      <c r="N159" s="1404"/>
      <c r="O159" s="1406"/>
    </row>
    <row r="160" spans="1:15" s="1530" customFormat="1" ht="15" customHeight="1">
      <c r="A160" s="1607"/>
      <c r="B160" s="1537"/>
      <c r="C160" s="1537"/>
      <c r="D160" s="1537"/>
      <c r="E160" s="1537"/>
      <c r="F160" s="1537"/>
      <c r="G160" s="1537"/>
      <c r="H160" s="1537"/>
      <c r="I160" s="1537"/>
      <c r="J160" s="1537"/>
      <c r="K160" s="1537"/>
      <c r="M160" s="1406"/>
      <c r="N160" s="1404"/>
      <c r="O160" s="1406"/>
    </row>
    <row r="161" spans="1:26" s="1530" customFormat="1" ht="15" customHeight="1">
      <c r="A161" s="1607"/>
      <c r="B161" s="1537"/>
      <c r="C161" s="1537"/>
      <c r="D161" s="1537"/>
      <c r="E161" s="1537"/>
      <c r="F161" s="1537"/>
      <c r="G161" s="1537"/>
      <c r="H161" s="1537"/>
      <c r="I161" s="1537"/>
      <c r="J161" s="1537"/>
      <c r="K161" s="1537"/>
      <c r="M161" s="1406"/>
      <c r="N161" s="1404"/>
      <c r="O161" s="1406"/>
    </row>
    <row r="162" spans="1:26" s="1530" customFormat="1" ht="15" customHeight="1">
      <c r="A162" s="1607"/>
      <c r="B162" s="1537"/>
      <c r="C162" s="1537"/>
      <c r="D162" s="1537"/>
      <c r="E162" s="1537"/>
      <c r="F162" s="1537"/>
      <c r="G162" s="1537"/>
      <c r="H162" s="1537"/>
      <c r="I162" s="1537"/>
      <c r="J162" s="1537"/>
      <c r="K162" s="1537"/>
      <c r="M162" s="1406"/>
      <c r="N162" s="1404"/>
      <c r="O162" s="1406"/>
    </row>
    <row r="163" spans="1:26" s="1530" customFormat="1" ht="15" customHeight="1">
      <c r="A163" s="1607"/>
      <c r="B163" s="1537"/>
      <c r="C163" s="1537"/>
      <c r="D163" s="1537"/>
      <c r="E163" s="1537"/>
      <c r="F163" s="1537"/>
      <c r="G163" s="1537"/>
      <c r="H163" s="1537"/>
      <c r="I163" s="1537"/>
      <c r="J163" s="1537"/>
      <c r="K163" s="1537"/>
      <c r="M163" s="1406"/>
      <c r="N163" s="1404"/>
      <c r="O163" s="1406"/>
    </row>
    <row r="164" spans="1:26" s="1530" customFormat="1" ht="15" customHeight="1">
      <c r="A164" s="1607"/>
      <c r="B164" s="1537"/>
      <c r="C164" s="1537"/>
      <c r="D164" s="1537"/>
      <c r="E164" s="1537"/>
      <c r="F164" s="1537"/>
      <c r="G164" s="1537"/>
      <c r="H164" s="1537"/>
      <c r="I164" s="1537"/>
      <c r="J164" s="1537"/>
      <c r="K164" s="1537"/>
      <c r="M164" s="1406"/>
      <c r="N164" s="1404"/>
      <c r="O164" s="1406"/>
    </row>
    <row r="165" spans="1:26" s="1530" customFormat="1" ht="15" customHeight="1">
      <c r="A165" s="1607"/>
      <c r="B165" s="1537"/>
      <c r="C165" s="1537"/>
      <c r="D165" s="1537"/>
      <c r="E165" s="1537"/>
      <c r="F165" s="1537"/>
      <c r="G165" s="1537"/>
      <c r="H165" s="1537"/>
      <c r="I165" s="1537"/>
      <c r="J165" s="1537"/>
      <c r="K165" s="1537"/>
      <c r="M165" s="1406"/>
      <c r="N165" s="1404"/>
      <c r="O165" s="1406"/>
    </row>
    <row r="166" spans="1:26" s="1530" customFormat="1" ht="15" customHeight="1">
      <c r="A166" s="1607"/>
      <c r="B166" s="1537"/>
      <c r="C166" s="1537"/>
      <c r="D166" s="1537"/>
      <c r="E166" s="1537"/>
      <c r="F166" s="1537"/>
      <c r="G166" s="1537"/>
      <c r="H166" s="1537"/>
      <c r="I166" s="1537"/>
      <c r="J166" s="1537"/>
      <c r="K166" s="1537"/>
      <c r="M166" s="1406"/>
      <c r="N166" s="1404"/>
      <c r="O166" s="1406"/>
    </row>
    <row r="167" spans="1:26" s="1530" customFormat="1" ht="15" customHeight="1">
      <c r="A167" s="1607"/>
      <c r="B167" s="1537"/>
      <c r="C167" s="1537"/>
      <c r="D167" s="1537"/>
      <c r="E167" s="1537"/>
      <c r="F167" s="1537"/>
      <c r="G167" s="1537"/>
      <c r="H167" s="1537"/>
      <c r="I167" s="1537"/>
      <c r="J167" s="1537"/>
      <c r="K167" s="1537"/>
      <c r="M167" s="1406"/>
      <c r="N167" s="1404"/>
      <c r="O167" s="1406"/>
    </row>
    <row r="168" spans="1:26" s="1530" customFormat="1" ht="15" customHeight="1">
      <c r="A168" s="1607"/>
      <c r="B168" s="1537"/>
      <c r="C168" s="1537"/>
      <c r="D168" s="1537"/>
      <c r="E168" s="1537"/>
      <c r="F168" s="1537"/>
      <c r="G168" s="1537"/>
      <c r="H168" s="1537"/>
      <c r="I168" s="1537"/>
      <c r="J168" s="1537"/>
      <c r="K168" s="1537"/>
      <c r="M168" s="1406"/>
      <c r="N168" s="1404"/>
      <c r="O168" s="1406"/>
    </row>
    <row r="169" spans="1:26" s="1530" customFormat="1" ht="15" customHeight="1">
      <c r="A169" s="1607"/>
      <c r="B169" s="1537"/>
      <c r="C169" s="1537"/>
      <c r="D169" s="1537"/>
      <c r="E169" s="1537"/>
      <c r="F169" s="1537"/>
      <c r="G169" s="1537"/>
      <c r="H169" s="1537"/>
      <c r="I169" s="1537"/>
      <c r="J169" s="1537"/>
      <c r="K169" s="1537"/>
      <c r="M169" s="1406"/>
      <c r="N169" s="1404"/>
      <c r="O169" s="1406"/>
    </row>
    <row r="170" spans="1:26" s="1530" customFormat="1" ht="15" customHeight="1">
      <c r="A170" s="1607"/>
      <c r="B170" s="1537"/>
      <c r="C170" s="1537"/>
      <c r="D170" s="1537"/>
      <c r="E170" s="1537"/>
      <c r="F170" s="1537"/>
      <c r="G170" s="1537"/>
      <c r="H170" s="1537"/>
      <c r="I170" s="1537"/>
      <c r="J170" s="1537"/>
      <c r="K170" s="1537"/>
      <c r="M170" s="1406"/>
      <c r="N170" s="1404"/>
      <c r="O170" s="1406"/>
    </row>
    <row r="171" spans="1:26" s="1530" customFormat="1" ht="15" customHeight="1">
      <c r="A171" s="1607"/>
      <c r="B171" s="1537"/>
      <c r="C171" s="1537"/>
      <c r="D171" s="1537"/>
      <c r="E171" s="1537"/>
      <c r="F171" s="1537"/>
      <c r="G171" s="1537"/>
      <c r="H171" s="1537"/>
      <c r="I171" s="1537"/>
      <c r="J171" s="1537"/>
      <c r="K171" s="1537"/>
      <c r="M171" s="1406"/>
      <c r="N171" s="1404"/>
      <c r="O171" s="1406"/>
    </row>
    <row r="172" spans="1:26" s="1530" customFormat="1" ht="15" customHeight="1">
      <c r="A172" s="1607"/>
      <c r="B172" s="1537"/>
      <c r="C172" s="1537"/>
      <c r="D172" s="1537"/>
      <c r="E172" s="1537"/>
      <c r="F172" s="1537"/>
      <c r="G172" s="1537"/>
      <c r="H172" s="1537"/>
      <c r="I172" s="1537"/>
      <c r="J172" s="1537"/>
      <c r="K172" s="1537"/>
      <c r="M172" s="1406"/>
      <c r="N172" s="1404"/>
      <c r="O172" s="1406"/>
    </row>
    <row r="173" spans="1:26" s="1530" customFormat="1" ht="15" customHeight="1">
      <c r="A173" s="1607"/>
      <c r="B173" s="1537"/>
      <c r="C173" s="1537"/>
      <c r="D173" s="1537"/>
      <c r="E173" s="1537"/>
      <c r="F173" s="1537"/>
      <c r="G173" s="1537"/>
      <c r="H173" s="1537"/>
      <c r="I173" s="1537"/>
      <c r="J173" s="1537"/>
      <c r="K173" s="1537"/>
      <c r="M173" s="1406"/>
      <c r="N173" s="1404"/>
      <c r="O173" s="1406"/>
    </row>
    <row r="174" spans="1:26" s="1530" customFormat="1" ht="15" customHeight="1">
      <c r="A174" s="1607"/>
      <c r="B174" s="1537"/>
      <c r="C174" s="1537"/>
      <c r="D174" s="1537"/>
      <c r="E174" s="1537"/>
      <c r="F174" s="1537"/>
      <c r="G174" s="1537"/>
      <c r="H174" s="1537"/>
      <c r="I174" s="1537"/>
      <c r="J174" s="1537"/>
      <c r="K174" s="1537"/>
      <c r="M174" s="1406"/>
      <c r="N174" s="1404"/>
      <c r="O174" s="1406"/>
    </row>
    <row r="175" spans="1:26" s="1530" customFormat="1" ht="15" customHeight="1">
      <c r="A175" s="1607"/>
      <c r="B175" s="1537"/>
      <c r="C175" s="1537"/>
      <c r="D175" s="1537"/>
      <c r="E175" s="1537"/>
      <c r="F175" s="1537"/>
      <c r="G175" s="1537"/>
      <c r="H175" s="1537"/>
      <c r="I175" s="1537"/>
      <c r="J175" s="1537"/>
      <c r="K175" s="1537"/>
      <c r="M175" s="1406"/>
      <c r="N175" s="1404"/>
      <c r="O175" s="1406"/>
    </row>
    <row r="176" spans="1:26" s="1530" customFormat="1" ht="15" customHeight="1">
      <c r="A176" s="1607"/>
      <c r="B176" s="1537"/>
      <c r="C176" s="1537"/>
      <c r="D176" s="1537"/>
      <c r="E176" s="1537"/>
      <c r="F176" s="1537"/>
      <c r="G176" s="1537"/>
      <c r="H176" s="1537"/>
      <c r="I176" s="1537"/>
      <c r="J176" s="1537"/>
      <c r="K176" s="1537"/>
      <c r="Z176" s="1563"/>
    </row>
  </sheetData>
  <mergeCells count="6">
    <mergeCell ref="B148:K150"/>
    <mergeCell ref="I1:K1"/>
    <mergeCell ref="I93:K93"/>
    <mergeCell ref="I3:K3"/>
    <mergeCell ref="I5:K5"/>
    <mergeCell ref="I2:K2"/>
  </mergeCells>
  <pageMargins left="0.75" right="0.25" top="0.75" bottom="0" header="0.25" footer="0"/>
  <pageSetup paperSize="9" scale="87" firstPageNumber="15" fitToHeight="0" orientation="portrait" useFirstPageNumber="1" r:id="rId1"/>
  <headerFooter>
    <oddHeader>&amp;C&amp;"Arial Black,Regular"&amp;11&amp;P&amp;R&amp;"Arial Black,Regular"&amp;11MCB PAKISTAN STOCK MARKET FUND</oddHeader>
  </headerFooter>
  <rowBreaks count="1" manualBreakCount="1">
    <brk id="55" max="10" man="1"/>
  </rowBreaks>
  <ignoredErrors>
    <ignoredError sqref="I6:K6 I17:J18 I50:J50 I43:J43 J4 I10:J11 I14:J15 I47:J48 I5:K5 I25:J25" numberStoredAsText="1"/>
  </ignoredError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view="pageBreakPreview" topLeftCell="A22" zoomScaleNormal="100" zoomScaleSheetLayoutView="100" workbookViewId="0">
      <selection activeCell="L2" sqref="L2"/>
    </sheetView>
  </sheetViews>
  <sheetFormatPr defaultColWidth="10.09765625" defaultRowHeight="13.8"/>
  <cols>
    <col min="1" max="1" width="5.59765625" style="1607" customWidth="1"/>
    <col min="2" max="2" width="4.09765625" style="1537" customWidth="1"/>
    <col min="3" max="3" width="23.09765625" style="1537" customWidth="1"/>
    <col min="4" max="4" width="9.09765625" style="1537" customWidth="1"/>
    <col min="5" max="5" width="11" style="1537" customWidth="1"/>
    <col min="6" max="6" width="9.59765625" style="1537" customWidth="1"/>
    <col min="7" max="7" width="11" style="1537" customWidth="1"/>
    <col min="8" max="8" width="1" style="1537" customWidth="1"/>
    <col min="9" max="9" width="11" style="1537" customWidth="1"/>
    <col min="10" max="10" width="1" style="1537" customWidth="1"/>
    <col min="11" max="11" width="10.09765625" style="1537" customWidth="1"/>
    <col min="12" max="12" width="10.59765625" style="1537" bestFit="1" customWidth="1"/>
    <col min="13" max="16384" width="10.09765625" style="1537"/>
  </cols>
  <sheetData>
    <row r="1" spans="1:11" s="1609" customFormat="1" ht="15" customHeight="1">
      <c r="A1" s="1608"/>
      <c r="B1" s="1562"/>
      <c r="C1" s="1530"/>
      <c r="D1" s="1530"/>
      <c r="E1" s="1537"/>
      <c r="F1" s="1537"/>
      <c r="G1" s="1537"/>
      <c r="H1" s="1537"/>
      <c r="I1" s="1537"/>
      <c r="J1" s="1537"/>
      <c r="K1" s="1537"/>
    </row>
    <row r="2" spans="1:11" s="1372" customFormat="1" ht="15" customHeight="1">
      <c r="A2" s="1538">
        <f>+'7-12'!A71+1</f>
        <v>13</v>
      </c>
      <c r="B2" s="1562" t="s">
        <v>247</v>
      </c>
      <c r="C2" s="1611"/>
      <c r="D2" s="1611"/>
      <c r="E2" s="1611"/>
      <c r="F2" s="1611"/>
      <c r="G2" s="1611"/>
      <c r="H2" s="1611"/>
      <c r="I2" s="1611"/>
      <c r="J2" s="1611"/>
      <c r="K2" s="1611"/>
    </row>
    <row r="3" spans="1:11" s="1372" customFormat="1" ht="15" customHeight="1">
      <c r="A3" s="1610"/>
      <c r="B3" s="1612"/>
      <c r="C3" s="1611"/>
      <c r="D3" s="1611"/>
      <c r="E3" s="1611"/>
      <c r="F3" s="1611"/>
      <c r="G3" s="1611"/>
      <c r="H3" s="1611"/>
      <c r="I3" s="1611"/>
      <c r="J3" s="1611"/>
      <c r="K3" s="1611"/>
    </row>
    <row r="4" spans="1:11" s="1372" customFormat="1" ht="15" customHeight="1">
      <c r="A4" s="1610"/>
      <c r="B4" s="2489" t="s">
        <v>2479</v>
      </c>
      <c r="C4" s="2489"/>
      <c r="D4" s="2489"/>
      <c r="E4" s="2489"/>
      <c r="F4" s="2489"/>
      <c r="G4" s="2489"/>
      <c r="H4" s="2489"/>
      <c r="I4" s="2489"/>
      <c r="J4" s="2489"/>
      <c r="K4" s="2489"/>
    </row>
    <row r="5" spans="1:11" s="1372" customFormat="1" ht="15" customHeight="1">
      <c r="A5" s="1610"/>
      <c r="B5" s="2489"/>
      <c r="C5" s="2489"/>
      <c r="D5" s="2489"/>
      <c r="E5" s="2489"/>
      <c r="F5" s="2489"/>
      <c r="G5" s="2489"/>
      <c r="H5" s="2489"/>
      <c r="I5" s="2489"/>
      <c r="J5" s="2489"/>
      <c r="K5" s="2489"/>
    </row>
    <row r="6" spans="1:11" s="1372" customFormat="1" ht="42.6" customHeight="1">
      <c r="A6" s="1610"/>
      <c r="B6" s="2489"/>
      <c r="C6" s="2489"/>
      <c r="D6" s="2489"/>
      <c r="E6" s="2489"/>
      <c r="F6" s="2489"/>
      <c r="G6" s="2489"/>
      <c r="H6" s="2489"/>
      <c r="I6" s="2489"/>
      <c r="J6" s="2489"/>
      <c r="K6" s="2489"/>
    </row>
    <row r="7" spans="1:11" s="1372" customFormat="1" ht="9.6" customHeight="1">
      <c r="A7" s="1610"/>
      <c r="B7" s="1612"/>
      <c r="C7" s="1611"/>
      <c r="D7" s="1611"/>
      <c r="E7" s="1611"/>
      <c r="F7" s="1611"/>
      <c r="G7" s="1611"/>
      <c r="H7" s="1611"/>
      <c r="I7" s="1611"/>
      <c r="J7" s="1611"/>
      <c r="K7" s="1611"/>
    </row>
    <row r="8" spans="1:11" s="1372" customFormat="1" ht="15" customHeight="1">
      <c r="A8" s="1610"/>
      <c r="B8" s="2489" t="s">
        <v>2785</v>
      </c>
      <c r="C8" s="2489"/>
      <c r="D8" s="2489"/>
      <c r="E8" s="2489"/>
      <c r="F8" s="2489"/>
      <c r="G8" s="2489"/>
      <c r="H8" s="2489"/>
      <c r="I8" s="2489"/>
      <c r="J8" s="2489"/>
      <c r="K8" s="2489"/>
    </row>
    <row r="9" spans="1:11" s="1372" customFormat="1" ht="15" customHeight="1">
      <c r="A9" s="1610"/>
      <c r="B9" s="2489"/>
      <c r="C9" s="2489"/>
      <c r="D9" s="2489"/>
      <c r="E9" s="2489"/>
      <c r="F9" s="2489"/>
      <c r="G9" s="2489"/>
      <c r="H9" s="2489"/>
      <c r="I9" s="2489"/>
      <c r="J9" s="2489"/>
      <c r="K9" s="2489"/>
    </row>
    <row r="10" spans="1:11" s="1372" customFormat="1" ht="15" customHeight="1">
      <c r="A10" s="1610"/>
      <c r="B10" s="2489"/>
      <c r="C10" s="2489"/>
      <c r="D10" s="2489"/>
      <c r="E10" s="2489"/>
      <c r="F10" s="2489"/>
      <c r="G10" s="2489"/>
      <c r="H10" s="2489"/>
      <c r="I10" s="2489"/>
      <c r="J10" s="2489"/>
      <c r="K10" s="2489"/>
    </row>
    <row r="11" spans="1:11" s="1372" customFormat="1" ht="14.1" customHeight="1">
      <c r="A11" s="1610"/>
      <c r="B11" s="1612"/>
      <c r="C11" s="1611"/>
      <c r="D11" s="1611"/>
      <c r="E11" s="1611"/>
      <c r="F11" s="1611"/>
      <c r="G11" s="1611"/>
      <c r="H11" s="1611"/>
      <c r="I11" s="1611"/>
      <c r="J11" s="1611"/>
      <c r="K11" s="1611"/>
    </row>
    <row r="12" spans="1:11" s="1372" customFormat="1" ht="15" customHeight="1">
      <c r="A12" s="1610"/>
      <c r="B12" s="2489" t="s">
        <v>2786</v>
      </c>
      <c r="C12" s="2489"/>
      <c r="D12" s="2489"/>
      <c r="E12" s="2489"/>
      <c r="F12" s="2489"/>
      <c r="G12" s="2489"/>
      <c r="H12" s="2489"/>
      <c r="I12" s="2489"/>
      <c r="J12" s="2489"/>
      <c r="K12" s="2489"/>
    </row>
    <row r="13" spans="1:11" s="1372" customFormat="1" ht="7.35" customHeight="1">
      <c r="A13" s="1610"/>
      <c r="B13" s="1612"/>
      <c r="C13" s="1611"/>
      <c r="D13" s="1611"/>
      <c r="E13" s="1611"/>
      <c r="F13" s="1611"/>
      <c r="G13" s="1611"/>
      <c r="H13" s="1611"/>
      <c r="I13" s="1611"/>
      <c r="J13" s="1611"/>
      <c r="K13" s="1611"/>
    </row>
    <row r="14" spans="1:11" s="1372" customFormat="1" ht="15" customHeight="1">
      <c r="A14" s="1610"/>
      <c r="B14" s="2489" t="s">
        <v>2787</v>
      </c>
      <c r="C14" s="2489"/>
      <c r="D14" s="2489"/>
      <c r="E14" s="2489"/>
      <c r="F14" s="2489"/>
      <c r="G14" s="2489"/>
      <c r="H14" s="2489"/>
      <c r="I14" s="2489"/>
      <c r="J14" s="2489"/>
      <c r="K14" s="2489"/>
    </row>
    <row r="15" spans="1:11" s="1372" customFormat="1" ht="7.35" customHeight="1">
      <c r="A15" s="1610"/>
      <c r="B15" s="1612"/>
      <c r="C15" s="1611"/>
      <c r="D15" s="1611"/>
      <c r="E15" s="1611"/>
      <c r="F15" s="1611"/>
      <c r="G15" s="1611"/>
      <c r="H15" s="1611"/>
      <c r="I15" s="1611"/>
      <c r="J15" s="1611"/>
      <c r="K15" s="1611"/>
    </row>
    <row r="16" spans="1:11" s="1372" customFormat="1" ht="29.4" customHeight="1">
      <c r="A16" s="1610"/>
      <c r="B16" s="2489" t="s">
        <v>2788</v>
      </c>
      <c r="C16" s="2489"/>
      <c r="D16" s="2489"/>
      <c r="E16" s="2489"/>
      <c r="F16" s="2489"/>
      <c r="G16" s="2489"/>
      <c r="H16" s="2489"/>
      <c r="I16" s="2489"/>
      <c r="J16" s="2489"/>
      <c r="K16" s="2489"/>
    </row>
    <row r="17" spans="1:11" s="1372" customFormat="1" ht="8.4" customHeight="1">
      <c r="A17" s="1610"/>
      <c r="B17" s="1612"/>
      <c r="C17" s="1611"/>
      <c r="D17" s="1611"/>
      <c r="E17" s="1611"/>
      <c r="F17" s="1611"/>
      <c r="G17" s="1611"/>
      <c r="H17" s="1611"/>
      <c r="I17" s="1611"/>
      <c r="J17" s="1611"/>
      <c r="K17" s="1611"/>
    </row>
    <row r="18" spans="1:11" s="1372" customFormat="1" ht="28.35" customHeight="1">
      <c r="A18" s="1610"/>
      <c r="B18" s="2489" t="s">
        <v>2789</v>
      </c>
      <c r="C18" s="2489"/>
      <c r="D18" s="2489"/>
      <c r="E18" s="2489"/>
      <c r="F18" s="2489"/>
      <c r="G18" s="2489"/>
      <c r="H18" s="2489"/>
      <c r="I18" s="2489"/>
      <c r="J18" s="2489"/>
      <c r="K18" s="2489"/>
    </row>
    <row r="19" spans="1:11" s="1372" customFormat="1" ht="15" customHeight="1">
      <c r="A19" s="1610"/>
      <c r="B19" s="1612"/>
      <c r="C19" s="1611"/>
      <c r="D19" s="1611"/>
      <c r="E19" s="1611"/>
      <c r="F19" s="1611"/>
      <c r="G19" s="1611"/>
      <c r="H19" s="1611"/>
      <c r="I19" s="1611"/>
      <c r="J19" s="1611"/>
      <c r="K19" s="1611"/>
    </row>
    <row r="20" spans="1:11" s="1372" customFormat="1" ht="15" customHeight="1">
      <c r="A20" s="1538">
        <f>+A2+1</f>
        <v>14</v>
      </c>
      <c r="B20" s="1562" t="s">
        <v>140</v>
      </c>
      <c r="C20" s="2235"/>
      <c r="D20" s="2235"/>
      <c r="E20" s="2235"/>
      <c r="F20" s="2235"/>
      <c r="G20" s="2235"/>
      <c r="H20" s="2235"/>
      <c r="I20" s="2235"/>
      <c r="J20" s="2235"/>
      <c r="K20" s="2235"/>
    </row>
    <row r="21" spans="1:11" s="1372" customFormat="1" ht="15" customHeight="1">
      <c r="A21" s="1610"/>
      <c r="B21" s="1612"/>
      <c r="C21" s="2235"/>
      <c r="D21" s="2235"/>
      <c r="E21" s="2235"/>
      <c r="F21" s="2235"/>
      <c r="G21" s="2235"/>
      <c r="H21" s="2235"/>
      <c r="I21" s="2235"/>
      <c r="J21" s="2235"/>
      <c r="K21" s="2235"/>
    </row>
    <row r="22" spans="1:11" s="1372" customFormat="1" ht="15" customHeight="1">
      <c r="A22" s="1610">
        <f>A20+0.1</f>
        <v>14.1</v>
      </c>
      <c r="B22" s="2490" t="s">
        <v>2833</v>
      </c>
      <c r="C22" s="2490"/>
      <c r="D22" s="2490"/>
      <c r="E22" s="2490"/>
      <c r="F22" s="2490"/>
      <c r="G22" s="2490"/>
      <c r="H22" s="2490"/>
      <c r="I22" s="2490"/>
      <c r="J22" s="2490"/>
      <c r="K22" s="2490"/>
    </row>
    <row r="23" spans="1:11" s="1372" customFormat="1" ht="15" customHeight="1">
      <c r="A23" s="1610"/>
      <c r="B23" s="2490"/>
      <c r="C23" s="2490"/>
      <c r="D23" s="2490"/>
      <c r="E23" s="2490"/>
      <c r="F23" s="2490"/>
      <c r="G23" s="2490"/>
      <c r="H23" s="2490"/>
      <c r="I23" s="2490"/>
      <c r="J23" s="2490"/>
      <c r="K23" s="2490"/>
    </row>
    <row r="24" spans="1:11" s="1372" customFormat="1" ht="15" customHeight="1">
      <c r="A24" s="1610"/>
      <c r="B24" s="2235"/>
      <c r="C24" s="2235"/>
      <c r="D24" s="2235"/>
      <c r="E24" s="2235"/>
      <c r="F24" s="2235"/>
      <c r="G24" s="2235"/>
      <c r="H24" s="2235"/>
      <c r="I24" s="2235"/>
      <c r="J24" s="2235"/>
      <c r="K24" s="2235"/>
    </row>
    <row r="25" spans="1:11" s="1372" customFormat="1" ht="15" customHeight="1">
      <c r="A25" s="1610">
        <f>A22+0.1</f>
        <v>14.2</v>
      </c>
      <c r="B25" s="2489" t="s">
        <v>2548</v>
      </c>
      <c r="C25" s="2489"/>
      <c r="D25" s="2489"/>
      <c r="E25" s="2489"/>
      <c r="F25" s="2489"/>
      <c r="G25" s="2489"/>
      <c r="H25" s="2489"/>
      <c r="I25" s="2489"/>
      <c r="J25" s="2489"/>
      <c r="K25" s="2489"/>
    </row>
    <row r="26" spans="1:11" s="1372" customFormat="1" ht="15" customHeight="1">
      <c r="A26" s="1610"/>
      <c r="B26" s="1612"/>
      <c r="C26" s="2235"/>
      <c r="D26" s="2235"/>
      <c r="E26" s="2235"/>
      <c r="F26" s="2235"/>
      <c r="G26" s="2235"/>
      <c r="H26" s="2235"/>
      <c r="I26" s="2235"/>
      <c r="J26" s="2235"/>
      <c r="K26" s="2235"/>
    </row>
    <row r="27" spans="1:11" s="1372" customFormat="1" ht="15" customHeight="1">
      <c r="A27" s="1610"/>
      <c r="B27" s="1612"/>
      <c r="C27" s="2235"/>
      <c r="D27" s="2235"/>
      <c r="E27" s="2235"/>
      <c r="F27" s="2235"/>
      <c r="G27" s="2235"/>
      <c r="H27" s="2235"/>
      <c r="I27" s="2235"/>
      <c r="J27" s="2235"/>
      <c r="K27" s="2235"/>
    </row>
    <row r="28" spans="1:11" s="1609" customFormat="1" ht="15" customHeight="1">
      <c r="A28" s="1538">
        <f>+A20+1</f>
        <v>15</v>
      </c>
      <c r="B28" s="1562" t="s">
        <v>139</v>
      </c>
      <c r="C28" s="1530"/>
      <c r="D28" s="1530"/>
      <c r="E28" s="1537"/>
      <c r="F28" s="1537"/>
      <c r="G28" s="1537"/>
      <c r="H28" s="1537"/>
      <c r="I28" s="1537"/>
      <c r="J28" s="1537"/>
      <c r="K28" s="1537"/>
    </row>
    <row r="29" spans="1:11" s="1609" customFormat="1" ht="15" customHeight="1">
      <c r="A29" s="1605"/>
      <c r="B29" s="1530"/>
      <c r="C29" s="1530"/>
      <c r="D29" s="1530"/>
      <c r="E29" s="1537"/>
      <c r="F29" s="1537"/>
      <c r="G29" s="1537"/>
      <c r="H29" s="1537"/>
      <c r="I29" s="1537"/>
      <c r="J29" s="1537"/>
      <c r="K29" s="1537"/>
    </row>
    <row r="30" spans="1:11" s="1609" customFormat="1" ht="15" customHeight="1">
      <c r="A30" s="1605"/>
      <c r="B30" s="2355" t="s">
        <v>2550</v>
      </c>
      <c r="C30" s="2355"/>
      <c r="D30" s="2355"/>
      <c r="E30" s="2355"/>
      <c r="F30" s="2355"/>
      <c r="G30" s="2355"/>
      <c r="H30" s="2355"/>
      <c r="I30" s="2355"/>
      <c r="J30" s="2355"/>
      <c r="K30" s="2355"/>
    </row>
    <row r="31" spans="1:11" s="1609" customFormat="1" ht="15" customHeight="1">
      <c r="A31" s="1605"/>
      <c r="B31" s="2355"/>
      <c r="C31" s="2355"/>
      <c r="D31" s="2355"/>
      <c r="E31" s="2355"/>
      <c r="F31" s="2355"/>
      <c r="G31" s="2355"/>
      <c r="H31" s="2355"/>
      <c r="I31" s="2355"/>
      <c r="J31" s="2355"/>
      <c r="K31" s="2355"/>
    </row>
    <row r="32" spans="1:11" s="1609" customFormat="1" ht="15" customHeight="1">
      <c r="A32" s="1530"/>
      <c r="B32" s="1530"/>
      <c r="C32" s="1530"/>
      <c r="D32" s="1530"/>
      <c r="E32" s="1537"/>
      <c r="F32" s="1537"/>
      <c r="G32" s="1537"/>
      <c r="H32" s="1537"/>
      <c r="I32" s="1537"/>
      <c r="J32" s="1537"/>
      <c r="K32" s="1537"/>
    </row>
    <row r="33" spans="1:11" s="1609" customFormat="1" ht="15" customHeight="1">
      <c r="A33" s="1530"/>
      <c r="B33" s="1530"/>
      <c r="C33" s="1530"/>
      <c r="D33" s="1530"/>
      <c r="E33" s="1537"/>
      <c r="F33" s="1537"/>
      <c r="G33" s="1537"/>
      <c r="H33" s="1537"/>
      <c r="I33" s="1537"/>
      <c r="J33" s="1537"/>
      <c r="K33" s="1537"/>
    </row>
    <row r="34" spans="1:11" s="1454" customFormat="1" ht="15" customHeight="1">
      <c r="A34" s="2324" t="s">
        <v>2488</v>
      </c>
      <c r="B34" s="2324"/>
      <c r="C34" s="2324"/>
      <c r="D34" s="2324"/>
      <c r="E34" s="2324"/>
      <c r="F34" s="2324"/>
      <c r="G34" s="2324"/>
      <c r="H34" s="2324"/>
      <c r="I34" s="2324"/>
      <c r="J34" s="2324"/>
      <c r="K34" s="2324"/>
    </row>
    <row r="35" spans="1:11" s="1454" customFormat="1" ht="15" customHeight="1">
      <c r="A35" s="2324" t="s">
        <v>149</v>
      </c>
      <c r="B35" s="2324"/>
      <c r="C35" s="2324"/>
      <c r="D35" s="2324"/>
      <c r="E35" s="2324"/>
      <c r="F35" s="2324"/>
      <c r="G35" s="2324"/>
      <c r="H35" s="2324"/>
      <c r="I35" s="2324"/>
      <c r="J35" s="2324"/>
      <c r="K35" s="2324"/>
    </row>
    <row r="36" spans="1:11" s="1461" customFormat="1" ht="15" customHeight="1">
      <c r="A36" s="1456"/>
      <c r="B36" s="1457"/>
      <c r="C36" s="1457"/>
      <c r="D36" s="1457"/>
      <c r="E36" s="1458"/>
      <c r="F36" s="1457"/>
      <c r="G36" s="1459"/>
      <c r="H36" s="1460"/>
      <c r="I36" s="1457"/>
      <c r="J36" s="1459"/>
      <c r="K36" s="1535"/>
    </row>
    <row r="37" spans="1:11" s="1461" customFormat="1" ht="15" customHeight="1">
      <c r="B37" s="1625"/>
      <c r="C37" s="1625"/>
      <c r="D37" s="1625"/>
      <c r="E37" s="1458"/>
      <c r="F37" s="1625"/>
      <c r="G37" s="1459"/>
      <c r="H37" s="1460"/>
      <c r="I37" s="1625"/>
      <c r="J37" s="1459"/>
      <c r="K37" s="1535"/>
    </row>
    <row r="38" spans="1:11" s="1461" customFormat="1" ht="15" customHeight="1">
      <c r="B38" s="1457"/>
      <c r="C38" s="1457"/>
      <c r="D38" s="1457"/>
      <c r="E38" s="1458"/>
      <c r="F38" s="1457"/>
      <c r="G38" s="1459"/>
      <c r="H38" s="1460"/>
      <c r="I38" s="1457"/>
      <c r="J38" s="1459"/>
      <c r="K38" s="1535"/>
    </row>
    <row r="39" spans="1:11" s="1461" customFormat="1" ht="15" customHeight="1">
      <c r="B39" s="1457"/>
      <c r="C39" s="1457"/>
      <c r="D39" s="1457"/>
      <c r="E39" s="1458"/>
      <c r="F39" s="1457"/>
      <c r="G39" s="1459"/>
      <c r="H39" s="1460"/>
      <c r="I39" s="1457"/>
      <c r="J39" s="1459"/>
      <c r="K39" s="1535"/>
    </row>
    <row r="40" spans="1:11" s="1461" customFormat="1" ht="15" customHeight="1">
      <c r="B40" s="1461" t="s">
        <v>2490</v>
      </c>
      <c r="C40" s="1457"/>
      <c r="E40" s="1627" t="s">
        <v>2490</v>
      </c>
      <c r="F40" s="1457"/>
      <c r="G40" s="1459"/>
      <c r="I40" s="1457"/>
      <c r="J40" s="1626" t="s">
        <v>2492</v>
      </c>
    </row>
    <row r="41" spans="1:11" s="1461" customFormat="1" ht="15" customHeight="1">
      <c r="B41" s="1456" t="s">
        <v>2489</v>
      </c>
      <c r="C41" s="1457"/>
      <c r="E41" s="1628" t="s">
        <v>2493</v>
      </c>
      <c r="F41" s="1457"/>
      <c r="G41" s="1464"/>
      <c r="I41" s="1457"/>
      <c r="J41" s="1457" t="s">
        <v>2491</v>
      </c>
    </row>
  </sheetData>
  <mergeCells count="11">
    <mergeCell ref="A35:K35"/>
    <mergeCell ref="B4:K6"/>
    <mergeCell ref="B8:K10"/>
    <mergeCell ref="B12:K12"/>
    <mergeCell ref="B14:K14"/>
    <mergeCell ref="B16:K16"/>
    <mergeCell ref="B18:K18"/>
    <mergeCell ref="B22:K23"/>
    <mergeCell ref="B25:K25"/>
    <mergeCell ref="B30:K31"/>
    <mergeCell ref="A34:K34"/>
  </mergeCells>
  <pageMargins left="0.75" right="0.25" top="0.75" bottom="0" header="0.25" footer="0"/>
  <pageSetup paperSize="9" scale="80" firstPageNumber="18" fitToHeight="0" orientation="portrait" useFirstPageNumber="1" r:id="rId1"/>
  <headerFooter>
    <oddHeader>&amp;C&amp;"Arial Black,Regular"&amp;11&amp;P&amp;R&amp;"Arial Black,Regular"&amp;11MCB PAKISTAN STOCK MARKET FUND</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7"/>
  <sheetViews>
    <sheetView showGridLines="0" zoomScale="130" zoomScaleNormal="130" zoomScaleSheetLayoutView="130" workbookViewId="0">
      <selection activeCell="D16" sqref="D16"/>
    </sheetView>
  </sheetViews>
  <sheetFormatPr defaultColWidth="9" defaultRowHeight="15.6"/>
  <cols>
    <col min="1" max="1" width="5.09765625" style="1737" customWidth="1"/>
    <col min="2" max="2" width="28.5" style="1737" customWidth="1"/>
    <col min="3" max="7" width="5.5" style="1737" customWidth="1"/>
    <col min="8" max="8" width="0.59765625" style="1737" customWidth="1"/>
    <col min="9" max="12" width="5.5" style="1737" customWidth="1"/>
    <col min="13" max="13" width="9" style="1737"/>
    <col min="14" max="14" width="9.59765625" style="1737" bestFit="1" customWidth="1"/>
    <col min="15" max="16384" width="9" style="1737"/>
  </cols>
  <sheetData>
    <row r="1" spans="2:14">
      <c r="B1" s="1846"/>
      <c r="C1" s="1846"/>
      <c r="D1" s="1846"/>
      <c r="E1" s="1846"/>
      <c r="F1" s="1846"/>
      <c r="G1" s="1846"/>
      <c r="H1" s="1846"/>
      <c r="I1" s="1846"/>
      <c r="J1" s="1846"/>
      <c r="K1" s="1846"/>
      <c r="L1" s="1846"/>
      <c r="M1" s="1846"/>
    </row>
    <row r="2" spans="2:14" s="1850" customFormat="1" ht="10.8">
      <c r="B2" s="1847" t="s">
        <v>2331</v>
      </c>
      <c r="C2" s="1848"/>
      <c r="D2" s="1849"/>
      <c r="E2" s="1849"/>
      <c r="F2" s="1849"/>
      <c r="G2" s="1849"/>
      <c r="H2" s="1849"/>
      <c r="I2" s="1849"/>
      <c r="J2" s="1849"/>
      <c r="K2" s="1849"/>
      <c r="L2" s="1849"/>
    </row>
    <row r="3" spans="2:14" s="1850" customFormat="1" ht="10.8">
      <c r="B3" s="1851"/>
      <c r="C3" s="1847"/>
      <c r="D3" s="2499" t="s">
        <v>2438</v>
      </c>
      <c r="E3" s="2500"/>
      <c r="F3" s="2500"/>
      <c r="G3" s="2500"/>
      <c r="H3" s="2500"/>
      <c r="I3" s="2500"/>
      <c r="J3" s="2500"/>
      <c r="K3" s="2500"/>
      <c r="L3" s="2500"/>
    </row>
    <row r="4" spans="2:14" s="1850" customFormat="1" ht="10.8">
      <c r="B4" s="1851"/>
      <c r="C4" s="1852"/>
      <c r="D4" s="2494" t="s">
        <v>2441</v>
      </c>
      <c r="E4" s="2491" t="s">
        <v>2333</v>
      </c>
      <c r="F4" s="2491" t="s">
        <v>2334</v>
      </c>
      <c r="G4" s="2491" t="s">
        <v>2448</v>
      </c>
      <c r="H4" s="1853"/>
      <c r="I4" s="2494" t="s">
        <v>2441</v>
      </c>
      <c r="J4" s="2491" t="s">
        <v>2335</v>
      </c>
      <c r="K4" s="2491" t="s">
        <v>2334</v>
      </c>
      <c r="L4" s="2491" t="s">
        <v>2449</v>
      </c>
    </row>
    <row r="5" spans="2:14" s="1850" customFormat="1" ht="10.8">
      <c r="B5" s="1851"/>
      <c r="C5" s="1847"/>
      <c r="D5" s="2495"/>
      <c r="E5" s="2492"/>
      <c r="F5" s="2492"/>
      <c r="G5" s="2492"/>
      <c r="H5" s="1853"/>
      <c r="I5" s="2495"/>
      <c r="J5" s="2492"/>
      <c r="K5" s="2492"/>
      <c r="L5" s="2492"/>
    </row>
    <row r="6" spans="2:14" s="1850" customFormat="1" ht="10.8">
      <c r="B6" s="1851"/>
      <c r="C6" s="1847"/>
      <c r="D6" s="2495"/>
      <c r="E6" s="2492"/>
      <c r="F6" s="2492"/>
      <c r="G6" s="2492"/>
      <c r="H6" s="1853"/>
      <c r="I6" s="2495"/>
      <c r="J6" s="2492"/>
      <c r="K6" s="2492"/>
      <c r="L6" s="2492"/>
    </row>
    <row r="7" spans="2:14" s="1850" customFormat="1" ht="10.8">
      <c r="B7" s="1851"/>
      <c r="C7" s="1847"/>
      <c r="D7" s="2498"/>
      <c r="E7" s="2498"/>
      <c r="F7" s="2498"/>
      <c r="G7" s="2498"/>
      <c r="H7" s="1853"/>
      <c r="I7" s="2498"/>
      <c r="J7" s="2498"/>
      <c r="K7" s="2498"/>
      <c r="L7" s="2498"/>
    </row>
    <row r="8" spans="2:14" s="1850" customFormat="1" ht="10.8">
      <c r="B8" s="1851"/>
      <c r="C8" s="1847"/>
      <c r="D8" s="2498"/>
      <c r="E8" s="2498"/>
      <c r="F8" s="2498"/>
      <c r="G8" s="2498"/>
      <c r="H8" s="1853"/>
      <c r="I8" s="2498"/>
      <c r="J8" s="2498"/>
      <c r="K8" s="2498"/>
      <c r="L8" s="2498"/>
    </row>
    <row r="9" spans="2:14" s="1850" customFormat="1" ht="10.8">
      <c r="B9" s="1851"/>
      <c r="C9" s="1847"/>
      <c r="D9" s="2498"/>
      <c r="E9" s="2498"/>
      <c r="F9" s="2498"/>
      <c r="G9" s="2498"/>
      <c r="H9" s="1853"/>
      <c r="I9" s="2498"/>
      <c r="J9" s="2498"/>
      <c r="K9" s="2498"/>
      <c r="L9" s="2498"/>
    </row>
    <row r="10" spans="2:14" s="1850" customFormat="1" ht="10.8">
      <c r="B10" s="1851"/>
      <c r="C10" s="1847"/>
      <c r="D10" s="2493" t="s">
        <v>2336</v>
      </c>
      <c r="E10" s="2493"/>
      <c r="F10" s="2493"/>
      <c r="G10" s="2493"/>
      <c r="H10" s="1854"/>
      <c r="I10" s="2493" t="s">
        <v>2340</v>
      </c>
      <c r="J10" s="2493"/>
      <c r="K10" s="2493"/>
      <c r="L10" s="2493"/>
    </row>
    <row r="11" spans="2:14" s="1850" customFormat="1" ht="7.35" customHeight="1"/>
    <row r="12" spans="2:14" s="1850" customFormat="1" ht="10.8">
      <c r="B12" s="1855" t="s">
        <v>2339</v>
      </c>
      <c r="D12" s="1856">
        <v>2048988</v>
      </c>
      <c r="E12" s="1856">
        <v>2432680</v>
      </c>
      <c r="F12" s="1856">
        <v>1569518</v>
      </c>
      <c r="G12" s="1856">
        <v>2912150</v>
      </c>
      <c r="H12" s="1856"/>
      <c r="I12" s="1856">
        <v>194256</v>
      </c>
      <c r="J12" s="1856">
        <v>219086.94157</v>
      </c>
      <c r="K12" s="1856">
        <v>144000</v>
      </c>
      <c r="L12" s="1856">
        <v>246116.57145500003</v>
      </c>
    </row>
    <row r="13" spans="2:14" s="1850" customFormat="1" ht="7.35" customHeight="1">
      <c r="B13" s="1857"/>
      <c r="D13" s="1856"/>
      <c r="E13" s="1856"/>
      <c r="F13" s="1856"/>
      <c r="G13" s="1858"/>
      <c r="H13" s="1856"/>
      <c r="I13" s="1856"/>
      <c r="J13" s="1856"/>
      <c r="K13" s="1856"/>
      <c r="L13" s="1858"/>
    </row>
    <row r="14" spans="2:14" s="1850" customFormat="1" ht="10.8">
      <c r="B14" s="1857" t="s">
        <v>2332</v>
      </c>
      <c r="D14" s="1856"/>
      <c r="E14" s="1856"/>
      <c r="F14" s="1856"/>
      <c r="G14" s="1858"/>
      <c r="H14" s="1856"/>
      <c r="I14" s="1856"/>
      <c r="J14" s="1856"/>
      <c r="K14" s="1856"/>
      <c r="L14" s="1858"/>
      <c r="M14" s="1859"/>
      <c r="N14" s="1860"/>
    </row>
    <row r="15" spans="2:14" s="1850" customFormat="1" ht="10.8">
      <c r="B15" s="1850" t="s">
        <v>2343</v>
      </c>
      <c r="D15" s="1856"/>
      <c r="E15" s="1856"/>
      <c r="F15" s="1856"/>
      <c r="G15" s="1858"/>
      <c r="H15" s="1856"/>
      <c r="I15" s="1856"/>
      <c r="J15" s="1856"/>
      <c r="K15" s="1856"/>
      <c r="L15" s="1858"/>
      <c r="M15" s="1859"/>
      <c r="N15" s="1859"/>
    </row>
    <row r="16" spans="2:14" s="1850" customFormat="1" ht="10.8">
      <c r="B16" s="1861" t="s">
        <v>2344</v>
      </c>
      <c r="C16" s="1862"/>
      <c r="D16" s="1856">
        <v>10756</v>
      </c>
      <c r="E16" s="1856">
        <v>34931</v>
      </c>
      <c r="F16" s="1856">
        <v>30044</v>
      </c>
      <c r="G16" s="1856">
        <v>15643</v>
      </c>
      <c r="H16" s="1856"/>
      <c r="I16" s="1856">
        <v>1020</v>
      </c>
      <c r="J16" s="1856">
        <v>3216.2150000000001</v>
      </c>
      <c r="K16" s="1856">
        <v>2714.8444199999999</v>
      </c>
      <c r="L16" s="1856">
        <v>1322.0478091</v>
      </c>
      <c r="M16" s="1859"/>
      <c r="N16" s="1859"/>
    </row>
    <row r="17" spans="2:14" s="1850" customFormat="1" ht="10.8">
      <c r="B17" s="1850" t="s">
        <v>2345</v>
      </c>
      <c r="C17" s="1862"/>
      <c r="D17" s="1856">
        <v>69360</v>
      </c>
      <c r="E17" s="1856">
        <v>122853</v>
      </c>
      <c r="F17" s="1856">
        <v>101103</v>
      </c>
      <c r="G17" s="1856">
        <v>91110</v>
      </c>
      <c r="H17" s="1856"/>
      <c r="I17" s="1856">
        <v>6576</v>
      </c>
      <c r="J17" s="1856">
        <v>11158.941999999999</v>
      </c>
      <c r="K17" s="1856">
        <v>9122.7829999999994</v>
      </c>
      <c r="L17" s="1856">
        <v>7700.0432070000006</v>
      </c>
      <c r="M17" s="1859"/>
      <c r="N17" s="1859"/>
    </row>
    <row r="18" spans="2:14" s="1850" customFormat="1" ht="10.8">
      <c r="B18" s="1850" t="s">
        <v>1087</v>
      </c>
      <c r="D18" s="1856">
        <v>19754721</v>
      </c>
      <c r="E18" s="1856">
        <v>3033235</v>
      </c>
      <c r="F18" s="1856">
        <v>1072270</v>
      </c>
      <c r="G18" s="1856">
        <v>21715686</v>
      </c>
      <c r="H18" s="1856"/>
      <c r="I18" s="1856">
        <v>1872858</v>
      </c>
      <c r="J18" s="1856">
        <v>285000</v>
      </c>
      <c r="K18" s="1856">
        <v>100000</v>
      </c>
      <c r="L18" s="1856">
        <v>1835272.9718982</v>
      </c>
      <c r="M18" s="1863"/>
      <c r="N18" s="1859"/>
    </row>
    <row r="19" spans="2:14" s="1850" customFormat="1" ht="10.8">
      <c r="B19" s="1850" t="s">
        <v>2346</v>
      </c>
      <c r="D19" s="1856">
        <v>1409006</v>
      </c>
      <c r="E19" s="1856">
        <v>266073</v>
      </c>
      <c r="F19" s="1856">
        <v>139328</v>
      </c>
      <c r="G19" s="1856">
        <v>1535751</v>
      </c>
      <c r="H19" s="1856"/>
      <c r="I19" s="1856">
        <v>133581.69905195199</v>
      </c>
      <c r="J19" s="1856">
        <v>25000</v>
      </c>
      <c r="K19" s="1856">
        <v>13000</v>
      </c>
      <c r="L19" s="1856">
        <v>129791.9992887</v>
      </c>
      <c r="M19" s="1863"/>
      <c r="N19" s="1859"/>
    </row>
    <row r="20" spans="2:14" s="1850" customFormat="1" ht="10.8">
      <c r="B20" s="1850" t="s">
        <v>2350</v>
      </c>
      <c r="D20" s="1856">
        <v>136117</v>
      </c>
      <c r="E20" s="1856">
        <v>243973</v>
      </c>
      <c r="F20" s="1856">
        <v>199725</v>
      </c>
      <c r="G20" s="1856">
        <v>180365</v>
      </c>
      <c r="H20" s="1856"/>
      <c r="I20" s="1856">
        <v>12905</v>
      </c>
      <c r="J20" s="1856">
        <v>22158.383010000001</v>
      </c>
      <c r="K20" s="1856">
        <v>18021.739000000001</v>
      </c>
      <c r="L20" s="1856">
        <v>15243.313500499999</v>
      </c>
      <c r="M20" s="1863"/>
      <c r="N20" s="1859"/>
    </row>
    <row r="21" spans="2:14" s="1850" customFormat="1" ht="10.8">
      <c r="B21" s="1850" t="s">
        <v>2347</v>
      </c>
      <c r="D21" s="1856">
        <v>2108051</v>
      </c>
      <c r="E21" s="1856">
        <v>441784</v>
      </c>
      <c r="F21" s="1856">
        <v>0</v>
      </c>
      <c r="G21" s="1856">
        <v>2549835</v>
      </c>
      <c r="H21" s="1856"/>
      <c r="I21" s="1856">
        <v>199855</v>
      </c>
      <c r="J21" s="1856">
        <v>41509.645880000004</v>
      </c>
      <c r="K21" s="1856"/>
      <c r="L21" s="1856">
        <v>215495.99023949998</v>
      </c>
      <c r="M21" s="1859"/>
      <c r="N21" s="1859"/>
    </row>
    <row r="22" spans="2:14" s="1850" customFormat="1" ht="10.8">
      <c r="B22" s="1850" t="s">
        <v>2351</v>
      </c>
      <c r="D22" s="1856">
        <v>2841551</v>
      </c>
      <c r="E22" s="1856">
        <v>6888764</v>
      </c>
      <c r="F22" s="1856">
        <v>3535877</v>
      </c>
      <c r="G22" s="1856">
        <v>6194438</v>
      </c>
      <c r="H22" s="1856"/>
      <c r="I22" s="1856">
        <v>269395</v>
      </c>
      <c r="J22" s="1856">
        <v>631217.52982000005</v>
      </c>
      <c r="K22" s="1856">
        <v>331949.891</v>
      </c>
      <c r="L22" s="1856">
        <v>523514.8748006</v>
      </c>
      <c r="M22" s="1863"/>
      <c r="N22" s="1859"/>
    </row>
    <row r="23" spans="2:14" s="1850" customFormat="1" ht="10.8">
      <c r="B23" s="1850" t="s">
        <v>2353</v>
      </c>
      <c r="D23" s="1856">
        <v>0</v>
      </c>
      <c r="E23" s="1856">
        <v>5116684</v>
      </c>
      <c r="F23" s="1856">
        <v>2665621</v>
      </c>
      <c r="G23" s="1856">
        <f>D23+E23-F23</f>
        <v>2451063</v>
      </c>
      <c r="H23" s="1856"/>
      <c r="I23" s="1856">
        <v>0</v>
      </c>
      <c r="J23" s="1856">
        <v>495000</v>
      </c>
      <c r="K23" s="1856">
        <v>257000.00000999999</v>
      </c>
      <c r="L23" s="1856">
        <f>G23*BS!$F$40/1000</f>
        <v>241632.89862269998</v>
      </c>
      <c r="M23" s="1859"/>
      <c r="N23" s="1859"/>
    </row>
    <row r="24" spans="2:14" s="1850" customFormat="1" ht="7.35" customHeight="1">
      <c r="D24" s="1856"/>
      <c r="E24" s="1856"/>
      <c r="F24" s="1856"/>
      <c r="G24" s="1856"/>
      <c r="H24" s="1856"/>
      <c r="I24" s="1856"/>
      <c r="J24" s="1856"/>
      <c r="K24" s="1856"/>
      <c r="L24" s="1856"/>
      <c r="M24" s="1859"/>
      <c r="N24" s="1859"/>
    </row>
    <row r="25" spans="2:14" s="1850" customFormat="1" ht="10.8">
      <c r="B25" s="1855" t="s">
        <v>2366</v>
      </c>
      <c r="D25" s="1856">
        <v>134001</v>
      </c>
      <c r="E25" s="1856">
        <v>106367</v>
      </c>
      <c r="F25" s="1856">
        <v>70506</v>
      </c>
      <c r="G25" s="1856">
        <f>D25+E25-F25</f>
        <v>169862</v>
      </c>
      <c r="H25" s="1856"/>
      <c r="I25" s="1856">
        <v>13735.324902947006</v>
      </c>
      <c r="J25" s="1856">
        <v>9761</v>
      </c>
      <c r="K25" s="1856">
        <v>6432</v>
      </c>
      <c r="L25" s="1856">
        <f>G25*BS!$F$40/1000</f>
        <v>16745.4885598</v>
      </c>
      <c r="M25" s="1859"/>
      <c r="N25" s="1859"/>
    </row>
    <row r="26" spans="2:14" s="1850" customFormat="1" ht="7.35" customHeight="1">
      <c r="D26" s="1856"/>
      <c r="E26" s="1856"/>
      <c r="F26" s="1856"/>
      <c r="G26" s="1856"/>
      <c r="H26" s="1856"/>
      <c r="I26" s="1856"/>
      <c r="J26" s="1856"/>
      <c r="K26" s="1856"/>
      <c r="L26" s="1856"/>
      <c r="M26" s="1859"/>
      <c r="N26" s="1859"/>
    </row>
    <row r="27" spans="2:14" s="1850" customFormat="1" ht="10.8">
      <c r="B27" s="1855" t="s">
        <v>2354</v>
      </c>
      <c r="D27" s="1856">
        <v>10722140</v>
      </c>
      <c r="E27" s="1856">
        <v>7297653</v>
      </c>
      <c r="F27" s="1856">
        <v>11165188</v>
      </c>
      <c r="G27" s="1856">
        <f>D27+E27-F27</f>
        <v>6854605</v>
      </c>
      <c r="H27" s="1856"/>
      <c r="I27" s="1856">
        <v>1099037.1456547654</v>
      </c>
      <c r="J27" s="1856">
        <v>697638.67047000001</v>
      </c>
      <c r="K27" s="1856">
        <v>1067125.80318</v>
      </c>
      <c r="L27" s="1856">
        <f>G27*BS!$F$40/1000</f>
        <v>675746.83925449988</v>
      </c>
      <c r="M27" s="1859"/>
      <c r="N27" s="1859"/>
    </row>
    <row r="28" spans="2:14" s="1850" customFormat="1" ht="10.8">
      <c r="D28" s="1859"/>
      <c r="E28" s="1859"/>
      <c r="F28" s="1859"/>
      <c r="G28" s="1859"/>
      <c r="H28" s="1859"/>
      <c r="I28" s="1859"/>
      <c r="J28" s="1859"/>
      <c r="K28" s="1859"/>
      <c r="L28" s="1859"/>
      <c r="M28" s="1859"/>
      <c r="N28" s="1859"/>
    </row>
    <row r="29" spans="2:14" s="1850" customFormat="1" ht="10.8">
      <c r="F29" s="1864"/>
      <c r="J29" s="1862"/>
    </row>
    <row r="30" spans="2:14" s="1850" customFormat="1" ht="10.8">
      <c r="C30" s="1847"/>
      <c r="D30" s="2496" t="s">
        <v>1154</v>
      </c>
      <c r="E30" s="2496"/>
      <c r="F30" s="2496"/>
      <c r="G30" s="2496"/>
      <c r="H30" s="2496"/>
      <c r="I30" s="2496"/>
      <c r="J30" s="2496"/>
      <c r="K30" s="2496"/>
      <c r="L30" s="2496"/>
    </row>
    <row r="31" spans="2:14" s="1850" customFormat="1" ht="9.75" customHeight="1">
      <c r="C31" s="1852"/>
      <c r="D31" s="2494" t="s">
        <v>1141</v>
      </c>
      <c r="E31" s="2491" t="s">
        <v>2333</v>
      </c>
      <c r="F31" s="2491" t="s">
        <v>2334</v>
      </c>
      <c r="G31" s="2491" t="s">
        <v>2337</v>
      </c>
      <c r="H31" s="1853"/>
      <c r="I31" s="2494" t="s">
        <v>1141</v>
      </c>
      <c r="J31" s="2491" t="s">
        <v>2335</v>
      </c>
      <c r="K31" s="2491" t="s">
        <v>2334</v>
      </c>
      <c r="L31" s="2491" t="s">
        <v>2338</v>
      </c>
    </row>
    <row r="32" spans="2:14" s="1850" customFormat="1" ht="10.8">
      <c r="C32" s="1847"/>
      <c r="D32" s="2495"/>
      <c r="E32" s="2492"/>
      <c r="F32" s="2492"/>
      <c r="G32" s="2492"/>
      <c r="H32" s="1853"/>
      <c r="I32" s="2495"/>
      <c r="J32" s="2492"/>
      <c r="K32" s="2492"/>
      <c r="L32" s="2492"/>
    </row>
    <row r="33" spans="2:13" s="1850" customFormat="1" ht="10.8">
      <c r="C33" s="1847"/>
      <c r="D33" s="2495"/>
      <c r="E33" s="2492"/>
      <c r="F33" s="2492"/>
      <c r="G33" s="2492"/>
      <c r="H33" s="1853"/>
      <c r="I33" s="2495"/>
      <c r="J33" s="2492"/>
      <c r="K33" s="2492"/>
      <c r="L33" s="2492"/>
    </row>
    <row r="34" spans="2:13" s="1850" customFormat="1" ht="10.8">
      <c r="C34" s="1847"/>
      <c r="D34" s="2495"/>
      <c r="E34" s="2492"/>
      <c r="F34" s="2492"/>
      <c r="G34" s="2492"/>
      <c r="H34" s="1853"/>
      <c r="I34" s="2495"/>
      <c r="J34" s="2492"/>
      <c r="K34" s="2492"/>
      <c r="L34" s="2492"/>
    </row>
    <row r="35" spans="2:13" s="1850" customFormat="1" ht="10.8">
      <c r="C35" s="1847"/>
      <c r="D35" s="2495"/>
      <c r="E35" s="2492"/>
      <c r="F35" s="2492"/>
      <c r="G35" s="2492"/>
      <c r="H35" s="1853"/>
      <c r="I35" s="2495"/>
      <c r="J35" s="2492"/>
      <c r="K35" s="2492"/>
      <c r="L35" s="2492"/>
    </row>
    <row r="36" spans="2:13" s="1850" customFormat="1" ht="10.8">
      <c r="C36" s="1847"/>
      <c r="D36" s="2493" t="s">
        <v>2336</v>
      </c>
      <c r="E36" s="2493"/>
      <c r="F36" s="2493"/>
      <c r="G36" s="2493"/>
      <c r="H36" s="1854"/>
      <c r="I36" s="2493" t="s">
        <v>2340</v>
      </c>
      <c r="J36" s="2493"/>
      <c r="K36" s="2493"/>
      <c r="L36" s="2493"/>
    </row>
    <row r="37" spans="2:13" s="1850" customFormat="1" ht="7.35" customHeight="1"/>
    <row r="38" spans="2:13" s="1850" customFormat="1" ht="10.8">
      <c r="B38" s="1855" t="s">
        <v>1091</v>
      </c>
      <c r="D38" s="1856">
        <v>2782581</v>
      </c>
      <c r="E38" s="1856">
        <v>557575.73</v>
      </c>
      <c r="F38" s="1856">
        <v>976208.71</v>
      </c>
      <c r="G38" s="1856">
        <f>D38+E38-F38</f>
        <v>2363948.02</v>
      </c>
      <c r="H38" s="1856"/>
      <c r="I38" s="1856">
        <v>285219</v>
      </c>
      <c r="J38" s="1856">
        <v>49672.08</v>
      </c>
      <c r="K38" s="1856">
        <v>90000</v>
      </c>
      <c r="L38" s="1856">
        <v>215137.23582495202</v>
      </c>
    </row>
    <row r="39" spans="2:13" s="1850" customFormat="1" ht="7.35" customHeight="1">
      <c r="D39" s="1856"/>
      <c r="E39" s="1856"/>
      <c r="F39" s="1856"/>
      <c r="G39" s="1856"/>
      <c r="H39" s="1856"/>
      <c r="I39" s="1856"/>
      <c r="J39" s="1856"/>
      <c r="K39" s="1856"/>
      <c r="L39" s="1856"/>
    </row>
    <row r="40" spans="2:13" s="1850" customFormat="1" ht="10.8">
      <c r="B40" s="1855" t="s">
        <v>2355</v>
      </c>
      <c r="D40" s="1856"/>
      <c r="E40" s="1856"/>
      <c r="F40" s="1856"/>
      <c r="G40" s="1856"/>
      <c r="H40" s="1856"/>
      <c r="I40" s="1856"/>
      <c r="J40" s="1856"/>
      <c r="K40" s="1856"/>
      <c r="L40" s="1856"/>
    </row>
    <row r="41" spans="2:13" s="1850" customFormat="1" ht="10.8">
      <c r="B41" s="1850" t="s">
        <v>2343</v>
      </c>
      <c r="D41" s="1856"/>
      <c r="E41" s="1856"/>
      <c r="F41" s="1856"/>
      <c r="G41" s="1856"/>
      <c r="H41" s="1856"/>
      <c r="I41" s="1856"/>
      <c r="J41" s="1856"/>
      <c r="K41" s="1856"/>
      <c r="L41" s="1856"/>
    </row>
    <row r="42" spans="2:13" s="1850" customFormat="1" ht="10.8">
      <c r="B42" s="1850" t="s">
        <v>2344</v>
      </c>
      <c r="D42" s="1856">
        <v>11625</v>
      </c>
      <c r="E42" s="1856">
        <v>12101</v>
      </c>
      <c r="F42" s="1856">
        <v>14453</v>
      </c>
      <c r="G42" s="1856">
        <v>9273</v>
      </c>
      <c r="H42" s="1856"/>
      <c r="I42" s="1856">
        <v>1192</v>
      </c>
      <c r="J42" s="1856">
        <v>1107</v>
      </c>
      <c r="K42" s="1856">
        <v>1299</v>
      </c>
      <c r="L42" s="1856">
        <v>843.91347480000002</v>
      </c>
    </row>
    <row r="43" spans="2:13" s="1850" customFormat="1" ht="10.8">
      <c r="B43" s="1850" t="s">
        <v>2345</v>
      </c>
      <c r="D43" s="1856">
        <v>117589</v>
      </c>
      <c r="E43" s="1856">
        <v>187806</v>
      </c>
      <c r="F43" s="1856">
        <v>240088</v>
      </c>
      <c r="G43" s="1856">
        <v>65307</v>
      </c>
      <c r="H43" s="1856"/>
      <c r="I43" s="1856">
        <v>12053</v>
      </c>
      <c r="J43" s="1856">
        <v>17980.048579999999</v>
      </c>
      <c r="K43" s="1856">
        <v>22521</v>
      </c>
      <c r="L43" s="1856">
        <v>5943.4333332000006</v>
      </c>
    </row>
    <row r="44" spans="2:13" s="1850" customFormat="1" ht="16.5" customHeight="1">
      <c r="B44" s="1850" t="s">
        <v>1087</v>
      </c>
      <c r="D44" s="1856">
        <v>16932999</v>
      </c>
      <c r="E44" s="1856">
        <v>3742620.61</v>
      </c>
      <c r="F44" s="1856">
        <v>436214</v>
      </c>
      <c r="G44" s="1856">
        <v>20239405.609999999</v>
      </c>
      <c r="H44" s="1856"/>
      <c r="I44" s="1856">
        <v>1735661</v>
      </c>
      <c r="J44" s="1856">
        <v>355000</v>
      </c>
      <c r="K44" s="1856">
        <v>45000</v>
      </c>
      <c r="L44" s="1856">
        <v>1841939.729992636</v>
      </c>
    </row>
    <row r="45" spans="2:13" s="1850" customFormat="1" ht="10.8">
      <c r="B45" s="1850" t="s">
        <v>2346</v>
      </c>
      <c r="D45" s="1856">
        <v>1515637</v>
      </c>
      <c r="E45" s="1856">
        <v>0</v>
      </c>
      <c r="F45" s="1856">
        <v>0</v>
      </c>
      <c r="G45" s="1856">
        <v>1515637</v>
      </c>
      <c r="H45" s="1856"/>
      <c r="I45" s="1856">
        <v>155355</v>
      </c>
      <c r="J45" s="1856">
        <v>0</v>
      </c>
      <c r="K45" s="1856">
        <v>0</v>
      </c>
      <c r="L45" s="1856">
        <v>137934.48584119999</v>
      </c>
    </row>
    <row r="46" spans="2:13" s="1850" customFormat="1" ht="9.75" customHeight="1">
      <c r="B46" s="1850" t="s">
        <v>2350</v>
      </c>
      <c r="D46" s="1856">
        <v>225797</v>
      </c>
      <c r="E46" s="1856">
        <v>362996.94</v>
      </c>
      <c r="F46" s="1856">
        <v>460760</v>
      </c>
      <c r="G46" s="1856">
        <v>128033.93999999994</v>
      </c>
      <c r="H46" s="1856"/>
      <c r="I46" s="1856">
        <v>23145</v>
      </c>
      <c r="J46" s="1856">
        <v>34736</v>
      </c>
      <c r="K46" s="1856">
        <v>43205</v>
      </c>
      <c r="L46" s="1856">
        <v>11652.061597943995</v>
      </c>
    </row>
    <row r="47" spans="2:13" s="1850" customFormat="1" ht="10.8">
      <c r="B47" s="1850" t="s">
        <v>2347</v>
      </c>
      <c r="D47" s="1856">
        <v>412198</v>
      </c>
      <c r="E47" s="1856">
        <v>945582.69</v>
      </c>
      <c r="F47" s="1856">
        <v>484683</v>
      </c>
      <c r="G47" s="1856">
        <v>873097.69</v>
      </c>
      <c r="H47" s="1856"/>
      <c r="I47" s="1856">
        <v>42251</v>
      </c>
      <c r="J47" s="1856">
        <v>95000</v>
      </c>
      <c r="K47" s="1856">
        <v>50000</v>
      </c>
      <c r="L47" s="1856">
        <v>79458.525332443998</v>
      </c>
    </row>
    <row r="48" spans="2:13">
      <c r="B48" s="1850" t="s">
        <v>2352</v>
      </c>
      <c r="C48" s="1846"/>
      <c r="D48" s="1856">
        <v>363704</v>
      </c>
      <c r="E48" s="1856">
        <v>188404.75</v>
      </c>
      <c r="F48" s="1856">
        <v>552109.18999999994</v>
      </c>
      <c r="G48" s="1856">
        <v>0</v>
      </c>
      <c r="H48" s="1856"/>
      <c r="I48" s="1856">
        <v>37500</v>
      </c>
      <c r="J48" s="1856">
        <v>17700</v>
      </c>
      <c r="K48" s="1856">
        <v>52102.24351</v>
      </c>
      <c r="L48" s="1856">
        <v>0</v>
      </c>
      <c r="M48" s="1846"/>
    </row>
    <row r="49" spans="2:13">
      <c r="B49" s="1850" t="s">
        <v>2351</v>
      </c>
      <c r="C49" s="1846"/>
      <c r="D49" s="1856">
        <v>145730</v>
      </c>
      <c r="E49" s="1856">
        <v>53535.14</v>
      </c>
      <c r="F49" s="1856">
        <v>0</v>
      </c>
      <c r="G49" s="1856">
        <v>199265.14</v>
      </c>
      <c r="H49" s="1856"/>
      <c r="I49" s="1856">
        <v>14937.566869698489</v>
      </c>
      <c r="J49" s="1856">
        <v>5000</v>
      </c>
      <c r="K49" s="1856">
        <v>0</v>
      </c>
      <c r="L49" s="1856">
        <v>18134.642155064001</v>
      </c>
      <c r="M49" s="1846"/>
    </row>
    <row r="50" spans="2:13">
      <c r="B50" s="1850" t="s">
        <v>2353</v>
      </c>
      <c r="C50" s="1846"/>
      <c r="D50" s="1856">
        <v>0</v>
      </c>
      <c r="E50" s="1856">
        <v>5116684</v>
      </c>
      <c r="F50" s="1856">
        <v>2665621</v>
      </c>
      <c r="G50" s="1856">
        <v>2451063</v>
      </c>
      <c r="H50" s="1856"/>
      <c r="I50" s="1856">
        <v>0</v>
      </c>
      <c r="J50" s="1856">
        <v>495000</v>
      </c>
      <c r="K50" s="1856">
        <v>257000.00000999999</v>
      </c>
      <c r="L50" s="1856">
        <v>223065.36107879999</v>
      </c>
      <c r="M50" s="1846"/>
    </row>
    <row r="51" spans="2:13" ht="7.5" customHeight="1">
      <c r="B51" s="1850"/>
      <c r="C51" s="1846"/>
      <c r="D51" s="1846"/>
      <c r="E51" s="1846"/>
      <c r="F51" s="1846"/>
      <c r="G51" s="1846"/>
      <c r="H51" s="1846"/>
      <c r="I51" s="1846"/>
      <c r="J51" s="1846"/>
      <c r="K51" s="1846"/>
      <c r="L51" s="1846"/>
      <c r="M51" s="1846"/>
    </row>
    <row r="52" spans="2:13">
      <c r="B52" s="1855" t="s">
        <v>2366</v>
      </c>
      <c r="C52" s="1846"/>
      <c r="D52" s="1856">
        <v>134001</v>
      </c>
      <c r="E52" s="1856">
        <v>106367</v>
      </c>
      <c r="F52" s="1856">
        <v>70506</v>
      </c>
      <c r="G52" s="1856">
        <v>169862</v>
      </c>
      <c r="H52" s="1856"/>
      <c r="I52" s="1856">
        <v>13735.324902947006</v>
      </c>
      <c r="J52" s="1856">
        <v>9761</v>
      </c>
      <c r="K52" s="1856">
        <v>6432</v>
      </c>
      <c r="L52" s="1856">
        <v>15458.7329512</v>
      </c>
      <c r="M52" s="1846"/>
    </row>
    <row r="53" spans="2:13">
      <c r="B53" s="1850"/>
      <c r="C53" s="1846"/>
      <c r="D53" s="1856"/>
      <c r="E53" s="1856"/>
      <c r="F53" s="1856"/>
      <c r="G53" s="1856"/>
      <c r="H53" s="1856"/>
      <c r="I53" s="1856"/>
      <c r="J53" s="1856"/>
      <c r="K53" s="1856"/>
      <c r="L53" s="1856"/>
      <c r="M53" s="1846"/>
    </row>
    <row r="54" spans="2:13">
      <c r="B54" s="1855" t="s">
        <v>2354</v>
      </c>
      <c r="C54" s="1846"/>
      <c r="D54" s="1856">
        <v>10722140</v>
      </c>
      <c r="E54" s="1856">
        <v>7297653</v>
      </c>
      <c r="F54" s="1856">
        <v>11165188</v>
      </c>
      <c r="G54" s="1856">
        <v>6854605</v>
      </c>
      <c r="H54" s="1856"/>
      <c r="I54" s="1856">
        <v>1099037.1456547654</v>
      </c>
      <c r="J54" s="1856">
        <v>697638.67047000001</v>
      </c>
      <c r="K54" s="1856">
        <v>1067125.80318</v>
      </c>
      <c r="L54" s="1856">
        <v>623821.14999800001</v>
      </c>
      <c r="M54" s="1846"/>
    </row>
    <row r="55" spans="2:13">
      <c r="B55" s="1846"/>
      <c r="C55" s="1846"/>
      <c r="D55" s="1846"/>
      <c r="E55" s="1846"/>
      <c r="F55" s="1846"/>
      <c r="G55" s="1846"/>
      <c r="H55" s="1846"/>
      <c r="I55" s="1846"/>
      <c r="J55" s="1846"/>
      <c r="K55" s="1846"/>
      <c r="L55" s="1846"/>
      <c r="M55" s="1846"/>
    </row>
    <row r="56" spans="2:13">
      <c r="B56" s="1846"/>
      <c r="C56" s="1846"/>
      <c r="D56" s="1846"/>
      <c r="E56" s="1846"/>
      <c r="F56" s="1846"/>
      <c r="G56" s="1846"/>
      <c r="H56" s="1846"/>
      <c r="I56" s="1846"/>
      <c r="J56" s="1846"/>
      <c r="K56" s="1846"/>
      <c r="L56" s="1846"/>
      <c r="M56" s="1846"/>
    </row>
    <row r="57" spans="2:13">
      <c r="B57" s="1846"/>
      <c r="C57" s="1846"/>
      <c r="D57" s="1846"/>
      <c r="E57" s="1846"/>
      <c r="F57" s="1846"/>
      <c r="G57" s="1846"/>
      <c r="H57" s="1846"/>
      <c r="I57" s="1846"/>
      <c r="J57" s="1846"/>
      <c r="K57" s="1846"/>
      <c r="L57" s="1846"/>
      <c r="M57" s="1846"/>
    </row>
    <row r="58" spans="2:13">
      <c r="B58" s="1846"/>
      <c r="C58" s="1846"/>
      <c r="D58" s="1846"/>
      <c r="E58" s="1846"/>
      <c r="F58" s="1846"/>
      <c r="G58" s="1846"/>
      <c r="H58" s="1846"/>
      <c r="I58" s="1846"/>
      <c r="J58" s="1846"/>
      <c r="K58" s="1846"/>
      <c r="L58" s="1846"/>
      <c r="M58" s="1846"/>
    </row>
    <row r="59" spans="2:13">
      <c r="B59" s="1846"/>
      <c r="C59" s="1846"/>
      <c r="D59" s="1846"/>
      <c r="E59" s="1846"/>
      <c r="F59" s="1846"/>
      <c r="G59" s="1846"/>
      <c r="H59" s="1846"/>
      <c r="I59" s="1846"/>
      <c r="J59" s="1846"/>
      <c r="K59" s="1846"/>
      <c r="L59" s="1846"/>
      <c r="M59" s="1846"/>
    </row>
    <row r="60" spans="2:13">
      <c r="B60" s="1846"/>
      <c r="C60" s="1846"/>
      <c r="D60" s="1846"/>
      <c r="E60" s="1846"/>
      <c r="F60" s="1846"/>
      <c r="G60" s="1846"/>
      <c r="H60" s="1846"/>
      <c r="I60" s="1846"/>
      <c r="J60" s="1846"/>
      <c r="K60" s="1846"/>
      <c r="L60" s="1846"/>
      <c r="M60" s="1846"/>
    </row>
    <row r="61" spans="2:13">
      <c r="B61" s="1846"/>
      <c r="C61" s="1846"/>
      <c r="D61" s="1846"/>
      <c r="E61" s="1846"/>
      <c r="F61" s="1846"/>
      <c r="G61" s="1846"/>
      <c r="H61" s="1846"/>
      <c r="I61" s="1846"/>
      <c r="J61" s="1846"/>
      <c r="K61" s="1846"/>
      <c r="L61" s="1846"/>
      <c r="M61" s="1846"/>
    </row>
    <row r="62" spans="2:13">
      <c r="B62" s="1846"/>
      <c r="C62" s="1846"/>
      <c r="D62" s="1846"/>
      <c r="E62" s="1846"/>
      <c r="F62" s="1846"/>
      <c r="G62" s="1846"/>
      <c r="H62" s="1846"/>
      <c r="I62" s="1846"/>
      <c r="J62" s="1846"/>
      <c r="K62" s="1846"/>
      <c r="L62" s="1846"/>
      <c r="M62" s="1846"/>
    </row>
    <row r="63" spans="2:13">
      <c r="B63" s="1846"/>
      <c r="C63" s="1846"/>
      <c r="D63" s="1846"/>
      <c r="E63" s="1846"/>
      <c r="F63" s="1846"/>
      <c r="G63" s="1846"/>
      <c r="H63" s="1846"/>
      <c r="I63" s="1846"/>
      <c r="J63" s="1846"/>
      <c r="K63" s="1846"/>
      <c r="L63" s="1846"/>
      <c r="M63" s="1846"/>
    </row>
    <row r="64" spans="2:13">
      <c r="B64" s="1846"/>
      <c r="C64" s="1846"/>
      <c r="D64" s="1846"/>
      <c r="E64" s="1846"/>
      <c r="F64" s="1846"/>
      <c r="G64" s="1846"/>
      <c r="H64" s="1846"/>
      <c r="I64" s="1846"/>
      <c r="J64" s="1846"/>
      <c r="K64" s="1846"/>
      <c r="L64" s="1846"/>
      <c r="M64" s="1846"/>
    </row>
    <row r="65" spans="2:13">
      <c r="B65" s="1846"/>
      <c r="C65" s="1846"/>
      <c r="D65" s="1846"/>
      <c r="E65" s="1846"/>
      <c r="F65" s="1846"/>
      <c r="G65" s="1846"/>
      <c r="H65" s="1846"/>
      <c r="I65" s="1846"/>
      <c r="J65" s="1846"/>
      <c r="K65" s="1846"/>
      <c r="L65" s="1846"/>
      <c r="M65" s="1846"/>
    </row>
    <row r="66" spans="2:13">
      <c r="B66" s="1846"/>
      <c r="C66" s="1846"/>
      <c r="D66" s="1846"/>
      <c r="E66" s="1846"/>
      <c r="F66" s="1846"/>
      <c r="G66" s="1846"/>
      <c r="H66" s="1846"/>
      <c r="I66" s="1846"/>
      <c r="J66" s="1846"/>
      <c r="K66" s="1846"/>
      <c r="L66" s="1846"/>
      <c r="M66" s="1846"/>
    </row>
    <row r="67" spans="2:13">
      <c r="B67" s="1846"/>
      <c r="C67" s="1846"/>
      <c r="D67" s="1846"/>
      <c r="E67" s="1846"/>
      <c r="F67" s="1846"/>
      <c r="G67" s="1846"/>
      <c r="H67" s="1846"/>
      <c r="I67" s="1846"/>
      <c r="J67" s="1846"/>
      <c r="K67" s="1846"/>
      <c r="L67" s="1846"/>
      <c r="M67" s="1846"/>
    </row>
    <row r="68" spans="2:13">
      <c r="B68" s="1846"/>
      <c r="C68" s="1846"/>
      <c r="D68" s="1846"/>
      <c r="E68" s="1846"/>
      <c r="F68" s="1846"/>
      <c r="G68" s="1846"/>
      <c r="H68" s="1846"/>
      <c r="I68" s="1846"/>
      <c r="J68" s="1846"/>
      <c r="K68" s="1846"/>
      <c r="L68" s="1846"/>
      <c r="M68" s="1846"/>
    </row>
    <row r="552" spans="1:12">
      <c r="B552" s="2497" t="s">
        <v>2408</v>
      </c>
      <c r="C552" s="2497"/>
      <c r="D552" s="2497"/>
      <c r="E552" s="2497"/>
      <c r="F552" s="2497"/>
      <c r="G552" s="2497"/>
      <c r="H552" s="2497"/>
      <c r="I552" s="2497"/>
      <c r="J552" s="2497"/>
      <c r="K552" s="2497"/>
      <c r="L552" s="2497"/>
    </row>
    <row r="553" spans="1:12">
      <c r="B553" s="2497"/>
      <c r="C553" s="2497"/>
      <c r="D553" s="2497"/>
      <c r="E553" s="2497"/>
      <c r="F553" s="2497"/>
      <c r="G553" s="2497"/>
      <c r="H553" s="2497"/>
      <c r="I553" s="2497"/>
      <c r="J553" s="2497"/>
      <c r="K553" s="2497"/>
      <c r="L553" s="2497"/>
    </row>
    <row r="554" spans="1:12">
      <c r="B554" s="2497"/>
      <c r="C554" s="2497"/>
      <c r="D554" s="2497"/>
      <c r="E554" s="2497"/>
      <c r="F554" s="2497"/>
      <c r="G554" s="2497"/>
      <c r="H554" s="2497"/>
      <c r="I554" s="2497"/>
      <c r="J554" s="2497"/>
      <c r="K554" s="2497"/>
      <c r="L554" s="2497"/>
    </row>
    <row r="556" spans="1:12">
      <c r="A556" s="1737">
        <f>A552+0.1</f>
        <v>0.1</v>
      </c>
    </row>
    <row r="693" spans="3:3">
      <c r="C693" s="1737" t="s">
        <v>2409</v>
      </c>
    </row>
    <row r="707" spans="3:3">
      <c r="C707" s="1737" t="s">
        <v>2410</v>
      </c>
    </row>
  </sheetData>
  <mergeCells count="23">
    <mergeCell ref="B552:L554"/>
    <mergeCell ref="L4:L9"/>
    <mergeCell ref="D3:L3"/>
    <mergeCell ref="D4:D9"/>
    <mergeCell ref="E4:E9"/>
    <mergeCell ref="F4:F9"/>
    <mergeCell ref="G4:G9"/>
    <mergeCell ref="I4:I9"/>
    <mergeCell ref="J4:J9"/>
    <mergeCell ref="K4:K9"/>
    <mergeCell ref="I36:L36"/>
    <mergeCell ref="D36:G36"/>
    <mergeCell ref="L31:L35"/>
    <mergeCell ref="K31:K35"/>
    <mergeCell ref="J31:J35"/>
    <mergeCell ref="I31:I35"/>
    <mergeCell ref="G31:G35"/>
    <mergeCell ref="I10:L10"/>
    <mergeCell ref="D10:G10"/>
    <mergeCell ref="F31:F35"/>
    <mergeCell ref="E31:E35"/>
    <mergeCell ref="D31:D35"/>
    <mergeCell ref="D30:L30"/>
  </mergeCells>
  <pageMargins left="0.75" right="0.5" top="0.7" bottom="0.4" header="0.45" footer="0.3"/>
  <pageSetup paperSize="9" orientation="portrait" horizontalDpi="96"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U188"/>
  <sheetViews>
    <sheetView topLeftCell="A145" zoomScale="80" zoomScaleNormal="80" workbookViewId="0">
      <selection activeCell="I141" sqref="I141"/>
    </sheetView>
  </sheetViews>
  <sheetFormatPr defaultColWidth="9" defaultRowHeight="15.6"/>
  <cols>
    <col min="1" max="1" width="12.09765625" style="897" bestFit="1" customWidth="1"/>
    <col min="2" max="2" width="59" style="897" customWidth="1"/>
    <col min="3" max="4" width="14.59765625" style="898" bestFit="1" customWidth="1"/>
    <col min="5" max="8" width="14.59765625" style="898" customWidth="1"/>
    <col min="9" max="9" width="13.09765625" style="897" bestFit="1" customWidth="1"/>
    <col min="10" max="10" width="14.59765625" style="897" customWidth="1"/>
    <col min="11" max="11" width="13.09765625" style="897" customWidth="1"/>
    <col min="12" max="12" width="12.5" style="897" bestFit="1" customWidth="1"/>
    <col min="13" max="13" width="11.5" style="897" bestFit="1" customWidth="1"/>
    <col min="14" max="14" width="13.09765625" style="897" bestFit="1" customWidth="1"/>
    <col min="15" max="16" width="9" style="897"/>
    <col min="17" max="21" width="9" style="906"/>
    <col min="22" max="16384" width="9" style="897"/>
  </cols>
  <sheetData>
    <row r="1" spans="1:21">
      <c r="A1" s="243" t="s">
        <v>983</v>
      </c>
      <c r="Q1" s="897"/>
      <c r="R1" s="897"/>
      <c r="S1" s="897"/>
      <c r="T1" s="897"/>
      <c r="U1" s="897"/>
    </row>
    <row r="2" spans="1:21">
      <c r="A2" s="243" t="s">
        <v>727</v>
      </c>
      <c r="Q2" s="897"/>
      <c r="R2" s="897"/>
      <c r="S2" s="897"/>
      <c r="T2" s="897"/>
      <c r="U2" s="897"/>
    </row>
    <row r="3" spans="1:21">
      <c r="A3" s="243" t="s">
        <v>1024</v>
      </c>
      <c r="Q3" s="897"/>
      <c r="R3" s="897"/>
      <c r="S3" s="897"/>
      <c r="T3" s="897"/>
      <c r="U3" s="897"/>
    </row>
    <row r="4" spans="1:21">
      <c r="Q4" s="897"/>
      <c r="R4" s="897"/>
      <c r="S4" s="897"/>
      <c r="T4" s="897"/>
      <c r="U4" s="897"/>
    </row>
    <row r="5" spans="1:21">
      <c r="A5" s="904" t="s">
        <v>728</v>
      </c>
      <c r="C5" s="898">
        <f>SUM(C9:C104)+1807</f>
        <v>10766780621.389999</v>
      </c>
      <c r="D5" s="898">
        <f>-SUM(D9:D104)</f>
        <v>-785217722.0799998</v>
      </c>
      <c r="E5" s="898">
        <f>C5+D5</f>
        <v>9981562899.3099995</v>
      </c>
      <c r="Q5" s="897"/>
      <c r="R5" s="897"/>
      <c r="S5" s="897"/>
      <c r="T5" s="897"/>
      <c r="U5" s="897"/>
    </row>
    <row r="6" spans="1:21">
      <c r="Q6" s="897"/>
      <c r="R6" s="897"/>
      <c r="S6" s="897"/>
      <c r="T6" s="897"/>
      <c r="U6" s="897"/>
    </row>
    <row r="7" spans="1:21" ht="14.4">
      <c r="A7" s="904" t="s">
        <v>729</v>
      </c>
      <c r="B7" s="904" t="s">
        <v>730</v>
      </c>
      <c r="C7" s="905" t="s">
        <v>109</v>
      </c>
      <c r="D7" s="905" t="s">
        <v>108</v>
      </c>
      <c r="E7" s="905" t="s">
        <v>991</v>
      </c>
      <c r="F7" s="905" t="s">
        <v>992</v>
      </c>
      <c r="G7" s="905"/>
      <c r="H7" s="905" t="s">
        <v>984</v>
      </c>
      <c r="I7" s="1014" t="s">
        <v>1078</v>
      </c>
      <c r="J7" s="1015"/>
      <c r="Q7" s="897"/>
      <c r="R7" s="897"/>
      <c r="S7" s="897"/>
      <c r="T7" s="897"/>
      <c r="U7" s="897"/>
    </row>
    <row r="8" spans="1:21" ht="14.4">
      <c r="A8" s="1013" t="s">
        <v>233</v>
      </c>
      <c r="B8" s="1013"/>
      <c r="C8" s="909"/>
      <c r="D8" s="909"/>
      <c r="E8" s="909"/>
      <c r="F8" s="909"/>
      <c r="G8" s="909"/>
      <c r="H8" s="909"/>
      <c r="I8" s="1007" t="s">
        <v>109</v>
      </c>
      <c r="J8" s="1007" t="s">
        <v>108</v>
      </c>
      <c r="K8" s="929" t="s">
        <v>1079</v>
      </c>
      <c r="Q8" s="897"/>
      <c r="R8" s="897"/>
      <c r="S8" s="897"/>
      <c r="T8" s="897"/>
      <c r="U8" s="897"/>
    </row>
    <row r="9" spans="1:21" s="906" customFormat="1">
      <c r="A9" s="1020" t="s">
        <v>908</v>
      </c>
      <c r="B9" s="906" t="s">
        <v>909</v>
      </c>
      <c r="C9" s="1025">
        <v>974450918.89999998</v>
      </c>
      <c r="D9" s="901">
        <v>0</v>
      </c>
      <c r="E9" s="901"/>
      <c r="F9" s="901"/>
      <c r="G9" s="901" t="str">
        <f>VLOOKUP(A9,Sheet2!$A$1:$E$23,5,0)</f>
        <v>Saving</v>
      </c>
      <c r="H9" s="1008"/>
      <c r="I9" s="934">
        <v>28000000</v>
      </c>
      <c r="J9" s="906">
        <v>73000000</v>
      </c>
      <c r="K9" s="933">
        <f>C9+I9-J9</f>
        <v>929450918.89999998</v>
      </c>
      <c r="L9" s="901"/>
      <c r="Q9" s="1004"/>
    </row>
    <row r="10" spans="1:21" s="906" customFormat="1">
      <c r="A10" s="1020" t="s">
        <v>910</v>
      </c>
      <c r="B10" s="906" t="s">
        <v>911</v>
      </c>
      <c r="C10" s="1025">
        <v>1280814.71</v>
      </c>
      <c r="D10" s="901">
        <v>0</v>
      </c>
      <c r="E10" s="901"/>
      <c r="F10" s="901"/>
      <c r="G10" s="901" t="str">
        <f>VLOOKUP(A10,Sheet2!$A$1:$E$23,5,0)</f>
        <v>Saving</v>
      </c>
      <c r="H10" s="901"/>
      <c r="I10" s="1009">
        <v>15862500</v>
      </c>
      <c r="K10" s="933">
        <f>C10+I10</f>
        <v>17143314.710000001</v>
      </c>
      <c r="Q10" s="1004"/>
    </row>
    <row r="11" spans="1:21" s="906" customFormat="1">
      <c r="A11" s="1020" t="s">
        <v>912</v>
      </c>
      <c r="B11" s="906" t="s">
        <v>913</v>
      </c>
      <c r="C11" s="1025">
        <v>2888830.5300000003</v>
      </c>
      <c r="D11" s="901">
        <v>0</v>
      </c>
      <c r="E11" s="901"/>
      <c r="F11" s="901"/>
      <c r="G11" s="901" t="str">
        <f>VLOOKUP(A11,Sheet2!$A$1:$E$23,5,0)</f>
        <v>Saving</v>
      </c>
      <c r="H11" s="912">
        <f>C11+C12+C27</f>
        <v>41533700.340000004</v>
      </c>
      <c r="I11" s="1026">
        <f>H11/1000000</f>
        <v>41.533700340000003</v>
      </c>
      <c r="J11" s="934">
        <v>28000000</v>
      </c>
      <c r="K11" s="933">
        <f>C11-J11</f>
        <v>-25111169.469999999</v>
      </c>
      <c r="Q11" s="1004"/>
    </row>
    <row r="12" spans="1:21" s="906" customFormat="1">
      <c r="A12" s="1020" t="s">
        <v>916</v>
      </c>
      <c r="B12" s="906" t="s">
        <v>917</v>
      </c>
      <c r="C12" s="1025">
        <v>6075.81</v>
      </c>
      <c r="D12" s="901">
        <v>0</v>
      </c>
      <c r="E12" s="901"/>
      <c r="F12" s="901"/>
      <c r="G12" s="901" t="str">
        <f>VLOOKUP(A12,Sheet2!$A$1:$E$23,5,0)</f>
        <v>Saving</v>
      </c>
      <c r="H12" s="901">
        <f>C14+C21+C22+C28</f>
        <v>5310406.3899999997</v>
      </c>
      <c r="I12" s="1026">
        <f>H12/1000000</f>
        <v>5.3104063899999998</v>
      </c>
      <c r="Q12" s="1004"/>
    </row>
    <row r="13" spans="1:21" s="906" customFormat="1">
      <c r="A13" s="1020" t="s">
        <v>926</v>
      </c>
      <c r="B13" s="906" t="s">
        <v>927</v>
      </c>
      <c r="C13" s="1025">
        <v>869007.49</v>
      </c>
      <c r="D13" s="901">
        <v>0</v>
      </c>
      <c r="E13" s="901"/>
      <c r="F13" s="901"/>
      <c r="G13" s="901" t="str">
        <f>VLOOKUP(A13,Sheet2!$A$1:$E$23,5,0)</f>
        <v>Saving</v>
      </c>
      <c r="H13" s="901" t="e">
        <f>ROUND((K9+K11+#REF!+K10+C12+#REF!+C13+#REF!)/1000,0)</f>
        <v>#REF!</v>
      </c>
      <c r="Q13" s="1004"/>
    </row>
    <row r="14" spans="1:21" s="906" customFormat="1">
      <c r="A14" s="1020" t="s">
        <v>914</v>
      </c>
      <c r="B14" s="906" t="s">
        <v>915</v>
      </c>
      <c r="C14" s="901">
        <v>40446</v>
      </c>
      <c r="D14" s="901">
        <v>0</v>
      </c>
      <c r="E14" s="901"/>
      <c r="F14" s="901"/>
      <c r="G14" s="901" t="str">
        <f>VLOOKUP(A14,Sheet2!$A$1:$E$23,5,0)</f>
        <v>current</v>
      </c>
      <c r="H14" s="901"/>
      <c r="M14" s="933">
        <f>K11+C12</f>
        <v>-25105093.66</v>
      </c>
      <c r="Q14" s="1004"/>
    </row>
    <row r="15" spans="1:21" s="906" customFormat="1">
      <c r="A15" s="1020" t="s">
        <v>918</v>
      </c>
      <c r="B15" s="906" t="s">
        <v>919</v>
      </c>
      <c r="C15" s="901">
        <v>1495053</v>
      </c>
      <c r="D15" s="901">
        <v>0</v>
      </c>
      <c r="E15" s="901"/>
      <c r="F15" s="901"/>
      <c r="G15" s="901" t="str">
        <f>VLOOKUP(A15,Sheet2!$A$1:$E$23,5,0)</f>
        <v>current</v>
      </c>
      <c r="H15" s="901"/>
      <c r="M15" s="933">
        <f>C14+C22+C21</f>
        <v>311848</v>
      </c>
      <c r="Q15" s="1004"/>
    </row>
    <row r="16" spans="1:21" s="906" customFormat="1">
      <c r="A16" s="1020" t="s">
        <v>920</v>
      </c>
      <c r="B16" s="906" t="s">
        <v>921</v>
      </c>
      <c r="C16" s="901">
        <v>2250518</v>
      </c>
      <c r="D16" s="901">
        <v>0</v>
      </c>
      <c r="E16" s="901"/>
      <c r="F16" s="901"/>
      <c r="G16" s="901" t="str">
        <f>VLOOKUP(A16,Sheet2!$A$1:$E$23,5,0)</f>
        <v>current</v>
      </c>
      <c r="H16" s="901"/>
      <c r="Q16" s="1004"/>
    </row>
    <row r="17" spans="1:17" s="906" customFormat="1">
      <c r="A17" s="1020" t="s">
        <v>922</v>
      </c>
      <c r="B17" s="906" t="s">
        <v>923</v>
      </c>
      <c r="C17" s="901">
        <v>1368463</v>
      </c>
      <c r="D17" s="901">
        <v>0</v>
      </c>
      <c r="E17" s="901"/>
      <c r="F17" s="901"/>
      <c r="G17" s="901" t="str">
        <f>VLOOKUP(A17,Sheet2!$A$1:$E$23,5,0)</f>
        <v>current</v>
      </c>
      <c r="H17" s="901"/>
      <c r="Q17" s="1004"/>
    </row>
    <row r="18" spans="1:17" s="906" customFormat="1">
      <c r="A18" s="1020" t="s">
        <v>924</v>
      </c>
      <c r="B18" s="906" t="s">
        <v>925</v>
      </c>
      <c r="C18" s="901">
        <v>1695204</v>
      </c>
      <c r="D18" s="901">
        <v>0</v>
      </c>
      <c r="E18" s="901"/>
      <c r="F18" s="901"/>
      <c r="G18" s="901" t="str">
        <f>VLOOKUP(A18,Sheet2!$A$1:$E$23,5,0)</f>
        <v>current</v>
      </c>
      <c r="H18" s="901"/>
      <c r="Q18" s="1004"/>
    </row>
    <row r="19" spans="1:17" s="906" customFormat="1">
      <c r="A19" s="1020" t="s">
        <v>928</v>
      </c>
      <c r="B19" s="906" t="s">
        <v>929</v>
      </c>
      <c r="C19" s="901">
        <v>325430</v>
      </c>
      <c r="D19" s="901">
        <v>0</v>
      </c>
      <c r="E19" s="901"/>
      <c r="F19" s="901"/>
      <c r="G19" s="901" t="str">
        <f>VLOOKUP(A19,Sheet2!$A$1:$E$23,5,0)</f>
        <v>current</v>
      </c>
      <c r="H19" s="901"/>
      <c r="Q19" s="1004"/>
    </row>
    <row r="20" spans="1:17" s="906" customFormat="1">
      <c r="A20" s="1020" t="s">
        <v>930</v>
      </c>
      <c r="B20" s="906" t="s">
        <v>931</v>
      </c>
      <c r="C20" s="901">
        <v>568666</v>
      </c>
      <c r="D20" s="901">
        <v>0</v>
      </c>
      <c r="E20" s="901"/>
      <c r="F20" s="901"/>
      <c r="G20" s="901" t="str">
        <f>VLOOKUP(A20,Sheet2!$A$1:$E$23,5,0)</f>
        <v>current</v>
      </c>
      <c r="H20" s="901"/>
      <c r="Q20" s="1004"/>
    </row>
    <row r="21" spans="1:17" s="906" customFormat="1">
      <c r="A21" s="1020" t="s">
        <v>932</v>
      </c>
      <c r="B21" s="906" t="s">
        <v>933</v>
      </c>
      <c r="C21" s="901">
        <v>132770</v>
      </c>
      <c r="D21" s="901">
        <v>0</v>
      </c>
      <c r="E21" s="901"/>
      <c r="F21" s="901"/>
      <c r="G21" s="901" t="str">
        <f>VLOOKUP(A21,Sheet2!$A$1:$E$23,5,0)</f>
        <v>current</v>
      </c>
      <c r="H21" s="901"/>
      <c r="Q21" s="1004"/>
    </row>
    <row r="22" spans="1:17" s="906" customFormat="1">
      <c r="A22" s="1020" t="s">
        <v>934</v>
      </c>
      <c r="B22" s="906" t="s">
        <v>935</v>
      </c>
      <c r="C22" s="901">
        <v>138632</v>
      </c>
      <c r="D22" s="901">
        <v>0</v>
      </c>
      <c r="E22" s="901"/>
      <c r="F22" s="901"/>
      <c r="G22" s="901" t="str">
        <f>VLOOKUP(A22,Sheet2!$A$1:$E$23,5,0)</f>
        <v>current</v>
      </c>
      <c r="H22" s="901"/>
      <c r="Q22" s="1004"/>
    </row>
    <row r="23" spans="1:17" s="906" customFormat="1">
      <c r="A23" s="1020" t="s">
        <v>936</v>
      </c>
      <c r="B23" s="906" t="s">
        <v>937</v>
      </c>
      <c r="C23" s="901">
        <v>1413294</v>
      </c>
      <c r="D23" s="901">
        <v>0</v>
      </c>
      <c r="E23" s="901">
        <f>SUM(C9:C13)+SUM(C25:C27)+SUM(C29:C31)</f>
        <v>1024138235.2499999</v>
      </c>
      <c r="F23" s="901">
        <f>ROUND(E23/1000,0)</f>
        <v>1024138</v>
      </c>
      <c r="G23" s="901" t="str">
        <f>VLOOKUP(A23,Sheet2!$A$1:$E$23,5,0)</f>
        <v>current</v>
      </c>
      <c r="H23" s="901"/>
      <c r="Q23" s="1004"/>
    </row>
    <row r="24" spans="1:17" s="906" customFormat="1">
      <c r="A24" s="1020" t="s">
        <v>938</v>
      </c>
      <c r="B24" s="906" t="s">
        <v>939</v>
      </c>
      <c r="C24" s="901">
        <v>405467</v>
      </c>
      <c r="D24" s="901">
        <v>0</v>
      </c>
      <c r="F24" s="901">
        <f>ROUND((K11+C12+C14+C21+C22)/1000,0)</f>
        <v>-24793</v>
      </c>
      <c r="G24" s="901" t="str">
        <f>VLOOKUP(A24,Sheet2!$A$1:$E$23,5,0)</f>
        <v>current</v>
      </c>
      <c r="H24" s="901"/>
      <c r="Q24" s="1004"/>
    </row>
    <row r="25" spans="1:17" s="906" customFormat="1">
      <c r="A25" s="1020" t="s">
        <v>1097</v>
      </c>
      <c r="B25" s="906" t="s">
        <v>1096</v>
      </c>
      <c r="C25" s="1025">
        <v>1432536.6600000001</v>
      </c>
      <c r="D25" s="901">
        <v>0</v>
      </c>
      <c r="E25" s="901">
        <f>SUM(C9:C31)-E23</f>
        <v>14832501.389999986</v>
      </c>
      <c r="F25" s="901">
        <f>ROUND(E25/1000,0)</f>
        <v>14833</v>
      </c>
      <c r="G25" s="901" t="str">
        <f>VLOOKUP(A25,Sheet2!$A$1:$E$23,5,0)</f>
        <v>Saving</v>
      </c>
      <c r="Q25" s="1004"/>
    </row>
    <row r="26" spans="1:17" s="906" customFormat="1">
      <c r="A26" s="1020" t="s">
        <v>1108</v>
      </c>
      <c r="B26" s="906" t="s">
        <v>1125</v>
      </c>
      <c r="C26" s="1025">
        <v>1235073.1299999999</v>
      </c>
      <c r="D26" s="901">
        <v>0</v>
      </c>
      <c r="E26" s="901"/>
      <c r="F26" s="901"/>
      <c r="G26" s="901" t="str">
        <f>VLOOKUP(A26,Sheet2!$A$1:$E$23,5,0)</f>
        <v>Saving</v>
      </c>
      <c r="H26" s="901"/>
      <c r="Q26" s="1004"/>
    </row>
    <row r="27" spans="1:17" s="906" customFormat="1">
      <c r="A27" s="1020" t="s">
        <v>1109</v>
      </c>
      <c r="B27" s="906" t="s">
        <v>1126</v>
      </c>
      <c r="C27" s="1025">
        <v>38638794</v>
      </c>
      <c r="D27" s="901">
        <v>0</v>
      </c>
      <c r="E27" s="901"/>
      <c r="F27" s="901"/>
      <c r="G27" s="901" t="str">
        <f>VLOOKUP(A27,Sheet2!$A$1:$E$23,5,0)</f>
        <v>Saving</v>
      </c>
      <c r="H27" s="901"/>
      <c r="Q27" s="1004"/>
    </row>
    <row r="28" spans="1:17" s="906" customFormat="1">
      <c r="A28" s="1020" t="s">
        <v>1110</v>
      </c>
      <c r="B28" s="906" t="s">
        <v>1127</v>
      </c>
      <c r="C28" s="901">
        <v>4998558.3899999997</v>
      </c>
      <c r="D28" s="901">
        <v>0</v>
      </c>
      <c r="E28" s="901"/>
      <c r="F28" s="901"/>
      <c r="G28" s="901" t="str">
        <f>VLOOKUP(A28,Sheet2!$A$1:$E$23,5,0)</f>
        <v>current</v>
      </c>
      <c r="H28" s="901"/>
      <c r="Q28" s="1004"/>
    </row>
    <row r="29" spans="1:17" s="906" customFormat="1">
      <c r="A29" s="1020" t="s">
        <v>1111</v>
      </c>
      <c r="B29" s="906" t="s">
        <v>1128</v>
      </c>
      <c r="C29" s="1025">
        <v>3300057.06</v>
      </c>
      <c r="D29" s="901">
        <v>0</v>
      </c>
      <c r="E29" s="901"/>
      <c r="F29" s="901"/>
      <c r="G29" s="901" t="str">
        <f>VLOOKUP(A29,Sheet2!$A$1:$E$23,5,0)</f>
        <v>Saving</v>
      </c>
      <c r="H29" s="901"/>
      <c r="Q29" s="1004"/>
    </row>
    <row r="30" spans="1:17" s="906" customFormat="1">
      <c r="A30" s="1020" t="s">
        <v>1112</v>
      </c>
      <c r="B30" s="906" t="s">
        <v>1129</v>
      </c>
      <c r="C30" s="1025">
        <v>23626.959999999999</v>
      </c>
      <c r="D30" s="901">
        <v>0</v>
      </c>
      <c r="E30" s="901"/>
      <c r="F30" s="901"/>
      <c r="G30" s="901" t="str">
        <f>VLOOKUP(A30,Sheet2!$A$1:$E$23,5,0)</f>
        <v>Saving</v>
      </c>
      <c r="H30" s="901">
        <f>(SUM(C9:C31)-D29)/1000</f>
        <v>1038970.7366399999</v>
      </c>
      <c r="Q30" s="1004"/>
    </row>
    <row r="31" spans="1:17" s="906" customFormat="1">
      <c r="A31" s="1020" t="s">
        <v>1142</v>
      </c>
      <c r="B31" s="906" t="s">
        <v>1143</v>
      </c>
      <c r="C31" s="1025">
        <v>12500</v>
      </c>
      <c r="D31" s="901">
        <v>0</v>
      </c>
      <c r="E31" s="901"/>
      <c r="F31" s="901"/>
      <c r="G31" s="901" t="str">
        <f>VLOOKUP(A31,Sheet2!$A$1:$E$23,5,0)</f>
        <v>Saving</v>
      </c>
      <c r="H31" s="901"/>
      <c r="Q31" s="1004"/>
    </row>
    <row r="32" spans="1:17" s="906" customFormat="1">
      <c r="A32" s="1016" t="s">
        <v>235</v>
      </c>
      <c r="B32" s="1016"/>
      <c r="C32" s="1005">
        <v>0</v>
      </c>
      <c r="D32" s="1005">
        <v>0</v>
      </c>
      <c r="E32" s="1005"/>
      <c r="F32" s="1005"/>
      <c r="G32" s="1005"/>
      <c r="H32" s="1005"/>
      <c r="Q32" s="1004"/>
    </row>
    <row r="33" spans="1:17">
      <c r="A33" s="1021" t="s">
        <v>836</v>
      </c>
      <c r="B33" s="906" t="s">
        <v>837</v>
      </c>
      <c r="C33" s="901">
        <v>8208797471.8000002</v>
      </c>
      <c r="D33" s="901">
        <v>0</v>
      </c>
      <c r="Q33" s="1004"/>
    </row>
    <row r="34" spans="1:17">
      <c r="A34" s="1020" t="s">
        <v>838</v>
      </c>
      <c r="B34" s="906" t="s">
        <v>839</v>
      </c>
      <c r="C34" s="901">
        <v>0</v>
      </c>
      <c r="D34" s="901">
        <v>536318462.25999999</v>
      </c>
      <c r="I34" s="900">
        <f>(C33-D34)/1000</f>
        <v>7672479.00954</v>
      </c>
      <c r="J34" s="900"/>
      <c r="Q34" s="1004"/>
    </row>
    <row r="35" spans="1:17">
      <c r="A35" s="1020" t="s">
        <v>840</v>
      </c>
      <c r="B35" s="906" t="s">
        <v>841</v>
      </c>
      <c r="C35" s="901">
        <v>1154883238.3199999</v>
      </c>
      <c r="D35" s="901">
        <v>0</v>
      </c>
      <c r="Q35" s="1004"/>
    </row>
    <row r="36" spans="1:17">
      <c r="A36" s="1020" t="s">
        <v>842</v>
      </c>
      <c r="B36" s="906" t="s">
        <v>843</v>
      </c>
      <c r="C36" s="901">
        <v>202683840.31999999</v>
      </c>
      <c r="D36" s="901">
        <v>0</v>
      </c>
      <c r="H36" s="903">
        <f>ROUND((SUM(C33:C36)-D34)/1000,0)</f>
        <v>9030046</v>
      </c>
      <c r="I36" s="897">
        <f>(C35+C36)/1000</f>
        <v>1357567.07864</v>
      </c>
      <c r="J36" s="900">
        <f>M36</f>
        <v>-2916741</v>
      </c>
      <c r="K36" s="900">
        <f>H36+J36</f>
        <v>6113305</v>
      </c>
      <c r="L36" s="908">
        <f>ROUND(6113304.714,0)</f>
        <v>6113305</v>
      </c>
      <c r="M36" s="900">
        <f>L36-H36</f>
        <v>-2916741</v>
      </c>
      <c r="N36" s="897">
        <v>1000</v>
      </c>
      <c r="Q36" s="1004"/>
    </row>
    <row r="37" spans="1:17" s="906" customFormat="1">
      <c r="A37" s="910" t="s">
        <v>8</v>
      </c>
      <c r="B37" s="902"/>
      <c r="C37" s="1005">
        <v>0</v>
      </c>
      <c r="D37" s="1005">
        <v>0</v>
      </c>
      <c r="E37" s="1005"/>
      <c r="F37" s="1005"/>
      <c r="G37" s="1005"/>
      <c r="H37" s="1006"/>
      <c r="J37" s="933">
        <f>C35+C36</f>
        <v>1357567078.6399999</v>
      </c>
      <c r="Q37" s="1004"/>
    </row>
    <row r="38" spans="1:17" s="906" customFormat="1">
      <c r="A38" s="1020" t="s">
        <v>879</v>
      </c>
      <c r="B38" s="906" t="s">
        <v>880</v>
      </c>
      <c r="C38" s="901">
        <v>3213035.84</v>
      </c>
      <c r="D38" s="901">
        <v>0</v>
      </c>
      <c r="E38" s="901"/>
      <c r="F38" s="901"/>
      <c r="G38" s="901"/>
      <c r="H38" s="907"/>
      <c r="Q38" s="1004"/>
    </row>
    <row r="39" spans="1:17" s="906" customFormat="1">
      <c r="A39" s="1020" t="s">
        <v>881</v>
      </c>
      <c r="B39" s="906" t="s">
        <v>882</v>
      </c>
      <c r="C39" s="901">
        <v>205011.43</v>
      </c>
      <c r="D39" s="901">
        <v>0</v>
      </c>
      <c r="E39" s="901"/>
      <c r="F39" s="901"/>
      <c r="G39" s="901"/>
      <c r="H39" s="907"/>
      <c r="Q39" s="1004"/>
    </row>
    <row r="40" spans="1:17" s="906" customFormat="1">
      <c r="A40" s="1020" t="s">
        <v>883</v>
      </c>
      <c r="B40" s="906" t="s">
        <v>884</v>
      </c>
      <c r="C40" s="901">
        <v>18038.68</v>
      </c>
      <c r="D40" s="901">
        <v>0</v>
      </c>
      <c r="E40" s="901"/>
      <c r="F40" s="901"/>
      <c r="G40" s="901"/>
      <c r="H40" s="907"/>
      <c r="Q40" s="1004"/>
    </row>
    <row r="41" spans="1:17" s="906" customFormat="1">
      <c r="A41" s="1020" t="s">
        <v>885</v>
      </c>
      <c r="B41" s="906" t="s">
        <v>886</v>
      </c>
      <c r="C41" s="901">
        <v>3456.08</v>
      </c>
      <c r="D41" s="901">
        <v>0</v>
      </c>
      <c r="E41" s="901"/>
      <c r="F41" s="901"/>
      <c r="G41" s="901"/>
      <c r="H41" s="907">
        <f>(SUM(C38:C41)+SUM(C43:C45))/1000</f>
        <v>3522.98533</v>
      </c>
      <c r="Q41" s="1004"/>
    </row>
    <row r="42" spans="1:17" s="906" customFormat="1">
      <c r="A42" s="1020" t="s">
        <v>903</v>
      </c>
      <c r="B42" s="906" t="s">
        <v>904</v>
      </c>
      <c r="C42" s="901">
        <v>36240919.350000001</v>
      </c>
      <c r="D42" s="901">
        <v>0</v>
      </c>
      <c r="E42" s="901">
        <f>ROUND(C42/1000,0)</f>
        <v>36241</v>
      </c>
      <c r="F42" s="901"/>
      <c r="G42" s="901"/>
      <c r="H42" s="907">
        <f>ROUND(C42/1000,0)</f>
        <v>36241</v>
      </c>
      <c r="J42" s="1009"/>
      <c r="K42" s="933"/>
      <c r="Q42" s="1004"/>
    </row>
    <row r="43" spans="1:17" s="906" customFormat="1">
      <c r="A43" s="1020" t="s">
        <v>1113</v>
      </c>
      <c r="B43" s="906" t="s">
        <v>880</v>
      </c>
      <c r="C43" s="901">
        <v>7232.64</v>
      </c>
      <c r="D43" s="901">
        <v>0</v>
      </c>
      <c r="E43" s="901"/>
      <c r="F43" s="901"/>
      <c r="G43" s="901"/>
      <c r="H43" s="907"/>
      <c r="J43" s="1009"/>
      <c r="K43" s="933"/>
      <c r="Q43" s="1004"/>
    </row>
    <row r="44" spans="1:17" s="906" customFormat="1">
      <c r="A44" s="1020" t="s">
        <v>1114</v>
      </c>
      <c r="B44" s="906" t="s">
        <v>1130</v>
      </c>
      <c r="C44" s="901">
        <v>50948.66</v>
      </c>
      <c r="D44" s="901">
        <v>0</v>
      </c>
      <c r="E44" s="901"/>
      <c r="F44" s="901"/>
      <c r="G44" s="901"/>
      <c r="H44" s="907"/>
      <c r="J44" s="1009"/>
      <c r="K44" s="933"/>
      <c r="Q44" s="1004"/>
    </row>
    <row r="45" spans="1:17" s="906" customFormat="1">
      <c r="A45" s="1021" t="s">
        <v>1144</v>
      </c>
      <c r="B45" s="906" t="s">
        <v>1145</v>
      </c>
      <c r="C45" s="901">
        <v>25262</v>
      </c>
      <c r="D45" s="901">
        <v>0</v>
      </c>
      <c r="E45" s="901"/>
      <c r="F45" s="901"/>
      <c r="G45" s="901"/>
      <c r="H45" s="907"/>
      <c r="J45" s="1009"/>
      <c r="K45" s="933"/>
      <c r="Q45" s="1004"/>
    </row>
    <row r="46" spans="1:17" s="906" customFormat="1">
      <c r="A46" s="910" t="s">
        <v>734</v>
      </c>
      <c r="B46" s="902"/>
      <c r="C46" s="1005">
        <v>0</v>
      </c>
      <c r="D46" s="1005">
        <v>0</v>
      </c>
      <c r="E46" s="1005"/>
      <c r="F46" s="1005"/>
      <c r="G46" s="1005"/>
      <c r="H46" s="1006"/>
      <c r="Q46" s="1004"/>
    </row>
    <row r="47" spans="1:17" s="906" customFormat="1">
      <c r="A47" s="1020" t="s">
        <v>733</v>
      </c>
      <c r="B47" s="906" t="s">
        <v>734</v>
      </c>
      <c r="C47" s="901">
        <v>114088951.66</v>
      </c>
      <c r="D47" s="901">
        <v>0</v>
      </c>
      <c r="E47" s="901"/>
      <c r="F47" s="901"/>
      <c r="G47" s="901"/>
      <c r="H47" s="907">
        <f>ROUND(C47/1000,0)+0.4</f>
        <v>114089.4</v>
      </c>
      <c r="Q47" s="1004"/>
    </row>
    <row r="48" spans="1:17" s="906" customFormat="1">
      <c r="A48" s="910" t="s">
        <v>994</v>
      </c>
      <c r="B48" s="902"/>
      <c r="C48" s="1005">
        <v>0</v>
      </c>
      <c r="D48" s="1005">
        <v>0</v>
      </c>
      <c r="E48" s="1005"/>
      <c r="F48" s="1005"/>
      <c r="G48" s="1005"/>
      <c r="H48" s="1006"/>
      <c r="Q48" s="1004"/>
    </row>
    <row r="49" spans="1:17" s="906" customFormat="1">
      <c r="A49" s="1019" t="s">
        <v>887</v>
      </c>
      <c r="B49" s="1010" t="s">
        <v>888</v>
      </c>
      <c r="C49" s="901">
        <v>317363.48</v>
      </c>
      <c r="D49" s="901">
        <v>0</v>
      </c>
      <c r="E49" s="907"/>
      <c r="F49" s="907"/>
      <c r="G49" s="907"/>
      <c r="H49" s="907"/>
      <c r="I49" s="933"/>
      <c r="Q49" s="1004"/>
    </row>
    <row r="50" spans="1:17" s="906" customFormat="1">
      <c r="A50" s="1020" t="s">
        <v>905</v>
      </c>
      <c r="B50" s="906" t="s">
        <v>906</v>
      </c>
      <c r="C50" s="901">
        <v>631922</v>
      </c>
      <c r="D50" s="901">
        <v>0</v>
      </c>
      <c r="E50" s="901"/>
      <c r="F50" s="901"/>
      <c r="G50" s="901"/>
      <c r="H50" s="907"/>
      <c r="Q50" s="1004"/>
    </row>
    <row r="51" spans="1:17" s="906" customFormat="1">
      <c r="A51" s="1020" t="s">
        <v>831</v>
      </c>
      <c r="B51" s="906" t="s">
        <v>832</v>
      </c>
      <c r="C51" s="901">
        <v>2500000</v>
      </c>
      <c r="D51" s="901">
        <v>0</v>
      </c>
      <c r="E51" s="901"/>
      <c r="F51" s="901">
        <f>ROUND(C51/1000,0)</f>
        <v>2500</v>
      </c>
      <c r="G51" s="901"/>
      <c r="H51" s="907"/>
      <c r="Q51" s="1004"/>
    </row>
    <row r="52" spans="1:17" s="906" customFormat="1">
      <c r="A52" s="1020" t="s">
        <v>833</v>
      </c>
      <c r="B52" s="906" t="s">
        <v>834</v>
      </c>
      <c r="C52" s="901">
        <v>250636</v>
      </c>
      <c r="D52" s="901">
        <v>0</v>
      </c>
      <c r="E52" s="901"/>
      <c r="F52" s="901"/>
      <c r="G52" s="901"/>
      <c r="H52" s="907"/>
      <c r="Q52" s="1004"/>
    </row>
    <row r="53" spans="1:17" s="906" customFormat="1">
      <c r="A53" s="1020" t="s">
        <v>835</v>
      </c>
      <c r="B53" s="906" t="s">
        <v>834</v>
      </c>
      <c r="C53" s="901">
        <v>500000</v>
      </c>
      <c r="D53" s="901">
        <v>0</v>
      </c>
      <c r="E53" s="901"/>
      <c r="F53" s="901">
        <f>ROUND(C53/1000,0)</f>
        <v>500</v>
      </c>
      <c r="G53" s="901"/>
      <c r="H53" s="907"/>
      <c r="Q53" s="1004"/>
    </row>
    <row r="54" spans="1:17" s="906" customFormat="1">
      <c r="A54" s="1020" t="s">
        <v>827</v>
      </c>
      <c r="B54" s="906" t="s">
        <v>828</v>
      </c>
      <c r="C54" s="901">
        <v>0</v>
      </c>
      <c r="D54" s="901">
        <v>27824.33</v>
      </c>
      <c r="E54" s="901"/>
      <c r="F54" s="901"/>
      <c r="G54" s="901"/>
      <c r="H54" s="907"/>
      <c r="Q54" s="1004"/>
    </row>
    <row r="55" spans="1:17" s="906" customFormat="1">
      <c r="A55" s="1020" t="s">
        <v>829</v>
      </c>
      <c r="B55" s="906" t="s">
        <v>830</v>
      </c>
      <c r="C55" s="901">
        <v>318373</v>
      </c>
      <c r="D55" s="901">
        <v>0</v>
      </c>
      <c r="E55" s="901"/>
      <c r="F55" s="901"/>
      <c r="G55" s="901"/>
      <c r="H55" s="907"/>
      <c r="Q55" s="1004"/>
    </row>
    <row r="56" spans="1:17" s="906" customFormat="1">
      <c r="A56" s="1020" t="s">
        <v>942</v>
      </c>
      <c r="B56" s="906" t="s">
        <v>943</v>
      </c>
      <c r="C56" s="901">
        <v>436769</v>
      </c>
      <c r="D56" s="901">
        <v>0</v>
      </c>
      <c r="E56" s="901"/>
      <c r="F56" s="901"/>
      <c r="G56" s="901"/>
      <c r="H56" s="907"/>
      <c r="I56" s="933"/>
      <c r="J56" s="933"/>
      <c r="Q56" s="1004"/>
    </row>
    <row r="57" spans="1:17" s="906" customFormat="1">
      <c r="A57" s="1020" t="s">
        <v>944</v>
      </c>
      <c r="B57" s="906" t="s">
        <v>945</v>
      </c>
      <c r="C57" s="901">
        <v>156790</v>
      </c>
      <c r="D57" s="901">
        <v>0</v>
      </c>
      <c r="E57" s="901"/>
      <c r="F57" s="901"/>
      <c r="G57" s="901"/>
      <c r="H57" s="907"/>
      <c r="Q57" s="1004"/>
    </row>
    <row r="58" spans="1:17" s="906" customFormat="1">
      <c r="A58" s="1020" t="s">
        <v>946</v>
      </c>
      <c r="B58" s="906" t="s">
        <v>947</v>
      </c>
      <c r="C58" s="901">
        <v>597477</v>
      </c>
      <c r="D58" s="901">
        <v>0</v>
      </c>
      <c r="E58" s="901"/>
      <c r="F58" s="901"/>
      <c r="G58" s="901"/>
      <c r="H58" s="907"/>
      <c r="Q58" s="1004"/>
    </row>
    <row r="59" spans="1:17" s="906" customFormat="1">
      <c r="A59" s="1020" t="s">
        <v>948</v>
      </c>
      <c r="B59" s="906" t="s">
        <v>949</v>
      </c>
      <c r="C59" s="901">
        <v>403493</v>
      </c>
      <c r="D59" s="901">
        <v>0</v>
      </c>
      <c r="E59" s="901"/>
      <c r="F59" s="901"/>
      <c r="G59" s="901"/>
      <c r="H59" s="907"/>
      <c r="Q59" s="1004"/>
    </row>
    <row r="60" spans="1:17" s="906" customFormat="1">
      <c r="A60" s="1020" t="s">
        <v>950</v>
      </c>
      <c r="B60" s="906" t="s">
        <v>951</v>
      </c>
      <c r="C60" s="901">
        <v>0</v>
      </c>
      <c r="D60" s="901">
        <v>90907</v>
      </c>
      <c r="E60" s="901"/>
      <c r="F60" s="901"/>
      <c r="G60" s="901"/>
      <c r="H60" s="907"/>
      <c r="Q60" s="1004"/>
    </row>
    <row r="61" spans="1:17" s="906" customFormat="1">
      <c r="A61" s="1020" t="s">
        <v>952</v>
      </c>
      <c r="B61" s="906" t="s">
        <v>953</v>
      </c>
      <c r="C61" s="901">
        <v>688501</v>
      </c>
      <c r="D61" s="901">
        <v>0</v>
      </c>
      <c r="E61" s="901"/>
      <c r="F61" s="901"/>
      <c r="G61" s="901"/>
      <c r="H61" s="907"/>
      <c r="Q61" s="1004"/>
    </row>
    <row r="62" spans="1:17" s="906" customFormat="1">
      <c r="A62" s="1020" t="s">
        <v>954</v>
      </c>
      <c r="B62" s="906" t="s">
        <v>955</v>
      </c>
      <c r="C62" s="901">
        <v>108815</v>
      </c>
      <c r="D62" s="901">
        <v>0</v>
      </c>
      <c r="E62" s="901"/>
      <c r="F62" s="901"/>
      <c r="G62" s="901"/>
      <c r="H62" s="907"/>
      <c r="Q62" s="1004"/>
    </row>
    <row r="63" spans="1:17" s="906" customFormat="1">
      <c r="A63" s="1020" t="s">
        <v>956</v>
      </c>
      <c r="B63" s="906" t="s">
        <v>957</v>
      </c>
      <c r="C63" s="901">
        <v>297661</v>
      </c>
      <c r="D63" s="901">
        <v>0</v>
      </c>
      <c r="E63" s="901"/>
      <c r="F63" s="901"/>
      <c r="G63" s="901"/>
      <c r="H63" s="907"/>
      <c r="Q63" s="1004"/>
    </row>
    <row r="64" spans="1:17" s="906" customFormat="1">
      <c r="A64" s="1020" t="s">
        <v>958</v>
      </c>
      <c r="B64" s="906" t="s">
        <v>959</v>
      </c>
      <c r="C64" s="901">
        <v>56516</v>
      </c>
      <c r="D64" s="901">
        <v>0</v>
      </c>
      <c r="E64" s="901"/>
      <c r="F64" s="901"/>
      <c r="G64" s="901"/>
      <c r="H64" s="907"/>
      <c r="Q64" s="1004"/>
    </row>
    <row r="65" spans="1:17" s="906" customFormat="1">
      <c r="A65" s="1020" t="s">
        <v>737</v>
      </c>
      <c r="B65" s="906" t="s">
        <v>103</v>
      </c>
      <c r="C65" s="901">
        <v>116238</v>
      </c>
      <c r="D65" s="901">
        <v>0</v>
      </c>
      <c r="E65" s="901"/>
      <c r="F65" s="901"/>
      <c r="G65" s="901"/>
      <c r="H65" s="907">
        <f>ROUND((C66+C52+C54+C65-D54+C68)/1000,0)</f>
        <v>345</v>
      </c>
      <c r="I65" s="1011" t="s">
        <v>270</v>
      </c>
      <c r="Q65" s="1004"/>
    </row>
    <row r="66" spans="1:17" s="906" customFormat="1">
      <c r="A66" s="1020" t="s">
        <v>735</v>
      </c>
      <c r="B66" s="906" t="s">
        <v>736</v>
      </c>
      <c r="C66" s="901">
        <v>5000</v>
      </c>
      <c r="D66" s="901">
        <v>0</v>
      </c>
      <c r="E66" s="901"/>
      <c r="F66" s="901"/>
      <c r="G66" s="901"/>
      <c r="H66" s="907">
        <f>ROUND((C49+C50+C55+C56+C57+C58+C59-D60+C61+C62+C63+C64+C67)/1000,0)</f>
        <v>4127</v>
      </c>
      <c r="I66" s="1011" t="s">
        <v>1022</v>
      </c>
      <c r="Q66" s="1004"/>
    </row>
    <row r="67" spans="1:17" s="906" customFormat="1">
      <c r="A67" s="1020" t="s">
        <v>960</v>
      </c>
      <c r="B67" s="906" t="s">
        <v>961</v>
      </c>
      <c r="C67" s="901">
        <v>204392.49</v>
      </c>
      <c r="D67" s="901">
        <v>0</v>
      </c>
      <c r="E67" s="901"/>
      <c r="F67" s="901"/>
      <c r="G67" s="901"/>
      <c r="H67" s="907">
        <f>(SUM(C49:C68)-D60)/1000</f>
        <v>7499.7639700000009</v>
      </c>
      <c r="I67" s="934">
        <f>ROUND(H67,0)</f>
        <v>7500</v>
      </c>
      <c r="Q67" s="1004"/>
    </row>
    <row r="68" spans="1:17" s="906" customFormat="1">
      <c r="A68" s="1020" t="s">
        <v>1115</v>
      </c>
      <c r="B68" s="906" t="s">
        <v>1131</v>
      </c>
      <c r="C68" s="901">
        <v>724</v>
      </c>
      <c r="D68" s="901">
        <v>0</v>
      </c>
      <c r="E68" s="901"/>
      <c r="F68" s="901"/>
      <c r="G68" s="901"/>
      <c r="H68" s="907"/>
      <c r="I68" s="934"/>
      <c r="Q68" s="1004"/>
    </row>
    <row r="69" spans="1:17" s="906" customFormat="1">
      <c r="A69" s="910" t="s">
        <v>993</v>
      </c>
      <c r="B69" s="902"/>
      <c r="C69" s="1005">
        <v>0</v>
      </c>
      <c r="D69" s="1005">
        <v>0</v>
      </c>
      <c r="E69" s="1005"/>
      <c r="F69" s="1005"/>
      <c r="G69" s="1005"/>
      <c r="H69" s="1006"/>
      <c r="Q69" s="1004"/>
    </row>
    <row r="70" spans="1:17" s="906" customFormat="1">
      <c r="A70" s="1020" t="s">
        <v>769</v>
      </c>
      <c r="B70" s="906" t="s">
        <v>770</v>
      </c>
      <c r="C70" s="901">
        <v>0</v>
      </c>
      <c r="D70" s="901">
        <v>885233</v>
      </c>
      <c r="E70" s="901"/>
      <c r="F70" s="901"/>
      <c r="G70" s="901"/>
      <c r="H70" s="1012"/>
      <c r="I70" s="934"/>
      <c r="Q70" s="1004"/>
    </row>
    <row r="71" spans="1:17" s="906" customFormat="1">
      <c r="A71" s="1020" t="s">
        <v>767</v>
      </c>
      <c r="B71" s="906" t="s">
        <v>768</v>
      </c>
      <c r="C71" s="901">
        <v>0</v>
      </c>
      <c r="D71" s="901">
        <v>115092</v>
      </c>
      <c r="E71" s="901"/>
      <c r="F71" s="901"/>
      <c r="G71" s="901"/>
      <c r="H71" s="907">
        <f>ROUND(SUM(D70:D71)/1000,0)</f>
        <v>1000</v>
      </c>
      <c r="I71" s="934"/>
      <c r="Q71" s="1004"/>
    </row>
    <row r="72" spans="1:17" s="906" customFormat="1">
      <c r="A72" s="910" t="s">
        <v>98</v>
      </c>
      <c r="B72" s="902"/>
      <c r="C72" s="1005">
        <v>0</v>
      </c>
      <c r="D72" s="1005">
        <v>0</v>
      </c>
      <c r="E72" s="1005"/>
      <c r="F72" s="1005"/>
      <c r="G72" s="1005"/>
      <c r="H72" s="1006"/>
      <c r="Q72" s="1004"/>
    </row>
    <row r="73" spans="1:17" s="906" customFormat="1">
      <c r="A73" s="1020" t="s">
        <v>761</v>
      </c>
      <c r="B73" s="906" t="s">
        <v>762</v>
      </c>
      <c r="C73" s="901">
        <v>0</v>
      </c>
      <c r="D73" s="901">
        <v>15967564.98</v>
      </c>
      <c r="E73" s="901">
        <f t="shared" ref="E73:E78" si="0">ROUND(D73/1000,0)</f>
        <v>15968</v>
      </c>
      <c r="F73" s="912">
        <f t="shared" ref="F73:F78" si="1">D73/1000</f>
        <v>15967.564980000001</v>
      </c>
      <c r="G73" s="912"/>
      <c r="H73" s="907"/>
      <c r="I73" s="934"/>
      <c r="Q73" s="1004"/>
    </row>
    <row r="74" spans="1:17" s="906" customFormat="1">
      <c r="A74" s="1020" t="s">
        <v>763</v>
      </c>
      <c r="B74" s="906" t="s">
        <v>764</v>
      </c>
      <c r="C74" s="901">
        <v>0</v>
      </c>
      <c r="D74" s="901">
        <v>2075777.54</v>
      </c>
      <c r="E74" s="901">
        <f t="shared" si="0"/>
        <v>2076</v>
      </c>
      <c r="F74" s="912">
        <f t="shared" si="1"/>
        <v>2075.77754</v>
      </c>
      <c r="G74" s="912"/>
      <c r="H74" s="907"/>
      <c r="I74" s="934"/>
      <c r="Q74" s="1004"/>
    </row>
    <row r="75" spans="1:17" s="906" customFormat="1">
      <c r="A75" s="1020" t="s">
        <v>781</v>
      </c>
      <c r="B75" s="906" t="s">
        <v>782</v>
      </c>
      <c r="C75" s="901">
        <v>0</v>
      </c>
      <c r="D75" s="901">
        <v>328996.45</v>
      </c>
      <c r="E75" s="901">
        <f t="shared" si="0"/>
        <v>329</v>
      </c>
      <c r="F75" s="912">
        <f t="shared" si="1"/>
        <v>328.99645000000004</v>
      </c>
      <c r="G75" s="912"/>
      <c r="H75" s="907"/>
      <c r="I75" s="934"/>
      <c r="Q75" s="1004"/>
    </row>
    <row r="76" spans="1:17" s="906" customFormat="1">
      <c r="A76" s="1020" t="s">
        <v>779</v>
      </c>
      <c r="B76" s="906" t="s">
        <v>780</v>
      </c>
      <c r="C76" s="901">
        <v>0</v>
      </c>
      <c r="D76" s="901">
        <v>3441972.5</v>
      </c>
      <c r="E76" s="901">
        <f t="shared" si="0"/>
        <v>3442</v>
      </c>
      <c r="F76" s="912">
        <f t="shared" si="1"/>
        <v>3441.9724999999999</v>
      </c>
      <c r="G76" s="912"/>
      <c r="H76" s="907">
        <f>ROUND(SUM(D73:D78)/1000,0)</f>
        <v>80521</v>
      </c>
      <c r="I76" s="934"/>
      <c r="Q76" s="1004"/>
    </row>
    <row r="77" spans="1:17" s="906" customFormat="1">
      <c r="A77" s="1020" t="s">
        <v>765</v>
      </c>
      <c r="B77" s="906" t="s">
        <v>766</v>
      </c>
      <c r="C77" s="901">
        <v>0</v>
      </c>
      <c r="D77" s="901">
        <v>54773935.009999998</v>
      </c>
      <c r="E77" s="901">
        <f t="shared" si="0"/>
        <v>54774</v>
      </c>
      <c r="F77" s="912">
        <f t="shared" si="1"/>
        <v>54773.935010000001</v>
      </c>
      <c r="G77" s="912"/>
      <c r="H77" s="907"/>
      <c r="I77" s="934"/>
      <c r="Q77" s="1004"/>
    </row>
    <row r="78" spans="1:17" s="906" customFormat="1">
      <c r="A78" s="1020" t="s">
        <v>783</v>
      </c>
      <c r="B78" s="906" t="s">
        <v>784</v>
      </c>
      <c r="C78" s="901">
        <v>0</v>
      </c>
      <c r="D78" s="901">
        <v>3932683</v>
      </c>
      <c r="E78" s="901">
        <f t="shared" si="0"/>
        <v>3933</v>
      </c>
      <c r="F78" s="912">
        <f t="shared" si="1"/>
        <v>3932.683</v>
      </c>
      <c r="G78" s="912"/>
      <c r="H78" s="907"/>
      <c r="I78" s="934"/>
      <c r="Q78" s="1004"/>
    </row>
    <row r="79" spans="1:17" s="906" customFormat="1">
      <c r="A79" s="910" t="s">
        <v>774</v>
      </c>
      <c r="B79" s="902"/>
      <c r="C79" s="1005">
        <v>0</v>
      </c>
      <c r="D79" s="1005">
        <v>0</v>
      </c>
      <c r="E79" s="1005"/>
      <c r="F79" s="1005"/>
      <c r="G79" s="1005"/>
      <c r="H79" s="1006"/>
      <c r="Q79" s="1004"/>
    </row>
    <row r="80" spans="1:17" s="906" customFormat="1">
      <c r="A80" s="1020" t="s">
        <v>773</v>
      </c>
      <c r="B80" s="906" t="s">
        <v>774</v>
      </c>
      <c r="C80" s="901">
        <v>0</v>
      </c>
      <c r="D80" s="901">
        <v>4873535</v>
      </c>
      <c r="E80" s="901"/>
      <c r="F80" s="901"/>
      <c r="G80" s="901"/>
      <c r="H80" s="907">
        <f>ROUND(D80/1000,0)</f>
        <v>4874</v>
      </c>
      <c r="I80" s="934"/>
      <c r="Q80" s="1004"/>
    </row>
    <row r="81" spans="1:17" s="906" customFormat="1">
      <c r="A81" s="910" t="s">
        <v>823</v>
      </c>
      <c r="B81" s="902"/>
      <c r="C81" s="1005">
        <v>0</v>
      </c>
      <c r="D81" s="1005">
        <v>0</v>
      </c>
      <c r="E81" s="1005"/>
      <c r="F81" s="1005"/>
      <c r="G81" s="1005"/>
      <c r="H81" s="1006"/>
      <c r="Q81" s="1004"/>
    </row>
    <row r="82" spans="1:17" s="906" customFormat="1">
      <c r="A82" s="1020" t="s">
        <v>822</v>
      </c>
      <c r="B82" s="906" t="s">
        <v>823</v>
      </c>
      <c r="C82" s="901">
        <v>0</v>
      </c>
      <c r="D82" s="901">
        <v>75828942.650000006</v>
      </c>
      <c r="E82" s="901"/>
      <c r="F82" s="901"/>
      <c r="G82" s="901"/>
      <c r="H82" s="907">
        <f>ROUND(D82/1000,0)</f>
        <v>75829</v>
      </c>
      <c r="I82" s="934"/>
      <c r="Q82" s="1004"/>
    </row>
    <row r="83" spans="1:17" s="906" customFormat="1">
      <c r="A83" s="910" t="s">
        <v>166</v>
      </c>
      <c r="B83" s="902"/>
      <c r="C83" s="1005">
        <v>0</v>
      </c>
      <c r="D83" s="1005">
        <v>0</v>
      </c>
      <c r="E83" s="1005"/>
      <c r="F83" s="1005"/>
      <c r="G83" s="1005"/>
      <c r="H83" s="1006"/>
      <c r="Q83" s="1004"/>
    </row>
    <row r="84" spans="1:17" s="906" customFormat="1">
      <c r="A84" s="1020" t="s">
        <v>785</v>
      </c>
      <c r="B84" s="906" t="s">
        <v>166</v>
      </c>
      <c r="C84" s="901">
        <v>0</v>
      </c>
      <c r="D84" s="901">
        <v>385570</v>
      </c>
      <c r="E84" s="901"/>
      <c r="F84" s="901"/>
      <c r="G84" s="901"/>
      <c r="H84" s="907">
        <f>ROUND(D84/1000,0)</f>
        <v>386</v>
      </c>
      <c r="I84" s="934"/>
      <c r="Q84" s="1004"/>
    </row>
    <row r="85" spans="1:17" s="906" customFormat="1">
      <c r="A85" s="910" t="s">
        <v>995</v>
      </c>
      <c r="B85" s="902"/>
      <c r="C85" s="1005">
        <v>0</v>
      </c>
      <c r="D85" s="1005">
        <v>0</v>
      </c>
      <c r="E85" s="1005"/>
      <c r="F85" s="1005"/>
      <c r="G85" s="1005"/>
      <c r="H85" s="1006"/>
      <c r="Q85" s="1004"/>
    </row>
    <row r="86" spans="1:17" s="906" customFormat="1">
      <c r="A86" s="1020" t="s">
        <v>775</v>
      </c>
      <c r="B86" s="906" t="s">
        <v>776</v>
      </c>
      <c r="C86" s="901">
        <v>0</v>
      </c>
      <c r="D86" s="901">
        <v>57875077.630000003</v>
      </c>
      <c r="E86" s="901">
        <f>ROUND(D86/1000,0)</f>
        <v>57875</v>
      </c>
      <c r="F86" s="912"/>
      <c r="G86" s="912"/>
      <c r="H86" s="907"/>
      <c r="I86" s="934"/>
      <c r="Q86" s="1004"/>
    </row>
    <row r="87" spans="1:17" s="906" customFormat="1">
      <c r="A87" s="1020" t="s">
        <v>786</v>
      </c>
      <c r="B87" s="906" t="s">
        <v>787</v>
      </c>
      <c r="C87" s="901">
        <v>0</v>
      </c>
      <c r="D87" s="901">
        <v>41388.300000000003</v>
      </c>
      <c r="E87" s="901"/>
      <c r="F87" s="901"/>
      <c r="G87" s="901"/>
      <c r="H87" s="907"/>
      <c r="I87" s="934"/>
      <c r="Q87" s="1004"/>
    </row>
    <row r="88" spans="1:17" s="906" customFormat="1">
      <c r="A88" s="1020" t="s">
        <v>788</v>
      </c>
      <c r="B88" s="906" t="s">
        <v>789</v>
      </c>
      <c r="C88" s="901">
        <v>0</v>
      </c>
      <c r="D88" s="901">
        <v>132770</v>
      </c>
      <c r="E88" s="901"/>
      <c r="F88" s="901"/>
      <c r="G88" s="901"/>
      <c r="H88" s="907"/>
      <c r="I88" s="934"/>
      <c r="Q88" s="1004"/>
    </row>
    <row r="89" spans="1:17" s="906" customFormat="1">
      <c r="A89" s="1020" t="s">
        <v>790</v>
      </c>
      <c r="B89" s="906" t="s">
        <v>791</v>
      </c>
      <c r="C89" s="901">
        <v>0</v>
      </c>
      <c r="D89" s="901">
        <v>138632</v>
      </c>
      <c r="E89" s="901"/>
      <c r="F89" s="901"/>
      <c r="G89" s="901"/>
      <c r="H89" s="907"/>
      <c r="I89" s="934"/>
      <c r="Q89" s="1004"/>
    </row>
    <row r="90" spans="1:17" s="906" customFormat="1">
      <c r="A90" s="1020" t="s">
        <v>792</v>
      </c>
      <c r="B90" s="906" t="s">
        <v>793</v>
      </c>
      <c r="C90" s="901">
        <v>0</v>
      </c>
      <c r="D90" s="901">
        <v>326711</v>
      </c>
      <c r="E90" s="901"/>
      <c r="F90" s="901"/>
      <c r="G90" s="901"/>
      <c r="H90" s="907"/>
      <c r="I90" s="934"/>
      <c r="Q90" s="1004"/>
    </row>
    <row r="91" spans="1:17" s="906" customFormat="1">
      <c r="A91" s="1020" t="s">
        <v>794</v>
      </c>
      <c r="B91" s="906" t="s">
        <v>795</v>
      </c>
      <c r="C91" s="901">
        <v>0</v>
      </c>
      <c r="D91" s="901">
        <v>569947</v>
      </c>
      <c r="E91" s="901"/>
      <c r="F91" s="901"/>
      <c r="G91" s="901"/>
      <c r="H91" s="907"/>
      <c r="I91" s="934"/>
      <c r="Q91" s="1004"/>
    </row>
    <row r="92" spans="1:17" s="906" customFormat="1">
      <c r="A92" s="1020" t="s">
        <v>796</v>
      </c>
      <c r="B92" s="906" t="s">
        <v>797</v>
      </c>
      <c r="C92" s="901">
        <v>0</v>
      </c>
      <c r="D92" s="901">
        <v>1495257</v>
      </c>
      <c r="E92" s="901"/>
      <c r="F92" s="901"/>
      <c r="G92" s="901"/>
      <c r="H92" s="907"/>
      <c r="I92" s="934"/>
      <c r="Q92" s="1004"/>
    </row>
    <row r="93" spans="1:17" s="906" customFormat="1">
      <c r="A93" s="1020" t="s">
        <v>798</v>
      </c>
      <c r="B93" s="906" t="s">
        <v>799</v>
      </c>
      <c r="C93" s="901">
        <v>0</v>
      </c>
      <c r="D93" s="901">
        <v>2250622</v>
      </c>
      <c r="E93" s="901"/>
      <c r="F93" s="901"/>
      <c r="G93" s="901"/>
      <c r="H93" s="907"/>
      <c r="I93" s="934"/>
      <c r="Q93" s="1004"/>
    </row>
    <row r="94" spans="1:17" s="906" customFormat="1">
      <c r="A94" s="1020" t="s">
        <v>800</v>
      </c>
      <c r="B94" s="906" t="s">
        <v>801</v>
      </c>
      <c r="C94" s="901">
        <v>0</v>
      </c>
      <c r="D94" s="901">
        <v>1695204</v>
      </c>
      <c r="E94" s="901"/>
      <c r="F94" s="901"/>
      <c r="G94" s="901"/>
      <c r="H94" s="907"/>
      <c r="I94" s="934"/>
      <c r="Q94" s="1004"/>
    </row>
    <row r="95" spans="1:17" s="906" customFormat="1">
      <c r="A95" s="1020" t="s">
        <v>802</v>
      </c>
      <c r="B95" s="906" t="s">
        <v>803</v>
      </c>
      <c r="C95" s="901">
        <v>0</v>
      </c>
      <c r="D95" s="901">
        <v>1413295</v>
      </c>
      <c r="E95" s="901"/>
      <c r="F95" s="901"/>
      <c r="G95" s="901"/>
      <c r="H95" s="907"/>
      <c r="I95" s="934"/>
      <c r="Q95" s="1004"/>
    </row>
    <row r="96" spans="1:17" s="906" customFormat="1">
      <c r="A96" s="1020" t="s">
        <v>804</v>
      </c>
      <c r="B96" s="906" t="s">
        <v>805</v>
      </c>
      <c r="C96" s="901">
        <v>0</v>
      </c>
      <c r="D96" s="901">
        <v>1773960</v>
      </c>
      <c r="E96" s="901"/>
      <c r="F96" s="901">
        <f>ROUND(SUM(D87:D96)/1000,0)</f>
        <v>9838</v>
      </c>
      <c r="G96" s="901"/>
      <c r="H96" s="907"/>
      <c r="I96" s="934"/>
      <c r="Q96" s="1004"/>
    </row>
    <row r="97" spans="1:17" s="906" customFormat="1">
      <c r="A97" s="1020" t="s">
        <v>806</v>
      </c>
      <c r="B97" s="906" t="s">
        <v>807</v>
      </c>
      <c r="C97" s="901">
        <v>0</v>
      </c>
      <c r="D97" s="901">
        <v>6824313.29</v>
      </c>
      <c r="E97" s="901">
        <f>ROUND(D97/1000,0)</f>
        <v>6824</v>
      </c>
      <c r="F97" s="901"/>
      <c r="G97" s="901"/>
      <c r="H97" s="907"/>
      <c r="I97" s="934"/>
      <c r="Q97" s="1004"/>
    </row>
    <row r="98" spans="1:17" s="906" customFormat="1">
      <c r="A98" s="1020" t="s">
        <v>824</v>
      </c>
      <c r="B98" s="906" t="s">
        <v>101</v>
      </c>
      <c r="C98" s="901">
        <v>0</v>
      </c>
      <c r="D98" s="901">
        <v>460184.92</v>
      </c>
      <c r="E98" s="901">
        <f>ROUND(D98/1000,0)</f>
        <v>460</v>
      </c>
      <c r="F98" s="901"/>
      <c r="G98" s="901"/>
      <c r="H98" s="907"/>
      <c r="I98" s="934"/>
      <c r="Q98" s="1004"/>
    </row>
    <row r="99" spans="1:17" s="906" customFormat="1">
      <c r="A99" s="1020" t="s">
        <v>812</v>
      </c>
      <c r="B99" s="906" t="s">
        <v>813</v>
      </c>
      <c r="C99" s="901">
        <v>0</v>
      </c>
      <c r="D99" s="901">
        <v>1200794.3799999999</v>
      </c>
      <c r="E99" s="901">
        <f>ROUND(D99/1000,0)</f>
        <v>1201</v>
      </c>
      <c r="F99" s="901"/>
      <c r="G99" s="901"/>
      <c r="H99" s="907"/>
      <c r="I99" s="934"/>
      <c r="Q99" s="1004"/>
    </row>
    <row r="100" spans="1:17" s="906" customFormat="1">
      <c r="A100" s="1020" t="s">
        <v>777</v>
      </c>
      <c r="B100" s="906" t="s">
        <v>778</v>
      </c>
      <c r="C100" s="901">
        <v>0</v>
      </c>
      <c r="D100" s="901">
        <v>90347.58</v>
      </c>
      <c r="E100" s="901">
        <f>ROUND(D100/1000,0)</f>
        <v>90</v>
      </c>
      <c r="F100" s="901"/>
      <c r="G100" s="901"/>
      <c r="H100" s="907"/>
      <c r="I100" s="934"/>
      <c r="Q100" s="1004"/>
    </row>
    <row r="101" spans="1:17" s="906" customFormat="1">
      <c r="A101" s="1020" t="s">
        <v>820</v>
      </c>
      <c r="B101" s="906" t="s">
        <v>821</v>
      </c>
      <c r="C101" s="901">
        <v>0</v>
      </c>
      <c r="D101" s="901">
        <v>921.78</v>
      </c>
      <c r="E101" s="901">
        <f>ROUND(D101/1000,0)</f>
        <v>1</v>
      </c>
      <c r="F101" s="901"/>
      <c r="G101" s="901"/>
      <c r="H101" s="907"/>
      <c r="I101" s="934"/>
      <c r="Q101" s="1004"/>
    </row>
    <row r="102" spans="1:17" s="906" customFormat="1">
      <c r="A102" s="1020" t="s">
        <v>818</v>
      </c>
      <c r="B102" s="906" t="s">
        <v>819</v>
      </c>
      <c r="C102" s="901">
        <v>0</v>
      </c>
      <c r="D102" s="901">
        <v>189313.5</v>
      </c>
      <c r="E102" s="901">
        <f>ROUND(SUM(D102:D103)/1000,0)</f>
        <v>194</v>
      </c>
      <c r="F102" s="901"/>
      <c r="G102" s="901"/>
      <c r="H102" s="907"/>
      <c r="I102" s="934"/>
      <c r="Q102" s="1004"/>
    </row>
    <row r="103" spans="1:17" s="906" customFormat="1">
      <c r="A103" s="1020" t="s">
        <v>771</v>
      </c>
      <c r="B103" s="906" t="s">
        <v>772</v>
      </c>
      <c r="C103" s="901">
        <v>0</v>
      </c>
      <c r="D103" s="901">
        <v>4667</v>
      </c>
      <c r="E103" s="901">
        <v>2000</v>
      </c>
      <c r="F103" s="901">
        <f>(D102+D103)/1000</f>
        <v>193.98050000000001</v>
      </c>
      <c r="G103" s="901"/>
      <c r="H103" s="907">
        <f>ROUND(SUM(D86:D102,F103)/1000,0)</f>
        <v>76479</v>
      </c>
      <c r="I103" s="934"/>
      <c r="Q103" s="1004"/>
    </row>
    <row r="104" spans="1:17" s="906" customFormat="1">
      <c r="A104" s="1020" t="s">
        <v>1116</v>
      </c>
      <c r="B104" s="906" t="s">
        <v>1132</v>
      </c>
      <c r="C104" s="901">
        <v>0</v>
      </c>
      <c r="D104" s="901">
        <v>9687819.9800000004</v>
      </c>
      <c r="E104" s="901">
        <f>ROUND(SUM(D104)/1000,0)</f>
        <v>9688</v>
      </c>
      <c r="F104" s="901"/>
      <c r="G104" s="901"/>
      <c r="H104" s="907"/>
      <c r="I104" s="934"/>
      <c r="Q104" s="1004"/>
    </row>
    <row r="105" spans="1:17" s="906" customFormat="1">
      <c r="A105" s="910" t="s">
        <v>996</v>
      </c>
      <c r="B105" s="902"/>
      <c r="C105" s="1005">
        <v>0</v>
      </c>
      <c r="D105" s="1005">
        <v>0</v>
      </c>
      <c r="E105" s="1005"/>
      <c r="F105" s="1005"/>
      <c r="G105" s="1005"/>
      <c r="H105" s="1006"/>
      <c r="L105" s="934">
        <v>122828</v>
      </c>
      <c r="M105" s="936">
        <f>ROUND(1034337045/1000,0)-35</f>
        <v>1034302</v>
      </c>
      <c r="N105" s="932">
        <f>M105-N106</f>
        <v>1034302</v>
      </c>
      <c r="O105" s="906">
        <f>ROUND(1392275830.68971/1000,0)</f>
        <v>1392276</v>
      </c>
      <c r="Q105" s="1004"/>
    </row>
    <row r="106" spans="1:17">
      <c r="A106" s="1020" t="s">
        <v>846</v>
      </c>
      <c r="B106" s="906" t="s">
        <v>847</v>
      </c>
      <c r="C106" s="901">
        <v>619700189.84000003</v>
      </c>
      <c r="D106" s="901">
        <v>0</v>
      </c>
      <c r="E106" s="912">
        <f>-SUM(C106:C128)+SUM(D106:D129)</f>
        <v>-726971518.90999997</v>
      </c>
      <c r="F106" s="901"/>
      <c r="G106" s="901"/>
      <c r="H106" s="903"/>
      <c r="I106" s="908"/>
      <c r="J106" s="908"/>
      <c r="K106" s="900"/>
      <c r="M106" s="931"/>
      <c r="N106" s="931">
        <f>ROUND(D106/1000,0)</f>
        <v>0</v>
      </c>
      <c r="Q106" s="1004"/>
    </row>
    <row r="107" spans="1:17">
      <c r="A107" s="1020" t="s">
        <v>856</v>
      </c>
      <c r="B107" s="906" t="s">
        <v>857</v>
      </c>
      <c r="C107" s="901">
        <v>0</v>
      </c>
      <c r="D107" s="901">
        <v>551564.89</v>
      </c>
      <c r="E107" s="901"/>
      <c r="F107" s="912">
        <f>(D106-C107)/1000</f>
        <v>0</v>
      </c>
      <c r="G107" s="912"/>
      <c r="H107" s="908">
        <f>ROUND((-C106+D107)/1000,0)</f>
        <v>-619149</v>
      </c>
      <c r="I107" s="908"/>
      <c r="K107" s="900"/>
      <c r="L107" s="908"/>
      <c r="M107" s="900"/>
      <c r="N107" s="900"/>
      <c r="Q107" s="1004"/>
    </row>
    <row r="108" spans="1:17" s="906" customFormat="1">
      <c r="A108" s="910" t="s">
        <v>996</v>
      </c>
      <c r="B108" s="902"/>
      <c r="C108" s="1005">
        <v>0</v>
      </c>
      <c r="D108" s="1005">
        <v>0</v>
      </c>
      <c r="E108" s="1005"/>
      <c r="F108" s="1005"/>
      <c r="G108" s="1005"/>
      <c r="H108" s="1006"/>
      <c r="L108" s="933"/>
      <c r="Q108" s="1004"/>
    </row>
    <row r="109" spans="1:17" s="906" customFormat="1">
      <c r="A109" s="1020" t="s">
        <v>907</v>
      </c>
      <c r="B109" s="906" t="s">
        <v>143</v>
      </c>
      <c r="C109" s="901">
        <v>0</v>
      </c>
      <c r="D109" s="901">
        <v>220086486</v>
      </c>
      <c r="E109" s="901"/>
      <c r="F109" s="901"/>
      <c r="G109" s="901"/>
      <c r="H109" s="907">
        <f>ROUNDDOWN(D109/1000,0)</f>
        <v>220086</v>
      </c>
      <c r="Q109" s="1004"/>
    </row>
    <row r="110" spans="1:17" s="906" customFormat="1">
      <c r="A110" s="910" t="s">
        <v>997</v>
      </c>
      <c r="B110" s="902"/>
      <c r="C110" s="1005">
        <v>0</v>
      </c>
      <c r="D110" s="1005">
        <v>0</v>
      </c>
      <c r="E110" s="1005"/>
      <c r="F110" s="1005"/>
      <c r="G110" s="1005"/>
      <c r="H110" s="1006"/>
      <c r="Q110" s="1004"/>
    </row>
    <row r="111" spans="1:17" s="906" customFormat="1">
      <c r="A111" s="1020" t="s">
        <v>860</v>
      </c>
      <c r="B111" s="906" t="s">
        <v>861</v>
      </c>
      <c r="C111" s="901">
        <v>0</v>
      </c>
      <c r="D111" s="901">
        <v>18106040.77</v>
      </c>
      <c r="E111" s="901"/>
      <c r="F111" s="901"/>
      <c r="G111" s="901"/>
      <c r="H111" s="907">
        <f>ROUNDUP(D111/1000,0)</f>
        <v>18107</v>
      </c>
      <c r="Q111" s="1004"/>
    </row>
    <row r="112" spans="1:17" s="906" customFormat="1">
      <c r="A112" s="910" t="s">
        <v>998</v>
      </c>
      <c r="B112" s="902"/>
      <c r="C112" s="1005">
        <v>0</v>
      </c>
      <c r="D112" s="1005">
        <v>0</v>
      </c>
      <c r="E112" s="1005"/>
      <c r="F112" s="1005"/>
      <c r="G112" s="1005"/>
      <c r="H112" s="1006"/>
      <c r="Q112" s="1004"/>
    </row>
    <row r="113" spans="1:17" s="906" customFormat="1">
      <c r="A113" s="1020" t="s">
        <v>889</v>
      </c>
      <c r="B113" s="906" t="s">
        <v>890</v>
      </c>
      <c r="C113" s="901">
        <v>0</v>
      </c>
      <c r="D113" s="901">
        <v>13567301</v>
      </c>
      <c r="E113" s="901"/>
      <c r="F113" s="901"/>
      <c r="G113" s="901"/>
      <c r="H113" s="907"/>
      <c r="Q113" s="1004"/>
    </row>
    <row r="114" spans="1:17" s="906" customFormat="1">
      <c r="A114" s="1020" t="s">
        <v>891</v>
      </c>
      <c r="B114" s="906" t="s">
        <v>892</v>
      </c>
      <c r="C114" s="901">
        <v>0</v>
      </c>
      <c r="D114" s="901">
        <v>160802</v>
      </c>
      <c r="E114" s="901"/>
      <c r="F114" s="901"/>
      <c r="G114" s="901"/>
      <c r="H114" s="907"/>
      <c r="Q114" s="1004"/>
    </row>
    <row r="115" spans="1:17" s="906" customFormat="1">
      <c r="A115" s="1020" t="s">
        <v>893</v>
      </c>
      <c r="B115" s="906" t="s">
        <v>894</v>
      </c>
      <c r="C115" s="901">
        <v>0</v>
      </c>
      <c r="D115" s="901">
        <v>5635785</v>
      </c>
      <c r="E115" s="901"/>
      <c r="F115" s="901"/>
      <c r="G115" s="901"/>
      <c r="H115" s="907"/>
      <c r="Q115" s="1004"/>
    </row>
    <row r="116" spans="1:17" s="906" customFormat="1">
      <c r="A116" s="1020" t="s">
        <v>895</v>
      </c>
      <c r="B116" s="906" t="s">
        <v>896</v>
      </c>
      <c r="C116" s="901">
        <v>0</v>
      </c>
      <c r="D116" s="901">
        <v>315952</v>
      </c>
      <c r="E116" s="901"/>
      <c r="F116" s="901"/>
      <c r="G116" s="901"/>
      <c r="H116" s="907"/>
      <c r="Q116" s="1004"/>
    </row>
    <row r="117" spans="1:17" s="906" customFormat="1">
      <c r="A117" s="1020" t="s">
        <v>897</v>
      </c>
      <c r="B117" s="906" t="s">
        <v>898</v>
      </c>
      <c r="C117" s="901">
        <v>0</v>
      </c>
      <c r="D117" s="901">
        <v>53</v>
      </c>
      <c r="E117" s="901"/>
      <c r="F117" s="901"/>
      <c r="G117" s="901"/>
      <c r="H117" s="907"/>
      <c r="Q117" s="1004"/>
    </row>
    <row r="118" spans="1:17" s="906" customFormat="1">
      <c r="A118" s="1020" t="s">
        <v>899</v>
      </c>
      <c r="B118" s="906" t="s">
        <v>900</v>
      </c>
      <c r="C118" s="901">
        <v>0</v>
      </c>
      <c r="D118" s="901">
        <v>33791</v>
      </c>
      <c r="E118" s="901"/>
      <c r="F118" s="901"/>
      <c r="G118" s="901"/>
      <c r="H118" s="907">
        <f>SUM(D113:D123)</f>
        <v>27076366.57</v>
      </c>
      <c r="Q118" s="1004"/>
    </row>
    <row r="119" spans="1:17" s="906" customFormat="1">
      <c r="A119" s="1020" t="s">
        <v>901</v>
      </c>
      <c r="B119" s="906" t="s">
        <v>902</v>
      </c>
      <c r="C119" s="901">
        <v>0</v>
      </c>
      <c r="D119" s="901">
        <v>73266</v>
      </c>
      <c r="E119" s="901"/>
      <c r="F119" s="901"/>
      <c r="G119" s="901"/>
      <c r="H119" s="907">
        <f>ROUNDDOWN(SUM(D113:D123)/1000,0)</f>
        <v>27076</v>
      </c>
      <c r="J119" s="933">
        <f>SUM(D113:D122)</f>
        <v>27051104.57</v>
      </c>
      <c r="Q119" s="1004"/>
    </row>
    <row r="120" spans="1:17" s="906" customFormat="1">
      <c r="A120" s="1020" t="s">
        <v>1117</v>
      </c>
      <c r="B120" s="906" t="s">
        <v>1133</v>
      </c>
      <c r="C120" s="901">
        <v>0</v>
      </c>
      <c r="D120" s="901">
        <v>17.28</v>
      </c>
      <c r="E120" s="901"/>
      <c r="F120" s="901"/>
      <c r="G120" s="901"/>
      <c r="H120" s="907"/>
      <c r="Q120" s="1004"/>
    </row>
    <row r="121" spans="1:17" s="906" customFormat="1">
      <c r="A121" s="1020" t="s">
        <v>1118</v>
      </c>
      <c r="B121" s="906" t="s">
        <v>1134</v>
      </c>
      <c r="C121" s="901">
        <v>0</v>
      </c>
      <c r="D121" s="901">
        <v>7263671</v>
      </c>
      <c r="E121" s="901"/>
      <c r="F121" s="901"/>
      <c r="G121" s="901"/>
      <c r="H121" s="907"/>
      <c r="Q121" s="1004"/>
    </row>
    <row r="122" spans="1:17" s="906" customFormat="1">
      <c r="A122" s="1020" t="s">
        <v>1119</v>
      </c>
      <c r="B122" s="906" t="s">
        <v>1135</v>
      </c>
      <c r="C122" s="901">
        <v>0</v>
      </c>
      <c r="D122" s="901">
        <v>466.29</v>
      </c>
      <c r="E122" s="901"/>
      <c r="F122" s="901"/>
      <c r="G122" s="901"/>
      <c r="H122" s="907"/>
      <c r="Q122" s="1004"/>
    </row>
    <row r="123" spans="1:17" s="906" customFormat="1">
      <c r="A123" s="1020" t="s">
        <v>1146</v>
      </c>
      <c r="B123" s="1017" t="s">
        <v>1147</v>
      </c>
      <c r="C123" s="901">
        <v>0</v>
      </c>
      <c r="D123" s="901">
        <v>25262</v>
      </c>
      <c r="E123" s="901"/>
      <c r="F123" s="901"/>
      <c r="G123" s="901"/>
      <c r="H123" s="907"/>
      <c r="Q123" s="1004"/>
    </row>
    <row r="124" spans="1:17">
      <c r="A124" s="910" t="s">
        <v>1136</v>
      </c>
      <c r="B124" s="902"/>
      <c r="C124" s="1005">
        <v>0</v>
      </c>
      <c r="D124" s="1005">
        <v>0</v>
      </c>
      <c r="E124" s="1005"/>
      <c r="F124" s="1005"/>
      <c r="G124" s="1005"/>
      <c r="H124" s="1006"/>
      <c r="Q124" s="1004"/>
    </row>
    <row r="125" spans="1:17">
      <c r="A125" s="899" t="s">
        <v>1120</v>
      </c>
      <c r="B125" s="906" t="s">
        <v>1136</v>
      </c>
      <c r="C125" s="901">
        <v>0</v>
      </c>
      <c r="D125" s="901">
        <v>618.66</v>
      </c>
      <c r="E125" s="901"/>
      <c r="F125" s="912">
        <f>ROUNDDOWN(D125/1000,0)</f>
        <v>0</v>
      </c>
      <c r="G125" s="912"/>
      <c r="H125" s="907"/>
      <c r="Q125" s="1004"/>
    </row>
    <row r="126" spans="1:17" s="906" customFormat="1">
      <c r="A126" s="910" t="s">
        <v>1020</v>
      </c>
      <c r="B126" s="902"/>
      <c r="C126" s="1005">
        <v>0</v>
      </c>
      <c r="D126" s="1005">
        <v>0</v>
      </c>
      <c r="E126" s="1005"/>
      <c r="F126" s="1005"/>
      <c r="G126" s="1005"/>
      <c r="H126" s="1006"/>
      <c r="Q126" s="1004"/>
    </row>
    <row r="127" spans="1:17">
      <c r="A127" s="1020" t="s">
        <v>848</v>
      </c>
      <c r="B127" s="906" t="s">
        <v>849</v>
      </c>
      <c r="C127" s="901">
        <v>373092427.95999998</v>
      </c>
      <c r="D127" s="901">
        <v>0</v>
      </c>
      <c r="E127" s="901"/>
      <c r="F127" s="901"/>
      <c r="G127" s="901"/>
      <c r="H127" s="907"/>
      <c r="Q127" s="1004"/>
    </row>
    <row r="128" spans="1:17">
      <c r="A128" s="1020" t="s">
        <v>858</v>
      </c>
      <c r="B128" s="906" t="s">
        <v>859</v>
      </c>
      <c r="C128" s="901">
        <v>0</v>
      </c>
      <c r="D128" s="901">
        <v>22</v>
      </c>
      <c r="E128" s="901"/>
      <c r="F128" s="901"/>
      <c r="G128" s="901"/>
      <c r="H128" s="907">
        <f>(-SUM(C127:C128)+SUM(D127:D128))/1000</f>
        <v>-373092.40596</v>
      </c>
      <c r="Q128" s="1004"/>
    </row>
    <row r="129" spans="1:17">
      <c r="A129" s="1020" t="s">
        <v>1148</v>
      </c>
      <c r="B129" s="1017" t="s">
        <v>1149</v>
      </c>
      <c r="C129" s="901">
        <v>75068730</v>
      </c>
      <c r="D129" s="901">
        <v>0</v>
      </c>
      <c r="E129" s="901"/>
      <c r="F129" s="901">
        <f>C129</f>
        <v>75068730</v>
      </c>
      <c r="G129" s="901"/>
      <c r="H129" s="907">
        <f>ROUND(F129/1000,0)</f>
        <v>75069</v>
      </c>
      <c r="Q129" s="1004"/>
    </row>
    <row r="130" spans="1:17" s="906" customFormat="1">
      <c r="A130" s="910" t="s">
        <v>60</v>
      </c>
      <c r="B130" s="902"/>
      <c r="C130" s="1005">
        <v>0</v>
      </c>
      <c r="D130" s="1005">
        <v>0</v>
      </c>
      <c r="E130" s="1005"/>
      <c r="F130" s="1005"/>
      <c r="G130" s="1005"/>
      <c r="H130" s="1006"/>
      <c r="Q130" s="1004"/>
    </row>
    <row r="131" spans="1:17" s="906" customFormat="1">
      <c r="A131" s="1020" t="s">
        <v>866</v>
      </c>
      <c r="B131" s="906" t="s">
        <v>92</v>
      </c>
      <c r="C131" s="901">
        <v>102598161</v>
      </c>
      <c r="D131" s="901">
        <v>0</v>
      </c>
      <c r="E131" s="901"/>
      <c r="F131" s="901"/>
      <c r="G131" s="901"/>
      <c r="H131" s="907">
        <f>ROUND(C131/1000,0)</f>
        <v>102598</v>
      </c>
      <c r="I131" s="933">
        <f>SUM(C131:C156)-D154</f>
        <v>181113879.26000002</v>
      </c>
      <c r="Q131" s="1004"/>
    </row>
    <row r="132" spans="1:17" s="906" customFormat="1">
      <c r="A132" s="1020" t="s">
        <v>867</v>
      </c>
      <c r="B132" s="906" t="s">
        <v>868</v>
      </c>
      <c r="C132" s="901">
        <v>13337750.93</v>
      </c>
      <c r="D132" s="901">
        <v>0</v>
      </c>
      <c r="E132" s="901"/>
      <c r="F132" s="901"/>
      <c r="G132" s="901"/>
      <c r="H132" s="907">
        <f>ROUND(C132/1000,0)</f>
        <v>13338</v>
      </c>
      <c r="Q132" s="1004"/>
    </row>
    <row r="133" spans="1:17" s="906" customFormat="1">
      <c r="A133" s="1020" t="s">
        <v>869</v>
      </c>
      <c r="B133" s="906" t="s">
        <v>91</v>
      </c>
      <c r="C133" s="901">
        <v>5634435</v>
      </c>
      <c r="D133" s="901">
        <v>0</v>
      </c>
      <c r="E133" s="901"/>
      <c r="F133" s="901"/>
      <c r="G133" s="901"/>
      <c r="H133" s="907">
        <f>ROUND(C133/1000,0)</f>
        <v>5634</v>
      </c>
      <c r="Q133" s="1004"/>
    </row>
    <row r="134" spans="1:17" s="906" customFormat="1">
      <c r="A134" s="1020" t="s">
        <v>870</v>
      </c>
      <c r="B134" s="906" t="s">
        <v>871</v>
      </c>
      <c r="C134" s="901">
        <v>732477</v>
      </c>
      <c r="D134" s="901">
        <v>0</v>
      </c>
      <c r="E134" s="901"/>
      <c r="F134" s="901"/>
      <c r="G134" s="901"/>
      <c r="H134" s="907">
        <f>ROUND(C134/1000,0)</f>
        <v>732</v>
      </c>
      <c r="Q134" s="1004"/>
    </row>
    <row r="135" spans="1:17" s="906" customFormat="1">
      <c r="A135" s="1020" t="s">
        <v>872</v>
      </c>
      <c r="B135" s="906" t="s">
        <v>87</v>
      </c>
      <c r="C135" s="901">
        <v>4873560</v>
      </c>
      <c r="D135" s="901">
        <v>0</v>
      </c>
      <c r="E135" s="901"/>
      <c r="F135" s="901"/>
      <c r="G135" s="901"/>
      <c r="H135" s="907">
        <f>ROUND(C135/1000,0)</f>
        <v>4874</v>
      </c>
      <c r="Q135" s="1004"/>
    </row>
    <row r="136" spans="1:17" s="906" customFormat="1">
      <c r="A136" s="1020" t="s">
        <v>873</v>
      </c>
      <c r="B136" s="906" t="s">
        <v>874</v>
      </c>
      <c r="C136" s="901">
        <v>5129713.32</v>
      </c>
      <c r="D136" s="901">
        <v>0</v>
      </c>
      <c r="E136" s="901"/>
      <c r="F136" s="901"/>
      <c r="G136" s="901"/>
      <c r="H136" s="907"/>
      <c r="Q136" s="1004"/>
    </row>
    <row r="137" spans="1:17" s="906" customFormat="1">
      <c r="A137" s="1020" t="s">
        <v>875</v>
      </c>
      <c r="B137" s="906" t="s">
        <v>876</v>
      </c>
      <c r="C137" s="901">
        <v>666862</v>
      </c>
      <c r="D137" s="901">
        <v>0</v>
      </c>
      <c r="E137" s="901"/>
      <c r="F137" s="901"/>
      <c r="G137" s="901"/>
      <c r="H137" s="907">
        <f>ROUND(SUM(C136:C137)/1000,0)</f>
        <v>5797</v>
      </c>
      <c r="Q137" s="1004"/>
    </row>
    <row r="138" spans="1:17" s="906" customFormat="1">
      <c r="A138" s="1020" t="s">
        <v>862</v>
      </c>
      <c r="B138" s="906" t="s">
        <v>863</v>
      </c>
      <c r="C138" s="901">
        <v>530652.27</v>
      </c>
      <c r="D138" s="901">
        <v>0</v>
      </c>
      <c r="E138" s="901"/>
      <c r="F138" s="901"/>
      <c r="G138" s="901"/>
      <c r="H138" s="907"/>
      <c r="Q138" s="1004"/>
    </row>
    <row r="139" spans="1:17" s="906" customFormat="1">
      <c r="A139" s="1020" t="s">
        <v>864</v>
      </c>
      <c r="B139" s="906" t="s">
        <v>865</v>
      </c>
      <c r="C139" s="901">
        <v>9272.0400000000009</v>
      </c>
      <c r="D139" s="901">
        <v>0</v>
      </c>
      <c r="E139" s="901"/>
      <c r="F139" s="901"/>
      <c r="G139" s="901"/>
      <c r="H139" s="907">
        <f>ROUND(SUM(C138:C139)/1000,0)</f>
        <v>540</v>
      </c>
      <c r="Q139" s="1004"/>
    </row>
    <row r="140" spans="1:17" s="906" customFormat="1">
      <c r="A140" s="1020" t="s">
        <v>755</v>
      </c>
      <c r="B140" s="906" t="s">
        <v>756</v>
      </c>
      <c r="C140" s="901">
        <v>24721642.890000001</v>
      </c>
      <c r="D140" s="901">
        <v>0</v>
      </c>
      <c r="E140" s="901"/>
      <c r="F140" s="901"/>
      <c r="G140" s="901"/>
      <c r="H140" s="907"/>
      <c r="Q140" s="1004"/>
    </row>
    <row r="141" spans="1:17" s="906" customFormat="1">
      <c r="A141" s="1020" t="s">
        <v>757</v>
      </c>
      <c r="B141" s="906" t="s">
        <v>758</v>
      </c>
      <c r="C141" s="901">
        <v>106176</v>
      </c>
      <c r="D141" s="901">
        <v>0</v>
      </c>
      <c r="E141" s="901"/>
      <c r="F141" s="901"/>
      <c r="G141" s="901"/>
      <c r="H141" s="907">
        <f>ROUND(SUM(C140:C141)/1000,0)</f>
        <v>24828</v>
      </c>
      <c r="Q141" s="1004"/>
    </row>
    <row r="142" spans="1:17" s="906" customFormat="1">
      <c r="A142" s="1020" t="s">
        <v>877</v>
      </c>
      <c r="B142" s="906" t="s">
        <v>878</v>
      </c>
      <c r="C142" s="901">
        <v>1118570</v>
      </c>
      <c r="D142" s="901">
        <v>0</v>
      </c>
      <c r="E142" s="901"/>
      <c r="F142" s="901"/>
      <c r="G142" s="901"/>
      <c r="H142" s="907">
        <f>ROUND(C142/1000,)</f>
        <v>1119</v>
      </c>
      <c r="Q142" s="1004"/>
    </row>
    <row r="143" spans="1:17" s="906" customFormat="1">
      <c r="A143" s="1020" t="s">
        <v>759</v>
      </c>
      <c r="B143" s="906" t="s">
        <v>760</v>
      </c>
      <c r="C143" s="901">
        <v>793308</v>
      </c>
      <c r="D143" s="901">
        <v>0</v>
      </c>
      <c r="E143" s="901"/>
      <c r="F143" s="901"/>
      <c r="G143" s="901"/>
      <c r="H143" s="907"/>
      <c r="Q143" s="1004"/>
    </row>
    <row r="144" spans="1:17" s="906" customFormat="1">
      <c r="A144" s="1020" t="s">
        <v>1122</v>
      </c>
      <c r="B144" s="906" t="s">
        <v>1138</v>
      </c>
      <c r="C144" s="901">
        <v>47985</v>
      </c>
      <c r="D144" s="901">
        <v>0</v>
      </c>
      <c r="E144" s="901"/>
      <c r="F144" s="901"/>
      <c r="G144" s="901"/>
      <c r="H144" s="907"/>
      <c r="Q144" s="1004"/>
    </row>
    <row r="145" spans="1:17" s="906" customFormat="1">
      <c r="A145" s="1020" t="s">
        <v>745</v>
      </c>
      <c r="B145" s="906" t="s">
        <v>746</v>
      </c>
      <c r="C145" s="901">
        <v>1579</v>
      </c>
      <c r="D145" s="901">
        <v>0</v>
      </c>
      <c r="E145" s="901"/>
      <c r="F145" s="901"/>
      <c r="G145" s="901"/>
      <c r="H145" s="907"/>
      <c r="Q145" s="1004"/>
    </row>
    <row r="146" spans="1:17" s="906" customFormat="1">
      <c r="A146" s="1020" t="s">
        <v>1123</v>
      </c>
      <c r="B146" s="906" t="s">
        <v>1139</v>
      </c>
      <c r="C146" s="901">
        <v>1839.33</v>
      </c>
      <c r="D146" s="901">
        <v>0</v>
      </c>
      <c r="E146" s="901"/>
      <c r="F146" s="901"/>
      <c r="G146" s="901"/>
      <c r="H146" s="907"/>
      <c r="Q146" s="1004"/>
    </row>
    <row r="147" spans="1:17" s="906" customFormat="1">
      <c r="A147" s="1020" t="s">
        <v>747</v>
      </c>
      <c r="B147" s="906" t="s">
        <v>748</v>
      </c>
      <c r="C147" s="901">
        <v>42214</v>
      </c>
      <c r="D147" s="901">
        <v>0</v>
      </c>
      <c r="E147" s="901"/>
      <c r="F147" s="901"/>
      <c r="G147" s="901"/>
      <c r="H147" s="907"/>
      <c r="Q147" s="1004"/>
    </row>
    <row r="148" spans="1:17" s="906" customFormat="1">
      <c r="A148" s="1020" t="s">
        <v>749</v>
      </c>
      <c r="B148" s="906" t="s">
        <v>750</v>
      </c>
      <c r="C148" s="901">
        <v>46163.03</v>
      </c>
      <c r="D148" s="901">
        <v>0</v>
      </c>
      <c r="E148" s="901"/>
      <c r="F148" s="901"/>
      <c r="G148" s="901"/>
      <c r="H148" s="907">
        <f>ROUND(C148/1000,0)</f>
        <v>46</v>
      </c>
      <c r="Q148" s="1004"/>
    </row>
    <row r="149" spans="1:17" s="906" customFormat="1">
      <c r="A149" s="1020" t="s">
        <v>1124</v>
      </c>
      <c r="B149" s="906" t="s">
        <v>1140</v>
      </c>
      <c r="C149" s="901">
        <v>8105</v>
      </c>
      <c r="D149" s="901">
        <v>0</v>
      </c>
      <c r="E149" s="901"/>
      <c r="F149" s="901"/>
      <c r="G149" s="901"/>
      <c r="H149" s="907"/>
      <c r="Q149" s="1004"/>
    </row>
    <row r="150" spans="1:17" s="906" customFormat="1">
      <c r="A150" s="1020" t="s">
        <v>751</v>
      </c>
      <c r="B150" s="906" t="s">
        <v>752</v>
      </c>
      <c r="C150" s="901">
        <v>4421.5</v>
      </c>
      <c r="D150" s="901">
        <v>0</v>
      </c>
      <c r="E150" s="901"/>
      <c r="F150" s="901"/>
      <c r="G150" s="901"/>
      <c r="H150" s="907"/>
      <c r="Q150" s="1004"/>
    </row>
    <row r="151" spans="1:17" s="906" customFormat="1">
      <c r="A151" s="1020" t="s">
        <v>753</v>
      </c>
      <c r="B151" s="906" t="s">
        <v>754</v>
      </c>
      <c r="C151" s="901">
        <v>14683.550000000001</v>
      </c>
      <c r="D151" s="901">
        <v>0</v>
      </c>
      <c r="E151" s="901"/>
      <c r="F151" s="901"/>
      <c r="G151" s="901"/>
      <c r="H151" s="907">
        <f>ROUND(SUM(C142:C151)/1000,0)</f>
        <v>2079</v>
      </c>
      <c r="Q151" s="1004"/>
    </row>
    <row r="152" spans="1:17" s="906" customFormat="1">
      <c r="A152" s="1020" t="s">
        <v>739</v>
      </c>
      <c r="B152" s="906" t="s">
        <v>740</v>
      </c>
      <c r="C152" s="901">
        <v>112276</v>
      </c>
      <c r="D152" s="901">
        <v>0</v>
      </c>
      <c r="E152" s="901"/>
      <c r="F152" s="901"/>
      <c r="G152" s="901"/>
      <c r="H152" s="907"/>
      <c r="Q152" s="1004"/>
    </row>
    <row r="153" spans="1:17" s="906" customFormat="1">
      <c r="A153" s="1020" t="s">
        <v>741</v>
      </c>
      <c r="B153" s="906" t="s">
        <v>742</v>
      </c>
      <c r="C153" s="901">
        <v>34258</v>
      </c>
      <c r="D153" s="901">
        <v>0</v>
      </c>
      <c r="E153" s="901"/>
      <c r="F153" s="901"/>
      <c r="G153" s="901"/>
      <c r="H153" s="907">
        <f>(C153+C152)/1000</f>
        <v>146.53399999999999</v>
      </c>
      <c r="I153" s="933">
        <f>ROUND(H153,0)</f>
        <v>147</v>
      </c>
      <c r="Q153" s="1004"/>
    </row>
    <row r="154" spans="1:17" s="906" customFormat="1">
      <c r="A154" s="1020" t="s">
        <v>743</v>
      </c>
      <c r="B154" s="906" t="s">
        <v>744</v>
      </c>
      <c r="C154" s="901">
        <v>0</v>
      </c>
      <c r="D154" s="901">
        <v>205918.6</v>
      </c>
      <c r="E154" s="901"/>
      <c r="F154" s="901"/>
      <c r="G154" s="901"/>
      <c r="H154" s="1012">
        <f>ROUNDDOWN(C155/1000,0)</f>
        <v>234</v>
      </c>
      <c r="Q154" s="1004"/>
    </row>
    <row r="155" spans="1:17" s="906" customFormat="1">
      <c r="A155" s="1020" t="s">
        <v>738</v>
      </c>
      <c r="B155" s="906" t="s">
        <v>145</v>
      </c>
      <c r="C155" s="901">
        <v>234521.02000000002</v>
      </c>
      <c r="D155" s="901">
        <v>0</v>
      </c>
      <c r="E155" s="901"/>
      <c r="F155" s="901"/>
      <c r="G155" s="901"/>
      <c r="H155" s="907">
        <f>ROUNDDOWN(-D154/1000,0)</f>
        <v>-205</v>
      </c>
      <c r="J155" s="932">
        <f>C155/1000</f>
        <v>234.52102000000002</v>
      </c>
      <c r="Q155" s="1004"/>
    </row>
    <row r="156" spans="1:17" s="906" customFormat="1">
      <c r="A156" s="1020" t="s">
        <v>1121</v>
      </c>
      <c r="B156" s="906" t="s">
        <v>1137</v>
      </c>
      <c r="C156" s="901">
        <v>20519171.98</v>
      </c>
      <c r="D156" s="901">
        <v>0</v>
      </c>
      <c r="E156" s="901"/>
      <c r="F156" s="901"/>
      <c r="G156" s="901"/>
      <c r="H156" s="907">
        <f>ROUND(C156/1000,0)</f>
        <v>20519</v>
      </c>
      <c r="Q156" s="1004"/>
    </row>
    <row r="157" spans="1:17">
      <c r="A157" s="910" t="s">
        <v>1000</v>
      </c>
      <c r="B157" s="902"/>
      <c r="C157" s="1005">
        <v>0</v>
      </c>
      <c r="D157" s="1005">
        <v>0</v>
      </c>
      <c r="E157" s="1005"/>
      <c r="F157" s="1005"/>
      <c r="G157" s="1005"/>
      <c r="H157" s="1006"/>
      <c r="Q157" s="1004"/>
    </row>
    <row r="158" spans="1:17">
      <c r="A158" s="911" t="s">
        <v>973</v>
      </c>
      <c r="B158" s="906" t="s">
        <v>974</v>
      </c>
      <c r="C158" s="901">
        <v>53795219.079999998</v>
      </c>
      <c r="D158" s="901">
        <v>0</v>
      </c>
      <c r="E158" s="901"/>
      <c r="F158" s="901"/>
      <c r="G158" s="901"/>
      <c r="H158" s="907">
        <f>ROUND(C158/1000,0)</f>
        <v>53795</v>
      </c>
      <c r="N158" s="931"/>
      <c r="Q158" s="1004"/>
    </row>
    <row r="159" spans="1:17">
      <c r="A159" s="910" t="s">
        <v>1007</v>
      </c>
      <c r="B159" s="902"/>
      <c r="C159" s="1005">
        <v>0</v>
      </c>
      <c r="D159" s="1005">
        <v>0</v>
      </c>
      <c r="E159" s="1005"/>
      <c r="F159" s="1005"/>
      <c r="G159" s="1005"/>
      <c r="H159" s="1006"/>
      <c r="N159" s="900"/>
      <c r="Q159" s="1004"/>
    </row>
    <row r="160" spans="1:17">
      <c r="A160" s="911" t="s">
        <v>844</v>
      </c>
      <c r="B160" s="906" t="s">
        <v>845</v>
      </c>
      <c r="C160" s="901">
        <v>332236852.69</v>
      </c>
      <c r="D160" s="901">
        <v>0</v>
      </c>
      <c r="E160" s="901"/>
      <c r="F160" s="901"/>
      <c r="G160" s="901"/>
      <c r="H160" s="907">
        <f>ROUND(D160/1000,0)</f>
        <v>0</v>
      </c>
      <c r="I160" s="935">
        <f>ROUND(245123996/1000,0)</f>
        <v>245124</v>
      </c>
      <c r="J160" s="900">
        <v>178431</v>
      </c>
      <c r="K160" s="900">
        <f>M160-I160-J160</f>
        <v>968721</v>
      </c>
      <c r="L160" s="897">
        <v>1392275830</v>
      </c>
      <c r="M160" s="930">
        <f>ROUND(L160/1000,0)</f>
        <v>1392276</v>
      </c>
      <c r="N160" s="900">
        <f>H160-M160</f>
        <v>-1392276</v>
      </c>
      <c r="Q160" s="1004"/>
    </row>
    <row r="161" spans="1:17">
      <c r="A161" s="910" t="s">
        <v>1006</v>
      </c>
      <c r="B161" s="902"/>
      <c r="C161" s="1005">
        <v>0</v>
      </c>
      <c r="D161" s="1005">
        <v>0</v>
      </c>
      <c r="E161" s="1005"/>
      <c r="F161" s="1005"/>
      <c r="G161" s="1005"/>
      <c r="H161" s="1006"/>
      <c r="L161" s="900"/>
      <c r="Q161" s="1004"/>
    </row>
    <row r="162" spans="1:17">
      <c r="A162" s="899" t="s">
        <v>981</v>
      </c>
      <c r="B162" s="897" t="s">
        <v>982</v>
      </c>
      <c r="C162" s="901">
        <v>197268744.49000001</v>
      </c>
      <c r="D162" s="901">
        <v>0</v>
      </c>
      <c r="E162" s="901"/>
      <c r="F162" s="901"/>
      <c r="G162" s="901"/>
      <c r="H162" s="907">
        <f>ROUND(D162/1000,0)</f>
        <v>0</v>
      </c>
      <c r="Q162" s="1004"/>
    </row>
    <row r="163" spans="1:17">
      <c r="A163" s="910" t="s">
        <v>1008</v>
      </c>
      <c r="B163" s="902"/>
      <c r="C163" s="1005">
        <v>0</v>
      </c>
      <c r="D163" s="1005">
        <v>0</v>
      </c>
      <c r="E163" s="1005"/>
      <c r="F163" s="1005"/>
      <c r="G163" s="1005"/>
      <c r="H163" s="1006"/>
      <c r="Q163" s="1004"/>
    </row>
    <row r="164" spans="1:17">
      <c r="A164" s="899" t="s">
        <v>965</v>
      </c>
      <c r="B164" s="897" t="s">
        <v>966</v>
      </c>
      <c r="C164" s="901">
        <v>0</v>
      </c>
      <c r="D164" s="901">
        <v>895726329.97000003</v>
      </c>
      <c r="E164" s="901"/>
      <c r="F164" s="901"/>
      <c r="G164" s="901"/>
      <c r="H164" s="907"/>
      <c r="Q164" s="1004"/>
    </row>
    <row r="165" spans="1:17">
      <c r="A165" s="899" t="s">
        <v>969</v>
      </c>
      <c r="B165" s="897" t="s">
        <v>970</v>
      </c>
      <c r="C165" s="901">
        <v>0</v>
      </c>
      <c r="D165" s="901">
        <v>2778136387.7399998</v>
      </c>
      <c r="E165" s="901"/>
      <c r="F165" s="901"/>
      <c r="G165" s="901"/>
      <c r="H165" s="907">
        <f>ROUND(SUM(D164:D165)/1000,0)+0.4</f>
        <v>3673863.4</v>
      </c>
      <c r="Q165" s="1004"/>
    </row>
    <row r="166" spans="1:17">
      <c r="A166" s="910" t="s">
        <v>1009</v>
      </c>
      <c r="B166" s="902"/>
      <c r="C166" s="1005">
        <v>0</v>
      </c>
      <c r="D166" s="1005">
        <v>0</v>
      </c>
      <c r="E166" s="1005"/>
      <c r="F166" s="1005"/>
      <c r="G166" s="1005"/>
      <c r="H166" s="1006"/>
      <c r="Q166" s="1004"/>
    </row>
    <row r="167" spans="1:17">
      <c r="A167" s="899" t="s">
        <v>967</v>
      </c>
      <c r="B167" s="897" t="s">
        <v>968</v>
      </c>
      <c r="C167" s="901">
        <v>1035600326</v>
      </c>
      <c r="D167" s="901">
        <v>0</v>
      </c>
      <c r="E167" s="901"/>
      <c r="F167" s="901"/>
      <c r="G167" s="901"/>
      <c r="H167" s="907"/>
      <c r="Q167" s="1004"/>
    </row>
    <row r="168" spans="1:17">
      <c r="A168" s="899" t="s">
        <v>971</v>
      </c>
      <c r="B168" s="897" t="s">
        <v>972</v>
      </c>
      <c r="C168" s="901">
        <v>2970505853.8400002</v>
      </c>
      <c r="D168" s="901">
        <v>0</v>
      </c>
      <c r="E168" s="901"/>
      <c r="F168" s="901"/>
      <c r="G168" s="901"/>
      <c r="H168" s="907">
        <f>ROUND(SUM(C167:C168)/1000,0)-0.4</f>
        <v>4006105.6</v>
      </c>
      <c r="Q168" s="1004"/>
    </row>
    <row r="169" spans="1:17">
      <c r="A169" s="910" t="s">
        <v>1021</v>
      </c>
      <c r="B169" s="902"/>
      <c r="C169" s="1005">
        <v>0</v>
      </c>
      <c r="D169" s="1005">
        <v>0</v>
      </c>
      <c r="E169" s="1005"/>
      <c r="F169" s="1005"/>
      <c r="G169" s="1005"/>
      <c r="H169" s="1006"/>
      <c r="Q169" s="1004"/>
    </row>
    <row r="170" spans="1:17">
      <c r="A170" s="899" t="s">
        <v>962</v>
      </c>
      <c r="B170" s="906" t="s">
        <v>107</v>
      </c>
      <c r="C170" s="901">
        <v>3188690</v>
      </c>
      <c r="D170" s="901">
        <v>0</v>
      </c>
      <c r="E170" s="901"/>
      <c r="F170" s="901"/>
      <c r="G170" s="901"/>
      <c r="H170" s="907"/>
      <c r="Q170" s="1004"/>
    </row>
    <row r="171" spans="1:17">
      <c r="A171" s="899" t="s">
        <v>963</v>
      </c>
      <c r="B171" s="906" t="s">
        <v>964</v>
      </c>
      <c r="C171" s="901">
        <v>0</v>
      </c>
      <c r="D171" s="901">
        <v>3188691</v>
      </c>
      <c r="E171" s="901"/>
      <c r="F171" s="901"/>
      <c r="G171" s="901"/>
      <c r="H171" s="907"/>
      <c r="Q171" s="1004"/>
    </row>
    <row r="172" spans="1:17">
      <c r="A172" s="899" t="s">
        <v>825</v>
      </c>
      <c r="B172" s="906" t="s">
        <v>826</v>
      </c>
      <c r="C172" s="901">
        <v>0</v>
      </c>
      <c r="D172" s="901">
        <v>5.04</v>
      </c>
      <c r="Q172" s="1004"/>
    </row>
    <row r="173" spans="1:17">
      <c r="A173" s="899" t="s">
        <v>731</v>
      </c>
      <c r="B173" s="906" t="s">
        <v>732</v>
      </c>
      <c r="C173" s="901">
        <v>2.7800000000000002</v>
      </c>
      <c r="D173" s="901">
        <v>0</v>
      </c>
      <c r="Q173" s="1004"/>
    </row>
    <row r="174" spans="1:17">
      <c r="A174" s="1020" t="s">
        <v>808</v>
      </c>
      <c r="B174" s="906" t="s">
        <v>809</v>
      </c>
      <c r="C174" s="901">
        <v>0</v>
      </c>
      <c r="D174" s="901">
        <v>26874</v>
      </c>
      <c r="F174" s="898">
        <f>(D174-C175)/1000</f>
        <v>25.067</v>
      </c>
    </row>
    <row r="175" spans="1:17">
      <c r="A175" s="1020" t="s">
        <v>810</v>
      </c>
      <c r="B175" s="906" t="s">
        <v>811</v>
      </c>
      <c r="C175" s="901">
        <v>1807</v>
      </c>
      <c r="D175" s="901">
        <v>0</v>
      </c>
    </row>
    <row r="176" spans="1:17">
      <c r="A176" s="899" t="s">
        <v>814</v>
      </c>
      <c r="B176" s="906" t="s">
        <v>815</v>
      </c>
      <c r="C176" s="901">
        <v>1044293</v>
      </c>
      <c r="D176" s="901">
        <v>0</v>
      </c>
    </row>
    <row r="177" spans="1:9">
      <c r="A177" s="899" t="s">
        <v>816</v>
      </c>
      <c r="B177" s="906" t="s">
        <v>817</v>
      </c>
      <c r="C177" s="901">
        <v>0</v>
      </c>
      <c r="D177" s="901">
        <v>1044293</v>
      </c>
    </row>
    <row r="178" spans="1:9" s="906" customFormat="1">
      <c r="A178" s="911" t="s">
        <v>850</v>
      </c>
      <c r="B178" s="906" t="s">
        <v>851</v>
      </c>
      <c r="C178" s="901">
        <v>0</v>
      </c>
      <c r="D178" s="901">
        <v>5815</v>
      </c>
      <c r="E178" s="901"/>
      <c r="F178" s="901"/>
      <c r="G178" s="901"/>
      <c r="H178" s="901"/>
    </row>
    <row r="179" spans="1:9" s="906" customFormat="1">
      <c r="A179" s="911" t="s">
        <v>852</v>
      </c>
      <c r="B179" s="906" t="s">
        <v>853</v>
      </c>
      <c r="C179" s="901">
        <v>0</v>
      </c>
      <c r="D179" s="901">
        <v>69</v>
      </c>
      <c r="E179" s="901"/>
      <c r="F179" s="901"/>
      <c r="G179" s="901"/>
      <c r="H179" s="901"/>
    </row>
    <row r="180" spans="1:9" s="906" customFormat="1">
      <c r="A180" s="911" t="s">
        <v>854</v>
      </c>
      <c r="B180" s="906" t="s">
        <v>855</v>
      </c>
      <c r="C180" s="901">
        <v>5965.59</v>
      </c>
      <c r="D180" s="901">
        <v>0</v>
      </c>
      <c r="E180" s="901"/>
      <c r="F180" s="901">
        <f>(C178-D179-D180)/1000</f>
        <v>-6.9000000000000006E-2</v>
      </c>
      <c r="G180" s="901"/>
      <c r="H180" s="901"/>
    </row>
    <row r="181" spans="1:9">
      <c r="A181" s="899" t="s">
        <v>940</v>
      </c>
      <c r="B181" s="906" t="s">
        <v>941</v>
      </c>
      <c r="C181" s="901">
        <v>0</v>
      </c>
      <c r="D181" s="901">
        <v>0.01</v>
      </c>
    </row>
    <row r="182" spans="1:9">
      <c r="A182" s="899" t="s">
        <v>975</v>
      </c>
      <c r="B182" s="906" t="s">
        <v>976</v>
      </c>
      <c r="C182" s="901">
        <v>0</v>
      </c>
      <c r="D182" s="901">
        <v>197268744.49000001</v>
      </c>
      <c r="E182" s="901"/>
      <c r="F182" s="901"/>
      <c r="G182" s="901"/>
      <c r="I182" s="900"/>
    </row>
    <row r="183" spans="1:9">
      <c r="A183" s="899" t="s">
        <v>977</v>
      </c>
      <c r="B183" s="906" t="s">
        <v>978</v>
      </c>
      <c r="C183" s="901">
        <v>0</v>
      </c>
      <c r="D183" s="901">
        <v>11629170369.559999</v>
      </c>
      <c r="E183" s="901"/>
      <c r="F183" s="901"/>
      <c r="G183" s="901"/>
    </row>
    <row r="184" spans="1:9">
      <c r="A184" s="911" t="s">
        <v>979</v>
      </c>
      <c r="B184" s="906" t="s">
        <v>980</v>
      </c>
      <c r="C184" s="901">
        <v>0</v>
      </c>
      <c r="D184" s="901">
        <v>53795219.060000002</v>
      </c>
    </row>
    <row r="185" spans="1:9">
      <c r="B185" s="906"/>
      <c r="C185" s="898">
        <v>0</v>
      </c>
      <c r="D185" s="898">
        <v>0</v>
      </c>
      <c r="H185" s="898">
        <f>C185-D185</f>
        <v>0</v>
      </c>
    </row>
    <row r="188" spans="1:9">
      <c r="C188" s="898">
        <f>SUM(C9:C185)</f>
        <v>16609607714.52</v>
      </c>
      <c r="D188" s="898">
        <f>SUM(D9:D185)</f>
        <v>16609607537.439999</v>
      </c>
    </row>
  </sheetData>
  <autoFilter ref="A8:C31"/>
  <pageMargins left="0.7" right="0.7" top="0.75" bottom="0.75" header="0.3" footer="0.3"/>
  <pageSetup orientation="portrait" horizontalDpi="96"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C1" sqref="C1"/>
    </sheetView>
  </sheetViews>
  <sheetFormatPr defaultRowHeight="15.6"/>
  <cols>
    <col min="1" max="1" width="13" bestFit="1" customWidth="1"/>
    <col min="2" max="2" width="94.59765625" bestFit="1" customWidth="1"/>
    <col min="3" max="3" width="11.59765625" bestFit="1" customWidth="1"/>
    <col min="4" max="4" width="1.59765625" bestFit="1" customWidth="1"/>
    <col min="5" max="5" width="6.09765625" bestFit="1" customWidth="1"/>
  </cols>
  <sheetData>
    <row r="1" spans="1:5">
      <c r="A1" t="s">
        <v>908</v>
      </c>
      <c r="B1" t="s">
        <v>909</v>
      </c>
      <c r="C1">
        <v>974450918.89999998</v>
      </c>
      <c r="D1">
        <v>0</v>
      </c>
      <c r="E1" t="s">
        <v>1175</v>
      </c>
    </row>
    <row r="2" spans="1:5">
      <c r="A2" t="s">
        <v>1108</v>
      </c>
      <c r="B2" t="s">
        <v>1125</v>
      </c>
      <c r="C2">
        <v>1235073.1299999999</v>
      </c>
      <c r="D2">
        <v>0</v>
      </c>
      <c r="E2" t="s">
        <v>1175</v>
      </c>
    </row>
    <row r="3" spans="1:5">
      <c r="A3" t="s">
        <v>1097</v>
      </c>
      <c r="B3" t="s">
        <v>1096</v>
      </c>
      <c r="C3">
        <v>1432536.6600000001</v>
      </c>
      <c r="D3">
        <v>0</v>
      </c>
      <c r="E3" t="s">
        <v>1175</v>
      </c>
    </row>
    <row r="4" spans="1:5">
      <c r="A4" t="s">
        <v>928</v>
      </c>
      <c r="B4" t="s">
        <v>929</v>
      </c>
      <c r="C4">
        <v>325430</v>
      </c>
      <c r="D4">
        <v>0</v>
      </c>
      <c r="E4" t="s">
        <v>1176</v>
      </c>
    </row>
    <row r="5" spans="1:5">
      <c r="A5" t="s">
        <v>930</v>
      </c>
      <c r="B5" t="s">
        <v>931</v>
      </c>
      <c r="C5">
        <v>568666</v>
      </c>
      <c r="D5">
        <v>0</v>
      </c>
      <c r="E5" t="s">
        <v>1176</v>
      </c>
    </row>
    <row r="6" spans="1:5">
      <c r="A6" t="s">
        <v>1112</v>
      </c>
      <c r="B6" t="s">
        <v>1129</v>
      </c>
      <c r="C6">
        <v>23626.959999999999</v>
      </c>
      <c r="D6">
        <v>0</v>
      </c>
      <c r="E6" t="s">
        <v>1175</v>
      </c>
    </row>
    <row r="7" spans="1:5">
      <c r="A7" t="s">
        <v>910</v>
      </c>
      <c r="B7" t="s">
        <v>911</v>
      </c>
      <c r="C7">
        <v>1280814.71</v>
      </c>
      <c r="D7">
        <v>0</v>
      </c>
      <c r="E7" t="s">
        <v>1175</v>
      </c>
    </row>
    <row r="8" spans="1:5">
      <c r="A8" t="s">
        <v>1111</v>
      </c>
      <c r="B8" t="s">
        <v>1128</v>
      </c>
      <c r="C8">
        <v>3300057.06</v>
      </c>
      <c r="D8">
        <v>0</v>
      </c>
      <c r="E8" t="s">
        <v>1175</v>
      </c>
    </row>
    <row r="9" spans="1:5">
      <c r="A9" t="s">
        <v>916</v>
      </c>
      <c r="B9" t="s">
        <v>917</v>
      </c>
      <c r="C9">
        <v>6075.81</v>
      </c>
      <c r="D9">
        <v>0</v>
      </c>
      <c r="E9" t="s">
        <v>1175</v>
      </c>
    </row>
    <row r="10" spans="1:5">
      <c r="A10" t="s">
        <v>1109</v>
      </c>
      <c r="B10" t="s">
        <v>1126</v>
      </c>
      <c r="C10">
        <v>38638794</v>
      </c>
      <c r="D10">
        <v>0</v>
      </c>
      <c r="E10" t="s">
        <v>1175</v>
      </c>
    </row>
    <row r="11" spans="1:5">
      <c r="A11" t="s">
        <v>914</v>
      </c>
      <c r="B11" t="s">
        <v>915</v>
      </c>
      <c r="C11">
        <v>40446</v>
      </c>
      <c r="D11">
        <v>0</v>
      </c>
      <c r="E11" t="s">
        <v>1176</v>
      </c>
    </row>
    <row r="12" spans="1:5">
      <c r="A12" t="s">
        <v>1110</v>
      </c>
      <c r="B12" t="s">
        <v>1127</v>
      </c>
      <c r="C12">
        <v>4998558.3899999997</v>
      </c>
      <c r="D12">
        <v>0</v>
      </c>
      <c r="E12" t="s">
        <v>1176</v>
      </c>
    </row>
    <row r="13" spans="1:5">
      <c r="A13" t="s">
        <v>912</v>
      </c>
      <c r="B13" t="s">
        <v>913</v>
      </c>
      <c r="C13">
        <v>2888830.5300000003</v>
      </c>
      <c r="D13">
        <v>0</v>
      </c>
      <c r="E13" t="s">
        <v>1175</v>
      </c>
    </row>
    <row r="14" spans="1:5">
      <c r="A14" t="s">
        <v>932</v>
      </c>
      <c r="B14" t="s">
        <v>933</v>
      </c>
      <c r="C14">
        <v>132770</v>
      </c>
      <c r="D14">
        <v>0</v>
      </c>
      <c r="E14" t="s">
        <v>1176</v>
      </c>
    </row>
    <row r="15" spans="1:5">
      <c r="A15" t="s">
        <v>934</v>
      </c>
      <c r="B15" t="s">
        <v>935</v>
      </c>
      <c r="C15">
        <v>138632</v>
      </c>
      <c r="D15">
        <v>0</v>
      </c>
      <c r="E15" t="s">
        <v>1176</v>
      </c>
    </row>
    <row r="16" spans="1:5">
      <c r="A16" t="s">
        <v>1142</v>
      </c>
      <c r="B16" t="s">
        <v>1143</v>
      </c>
      <c r="C16">
        <v>12500</v>
      </c>
      <c r="D16">
        <v>0</v>
      </c>
      <c r="E16" t="s">
        <v>1175</v>
      </c>
    </row>
    <row r="17" spans="1:5">
      <c r="A17" t="s">
        <v>918</v>
      </c>
      <c r="B17" t="s">
        <v>919</v>
      </c>
      <c r="C17">
        <v>1495053</v>
      </c>
      <c r="D17">
        <v>0</v>
      </c>
      <c r="E17" t="s">
        <v>1176</v>
      </c>
    </row>
    <row r="18" spans="1:5">
      <c r="A18" t="s">
        <v>920</v>
      </c>
      <c r="B18" t="s">
        <v>921</v>
      </c>
      <c r="C18">
        <v>2250518</v>
      </c>
      <c r="D18">
        <v>0</v>
      </c>
      <c r="E18" t="s">
        <v>1176</v>
      </c>
    </row>
    <row r="19" spans="1:5">
      <c r="A19" t="s">
        <v>922</v>
      </c>
      <c r="B19" t="s">
        <v>923</v>
      </c>
      <c r="C19">
        <v>1368463</v>
      </c>
      <c r="D19">
        <v>0</v>
      </c>
      <c r="E19" t="s">
        <v>1176</v>
      </c>
    </row>
    <row r="20" spans="1:5">
      <c r="A20" t="s">
        <v>924</v>
      </c>
      <c r="B20" t="s">
        <v>925</v>
      </c>
      <c r="C20">
        <v>1695204</v>
      </c>
      <c r="D20">
        <v>0</v>
      </c>
      <c r="E20" t="s">
        <v>1176</v>
      </c>
    </row>
    <row r="21" spans="1:5">
      <c r="A21" t="s">
        <v>936</v>
      </c>
      <c r="B21" t="s">
        <v>937</v>
      </c>
      <c r="C21">
        <v>1413294</v>
      </c>
      <c r="D21">
        <v>0</v>
      </c>
      <c r="E21" t="s">
        <v>1176</v>
      </c>
    </row>
    <row r="22" spans="1:5">
      <c r="A22" t="s">
        <v>938</v>
      </c>
      <c r="B22" t="s">
        <v>939</v>
      </c>
      <c r="C22">
        <v>405467</v>
      </c>
      <c r="D22">
        <v>0</v>
      </c>
      <c r="E22" t="s">
        <v>1176</v>
      </c>
    </row>
    <row r="23" spans="1:5">
      <c r="A23" t="s">
        <v>926</v>
      </c>
      <c r="B23" t="s">
        <v>927</v>
      </c>
      <c r="C23">
        <v>869007.49</v>
      </c>
      <c r="D23">
        <v>0</v>
      </c>
      <c r="E23" t="s">
        <v>1175</v>
      </c>
    </row>
  </sheetData>
  <pageMargins left="0.7" right="0.7" top="0.75" bottom="0.75" header="0.3" footer="0.3"/>
  <pageSetup paperSize="9" orientation="portrait" horizontalDpi="30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64"/>
  <sheetViews>
    <sheetView view="pageBreakPreview" topLeftCell="A31" zoomScaleNormal="100" zoomScaleSheetLayoutView="100" workbookViewId="0">
      <selection activeCell="B58" sqref="B58"/>
    </sheetView>
  </sheetViews>
  <sheetFormatPr defaultColWidth="9" defaultRowHeight="11.4"/>
  <cols>
    <col min="1" max="1" width="64.5" style="845" customWidth="1"/>
    <col min="2" max="2" width="14.09765625" style="845" customWidth="1"/>
    <col min="3" max="3" width="9.09765625" style="845" customWidth="1"/>
    <col min="4" max="4" width="11.3984375" style="845" bestFit="1" customWidth="1"/>
    <col min="5" max="16384" width="9" style="845"/>
  </cols>
  <sheetData>
    <row r="1" spans="1:4" ht="12">
      <c r="A1" s="715" t="s">
        <v>1069</v>
      </c>
      <c r="B1" s="715"/>
    </row>
    <row r="2" spans="1:4" ht="12">
      <c r="A2" s="715" t="s">
        <v>1080</v>
      </c>
      <c r="B2" s="715"/>
    </row>
    <row r="3" spans="1:4" ht="12">
      <c r="A3" s="715" t="s">
        <v>2570</v>
      </c>
      <c r="B3" s="715"/>
    </row>
    <row r="4" spans="1:4" ht="12.6" thickBot="1">
      <c r="A4" s="715"/>
      <c r="B4" s="715"/>
    </row>
    <row r="5" spans="1:4" ht="37.200000000000003" thickTop="1" thickBot="1">
      <c r="A5" s="715"/>
      <c r="B5" s="1956" t="s">
        <v>2593</v>
      </c>
    </row>
    <row r="6" spans="1:4" ht="13.2" thickTop="1" thickBot="1">
      <c r="B6" s="1957" t="s">
        <v>52</v>
      </c>
    </row>
    <row r="7" spans="1:4" ht="12" thickTop="1"/>
    <row r="8" spans="1:4">
      <c r="A8" s="244"/>
    </row>
    <row r="9" spans="1:4" ht="12">
      <c r="A9" s="715" t="s">
        <v>1081</v>
      </c>
    </row>
    <row r="10" spans="1:4">
      <c r="A10" s="49" t="s">
        <v>1082</v>
      </c>
      <c r="B10" s="17">
        <f>BS!$H$12</f>
        <v>11903844</v>
      </c>
      <c r="D10" s="1958">
        <f>B11*-1</f>
        <v>10122239.016000001</v>
      </c>
    </row>
    <row r="11" spans="1:4">
      <c r="A11" s="49" t="s">
        <v>1083</v>
      </c>
      <c r="B11" s="61">
        <f>-BS!$F$12</f>
        <v>-10122239.016000001</v>
      </c>
      <c r="D11" s="1959">
        <f>B10*-1</f>
        <v>-11903844</v>
      </c>
    </row>
    <row r="12" spans="1:4">
      <c r="A12" s="49" t="str">
        <f>'[109]P&amp;L'!A15</f>
        <v>Unrealised (diminution) / appreciation on re-measurement of investments</v>
      </c>
      <c r="B12" s="17"/>
      <c r="D12" s="1958">
        <f>B13*-1</f>
        <v>319538.68199999974</v>
      </c>
    </row>
    <row r="13" spans="1:4">
      <c r="A13" s="1960" t="str">
        <f>'[109]P&amp;L'!A16</f>
        <v>classified as 'financial assets at fair value through profit or loss' - net</v>
      </c>
      <c r="B13" s="61">
        <f>IS!$F$16</f>
        <v>-319538.68199999974</v>
      </c>
      <c r="D13" s="1958">
        <f>B15*-1</f>
        <v>0</v>
      </c>
    </row>
    <row r="14" spans="1:4">
      <c r="A14" s="49" t="s">
        <v>1001</v>
      </c>
      <c r="B14" s="61"/>
      <c r="D14" s="1959">
        <f>B16*-1</f>
        <v>0</v>
      </c>
    </row>
    <row r="15" spans="1:4">
      <c r="A15" s="1960" t="s">
        <v>1002</v>
      </c>
      <c r="B15" s="61"/>
      <c r="D15" s="1958">
        <f>SUM(D10:D14)</f>
        <v>-1462066.3019999994</v>
      </c>
    </row>
    <row r="16" spans="1:4">
      <c r="A16" s="1960" t="s">
        <v>1171</v>
      </c>
      <c r="B16" s="61">
        <f>-IS!F36</f>
        <v>0</v>
      </c>
    </row>
    <row r="17" spans="1:2" ht="12.6" thickBot="1">
      <c r="A17" s="845" t="s">
        <v>1084</v>
      </c>
      <c r="B17" s="1961">
        <f>SUM(B10:B16)</f>
        <v>1462066.3019999994</v>
      </c>
    </row>
    <row r="18" spans="1:2" ht="12.75" customHeight="1" thickTop="1">
      <c r="B18" s="17"/>
    </row>
    <row r="19" spans="1:2" ht="12.75" customHeight="1">
      <c r="A19" s="715" t="s">
        <v>197</v>
      </c>
      <c r="B19" s="17"/>
    </row>
    <row r="20" spans="1:2" ht="12.75" customHeight="1">
      <c r="A20" s="49" t="s">
        <v>1082</v>
      </c>
      <c r="B20" s="17">
        <f>BS!$H$13</f>
        <v>499859</v>
      </c>
    </row>
    <row r="21" spans="1:2" ht="12.75" customHeight="1">
      <c r="A21" s="49" t="s">
        <v>1083</v>
      </c>
      <c r="B21" s="17">
        <f>-BS!$F$13</f>
        <v>-205018</v>
      </c>
    </row>
    <row r="22" spans="1:2" ht="12.75" customHeight="1" thickBot="1">
      <c r="A22" s="845" t="s">
        <v>1084</v>
      </c>
      <c r="B22" s="1961">
        <f>SUM(B20:B21)</f>
        <v>294841</v>
      </c>
    </row>
    <row r="23" spans="1:2" ht="12.75" customHeight="1" thickTop="1">
      <c r="B23" s="17"/>
    </row>
    <row r="24" spans="1:2" ht="12.75" customHeight="1">
      <c r="B24" s="17"/>
    </row>
    <row r="25" spans="1:2" ht="12.75" customHeight="1">
      <c r="A25" s="715" t="s">
        <v>345</v>
      </c>
      <c r="B25" s="17"/>
    </row>
    <row r="26" spans="1:2" ht="12.75" customHeight="1">
      <c r="A26" s="49" t="s">
        <v>1082</v>
      </c>
      <c r="B26" s="17">
        <f>BS!$H$14</f>
        <v>16830</v>
      </c>
    </row>
    <row r="27" spans="1:2" ht="12.75" customHeight="1">
      <c r="A27" s="49" t="s">
        <v>1083</v>
      </c>
      <c r="B27" s="17">
        <f>-BS!$F$14</f>
        <v>-73053</v>
      </c>
    </row>
    <row r="28" spans="1:2" ht="12.75" customHeight="1" thickBot="1">
      <c r="A28" s="845" t="s">
        <v>1084</v>
      </c>
      <c r="B28" s="1961">
        <f>SUM(B26:B27)</f>
        <v>-56223</v>
      </c>
    </row>
    <row r="29" spans="1:2" ht="12.75" customHeight="1" thickTop="1">
      <c r="B29" s="1962"/>
    </row>
    <row r="30" spans="1:2" ht="12">
      <c r="A30" s="715" t="s">
        <v>308</v>
      </c>
      <c r="B30" s="17"/>
    </row>
    <row r="31" spans="1:2">
      <c r="A31" s="845" t="s">
        <v>1082</v>
      </c>
      <c r="B31" s="17">
        <f>BS!$H$15</f>
        <v>74522</v>
      </c>
    </row>
    <row r="32" spans="1:2">
      <c r="A32" s="845" t="s">
        <v>1083</v>
      </c>
      <c r="B32" s="17">
        <f>-BS!$F$15</f>
        <v>-17713</v>
      </c>
    </row>
    <row r="33" spans="1:2" ht="12.6" thickBot="1">
      <c r="A33" s="845" t="s">
        <v>1084</v>
      </c>
      <c r="B33" s="1961">
        <f>SUM(B31:B32)</f>
        <v>56809</v>
      </c>
    </row>
    <row r="34" spans="1:2" ht="5.0999999999999996" customHeight="1" thickTop="1">
      <c r="B34" s="17"/>
    </row>
    <row r="35" spans="1:2" ht="12">
      <c r="A35" s="715" t="s">
        <v>113</v>
      </c>
      <c r="B35" s="17"/>
    </row>
    <row r="36" spans="1:2">
      <c r="A36" s="845" t="s">
        <v>1082</v>
      </c>
      <c r="B36" s="17">
        <f>-BS!$H$20</f>
        <v>-63617</v>
      </c>
    </row>
    <row r="37" spans="1:2">
      <c r="A37" s="845" t="s">
        <v>1083</v>
      </c>
      <c r="B37" s="17">
        <f>BS!$F$20</f>
        <v>56154</v>
      </c>
    </row>
    <row r="38" spans="1:2" ht="12.6" thickBot="1">
      <c r="A38" s="845" t="s">
        <v>1084</v>
      </c>
      <c r="B38" s="1961">
        <f>SUM(B36:B37)</f>
        <v>-7463</v>
      </c>
    </row>
    <row r="39" spans="1:2" ht="5.0999999999999996" customHeight="1" thickTop="1">
      <c r="B39" s="17"/>
    </row>
    <row r="40" spans="1:2" ht="12">
      <c r="A40" s="715" t="s">
        <v>1085</v>
      </c>
      <c r="B40" s="17"/>
    </row>
    <row r="41" spans="1:2">
      <c r="A41" s="845" t="s">
        <v>1082</v>
      </c>
      <c r="B41" s="17">
        <f>-BS!$H$21</f>
        <v>-1258</v>
      </c>
    </row>
    <row r="42" spans="1:2">
      <c r="A42" s="845" t="s">
        <v>1083</v>
      </c>
      <c r="B42" s="17">
        <f>BS!$F$21</f>
        <v>1085</v>
      </c>
    </row>
    <row r="43" spans="1:2" ht="12.6" thickBot="1">
      <c r="A43" s="845" t="s">
        <v>1084</v>
      </c>
      <c r="B43" s="1961">
        <f>SUM(B41:B42)</f>
        <v>-173</v>
      </c>
    </row>
    <row r="44" spans="1:2" ht="5.0999999999999996" customHeight="1" thickTop="1">
      <c r="B44" s="17"/>
    </row>
    <row r="45" spans="1:2" ht="12">
      <c r="A45" s="715" t="s">
        <v>114</v>
      </c>
      <c r="B45" s="17"/>
    </row>
    <row r="46" spans="1:2">
      <c r="A46" s="845" t="s">
        <v>1082</v>
      </c>
      <c r="B46" s="17">
        <f>-BS!$H$22</f>
        <v>-2286</v>
      </c>
    </row>
    <row r="47" spans="1:2">
      <c r="A47" s="845" t="s">
        <v>1083</v>
      </c>
      <c r="B47" s="17">
        <f>BS!$F$22</f>
        <v>1751</v>
      </c>
    </row>
    <row r="48" spans="1:2" ht="12.6" thickBot="1">
      <c r="A48" s="845" t="s">
        <v>1084</v>
      </c>
      <c r="B48" s="1961">
        <f>SUM(B46:B47)</f>
        <v>-535</v>
      </c>
    </row>
    <row r="49" spans="1:4" ht="12.75" customHeight="1" thickTop="1">
      <c r="B49" s="17"/>
    </row>
    <row r="50" spans="1:4" ht="12.75" customHeight="1">
      <c r="A50" s="715" t="s">
        <v>989</v>
      </c>
      <c r="B50" s="17"/>
    </row>
    <row r="51" spans="1:4" ht="12.75" customHeight="1">
      <c r="A51" s="845" t="s">
        <v>1082</v>
      </c>
      <c r="B51" s="17">
        <f>-BS!$H$23</f>
        <v>-24138</v>
      </c>
    </row>
    <row r="52" spans="1:4" ht="12.75" customHeight="1">
      <c r="A52" s="845" t="s">
        <v>1083</v>
      </c>
      <c r="B52" s="17">
        <f>BS!$F$23</f>
        <v>117894</v>
      </c>
    </row>
    <row r="53" spans="1:4" ht="12.75" customHeight="1" thickBot="1">
      <c r="B53" s="1961">
        <f>SUM(B51:B52)</f>
        <v>93756</v>
      </c>
    </row>
    <row r="54" spans="1:4" ht="12.75" customHeight="1" thickTop="1">
      <c r="B54" s="17"/>
    </row>
    <row r="55" spans="1:4" ht="12" customHeight="1">
      <c r="A55" s="715" t="s">
        <v>154</v>
      </c>
      <c r="B55" s="17"/>
    </row>
    <row r="56" spans="1:4" ht="12" customHeight="1">
      <c r="A56" s="845" t="s">
        <v>1082</v>
      </c>
      <c r="B56" s="17">
        <f>-BS!$H$25</f>
        <v>-69140</v>
      </c>
      <c r="C56" s="17"/>
    </row>
    <row r="57" spans="1:4" ht="12" customHeight="1">
      <c r="A57" s="845" t="s">
        <v>1083</v>
      </c>
      <c r="B57" s="17">
        <f>BS!$F$25</f>
        <v>386</v>
      </c>
      <c r="C57" s="17"/>
    </row>
    <row r="58" spans="1:4" ht="12" customHeight="1" thickBot="1">
      <c r="A58" s="845" t="s">
        <v>1086</v>
      </c>
      <c r="B58" s="1961">
        <f>SUM(B56:B57)</f>
        <v>-68754</v>
      </c>
      <c r="C58" s="17"/>
    </row>
    <row r="59" spans="1:4" ht="12" thickTop="1">
      <c r="B59" s="17"/>
    </row>
    <row r="60" spans="1:4" ht="12">
      <c r="A60" s="715" t="s">
        <v>1092</v>
      </c>
      <c r="B60" s="17"/>
    </row>
    <row r="61" spans="1:4">
      <c r="A61" s="845" t="s">
        <v>1082</v>
      </c>
      <c r="B61" s="17">
        <f>-BS!$H$24</f>
        <v>-202766</v>
      </c>
      <c r="C61" s="17"/>
      <c r="D61" s="17"/>
    </row>
    <row r="62" spans="1:4">
      <c r="A62" s="845" t="s">
        <v>429</v>
      </c>
      <c r="B62" s="17">
        <f>BS!$F$24</f>
        <v>80013</v>
      </c>
      <c r="C62" s="17"/>
    </row>
    <row r="63" spans="1:4" ht="12.6" thickBot="1">
      <c r="A63" s="845" t="s">
        <v>1086</v>
      </c>
      <c r="B63" s="1961">
        <f>SUM(B61:B62)</f>
        <v>-122753</v>
      </c>
      <c r="C63" s="17"/>
      <c r="D63" s="1959"/>
    </row>
    <row r="64" spans="1:4" ht="12.6" thickTop="1">
      <c r="B64" s="1962"/>
      <c r="C64" s="17"/>
      <c r="D64" s="1959"/>
    </row>
  </sheetData>
  <printOptions horizontalCentered="1"/>
  <pageMargins left="0.75" right="0.5" top="0.5" bottom="0.25" header="0.28999999999999998" footer="0.5"/>
  <pageSetup paperSize="9" orientation="portrait" horizontalDpi="96" verticalDpi="4294967295"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7"/>
  <sheetViews>
    <sheetView topLeftCell="C145" workbookViewId="0">
      <selection activeCell="H161" sqref="H161"/>
    </sheetView>
  </sheetViews>
  <sheetFormatPr defaultColWidth="9" defaultRowHeight="15.6"/>
  <cols>
    <col min="1" max="1" width="13" bestFit="1" customWidth="1"/>
    <col min="2" max="2" width="91.5" bestFit="1" customWidth="1"/>
    <col min="3" max="4" width="22" bestFit="1" customWidth="1"/>
    <col min="5" max="5" width="11.09765625" style="1010" bestFit="1" customWidth="1"/>
    <col min="6" max="7" width="13.59765625" bestFit="1" customWidth="1"/>
    <col min="8" max="8" width="13.59765625" customWidth="1"/>
    <col min="9" max="9" width="15.59765625" bestFit="1" customWidth="1"/>
    <col min="10" max="10" width="9" style="1010"/>
    <col min="11" max="12" width="9" style="1761"/>
    <col min="13" max="13" width="12.59765625" style="1761" bestFit="1" customWidth="1"/>
    <col min="14" max="15" width="14.5" style="2006" bestFit="1" customWidth="1"/>
    <col min="16" max="16384" width="9" style="1761"/>
  </cols>
  <sheetData>
    <row r="1" spans="1:15" ht="13.2">
      <c r="A1" s="1173" t="s">
        <v>728</v>
      </c>
      <c r="B1" s="1173"/>
      <c r="C1" s="1174"/>
      <c r="D1" s="1174"/>
      <c r="E1" s="1761"/>
      <c r="F1" s="1174"/>
      <c r="G1" s="1174"/>
      <c r="H1" s="1174"/>
      <c r="I1" s="1174"/>
      <c r="J1" s="1761"/>
    </row>
    <row r="2" spans="1:15" ht="13.8" thickBot="1">
      <c r="A2" s="1173"/>
      <c r="B2" s="1173"/>
      <c r="C2" s="1173"/>
      <c r="D2" s="1173"/>
      <c r="E2" s="1761"/>
      <c r="F2" s="1174"/>
      <c r="G2" s="1174"/>
      <c r="H2" s="1174"/>
      <c r="I2" s="1174"/>
      <c r="J2" s="1761"/>
    </row>
    <row r="3" spans="1:15" ht="13.8" thickBot="1">
      <c r="A3" s="1173"/>
      <c r="B3" s="1173"/>
      <c r="C3" s="2501" t="s">
        <v>2577</v>
      </c>
      <c r="D3" s="2502"/>
      <c r="E3" s="1761"/>
      <c r="F3" s="2501" t="s">
        <v>2578</v>
      </c>
      <c r="G3" s="2502"/>
      <c r="H3" s="1174"/>
      <c r="I3" s="1174"/>
      <c r="J3" s="1761"/>
    </row>
    <row r="4" spans="1:15" ht="13.8" thickBot="1">
      <c r="A4" s="1173"/>
      <c r="B4" s="1774" t="s">
        <v>50</v>
      </c>
      <c r="C4" s="1767" t="s">
        <v>109</v>
      </c>
      <c r="D4" s="1756" t="s">
        <v>108</v>
      </c>
      <c r="E4" s="1761"/>
      <c r="F4" s="1767" t="s">
        <v>109</v>
      </c>
      <c r="G4" s="1756" t="s">
        <v>108</v>
      </c>
      <c r="H4" s="1174"/>
      <c r="I4" s="1174"/>
      <c r="J4" s="1761"/>
    </row>
    <row r="5" spans="1:15" s="1803" customFormat="1">
      <c r="A5" s="1764" t="s">
        <v>729</v>
      </c>
      <c r="B5" s="1764" t="s">
        <v>730</v>
      </c>
      <c r="C5" s="1765" t="s">
        <v>109</v>
      </c>
      <c r="D5" s="1765" t="s">
        <v>108</v>
      </c>
      <c r="E5" s="1768"/>
      <c r="F5" s="1765" t="s">
        <v>109</v>
      </c>
      <c r="G5" s="1765" t="s">
        <v>108</v>
      </c>
      <c r="H5" s="1766"/>
      <c r="I5" s="1766"/>
      <c r="J5" s="1768"/>
      <c r="N5" s="2007"/>
      <c r="O5" s="2007"/>
    </row>
    <row r="6" spans="1:15">
      <c r="A6" s="1743">
        <v>10100100001</v>
      </c>
      <c r="B6" s="1758" t="s">
        <v>909</v>
      </c>
      <c r="C6" s="1759">
        <v>25109328</v>
      </c>
      <c r="D6" s="1742" t="s">
        <v>2901</v>
      </c>
      <c r="E6" s="1010" t="s">
        <v>2458</v>
      </c>
      <c r="F6" s="1770">
        <f>ROUND(C6/1000,0)</f>
        <v>25109</v>
      </c>
      <c r="G6" s="1771" t="e">
        <f>ROUND(D6/1000,0)</f>
        <v>#VALUE!</v>
      </c>
      <c r="H6" t="s">
        <v>44</v>
      </c>
      <c r="I6" s="1775">
        <f>SUM(F6:F29)-2</f>
        <v>522936</v>
      </c>
    </row>
    <row r="7" spans="1:15">
      <c r="A7" s="1743">
        <v>10100100005</v>
      </c>
      <c r="B7" s="1758" t="s">
        <v>1125</v>
      </c>
      <c r="C7" s="1759">
        <v>18730</v>
      </c>
      <c r="D7" s="1742" t="s">
        <v>2901</v>
      </c>
      <c r="E7" s="1010" t="s">
        <v>2458</v>
      </c>
      <c r="F7" s="1770">
        <f t="shared" ref="F7:F75" si="0">ROUND(C7/1000,0)</f>
        <v>19</v>
      </c>
      <c r="G7" s="1771" t="e">
        <f t="shared" ref="G7:G75" si="1">ROUND(D7/1000,0)</f>
        <v>#VALUE!</v>
      </c>
      <c r="H7" t="s">
        <v>2579</v>
      </c>
      <c r="I7" s="1775">
        <f>F6+F7+F8+F10+F11+F13+F17+F23+F24+F25+F26+F27+F28-2</f>
        <v>503588</v>
      </c>
    </row>
    <row r="8" spans="1:15">
      <c r="A8" s="1743">
        <v>10100100014</v>
      </c>
      <c r="B8" s="1758" t="s">
        <v>911</v>
      </c>
      <c r="C8" s="1759">
        <v>14000</v>
      </c>
      <c r="D8" s="1742" t="s">
        <v>2901</v>
      </c>
      <c r="E8" s="1010" t="s">
        <v>2458</v>
      </c>
      <c r="F8" s="1770">
        <f t="shared" si="0"/>
        <v>14</v>
      </c>
      <c r="G8" s="1771" t="e">
        <f t="shared" si="1"/>
        <v>#VALUE!</v>
      </c>
      <c r="H8" t="s">
        <v>2459</v>
      </c>
      <c r="I8" s="1775">
        <f>I6-I7</f>
        <v>19348</v>
      </c>
    </row>
    <row r="9" spans="1:15">
      <c r="A9" s="1743">
        <v>10100100015</v>
      </c>
      <c r="B9" s="1758" t="s">
        <v>2571</v>
      </c>
      <c r="C9" s="1759">
        <v>3434570</v>
      </c>
      <c r="D9" s="1742" t="s">
        <v>2901</v>
      </c>
      <c r="E9" s="1737" t="s">
        <v>1176</v>
      </c>
      <c r="F9" s="1770">
        <f t="shared" si="0"/>
        <v>3435</v>
      </c>
      <c r="G9" s="1771" t="e">
        <f t="shared" si="1"/>
        <v>#VALUE!</v>
      </c>
    </row>
    <row r="10" spans="1:15">
      <c r="A10" s="1743">
        <v>10100100017</v>
      </c>
      <c r="B10" s="1744" t="s">
        <v>913</v>
      </c>
      <c r="C10" s="1759">
        <v>17000</v>
      </c>
      <c r="D10" s="1742" t="s">
        <v>2901</v>
      </c>
      <c r="E10" s="1010" t="s">
        <v>2458</v>
      </c>
      <c r="F10" s="1770">
        <f t="shared" si="0"/>
        <v>17</v>
      </c>
      <c r="G10" s="1771" t="e">
        <f t="shared" si="1"/>
        <v>#VALUE!</v>
      </c>
    </row>
    <row r="11" spans="1:15">
      <c r="A11" s="1743">
        <v>10100100018</v>
      </c>
      <c r="B11" s="1744" t="s">
        <v>1126</v>
      </c>
      <c r="C11" s="1759">
        <v>477609851</v>
      </c>
      <c r="D11" s="1742" t="s">
        <v>2901</v>
      </c>
      <c r="E11" s="1010" t="s">
        <v>2458</v>
      </c>
      <c r="F11" s="1770">
        <f t="shared" si="0"/>
        <v>477610</v>
      </c>
      <c r="G11" s="1771" t="e">
        <f t="shared" si="1"/>
        <v>#VALUE!</v>
      </c>
      <c r="H11" t="s">
        <v>2685</v>
      </c>
      <c r="I11" s="1775">
        <f>F10+F11+F12+F13+F20+F21+F22</f>
        <v>487548</v>
      </c>
    </row>
    <row r="12" spans="1:15">
      <c r="A12" s="1743">
        <v>10100100020</v>
      </c>
      <c r="B12" s="1744" t="s">
        <v>915</v>
      </c>
      <c r="C12" s="1759">
        <v>40361</v>
      </c>
      <c r="D12" s="1742" t="s">
        <v>2901</v>
      </c>
      <c r="E12" s="1737" t="s">
        <v>1176</v>
      </c>
      <c r="F12" s="1770">
        <f t="shared" si="0"/>
        <v>40</v>
      </c>
      <c r="G12" s="1771" t="e">
        <f t="shared" si="1"/>
        <v>#VALUE!</v>
      </c>
      <c r="H12" t="s">
        <v>2459</v>
      </c>
      <c r="I12" s="1775">
        <f>I11-F10-F11-F13</f>
        <v>9901</v>
      </c>
    </row>
    <row r="13" spans="1:15">
      <c r="A13" s="1743">
        <v>10100100021</v>
      </c>
      <c r="B13" s="1744" t="s">
        <v>917</v>
      </c>
      <c r="C13" s="1759">
        <v>19875</v>
      </c>
      <c r="D13" s="1742" t="s">
        <v>2901</v>
      </c>
      <c r="E13" s="1010" t="s">
        <v>2458</v>
      </c>
      <c r="F13" s="1770">
        <f t="shared" si="0"/>
        <v>20</v>
      </c>
      <c r="G13" s="1771" t="e">
        <f t="shared" si="1"/>
        <v>#VALUE!</v>
      </c>
      <c r="H13" t="s">
        <v>2579</v>
      </c>
      <c r="I13" s="1775">
        <f>I11-I12</f>
        <v>477647</v>
      </c>
    </row>
    <row r="14" spans="1:15">
      <c r="A14" s="1743">
        <v>10100100033</v>
      </c>
      <c r="B14" s="1758" t="s">
        <v>919</v>
      </c>
      <c r="C14" s="1759">
        <v>1495063</v>
      </c>
      <c r="D14" s="1742" t="s">
        <v>2901</v>
      </c>
      <c r="E14" s="1737" t="s">
        <v>1176</v>
      </c>
      <c r="F14" s="1770">
        <f t="shared" si="0"/>
        <v>1495</v>
      </c>
      <c r="G14" s="1771" t="e">
        <f t="shared" si="1"/>
        <v>#VALUE!</v>
      </c>
    </row>
    <row r="15" spans="1:15">
      <c r="A15" s="1743">
        <v>10100100034</v>
      </c>
      <c r="B15" s="1758" t="s">
        <v>921</v>
      </c>
      <c r="C15" s="1759">
        <v>2249966</v>
      </c>
      <c r="D15" s="1742" t="s">
        <v>2901</v>
      </c>
      <c r="E15" s="1737" t="s">
        <v>1176</v>
      </c>
      <c r="F15" s="1770">
        <f t="shared" si="0"/>
        <v>2250</v>
      </c>
      <c r="G15" s="1771" t="e">
        <f t="shared" si="1"/>
        <v>#VALUE!</v>
      </c>
    </row>
    <row r="16" spans="1:15">
      <c r="A16" s="1743">
        <v>10100100035</v>
      </c>
      <c r="B16" s="1758" t="s">
        <v>923</v>
      </c>
      <c r="C16" s="1759">
        <v>1368057</v>
      </c>
      <c r="D16" s="1742" t="s">
        <v>2901</v>
      </c>
      <c r="E16" s="1737" t="s">
        <v>1176</v>
      </c>
      <c r="F16" s="1770">
        <f t="shared" si="0"/>
        <v>1368</v>
      </c>
      <c r="G16" s="1771" t="e">
        <f t="shared" si="1"/>
        <v>#VALUE!</v>
      </c>
    </row>
    <row r="17" spans="1:15">
      <c r="A17" s="1743">
        <v>10100100040</v>
      </c>
      <c r="B17" s="1758" t="s">
        <v>927</v>
      </c>
      <c r="C17" s="1759">
        <v>9585</v>
      </c>
      <c r="D17" s="1742" t="s">
        <v>2901</v>
      </c>
      <c r="E17" s="1010" t="s">
        <v>2458</v>
      </c>
      <c r="F17" s="1770">
        <f t="shared" si="0"/>
        <v>10</v>
      </c>
      <c r="G17" s="1771" t="e">
        <f t="shared" si="1"/>
        <v>#VALUE!</v>
      </c>
      <c r="H17" s="385">
        <f>+C10+C11+C13</f>
        <v>477646726</v>
      </c>
    </row>
    <row r="18" spans="1:15">
      <c r="A18" s="1743">
        <v>10100100044</v>
      </c>
      <c r="B18" s="1758" t="s">
        <v>2706</v>
      </c>
      <c r="C18" s="1759">
        <v>322594</v>
      </c>
      <c r="D18" s="1742" t="s">
        <v>2901</v>
      </c>
      <c r="E18" s="1737" t="s">
        <v>1176</v>
      </c>
      <c r="F18" s="1770">
        <f t="shared" si="0"/>
        <v>323</v>
      </c>
      <c r="G18" s="1771" t="e">
        <f t="shared" si="1"/>
        <v>#VALUE!</v>
      </c>
      <c r="H18">
        <f>+H17/1000000</f>
        <v>477.646726</v>
      </c>
    </row>
    <row r="19" spans="1:15">
      <c r="A19" s="1743">
        <v>10100100045</v>
      </c>
      <c r="B19" s="1758" t="s">
        <v>2707</v>
      </c>
      <c r="C19" s="1759">
        <v>566948</v>
      </c>
      <c r="D19" s="1742" t="s">
        <v>2901</v>
      </c>
      <c r="E19" s="1737" t="s">
        <v>1176</v>
      </c>
      <c r="F19" s="1770">
        <f t="shared" si="0"/>
        <v>567</v>
      </c>
      <c r="G19" s="1771" t="e">
        <f t="shared" si="1"/>
        <v>#VALUE!</v>
      </c>
      <c r="H19" s="385">
        <f>+C12+C20+C21+C22</f>
        <v>9901681</v>
      </c>
    </row>
    <row r="20" spans="1:15">
      <c r="A20" s="1743">
        <v>10100100046</v>
      </c>
      <c r="B20" s="1744" t="s">
        <v>933</v>
      </c>
      <c r="C20" s="1759">
        <v>132033</v>
      </c>
      <c r="D20" s="1742" t="s">
        <v>2901</v>
      </c>
      <c r="E20" s="1737" t="s">
        <v>1176</v>
      </c>
      <c r="F20" s="1770">
        <f t="shared" si="0"/>
        <v>132</v>
      </c>
      <c r="G20" s="1771" t="e">
        <f t="shared" si="1"/>
        <v>#VALUE!</v>
      </c>
      <c r="H20">
        <f>+H19/1000000</f>
        <v>9.901681</v>
      </c>
    </row>
    <row r="21" spans="1:15">
      <c r="A21" s="1743">
        <v>10100100047</v>
      </c>
      <c r="B21" s="1744" t="s">
        <v>935</v>
      </c>
      <c r="C21" s="1759">
        <v>137860</v>
      </c>
      <c r="D21" s="1742" t="s">
        <v>2901</v>
      </c>
      <c r="E21" s="1737" t="s">
        <v>1176</v>
      </c>
      <c r="F21" s="1770">
        <f t="shared" si="0"/>
        <v>138</v>
      </c>
      <c r="G21" s="1771" t="e">
        <f t="shared" si="1"/>
        <v>#VALUE!</v>
      </c>
    </row>
    <row r="22" spans="1:15">
      <c r="A22" s="1743">
        <v>10100100054</v>
      </c>
      <c r="B22" s="1744" t="s">
        <v>1127</v>
      </c>
      <c r="C22" s="1759">
        <v>9591427</v>
      </c>
      <c r="D22" s="1742" t="s">
        <v>2901</v>
      </c>
      <c r="E22" s="1737" t="s">
        <v>1176</v>
      </c>
      <c r="F22" s="1770">
        <f t="shared" si="0"/>
        <v>9591</v>
      </c>
      <c r="G22" s="1771" t="e">
        <f t="shared" si="1"/>
        <v>#VALUE!</v>
      </c>
    </row>
    <row r="23" spans="1:15">
      <c r="A23" s="1743">
        <v>10100100069</v>
      </c>
      <c r="B23" s="1758" t="s">
        <v>1096</v>
      </c>
      <c r="C23" s="1759">
        <v>15740</v>
      </c>
      <c r="D23" s="1742" t="s">
        <v>2901</v>
      </c>
      <c r="E23" s="1010" t="s">
        <v>2458</v>
      </c>
      <c r="F23" s="1770">
        <f t="shared" si="0"/>
        <v>16</v>
      </c>
      <c r="G23" s="1771" t="e">
        <f t="shared" si="1"/>
        <v>#VALUE!</v>
      </c>
    </row>
    <row r="24" spans="1:15">
      <c r="A24" s="1743">
        <v>10100100075</v>
      </c>
      <c r="B24" s="1758" t="s">
        <v>1128</v>
      </c>
      <c r="C24" s="1759">
        <v>11554</v>
      </c>
      <c r="D24" s="1742" t="s">
        <v>2901</v>
      </c>
      <c r="E24" s="1010" t="s">
        <v>2458</v>
      </c>
      <c r="F24" s="1770">
        <f t="shared" si="0"/>
        <v>12</v>
      </c>
      <c r="G24" s="1771" t="e">
        <f t="shared" si="1"/>
        <v>#VALUE!</v>
      </c>
    </row>
    <row r="25" spans="1:15">
      <c r="A25" s="1743">
        <v>10100100087</v>
      </c>
      <c r="B25" s="1758" t="s">
        <v>1129</v>
      </c>
      <c r="C25" s="1759">
        <v>10529</v>
      </c>
      <c r="D25" s="1742" t="s">
        <v>2901</v>
      </c>
      <c r="E25" s="1010" t="s">
        <v>2458</v>
      </c>
      <c r="F25" s="1770">
        <f t="shared" si="0"/>
        <v>11</v>
      </c>
      <c r="G25" s="1771" t="e">
        <f t="shared" si="1"/>
        <v>#VALUE!</v>
      </c>
    </row>
    <row r="26" spans="1:15">
      <c r="A26" s="1743">
        <v>10100100094</v>
      </c>
      <c r="B26" s="1758" t="s">
        <v>2572</v>
      </c>
      <c r="C26" s="1759">
        <v>10872</v>
      </c>
      <c r="D26" s="1742" t="s">
        <v>2901</v>
      </c>
      <c r="E26" s="1010" t="s">
        <v>2458</v>
      </c>
      <c r="F26" s="1770">
        <f t="shared" si="0"/>
        <v>11</v>
      </c>
      <c r="G26" s="1771" t="e">
        <f t="shared" si="1"/>
        <v>#VALUE!</v>
      </c>
    </row>
    <row r="27" spans="1:15">
      <c r="A27" s="1743">
        <v>10100100100</v>
      </c>
      <c r="B27" s="1758" t="s">
        <v>1143</v>
      </c>
      <c r="C27" s="1759">
        <v>726434</v>
      </c>
      <c r="D27" s="1742" t="s">
        <v>2901</v>
      </c>
      <c r="E27" s="1010" t="s">
        <v>2458</v>
      </c>
      <c r="F27" s="1770">
        <f t="shared" si="0"/>
        <v>726</v>
      </c>
      <c r="G27" s="1771" t="e">
        <f t="shared" si="1"/>
        <v>#VALUE!</v>
      </c>
    </row>
    <row r="28" spans="1:15">
      <c r="A28" s="1743">
        <v>10100100103</v>
      </c>
      <c r="B28" s="1758" t="s">
        <v>2450</v>
      </c>
      <c r="C28" s="1759">
        <v>14725</v>
      </c>
      <c r="D28" s="1742" t="s">
        <v>2901</v>
      </c>
      <c r="E28" s="1010" t="s">
        <v>2458</v>
      </c>
      <c r="F28" s="1770">
        <f t="shared" si="0"/>
        <v>15</v>
      </c>
      <c r="G28" s="1771" t="e">
        <f t="shared" si="1"/>
        <v>#VALUE!</v>
      </c>
    </row>
    <row r="29" spans="1:15">
      <c r="A29" s="1760">
        <v>10100100122</v>
      </c>
      <c r="B29" s="1758" t="s">
        <v>2708</v>
      </c>
      <c r="C29" s="1759">
        <v>8651</v>
      </c>
      <c r="D29" s="1759" t="s">
        <v>2901</v>
      </c>
      <c r="E29" s="1737" t="s">
        <v>1176</v>
      </c>
      <c r="F29" s="1770">
        <f t="shared" si="0"/>
        <v>9</v>
      </c>
      <c r="G29" s="1771" t="e">
        <f t="shared" si="1"/>
        <v>#VALUE!</v>
      </c>
      <c r="H29" s="1010"/>
      <c r="I29" s="1010"/>
    </row>
    <row r="30" spans="1:15">
      <c r="A30" s="1760">
        <v>10300100001</v>
      </c>
      <c r="B30" s="1758" t="s">
        <v>837</v>
      </c>
      <c r="C30" s="1759">
        <v>12521879792</v>
      </c>
      <c r="D30" s="1759" t="s">
        <v>2901</v>
      </c>
      <c r="F30" s="1770">
        <f t="shared" si="0"/>
        <v>12521880</v>
      </c>
      <c r="G30" s="1771" t="e">
        <f t="shared" si="1"/>
        <v>#VALUE!</v>
      </c>
      <c r="H30" s="1776">
        <f>F30-G31+F32+F33</f>
        <v>10109298</v>
      </c>
      <c r="I30" s="1768" t="s">
        <v>112</v>
      </c>
    </row>
    <row r="31" spans="1:15">
      <c r="A31" s="1760">
        <v>10300100002</v>
      </c>
      <c r="B31" s="1758" t="s">
        <v>839</v>
      </c>
      <c r="C31" s="1759" t="s">
        <v>2901</v>
      </c>
      <c r="D31" s="1759">
        <v>2412581526</v>
      </c>
      <c r="F31" s="1770" t="e">
        <f t="shared" si="0"/>
        <v>#VALUE!</v>
      </c>
      <c r="G31" s="1771">
        <f t="shared" si="1"/>
        <v>2412582</v>
      </c>
      <c r="H31" s="1010"/>
      <c r="I31" s="1010"/>
    </row>
    <row r="32" spans="1:15" s="2014" customFormat="1">
      <c r="A32" s="1760">
        <v>10300300002</v>
      </c>
      <c r="B32" s="1758" t="s">
        <v>853</v>
      </c>
      <c r="C32" s="1759">
        <v>13</v>
      </c>
      <c r="D32" s="1759" t="s">
        <v>2901</v>
      </c>
      <c r="E32" s="2225"/>
      <c r="F32" s="1770">
        <f t="shared" si="0"/>
        <v>0</v>
      </c>
      <c r="G32" s="1771" t="e">
        <f t="shared" si="1"/>
        <v>#VALUE!</v>
      </c>
      <c r="H32" s="2011"/>
      <c r="I32" s="2011"/>
      <c r="J32" s="2011"/>
      <c r="M32" s="2008"/>
      <c r="N32" s="2010"/>
      <c r="O32" s="2010"/>
    </row>
    <row r="33" spans="1:15" s="2014" customFormat="1">
      <c r="A33" s="1760">
        <v>10300300003</v>
      </c>
      <c r="B33" s="1758" t="s">
        <v>855</v>
      </c>
      <c r="C33" s="1759">
        <v>4</v>
      </c>
      <c r="D33" s="1759" t="s">
        <v>2901</v>
      </c>
      <c r="E33" s="2225"/>
      <c r="F33" s="1770">
        <f t="shared" si="0"/>
        <v>0</v>
      </c>
      <c r="G33" s="1771" t="e">
        <f t="shared" si="1"/>
        <v>#VALUE!</v>
      </c>
      <c r="H33" s="2011"/>
      <c r="I33" s="2011"/>
      <c r="J33" s="2011"/>
      <c r="M33" s="2008"/>
      <c r="N33" s="2010"/>
      <c r="O33" s="2010"/>
    </row>
    <row r="34" spans="1:15" s="2014" customFormat="1">
      <c r="A34" s="2008">
        <v>10400100001</v>
      </c>
      <c r="B34" s="2009" t="s">
        <v>732</v>
      </c>
      <c r="C34" s="2010" t="s">
        <v>2901</v>
      </c>
      <c r="D34" s="2010">
        <v>35</v>
      </c>
      <c r="E34" s="2011"/>
      <c r="F34" s="2012" t="e">
        <f t="shared" si="0"/>
        <v>#VALUE!</v>
      </c>
      <c r="G34" s="2013">
        <f t="shared" si="1"/>
        <v>0</v>
      </c>
      <c r="H34" s="2030">
        <f>F35</f>
        <v>205018</v>
      </c>
      <c r="I34" s="2011" t="s">
        <v>197</v>
      </c>
      <c r="J34" s="2011"/>
      <c r="M34" s="2008"/>
      <c r="N34" s="2010"/>
      <c r="O34" s="2010"/>
    </row>
    <row r="35" spans="1:15">
      <c r="A35" s="2008">
        <v>10500100001</v>
      </c>
      <c r="B35" s="2009" t="s">
        <v>734</v>
      </c>
      <c r="C35" s="2010">
        <v>205017810</v>
      </c>
      <c r="D35" s="2010" t="s">
        <v>2901</v>
      </c>
      <c r="F35" s="2012">
        <f t="shared" si="0"/>
        <v>205018</v>
      </c>
      <c r="G35" s="2013" t="e">
        <f t="shared" si="1"/>
        <v>#VALUE!</v>
      </c>
      <c r="H35" s="1776">
        <f>SUM(F36:F39)</f>
        <v>3170</v>
      </c>
      <c r="I35" s="1768" t="s">
        <v>301</v>
      </c>
    </row>
    <row r="36" spans="1:15">
      <c r="A36" s="1760">
        <v>10601100001</v>
      </c>
      <c r="B36" s="1758" t="s">
        <v>1150</v>
      </c>
      <c r="C36" s="1759">
        <v>527000</v>
      </c>
      <c r="D36" s="1759" t="s">
        <v>2901</v>
      </c>
      <c r="F36" s="1770">
        <f t="shared" si="0"/>
        <v>527</v>
      </c>
      <c r="G36" s="1771" t="e">
        <f t="shared" si="1"/>
        <v>#VALUE!</v>
      </c>
      <c r="H36" s="1776">
        <f>F40</f>
        <v>69883</v>
      </c>
      <c r="I36" s="1768" t="s">
        <v>41</v>
      </c>
    </row>
    <row r="37" spans="1:15" ht="16.2" thickBot="1">
      <c r="A37" s="1760">
        <v>10601100014</v>
      </c>
      <c r="B37" s="1758" t="s">
        <v>882</v>
      </c>
      <c r="C37" s="1759">
        <v>70775</v>
      </c>
      <c r="D37" s="1759" t="s">
        <v>2901</v>
      </c>
      <c r="F37" s="1770">
        <f t="shared" si="0"/>
        <v>71</v>
      </c>
      <c r="G37" s="1771" t="e">
        <f t="shared" si="1"/>
        <v>#VALUE!</v>
      </c>
      <c r="H37" s="1778">
        <f>H35+H36</f>
        <v>73053</v>
      </c>
      <c r="I37" s="1768" t="s">
        <v>44</v>
      </c>
    </row>
    <row r="38" spans="1:15" ht="16.2" thickTop="1">
      <c r="A38" s="1760">
        <v>10601100017</v>
      </c>
      <c r="B38" s="1758" t="s">
        <v>884</v>
      </c>
      <c r="C38" s="1759">
        <v>58039</v>
      </c>
      <c r="D38" s="1759" t="s">
        <v>2901</v>
      </c>
      <c r="F38" s="1770">
        <f t="shared" si="0"/>
        <v>58</v>
      </c>
      <c r="G38" s="1771" t="e">
        <f t="shared" si="1"/>
        <v>#VALUE!</v>
      </c>
      <c r="H38" s="1010"/>
      <c r="I38" s="1010"/>
      <c r="M38" s="2106">
        <v>2716345</v>
      </c>
    </row>
    <row r="39" spans="1:15">
      <c r="A39" s="1760">
        <v>10601100018</v>
      </c>
      <c r="B39" s="1758" t="s">
        <v>1145</v>
      </c>
      <c r="C39" s="1759">
        <v>2514073</v>
      </c>
      <c r="D39" s="1759" t="s">
        <v>2901</v>
      </c>
      <c r="F39" s="1770">
        <f t="shared" si="0"/>
        <v>2514</v>
      </c>
      <c r="G39" s="1771" t="e">
        <f t="shared" si="1"/>
        <v>#VALUE!</v>
      </c>
      <c r="H39" s="1010"/>
      <c r="I39" s="1010"/>
      <c r="M39" s="2106">
        <v>5000</v>
      </c>
    </row>
    <row r="40" spans="1:15">
      <c r="A40" s="1760">
        <v>10602100001</v>
      </c>
      <c r="B40" s="1758" t="s">
        <v>904</v>
      </c>
      <c r="C40" s="1759">
        <v>69882578</v>
      </c>
      <c r="D40" s="1759" t="s">
        <v>2901</v>
      </c>
      <c r="F40" s="1770">
        <f t="shared" si="0"/>
        <v>69883</v>
      </c>
      <c r="G40" s="1771" t="e">
        <f t="shared" si="1"/>
        <v>#VALUE!</v>
      </c>
      <c r="H40" s="1010"/>
      <c r="I40" s="1010"/>
      <c r="M40" s="2106">
        <v>652292.65</v>
      </c>
    </row>
    <row r="41" spans="1:15">
      <c r="A41" s="1779">
        <v>10602200001</v>
      </c>
      <c r="B41" s="1780" t="s">
        <v>2644</v>
      </c>
      <c r="C41" s="1781">
        <v>2716345</v>
      </c>
      <c r="D41" s="1781" t="s">
        <v>2901</v>
      </c>
      <c r="E41" s="2226"/>
      <c r="F41" s="1783">
        <f t="shared" si="0"/>
        <v>2716</v>
      </c>
      <c r="G41" s="1783" t="e">
        <f t="shared" si="1"/>
        <v>#VALUE!</v>
      </c>
      <c r="H41" s="1010"/>
      <c r="I41" s="1010"/>
      <c r="M41" s="2106">
        <v>3877472</v>
      </c>
    </row>
    <row r="42" spans="1:15">
      <c r="A42" s="1779">
        <v>10602300001</v>
      </c>
      <c r="B42" s="1780" t="s">
        <v>736</v>
      </c>
      <c r="C42" s="1781">
        <v>5000</v>
      </c>
      <c r="D42" s="1781" t="s">
        <v>2901</v>
      </c>
      <c r="E42" s="2226"/>
      <c r="F42" s="1783">
        <f t="shared" si="0"/>
        <v>5</v>
      </c>
      <c r="G42" s="1783" t="e">
        <f t="shared" si="1"/>
        <v>#VALUE!</v>
      </c>
      <c r="H42" s="1010"/>
      <c r="I42" s="1010"/>
      <c r="M42" s="2106">
        <v>2499973</v>
      </c>
    </row>
    <row r="43" spans="1:15">
      <c r="A43" s="1779">
        <v>10700300001</v>
      </c>
      <c r="B43" s="1780" t="s">
        <v>888</v>
      </c>
      <c r="C43" s="1781">
        <v>652293</v>
      </c>
      <c r="D43" s="1781" t="s">
        <v>2901</v>
      </c>
      <c r="E43" s="2226"/>
      <c r="F43" s="1783">
        <f t="shared" si="0"/>
        <v>652</v>
      </c>
      <c r="G43" s="1783" t="e">
        <f t="shared" si="1"/>
        <v>#VALUE!</v>
      </c>
      <c r="H43" s="1010"/>
      <c r="I43" s="1010"/>
      <c r="M43" s="2106">
        <v>500000</v>
      </c>
    </row>
    <row r="44" spans="1:15">
      <c r="A44" s="1779">
        <v>10700400001</v>
      </c>
      <c r="B44" s="1780" t="s">
        <v>906</v>
      </c>
      <c r="C44" s="1781">
        <v>3877472</v>
      </c>
      <c r="D44" s="1781" t="s">
        <v>2901</v>
      </c>
      <c r="E44" s="2226"/>
      <c r="F44" s="1783">
        <f t="shared" si="0"/>
        <v>3877</v>
      </c>
      <c r="G44" s="1783" t="e">
        <f t="shared" si="1"/>
        <v>#VALUE!</v>
      </c>
      <c r="H44" s="1010"/>
      <c r="I44" s="1010"/>
      <c r="M44" s="2106">
        <v>31387.599999999999</v>
      </c>
    </row>
    <row r="45" spans="1:15" s="2014" customFormat="1">
      <c r="A45" s="1779">
        <v>10700500003</v>
      </c>
      <c r="B45" s="1780" t="s">
        <v>832</v>
      </c>
      <c r="C45" s="1781">
        <v>2500000</v>
      </c>
      <c r="D45" s="1781" t="s">
        <v>2901</v>
      </c>
      <c r="E45" s="2226"/>
      <c r="F45" s="1783">
        <f t="shared" si="0"/>
        <v>2500</v>
      </c>
      <c r="G45" s="1783" t="e">
        <f t="shared" si="1"/>
        <v>#VALUE!</v>
      </c>
      <c r="H45" s="2011"/>
      <c r="I45" s="2011"/>
      <c r="J45" s="2011"/>
      <c r="M45" s="2252">
        <v>318373</v>
      </c>
      <c r="N45" s="2010"/>
      <c r="O45" s="2010"/>
    </row>
    <row r="46" spans="1:15">
      <c r="A46" s="1779">
        <v>10700500005</v>
      </c>
      <c r="B46" s="1780" t="s">
        <v>834</v>
      </c>
      <c r="C46" s="1781" t="s">
        <v>2901</v>
      </c>
      <c r="D46" s="1781">
        <v>27</v>
      </c>
      <c r="E46" s="1782"/>
      <c r="F46" s="1783" t="e">
        <f t="shared" si="0"/>
        <v>#VALUE!</v>
      </c>
      <c r="G46" s="1783">
        <f t="shared" si="1"/>
        <v>0</v>
      </c>
      <c r="H46" s="1777"/>
      <c r="I46" s="1761"/>
      <c r="M46" s="2106">
        <v>2655115</v>
      </c>
    </row>
    <row r="47" spans="1:15">
      <c r="A47" s="1779">
        <v>10700600001</v>
      </c>
      <c r="B47" s="1780" t="s">
        <v>1151</v>
      </c>
      <c r="C47" s="1781">
        <v>500000</v>
      </c>
      <c r="D47" s="1781" t="s">
        <v>2901</v>
      </c>
      <c r="E47" s="1782"/>
      <c r="F47" s="1783">
        <f t="shared" si="0"/>
        <v>500</v>
      </c>
      <c r="G47" s="1783" t="e">
        <f t="shared" si="1"/>
        <v>#VALUE!</v>
      </c>
      <c r="H47" s="1784">
        <f>SUM(C41:C67)-SUM(D41:D67)</f>
        <v>17714437</v>
      </c>
      <c r="I47" s="1010"/>
      <c r="M47" s="2106">
        <v>204392.49</v>
      </c>
    </row>
    <row r="48" spans="1:15">
      <c r="A48" s="1779">
        <v>10700700006</v>
      </c>
      <c r="B48" s="1780" t="s">
        <v>826</v>
      </c>
      <c r="C48" s="1781" t="s">
        <v>2901</v>
      </c>
      <c r="D48" s="1781">
        <v>5</v>
      </c>
      <c r="E48" s="1782"/>
      <c r="F48" s="1783" t="e">
        <f t="shared" si="0"/>
        <v>#VALUE!</v>
      </c>
      <c r="G48" s="1783">
        <f t="shared" si="1"/>
        <v>0</v>
      </c>
      <c r="H48" s="1784">
        <f>ROUND(H47/1000,0)-1</f>
        <v>17713</v>
      </c>
      <c r="I48" s="1401" t="s">
        <v>2371</v>
      </c>
      <c r="M48" s="2106">
        <v>217954</v>
      </c>
    </row>
    <row r="49" spans="1:13">
      <c r="A49" s="1779">
        <v>10700700008</v>
      </c>
      <c r="B49" s="1780" t="s">
        <v>2451</v>
      </c>
      <c r="C49" s="1781">
        <v>24535</v>
      </c>
      <c r="D49" s="1781" t="s">
        <v>2901</v>
      </c>
      <c r="E49" s="1782"/>
      <c r="F49" s="1783">
        <f t="shared" si="0"/>
        <v>25</v>
      </c>
      <c r="G49" s="1783" t="e">
        <f t="shared" si="1"/>
        <v>#VALUE!</v>
      </c>
      <c r="H49" s="1010"/>
      <c r="I49" s="1010"/>
      <c r="M49" s="2106">
        <v>1249.98</v>
      </c>
    </row>
    <row r="50" spans="1:13">
      <c r="A50" s="1779">
        <v>10700700009</v>
      </c>
      <c r="B50" s="1780" t="s">
        <v>828</v>
      </c>
      <c r="C50" s="1781">
        <v>6858</v>
      </c>
      <c r="D50" s="1781" t="s">
        <v>2901</v>
      </c>
      <c r="E50" s="1782"/>
      <c r="F50" s="1783">
        <f t="shared" si="0"/>
        <v>7</v>
      </c>
      <c r="G50" s="1783" t="e">
        <f t="shared" si="1"/>
        <v>#VALUE!</v>
      </c>
      <c r="H50" s="1010"/>
      <c r="I50" s="1010"/>
      <c r="M50" s="2106">
        <v>4034882</v>
      </c>
    </row>
    <row r="51" spans="1:13">
      <c r="A51" s="1779">
        <v>10700800001</v>
      </c>
      <c r="B51" s="1780" t="s">
        <v>830</v>
      </c>
      <c r="C51" s="1781">
        <v>318373</v>
      </c>
      <c r="D51" s="1781" t="s">
        <v>2901</v>
      </c>
      <c r="E51" s="1782"/>
      <c r="F51" s="1783">
        <f t="shared" si="0"/>
        <v>318</v>
      </c>
      <c r="G51" s="1783" t="e">
        <f t="shared" si="1"/>
        <v>#VALUE!</v>
      </c>
      <c r="H51" s="1010"/>
      <c r="I51" s="1010"/>
      <c r="M51" s="2106">
        <f>SUM(M38:M50)</f>
        <v>17714436.719999999</v>
      </c>
    </row>
    <row r="52" spans="1:13">
      <c r="A52" s="1779">
        <v>10700900001</v>
      </c>
      <c r="B52" s="1780" t="s">
        <v>943</v>
      </c>
      <c r="C52" s="1781">
        <v>436769</v>
      </c>
      <c r="D52" s="1781" t="s">
        <v>2901</v>
      </c>
      <c r="E52" s="1782"/>
      <c r="F52" s="1783">
        <f t="shared" si="0"/>
        <v>437</v>
      </c>
      <c r="G52" s="1783" t="e">
        <f t="shared" si="1"/>
        <v>#VALUE!</v>
      </c>
      <c r="H52" s="1010"/>
      <c r="I52" s="1010"/>
    </row>
    <row r="53" spans="1:13">
      <c r="A53" s="1779">
        <v>10700900002</v>
      </c>
      <c r="B53" s="1780" t="s">
        <v>945</v>
      </c>
      <c r="C53" s="1781">
        <v>156790</v>
      </c>
      <c r="D53" s="1781" t="s">
        <v>2901</v>
      </c>
      <c r="E53" s="1782"/>
      <c r="F53" s="1783">
        <f t="shared" si="0"/>
        <v>157</v>
      </c>
      <c r="G53" s="1783" t="e">
        <f t="shared" si="1"/>
        <v>#VALUE!</v>
      </c>
      <c r="H53" s="1010"/>
      <c r="I53" s="1010"/>
    </row>
    <row r="54" spans="1:13">
      <c r="A54" s="1779">
        <v>10700900003</v>
      </c>
      <c r="B54" s="1780" t="s">
        <v>947</v>
      </c>
      <c r="C54" s="1781">
        <v>597477</v>
      </c>
      <c r="D54" s="1781" t="s">
        <v>2901</v>
      </c>
      <c r="E54" s="1782"/>
      <c r="F54" s="1783">
        <f t="shared" si="0"/>
        <v>597</v>
      </c>
      <c r="G54" s="1783" t="e">
        <f t="shared" si="1"/>
        <v>#VALUE!</v>
      </c>
      <c r="H54" s="1010"/>
      <c r="I54" s="1010"/>
    </row>
    <row r="55" spans="1:13">
      <c r="A55" s="1779">
        <v>10700900004</v>
      </c>
      <c r="B55" s="1780" t="s">
        <v>949</v>
      </c>
      <c r="C55" s="1781">
        <v>403493</v>
      </c>
      <c r="D55" s="1781" t="s">
        <v>2901</v>
      </c>
      <c r="E55" s="1782"/>
      <c r="F55" s="1783">
        <f t="shared" si="0"/>
        <v>403</v>
      </c>
      <c r="G55" s="1783" t="e">
        <f t="shared" si="1"/>
        <v>#VALUE!</v>
      </c>
      <c r="H55" s="1010"/>
      <c r="I55" s="1010"/>
    </row>
    <row r="56" spans="1:13">
      <c r="A56" s="1779">
        <v>10700900005</v>
      </c>
      <c r="B56" s="1780" t="s">
        <v>951</v>
      </c>
      <c r="C56" s="1781" t="s">
        <v>2901</v>
      </c>
      <c r="D56" s="1781">
        <v>90907</v>
      </c>
      <c r="E56" s="1782"/>
      <c r="F56" s="1783" t="e">
        <f t="shared" si="0"/>
        <v>#VALUE!</v>
      </c>
      <c r="G56" s="1783">
        <f t="shared" si="1"/>
        <v>91</v>
      </c>
      <c r="H56" s="1010"/>
      <c r="I56" s="1010"/>
    </row>
    <row r="57" spans="1:13">
      <c r="A57" s="1779">
        <v>10700900006</v>
      </c>
      <c r="B57" s="1780" t="s">
        <v>953</v>
      </c>
      <c r="C57" s="1781">
        <v>688501</v>
      </c>
      <c r="D57" s="1781" t="s">
        <v>2901</v>
      </c>
      <c r="E57" s="1782"/>
      <c r="F57" s="1783">
        <f t="shared" si="0"/>
        <v>689</v>
      </c>
      <c r="G57" s="1783" t="e">
        <f t="shared" si="1"/>
        <v>#VALUE!</v>
      </c>
      <c r="H57" s="1010"/>
      <c r="I57" s="1010"/>
    </row>
    <row r="58" spans="1:13">
      <c r="A58" s="1779">
        <v>10700900007</v>
      </c>
      <c r="B58" s="1780" t="s">
        <v>955</v>
      </c>
      <c r="C58" s="1781">
        <v>108815</v>
      </c>
      <c r="D58" s="1781" t="s">
        <v>2901</v>
      </c>
      <c r="E58" s="1782"/>
      <c r="F58" s="1783">
        <f t="shared" si="0"/>
        <v>109</v>
      </c>
      <c r="G58" s="1783" t="e">
        <f t="shared" si="1"/>
        <v>#VALUE!</v>
      </c>
      <c r="H58" s="1010"/>
      <c r="I58" s="1010"/>
    </row>
    <row r="59" spans="1:13">
      <c r="A59" s="1779">
        <v>10700900008</v>
      </c>
      <c r="B59" s="1780" t="s">
        <v>957</v>
      </c>
      <c r="C59" s="1781">
        <v>297661</v>
      </c>
      <c r="D59" s="1781" t="s">
        <v>2901</v>
      </c>
      <c r="E59" s="1782"/>
      <c r="F59" s="1783">
        <f t="shared" si="0"/>
        <v>298</v>
      </c>
      <c r="G59" s="1783" t="e">
        <f t="shared" si="1"/>
        <v>#VALUE!</v>
      </c>
      <c r="H59" s="1010"/>
      <c r="I59" s="1010"/>
    </row>
    <row r="60" spans="1:13">
      <c r="A60" s="1779">
        <v>10700900009</v>
      </c>
      <c r="B60" s="1780" t="s">
        <v>959</v>
      </c>
      <c r="C60" s="1781">
        <v>56516</v>
      </c>
      <c r="D60" s="1781" t="s">
        <v>2901</v>
      </c>
      <c r="E60" s="1782"/>
      <c r="F60" s="1783">
        <f t="shared" si="0"/>
        <v>57</v>
      </c>
      <c r="G60" s="1783" t="e">
        <f t="shared" si="1"/>
        <v>#VALUE!</v>
      </c>
      <c r="H60" s="1010"/>
      <c r="I60" s="1010"/>
    </row>
    <row r="61" spans="1:13">
      <c r="A61" s="1779">
        <v>10701000001</v>
      </c>
      <c r="B61" s="1780" t="s">
        <v>961</v>
      </c>
      <c r="C61" s="1781">
        <v>204392</v>
      </c>
      <c r="D61" s="1781" t="s">
        <v>2901</v>
      </c>
      <c r="E61" s="1782"/>
      <c r="F61" s="1783">
        <f t="shared" si="0"/>
        <v>204</v>
      </c>
      <c r="G61" s="1783" t="e">
        <f t="shared" si="1"/>
        <v>#VALUE!</v>
      </c>
      <c r="H61" s="1010"/>
      <c r="I61" s="1010"/>
    </row>
    <row r="62" spans="1:13">
      <c r="A62" s="1779">
        <v>10800100001</v>
      </c>
      <c r="B62" s="1780" t="s">
        <v>107</v>
      </c>
      <c r="C62" s="1781">
        <v>3188690</v>
      </c>
      <c r="D62" s="1781" t="s">
        <v>2901</v>
      </c>
      <c r="E62" s="1782"/>
      <c r="F62" s="1783">
        <f t="shared" si="0"/>
        <v>3189</v>
      </c>
      <c r="G62" s="1783" t="e">
        <f t="shared" si="1"/>
        <v>#VALUE!</v>
      </c>
      <c r="H62" s="1010"/>
      <c r="I62" s="1010"/>
    </row>
    <row r="63" spans="1:13">
      <c r="A63" s="1779">
        <v>10800100002</v>
      </c>
      <c r="B63" s="1780" t="s">
        <v>964</v>
      </c>
      <c r="C63" s="1781" t="s">
        <v>2901</v>
      </c>
      <c r="D63" s="1781">
        <v>3188690</v>
      </c>
      <c r="E63" s="1782"/>
      <c r="F63" s="1783" t="e">
        <f t="shared" si="0"/>
        <v>#VALUE!</v>
      </c>
      <c r="G63" s="1783">
        <f t="shared" si="1"/>
        <v>3189</v>
      </c>
      <c r="H63" s="1010"/>
      <c r="I63" s="1010"/>
    </row>
    <row r="64" spans="1:13">
      <c r="A64" s="1779">
        <v>10900200001</v>
      </c>
      <c r="B64" s="1780" t="s">
        <v>103</v>
      </c>
      <c r="C64" s="1781">
        <v>217954</v>
      </c>
      <c r="D64" s="1781" t="s">
        <v>2901</v>
      </c>
      <c r="E64" s="1782"/>
      <c r="F64" s="1783">
        <f t="shared" si="0"/>
        <v>218</v>
      </c>
      <c r="G64" s="1783" t="e">
        <f t="shared" si="1"/>
        <v>#VALUE!</v>
      </c>
      <c r="H64" s="1010"/>
      <c r="I64" s="1010"/>
    </row>
    <row r="65" spans="1:15">
      <c r="A65" s="1779">
        <v>11500100001</v>
      </c>
      <c r="B65" s="1780" t="s">
        <v>2452</v>
      </c>
      <c r="C65" s="1781" t="s">
        <v>2901</v>
      </c>
      <c r="D65" s="1781">
        <v>0</v>
      </c>
      <c r="E65" s="1782"/>
      <c r="F65" s="1783" t="e">
        <f t="shared" si="0"/>
        <v>#VALUE!</v>
      </c>
      <c r="G65" s="1783">
        <f t="shared" si="1"/>
        <v>0</v>
      </c>
      <c r="H65" s="1010"/>
      <c r="I65" s="1010"/>
    </row>
    <row r="66" spans="1:15">
      <c r="A66" s="1779">
        <v>11500100002</v>
      </c>
      <c r="B66" s="1780" t="s">
        <v>2453</v>
      </c>
      <c r="C66" s="1781">
        <v>1250</v>
      </c>
      <c r="D66" s="1781" t="s">
        <v>2901</v>
      </c>
      <c r="E66" s="1782"/>
      <c r="F66" s="1783">
        <f t="shared" si="0"/>
        <v>1</v>
      </c>
      <c r="G66" s="1783" t="e">
        <f t="shared" si="1"/>
        <v>#VALUE!</v>
      </c>
      <c r="H66" s="1010"/>
      <c r="I66" s="1010"/>
    </row>
    <row r="67" spans="1:15">
      <c r="A67" s="1779">
        <v>1190010001</v>
      </c>
      <c r="B67" s="1780" t="s">
        <v>2645</v>
      </c>
      <c r="C67" s="1781">
        <v>4034882</v>
      </c>
      <c r="D67" s="1781" t="s">
        <v>2901</v>
      </c>
      <c r="E67" s="1782"/>
      <c r="F67" s="1783">
        <f t="shared" si="0"/>
        <v>4035</v>
      </c>
      <c r="G67" s="1783" t="e">
        <f t="shared" si="1"/>
        <v>#VALUE!</v>
      </c>
      <c r="H67" s="1010"/>
      <c r="I67" s="1010"/>
    </row>
    <row r="68" spans="1:15">
      <c r="A68" s="1760">
        <v>20100100001</v>
      </c>
      <c r="B68" s="1758" t="s">
        <v>966</v>
      </c>
      <c r="C68" s="1759" t="s">
        <v>2901</v>
      </c>
      <c r="D68" s="1759">
        <v>1396750800</v>
      </c>
      <c r="E68" s="2227"/>
      <c r="F68" s="1770" t="e">
        <f t="shared" si="0"/>
        <v>#VALUE!</v>
      </c>
      <c r="G68" s="1770">
        <f t="shared" si="1"/>
        <v>1396751</v>
      </c>
      <c r="H68" s="1010"/>
      <c r="I68" s="1010"/>
    </row>
    <row r="69" spans="1:15">
      <c r="A69" s="1760">
        <v>20100200001</v>
      </c>
      <c r="B69" s="1758" t="s">
        <v>968</v>
      </c>
      <c r="C69" s="1759">
        <v>1433959617</v>
      </c>
      <c r="D69" s="1759" t="s">
        <v>2901</v>
      </c>
      <c r="E69" s="2227"/>
      <c r="F69" s="1770">
        <f t="shared" si="0"/>
        <v>1433960</v>
      </c>
      <c r="G69" s="1770" t="e">
        <f t="shared" si="1"/>
        <v>#VALUE!</v>
      </c>
      <c r="H69" s="1010"/>
      <c r="I69" s="1010"/>
    </row>
    <row r="70" spans="1:15">
      <c r="A70" s="1760">
        <v>20100300001</v>
      </c>
      <c r="B70" s="1758" t="s">
        <v>970</v>
      </c>
      <c r="C70" s="1759" t="s">
        <v>2901</v>
      </c>
      <c r="D70" s="1759">
        <v>2376414389</v>
      </c>
      <c r="E70" s="2227"/>
      <c r="F70" s="1770" t="e">
        <f t="shared" si="0"/>
        <v>#VALUE!</v>
      </c>
      <c r="G70" s="1770">
        <f t="shared" si="1"/>
        <v>2376414</v>
      </c>
      <c r="H70" s="1010"/>
      <c r="I70" s="1010"/>
    </row>
    <row r="71" spans="1:15">
      <c r="A71" s="1760">
        <v>20100400001</v>
      </c>
      <c r="B71" s="1758" t="s">
        <v>972</v>
      </c>
      <c r="C71" s="1759">
        <v>3487631217</v>
      </c>
      <c r="D71" s="1759" t="s">
        <v>2901</v>
      </c>
      <c r="E71" s="2227"/>
      <c r="F71" s="1770">
        <f t="shared" si="0"/>
        <v>3487631</v>
      </c>
      <c r="G71" s="1770" t="e">
        <f t="shared" si="1"/>
        <v>#VALUE!</v>
      </c>
      <c r="H71" s="1010"/>
      <c r="I71" s="1010"/>
    </row>
    <row r="72" spans="1:15" s="2014" customFormat="1">
      <c r="A72" s="1760">
        <v>20200100001</v>
      </c>
      <c r="B72" s="1758" t="s">
        <v>974</v>
      </c>
      <c r="C72" s="1759">
        <v>19637087</v>
      </c>
      <c r="D72" s="1759" t="s">
        <v>2901</v>
      </c>
      <c r="E72" s="2227"/>
      <c r="F72" s="1770"/>
      <c r="G72" s="1770"/>
      <c r="H72" s="2011"/>
      <c r="I72" s="2011"/>
      <c r="J72" s="2011"/>
      <c r="M72" s="2008"/>
      <c r="N72" s="2015"/>
      <c r="O72" s="2015"/>
    </row>
    <row r="73" spans="1:15">
      <c r="A73" s="1760">
        <v>20200200001</v>
      </c>
      <c r="B73" s="1758" t="s">
        <v>976</v>
      </c>
      <c r="C73" s="1759" t="s">
        <v>2901</v>
      </c>
      <c r="D73" s="1759">
        <v>613655481</v>
      </c>
      <c r="F73" s="1770" t="e">
        <f t="shared" si="0"/>
        <v>#VALUE!</v>
      </c>
      <c r="G73" s="1771">
        <f t="shared" si="1"/>
        <v>613655</v>
      </c>
      <c r="H73" s="1010"/>
      <c r="I73" s="1010"/>
    </row>
    <row r="74" spans="1:15">
      <c r="A74" s="1760">
        <v>20500100001</v>
      </c>
      <c r="B74" s="1758" t="s">
        <v>978</v>
      </c>
      <c r="C74" s="1759" t="s">
        <v>2901</v>
      </c>
      <c r="D74" s="1759">
        <v>12397182412</v>
      </c>
      <c r="F74" s="1770" t="e">
        <f t="shared" si="0"/>
        <v>#VALUE!</v>
      </c>
      <c r="G74" s="1771">
        <f t="shared" si="1"/>
        <v>12397182</v>
      </c>
      <c r="H74" s="1010"/>
      <c r="I74" s="1010"/>
    </row>
    <row r="75" spans="1:15">
      <c r="A75" s="1760"/>
      <c r="B75" s="1758"/>
      <c r="C75" s="1759"/>
      <c r="D75" s="1759"/>
      <c r="F75" s="1770">
        <f t="shared" si="0"/>
        <v>0</v>
      </c>
      <c r="G75" s="1771">
        <f t="shared" si="1"/>
        <v>0</v>
      </c>
      <c r="H75" s="1010"/>
      <c r="I75" s="1010"/>
    </row>
    <row r="76" spans="1:15">
      <c r="A76" s="1760"/>
      <c r="B76" s="1758"/>
      <c r="C76" s="1759"/>
      <c r="D76" s="1759"/>
      <c r="F76" s="1770">
        <f t="shared" ref="F76:G80" si="2">ROUND(C76/1000,0)</f>
        <v>0</v>
      </c>
      <c r="G76" s="1771">
        <f t="shared" si="2"/>
        <v>0</v>
      </c>
      <c r="H76" s="1010"/>
      <c r="I76" s="1010"/>
    </row>
    <row r="77" spans="1:15">
      <c r="A77" s="1760"/>
      <c r="B77" s="1758"/>
      <c r="C77" s="1759"/>
      <c r="D77" s="1759"/>
      <c r="F77" s="1770">
        <f t="shared" si="2"/>
        <v>0</v>
      </c>
      <c r="G77" s="1771">
        <f t="shared" si="2"/>
        <v>0</v>
      </c>
      <c r="H77" s="1010"/>
      <c r="I77" s="1010"/>
    </row>
    <row r="78" spans="1:15">
      <c r="A78" s="1743"/>
      <c r="B78" s="1758"/>
      <c r="C78" s="1759"/>
      <c r="D78" s="1742"/>
      <c r="F78" s="1770">
        <f t="shared" si="2"/>
        <v>0</v>
      </c>
      <c r="G78" s="1771">
        <f t="shared" si="2"/>
        <v>0</v>
      </c>
    </row>
    <row r="79" spans="1:15" s="2014" customFormat="1">
      <c r="A79" s="2016"/>
      <c r="B79" s="2009"/>
      <c r="C79" s="2010"/>
      <c r="D79" s="2017"/>
      <c r="E79" s="2011"/>
      <c r="F79" s="1770">
        <f t="shared" si="2"/>
        <v>0</v>
      </c>
      <c r="G79" s="1771">
        <f t="shared" si="2"/>
        <v>0</v>
      </c>
      <c r="H79" s="2018"/>
      <c r="I79" s="2018"/>
      <c r="J79" s="2011"/>
      <c r="M79" s="2016"/>
      <c r="N79" s="2010"/>
      <c r="O79" s="2017"/>
    </row>
    <row r="80" spans="1:15" ht="16.2" thickBot="1">
      <c r="A80" s="1743"/>
      <c r="B80" s="1758"/>
      <c r="C80" s="1759"/>
      <c r="D80" s="1742"/>
      <c r="F80" s="1770">
        <f t="shared" si="2"/>
        <v>0</v>
      </c>
      <c r="G80" s="1771">
        <f t="shared" si="2"/>
        <v>0</v>
      </c>
    </row>
    <row r="81" spans="1:12" ht="16.2" thickBot="1">
      <c r="A81" s="1743"/>
      <c r="B81" s="1741"/>
      <c r="C81" s="2501" t="s">
        <v>2577</v>
      </c>
      <c r="D81" s="2502"/>
      <c r="E81" s="1761"/>
      <c r="F81" s="2503" t="s">
        <v>2578</v>
      </c>
      <c r="G81" s="2504"/>
      <c r="H81" s="383"/>
      <c r="I81" s="383"/>
    </row>
    <row r="82" spans="1:12" ht="16.2" thickBot="1">
      <c r="A82" s="1743"/>
      <c r="B82" s="1756" t="s">
        <v>2454</v>
      </c>
      <c r="C82" s="1767" t="s">
        <v>109</v>
      </c>
      <c r="D82" s="1756" t="s">
        <v>108</v>
      </c>
      <c r="E82" s="1761"/>
      <c r="F82" s="1772" t="s">
        <v>109</v>
      </c>
      <c r="G82" s="1773" t="s">
        <v>108</v>
      </c>
      <c r="H82" s="383"/>
      <c r="I82" s="383"/>
    </row>
    <row r="83" spans="1:12">
      <c r="A83" s="1790">
        <v>30100100001</v>
      </c>
      <c r="B83" s="1791" t="s">
        <v>762</v>
      </c>
      <c r="C83" s="1792" t="s">
        <v>2901</v>
      </c>
      <c r="D83" s="1792">
        <v>17496055</v>
      </c>
      <c r="E83" s="1793"/>
      <c r="F83" s="1794" t="e">
        <f t="shared" ref="F83:F118" si="3">ROUND(C83/1000,0)</f>
        <v>#VALUE!</v>
      </c>
      <c r="G83" s="1794">
        <f t="shared" ref="G83:G118" si="4">ROUND(D83/1000,0)</f>
        <v>17496</v>
      </c>
      <c r="H83" s="1797">
        <f>G83+G84+G86+G113+G114</f>
        <v>56154</v>
      </c>
      <c r="I83" s="1793" t="s">
        <v>2580</v>
      </c>
      <c r="L83" s="2002"/>
    </row>
    <row r="84" spans="1:12">
      <c r="A84" s="1790">
        <v>30100200001</v>
      </c>
      <c r="B84" s="1791" t="s">
        <v>782</v>
      </c>
      <c r="C84" s="1792" t="s">
        <v>2901</v>
      </c>
      <c r="D84" s="1792">
        <v>450445</v>
      </c>
      <c r="E84" s="1793"/>
      <c r="F84" s="1794" t="e">
        <f t="shared" si="3"/>
        <v>#VALUE!</v>
      </c>
      <c r="G84" s="1794">
        <f>ROUND(D84/1000,0)</f>
        <v>450</v>
      </c>
      <c r="H84" s="1797">
        <f>G84-I84</f>
        <v>449</v>
      </c>
      <c r="I84" s="1793">
        <v>1</v>
      </c>
      <c r="L84" s="2002"/>
    </row>
    <row r="85" spans="1:12">
      <c r="A85" s="1790">
        <v>30100200003</v>
      </c>
      <c r="B85" s="1791" t="s">
        <v>2573</v>
      </c>
      <c r="C85" s="1792" t="s">
        <v>2901</v>
      </c>
      <c r="D85" s="1792">
        <v>1</v>
      </c>
      <c r="E85" s="1793"/>
      <c r="F85" s="1794" t="e">
        <f t="shared" si="3"/>
        <v>#VALUE!</v>
      </c>
      <c r="G85" s="1794">
        <f t="shared" si="4"/>
        <v>0</v>
      </c>
      <c r="H85" s="1793"/>
      <c r="I85" s="1793"/>
      <c r="L85" s="2002"/>
    </row>
    <row r="86" spans="1:12">
      <c r="A86" s="1790">
        <v>30100600001</v>
      </c>
      <c r="B86" s="1791" t="s">
        <v>764</v>
      </c>
      <c r="C86" s="1792" t="s">
        <v>2901</v>
      </c>
      <c r="D86" s="1792">
        <v>2274597</v>
      </c>
      <c r="E86" s="1793"/>
      <c r="F86" s="1794" t="e">
        <f t="shared" si="3"/>
        <v>#VALUE!</v>
      </c>
      <c r="G86" s="1794">
        <f t="shared" si="4"/>
        <v>2275</v>
      </c>
      <c r="H86" s="1793"/>
      <c r="I86" s="1793"/>
      <c r="L86" s="2002"/>
    </row>
    <row r="87" spans="1:12">
      <c r="A87" s="1749">
        <v>30100700001</v>
      </c>
      <c r="B87" s="1744" t="s">
        <v>766</v>
      </c>
      <c r="C87" s="1745" t="s">
        <v>2901</v>
      </c>
      <c r="D87" s="1745">
        <v>54773935</v>
      </c>
      <c r="E87" s="1737"/>
      <c r="F87" s="1801" t="e">
        <f t="shared" si="3"/>
        <v>#VALUE!</v>
      </c>
      <c r="G87" s="1801">
        <f t="shared" si="4"/>
        <v>54774</v>
      </c>
      <c r="H87" s="1737"/>
      <c r="I87" s="1737"/>
      <c r="L87" s="2002"/>
    </row>
    <row r="88" spans="1:12">
      <c r="A88" s="1746">
        <v>30100800001</v>
      </c>
      <c r="B88" s="1747" t="s">
        <v>768</v>
      </c>
      <c r="C88" s="1748" t="s">
        <v>2901</v>
      </c>
      <c r="D88" s="1748">
        <v>124846</v>
      </c>
      <c r="E88" s="1738"/>
      <c r="F88" s="1795" t="e">
        <f t="shared" si="3"/>
        <v>#VALUE!</v>
      </c>
      <c r="G88" s="1795">
        <f t="shared" si="4"/>
        <v>125</v>
      </c>
      <c r="H88" s="1796">
        <f>G88+G90</f>
        <v>1085</v>
      </c>
      <c r="I88" s="1738" t="s">
        <v>2581</v>
      </c>
    </row>
    <row r="89" spans="1:12">
      <c r="A89" s="1749">
        <v>30100900001</v>
      </c>
      <c r="B89" s="1744" t="s">
        <v>784</v>
      </c>
      <c r="C89" s="1745" t="s">
        <v>2901</v>
      </c>
      <c r="D89" s="1745">
        <v>3932683</v>
      </c>
      <c r="E89" s="1737"/>
      <c r="F89" s="1801" t="e">
        <f t="shared" si="3"/>
        <v>#VALUE!</v>
      </c>
      <c r="G89" s="1801">
        <f t="shared" si="4"/>
        <v>3933</v>
      </c>
      <c r="H89" s="1737"/>
      <c r="I89" s="1737"/>
      <c r="L89" s="2106"/>
    </row>
    <row r="90" spans="1:12">
      <c r="A90" s="1746">
        <v>30200100001</v>
      </c>
      <c r="B90" s="1747" t="s">
        <v>770</v>
      </c>
      <c r="C90" s="1748" t="s">
        <v>2901</v>
      </c>
      <c r="D90" s="1748">
        <v>960278</v>
      </c>
      <c r="E90" s="1738"/>
      <c r="F90" s="1795" t="e">
        <f t="shared" si="3"/>
        <v>#VALUE!</v>
      </c>
      <c r="G90" s="1795">
        <f t="shared" si="4"/>
        <v>960</v>
      </c>
      <c r="H90" s="1738"/>
      <c r="I90" s="1738"/>
      <c r="L90" s="2106"/>
    </row>
    <row r="91" spans="1:12">
      <c r="A91" s="1749">
        <v>30300200001</v>
      </c>
      <c r="B91" s="1744" t="s">
        <v>772</v>
      </c>
      <c r="C91" s="1745" t="s">
        <v>2901</v>
      </c>
      <c r="D91" s="1745">
        <v>4667</v>
      </c>
      <c r="E91" s="1737"/>
      <c r="F91" s="1801" t="e">
        <f t="shared" si="3"/>
        <v>#VALUE!</v>
      </c>
      <c r="G91" s="1801">
        <f t="shared" si="4"/>
        <v>5</v>
      </c>
      <c r="H91" s="1737"/>
      <c r="I91" s="1737"/>
    </row>
    <row r="92" spans="1:12">
      <c r="A92" s="1760">
        <v>30400100001</v>
      </c>
      <c r="B92" s="1758" t="s">
        <v>774</v>
      </c>
      <c r="C92" s="1759" t="s">
        <v>2901</v>
      </c>
      <c r="D92" s="1759">
        <v>1751141</v>
      </c>
      <c r="F92" s="1770" t="e">
        <f t="shared" si="3"/>
        <v>#VALUE!</v>
      </c>
      <c r="G92" s="1770">
        <f t="shared" si="4"/>
        <v>1751</v>
      </c>
      <c r="H92" s="1010"/>
      <c r="I92" s="1010" t="s">
        <v>2582</v>
      </c>
      <c r="L92" s="2107"/>
    </row>
    <row r="93" spans="1:12">
      <c r="A93" s="1760">
        <v>30500100001</v>
      </c>
      <c r="B93" s="1758" t="s">
        <v>823</v>
      </c>
      <c r="C93" s="1759" t="s">
        <v>2901</v>
      </c>
      <c r="D93" s="1759">
        <v>117893908</v>
      </c>
      <c r="F93" s="1770" t="e">
        <f t="shared" si="3"/>
        <v>#VALUE!</v>
      </c>
      <c r="G93" s="1770">
        <f t="shared" si="4"/>
        <v>117894</v>
      </c>
      <c r="H93" s="1010"/>
      <c r="I93" s="1010" t="s">
        <v>2583</v>
      </c>
    </row>
    <row r="94" spans="1:12">
      <c r="A94" s="1760">
        <v>30700100001</v>
      </c>
      <c r="B94" s="1758" t="s">
        <v>166</v>
      </c>
      <c r="C94" s="1759" t="s">
        <v>2901</v>
      </c>
      <c r="D94" s="1759">
        <v>385570</v>
      </c>
      <c r="F94" s="1770" t="e">
        <f t="shared" si="3"/>
        <v>#VALUE!</v>
      </c>
      <c r="G94" s="1771">
        <f t="shared" si="4"/>
        <v>386</v>
      </c>
      <c r="H94" s="1010"/>
      <c r="I94" s="1010" t="s">
        <v>154</v>
      </c>
    </row>
    <row r="95" spans="1:12">
      <c r="A95" s="1749">
        <v>30900100001</v>
      </c>
      <c r="B95" s="1744" t="s">
        <v>787</v>
      </c>
      <c r="C95" s="1745" t="s">
        <v>2901</v>
      </c>
      <c r="D95" s="1745">
        <v>40396</v>
      </c>
      <c r="E95" s="1737"/>
      <c r="F95" s="1801" t="e">
        <f t="shared" si="3"/>
        <v>#VALUE!</v>
      </c>
      <c r="G95" s="1801">
        <f t="shared" si="4"/>
        <v>40</v>
      </c>
      <c r="H95" s="1737"/>
      <c r="I95" s="1802">
        <f>SUM(G95:G105)</f>
        <v>9722</v>
      </c>
      <c r="J95" s="1737"/>
    </row>
    <row r="96" spans="1:12">
      <c r="A96" s="1749">
        <v>30900100002</v>
      </c>
      <c r="B96" s="1744" t="s">
        <v>789</v>
      </c>
      <c r="C96" s="1745" t="s">
        <v>2901</v>
      </c>
      <c r="D96" s="1745">
        <v>132770</v>
      </c>
      <c r="E96" s="1737"/>
      <c r="F96" s="1801" t="e">
        <f t="shared" si="3"/>
        <v>#VALUE!</v>
      </c>
      <c r="G96" s="1801">
        <f t="shared" si="4"/>
        <v>133</v>
      </c>
      <c r="H96" s="1737"/>
      <c r="I96" s="1737"/>
      <c r="J96" s="1737"/>
    </row>
    <row r="97" spans="1:10">
      <c r="A97" s="1749">
        <v>30900100003</v>
      </c>
      <c r="B97" s="1744" t="s">
        <v>791</v>
      </c>
      <c r="C97" s="1745" t="s">
        <v>2901</v>
      </c>
      <c r="D97" s="1745">
        <v>138632</v>
      </c>
      <c r="E97" s="1737"/>
      <c r="F97" s="1801" t="e">
        <f t="shared" si="3"/>
        <v>#VALUE!</v>
      </c>
      <c r="G97" s="1801">
        <f t="shared" si="4"/>
        <v>139</v>
      </c>
      <c r="H97" s="1737"/>
      <c r="I97" s="1737"/>
      <c r="J97" s="1737"/>
    </row>
    <row r="98" spans="1:10">
      <c r="A98" s="1749">
        <v>30900100004</v>
      </c>
      <c r="B98" s="1744" t="s">
        <v>793</v>
      </c>
      <c r="C98" s="1745" t="s">
        <v>2901</v>
      </c>
      <c r="D98" s="1745">
        <v>322594</v>
      </c>
      <c r="E98" s="1737"/>
      <c r="F98" s="1801" t="e">
        <f t="shared" si="3"/>
        <v>#VALUE!</v>
      </c>
      <c r="G98" s="1801">
        <f t="shared" si="4"/>
        <v>323</v>
      </c>
      <c r="H98" s="1737"/>
      <c r="I98" s="1737"/>
      <c r="J98" s="1737"/>
    </row>
    <row r="99" spans="1:10">
      <c r="A99" s="1749">
        <v>30900100005</v>
      </c>
      <c r="B99" s="1744" t="s">
        <v>795</v>
      </c>
      <c r="C99" s="1745" t="s">
        <v>2901</v>
      </c>
      <c r="D99" s="1745">
        <v>566948</v>
      </c>
      <c r="E99" s="1737"/>
      <c r="F99" s="1801" t="e">
        <f t="shared" si="3"/>
        <v>#VALUE!</v>
      </c>
      <c r="G99" s="1801">
        <f t="shared" si="4"/>
        <v>567</v>
      </c>
      <c r="H99" s="1802">
        <f>G87+G89+G91+SUM(G95:G112)</f>
        <v>80011</v>
      </c>
      <c r="I99" s="1737" t="s">
        <v>2584</v>
      </c>
      <c r="J99" s="1737"/>
    </row>
    <row r="100" spans="1:10">
      <c r="A100" s="1749">
        <v>30900100006</v>
      </c>
      <c r="B100" s="1744" t="s">
        <v>797</v>
      </c>
      <c r="C100" s="1745" t="s">
        <v>2901</v>
      </c>
      <c r="D100" s="1745">
        <v>1495053</v>
      </c>
      <c r="E100" s="1737"/>
      <c r="F100" s="1801" t="e">
        <f t="shared" si="3"/>
        <v>#VALUE!</v>
      </c>
      <c r="G100" s="1801">
        <f t="shared" si="4"/>
        <v>1495</v>
      </c>
      <c r="H100" s="1737"/>
      <c r="I100" s="1737"/>
      <c r="J100" s="1737"/>
    </row>
    <row r="101" spans="1:10">
      <c r="A101" s="1749">
        <v>30900100007</v>
      </c>
      <c r="B101" s="1744" t="s">
        <v>799</v>
      </c>
      <c r="C101" s="1745" t="s">
        <v>2901</v>
      </c>
      <c r="D101" s="1745">
        <v>2249956</v>
      </c>
      <c r="E101" s="1737"/>
      <c r="F101" s="1801" t="e">
        <f t="shared" si="3"/>
        <v>#VALUE!</v>
      </c>
      <c r="G101" s="1801">
        <f t="shared" si="4"/>
        <v>2250</v>
      </c>
      <c r="H101" s="1737"/>
      <c r="I101" s="1737"/>
      <c r="J101" s="1737"/>
    </row>
    <row r="102" spans="1:10">
      <c r="A102" s="1749">
        <v>30900100008</v>
      </c>
      <c r="B102" s="1744" t="s">
        <v>801</v>
      </c>
      <c r="C102" s="1745" t="s">
        <v>2901</v>
      </c>
      <c r="D102" s="1745">
        <v>1633081</v>
      </c>
      <c r="E102" s="1737"/>
      <c r="F102" s="1801" t="e">
        <f t="shared" si="3"/>
        <v>#VALUE!</v>
      </c>
      <c r="G102" s="1801">
        <f t="shared" si="4"/>
        <v>1633</v>
      </c>
      <c r="H102" s="1737"/>
      <c r="I102" s="1737"/>
      <c r="J102" s="1737"/>
    </row>
    <row r="103" spans="1:10">
      <c r="A103" s="1749">
        <v>30900100009</v>
      </c>
      <c r="B103" s="1744" t="s">
        <v>803</v>
      </c>
      <c r="C103" s="1745" t="s">
        <v>2901</v>
      </c>
      <c r="D103" s="1745">
        <v>1372372</v>
      </c>
      <c r="E103" s="1737"/>
      <c r="F103" s="1801" t="e">
        <f t="shared" si="3"/>
        <v>#VALUE!</v>
      </c>
      <c r="G103" s="1801">
        <f t="shared" si="4"/>
        <v>1372</v>
      </c>
      <c r="H103" s="1737"/>
      <c r="I103" s="1737"/>
      <c r="J103" s="1737"/>
    </row>
    <row r="104" spans="1:10">
      <c r="A104" s="1749">
        <v>30900100010</v>
      </c>
      <c r="B104" s="1744" t="s">
        <v>805</v>
      </c>
      <c r="C104" s="1745" t="s">
        <v>2901</v>
      </c>
      <c r="D104" s="1745">
        <v>1368048</v>
      </c>
      <c r="E104" s="1737"/>
      <c r="F104" s="1801" t="e">
        <f t="shared" si="3"/>
        <v>#VALUE!</v>
      </c>
      <c r="G104" s="1801">
        <f t="shared" si="4"/>
        <v>1368</v>
      </c>
      <c r="H104" s="1737"/>
      <c r="I104" s="1737"/>
      <c r="J104" s="1737"/>
    </row>
    <row r="105" spans="1:10">
      <c r="A105" s="1749">
        <v>30900100012</v>
      </c>
      <c r="B105" s="1744" t="s">
        <v>2574</v>
      </c>
      <c r="C105" s="1745" t="s">
        <v>2901</v>
      </c>
      <c r="D105" s="1745">
        <v>402008</v>
      </c>
      <c r="E105" s="1737"/>
      <c r="F105" s="1801" t="e">
        <f t="shared" si="3"/>
        <v>#VALUE!</v>
      </c>
      <c r="G105" s="1801">
        <f t="shared" si="4"/>
        <v>402</v>
      </c>
      <c r="H105" s="1737"/>
      <c r="I105" s="1737"/>
      <c r="J105" s="1737"/>
    </row>
    <row r="106" spans="1:10">
      <c r="A106" s="1749">
        <v>31000400002</v>
      </c>
      <c r="B106" s="1744" t="s">
        <v>807</v>
      </c>
      <c r="C106" s="1745" t="s">
        <v>2901</v>
      </c>
      <c r="D106" s="1745">
        <v>9439909</v>
      </c>
      <c r="E106" s="1737"/>
      <c r="F106" s="1801" t="e">
        <f t="shared" si="3"/>
        <v>#VALUE!</v>
      </c>
      <c r="G106" s="1801">
        <f t="shared" si="4"/>
        <v>9440</v>
      </c>
      <c r="H106" s="1802">
        <f>G106+G107</f>
        <v>9440</v>
      </c>
      <c r="I106" s="1737"/>
      <c r="J106" s="1737"/>
    </row>
    <row r="107" spans="1:10">
      <c r="A107" s="1749">
        <v>31000500001</v>
      </c>
      <c r="B107" s="1744" t="s">
        <v>809</v>
      </c>
      <c r="C107" s="1745" t="s">
        <v>2901</v>
      </c>
      <c r="D107" s="1745">
        <v>382</v>
      </c>
      <c r="E107" s="1737"/>
      <c r="F107" s="1801" t="e">
        <f t="shared" si="3"/>
        <v>#VALUE!</v>
      </c>
      <c r="G107" s="1801">
        <f t="shared" si="4"/>
        <v>0</v>
      </c>
      <c r="H107" s="1737"/>
      <c r="I107" s="1737"/>
      <c r="J107" s="1737"/>
    </row>
    <row r="108" spans="1:10">
      <c r="A108" s="1749">
        <v>31000700001</v>
      </c>
      <c r="B108" s="1744" t="s">
        <v>101</v>
      </c>
      <c r="C108" s="1745" t="s">
        <v>2901</v>
      </c>
      <c r="D108" s="1745">
        <v>419495</v>
      </c>
      <c r="E108" s="1737"/>
      <c r="F108" s="1801" t="e">
        <f t="shared" si="3"/>
        <v>#VALUE!</v>
      </c>
      <c r="G108" s="1801">
        <f t="shared" si="4"/>
        <v>419</v>
      </c>
      <c r="H108" s="1737"/>
      <c r="I108" s="1737"/>
      <c r="J108" s="1737"/>
    </row>
    <row r="109" spans="1:10">
      <c r="A109" s="1749">
        <v>31000800001</v>
      </c>
      <c r="B109" s="1744" t="s">
        <v>813</v>
      </c>
      <c r="C109" s="1745" t="s">
        <v>2901</v>
      </c>
      <c r="D109" s="1745">
        <v>898476</v>
      </c>
      <c r="E109" s="1737"/>
      <c r="F109" s="1801" t="e">
        <f t="shared" si="3"/>
        <v>#VALUE!</v>
      </c>
      <c r="G109" s="1801">
        <f t="shared" si="4"/>
        <v>898</v>
      </c>
      <c r="H109" s="1737"/>
      <c r="I109" s="1737"/>
      <c r="J109" s="1737"/>
    </row>
    <row r="110" spans="1:10">
      <c r="A110" s="1749">
        <v>31001200001</v>
      </c>
      <c r="B110" s="1744" t="s">
        <v>819</v>
      </c>
      <c r="C110" s="1745" t="s">
        <v>2901</v>
      </c>
      <c r="D110" s="1745">
        <v>519588</v>
      </c>
      <c r="E110" s="1737"/>
      <c r="F110" s="1801" t="e">
        <f t="shared" si="3"/>
        <v>#VALUE!</v>
      </c>
      <c r="G110" s="1801">
        <f t="shared" si="4"/>
        <v>520</v>
      </c>
      <c r="H110" s="1737"/>
      <c r="I110" s="1737"/>
      <c r="J110" s="1737"/>
    </row>
    <row r="111" spans="1:10">
      <c r="A111" s="1749">
        <v>31001700001</v>
      </c>
      <c r="B111" s="1744" t="s">
        <v>778</v>
      </c>
      <c r="C111" s="1745" t="s">
        <v>2901</v>
      </c>
      <c r="D111" s="1745">
        <v>35071</v>
      </c>
      <c r="E111" s="1737"/>
      <c r="F111" s="1801" t="e">
        <f t="shared" si="3"/>
        <v>#VALUE!</v>
      </c>
      <c r="G111" s="1801">
        <f t="shared" si="4"/>
        <v>35</v>
      </c>
      <c r="H111" s="1802"/>
      <c r="I111" s="1737"/>
      <c r="J111" s="1737"/>
    </row>
    <row r="112" spans="1:10">
      <c r="A112" s="1749">
        <v>31001900001</v>
      </c>
      <c r="B112" s="1744" t="s">
        <v>2902</v>
      </c>
      <c r="C112" s="1745" t="s">
        <v>2901</v>
      </c>
      <c r="D112" s="1745">
        <v>265437</v>
      </c>
      <c r="E112" s="1737"/>
      <c r="F112" s="1801" t="e">
        <f t="shared" si="3"/>
        <v>#VALUE!</v>
      </c>
      <c r="G112" s="1801">
        <f t="shared" si="4"/>
        <v>265</v>
      </c>
      <c r="H112" s="1802"/>
      <c r="I112" s="1737"/>
      <c r="J112" s="1737"/>
    </row>
    <row r="113" spans="1:15">
      <c r="A113" s="1790">
        <v>31200100001</v>
      </c>
      <c r="B113" s="1791" t="s">
        <v>780</v>
      </c>
      <c r="C113" s="1792" t="s">
        <v>2901</v>
      </c>
      <c r="D113" s="1792">
        <v>874633</v>
      </c>
      <c r="E113" s="1793"/>
      <c r="F113" s="1794" t="e">
        <f t="shared" si="3"/>
        <v>#VALUE!</v>
      </c>
      <c r="G113" s="1794">
        <f t="shared" si="4"/>
        <v>875</v>
      </c>
      <c r="H113" s="1793"/>
      <c r="I113" s="1793"/>
      <c r="J113" s="1793"/>
    </row>
    <row r="114" spans="1:15" ht="13.2">
      <c r="A114" s="1790">
        <v>314001001</v>
      </c>
      <c r="B114" s="1791" t="s">
        <v>1132</v>
      </c>
      <c r="C114" s="1792" t="s">
        <v>2901</v>
      </c>
      <c r="D114" s="1792">
        <v>35058461</v>
      </c>
      <c r="E114" s="1790"/>
      <c r="F114" s="1791" t="e">
        <f t="shared" si="3"/>
        <v>#VALUE!</v>
      </c>
      <c r="G114" s="1792">
        <f t="shared" si="4"/>
        <v>35058</v>
      </c>
      <c r="H114" s="1792"/>
      <c r="I114" s="1790"/>
      <c r="J114" s="1791"/>
    </row>
    <row r="115" spans="1:15">
      <c r="A115" s="1760"/>
      <c r="B115" s="1758"/>
      <c r="C115" s="1759"/>
      <c r="D115" s="1759"/>
      <c r="F115" s="1770">
        <f t="shared" si="3"/>
        <v>0</v>
      </c>
      <c r="G115" s="1770">
        <f t="shared" si="4"/>
        <v>0</v>
      </c>
      <c r="H115" s="1010"/>
      <c r="I115" s="1010"/>
    </row>
    <row r="116" spans="1:15">
      <c r="A116" s="1760"/>
      <c r="B116" s="1758"/>
      <c r="C116" s="1759"/>
      <c r="D116" s="1759"/>
      <c r="F116" s="1770">
        <f t="shared" si="3"/>
        <v>0</v>
      </c>
      <c r="G116" s="1770">
        <f t="shared" si="4"/>
        <v>0</v>
      </c>
      <c r="H116" s="1010"/>
      <c r="I116" s="1010"/>
    </row>
    <row r="117" spans="1:15">
      <c r="A117" s="1760"/>
      <c r="B117" s="1758"/>
      <c r="C117" s="1759"/>
      <c r="D117" s="1759"/>
      <c r="F117" s="1770">
        <f t="shared" si="3"/>
        <v>0</v>
      </c>
      <c r="G117" s="1770">
        <f t="shared" si="4"/>
        <v>0</v>
      </c>
      <c r="H117" s="1010"/>
      <c r="I117" s="1010"/>
    </row>
    <row r="118" spans="1:15" ht="16.2" thickBot="1">
      <c r="A118" s="1760"/>
      <c r="B118" s="1758"/>
      <c r="C118" s="1759"/>
      <c r="D118" s="1759"/>
      <c r="F118" s="1770">
        <f t="shared" si="3"/>
        <v>0</v>
      </c>
      <c r="G118" s="1770">
        <f t="shared" si="4"/>
        <v>0</v>
      </c>
      <c r="H118" s="1010"/>
      <c r="I118" s="1010"/>
    </row>
    <row r="119" spans="1:15" ht="16.2" thickBot="1">
      <c r="A119" s="1743"/>
      <c r="B119" s="1741"/>
      <c r="C119" s="2501" t="s">
        <v>2577</v>
      </c>
      <c r="D119" s="2502"/>
      <c r="E119" s="1761"/>
      <c r="F119" s="2503" t="s">
        <v>2578</v>
      </c>
      <c r="G119" s="2504"/>
      <c r="H119" s="383"/>
      <c r="I119" s="383"/>
    </row>
    <row r="120" spans="1:15" ht="16.2" thickBot="1">
      <c r="A120" s="1743"/>
      <c r="B120" s="1756" t="s">
        <v>2455</v>
      </c>
      <c r="C120" s="1767" t="s">
        <v>109</v>
      </c>
      <c r="D120" s="1756" t="s">
        <v>108</v>
      </c>
      <c r="E120" s="1761"/>
      <c r="F120" s="1772" t="s">
        <v>109</v>
      </c>
      <c r="G120" s="1773" t="s">
        <v>108</v>
      </c>
      <c r="H120" s="383"/>
      <c r="I120" s="383"/>
    </row>
    <row r="121" spans="1:15" s="1814" customFormat="1">
      <c r="A121" s="1808">
        <v>40100100001</v>
      </c>
      <c r="B121" s="1809" t="s">
        <v>847</v>
      </c>
      <c r="C121" s="1810">
        <v>592192543</v>
      </c>
      <c r="D121" s="1810" t="s">
        <v>2901</v>
      </c>
      <c r="E121" s="1811"/>
      <c r="F121" s="1812">
        <f t="shared" ref="F121:F143" si="5">ROUND(C121/1000,0)</f>
        <v>592193</v>
      </c>
      <c r="G121" s="1812" t="e">
        <f t="shared" ref="G121:G143" si="6">ROUND(D121/1000,0)</f>
        <v>#VALUE!</v>
      </c>
      <c r="H121" s="1813">
        <f>-F121-F122+1</f>
        <v>-594619</v>
      </c>
      <c r="I121" s="1811" t="s">
        <v>2585</v>
      </c>
      <c r="J121" s="1811"/>
      <c r="M121" s="2108">
        <v>2088012276</v>
      </c>
      <c r="N121" s="2006" t="e">
        <f>+D121-M121</f>
        <v>#VALUE!</v>
      </c>
      <c r="O121" s="2006"/>
    </row>
    <row r="122" spans="1:15">
      <c r="A122" s="1808">
        <v>40100400001</v>
      </c>
      <c r="B122" s="1809" t="s">
        <v>857</v>
      </c>
      <c r="C122" s="1810">
        <v>2426767</v>
      </c>
      <c r="D122" s="1810" t="s">
        <v>2901</v>
      </c>
      <c r="E122" s="1811"/>
      <c r="F122" s="1812">
        <f t="shared" si="5"/>
        <v>2427</v>
      </c>
      <c r="G122" s="1812" t="e">
        <f t="shared" si="6"/>
        <v>#VALUE!</v>
      </c>
      <c r="H122" s="1811"/>
      <c r="I122" s="1811">
        <v>1</v>
      </c>
      <c r="M122" s="2108"/>
    </row>
    <row r="123" spans="1:15">
      <c r="A123" s="1750">
        <v>40101000001</v>
      </c>
      <c r="B123" s="1751" t="s">
        <v>143</v>
      </c>
      <c r="C123" s="1752" t="s">
        <v>2901</v>
      </c>
      <c r="D123" s="1752">
        <v>578975773</v>
      </c>
      <c r="E123" s="1739"/>
      <c r="F123" s="1815" t="e">
        <f t="shared" si="5"/>
        <v>#VALUE!</v>
      </c>
      <c r="G123" s="1815">
        <f t="shared" si="6"/>
        <v>578976</v>
      </c>
      <c r="H123" s="1816">
        <f>G123</f>
        <v>578976</v>
      </c>
      <c r="I123" s="1739" t="s">
        <v>115</v>
      </c>
    </row>
    <row r="124" spans="1:15">
      <c r="A124" s="1817">
        <v>40101200001</v>
      </c>
      <c r="B124" s="1818" t="s">
        <v>849</v>
      </c>
      <c r="C124" s="1819">
        <v>319538292</v>
      </c>
      <c r="D124" s="1819" t="s">
        <v>2901</v>
      </c>
      <c r="E124" s="1820"/>
      <c r="F124" s="1821">
        <f t="shared" si="5"/>
        <v>319538</v>
      </c>
      <c r="G124" s="1821" t="e">
        <f t="shared" si="6"/>
        <v>#VALUE!</v>
      </c>
      <c r="H124" s="1822" t="e">
        <f>F124+F125</f>
        <v>#VALUE!</v>
      </c>
      <c r="I124" s="1820" t="s">
        <v>2823</v>
      </c>
    </row>
    <row r="125" spans="1:15" s="2014" customFormat="1">
      <c r="A125" s="2019">
        <v>40101600001</v>
      </c>
      <c r="B125" s="2020" t="s">
        <v>859</v>
      </c>
      <c r="C125" s="2021" t="s">
        <v>2901</v>
      </c>
      <c r="D125" s="2021">
        <v>1</v>
      </c>
      <c r="E125" s="2022"/>
      <c r="F125" s="2023" t="e">
        <f t="shared" si="5"/>
        <v>#VALUE!</v>
      </c>
      <c r="G125" s="2023">
        <f t="shared" si="6"/>
        <v>0</v>
      </c>
      <c r="H125" s="2024"/>
      <c r="I125" s="2022"/>
      <c r="J125" s="2011"/>
      <c r="M125" s="2008"/>
      <c r="N125" s="2010"/>
      <c r="O125" s="2010"/>
    </row>
    <row r="126" spans="1:15">
      <c r="A126" s="1825">
        <v>40200100001</v>
      </c>
      <c r="B126" s="1826" t="s">
        <v>890</v>
      </c>
      <c r="C126" s="1827" t="s">
        <v>2901</v>
      </c>
      <c r="D126" s="1827">
        <v>5224450</v>
      </c>
      <c r="E126" s="1828"/>
      <c r="F126" s="1829" t="e">
        <f t="shared" si="5"/>
        <v>#VALUE!</v>
      </c>
      <c r="G126" s="1829">
        <f t="shared" si="6"/>
        <v>5224</v>
      </c>
      <c r="H126" s="1830">
        <f>SUM(G126:G137)+2</f>
        <v>23840</v>
      </c>
      <c r="I126" s="1828" t="s">
        <v>2587</v>
      </c>
    </row>
    <row r="127" spans="1:15">
      <c r="A127" s="1825">
        <v>40200100005</v>
      </c>
      <c r="B127" s="1826" t="s">
        <v>892</v>
      </c>
      <c r="C127" s="1827" t="s">
        <v>2901</v>
      </c>
      <c r="D127" s="1827">
        <v>7328</v>
      </c>
      <c r="E127" s="1828"/>
      <c r="F127" s="1829" t="e">
        <f t="shared" si="5"/>
        <v>#VALUE!</v>
      </c>
      <c r="G127" s="1829">
        <f t="shared" si="6"/>
        <v>7</v>
      </c>
      <c r="H127" s="1828"/>
      <c r="I127" s="1828"/>
    </row>
    <row r="128" spans="1:15">
      <c r="A128" s="1825">
        <v>40200100014</v>
      </c>
      <c r="B128" s="1826" t="s">
        <v>894</v>
      </c>
      <c r="C128" s="1827" t="s">
        <v>2901</v>
      </c>
      <c r="D128" s="1827">
        <v>401204</v>
      </c>
      <c r="E128" s="1828"/>
      <c r="F128" s="1829" t="e">
        <f t="shared" si="5"/>
        <v>#VALUE!</v>
      </c>
      <c r="G128" s="1829">
        <f t="shared" si="6"/>
        <v>401</v>
      </c>
      <c r="H128" s="1828"/>
      <c r="I128" s="1828"/>
    </row>
    <row r="129" spans="1:15">
      <c r="A129" s="1825">
        <v>40200100017</v>
      </c>
      <c r="B129" s="1826" t="s">
        <v>896</v>
      </c>
      <c r="C129" s="1827" t="s">
        <v>2901</v>
      </c>
      <c r="D129" s="1827">
        <v>711099</v>
      </c>
      <c r="E129" s="1828"/>
      <c r="F129" s="1829" t="e">
        <f t="shared" si="5"/>
        <v>#VALUE!</v>
      </c>
      <c r="G129" s="1829">
        <f t="shared" si="6"/>
        <v>711</v>
      </c>
      <c r="H129" s="1828"/>
      <c r="I129" s="1828"/>
    </row>
    <row r="130" spans="1:15">
      <c r="A130" s="1825">
        <v>40200100018</v>
      </c>
      <c r="B130" s="1826" t="s">
        <v>1147</v>
      </c>
      <c r="C130" s="1827" t="s">
        <v>2901</v>
      </c>
      <c r="D130" s="1827">
        <v>17419059</v>
      </c>
      <c r="E130" s="1828"/>
      <c r="F130" s="1829" t="e">
        <f t="shared" si="5"/>
        <v>#VALUE!</v>
      </c>
      <c r="G130" s="1829">
        <f t="shared" si="6"/>
        <v>17419</v>
      </c>
      <c r="H130" s="1828"/>
      <c r="I130" s="1828"/>
    </row>
    <row r="131" spans="1:15">
      <c r="A131" s="1825">
        <v>40200100021</v>
      </c>
      <c r="B131" s="1826" t="s">
        <v>898</v>
      </c>
      <c r="C131" s="1827" t="s">
        <v>2901</v>
      </c>
      <c r="D131" s="1827">
        <v>920</v>
      </c>
      <c r="E131" s="1828"/>
      <c r="F131" s="1829" t="e">
        <f t="shared" si="5"/>
        <v>#VALUE!</v>
      </c>
      <c r="G131" s="1829">
        <f t="shared" si="6"/>
        <v>1</v>
      </c>
      <c r="H131" s="1828"/>
      <c r="I131" s="1828"/>
    </row>
    <row r="132" spans="1:15">
      <c r="A132" s="1825">
        <v>40200100034</v>
      </c>
      <c r="B132" s="1826" t="s">
        <v>900</v>
      </c>
      <c r="C132" s="1827" t="s">
        <v>2901</v>
      </c>
      <c r="D132" s="1827">
        <v>482</v>
      </c>
      <c r="E132" s="1828"/>
      <c r="F132" s="1829" t="e">
        <f t="shared" si="5"/>
        <v>#VALUE!</v>
      </c>
      <c r="G132" s="1829">
        <f t="shared" si="6"/>
        <v>0</v>
      </c>
      <c r="H132" s="1828"/>
      <c r="I132" s="1828"/>
    </row>
    <row r="133" spans="1:15">
      <c r="A133" s="1825">
        <v>40200100069</v>
      </c>
      <c r="B133" s="1826" t="s">
        <v>902</v>
      </c>
      <c r="C133" s="1827" t="s">
        <v>2901</v>
      </c>
      <c r="D133" s="1827">
        <v>7899</v>
      </c>
      <c r="E133" s="1828"/>
      <c r="F133" s="1829" t="e">
        <f t="shared" si="5"/>
        <v>#VALUE!</v>
      </c>
      <c r="G133" s="1829">
        <f t="shared" si="6"/>
        <v>8</v>
      </c>
      <c r="H133" s="1828"/>
      <c r="I133" s="1828"/>
    </row>
    <row r="134" spans="1:15">
      <c r="A134" s="1825">
        <v>40200100075</v>
      </c>
      <c r="B134" s="1826" t="s">
        <v>1134</v>
      </c>
      <c r="C134" s="1827" t="s">
        <v>2901</v>
      </c>
      <c r="D134" s="1827">
        <v>669</v>
      </c>
      <c r="E134" s="1828"/>
      <c r="F134" s="1829" t="e">
        <f t="shared" si="5"/>
        <v>#VALUE!</v>
      </c>
      <c r="G134" s="1829">
        <f t="shared" si="6"/>
        <v>1</v>
      </c>
      <c r="H134" s="1828"/>
      <c r="I134" s="1828"/>
    </row>
    <row r="135" spans="1:15">
      <c r="A135" s="1825">
        <v>40200100088</v>
      </c>
      <c r="B135" s="1826" t="s">
        <v>2575</v>
      </c>
      <c r="C135" s="1827" t="s">
        <v>2901</v>
      </c>
      <c r="D135" s="1827">
        <v>388</v>
      </c>
      <c r="E135" s="1828"/>
      <c r="F135" s="1829" t="e">
        <f t="shared" si="5"/>
        <v>#VALUE!</v>
      </c>
      <c r="G135" s="1829">
        <f t="shared" si="6"/>
        <v>0</v>
      </c>
      <c r="H135" s="1828"/>
      <c r="I135" s="1828"/>
    </row>
    <row r="136" spans="1:15">
      <c r="A136" s="1825">
        <v>40200100096</v>
      </c>
      <c r="B136" s="1826" t="s">
        <v>2456</v>
      </c>
      <c r="C136" s="1827" t="s">
        <v>2901</v>
      </c>
      <c r="D136" s="1827">
        <v>66063</v>
      </c>
      <c r="E136" s="1828"/>
      <c r="F136" s="1829" t="e">
        <f t="shared" si="5"/>
        <v>#VALUE!</v>
      </c>
      <c r="G136" s="1829">
        <f t="shared" si="6"/>
        <v>66</v>
      </c>
      <c r="H136" s="1828"/>
      <c r="I136" s="1828"/>
    </row>
    <row r="137" spans="1:15" s="2014" customFormat="1">
      <c r="A137" s="2025">
        <v>40200100099</v>
      </c>
      <c r="B137" s="2026" t="s">
        <v>2457</v>
      </c>
      <c r="C137" s="2027" t="s">
        <v>2901</v>
      </c>
      <c r="D137" s="2027">
        <v>424</v>
      </c>
      <c r="E137" s="2028"/>
      <c r="F137" s="2029" t="e">
        <f t="shared" si="5"/>
        <v>#VALUE!</v>
      </c>
      <c r="G137" s="2029">
        <f t="shared" si="6"/>
        <v>0</v>
      </c>
      <c r="H137" s="2028"/>
      <c r="I137" s="2028"/>
      <c r="J137" s="2011"/>
      <c r="M137" s="2008"/>
      <c r="N137" s="2010"/>
      <c r="O137" s="2010"/>
    </row>
    <row r="138" spans="1:15">
      <c r="A138" s="1749">
        <v>40201600001</v>
      </c>
      <c r="B138" s="1744" t="s">
        <v>861</v>
      </c>
      <c r="C138" s="1745" t="s">
        <v>2901</v>
      </c>
      <c r="D138" s="1745">
        <v>278517</v>
      </c>
      <c r="E138" s="1737"/>
      <c r="F138" s="1801" t="e">
        <f t="shared" si="5"/>
        <v>#VALUE!</v>
      </c>
      <c r="G138" s="1801">
        <f t="shared" si="6"/>
        <v>279</v>
      </c>
      <c r="H138" s="1807">
        <f>G138</f>
        <v>279</v>
      </c>
      <c r="I138" s="1737" t="s">
        <v>2586</v>
      </c>
    </row>
    <row r="139" spans="1:15">
      <c r="A139" s="1760">
        <v>40300100001</v>
      </c>
      <c r="B139" s="1758" t="s">
        <v>2576</v>
      </c>
      <c r="C139" s="1759" t="s">
        <v>2901</v>
      </c>
      <c r="D139" s="1759">
        <v>108264</v>
      </c>
      <c r="F139" s="1770" t="e">
        <f t="shared" si="5"/>
        <v>#VALUE!</v>
      </c>
      <c r="G139" s="1770">
        <f t="shared" si="6"/>
        <v>108</v>
      </c>
      <c r="H139" s="1777">
        <f>G139</f>
        <v>108</v>
      </c>
      <c r="I139" s="1010" t="s">
        <v>2588</v>
      </c>
    </row>
    <row r="140" spans="1:15">
      <c r="A140" s="1760">
        <v>40400100001</v>
      </c>
      <c r="B140" s="1758" t="s">
        <v>980</v>
      </c>
      <c r="C140" s="1759" t="s">
        <v>2901</v>
      </c>
      <c r="D140" s="1759">
        <v>19637087</v>
      </c>
      <c r="F140" s="1770" t="e">
        <f t="shared" si="5"/>
        <v>#VALUE!</v>
      </c>
      <c r="G140" s="1770">
        <f t="shared" si="6"/>
        <v>19637</v>
      </c>
      <c r="H140" s="1777"/>
      <c r="I140" s="1010"/>
    </row>
    <row r="141" spans="1:15">
      <c r="A141" s="1760">
        <v>40400200001</v>
      </c>
      <c r="B141" s="1758" t="s">
        <v>982</v>
      </c>
      <c r="C141" s="1759">
        <v>613655481</v>
      </c>
      <c r="D141" s="1759" t="s">
        <v>2901</v>
      </c>
      <c r="F141" s="1770">
        <f t="shared" si="5"/>
        <v>613655</v>
      </c>
      <c r="G141" s="1770" t="e">
        <f t="shared" si="6"/>
        <v>#VALUE!</v>
      </c>
      <c r="H141" s="1777"/>
      <c r="I141" s="1010"/>
    </row>
    <row r="142" spans="1:15">
      <c r="A142" s="1760"/>
      <c r="B142" s="1758"/>
      <c r="C142" s="1759"/>
      <c r="D142" s="1759"/>
      <c r="F142" s="1770">
        <f t="shared" si="5"/>
        <v>0</v>
      </c>
      <c r="G142" s="1771">
        <f t="shared" si="6"/>
        <v>0</v>
      </c>
      <c r="H142" s="1010"/>
      <c r="I142" s="1010"/>
    </row>
    <row r="143" spans="1:15" ht="16.2" thickBot="1">
      <c r="A143" s="1760"/>
      <c r="B143" s="1758"/>
      <c r="C143" s="1759"/>
      <c r="D143" s="1759"/>
      <c r="F143" s="1770">
        <f t="shared" si="5"/>
        <v>0</v>
      </c>
      <c r="G143" s="1771">
        <f t="shared" si="6"/>
        <v>0</v>
      </c>
      <c r="H143" s="1010"/>
      <c r="I143" s="1010"/>
    </row>
    <row r="144" spans="1:15" ht="16.2" thickBot="1">
      <c r="A144" s="1743"/>
      <c r="B144" s="1741"/>
      <c r="C144" s="2501" t="s">
        <v>2577</v>
      </c>
      <c r="D144" s="2502"/>
      <c r="E144" s="1761"/>
      <c r="F144" s="2503" t="s">
        <v>2578</v>
      </c>
      <c r="G144" s="2504"/>
      <c r="H144" s="383"/>
      <c r="I144" s="383"/>
    </row>
    <row r="145" spans="1:15" ht="16.2" thickBot="1">
      <c r="A145" s="1743"/>
      <c r="B145" s="1756" t="s">
        <v>288</v>
      </c>
      <c r="C145" s="1767" t="s">
        <v>109</v>
      </c>
      <c r="D145" s="1756" t="s">
        <v>108</v>
      </c>
      <c r="E145" s="1761"/>
      <c r="F145" s="1772" t="s">
        <v>109</v>
      </c>
      <c r="G145" s="1773" t="s">
        <v>108</v>
      </c>
      <c r="H145" s="383"/>
      <c r="I145" s="383"/>
    </row>
    <row r="146" spans="1:15">
      <c r="A146" s="1760">
        <v>50100100001</v>
      </c>
      <c r="B146" s="1758" t="s">
        <v>92</v>
      </c>
      <c r="C146" s="1759">
        <v>172953766</v>
      </c>
      <c r="D146" s="1759" t="s">
        <v>2901</v>
      </c>
      <c r="F146" s="1770">
        <f t="shared" ref="F146:F172" si="7">ROUND(C146/1000,0)</f>
        <v>172954</v>
      </c>
      <c r="G146" s="1771" t="e">
        <f t="shared" ref="G146:G172" si="8">ROUND(D146/1000,0)</f>
        <v>#VALUE!</v>
      </c>
      <c r="H146" s="1010"/>
      <c r="I146" s="1010"/>
    </row>
    <row r="147" spans="1:15">
      <c r="A147" s="1760">
        <v>50100100002</v>
      </c>
      <c r="B147" s="1758" t="s">
        <v>868</v>
      </c>
      <c r="C147" s="1759">
        <v>22483990</v>
      </c>
      <c r="D147" s="1759" t="s">
        <v>2901</v>
      </c>
      <c r="F147" s="1770">
        <f t="shared" si="7"/>
        <v>22484</v>
      </c>
      <c r="G147" s="1771" t="e">
        <f t="shared" si="8"/>
        <v>#VALUE!</v>
      </c>
      <c r="H147" s="1010"/>
      <c r="I147" s="1010"/>
    </row>
    <row r="148" spans="1:15">
      <c r="A148" s="1760">
        <v>50100100003</v>
      </c>
      <c r="B148" s="1758" t="s">
        <v>2903</v>
      </c>
      <c r="C148" s="1759">
        <v>0</v>
      </c>
      <c r="D148" s="1759" t="s">
        <v>2901</v>
      </c>
      <c r="F148" s="1770">
        <f t="shared" si="7"/>
        <v>0</v>
      </c>
      <c r="G148" s="1771" t="e">
        <f t="shared" si="8"/>
        <v>#VALUE!</v>
      </c>
      <c r="H148" s="1010"/>
      <c r="I148" s="1010"/>
    </row>
    <row r="149" spans="1:15">
      <c r="A149" s="1760">
        <v>50100200001</v>
      </c>
      <c r="B149" s="1758" t="s">
        <v>91</v>
      </c>
      <c r="C149" s="1759">
        <v>9506666</v>
      </c>
      <c r="D149" s="1759" t="s">
        <v>2901</v>
      </c>
      <c r="F149" s="1770">
        <f t="shared" si="7"/>
        <v>9507</v>
      </c>
      <c r="G149" s="1771" t="e">
        <f t="shared" si="8"/>
        <v>#VALUE!</v>
      </c>
      <c r="H149" s="1010"/>
      <c r="I149" s="1010"/>
    </row>
    <row r="150" spans="1:15">
      <c r="A150" s="1760">
        <v>50100200002</v>
      </c>
      <c r="B150" s="1758" t="s">
        <v>871</v>
      </c>
      <c r="C150" s="1759">
        <v>1235872</v>
      </c>
      <c r="D150" s="1759" t="s">
        <v>2901</v>
      </c>
      <c r="F150" s="1770">
        <f t="shared" si="7"/>
        <v>1236</v>
      </c>
      <c r="G150" s="1771" t="e">
        <f t="shared" si="8"/>
        <v>#VALUE!</v>
      </c>
      <c r="H150" s="1010"/>
      <c r="I150" s="1010"/>
    </row>
    <row r="151" spans="1:15">
      <c r="A151" s="1760">
        <v>50100300001</v>
      </c>
      <c r="B151" s="1758" t="s">
        <v>87</v>
      </c>
      <c r="C151" s="1759">
        <v>1751173</v>
      </c>
      <c r="D151" s="1759" t="s">
        <v>2901</v>
      </c>
      <c r="F151" s="1770">
        <f t="shared" si="7"/>
        <v>1751</v>
      </c>
      <c r="G151" s="1771" t="e">
        <f t="shared" si="8"/>
        <v>#VALUE!</v>
      </c>
      <c r="H151" s="1010"/>
      <c r="I151" s="1010"/>
    </row>
    <row r="152" spans="1:15">
      <c r="A152" s="1760">
        <v>50100500001</v>
      </c>
      <c r="B152" s="1758" t="s">
        <v>874</v>
      </c>
      <c r="C152" s="1759">
        <v>8755528.6799999997</v>
      </c>
      <c r="D152" s="1759" t="s">
        <v>2901</v>
      </c>
      <c r="F152" s="1770">
        <f t="shared" si="7"/>
        <v>8756</v>
      </c>
      <c r="G152" s="1771" t="e">
        <f t="shared" si="8"/>
        <v>#VALUE!</v>
      </c>
      <c r="H152" s="1010"/>
      <c r="I152" s="1010"/>
    </row>
    <row r="153" spans="1:15">
      <c r="A153" s="1779">
        <v>50100500002</v>
      </c>
      <c r="B153" s="1780" t="s">
        <v>876</v>
      </c>
      <c r="C153" s="1781">
        <v>0</v>
      </c>
      <c r="D153" s="1781" t="s">
        <v>2901</v>
      </c>
      <c r="E153" s="1782"/>
      <c r="F153" s="1783">
        <f t="shared" si="7"/>
        <v>0</v>
      </c>
      <c r="G153" s="1783" t="e">
        <f t="shared" si="8"/>
        <v>#VALUE!</v>
      </c>
      <c r="H153" s="1831">
        <f>F155</f>
        <v>39782</v>
      </c>
      <c r="I153" s="1010" t="s">
        <v>2589</v>
      </c>
    </row>
    <row r="154" spans="1:15">
      <c r="A154" s="1779">
        <v>501006001</v>
      </c>
      <c r="B154" s="1780" t="s">
        <v>1137</v>
      </c>
      <c r="C154" s="1781">
        <v>113821841.7</v>
      </c>
      <c r="D154" s="1781" t="s">
        <v>2901</v>
      </c>
      <c r="E154" s="1782"/>
      <c r="F154" s="1783">
        <f t="shared" si="7"/>
        <v>113822</v>
      </c>
      <c r="G154" s="1783" t="e">
        <f t="shared" si="8"/>
        <v>#VALUE!</v>
      </c>
      <c r="H154" s="1782"/>
      <c r="I154" s="1010"/>
    </row>
    <row r="155" spans="1:15">
      <c r="A155" s="1760">
        <v>50200100001</v>
      </c>
      <c r="B155" s="1758" t="s">
        <v>756</v>
      </c>
      <c r="C155" s="1759">
        <v>39781664</v>
      </c>
      <c r="D155" s="1759" t="s">
        <v>2901</v>
      </c>
      <c r="F155" s="1770">
        <f t="shared" si="7"/>
        <v>39782</v>
      </c>
      <c r="G155" s="1771" t="e">
        <f t="shared" si="8"/>
        <v>#VALUE!</v>
      </c>
      <c r="H155" s="1010"/>
      <c r="I155" s="1010"/>
    </row>
    <row r="156" spans="1:15">
      <c r="A156" s="1760">
        <v>50200300001</v>
      </c>
      <c r="B156" s="1758" t="s">
        <v>878</v>
      </c>
      <c r="C156" s="1759">
        <v>957229</v>
      </c>
      <c r="D156" s="1759" t="s">
        <v>2901</v>
      </c>
      <c r="F156" s="1770">
        <f t="shared" si="7"/>
        <v>957</v>
      </c>
      <c r="G156" s="1771" t="e">
        <f t="shared" si="8"/>
        <v>#VALUE!</v>
      </c>
      <c r="H156" s="1010"/>
      <c r="I156" s="1010"/>
    </row>
    <row r="157" spans="1:15" s="2014" customFormat="1">
      <c r="A157" s="2008">
        <v>50200300002</v>
      </c>
      <c r="B157" s="2009" t="s">
        <v>760</v>
      </c>
      <c r="C157" s="2010">
        <v>1847932</v>
      </c>
      <c r="D157" s="2010" t="s">
        <v>2901</v>
      </c>
      <c r="E157" s="2011"/>
      <c r="F157" s="1770">
        <f t="shared" si="7"/>
        <v>1848</v>
      </c>
      <c r="G157" s="1771" t="e">
        <f t="shared" si="8"/>
        <v>#VALUE!</v>
      </c>
      <c r="H157" s="2011"/>
      <c r="I157" s="2011"/>
      <c r="J157" s="2011"/>
      <c r="M157" s="2008"/>
      <c r="N157" s="2010"/>
      <c r="O157" s="2010"/>
    </row>
    <row r="158" spans="1:15">
      <c r="A158" s="1753">
        <v>50500100002</v>
      </c>
      <c r="B158" s="1754" t="s">
        <v>2822</v>
      </c>
      <c r="C158" s="1755" t="s">
        <v>2901</v>
      </c>
      <c r="D158" s="1755">
        <v>120604929</v>
      </c>
      <c r="E158" s="1740"/>
      <c r="F158" s="1832" t="e">
        <f t="shared" si="7"/>
        <v>#VALUE!</v>
      </c>
      <c r="G158" s="1832">
        <f t="shared" si="8"/>
        <v>120605</v>
      </c>
      <c r="H158" s="1833">
        <f>F159</f>
        <v>916</v>
      </c>
      <c r="I158" s="1740" t="s">
        <v>2590</v>
      </c>
    </row>
    <row r="159" spans="1:15">
      <c r="A159" s="1753">
        <v>50600100001</v>
      </c>
      <c r="B159" s="1754" t="s">
        <v>863</v>
      </c>
      <c r="C159" s="1755">
        <v>916295</v>
      </c>
      <c r="D159" s="1755" t="s">
        <v>2901</v>
      </c>
      <c r="E159" s="1740"/>
      <c r="F159" s="1832">
        <f t="shared" si="7"/>
        <v>916</v>
      </c>
      <c r="G159" s="1832" t="e">
        <f t="shared" si="8"/>
        <v>#VALUE!</v>
      </c>
      <c r="H159" s="1833">
        <f>F160</f>
        <v>513</v>
      </c>
      <c r="I159" s="1740" t="s">
        <v>2367</v>
      </c>
    </row>
    <row r="160" spans="1:15">
      <c r="A160" s="1753">
        <v>50600200001</v>
      </c>
      <c r="B160" s="1754" t="s">
        <v>145</v>
      </c>
      <c r="C160" s="1755">
        <v>512656</v>
      </c>
      <c r="D160" s="1755" t="s">
        <v>2901</v>
      </c>
      <c r="E160" s="1740"/>
      <c r="F160" s="1832">
        <f t="shared" si="7"/>
        <v>513</v>
      </c>
      <c r="G160" s="1832" t="e">
        <f t="shared" si="8"/>
        <v>#VALUE!</v>
      </c>
      <c r="H160" s="1833">
        <f>F161-1</f>
        <v>20</v>
      </c>
      <c r="I160" s="1740" t="s">
        <v>999</v>
      </c>
    </row>
    <row r="161" spans="1:16384">
      <c r="A161" s="1760">
        <v>50600300009</v>
      </c>
      <c r="B161" s="1758" t="s">
        <v>742</v>
      </c>
      <c r="C161" s="1759">
        <v>20642</v>
      </c>
      <c r="D161" s="1759" t="s">
        <v>2901</v>
      </c>
      <c r="F161" s="1770">
        <f t="shared" si="7"/>
        <v>21</v>
      </c>
      <c r="G161" s="1771" t="e">
        <f t="shared" si="8"/>
        <v>#VALUE!</v>
      </c>
      <c r="H161" s="1010"/>
      <c r="I161" s="1010"/>
    </row>
    <row r="162" spans="1:16384">
      <c r="A162" s="1760">
        <v>50700100001</v>
      </c>
      <c r="B162" s="1758" t="s">
        <v>744</v>
      </c>
      <c r="C162" s="1759">
        <v>25308</v>
      </c>
      <c r="D162" s="1759" t="s">
        <v>2901</v>
      </c>
      <c r="F162" s="1770">
        <f t="shared" si="7"/>
        <v>25</v>
      </c>
      <c r="G162" s="1771" t="e">
        <f t="shared" si="8"/>
        <v>#VALUE!</v>
      </c>
      <c r="H162" s="1010"/>
      <c r="I162" s="1010"/>
    </row>
    <row r="163" spans="1:16384" s="1763" customFormat="1">
      <c r="A163" s="1760">
        <v>51000100001</v>
      </c>
      <c r="B163" s="1758" t="s">
        <v>1138</v>
      </c>
      <c r="C163" s="1759">
        <v>32243</v>
      </c>
      <c r="D163" s="1759" t="s">
        <v>2901</v>
      </c>
      <c r="E163" s="1010"/>
      <c r="F163" s="1770">
        <f t="shared" si="7"/>
        <v>32</v>
      </c>
      <c r="G163" s="1771" t="e">
        <f t="shared" si="8"/>
        <v>#VALUE!</v>
      </c>
      <c r="H163" s="1010"/>
      <c r="I163" s="1010"/>
      <c r="J163" s="1010"/>
      <c r="K163" s="1762"/>
      <c r="L163" s="1762"/>
      <c r="M163" s="1761"/>
      <c r="N163" s="2006"/>
      <c r="O163" s="2006"/>
      <c r="P163" s="1762"/>
      <c r="Q163" s="1762"/>
      <c r="R163" s="1762"/>
      <c r="S163" s="1762"/>
      <c r="T163" s="1762"/>
      <c r="U163" s="1762"/>
      <c r="V163" s="1762"/>
      <c r="W163" s="1762"/>
      <c r="X163" s="1762"/>
      <c r="Y163" s="1762"/>
      <c r="Z163" s="1762"/>
      <c r="AA163" s="1762"/>
      <c r="AB163" s="1762"/>
      <c r="AC163" s="1762"/>
      <c r="AD163" s="1762"/>
      <c r="AE163" s="1762"/>
      <c r="AF163" s="1762"/>
      <c r="AG163" s="1762"/>
      <c r="AH163" s="1762"/>
      <c r="AI163" s="1762"/>
      <c r="AJ163" s="1762"/>
      <c r="AK163" s="1762"/>
      <c r="AL163" s="1762"/>
      <c r="AM163" s="1762"/>
      <c r="AN163" s="1762"/>
      <c r="AO163" s="1762"/>
      <c r="AP163" s="1762"/>
      <c r="AQ163" s="1762"/>
      <c r="AR163" s="1762"/>
      <c r="AS163" s="1762"/>
      <c r="AT163" s="1762"/>
      <c r="AU163" s="1762"/>
      <c r="AV163" s="1762"/>
      <c r="AW163" s="1762"/>
      <c r="AX163" s="1762"/>
      <c r="AY163" s="1762"/>
      <c r="AZ163" s="1762"/>
      <c r="BA163" s="1762"/>
      <c r="BB163" s="1762"/>
      <c r="BC163" s="1762"/>
      <c r="BD163" s="1762"/>
      <c r="BE163" s="1762"/>
      <c r="BF163" s="1762"/>
      <c r="BG163" s="1762"/>
      <c r="BH163" s="1762"/>
      <c r="BI163" s="1762"/>
      <c r="BJ163" s="1762"/>
      <c r="BK163" s="1762"/>
      <c r="BL163" s="1762"/>
      <c r="BM163" s="1762"/>
      <c r="BN163" s="1762"/>
      <c r="BO163" s="1762"/>
      <c r="BP163" s="1762"/>
      <c r="BQ163" s="1762"/>
      <c r="BR163" s="1762"/>
      <c r="BS163" s="1762"/>
      <c r="BT163" s="1762"/>
      <c r="BU163" s="1762"/>
      <c r="BV163" s="1762"/>
      <c r="BW163" s="1762"/>
      <c r="BX163" s="1762"/>
      <c r="BY163" s="1762"/>
      <c r="BZ163" s="1762"/>
      <c r="CA163" s="1762"/>
      <c r="CB163" s="1762"/>
      <c r="CC163" s="1762"/>
      <c r="CD163" s="1762"/>
      <c r="CE163" s="1762"/>
      <c r="CF163" s="1762"/>
      <c r="CG163" s="1762"/>
      <c r="CH163" s="1762"/>
      <c r="CI163" s="1762"/>
      <c r="CJ163" s="1762"/>
      <c r="CK163" s="1762"/>
      <c r="CL163" s="1762"/>
      <c r="CM163" s="1762"/>
      <c r="CN163" s="1762"/>
      <c r="CO163" s="1762"/>
      <c r="CP163" s="1762"/>
      <c r="CQ163" s="1762"/>
      <c r="CR163" s="1762"/>
      <c r="CS163" s="1762"/>
      <c r="CT163" s="1762"/>
      <c r="CU163" s="1762"/>
      <c r="CV163" s="1762"/>
      <c r="CW163" s="1762"/>
      <c r="CX163" s="1762"/>
      <c r="CY163" s="1762"/>
      <c r="CZ163" s="1762"/>
      <c r="DA163" s="1762"/>
      <c r="DB163" s="1762"/>
      <c r="DC163" s="1762"/>
      <c r="DD163" s="1762"/>
      <c r="DE163" s="1762"/>
      <c r="DF163" s="1762"/>
      <c r="DG163" s="1762"/>
      <c r="DH163" s="1762"/>
      <c r="DI163" s="1762"/>
      <c r="DJ163" s="1762"/>
      <c r="DK163" s="1762"/>
      <c r="DL163" s="1762"/>
      <c r="DM163" s="1762"/>
      <c r="DN163" s="1762"/>
      <c r="DO163" s="1762"/>
      <c r="DP163" s="1762"/>
      <c r="DQ163" s="1762"/>
      <c r="DR163" s="1762"/>
      <c r="DS163" s="1762"/>
      <c r="DT163" s="1762"/>
      <c r="DU163" s="1762"/>
      <c r="DV163" s="1762"/>
      <c r="DW163" s="1762"/>
      <c r="DX163" s="1762"/>
      <c r="DY163" s="1762"/>
      <c r="DZ163" s="1762"/>
      <c r="EA163" s="1762"/>
      <c r="EB163" s="1762"/>
      <c r="EC163" s="1762"/>
      <c r="ED163" s="1762"/>
      <c r="EE163" s="1762"/>
      <c r="EF163" s="1762"/>
      <c r="EG163" s="1762"/>
      <c r="EH163" s="1762"/>
      <c r="EI163" s="1762"/>
      <c r="EJ163" s="1762"/>
      <c r="EK163" s="1762"/>
      <c r="EL163" s="1762"/>
      <c r="EM163" s="1762"/>
      <c r="EN163" s="1762"/>
      <c r="EO163" s="1762"/>
      <c r="EP163" s="1762"/>
      <c r="EQ163" s="1762"/>
      <c r="ER163" s="1762"/>
      <c r="ES163" s="1762"/>
      <c r="ET163" s="1762"/>
      <c r="EU163" s="1762"/>
      <c r="EV163" s="1762"/>
      <c r="EW163" s="1762"/>
      <c r="EX163" s="1762"/>
      <c r="EY163" s="1762"/>
      <c r="EZ163" s="1762"/>
      <c r="FA163" s="1762"/>
      <c r="FB163" s="1762"/>
      <c r="FC163" s="1762"/>
      <c r="FD163" s="1762"/>
      <c r="FE163" s="1762"/>
      <c r="FF163" s="1762"/>
      <c r="FG163" s="1762"/>
      <c r="FH163" s="1762"/>
      <c r="FI163" s="1762"/>
      <c r="FJ163" s="1762"/>
      <c r="FK163" s="1762"/>
      <c r="FL163" s="1762"/>
      <c r="FM163" s="1762"/>
      <c r="FN163" s="1762"/>
      <c r="FO163" s="1762"/>
      <c r="FP163" s="1762"/>
      <c r="FQ163" s="1762"/>
      <c r="FR163" s="1762"/>
      <c r="FS163" s="1762"/>
      <c r="FT163" s="1762"/>
      <c r="FU163" s="1762"/>
      <c r="FV163" s="1762"/>
      <c r="FW163" s="1762"/>
      <c r="FX163" s="1762"/>
      <c r="FY163" s="1762"/>
      <c r="FZ163" s="1762"/>
      <c r="GA163" s="1762"/>
      <c r="GB163" s="1762"/>
      <c r="GC163" s="1762"/>
      <c r="GD163" s="1762"/>
      <c r="GE163" s="1762"/>
      <c r="GF163" s="1762"/>
      <c r="GG163" s="1762"/>
      <c r="GH163" s="1762"/>
      <c r="GI163" s="1762"/>
      <c r="GJ163" s="1762"/>
      <c r="GK163" s="1762"/>
      <c r="GL163" s="1762"/>
      <c r="GM163" s="1762"/>
      <c r="GN163" s="1762"/>
      <c r="GO163" s="1762"/>
      <c r="GP163" s="1762"/>
      <c r="GQ163" s="1762"/>
      <c r="GR163" s="1762"/>
      <c r="GS163" s="1762"/>
      <c r="GT163" s="1762"/>
      <c r="GU163" s="1762"/>
      <c r="GV163" s="1762"/>
      <c r="GW163" s="1762"/>
      <c r="GX163" s="1762"/>
      <c r="GY163" s="1762"/>
      <c r="GZ163" s="1762"/>
      <c r="HA163" s="1762"/>
      <c r="HB163" s="1762"/>
      <c r="HC163" s="1762"/>
      <c r="HD163" s="1762"/>
      <c r="HE163" s="1762"/>
      <c r="HF163" s="1762"/>
      <c r="HG163" s="1762"/>
      <c r="HH163" s="1762"/>
      <c r="HI163" s="1762"/>
      <c r="HJ163" s="1762"/>
      <c r="HK163" s="1762"/>
      <c r="HL163" s="1762"/>
      <c r="HM163" s="1762"/>
      <c r="HN163" s="1762"/>
      <c r="HO163" s="1762"/>
      <c r="HP163" s="1762"/>
      <c r="HQ163" s="1762"/>
      <c r="HR163" s="1762"/>
      <c r="HS163" s="1762"/>
      <c r="HT163" s="1762"/>
      <c r="HU163" s="1762"/>
      <c r="HV163" s="1762"/>
      <c r="HW163" s="1762"/>
      <c r="HX163" s="1762"/>
      <c r="HY163" s="1762"/>
      <c r="HZ163" s="1762"/>
      <c r="IA163" s="1762"/>
      <c r="IB163" s="1762"/>
      <c r="IC163" s="1762"/>
      <c r="ID163" s="1762"/>
      <c r="IE163" s="1762"/>
      <c r="IF163" s="1762"/>
      <c r="IG163" s="1762"/>
      <c r="IH163" s="1762"/>
      <c r="II163" s="1762"/>
      <c r="IJ163" s="1762"/>
      <c r="IK163" s="1762"/>
      <c r="IL163" s="1762"/>
      <c r="IM163" s="1762"/>
      <c r="IN163" s="1762"/>
      <c r="IO163" s="1762"/>
      <c r="IP163" s="1762"/>
      <c r="IQ163" s="1762"/>
      <c r="IR163" s="1762"/>
      <c r="IS163" s="1762"/>
      <c r="IT163" s="1762"/>
      <c r="IU163" s="1762"/>
      <c r="IV163" s="1762"/>
      <c r="IW163" s="1762"/>
      <c r="IX163" s="1762"/>
      <c r="IY163" s="1762"/>
      <c r="IZ163" s="1762"/>
      <c r="JA163" s="1762"/>
      <c r="JB163" s="1762"/>
      <c r="JC163" s="1762"/>
      <c r="JD163" s="1762"/>
      <c r="JE163" s="1762"/>
      <c r="JF163" s="1762"/>
      <c r="JG163" s="1762"/>
      <c r="JH163" s="1762"/>
      <c r="JI163" s="1762"/>
      <c r="JJ163" s="1762"/>
      <c r="JK163" s="1762"/>
      <c r="JL163" s="1762"/>
      <c r="JM163" s="1762"/>
      <c r="JN163" s="1762"/>
      <c r="JO163" s="1762"/>
      <c r="JP163" s="1762"/>
      <c r="JQ163" s="1762"/>
      <c r="JR163" s="1762"/>
      <c r="JS163" s="1762"/>
      <c r="JT163" s="1762"/>
      <c r="JU163" s="1762"/>
      <c r="JV163" s="1762"/>
      <c r="JW163" s="1762"/>
      <c r="JX163" s="1762"/>
      <c r="JY163" s="1762"/>
      <c r="JZ163" s="1762"/>
      <c r="KA163" s="1762"/>
      <c r="KB163" s="1762"/>
      <c r="KC163" s="1762"/>
      <c r="KD163" s="1762"/>
      <c r="KE163" s="1762"/>
      <c r="KF163" s="1762"/>
      <c r="KG163" s="1762"/>
      <c r="KH163" s="1762"/>
      <c r="KI163" s="1762"/>
      <c r="KJ163" s="1762"/>
      <c r="KK163" s="1762"/>
      <c r="KL163" s="1762"/>
      <c r="KM163" s="1762"/>
      <c r="KN163" s="1762"/>
      <c r="KO163" s="1762"/>
      <c r="KP163" s="1762"/>
      <c r="KQ163" s="1762"/>
      <c r="KR163" s="1762"/>
      <c r="KS163" s="1762"/>
      <c r="KT163" s="1762"/>
      <c r="KU163" s="1762"/>
      <c r="KV163" s="1762"/>
      <c r="KW163" s="1762"/>
      <c r="KX163" s="1762"/>
      <c r="KY163" s="1762"/>
      <c r="KZ163" s="1762"/>
      <c r="LA163" s="1762"/>
      <c r="LB163" s="1762"/>
      <c r="LC163" s="1762"/>
      <c r="LD163" s="1762"/>
      <c r="LE163" s="1762"/>
      <c r="LF163" s="1762"/>
      <c r="LG163" s="1762"/>
      <c r="LH163" s="1762"/>
      <c r="LI163" s="1762"/>
      <c r="LJ163" s="1762"/>
      <c r="LK163" s="1762"/>
      <c r="LL163" s="1762"/>
      <c r="LM163" s="1762"/>
      <c r="LN163" s="1762"/>
      <c r="LO163" s="1762"/>
      <c r="LP163" s="1762"/>
      <c r="LQ163" s="1762"/>
      <c r="LR163" s="1762"/>
      <c r="LS163" s="1762"/>
      <c r="LT163" s="1762"/>
      <c r="LU163" s="1762"/>
      <c r="LV163" s="1762"/>
      <c r="LW163" s="1762"/>
      <c r="LX163" s="1762"/>
      <c r="LY163" s="1762"/>
      <c r="LZ163" s="1762"/>
      <c r="MA163" s="1762"/>
      <c r="MB163" s="1762"/>
      <c r="MC163" s="1762"/>
      <c r="MD163" s="1762"/>
      <c r="ME163" s="1762"/>
      <c r="MF163" s="1762"/>
      <c r="MG163" s="1762"/>
      <c r="MH163" s="1762"/>
      <c r="MI163" s="1762"/>
      <c r="MJ163" s="1762"/>
      <c r="MK163" s="1762"/>
      <c r="ML163" s="1762"/>
      <c r="MM163" s="1762"/>
      <c r="MN163" s="1762"/>
      <c r="MO163" s="1762"/>
      <c r="MP163" s="1762"/>
      <c r="MQ163" s="1762"/>
      <c r="MR163" s="1762"/>
      <c r="MS163" s="1762"/>
      <c r="MT163" s="1762"/>
      <c r="MU163" s="1762"/>
      <c r="MV163" s="1762"/>
      <c r="MW163" s="1762"/>
      <c r="MX163" s="1762"/>
      <c r="MY163" s="1762"/>
      <c r="MZ163" s="1762"/>
      <c r="NA163" s="1762"/>
      <c r="NB163" s="1762"/>
      <c r="NC163" s="1762"/>
      <c r="ND163" s="1762"/>
      <c r="NE163" s="1762"/>
      <c r="NF163" s="1762"/>
      <c r="NG163" s="1762"/>
      <c r="NH163" s="1762"/>
      <c r="NI163" s="1762"/>
      <c r="NJ163" s="1762"/>
      <c r="NK163" s="1762"/>
      <c r="NL163" s="1762"/>
      <c r="NM163" s="1762"/>
      <c r="NN163" s="1762"/>
      <c r="NO163" s="1762"/>
      <c r="NP163" s="1762"/>
      <c r="NQ163" s="1762"/>
      <c r="NR163" s="1762"/>
      <c r="NS163" s="1762"/>
      <c r="NT163" s="1762"/>
      <c r="NU163" s="1762"/>
      <c r="NV163" s="1762"/>
      <c r="NW163" s="1762"/>
      <c r="NX163" s="1762"/>
      <c r="NY163" s="1762"/>
      <c r="NZ163" s="1762"/>
      <c r="OA163" s="1762"/>
      <c r="OB163" s="1762"/>
      <c r="OC163" s="1762"/>
      <c r="OD163" s="1762"/>
      <c r="OE163" s="1762"/>
      <c r="OF163" s="1762"/>
      <c r="OG163" s="1762"/>
      <c r="OH163" s="1762"/>
      <c r="OI163" s="1762"/>
      <c r="OJ163" s="1762"/>
      <c r="OK163" s="1762"/>
      <c r="OL163" s="1762"/>
      <c r="OM163" s="1762"/>
      <c r="ON163" s="1762"/>
      <c r="OO163" s="1762"/>
      <c r="OP163" s="1762"/>
      <c r="OQ163" s="1762"/>
      <c r="OR163" s="1762"/>
      <c r="OS163" s="1762"/>
      <c r="OT163" s="1762"/>
      <c r="OU163" s="1762"/>
      <c r="OV163" s="1762"/>
      <c r="OW163" s="1762"/>
      <c r="OX163" s="1762"/>
      <c r="OY163" s="1762"/>
      <c r="OZ163" s="1762"/>
      <c r="PA163" s="1762"/>
      <c r="PB163" s="1762"/>
      <c r="PC163" s="1762"/>
      <c r="PD163" s="1762"/>
      <c r="PE163" s="1762"/>
      <c r="PF163" s="1762"/>
      <c r="PG163" s="1762"/>
      <c r="PH163" s="1762"/>
      <c r="PI163" s="1762"/>
      <c r="PJ163" s="1762"/>
      <c r="PK163" s="1762"/>
      <c r="PL163" s="1762"/>
      <c r="PM163" s="1762"/>
      <c r="PN163" s="1762"/>
      <c r="PO163" s="1762"/>
      <c r="PP163" s="1762"/>
      <c r="PQ163" s="1762"/>
      <c r="PR163" s="1762"/>
      <c r="PS163" s="1762"/>
      <c r="PT163" s="1762"/>
      <c r="PU163" s="1762"/>
      <c r="PV163" s="1762"/>
      <c r="PW163" s="1762"/>
      <c r="PX163" s="1762"/>
      <c r="PY163" s="1762"/>
      <c r="PZ163" s="1762"/>
      <c r="QA163" s="1762"/>
      <c r="QB163" s="1762"/>
      <c r="QC163" s="1762"/>
      <c r="QD163" s="1762"/>
      <c r="QE163" s="1762"/>
      <c r="QF163" s="1762"/>
      <c r="QG163" s="1762"/>
      <c r="QH163" s="1762"/>
      <c r="QI163" s="1762"/>
      <c r="QJ163" s="1762"/>
      <c r="QK163" s="1762"/>
      <c r="QL163" s="1762"/>
      <c r="QM163" s="1762"/>
      <c r="QN163" s="1762"/>
      <c r="QO163" s="1762"/>
      <c r="QP163" s="1762"/>
      <c r="QQ163" s="1762"/>
      <c r="QR163" s="1762"/>
      <c r="QS163" s="1762"/>
      <c r="QT163" s="1762"/>
      <c r="QU163" s="1762"/>
      <c r="QV163" s="1762"/>
      <c r="QW163" s="1762"/>
      <c r="QX163" s="1762"/>
      <c r="QY163" s="1762"/>
      <c r="QZ163" s="1762"/>
      <c r="RA163" s="1762"/>
      <c r="RB163" s="1762"/>
      <c r="RC163" s="1762"/>
      <c r="RD163" s="1762"/>
      <c r="RE163" s="1762"/>
      <c r="RF163" s="1762"/>
      <c r="RG163" s="1762"/>
      <c r="RH163" s="1762"/>
      <c r="RI163" s="1762"/>
      <c r="RJ163" s="1762"/>
      <c r="RK163" s="1762"/>
      <c r="RL163" s="1762"/>
      <c r="RM163" s="1762"/>
      <c r="RN163" s="1762"/>
      <c r="RO163" s="1762"/>
      <c r="RP163" s="1762"/>
      <c r="RQ163" s="1762"/>
      <c r="RR163" s="1762"/>
      <c r="RS163" s="1762"/>
      <c r="RT163" s="1762"/>
      <c r="RU163" s="1762"/>
      <c r="RV163" s="1762"/>
      <c r="RW163" s="1762"/>
      <c r="RX163" s="1762"/>
      <c r="RY163" s="1762"/>
      <c r="RZ163" s="1762"/>
      <c r="SA163" s="1762"/>
      <c r="SB163" s="1762"/>
      <c r="SC163" s="1762"/>
      <c r="SD163" s="1762"/>
      <c r="SE163" s="1762"/>
      <c r="SF163" s="1762"/>
      <c r="SG163" s="1762"/>
      <c r="SH163" s="1762"/>
      <c r="SI163" s="1762"/>
      <c r="SJ163" s="1762"/>
      <c r="SK163" s="1762"/>
      <c r="SL163" s="1762"/>
      <c r="SM163" s="1762"/>
      <c r="SN163" s="1762"/>
      <c r="SO163" s="1762"/>
      <c r="SP163" s="1762"/>
      <c r="SQ163" s="1762"/>
      <c r="SR163" s="1762"/>
      <c r="SS163" s="1762"/>
      <c r="ST163" s="1762"/>
      <c r="SU163" s="1762"/>
      <c r="SV163" s="1762"/>
      <c r="SW163" s="1762"/>
      <c r="SX163" s="1762"/>
      <c r="SY163" s="1762"/>
      <c r="SZ163" s="1762"/>
      <c r="TA163" s="1762"/>
      <c r="TB163" s="1762"/>
      <c r="TC163" s="1762"/>
      <c r="TD163" s="1762"/>
      <c r="TE163" s="1762"/>
      <c r="TF163" s="1762"/>
      <c r="TG163" s="1762"/>
      <c r="TH163" s="1762"/>
      <c r="TI163" s="1762"/>
      <c r="TJ163" s="1762"/>
      <c r="TK163" s="1762"/>
      <c r="TL163" s="1762"/>
      <c r="TM163" s="1762"/>
      <c r="TN163" s="1762"/>
      <c r="TO163" s="1762"/>
      <c r="TP163" s="1762"/>
      <c r="TQ163" s="1762"/>
      <c r="TR163" s="1762"/>
      <c r="TS163" s="1762"/>
      <c r="TT163" s="1762"/>
      <c r="TU163" s="1762"/>
      <c r="TV163" s="1762"/>
      <c r="TW163" s="1762"/>
      <c r="TX163" s="1762"/>
      <c r="TY163" s="1762"/>
      <c r="TZ163" s="1762"/>
      <c r="UA163" s="1762"/>
      <c r="UB163" s="1762"/>
      <c r="UC163" s="1762"/>
      <c r="UD163" s="1762"/>
      <c r="UE163" s="1762"/>
      <c r="UF163" s="1762"/>
      <c r="UG163" s="1762"/>
      <c r="UH163" s="1762"/>
      <c r="UI163" s="1762"/>
      <c r="UJ163" s="1762"/>
      <c r="UK163" s="1762"/>
      <c r="UL163" s="1762"/>
      <c r="UM163" s="1762"/>
      <c r="UN163" s="1762"/>
      <c r="UO163" s="1762"/>
      <c r="UP163" s="1762"/>
      <c r="UQ163" s="1762"/>
      <c r="UR163" s="1762"/>
      <c r="US163" s="1762"/>
      <c r="UT163" s="1762"/>
      <c r="UU163" s="1762"/>
      <c r="UV163" s="1762"/>
      <c r="UW163" s="1762"/>
      <c r="UX163" s="1762"/>
      <c r="UY163" s="1762"/>
      <c r="UZ163" s="1762"/>
      <c r="VA163" s="1762"/>
      <c r="VB163" s="1762"/>
      <c r="VC163" s="1762"/>
      <c r="VD163" s="1762"/>
      <c r="VE163" s="1762"/>
      <c r="VF163" s="1762"/>
      <c r="VG163" s="1762"/>
      <c r="VH163" s="1762"/>
      <c r="VI163" s="1762"/>
      <c r="VJ163" s="1762"/>
      <c r="VK163" s="1762"/>
      <c r="VL163" s="1762"/>
      <c r="VM163" s="1762"/>
      <c r="VN163" s="1762"/>
      <c r="VO163" s="1762"/>
      <c r="VP163" s="1762"/>
      <c r="VQ163" s="1762"/>
      <c r="VR163" s="1762"/>
      <c r="VS163" s="1762"/>
      <c r="VT163" s="1762"/>
      <c r="VU163" s="1762"/>
      <c r="VV163" s="1762"/>
      <c r="VW163" s="1762"/>
      <c r="VX163" s="1762"/>
      <c r="VY163" s="1762"/>
      <c r="VZ163" s="1762"/>
      <c r="WA163" s="1762"/>
      <c r="WB163" s="1762"/>
      <c r="WC163" s="1762"/>
      <c r="WD163" s="1762"/>
      <c r="WE163" s="1762"/>
      <c r="WF163" s="1762"/>
      <c r="WG163" s="1762"/>
      <c r="WH163" s="1762"/>
      <c r="WI163" s="1762"/>
      <c r="WJ163" s="1762"/>
      <c r="WK163" s="1762"/>
      <c r="WL163" s="1762"/>
      <c r="WM163" s="1762"/>
      <c r="WN163" s="1762"/>
      <c r="WO163" s="1762"/>
      <c r="WP163" s="1762"/>
      <c r="WQ163" s="1762"/>
      <c r="WR163" s="1762"/>
      <c r="WS163" s="1762"/>
      <c r="WT163" s="1762"/>
      <c r="WU163" s="1762"/>
      <c r="WV163" s="1762"/>
      <c r="WW163" s="1762"/>
      <c r="WX163" s="1762"/>
      <c r="WY163" s="1762"/>
      <c r="WZ163" s="1762"/>
      <c r="XA163" s="1762"/>
      <c r="XB163" s="1762"/>
      <c r="XC163" s="1762"/>
      <c r="XD163" s="1762"/>
      <c r="XE163" s="1762"/>
      <c r="XF163" s="1762"/>
      <c r="XG163" s="1762"/>
      <c r="XH163" s="1762"/>
      <c r="XI163" s="1762"/>
      <c r="XJ163" s="1762"/>
      <c r="XK163" s="1762"/>
      <c r="XL163" s="1762"/>
      <c r="XM163" s="1762"/>
      <c r="XN163" s="1762"/>
      <c r="XO163" s="1762"/>
      <c r="XP163" s="1762"/>
      <c r="XQ163" s="1762"/>
      <c r="XR163" s="1762"/>
      <c r="XS163" s="1762"/>
      <c r="XT163" s="1762"/>
      <c r="XU163" s="1762"/>
      <c r="XV163" s="1762"/>
      <c r="XW163" s="1762"/>
      <c r="XX163" s="1762"/>
      <c r="XY163" s="1762"/>
      <c r="XZ163" s="1762"/>
      <c r="YA163" s="1762"/>
      <c r="YB163" s="1762"/>
      <c r="YC163" s="1762"/>
      <c r="YD163" s="1762"/>
      <c r="YE163" s="1762"/>
      <c r="YF163" s="1762"/>
      <c r="YG163" s="1762"/>
      <c r="YH163" s="1762"/>
      <c r="YI163" s="1762"/>
      <c r="YJ163" s="1762"/>
      <c r="YK163" s="1762"/>
      <c r="YL163" s="1762"/>
      <c r="YM163" s="1762"/>
      <c r="YN163" s="1762"/>
      <c r="YO163" s="1762"/>
      <c r="YP163" s="1762"/>
      <c r="YQ163" s="1762"/>
      <c r="YR163" s="1762"/>
      <c r="YS163" s="1762"/>
      <c r="YT163" s="1762"/>
      <c r="YU163" s="1762"/>
      <c r="YV163" s="1762"/>
      <c r="YW163" s="1762"/>
      <c r="YX163" s="1762"/>
      <c r="YY163" s="1762"/>
      <c r="YZ163" s="1762"/>
      <c r="ZA163" s="1762"/>
      <c r="ZB163" s="1762"/>
      <c r="ZC163" s="1762"/>
      <c r="ZD163" s="1762"/>
      <c r="ZE163" s="1762"/>
      <c r="ZF163" s="1762"/>
      <c r="ZG163" s="1762"/>
      <c r="ZH163" s="1762"/>
      <c r="ZI163" s="1762"/>
      <c r="ZJ163" s="1762"/>
      <c r="ZK163" s="1762"/>
      <c r="ZL163" s="1762"/>
      <c r="ZM163" s="1762"/>
      <c r="ZN163" s="1762"/>
      <c r="ZO163" s="1762"/>
      <c r="ZP163" s="1762"/>
      <c r="ZQ163" s="1762"/>
      <c r="ZR163" s="1762"/>
      <c r="ZS163" s="1762"/>
      <c r="ZT163" s="1762"/>
      <c r="ZU163" s="1762"/>
      <c r="ZV163" s="1762"/>
      <c r="ZW163" s="1762"/>
      <c r="ZX163" s="1762"/>
      <c r="ZY163" s="1762"/>
      <c r="ZZ163" s="1762"/>
      <c r="AAA163" s="1762"/>
      <c r="AAB163" s="1762"/>
      <c r="AAC163" s="1762"/>
      <c r="AAD163" s="1762"/>
      <c r="AAE163" s="1762"/>
      <c r="AAF163" s="1762"/>
      <c r="AAG163" s="1762"/>
      <c r="AAH163" s="1762"/>
      <c r="AAI163" s="1762"/>
      <c r="AAJ163" s="1762"/>
      <c r="AAK163" s="1762"/>
      <c r="AAL163" s="1762"/>
      <c r="AAM163" s="1762"/>
      <c r="AAN163" s="1762"/>
      <c r="AAO163" s="1762"/>
      <c r="AAP163" s="1762"/>
      <c r="AAQ163" s="1762"/>
      <c r="AAR163" s="1762"/>
      <c r="AAS163" s="1762"/>
      <c r="AAT163" s="1762"/>
      <c r="AAU163" s="1762"/>
      <c r="AAV163" s="1762"/>
      <c r="AAW163" s="1762"/>
      <c r="AAX163" s="1762"/>
      <c r="AAY163" s="1762"/>
      <c r="AAZ163" s="1762"/>
      <c r="ABA163" s="1762"/>
      <c r="ABB163" s="1762"/>
      <c r="ABC163" s="1762"/>
      <c r="ABD163" s="1762"/>
      <c r="ABE163" s="1762"/>
      <c r="ABF163" s="1762"/>
      <c r="ABG163" s="1762"/>
      <c r="ABH163" s="1762"/>
      <c r="ABI163" s="1762"/>
      <c r="ABJ163" s="1762"/>
      <c r="ABK163" s="1762"/>
      <c r="ABL163" s="1762"/>
      <c r="ABM163" s="1762"/>
      <c r="ABN163" s="1762"/>
      <c r="ABO163" s="1762"/>
      <c r="ABP163" s="1762"/>
      <c r="ABQ163" s="1762"/>
      <c r="ABR163" s="1762"/>
      <c r="ABS163" s="1762"/>
      <c r="ABT163" s="1762"/>
      <c r="ABU163" s="1762"/>
      <c r="ABV163" s="1762"/>
      <c r="ABW163" s="1762"/>
      <c r="ABX163" s="1762"/>
      <c r="ABY163" s="1762"/>
      <c r="ABZ163" s="1762"/>
      <c r="ACA163" s="1762"/>
      <c r="ACB163" s="1762"/>
      <c r="ACC163" s="1762"/>
      <c r="ACD163" s="1762"/>
      <c r="ACE163" s="1762"/>
      <c r="ACF163" s="1762"/>
      <c r="ACG163" s="1762"/>
      <c r="ACH163" s="1762"/>
      <c r="ACI163" s="1762"/>
      <c r="ACJ163" s="1762"/>
      <c r="ACK163" s="1762"/>
      <c r="ACL163" s="1762"/>
      <c r="ACM163" s="1762"/>
      <c r="ACN163" s="1762"/>
      <c r="ACO163" s="1762"/>
      <c r="ACP163" s="1762"/>
      <c r="ACQ163" s="1762"/>
      <c r="ACR163" s="1762"/>
      <c r="ACS163" s="1762"/>
      <c r="ACT163" s="1762"/>
      <c r="ACU163" s="1762"/>
      <c r="ACV163" s="1762"/>
      <c r="ACW163" s="1762"/>
      <c r="ACX163" s="1762"/>
      <c r="ACY163" s="1762"/>
      <c r="ACZ163" s="1762"/>
      <c r="ADA163" s="1762"/>
      <c r="ADB163" s="1762"/>
      <c r="ADC163" s="1762"/>
      <c r="ADD163" s="1762"/>
      <c r="ADE163" s="1762"/>
      <c r="ADF163" s="1762"/>
      <c r="ADG163" s="1762"/>
      <c r="ADH163" s="1762"/>
      <c r="ADI163" s="1762"/>
      <c r="ADJ163" s="1762"/>
      <c r="ADK163" s="1762"/>
      <c r="ADL163" s="1762"/>
      <c r="ADM163" s="1762"/>
      <c r="ADN163" s="1762"/>
      <c r="ADO163" s="1762"/>
      <c r="ADP163" s="1762"/>
      <c r="ADQ163" s="1762"/>
      <c r="ADR163" s="1762"/>
      <c r="ADS163" s="1762"/>
      <c r="ADT163" s="1762"/>
      <c r="ADU163" s="1762"/>
      <c r="ADV163" s="1762"/>
      <c r="ADW163" s="1762"/>
      <c r="ADX163" s="1762"/>
      <c r="ADY163" s="1762"/>
      <c r="ADZ163" s="1762"/>
      <c r="AEA163" s="1762"/>
      <c r="AEB163" s="1762"/>
      <c r="AEC163" s="1762"/>
      <c r="AED163" s="1762"/>
      <c r="AEE163" s="1762"/>
      <c r="AEF163" s="1762"/>
      <c r="AEG163" s="1762"/>
      <c r="AEH163" s="1762"/>
      <c r="AEI163" s="1762"/>
      <c r="AEJ163" s="1762"/>
      <c r="AEK163" s="1762"/>
      <c r="AEL163" s="1762"/>
      <c r="AEM163" s="1762"/>
      <c r="AEN163" s="1762"/>
      <c r="AEO163" s="1762"/>
      <c r="AEP163" s="1762"/>
      <c r="AEQ163" s="1762"/>
      <c r="AER163" s="1762"/>
      <c r="AES163" s="1762"/>
      <c r="AET163" s="1762"/>
      <c r="AEU163" s="1762"/>
      <c r="AEV163" s="1762"/>
      <c r="AEW163" s="1762"/>
      <c r="AEX163" s="1762"/>
      <c r="AEY163" s="1762"/>
      <c r="AEZ163" s="1762"/>
      <c r="AFA163" s="1762"/>
      <c r="AFB163" s="1762"/>
      <c r="AFC163" s="1762"/>
      <c r="AFD163" s="1762"/>
      <c r="AFE163" s="1762"/>
      <c r="AFF163" s="1762"/>
      <c r="AFG163" s="1762"/>
      <c r="AFH163" s="1762"/>
      <c r="AFI163" s="1762"/>
      <c r="AFJ163" s="1762"/>
      <c r="AFK163" s="1762"/>
      <c r="AFL163" s="1762"/>
      <c r="AFM163" s="1762"/>
      <c r="AFN163" s="1762"/>
      <c r="AFO163" s="1762"/>
      <c r="AFP163" s="1762"/>
      <c r="AFQ163" s="1762"/>
      <c r="AFR163" s="1762"/>
      <c r="AFS163" s="1762"/>
      <c r="AFT163" s="1762"/>
      <c r="AFU163" s="1762"/>
      <c r="AFV163" s="1762"/>
      <c r="AFW163" s="1762"/>
      <c r="AFX163" s="1762"/>
      <c r="AFY163" s="1762"/>
      <c r="AFZ163" s="1762"/>
      <c r="AGA163" s="1762"/>
      <c r="AGB163" s="1762"/>
      <c r="AGC163" s="1762"/>
      <c r="AGD163" s="1762"/>
      <c r="AGE163" s="1762"/>
      <c r="AGF163" s="1762"/>
      <c r="AGG163" s="1762"/>
      <c r="AGH163" s="1762"/>
      <c r="AGI163" s="1762"/>
      <c r="AGJ163" s="1762"/>
      <c r="AGK163" s="1762"/>
      <c r="AGL163" s="1762"/>
      <c r="AGM163" s="1762"/>
      <c r="AGN163" s="1762"/>
      <c r="AGO163" s="1762"/>
      <c r="AGP163" s="1762"/>
      <c r="AGQ163" s="1762"/>
      <c r="AGR163" s="1762"/>
      <c r="AGS163" s="1762"/>
      <c r="AGT163" s="1762"/>
      <c r="AGU163" s="1762"/>
      <c r="AGV163" s="1762"/>
      <c r="AGW163" s="1762"/>
      <c r="AGX163" s="1762"/>
      <c r="AGY163" s="1762"/>
      <c r="AGZ163" s="1762"/>
      <c r="AHA163" s="1762"/>
      <c r="AHB163" s="1762"/>
      <c r="AHC163" s="1762"/>
      <c r="AHD163" s="1762"/>
      <c r="AHE163" s="1762"/>
      <c r="AHF163" s="1762"/>
      <c r="AHG163" s="1762"/>
      <c r="AHH163" s="1762"/>
      <c r="AHI163" s="1762"/>
      <c r="AHJ163" s="1762"/>
      <c r="AHK163" s="1762"/>
      <c r="AHL163" s="1762"/>
      <c r="AHM163" s="1762"/>
      <c r="AHN163" s="1762"/>
      <c r="AHO163" s="1762"/>
      <c r="AHP163" s="1762"/>
      <c r="AHQ163" s="1762"/>
      <c r="AHR163" s="1762"/>
      <c r="AHS163" s="1762"/>
      <c r="AHT163" s="1762"/>
      <c r="AHU163" s="1762"/>
      <c r="AHV163" s="1762"/>
      <c r="AHW163" s="1762"/>
      <c r="AHX163" s="1762"/>
      <c r="AHY163" s="1762"/>
      <c r="AHZ163" s="1762"/>
      <c r="AIA163" s="1762"/>
      <c r="AIB163" s="1762"/>
      <c r="AIC163" s="1762"/>
      <c r="AID163" s="1762"/>
      <c r="AIE163" s="1762"/>
      <c r="AIF163" s="1762"/>
      <c r="AIG163" s="1762"/>
      <c r="AIH163" s="1762"/>
      <c r="AII163" s="1762"/>
      <c r="AIJ163" s="1762"/>
      <c r="AIK163" s="1762"/>
      <c r="AIL163" s="1762"/>
      <c r="AIM163" s="1762"/>
      <c r="AIN163" s="1762"/>
      <c r="AIO163" s="1762"/>
      <c r="AIP163" s="1762"/>
      <c r="AIQ163" s="1762"/>
      <c r="AIR163" s="1762"/>
      <c r="AIS163" s="1762"/>
      <c r="AIT163" s="1762"/>
      <c r="AIU163" s="1762"/>
      <c r="AIV163" s="1762"/>
      <c r="AIW163" s="1762"/>
      <c r="AIX163" s="1762"/>
      <c r="AIY163" s="1762"/>
      <c r="AIZ163" s="1762"/>
      <c r="AJA163" s="1762"/>
      <c r="AJB163" s="1762"/>
      <c r="AJC163" s="1762"/>
      <c r="AJD163" s="1762"/>
      <c r="AJE163" s="1762"/>
      <c r="AJF163" s="1762"/>
      <c r="AJG163" s="1762"/>
      <c r="AJH163" s="1762"/>
      <c r="AJI163" s="1762"/>
      <c r="AJJ163" s="1762"/>
      <c r="AJK163" s="1762"/>
      <c r="AJL163" s="1762"/>
      <c r="AJM163" s="1762"/>
      <c r="AJN163" s="1762"/>
      <c r="AJO163" s="1762"/>
      <c r="AJP163" s="1762"/>
      <c r="AJQ163" s="1762"/>
      <c r="AJR163" s="1762"/>
      <c r="AJS163" s="1762"/>
      <c r="AJT163" s="1762"/>
      <c r="AJU163" s="1762"/>
      <c r="AJV163" s="1762"/>
      <c r="AJW163" s="1762"/>
      <c r="AJX163" s="1762"/>
      <c r="AJY163" s="1762"/>
      <c r="AJZ163" s="1762"/>
      <c r="AKA163" s="1762"/>
      <c r="AKB163" s="1762"/>
      <c r="AKC163" s="1762"/>
      <c r="AKD163" s="1762"/>
      <c r="AKE163" s="1762"/>
      <c r="AKF163" s="1762"/>
      <c r="AKG163" s="1762"/>
      <c r="AKH163" s="1762"/>
      <c r="AKI163" s="1762"/>
      <c r="AKJ163" s="1762"/>
      <c r="AKK163" s="1762"/>
      <c r="AKL163" s="1762"/>
      <c r="AKM163" s="1762"/>
      <c r="AKN163" s="1762"/>
      <c r="AKO163" s="1762"/>
      <c r="AKP163" s="1762"/>
      <c r="AKQ163" s="1762"/>
      <c r="AKR163" s="1762"/>
      <c r="AKS163" s="1762"/>
      <c r="AKT163" s="1762"/>
      <c r="AKU163" s="1762"/>
      <c r="AKV163" s="1762"/>
      <c r="AKW163" s="1762"/>
      <c r="AKX163" s="1762"/>
      <c r="AKY163" s="1762"/>
      <c r="AKZ163" s="1762"/>
      <c r="ALA163" s="1762"/>
      <c r="ALB163" s="1762"/>
      <c r="ALC163" s="1762"/>
      <c r="ALD163" s="1762"/>
      <c r="ALE163" s="1762"/>
      <c r="ALF163" s="1762"/>
      <c r="ALG163" s="1762"/>
      <c r="ALH163" s="1762"/>
      <c r="ALI163" s="1762"/>
      <c r="ALJ163" s="1762"/>
      <c r="ALK163" s="1762"/>
      <c r="ALL163" s="1762"/>
      <c r="ALM163" s="1762"/>
      <c r="ALN163" s="1762"/>
      <c r="ALO163" s="1762"/>
      <c r="ALP163" s="1762"/>
      <c r="ALQ163" s="1762"/>
      <c r="ALR163" s="1762"/>
      <c r="ALS163" s="1762"/>
      <c r="ALT163" s="1762"/>
      <c r="ALU163" s="1762"/>
      <c r="ALV163" s="1762"/>
      <c r="ALW163" s="1762"/>
      <c r="ALX163" s="1762"/>
      <c r="ALY163" s="1762"/>
      <c r="ALZ163" s="1762"/>
      <c r="AMA163" s="1762"/>
      <c r="AMB163" s="1762"/>
      <c r="AMC163" s="1762"/>
      <c r="AMD163" s="1762"/>
      <c r="AME163" s="1762"/>
      <c r="AMF163" s="1762"/>
      <c r="AMG163" s="1762"/>
      <c r="AMH163" s="1762"/>
      <c r="AMI163" s="1762"/>
      <c r="AMJ163" s="1762"/>
      <c r="AMK163" s="1762"/>
      <c r="AML163" s="1762"/>
      <c r="AMM163" s="1762"/>
      <c r="AMN163" s="1762"/>
      <c r="AMO163" s="1762"/>
      <c r="AMP163" s="1762"/>
      <c r="AMQ163" s="1762"/>
      <c r="AMR163" s="1762"/>
      <c r="AMS163" s="1762"/>
      <c r="AMT163" s="1762"/>
      <c r="AMU163" s="1762"/>
      <c r="AMV163" s="1762"/>
      <c r="AMW163" s="1762"/>
      <c r="AMX163" s="1762"/>
      <c r="AMY163" s="1762"/>
      <c r="AMZ163" s="1762"/>
      <c r="ANA163" s="1762"/>
      <c r="ANB163" s="1762"/>
      <c r="ANC163" s="1762"/>
      <c r="AND163" s="1762"/>
      <c r="ANE163" s="1762"/>
      <c r="ANF163" s="1762"/>
      <c r="ANG163" s="1762"/>
      <c r="ANH163" s="1762"/>
      <c r="ANI163" s="1762"/>
      <c r="ANJ163" s="1762"/>
      <c r="ANK163" s="1762"/>
      <c r="ANL163" s="1762"/>
      <c r="ANM163" s="1762"/>
      <c r="ANN163" s="1762"/>
      <c r="ANO163" s="1762"/>
      <c r="ANP163" s="1762"/>
      <c r="ANQ163" s="1762"/>
      <c r="ANR163" s="1762"/>
      <c r="ANS163" s="1762"/>
      <c r="ANT163" s="1762"/>
      <c r="ANU163" s="1762"/>
      <c r="ANV163" s="1762"/>
      <c r="ANW163" s="1762"/>
      <c r="ANX163" s="1762"/>
      <c r="ANY163" s="1762"/>
      <c r="ANZ163" s="1762"/>
      <c r="AOA163" s="1762"/>
      <c r="AOB163" s="1762"/>
      <c r="AOC163" s="1762"/>
      <c r="AOD163" s="1762"/>
      <c r="AOE163" s="1762"/>
      <c r="AOF163" s="1762"/>
      <c r="AOG163" s="1762"/>
      <c r="AOH163" s="1762"/>
      <c r="AOI163" s="1762"/>
      <c r="AOJ163" s="1762"/>
      <c r="AOK163" s="1762"/>
      <c r="AOL163" s="1762"/>
      <c r="AOM163" s="1762"/>
      <c r="AON163" s="1762"/>
      <c r="AOO163" s="1762"/>
      <c r="AOP163" s="1762"/>
      <c r="AOQ163" s="1762"/>
      <c r="AOR163" s="1762"/>
      <c r="AOS163" s="1762"/>
      <c r="AOT163" s="1762"/>
      <c r="AOU163" s="1762"/>
      <c r="AOV163" s="1762"/>
      <c r="AOW163" s="1762"/>
      <c r="AOX163" s="1762"/>
      <c r="AOY163" s="1762"/>
      <c r="AOZ163" s="1762"/>
      <c r="APA163" s="1762"/>
      <c r="APB163" s="1762"/>
      <c r="APC163" s="1762"/>
      <c r="APD163" s="1762"/>
      <c r="APE163" s="1762"/>
      <c r="APF163" s="1762"/>
      <c r="APG163" s="1762"/>
      <c r="APH163" s="1762"/>
      <c r="API163" s="1762"/>
      <c r="APJ163" s="1762"/>
      <c r="APK163" s="1762"/>
      <c r="APL163" s="1762"/>
      <c r="APM163" s="1762"/>
      <c r="APN163" s="1762"/>
      <c r="APO163" s="1762"/>
      <c r="APP163" s="1762"/>
      <c r="APQ163" s="1762"/>
      <c r="APR163" s="1762"/>
      <c r="APS163" s="1762"/>
      <c r="APT163" s="1762"/>
      <c r="APU163" s="1762"/>
      <c r="APV163" s="1762"/>
      <c r="APW163" s="1762"/>
      <c r="APX163" s="1762"/>
      <c r="APY163" s="1762"/>
      <c r="APZ163" s="1762"/>
      <c r="AQA163" s="1762"/>
      <c r="AQB163" s="1762"/>
      <c r="AQC163" s="1762"/>
      <c r="AQD163" s="1762"/>
      <c r="AQE163" s="1762"/>
      <c r="AQF163" s="1762"/>
      <c r="AQG163" s="1762"/>
      <c r="AQH163" s="1762"/>
      <c r="AQI163" s="1762"/>
      <c r="AQJ163" s="1762"/>
      <c r="AQK163" s="1762"/>
      <c r="AQL163" s="1762"/>
      <c r="AQM163" s="1762"/>
      <c r="AQN163" s="1762"/>
      <c r="AQO163" s="1762"/>
      <c r="AQP163" s="1762"/>
      <c r="AQQ163" s="1762"/>
      <c r="AQR163" s="1762"/>
      <c r="AQS163" s="1762"/>
      <c r="AQT163" s="1762"/>
      <c r="AQU163" s="1762"/>
      <c r="AQV163" s="1762"/>
      <c r="AQW163" s="1762"/>
      <c r="AQX163" s="1762"/>
      <c r="AQY163" s="1762"/>
      <c r="AQZ163" s="1762"/>
      <c r="ARA163" s="1762"/>
      <c r="ARB163" s="1762"/>
      <c r="ARC163" s="1762"/>
      <c r="ARD163" s="1762"/>
      <c r="ARE163" s="1762"/>
      <c r="ARF163" s="1762"/>
      <c r="ARG163" s="1762"/>
      <c r="ARH163" s="1762"/>
      <c r="ARI163" s="1762"/>
      <c r="ARJ163" s="1762"/>
      <c r="ARK163" s="1762"/>
      <c r="ARL163" s="1762"/>
      <c r="ARM163" s="1762"/>
      <c r="ARN163" s="1762"/>
      <c r="ARO163" s="1762"/>
      <c r="ARP163" s="1762"/>
      <c r="ARQ163" s="1762"/>
      <c r="ARR163" s="1762"/>
      <c r="ARS163" s="1762"/>
      <c r="ART163" s="1762"/>
      <c r="ARU163" s="1762"/>
      <c r="ARV163" s="1762"/>
      <c r="ARW163" s="1762"/>
      <c r="ARX163" s="1762"/>
      <c r="ARY163" s="1762"/>
      <c r="ARZ163" s="1762"/>
      <c r="ASA163" s="1762"/>
      <c r="ASB163" s="1762"/>
      <c r="ASC163" s="1762"/>
      <c r="ASD163" s="1762"/>
      <c r="ASE163" s="1762"/>
      <c r="ASF163" s="1762"/>
      <c r="ASG163" s="1762"/>
      <c r="ASH163" s="1762"/>
      <c r="ASI163" s="1762"/>
      <c r="ASJ163" s="1762"/>
      <c r="ASK163" s="1762"/>
      <c r="ASL163" s="1762"/>
      <c r="ASM163" s="1762"/>
      <c r="ASN163" s="1762"/>
      <c r="ASO163" s="1762"/>
      <c r="ASP163" s="1762"/>
      <c r="ASQ163" s="1762"/>
      <c r="ASR163" s="1762"/>
      <c r="ASS163" s="1762"/>
      <c r="AST163" s="1762"/>
      <c r="ASU163" s="1762"/>
      <c r="ASV163" s="1762"/>
      <c r="ASW163" s="1762"/>
      <c r="ASX163" s="1762"/>
      <c r="ASY163" s="1762"/>
      <c r="ASZ163" s="1762"/>
      <c r="ATA163" s="1762"/>
      <c r="ATB163" s="1762"/>
      <c r="ATC163" s="1762"/>
      <c r="ATD163" s="1762"/>
      <c r="ATE163" s="1762"/>
      <c r="ATF163" s="1762"/>
      <c r="ATG163" s="1762"/>
      <c r="ATH163" s="1762"/>
      <c r="ATI163" s="1762"/>
      <c r="ATJ163" s="1762"/>
      <c r="ATK163" s="1762"/>
      <c r="ATL163" s="1762"/>
      <c r="ATM163" s="1762"/>
      <c r="ATN163" s="1762"/>
      <c r="ATO163" s="1762"/>
      <c r="ATP163" s="1762"/>
      <c r="ATQ163" s="1762"/>
      <c r="ATR163" s="1762"/>
      <c r="ATS163" s="1762"/>
      <c r="ATT163" s="1762"/>
      <c r="ATU163" s="1762"/>
      <c r="ATV163" s="1762"/>
      <c r="ATW163" s="1762"/>
      <c r="ATX163" s="1762"/>
      <c r="ATY163" s="1762"/>
      <c r="ATZ163" s="1762"/>
      <c r="AUA163" s="1762"/>
      <c r="AUB163" s="1762"/>
      <c r="AUC163" s="1762"/>
      <c r="AUD163" s="1762"/>
      <c r="AUE163" s="1762"/>
      <c r="AUF163" s="1762"/>
      <c r="AUG163" s="1762"/>
      <c r="AUH163" s="1762"/>
      <c r="AUI163" s="1762"/>
      <c r="AUJ163" s="1762"/>
      <c r="AUK163" s="1762"/>
      <c r="AUL163" s="1762"/>
      <c r="AUM163" s="1762"/>
      <c r="AUN163" s="1762"/>
      <c r="AUO163" s="1762"/>
      <c r="AUP163" s="1762"/>
      <c r="AUQ163" s="1762"/>
      <c r="AUR163" s="1762"/>
      <c r="AUS163" s="1762"/>
      <c r="AUT163" s="1762"/>
      <c r="AUU163" s="1762"/>
      <c r="AUV163" s="1762"/>
      <c r="AUW163" s="1762"/>
      <c r="AUX163" s="1762"/>
      <c r="AUY163" s="1762"/>
      <c r="AUZ163" s="1762"/>
      <c r="AVA163" s="1762"/>
      <c r="AVB163" s="1762"/>
      <c r="AVC163" s="1762"/>
      <c r="AVD163" s="1762"/>
      <c r="AVE163" s="1762"/>
      <c r="AVF163" s="1762"/>
      <c r="AVG163" s="1762"/>
      <c r="AVH163" s="1762"/>
      <c r="AVI163" s="1762"/>
      <c r="AVJ163" s="1762"/>
      <c r="AVK163" s="1762"/>
      <c r="AVL163" s="1762"/>
      <c r="AVM163" s="1762"/>
      <c r="AVN163" s="1762"/>
      <c r="AVO163" s="1762"/>
      <c r="AVP163" s="1762"/>
      <c r="AVQ163" s="1762"/>
      <c r="AVR163" s="1762"/>
      <c r="AVS163" s="1762"/>
      <c r="AVT163" s="1762"/>
      <c r="AVU163" s="1762"/>
      <c r="AVV163" s="1762"/>
      <c r="AVW163" s="1762"/>
      <c r="AVX163" s="1762"/>
      <c r="AVY163" s="1762"/>
      <c r="AVZ163" s="1762"/>
      <c r="AWA163" s="1762"/>
      <c r="AWB163" s="1762"/>
      <c r="AWC163" s="1762"/>
      <c r="AWD163" s="1762"/>
      <c r="AWE163" s="1762"/>
      <c r="AWF163" s="1762"/>
      <c r="AWG163" s="1762"/>
      <c r="AWH163" s="1762"/>
      <c r="AWI163" s="1762"/>
      <c r="AWJ163" s="1762"/>
      <c r="AWK163" s="1762"/>
      <c r="AWL163" s="1762"/>
      <c r="AWM163" s="1762"/>
      <c r="AWN163" s="1762"/>
      <c r="AWO163" s="1762"/>
      <c r="AWP163" s="1762"/>
      <c r="AWQ163" s="1762"/>
      <c r="AWR163" s="1762"/>
      <c r="AWS163" s="1762"/>
      <c r="AWT163" s="1762"/>
      <c r="AWU163" s="1762"/>
      <c r="AWV163" s="1762"/>
      <c r="AWW163" s="1762"/>
      <c r="AWX163" s="1762"/>
      <c r="AWY163" s="1762"/>
      <c r="AWZ163" s="1762"/>
      <c r="AXA163" s="1762"/>
      <c r="AXB163" s="1762"/>
      <c r="AXC163" s="1762"/>
      <c r="AXD163" s="1762"/>
      <c r="AXE163" s="1762"/>
      <c r="AXF163" s="1762"/>
      <c r="AXG163" s="1762"/>
      <c r="AXH163" s="1762"/>
      <c r="AXI163" s="1762"/>
      <c r="AXJ163" s="1762"/>
      <c r="AXK163" s="1762"/>
      <c r="AXL163" s="1762"/>
      <c r="AXM163" s="1762"/>
      <c r="AXN163" s="1762"/>
      <c r="AXO163" s="1762"/>
      <c r="AXP163" s="1762"/>
      <c r="AXQ163" s="1762"/>
      <c r="AXR163" s="1762"/>
      <c r="AXS163" s="1762"/>
      <c r="AXT163" s="1762"/>
      <c r="AXU163" s="1762"/>
      <c r="AXV163" s="1762"/>
      <c r="AXW163" s="1762"/>
      <c r="AXX163" s="1762"/>
      <c r="AXY163" s="1762"/>
      <c r="AXZ163" s="1762"/>
      <c r="AYA163" s="1762"/>
      <c r="AYB163" s="1762"/>
      <c r="AYC163" s="1762"/>
      <c r="AYD163" s="1762"/>
      <c r="AYE163" s="1762"/>
      <c r="AYF163" s="1762"/>
      <c r="AYG163" s="1762"/>
      <c r="AYH163" s="1762"/>
      <c r="AYI163" s="1762"/>
      <c r="AYJ163" s="1762"/>
      <c r="AYK163" s="1762"/>
      <c r="AYL163" s="1762"/>
      <c r="AYM163" s="1762"/>
      <c r="AYN163" s="1762"/>
      <c r="AYO163" s="1762"/>
      <c r="AYP163" s="1762"/>
      <c r="AYQ163" s="1762"/>
      <c r="AYR163" s="1762"/>
      <c r="AYS163" s="1762"/>
      <c r="AYT163" s="1762"/>
      <c r="AYU163" s="1762"/>
      <c r="AYV163" s="1762"/>
      <c r="AYW163" s="1762"/>
      <c r="AYX163" s="1762"/>
      <c r="AYY163" s="1762"/>
      <c r="AYZ163" s="1762"/>
      <c r="AZA163" s="1762"/>
      <c r="AZB163" s="1762"/>
      <c r="AZC163" s="1762"/>
      <c r="AZD163" s="1762"/>
      <c r="AZE163" s="1762"/>
      <c r="AZF163" s="1762"/>
      <c r="AZG163" s="1762"/>
      <c r="AZH163" s="1762"/>
      <c r="AZI163" s="1762"/>
      <c r="AZJ163" s="1762"/>
      <c r="AZK163" s="1762"/>
      <c r="AZL163" s="1762"/>
      <c r="AZM163" s="1762"/>
      <c r="AZN163" s="1762"/>
      <c r="AZO163" s="1762"/>
      <c r="AZP163" s="1762"/>
      <c r="AZQ163" s="1762"/>
      <c r="AZR163" s="1762"/>
      <c r="AZS163" s="1762"/>
      <c r="AZT163" s="1762"/>
      <c r="AZU163" s="1762"/>
      <c r="AZV163" s="1762"/>
      <c r="AZW163" s="1762"/>
      <c r="AZX163" s="1762"/>
      <c r="AZY163" s="1762"/>
      <c r="AZZ163" s="1762"/>
      <c r="BAA163" s="1762"/>
      <c r="BAB163" s="1762"/>
      <c r="BAC163" s="1762"/>
      <c r="BAD163" s="1762"/>
      <c r="BAE163" s="1762"/>
      <c r="BAF163" s="1762"/>
      <c r="BAG163" s="1762"/>
      <c r="BAH163" s="1762"/>
      <c r="BAI163" s="1762"/>
      <c r="BAJ163" s="1762"/>
      <c r="BAK163" s="1762"/>
      <c r="BAL163" s="1762"/>
      <c r="BAM163" s="1762"/>
      <c r="BAN163" s="1762"/>
      <c r="BAO163" s="1762"/>
      <c r="BAP163" s="1762"/>
      <c r="BAQ163" s="1762"/>
      <c r="BAR163" s="1762"/>
      <c r="BAS163" s="1762"/>
      <c r="BAT163" s="1762"/>
      <c r="BAU163" s="1762"/>
      <c r="BAV163" s="1762"/>
      <c r="BAW163" s="1762"/>
      <c r="BAX163" s="1762"/>
      <c r="BAY163" s="1762"/>
      <c r="BAZ163" s="1762"/>
      <c r="BBA163" s="1762"/>
      <c r="BBB163" s="1762"/>
      <c r="BBC163" s="1762"/>
      <c r="BBD163" s="1762"/>
      <c r="BBE163" s="1762"/>
      <c r="BBF163" s="1762"/>
      <c r="BBG163" s="1762"/>
      <c r="BBH163" s="1762"/>
      <c r="BBI163" s="1762"/>
      <c r="BBJ163" s="1762"/>
      <c r="BBK163" s="1762"/>
      <c r="BBL163" s="1762"/>
      <c r="BBM163" s="1762"/>
      <c r="BBN163" s="1762"/>
      <c r="BBO163" s="1762"/>
      <c r="BBP163" s="1762"/>
      <c r="BBQ163" s="1762"/>
      <c r="BBR163" s="1762"/>
      <c r="BBS163" s="1762"/>
      <c r="BBT163" s="1762"/>
      <c r="BBU163" s="1762"/>
      <c r="BBV163" s="1762"/>
      <c r="BBW163" s="1762"/>
      <c r="BBX163" s="1762"/>
      <c r="BBY163" s="1762"/>
      <c r="BBZ163" s="1762"/>
      <c r="BCA163" s="1762"/>
      <c r="BCB163" s="1762"/>
      <c r="BCC163" s="1762"/>
      <c r="BCD163" s="1762"/>
      <c r="BCE163" s="1762"/>
      <c r="BCF163" s="1762"/>
      <c r="BCG163" s="1762"/>
      <c r="BCH163" s="1762"/>
      <c r="BCI163" s="1762"/>
      <c r="BCJ163" s="1762"/>
      <c r="BCK163" s="1762"/>
      <c r="BCL163" s="1762"/>
      <c r="BCM163" s="1762"/>
      <c r="BCN163" s="1762"/>
      <c r="BCO163" s="1762"/>
      <c r="BCP163" s="1762"/>
      <c r="BCQ163" s="1762"/>
      <c r="BCR163" s="1762"/>
      <c r="BCS163" s="1762"/>
      <c r="BCT163" s="1762"/>
      <c r="BCU163" s="1762"/>
      <c r="BCV163" s="1762"/>
      <c r="BCW163" s="1762"/>
      <c r="BCX163" s="1762"/>
      <c r="BCY163" s="1762"/>
      <c r="BCZ163" s="1762"/>
      <c r="BDA163" s="1762"/>
      <c r="BDB163" s="1762"/>
      <c r="BDC163" s="1762"/>
      <c r="BDD163" s="1762"/>
      <c r="BDE163" s="1762"/>
      <c r="BDF163" s="1762"/>
      <c r="BDG163" s="1762"/>
      <c r="BDH163" s="1762"/>
      <c r="BDI163" s="1762"/>
      <c r="BDJ163" s="1762"/>
      <c r="BDK163" s="1762"/>
      <c r="BDL163" s="1762"/>
      <c r="BDM163" s="1762"/>
      <c r="BDN163" s="1762"/>
      <c r="BDO163" s="1762"/>
      <c r="BDP163" s="1762"/>
      <c r="BDQ163" s="1762"/>
      <c r="BDR163" s="1762"/>
      <c r="BDS163" s="1762"/>
      <c r="BDT163" s="1762"/>
      <c r="BDU163" s="1762"/>
      <c r="BDV163" s="1762"/>
      <c r="BDW163" s="1762"/>
      <c r="BDX163" s="1762"/>
      <c r="BDY163" s="1762"/>
      <c r="BDZ163" s="1762"/>
      <c r="BEA163" s="1762"/>
      <c r="BEB163" s="1762"/>
      <c r="BEC163" s="1762"/>
      <c r="BED163" s="1762"/>
      <c r="BEE163" s="1762"/>
      <c r="BEF163" s="1762"/>
      <c r="BEG163" s="1762"/>
      <c r="BEH163" s="1762"/>
      <c r="BEI163" s="1762"/>
      <c r="BEJ163" s="1762"/>
      <c r="BEK163" s="1762"/>
      <c r="BEL163" s="1762"/>
      <c r="BEM163" s="1762"/>
      <c r="BEN163" s="1762"/>
      <c r="BEO163" s="1762"/>
      <c r="BEP163" s="1762"/>
      <c r="BEQ163" s="1762"/>
      <c r="BER163" s="1762"/>
      <c r="BES163" s="1762"/>
      <c r="BET163" s="1762"/>
      <c r="BEU163" s="1762"/>
      <c r="BEV163" s="1762"/>
      <c r="BEW163" s="1762"/>
      <c r="BEX163" s="1762"/>
      <c r="BEY163" s="1762"/>
      <c r="BEZ163" s="1762"/>
      <c r="BFA163" s="1762"/>
      <c r="BFB163" s="1762"/>
      <c r="BFC163" s="1762"/>
      <c r="BFD163" s="1762"/>
      <c r="BFE163" s="1762"/>
      <c r="BFF163" s="1762"/>
      <c r="BFG163" s="1762"/>
      <c r="BFH163" s="1762"/>
      <c r="BFI163" s="1762"/>
      <c r="BFJ163" s="1762"/>
      <c r="BFK163" s="1762"/>
      <c r="BFL163" s="1762"/>
      <c r="BFM163" s="1762"/>
      <c r="BFN163" s="1762"/>
      <c r="BFO163" s="1762"/>
      <c r="BFP163" s="1762"/>
      <c r="BFQ163" s="1762"/>
      <c r="BFR163" s="1762"/>
      <c r="BFS163" s="1762"/>
      <c r="BFT163" s="1762"/>
      <c r="BFU163" s="1762"/>
      <c r="BFV163" s="1762"/>
      <c r="BFW163" s="1762"/>
      <c r="BFX163" s="1762"/>
      <c r="BFY163" s="1762"/>
      <c r="BFZ163" s="1762"/>
      <c r="BGA163" s="1762"/>
      <c r="BGB163" s="1762"/>
      <c r="BGC163" s="1762"/>
      <c r="BGD163" s="1762"/>
      <c r="BGE163" s="1762"/>
      <c r="BGF163" s="1762"/>
      <c r="BGG163" s="1762"/>
      <c r="BGH163" s="1762"/>
      <c r="BGI163" s="1762"/>
      <c r="BGJ163" s="1762"/>
      <c r="BGK163" s="1762"/>
      <c r="BGL163" s="1762"/>
      <c r="BGM163" s="1762"/>
      <c r="BGN163" s="1762"/>
      <c r="BGO163" s="1762"/>
      <c r="BGP163" s="1762"/>
      <c r="BGQ163" s="1762"/>
      <c r="BGR163" s="1762"/>
      <c r="BGS163" s="1762"/>
      <c r="BGT163" s="1762"/>
      <c r="BGU163" s="1762"/>
      <c r="BGV163" s="1762"/>
      <c r="BGW163" s="1762"/>
      <c r="BGX163" s="1762"/>
      <c r="BGY163" s="1762"/>
      <c r="BGZ163" s="1762"/>
      <c r="BHA163" s="1762"/>
      <c r="BHB163" s="1762"/>
      <c r="BHC163" s="1762"/>
      <c r="BHD163" s="1762"/>
      <c r="BHE163" s="1762"/>
      <c r="BHF163" s="1762"/>
      <c r="BHG163" s="1762"/>
      <c r="BHH163" s="1762"/>
      <c r="BHI163" s="1762"/>
      <c r="BHJ163" s="1762"/>
      <c r="BHK163" s="1762"/>
      <c r="BHL163" s="1762"/>
      <c r="BHM163" s="1762"/>
      <c r="BHN163" s="1762"/>
      <c r="BHO163" s="1762"/>
      <c r="BHP163" s="1762"/>
      <c r="BHQ163" s="1762"/>
      <c r="BHR163" s="1762"/>
      <c r="BHS163" s="1762"/>
      <c r="BHT163" s="1762"/>
      <c r="BHU163" s="1762"/>
      <c r="BHV163" s="1762"/>
      <c r="BHW163" s="1762"/>
      <c r="BHX163" s="1762"/>
      <c r="BHY163" s="1762"/>
      <c r="BHZ163" s="1762"/>
      <c r="BIA163" s="1762"/>
      <c r="BIB163" s="1762"/>
      <c r="BIC163" s="1762"/>
      <c r="BID163" s="1762"/>
      <c r="BIE163" s="1762"/>
      <c r="BIF163" s="1762"/>
      <c r="BIG163" s="1762"/>
      <c r="BIH163" s="1762"/>
      <c r="BII163" s="1762"/>
      <c r="BIJ163" s="1762"/>
      <c r="BIK163" s="1762"/>
      <c r="BIL163" s="1762"/>
      <c r="BIM163" s="1762"/>
      <c r="BIN163" s="1762"/>
      <c r="BIO163" s="1762"/>
      <c r="BIP163" s="1762"/>
      <c r="BIQ163" s="1762"/>
      <c r="BIR163" s="1762"/>
      <c r="BIS163" s="1762"/>
      <c r="BIT163" s="1762"/>
      <c r="BIU163" s="1762"/>
      <c r="BIV163" s="1762"/>
      <c r="BIW163" s="1762"/>
      <c r="BIX163" s="1762"/>
      <c r="BIY163" s="1762"/>
      <c r="BIZ163" s="1762"/>
      <c r="BJA163" s="1762"/>
      <c r="BJB163" s="1762"/>
      <c r="BJC163" s="1762"/>
      <c r="BJD163" s="1762"/>
      <c r="BJE163" s="1762"/>
      <c r="BJF163" s="1762"/>
      <c r="BJG163" s="1762"/>
      <c r="BJH163" s="1762"/>
      <c r="BJI163" s="1762"/>
      <c r="BJJ163" s="1762"/>
      <c r="BJK163" s="1762"/>
      <c r="BJL163" s="1762"/>
      <c r="BJM163" s="1762"/>
      <c r="BJN163" s="1762"/>
      <c r="BJO163" s="1762"/>
      <c r="BJP163" s="1762"/>
      <c r="BJQ163" s="1762"/>
      <c r="BJR163" s="1762"/>
      <c r="BJS163" s="1762"/>
      <c r="BJT163" s="1762"/>
      <c r="BJU163" s="1762"/>
      <c r="BJV163" s="1762"/>
      <c r="BJW163" s="1762"/>
      <c r="BJX163" s="1762"/>
      <c r="BJY163" s="1762"/>
      <c r="BJZ163" s="1762"/>
      <c r="BKA163" s="1762"/>
      <c r="BKB163" s="1762"/>
      <c r="BKC163" s="1762"/>
      <c r="BKD163" s="1762"/>
      <c r="BKE163" s="1762"/>
      <c r="BKF163" s="1762"/>
      <c r="BKG163" s="1762"/>
      <c r="BKH163" s="1762"/>
      <c r="BKI163" s="1762"/>
      <c r="BKJ163" s="1762"/>
      <c r="BKK163" s="1762"/>
      <c r="BKL163" s="1762"/>
      <c r="BKM163" s="1762"/>
      <c r="BKN163" s="1762"/>
      <c r="BKO163" s="1762"/>
      <c r="BKP163" s="1762"/>
      <c r="BKQ163" s="1762"/>
      <c r="BKR163" s="1762"/>
      <c r="BKS163" s="1762"/>
      <c r="BKT163" s="1762"/>
      <c r="BKU163" s="1762"/>
      <c r="BKV163" s="1762"/>
      <c r="BKW163" s="1762"/>
      <c r="BKX163" s="1762"/>
      <c r="BKY163" s="1762"/>
      <c r="BKZ163" s="1762"/>
      <c r="BLA163" s="1762"/>
      <c r="BLB163" s="1762"/>
      <c r="BLC163" s="1762"/>
      <c r="BLD163" s="1762"/>
      <c r="BLE163" s="1762"/>
      <c r="BLF163" s="1762"/>
      <c r="BLG163" s="1762"/>
      <c r="BLH163" s="1762"/>
      <c r="BLI163" s="1762"/>
      <c r="BLJ163" s="1762"/>
      <c r="BLK163" s="1762"/>
      <c r="BLL163" s="1762"/>
      <c r="BLM163" s="1762"/>
      <c r="BLN163" s="1762"/>
      <c r="BLO163" s="1762"/>
      <c r="BLP163" s="1762"/>
      <c r="BLQ163" s="1762"/>
      <c r="BLR163" s="1762"/>
      <c r="BLS163" s="1762"/>
      <c r="BLT163" s="1762"/>
      <c r="BLU163" s="1762"/>
      <c r="BLV163" s="1762"/>
      <c r="BLW163" s="1762"/>
      <c r="BLX163" s="1762"/>
      <c r="BLY163" s="1762"/>
      <c r="BLZ163" s="1762"/>
      <c r="BMA163" s="1762"/>
      <c r="BMB163" s="1762"/>
      <c r="BMC163" s="1762"/>
      <c r="BMD163" s="1762"/>
      <c r="BME163" s="1762"/>
      <c r="BMF163" s="1762"/>
      <c r="BMG163" s="1762"/>
      <c r="BMH163" s="1762"/>
      <c r="BMI163" s="1762"/>
      <c r="BMJ163" s="1762"/>
      <c r="BMK163" s="1762"/>
      <c r="BML163" s="1762"/>
      <c r="BMM163" s="1762"/>
      <c r="BMN163" s="1762"/>
      <c r="BMO163" s="1762"/>
      <c r="BMP163" s="1762"/>
      <c r="BMQ163" s="1762"/>
      <c r="BMR163" s="1762"/>
      <c r="BMS163" s="1762"/>
      <c r="BMT163" s="1762"/>
      <c r="BMU163" s="1762"/>
      <c r="BMV163" s="1762"/>
      <c r="BMW163" s="1762"/>
      <c r="BMX163" s="1762"/>
      <c r="BMY163" s="1762"/>
      <c r="BMZ163" s="1762"/>
      <c r="BNA163" s="1762"/>
      <c r="BNB163" s="1762"/>
      <c r="BNC163" s="1762"/>
      <c r="BND163" s="1762"/>
      <c r="BNE163" s="1762"/>
      <c r="BNF163" s="1762"/>
      <c r="BNG163" s="1762"/>
      <c r="BNH163" s="1762"/>
      <c r="BNI163" s="1762"/>
      <c r="BNJ163" s="1762"/>
      <c r="BNK163" s="1762"/>
      <c r="BNL163" s="1762"/>
      <c r="BNM163" s="1762"/>
      <c r="BNN163" s="1762"/>
      <c r="BNO163" s="1762"/>
      <c r="BNP163" s="1762"/>
      <c r="BNQ163" s="1762"/>
      <c r="BNR163" s="1762"/>
      <c r="BNS163" s="1762"/>
      <c r="BNT163" s="1762"/>
      <c r="BNU163" s="1762"/>
      <c r="BNV163" s="1762"/>
      <c r="BNW163" s="1762"/>
      <c r="BNX163" s="1762"/>
      <c r="BNY163" s="1762"/>
      <c r="BNZ163" s="1762"/>
      <c r="BOA163" s="1762"/>
      <c r="BOB163" s="1762"/>
      <c r="BOC163" s="1762"/>
      <c r="BOD163" s="1762"/>
      <c r="BOE163" s="1762"/>
      <c r="BOF163" s="1762"/>
      <c r="BOG163" s="1762"/>
      <c r="BOH163" s="1762"/>
      <c r="BOI163" s="1762"/>
      <c r="BOJ163" s="1762"/>
      <c r="BOK163" s="1762"/>
      <c r="BOL163" s="1762"/>
      <c r="BOM163" s="1762"/>
      <c r="BON163" s="1762"/>
      <c r="BOO163" s="1762"/>
      <c r="BOP163" s="1762"/>
      <c r="BOQ163" s="1762"/>
      <c r="BOR163" s="1762"/>
      <c r="BOS163" s="1762"/>
      <c r="BOT163" s="1762"/>
      <c r="BOU163" s="1762"/>
      <c r="BOV163" s="1762"/>
      <c r="BOW163" s="1762"/>
      <c r="BOX163" s="1762"/>
      <c r="BOY163" s="1762"/>
      <c r="BOZ163" s="1762"/>
      <c r="BPA163" s="1762"/>
      <c r="BPB163" s="1762"/>
      <c r="BPC163" s="1762"/>
      <c r="BPD163" s="1762"/>
      <c r="BPE163" s="1762"/>
      <c r="BPF163" s="1762"/>
      <c r="BPG163" s="1762"/>
      <c r="BPH163" s="1762"/>
      <c r="BPI163" s="1762"/>
      <c r="BPJ163" s="1762"/>
      <c r="BPK163" s="1762"/>
      <c r="BPL163" s="1762"/>
      <c r="BPM163" s="1762"/>
      <c r="BPN163" s="1762"/>
      <c r="BPO163" s="1762"/>
      <c r="BPP163" s="1762"/>
      <c r="BPQ163" s="1762"/>
      <c r="BPR163" s="1762"/>
      <c r="BPS163" s="1762"/>
      <c r="BPT163" s="1762"/>
      <c r="BPU163" s="1762"/>
      <c r="BPV163" s="1762"/>
      <c r="BPW163" s="1762"/>
      <c r="BPX163" s="1762"/>
      <c r="BPY163" s="1762"/>
      <c r="BPZ163" s="1762"/>
      <c r="BQA163" s="1762"/>
      <c r="BQB163" s="1762"/>
      <c r="BQC163" s="1762"/>
      <c r="BQD163" s="1762"/>
      <c r="BQE163" s="1762"/>
      <c r="BQF163" s="1762"/>
      <c r="BQG163" s="1762"/>
      <c r="BQH163" s="1762"/>
      <c r="BQI163" s="1762"/>
      <c r="BQJ163" s="1762"/>
      <c r="BQK163" s="1762"/>
      <c r="BQL163" s="1762"/>
      <c r="BQM163" s="1762"/>
      <c r="BQN163" s="1762"/>
      <c r="BQO163" s="1762"/>
      <c r="BQP163" s="1762"/>
      <c r="BQQ163" s="1762"/>
      <c r="BQR163" s="1762"/>
      <c r="BQS163" s="1762"/>
      <c r="BQT163" s="1762"/>
      <c r="BQU163" s="1762"/>
      <c r="BQV163" s="1762"/>
      <c r="BQW163" s="1762"/>
      <c r="BQX163" s="1762"/>
      <c r="BQY163" s="1762"/>
      <c r="BQZ163" s="1762"/>
      <c r="BRA163" s="1762"/>
      <c r="BRB163" s="1762"/>
      <c r="BRC163" s="1762"/>
      <c r="BRD163" s="1762"/>
      <c r="BRE163" s="1762"/>
      <c r="BRF163" s="1762"/>
      <c r="BRG163" s="1762"/>
      <c r="BRH163" s="1762"/>
      <c r="BRI163" s="1762"/>
      <c r="BRJ163" s="1762"/>
      <c r="BRK163" s="1762"/>
      <c r="BRL163" s="1762"/>
      <c r="BRM163" s="1762"/>
      <c r="BRN163" s="1762"/>
      <c r="BRO163" s="1762"/>
      <c r="BRP163" s="1762"/>
      <c r="BRQ163" s="1762"/>
      <c r="BRR163" s="1762"/>
      <c r="BRS163" s="1762"/>
      <c r="BRT163" s="1762"/>
      <c r="BRU163" s="1762"/>
      <c r="BRV163" s="1762"/>
      <c r="BRW163" s="1762"/>
      <c r="BRX163" s="1762"/>
      <c r="BRY163" s="1762"/>
      <c r="BRZ163" s="1762"/>
      <c r="BSA163" s="1762"/>
      <c r="BSB163" s="1762"/>
      <c r="BSC163" s="1762"/>
      <c r="BSD163" s="1762"/>
      <c r="BSE163" s="1762"/>
      <c r="BSF163" s="1762"/>
      <c r="BSG163" s="1762"/>
      <c r="BSH163" s="1762"/>
      <c r="BSI163" s="1762"/>
      <c r="BSJ163" s="1762"/>
      <c r="BSK163" s="1762"/>
      <c r="BSL163" s="1762"/>
      <c r="BSM163" s="1762"/>
      <c r="BSN163" s="1762"/>
      <c r="BSO163" s="1762"/>
      <c r="BSP163" s="1762"/>
      <c r="BSQ163" s="1762"/>
      <c r="BSR163" s="1762"/>
      <c r="BSS163" s="1762"/>
      <c r="BST163" s="1762"/>
      <c r="BSU163" s="1762"/>
      <c r="BSV163" s="1762"/>
      <c r="BSW163" s="1762"/>
      <c r="BSX163" s="1762"/>
      <c r="BSY163" s="1762"/>
      <c r="BSZ163" s="1762"/>
      <c r="BTA163" s="1762"/>
      <c r="BTB163" s="1762"/>
      <c r="BTC163" s="1762"/>
      <c r="BTD163" s="1762"/>
      <c r="BTE163" s="1762"/>
      <c r="BTF163" s="1762"/>
      <c r="BTG163" s="1762"/>
      <c r="BTH163" s="1762"/>
      <c r="BTI163" s="1762"/>
      <c r="BTJ163" s="1762"/>
      <c r="BTK163" s="1762"/>
      <c r="BTL163" s="1762"/>
      <c r="BTM163" s="1762"/>
      <c r="BTN163" s="1762"/>
      <c r="BTO163" s="1762"/>
      <c r="BTP163" s="1762"/>
      <c r="BTQ163" s="1762"/>
      <c r="BTR163" s="1762"/>
      <c r="BTS163" s="1762"/>
      <c r="BTT163" s="1762"/>
      <c r="BTU163" s="1762"/>
      <c r="BTV163" s="1762"/>
      <c r="BTW163" s="1762"/>
      <c r="BTX163" s="1762"/>
      <c r="BTY163" s="1762"/>
      <c r="BTZ163" s="1762"/>
      <c r="BUA163" s="1762"/>
      <c r="BUB163" s="1762"/>
      <c r="BUC163" s="1762"/>
      <c r="BUD163" s="1762"/>
      <c r="BUE163" s="1762"/>
      <c r="BUF163" s="1762"/>
      <c r="BUG163" s="1762"/>
      <c r="BUH163" s="1762"/>
      <c r="BUI163" s="1762"/>
      <c r="BUJ163" s="1762"/>
      <c r="BUK163" s="1762"/>
      <c r="BUL163" s="1762"/>
      <c r="BUM163" s="1762"/>
      <c r="BUN163" s="1762"/>
      <c r="BUO163" s="1762"/>
      <c r="BUP163" s="1762"/>
      <c r="BUQ163" s="1762"/>
      <c r="BUR163" s="1762"/>
      <c r="BUS163" s="1762"/>
      <c r="BUT163" s="1762"/>
      <c r="BUU163" s="1762"/>
      <c r="BUV163" s="1762"/>
      <c r="BUW163" s="1762"/>
      <c r="BUX163" s="1762"/>
      <c r="BUY163" s="1762"/>
      <c r="BUZ163" s="1762"/>
      <c r="BVA163" s="1762"/>
      <c r="BVB163" s="1762"/>
      <c r="BVC163" s="1762"/>
      <c r="BVD163" s="1762"/>
      <c r="BVE163" s="1762"/>
      <c r="BVF163" s="1762"/>
      <c r="BVG163" s="1762"/>
      <c r="BVH163" s="1762"/>
      <c r="BVI163" s="1762"/>
      <c r="BVJ163" s="1762"/>
      <c r="BVK163" s="1762"/>
      <c r="BVL163" s="1762"/>
      <c r="BVM163" s="1762"/>
      <c r="BVN163" s="1762"/>
      <c r="BVO163" s="1762"/>
      <c r="BVP163" s="1762"/>
      <c r="BVQ163" s="1762"/>
      <c r="BVR163" s="1762"/>
      <c r="BVS163" s="1762"/>
      <c r="BVT163" s="1762"/>
      <c r="BVU163" s="1762"/>
      <c r="BVV163" s="1762"/>
      <c r="BVW163" s="1762"/>
      <c r="BVX163" s="1762"/>
      <c r="BVY163" s="1762"/>
      <c r="BVZ163" s="1762"/>
      <c r="BWA163" s="1762"/>
      <c r="BWB163" s="1762"/>
      <c r="BWC163" s="1762"/>
      <c r="BWD163" s="1762"/>
      <c r="BWE163" s="1762"/>
      <c r="BWF163" s="1762"/>
      <c r="BWG163" s="1762"/>
      <c r="BWH163" s="1762"/>
      <c r="BWI163" s="1762"/>
      <c r="BWJ163" s="1762"/>
      <c r="BWK163" s="1762"/>
      <c r="BWL163" s="1762"/>
      <c r="BWM163" s="1762"/>
      <c r="BWN163" s="1762"/>
      <c r="BWO163" s="1762"/>
      <c r="BWP163" s="1762"/>
      <c r="BWQ163" s="1762"/>
      <c r="BWR163" s="1762"/>
      <c r="BWS163" s="1762"/>
      <c r="BWT163" s="1762"/>
      <c r="BWU163" s="1762"/>
      <c r="BWV163" s="1762"/>
      <c r="BWW163" s="1762"/>
      <c r="BWX163" s="1762"/>
      <c r="BWY163" s="1762"/>
      <c r="BWZ163" s="1762"/>
      <c r="BXA163" s="1762"/>
      <c r="BXB163" s="1762"/>
      <c r="BXC163" s="1762"/>
      <c r="BXD163" s="1762"/>
      <c r="BXE163" s="1762"/>
      <c r="BXF163" s="1762"/>
      <c r="BXG163" s="1762"/>
      <c r="BXH163" s="1762"/>
      <c r="BXI163" s="1762"/>
      <c r="BXJ163" s="1762"/>
      <c r="BXK163" s="1762"/>
      <c r="BXL163" s="1762"/>
      <c r="BXM163" s="1762"/>
      <c r="BXN163" s="1762"/>
      <c r="BXO163" s="1762"/>
      <c r="BXP163" s="1762"/>
      <c r="BXQ163" s="1762"/>
      <c r="BXR163" s="1762"/>
      <c r="BXS163" s="1762"/>
      <c r="BXT163" s="1762"/>
      <c r="BXU163" s="1762"/>
      <c r="BXV163" s="1762"/>
      <c r="BXW163" s="1762"/>
      <c r="BXX163" s="1762"/>
      <c r="BXY163" s="1762"/>
      <c r="BXZ163" s="1762"/>
      <c r="BYA163" s="1762"/>
      <c r="BYB163" s="1762"/>
      <c r="BYC163" s="1762"/>
      <c r="BYD163" s="1762"/>
      <c r="BYE163" s="1762"/>
      <c r="BYF163" s="1762"/>
      <c r="BYG163" s="1762"/>
      <c r="BYH163" s="1762"/>
      <c r="BYI163" s="1762"/>
      <c r="BYJ163" s="1762"/>
      <c r="BYK163" s="1762"/>
      <c r="BYL163" s="1762"/>
      <c r="BYM163" s="1762"/>
      <c r="BYN163" s="1762"/>
      <c r="BYO163" s="1762"/>
      <c r="BYP163" s="1762"/>
      <c r="BYQ163" s="1762"/>
      <c r="BYR163" s="1762"/>
      <c r="BYS163" s="1762"/>
      <c r="BYT163" s="1762"/>
      <c r="BYU163" s="1762"/>
      <c r="BYV163" s="1762"/>
      <c r="BYW163" s="1762"/>
      <c r="BYX163" s="1762"/>
      <c r="BYY163" s="1762"/>
      <c r="BYZ163" s="1762"/>
      <c r="BZA163" s="1762"/>
      <c r="BZB163" s="1762"/>
      <c r="BZC163" s="1762"/>
      <c r="BZD163" s="1762"/>
      <c r="BZE163" s="1762"/>
      <c r="BZF163" s="1762"/>
      <c r="BZG163" s="1762"/>
      <c r="BZH163" s="1762"/>
      <c r="BZI163" s="1762"/>
      <c r="BZJ163" s="1762"/>
      <c r="BZK163" s="1762"/>
      <c r="BZL163" s="1762"/>
      <c r="BZM163" s="1762"/>
      <c r="BZN163" s="1762"/>
      <c r="BZO163" s="1762"/>
      <c r="BZP163" s="1762"/>
      <c r="BZQ163" s="1762"/>
      <c r="BZR163" s="1762"/>
      <c r="BZS163" s="1762"/>
      <c r="BZT163" s="1762"/>
      <c r="BZU163" s="1762"/>
      <c r="BZV163" s="1762"/>
      <c r="BZW163" s="1762"/>
      <c r="BZX163" s="1762"/>
      <c r="BZY163" s="1762"/>
      <c r="BZZ163" s="1762"/>
      <c r="CAA163" s="1762"/>
      <c r="CAB163" s="1762"/>
      <c r="CAC163" s="1762"/>
      <c r="CAD163" s="1762"/>
      <c r="CAE163" s="1762"/>
      <c r="CAF163" s="1762"/>
      <c r="CAG163" s="1762"/>
      <c r="CAH163" s="1762"/>
      <c r="CAI163" s="1762"/>
      <c r="CAJ163" s="1762"/>
      <c r="CAK163" s="1762"/>
      <c r="CAL163" s="1762"/>
      <c r="CAM163" s="1762"/>
      <c r="CAN163" s="1762"/>
      <c r="CAO163" s="1762"/>
      <c r="CAP163" s="1762"/>
      <c r="CAQ163" s="1762"/>
      <c r="CAR163" s="1762"/>
      <c r="CAS163" s="1762"/>
      <c r="CAT163" s="1762"/>
      <c r="CAU163" s="1762"/>
      <c r="CAV163" s="1762"/>
      <c r="CAW163" s="1762"/>
      <c r="CAX163" s="1762"/>
      <c r="CAY163" s="1762"/>
      <c r="CAZ163" s="1762"/>
      <c r="CBA163" s="1762"/>
      <c r="CBB163" s="1762"/>
      <c r="CBC163" s="1762"/>
      <c r="CBD163" s="1762"/>
      <c r="CBE163" s="1762"/>
      <c r="CBF163" s="1762"/>
      <c r="CBG163" s="1762"/>
      <c r="CBH163" s="1762"/>
      <c r="CBI163" s="1762"/>
      <c r="CBJ163" s="1762"/>
      <c r="CBK163" s="1762"/>
      <c r="CBL163" s="1762"/>
      <c r="CBM163" s="1762"/>
      <c r="CBN163" s="1762"/>
      <c r="CBO163" s="1762"/>
      <c r="CBP163" s="1762"/>
      <c r="CBQ163" s="1762"/>
      <c r="CBR163" s="1762"/>
      <c r="CBS163" s="1762"/>
      <c r="CBT163" s="1762"/>
      <c r="CBU163" s="1762"/>
      <c r="CBV163" s="1762"/>
      <c r="CBW163" s="1762"/>
      <c r="CBX163" s="1762"/>
      <c r="CBY163" s="1762"/>
      <c r="CBZ163" s="1762"/>
      <c r="CCA163" s="1762"/>
      <c r="CCB163" s="1762"/>
      <c r="CCC163" s="1762"/>
      <c r="CCD163" s="1762"/>
      <c r="CCE163" s="1762"/>
      <c r="CCF163" s="1762"/>
      <c r="CCG163" s="1762"/>
      <c r="CCH163" s="1762"/>
      <c r="CCI163" s="1762"/>
      <c r="CCJ163" s="1762"/>
      <c r="CCK163" s="1762"/>
      <c r="CCL163" s="1762"/>
      <c r="CCM163" s="1762"/>
      <c r="CCN163" s="1762"/>
      <c r="CCO163" s="1762"/>
      <c r="CCP163" s="1762"/>
      <c r="CCQ163" s="1762"/>
      <c r="CCR163" s="1762"/>
      <c r="CCS163" s="1762"/>
      <c r="CCT163" s="1762"/>
      <c r="CCU163" s="1762"/>
      <c r="CCV163" s="1762"/>
      <c r="CCW163" s="1762"/>
      <c r="CCX163" s="1762"/>
      <c r="CCY163" s="1762"/>
      <c r="CCZ163" s="1762"/>
      <c r="CDA163" s="1762"/>
      <c r="CDB163" s="1762"/>
      <c r="CDC163" s="1762"/>
      <c r="CDD163" s="1762"/>
      <c r="CDE163" s="1762"/>
      <c r="CDF163" s="1762"/>
      <c r="CDG163" s="1762"/>
      <c r="CDH163" s="1762"/>
      <c r="CDI163" s="1762"/>
      <c r="CDJ163" s="1762"/>
      <c r="CDK163" s="1762"/>
      <c r="CDL163" s="1762"/>
      <c r="CDM163" s="1762"/>
      <c r="CDN163" s="1762"/>
      <c r="CDO163" s="1762"/>
      <c r="CDP163" s="1762"/>
      <c r="CDQ163" s="1762"/>
      <c r="CDR163" s="1762"/>
      <c r="CDS163" s="1762"/>
      <c r="CDT163" s="1762"/>
      <c r="CDU163" s="1762"/>
      <c r="CDV163" s="1762"/>
      <c r="CDW163" s="1762"/>
      <c r="CDX163" s="1762"/>
      <c r="CDY163" s="1762"/>
      <c r="CDZ163" s="1762"/>
      <c r="CEA163" s="1762"/>
      <c r="CEB163" s="1762"/>
      <c r="CEC163" s="1762"/>
      <c r="CED163" s="1762"/>
      <c r="CEE163" s="1762"/>
      <c r="CEF163" s="1762"/>
      <c r="CEG163" s="1762"/>
      <c r="CEH163" s="1762"/>
      <c r="CEI163" s="1762"/>
      <c r="CEJ163" s="1762"/>
      <c r="CEK163" s="1762"/>
      <c r="CEL163" s="1762"/>
      <c r="CEM163" s="1762"/>
      <c r="CEN163" s="1762"/>
      <c r="CEO163" s="1762"/>
      <c r="CEP163" s="1762"/>
      <c r="CEQ163" s="1762"/>
      <c r="CER163" s="1762"/>
      <c r="CES163" s="1762"/>
      <c r="CET163" s="1762"/>
      <c r="CEU163" s="1762"/>
      <c r="CEV163" s="1762"/>
      <c r="CEW163" s="1762"/>
      <c r="CEX163" s="1762"/>
      <c r="CEY163" s="1762"/>
      <c r="CEZ163" s="1762"/>
      <c r="CFA163" s="1762"/>
      <c r="CFB163" s="1762"/>
      <c r="CFC163" s="1762"/>
      <c r="CFD163" s="1762"/>
      <c r="CFE163" s="1762"/>
      <c r="CFF163" s="1762"/>
      <c r="CFG163" s="1762"/>
      <c r="CFH163" s="1762"/>
      <c r="CFI163" s="1762"/>
      <c r="CFJ163" s="1762"/>
      <c r="CFK163" s="1762"/>
      <c r="CFL163" s="1762"/>
      <c r="CFM163" s="1762"/>
      <c r="CFN163" s="1762"/>
      <c r="CFO163" s="1762"/>
      <c r="CFP163" s="1762"/>
      <c r="CFQ163" s="1762"/>
      <c r="CFR163" s="1762"/>
      <c r="CFS163" s="1762"/>
      <c r="CFT163" s="1762"/>
      <c r="CFU163" s="1762"/>
      <c r="CFV163" s="1762"/>
      <c r="CFW163" s="1762"/>
      <c r="CFX163" s="1762"/>
      <c r="CFY163" s="1762"/>
      <c r="CFZ163" s="1762"/>
      <c r="CGA163" s="1762"/>
      <c r="CGB163" s="1762"/>
      <c r="CGC163" s="1762"/>
      <c r="CGD163" s="1762"/>
      <c r="CGE163" s="1762"/>
      <c r="CGF163" s="1762"/>
      <c r="CGG163" s="1762"/>
      <c r="CGH163" s="1762"/>
      <c r="CGI163" s="1762"/>
      <c r="CGJ163" s="1762"/>
      <c r="CGK163" s="1762"/>
      <c r="CGL163" s="1762"/>
      <c r="CGM163" s="1762"/>
      <c r="CGN163" s="1762"/>
      <c r="CGO163" s="1762"/>
      <c r="CGP163" s="1762"/>
      <c r="CGQ163" s="1762"/>
      <c r="CGR163" s="1762"/>
      <c r="CGS163" s="1762"/>
      <c r="CGT163" s="1762"/>
      <c r="CGU163" s="1762"/>
      <c r="CGV163" s="1762"/>
      <c r="CGW163" s="1762"/>
      <c r="CGX163" s="1762"/>
      <c r="CGY163" s="1762"/>
      <c r="CGZ163" s="1762"/>
      <c r="CHA163" s="1762"/>
      <c r="CHB163" s="1762"/>
      <c r="CHC163" s="1762"/>
      <c r="CHD163" s="1762"/>
      <c r="CHE163" s="1762"/>
      <c r="CHF163" s="1762"/>
      <c r="CHG163" s="1762"/>
      <c r="CHH163" s="1762"/>
      <c r="CHI163" s="1762"/>
      <c r="CHJ163" s="1762"/>
      <c r="CHK163" s="1762"/>
      <c r="CHL163" s="1762"/>
      <c r="CHM163" s="1762"/>
      <c r="CHN163" s="1762"/>
      <c r="CHO163" s="1762"/>
      <c r="CHP163" s="1762"/>
      <c r="CHQ163" s="1762"/>
      <c r="CHR163" s="1762"/>
      <c r="CHS163" s="1762"/>
      <c r="CHT163" s="1762"/>
      <c r="CHU163" s="1762"/>
      <c r="CHV163" s="1762"/>
      <c r="CHW163" s="1762"/>
      <c r="CHX163" s="1762"/>
      <c r="CHY163" s="1762"/>
      <c r="CHZ163" s="1762"/>
      <c r="CIA163" s="1762"/>
      <c r="CIB163" s="1762"/>
      <c r="CIC163" s="1762"/>
      <c r="CID163" s="1762"/>
      <c r="CIE163" s="1762"/>
      <c r="CIF163" s="1762"/>
      <c r="CIG163" s="1762"/>
      <c r="CIH163" s="1762"/>
      <c r="CII163" s="1762"/>
      <c r="CIJ163" s="1762"/>
      <c r="CIK163" s="1762"/>
      <c r="CIL163" s="1762"/>
      <c r="CIM163" s="1762"/>
      <c r="CIN163" s="1762"/>
      <c r="CIO163" s="1762"/>
      <c r="CIP163" s="1762"/>
      <c r="CIQ163" s="1762"/>
      <c r="CIR163" s="1762"/>
      <c r="CIS163" s="1762"/>
      <c r="CIT163" s="1762"/>
      <c r="CIU163" s="1762"/>
      <c r="CIV163" s="1762"/>
      <c r="CIW163" s="1762"/>
      <c r="CIX163" s="1762"/>
      <c r="CIY163" s="1762"/>
      <c r="CIZ163" s="1762"/>
      <c r="CJA163" s="1762"/>
      <c r="CJB163" s="1762"/>
      <c r="CJC163" s="1762"/>
      <c r="CJD163" s="1762"/>
      <c r="CJE163" s="1762"/>
      <c r="CJF163" s="1762"/>
      <c r="CJG163" s="1762"/>
      <c r="CJH163" s="1762"/>
      <c r="CJI163" s="1762"/>
      <c r="CJJ163" s="1762"/>
      <c r="CJK163" s="1762"/>
      <c r="CJL163" s="1762"/>
      <c r="CJM163" s="1762"/>
      <c r="CJN163" s="1762"/>
      <c r="CJO163" s="1762"/>
      <c r="CJP163" s="1762"/>
      <c r="CJQ163" s="1762"/>
      <c r="CJR163" s="1762"/>
      <c r="CJS163" s="1762"/>
      <c r="CJT163" s="1762"/>
      <c r="CJU163" s="1762"/>
      <c r="CJV163" s="1762"/>
      <c r="CJW163" s="1762"/>
      <c r="CJX163" s="1762"/>
      <c r="CJY163" s="1762"/>
      <c r="CJZ163" s="1762"/>
      <c r="CKA163" s="1762"/>
      <c r="CKB163" s="1762"/>
      <c r="CKC163" s="1762"/>
      <c r="CKD163" s="1762"/>
      <c r="CKE163" s="1762"/>
      <c r="CKF163" s="1762"/>
      <c r="CKG163" s="1762"/>
      <c r="CKH163" s="1762"/>
      <c r="CKI163" s="1762"/>
      <c r="CKJ163" s="1762"/>
      <c r="CKK163" s="1762"/>
      <c r="CKL163" s="1762"/>
      <c r="CKM163" s="1762"/>
      <c r="CKN163" s="1762"/>
      <c r="CKO163" s="1762"/>
      <c r="CKP163" s="1762"/>
      <c r="CKQ163" s="1762"/>
      <c r="CKR163" s="1762"/>
      <c r="CKS163" s="1762"/>
      <c r="CKT163" s="1762"/>
      <c r="CKU163" s="1762"/>
      <c r="CKV163" s="1762"/>
      <c r="CKW163" s="1762"/>
      <c r="CKX163" s="1762"/>
      <c r="CKY163" s="1762"/>
      <c r="CKZ163" s="1762"/>
      <c r="CLA163" s="1762"/>
      <c r="CLB163" s="1762"/>
      <c r="CLC163" s="1762"/>
      <c r="CLD163" s="1762"/>
      <c r="CLE163" s="1762"/>
      <c r="CLF163" s="1762"/>
      <c r="CLG163" s="1762"/>
      <c r="CLH163" s="1762"/>
      <c r="CLI163" s="1762"/>
      <c r="CLJ163" s="1762"/>
      <c r="CLK163" s="1762"/>
      <c r="CLL163" s="1762"/>
      <c r="CLM163" s="1762"/>
      <c r="CLN163" s="1762"/>
      <c r="CLO163" s="1762"/>
      <c r="CLP163" s="1762"/>
      <c r="CLQ163" s="1762"/>
      <c r="CLR163" s="1762"/>
      <c r="CLS163" s="1762"/>
      <c r="CLT163" s="1762"/>
      <c r="CLU163" s="1762"/>
      <c r="CLV163" s="1762"/>
      <c r="CLW163" s="1762"/>
      <c r="CLX163" s="1762"/>
      <c r="CLY163" s="1762"/>
      <c r="CLZ163" s="1762"/>
      <c r="CMA163" s="1762"/>
      <c r="CMB163" s="1762"/>
      <c r="CMC163" s="1762"/>
      <c r="CMD163" s="1762"/>
      <c r="CME163" s="1762"/>
      <c r="CMF163" s="1762"/>
      <c r="CMG163" s="1762"/>
      <c r="CMH163" s="1762"/>
      <c r="CMI163" s="1762"/>
      <c r="CMJ163" s="1762"/>
      <c r="CMK163" s="1762"/>
      <c r="CML163" s="1762"/>
      <c r="CMM163" s="1762"/>
      <c r="CMN163" s="1762"/>
      <c r="CMO163" s="1762"/>
      <c r="CMP163" s="1762"/>
      <c r="CMQ163" s="1762"/>
      <c r="CMR163" s="1762"/>
      <c r="CMS163" s="1762"/>
      <c r="CMT163" s="1762"/>
      <c r="CMU163" s="1762"/>
      <c r="CMV163" s="1762"/>
      <c r="CMW163" s="1762"/>
      <c r="CMX163" s="1762"/>
      <c r="CMY163" s="1762"/>
      <c r="CMZ163" s="1762"/>
      <c r="CNA163" s="1762"/>
      <c r="CNB163" s="1762"/>
      <c r="CNC163" s="1762"/>
      <c r="CND163" s="1762"/>
      <c r="CNE163" s="1762"/>
      <c r="CNF163" s="1762"/>
      <c r="CNG163" s="1762"/>
      <c r="CNH163" s="1762"/>
      <c r="CNI163" s="1762"/>
      <c r="CNJ163" s="1762"/>
      <c r="CNK163" s="1762"/>
      <c r="CNL163" s="1762"/>
      <c r="CNM163" s="1762"/>
      <c r="CNN163" s="1762"/>
      <c r="CNO163" s="1762"/>
      <c r="CNP163" s="1762"/>
      <c r="CNQ163" s="1762"/>
      <c r="CNR163" s="1762"/>
      <c r="CNS163" s="1762"/>
      <c r="CNT163" s="1762"/>
      <c r="CNU163" s="1762"/>
      <c r="CNV163" s="1762"/>
      <c r="CNW163" s="1762"/>
      <c r="CNX163" s="1762"/>
      <c r="CNY163" s="1762"/>
      <c r="CNZ163" s="1762"/>
      <c r="COA163" s="1762"/>
      <c r="COB163" s="1762"/>
      <c r="COC163" s="1762"/>
      <c r="COD163" s="1762"/>
      <c r="COE163" s="1762"/>
      <c r="COF163" s="1762"/>
      <c r="COG163" s="1762"/>
      <c r="COH163" s="1762"/>
      <c r="COI163" s="1762"/>
      <c r="COJ163" s="1762"/>
      <c r="COK163" s="1762"/>
      <c r="COL163" s="1762"/>
      <c r="COM163" s="1762"/>
      <c r="CON163" s="1762"/>
      <c r="COO163" s="1762"/>
      <c r="COP163" s="1762"/>
      <c r="COQ163" s="1762"/>
      <c r="COR163" s="1762"/>
      <c r="COS163" s="1762"/>
      <c r="COT163" s="1762"/>
      <c r="COU163" s="1762"/>
      <c r="COV163" s="1762"/>
      <c r="COW163" s="1762"/>
      <c r="COX163" s="1762"/>
      <c r="COY163" s="1762"/>
      <c r="COZ163" s="1762"/>
      <c r="CPA163" s="1762"/>
      <c r="CPB163" s="1762"/>
      <c r="CPC163" s="1762"/>
      <c r="CPD163" s="1762"/>
      <c r="CPE163" s="1762"/>
      <c r="CPF163" s="1762"/>
      <c r="CPG163" s="1762"/>
      <c r="CPH163" s="1762"/>
      <c r="CPI163" s="1762"/>
      <c r="CPJ163" s="1762"/>
      <c r="CPK163" s="1762"/>
      <c r="CPL163" s="1762"/>
      <c r="CPM163" s="1762"/>
      <c r="CPN163" s="1762"/>
      <c r="CPO163" s="1762"/>
      <c r="CPP163" s="1762"/>
      <c r="CPQ163" s="1762"/>
      <c r="CPR163" s="1762"/>
      <c r="CPS163" s="1762"/>
      <c r="CPT163" s="1762"/>
      <c r="CPU163" s="1762"/>
      <c r="CPV163" s="1762"/>
      <c r="CPW163" s="1762"/>
      <c r="CPX163" s="1762"/>
      <c r="CPY163" s="1762"/>
      <c r="CPZ163" s="1762"/>
      <c r="CQA163" s="1762"/>
      <c r="CQB163" s="1762"/>
      <c r="CQC163" s="1762"/>
      <c r="CQD163" s="1762"/>
      <c r="CQE163" s="1762"/>
      <c r="CQF163" s="1762"/>
      <c r="CQG163" s="1762"/>
      <c r="CQH163" s="1762"/>
      <c r="CQI163" s="1762"/>
      <c r="CQJ163" s="1762"/>
      <c r="CQK163" s="1762"/>
      <c r="CQL163" s="1762"/>
      <c r="CQM163" s="1762"/>
      <c r="CQN163" s="1762"/>
      <c r="CQO163" s="1762"/>
      <c r="CQP163" s="1762"/>
      <c r="CQQ163" s="1762"/>
      <c r="CQR163" s="1762"/>
      <c r="CQS163" s="1762"/>
      <c r="CQT163" s="1762"/>
      <c r="CQU163" s="1762"/>
      <c r="CQV163" s="1762"/>
      <c r="CQW163" s="1762"/>
      <c r="CQX163" s="1762"/>
      <c r="CQY163" s="1762"/>
      <c r="CQZ163" s="1762"/>
      <c r="CRA163" s="1762"/>
      <c r="CRB163" s="1762"/>
      <c r="CRC163" s="1762"/>
      <c r="CRD163" s="1762"/>
      <c r="CRE163" s="1762"/>
      <c r="CRF163" s="1762"/>
      <c r="CRG163" s="1762"/>
      <c r="CRH163" s="1762"/>
      <c r="CRI163" s="1762"/>
      <c r="CRJ163" s="1762"/>
      <c r="CRK163" s="1762"/>
      <c r="CRL163" s="1762"/>
      <c r="CRM163" s="1762"/>
      <c r="CRN163" s="1762"/>
      <c r="CRO163" s="1762"/>
      <c r="CRP163" s="1762"/>
      <c r="CRQ163" s="1762"/>
      <c r="CRR163" s="1762"/>
      <c r="CRS163" s="1762"/>
      <c r="CRT163" s="1762"/>
      <c r="CRU163" s="1762"/>
      <c r="CRV163" s="1762"/>
      <c r="CRW163" s="1762"/>
      <c r="CRX163" s="1762"/>
      <c r="CRY163" s="1762"/>
      <c r="CRZ163" s="1762"/>
      <c r="CSA163" s="1762"/>
      <c r="CSB163" s="1762"/>
      <c r="CSC163" s="1762"/>
      <c r="CSD163" s="1762"/>
      <c r="CSE163" s="1762"/>
      <c r="CSF163" s="1762"/>
      <c r="CSG163" s="1762"/>
      <c r="CSH163" s="1762"/>
      <c r="CSI163" s="1762"/>
      <c r="CSJ163" s="1762"/>
      <c r="CSK163" s="1762"/>
      <c r="CSL163" s="1762"/>
      <c r="CSM163" s="1762"/>
      <c r="CSN163" s="1762"/>
      <c r="CSO163" s="1762"/>
      <c r="CSP163" s="1762"/>
      <c r="CSQ163" s="1762"/>
      <c r="CSR163" s="1762"/>
      <c r="CSS163" s="1762"/>
      <c r="CST163" s="1762"/>
      <c r="CSU163" s="1762"/>
      <c r="CSV163" s="1762"/>
      <c r="CSW163" s="1762"/>
      <c r="CSX163" s="1762"/>
      <c r="CSY163" s="1762"/>
      <c r="CSZ163" s="1762"/>
      <c r="CTA163" s="1762"/>
      <c r="CTB163" s="1762"/>
      <c r="CTC163" s="1762"/>
      <c r="CTD163" s="1762"/>
      <c r="CTE163" s="1762"/>
      <c r="CTF163" s="1762"/>
      <c r="CTG163" s="1762"/>
      <c r="CTH163" s="1762"/>
      <c r="CTI163" s="1762"/>
      <c r="CTJ163" s="1762"/>
      <c r="CTK163" s="1762"/>
      <c r="CTL163" s="1762"/>
      <c r="CTM163" s="1762"/>
      <c r="CTN163" s="1762"/>
      <c r="CTO163" s="1762"/>
      <c r="CTP163" s="1762"/>
      <c r="CTQ163" s="1762"/>
      <c r="CTR163" s="1762"/>
      <c r="CTS163" s="1762"/>
      <c r="CTT163" s="1762"/>
      <c r="CTU163" s="1762"/>
      <c r="CTV163" s="1762"/>
      <c r="CTW163" s="1762"/>
      <c r="CTX163" s="1762"/>
      <c r="CTY163" s="1762"/>
      <c r="CTZ163" s="1762"/>
      <c r="CUA163" s="1762"/>
      <c r="CUB163" s="1762"/>
      <c r="CUC163" s="1762"/>
      <c r="CUD163" s="1762"/>
      <c r="CUE163" s="1762"/>
      <c r="CUF163" s="1762"/>
      <c r="CUG163" s="1762"/>
      <c r="CUH163" s="1762"/>
      <c r="CUI163" s="1762"/>
      <c r="CUJ163" s="1762"/>
      <c r="CUK163" s="1762"/>
      <c r="CUL163" s="1762"/>
      <c r="CUM163" s="1762"/>
      <c r="CUN163" s="1762"/>
      <c r="CUO163" s="1762"/>
      <c r="CUP163" s="1762"/>
      <c r="CUQ163" s="1762"/>
      <c r="CUR163" s="1762"/>
      <c r="CUS163" s="1762"/>
      <c r="CUT163" s="1762"/>
      <c r="CUU163" s="1762"/>
      <c r="CUV163" s="1762"/>
      <c r="CUW163" s="1762"/>
      <c r="CUX163" s="1762"/>
      <c r="CUY163" s="1762"/>
      <c r="CUZ163" s="1762"/>
      <c r="CVA163" s="1762"/>
      <c r="CVB163" s="1762"/>
      <c r="CVC163" s="1762"/>
      <c r="CVD163" s="1762"/>
      <c r="CVE163" s="1762"/>
      <c r="CVF163" s="1762"/>
      <c r="CVG163" s="1762"/>
      <c r="CVH163" s="1762"/>
      <c r="CVI163" s="1762"/>
      <c r="CVJ163" s="1762"/>
      <c r="CVK163" s="1762"/>
      <c r="CVL163" s="1762"/>
      <c r="CVM163" s="1762"/>
      <c r="CVN163" s="1762"/>
      <c r="CVO163" s="1762"/>
      <c r="CVP163" s="1762"/>
      <c r="CVQ163" s="1762"/>
      <c r="CVR163" s="1762"/>
      <c r="CVS163" s="1762"/>
      <c r="CVT163" s="1762"/>
      <c r="CVU163" s="1762"/>
      <c r="CVV163" s="1762"/>
      <c r="CVW163" s="1762"/>
      <c r="CVX163" s="1762"/>
      <c r="CVY163" s="1762"/>
      <c r="CVZ163" s="1762"/>
      <c r="CWA163" s="1762"/>
      <c r="CWB163" s="1762"/>
      <c r="CWC163" s="1762"/>
      <c r="CWD163" s="1762"/>
      <c r="CWE163" s="1762"/>
      <c r="CWF163" s="1762"/>
      <c r="CWG163" s="1762"/>
      <c r="CWH163" s="1762"/>
      <c r="CWI163" s="1762"/>
      <c r="CWJ163" s="1762"/>
      <c r="CWK163" s="1762"/>
      <c r="CWL163" s="1762"/>
      <c r="CWM163" s="1762"/>
      <c r="CWN163" s="1762"/>
      <c r="CWO163" s="1762"/>
      <c r="CWP163" s="1762"/>
      <c r="CWQ163" s="1762"/>
      <c r="CWR163" s="1762"/>
      <c r="CWS163" s="1762"/>
      <c r="CWT163" s="1762"/>
      <c r="CWU163" s="1762"/>
      <c r="CWV163" s="1762"/>
      <c r="CWW163" s="1762"/>
      <c r="CWX163" s="1762"/>
      <c r="CWY163" s="1762"/>
      <c r="CWZ163" s="1762"/>
      <c r="CXA163" s="1762"/>
      <c r="CXB163" s="1762"/>
      <c r="CXC163" s="1762"/>
      <c r="CXD163" s="1762"/>
      <c r="CXE163" s="1762"/>
      <c r="CXF163" s="1762"/>
      <c r="CXG163" s="1762"/>
      <c r="CXH163" s="1762"/>
      <c r="CXI163" s="1762"/>
      <c r="CXJ163" s="1762"/>
      <c r="CXK163" s="1762"/>
      <c r="CXL163" s="1762"/>
      <c r="CXM163" s="1762"/>
      <c r="CXN163" s="1762"/>
      <c r="CXO163" s="1762"/>
      <c r="CXP163" s="1762"/>
      <c r="CXQ163" s="1762"/>
      <c r="CXR163" s="1762"/>
      <c r="CXS163" s="1762"/>
      <c r="CXT163" s="1762"/>
      <c r="CXU163" s="1762"/>
      <c r="CXV163" s="1762"/>
      <c r="CXW163" s="1762"/>
      <c r="CXX163" s="1762"/>
      <c r="CXY163" s="1762"/>
      <c r="CXZ163" s="1762"/>
      <c r="CYA163" s="1762"/>
      <c r="CYB163" s="1762"/>
      <c r="CYC163" s="1762"/>
      <c r="CYD163" s="1762"/>
      <c r="CYE163" s="1762"/>
      <c r="CYF163" s="1762"/>
      <c r="CYG163" s="1762"/>
      <c r="CYH163" s="1762"/>
      <c r="CYI163" s="1762"/>
      <c r="CYJ163" s="1762"/>
      <c r="CYK163" s="1762"/>
      <c r="CYL163" s="1762"/>
      <c r="CYM163" s="1762"/>
      <c r="CYN163" s="1762"/>
      <c r="CYO163" s="1762"/>
      <c r="CYP163" s="1762"/>
      <c r="CYQ163" s="1762"/>
      <c r="CYR163" s="1762"/>
      <c r="CYS163" s="1762"/>
      <c r="CYT163" s="1762"/>
      <c r="CYU163" s="1762"/>
      <c r="CYV163" s="1762"/>
      <c r="CYW163" s="1762"/>
      <c r="CYX163" s="1762"/>
      <c r="CYY163" s="1762"/>
      <c r="CYZ163" s="1762"/>
      <c r="CZA163" s="1762"/>
      <c r="CZB163" s="1762"/>
      <c r="CZC163" s="1762"/>
      <c r="CZD163" s="1762"/>
      <c r="CZE163" s="1762"/>
      <c r="CZF163" s="1762"/>
      <c r="CZG163" s="1762"/>
      <c r="CZH163" s="1762"/>
      <c r="CZI163" s="1762"/>
      <c r="CZJ163" s="1762"/>
      <c r="CZK163" s="1762"/>
      <c r="CZL163" s="1762"/>
      <c r="CZM163" s="1762"/>
      <c r="CZN163" s="1762"/>
      <c r="CZO163" s="1762"/>
      <c r="CZP163" s="1762"/>
      <c r="CZQ163" s="1762"/>
      <c r="CZR163" s="1762"/>
      <c r="CZS163" s="1762"/>
      <c r="CZT163" s="1762"/>
      <c r="CZU163" s="1762"/>
      <c r="CZV163" s="1762"/>
      <c r="CZW163" s="1762"/>
      <c r="CZX163" s="1762"/>
      <c r="CZY163" s="1762"/>
      <c r="CZZ163" s="1762"/>
      <c r="DAA163" s="1762"/>
      <c r="DAB163" s="1762"/>
      <c r="DAC163" s="1762"/>
      <c r="DAD163" s="1762"/>
      <c r="DAE163" s="1762"/>
      <c r="DAF163" s="1762"/>
      <c r="DAG163" s="1762"/>
      <c r="DAH163" s="1762"/>
      <c r="DAI163" s="1762"/>
      <c r="DAJ163" s="1762"/>
      <c r="DAK163" s="1762"/>
      <c r="DAL163" s="1762"/>
      <c r="DAM163" s="1762"/>
      <c r="DAN163" s="1762"/>
      <c r="DAO163" s="1762"/>
      <c r="DAP163" s="1762"/>
      <c r="DAQ163" s="1762"/>
      <c r="DAR163" s="1762"/>
      <c r="DAS163" s="1762"/>
      <c r="DAT163" s="1762"/>
      <c r="DAU163" s="1762"/>
      <c r="DAV163" s="1762"/>
      <c r="DAW163" s="1762"/>
      <c r="DAX163" s="1762"/>
      <c r="DAY163" s="1762"/>
      <c r="DAZ163" s="1762"/>
      <c r="DBA163" s="1762"/>
      <c r="DBB163" s="1762"/>
      <c r="DBC163" s="1762"/>
      <c r="DBD163" s="1762"/>
      <c r="DBE163" s="1762"/>
      <c r="DBF163" s="1762"/>
      <c r="DBG163" s="1762"/>
      <c r="DBH163" s="1762"/>
      <c r="DBI163" s="1762"/>
      <c r="DBJ163" s="1762"/>
      <c r="DBK163" s="1762"/>
      <c r="DBL163" s="1762"/>
      <c r="DBM163" s="1762"/>
      <c r="DBN163" s="1762"/>
      <c r="DBO163" s="1762"/>
      <c r="DBP163" s="1762"/>
      <c r="DBQ163" s="1762"/>
      <c r="DBR163" s="1762"/>
      <c r="DBS163" s="1762"/>
      <c r="DBT163" s="1762"/>
      <c r="DBU163" s="1762"/>
      <c r="DBV163" s="1762"/>
      <c r="DBW163" s="1762"/>
      <c r="DBX163" s="1762"/>
      <c r="DBY163" s="1762"/>
      <c r="DBZ163" s="1762"/>
      <c r="DCA163" s="1762"/>
      <c r="DCB163" s="1762"/>
      <c r="DCC163" s="1762"/>
      <c r="DCD163" s="1762"/>
      <c r="DCE163" s="1762"/>
      <c r="DCF163" s="1762"/>
      <c r="DCG163" s="1762"/>
      <c r="DCH163" s="1762"/>
      <c r="DCI163" s="1762"/>
      <c r="DCJ163" s="1762"/>
      <c r="DCK163" s="1762"/>
      <c r="DCL163" s="1762"/>
      <c r="DCM163" s="1762"/>
      <c r="DCN163" s="1762"/>
      <c r="DCO163" s="1762"/>
      <c r="DCP163" s="1762"/>
      <c r="DCQ163" s="1762"/>
      <c r="DCR163" s="1762"/>
      <c r="DCS163" s="1762"/>
      <c r="DCT163" s="1762"/>
      <c r="DCU163" s="1762"/>
      <c r="DCV163" s="1762"/>
      <c r="DCW163" s="1762"/>
      <c r="DCX163" s="1762"/>
      <c r="DCY163" s="1762"/>
      <c r="DCZ163" s="1762"/>
      <c r="DDA163" s="1762"/>
      <c r="DDB163" s="1762"/>
      <c r="DDC163" s="1762"/>
      <c r="DDD163" s="1762"/>
      <c r="DDE163" s="1762"/>
      <c r="DDF163" s="1762"/>
      <c r="DDG163" s="1762"/>
      <c r="DDH163" s="1762"/>
      <c r="DDI163" s="1762"/>
      <c r="DDJ163" s="1762"/>
      <c r="DDK163" s="1762"/>
      <c r="DDL163" s="1762"/>
      <c r="DDM163" s="1762"/>
      <c r="DDN163" s="1762"/>
      <c r="DDO163" s="1762"/>
      <c r="DDP163" s="1762"/>
      <c r="DDQ163" s="1762"/>
      <c r="DDR163" s="1762"/>
      <c r="DDS163" s="1762"/>
      <c r="DDT163" s="1762"/>
      <c r="DDU163" s="1762"/>
      <c r="DDV163" s="1762"/>
      <c r="DDW163" s="1762"/>
      <c r="DDX163" s="1762"/>
      <c r="DDY163" s="1762"/>
      <c r="DDZ163" s="1762"/>
      <c r="DEA163" s="1762"/>
      <c r="DEB163" s="1762"/>
      <c r="DEC163" s="1762"/>
      <c r="DED163" s="1762"/>
      <c r="DEE163" s="1762"/>
      <c r="DEF163" s="1762"/>
      <c r="DEG163" s="1762"/>
      <c r="DEH163" s="1762"/>
      <c r="DEI163" s="1762"/>
      <c r="DEJ163" s="1762"/>
      <c r="DEK163" s="1762"/>
      <c r="DEL163" s="1762"/>
      <c r="DEM163" s="1762"/>
      <c r="DEN163" s="1762"/>
      <c r="DEO163" s="1762"/>
      <c r="DEP163" s="1762"/>
      <c r="DEQ163" s="1762"/>
      <c r="DER163" s="1762"/>
      <c r="DES163" s="1762"/>
      <c r="DET163" s="1762"/>
      <c r="DEU163" s="1762"/>
      <c r="DEV163" s="1762"/>
      <c r="DEW163" s="1762"/>
      <c r="DEX163" s="1762"/>
      <c r="DEY163" s="1762"/>
      <c r="DEZ163" s="1762"/>
      <c r="DFA163" s="1762"/>
      <c r="DFB163" s="1762"/>
      <c r="DFC163" s="1762"/>
      <c r="DFD163" s="1762"/>
      <c r="DFE163" s="1762"/>
      <c r="DFF163" s="1762"/>
      <c r="DFG163" s="1762"/>
      <c r="DFH163" s="1762"/>
      <c r="DFI163" s="1762"/>
      <c r="DFJ163" s="1762"/>
      <c r="DFK163" s="1762"/>
      <c r="DFL163" s="1762"/>
      <c r="DFM163" s="1762"/>
      <c r="DFN163" s="1762"/>
      <c r="DFO163" s="1762"/>
      <c r="DFP163" s="1762"/>
      <c r="DFQ163" s="1762"/>
      <c r="DFR163" s="1762"/>
      <c r="DFS163" s="1762"/>
      <c r="DFT163" s="1762"/>
      <c r="DFU163" s="1762"/>
      <c r="DFV163" s="1762"/>
      <c r="DFW163" s="1762"/>
      <c r="DFX163" s="1762"/>
      <c r="DFY163" s="1762"/>
      <c r="DFZ163" s="1762"/>
      <c r="DGA163" s="1762"/>
      <c r="DGB163" s="1762"/>
      <c r="DGC163" s="1762"/>
      <c r="DGD163" s="1762"/>
      <c r="DGE163" s="1762"/>
      <c r="DGF163" s="1762"/>
      <c r="DGG163" s="1762"/>
      <c r="DGH163" s="1762"/>
      <c r="DGI163" s="1762"/>
      <c r="DGJ163" s="1762"/>
      <c r="DGK163" s="1762"/>
      <c r="DGL163" s="1762"/>
      <c r="DGM163" s="1762"/>
      <c r="DGN163" s="1762"/>
      <c r="DGO163" s="1762"/>
      <c r="DGP163" s="1762"/>
      <c r="DGQ163" s="1762"/>
      <c r="DGR163" s="1762"/>
      <c r="DGS163" s="1762"/>
      <c r="DGT163" s="1762"/>
      <c r="DGU163" s="1762"/>
      <c r="DGV163" s="1762"/>
      <c r="DGW163" s="1762"/>
      <c r="DGX163" s="1762"/>
      <c r="DGY163" s="1762"/>
      <c r="DGZ163" s="1762"/>
      <c r="DHA163" s="1762"/>
      <c r="DHB163" s="1762"/>
      <c r="DHC163" s="1762"/>
      <c r="DHD163" s="1762"/>
      <c r="DHE163" s="1762"/>
      <c r="DHF163" s="1762"/>
      <c r="DHG163" s="1762"/>
      <c r="DHH163" s="1762"/>
      <c r="DHI163" s="1762"/>
      <c r="DHJ163" s="1762"/>
      <c r="DHK163" s="1762"/>
      <c r="DHL163" s="1762"/>
      <c r="DHM163" s="1762"/>
      <c r="DHN163" s="1762"/>
      <c r="DHO163" s="1762"/>
      <c r="DHP163" s="1762"/>
      <c r="DHQ163" s="1762"/>
      <c r="DHR163" s="1762"/>
      <c r="DHS163" s="1762"/>
      <c r="DHT163" s="1762"/>
      <c r="DHU163" s="1762"/>
      <c r="DHV163" s="1762"/>
      <c r="DHW163" s="1762"/>
      <c r="DHX163" s="1762"/>
      <c r="DHY163" s="1762"/>
      <c r="DHZ163" s="1762"/>
      <c r="DIA163" s="1762"/>
      <c r="DIB163" s="1762"/>
      <c r="DIC163" s="1762"/>
      <c r="DID163" s="1762"/>
      <c r="DIE163" s="1762"/>
      <c r="DIF163" s="1762"/>
      <c r="DIG163" s="1762"/>
      <c r="DIH163" s="1762"/>
      <c r="DII163" s="1762"/>
      <c r="DIJ163" s="1762"/>
      <c r="DIK163" s="1762"/>
      <c r="DIL163" s="1762"/>
      <c r="DIM163" s="1762"/>
      <c r="DIN163" s="1762"/>
      <c r="DIO163" s="1762"/>
      <c r="DIP163" s="1762"/>
      <c r="DIQ163" s="1762"/>
      <c r="DIR163" s="1762"/>
      <c r="DIS163" s="1762"/>
      <c r="DIT163" s="1762"/>
      <c r="DIU163" s="1762"/>
      <c r="DIV163" s="1762"/>
      <c r="DIW163" s="1762"/>
      <c r="DIX163" s="1762"/>
      <c r="DIY163" s="1762"/>
      <c r="DIZ163" s="1762"/>
      <c r="DJA163" s="1762"/>
      <c r="DJB163" s="1762"/>
      <c r="DJC163" s="1762"/>
      <c r="DJD163" s="1762"/>
      <c r="DJE163" s="1762"/>
      <c r="DJF163" s="1762"/>
      <c r="DJG163" s="1762"/>
      <c r="DJH163" s="1762"/>
      <c r="DJI163" s="1762"/>
      <c r="DJJ163" s="1762"/>
      <c r="DJK163" s="1762"/>
      <c r="DJL163" s="1762"/>
      <c r="DJM163" s="1762"/>
      <c r="DJN163" s="1762"/>
      <c r="DJO163" s="1762"/>
      <c r="DJP163" s="1762"/>
      <c r="DJQ163" s="1762"/>
      <c r="DJR163" s="1762"/>
      <c r="DJS163" s="1762"/>
      <c r="DJT163" s="1762"/>
      <c r="DJU163" s="1762"/>
      <c r="DJV163" s="1762"/>
      <c r="DJW163" s="1762"/>
      <c r="DJX163" s="1762"/>
      <c r="DJY163" s="1762"/>
      <c r="DJZ163" s="1762"/>
      <c r="DKA163" s="1762"/>
      <c r="DKB163" s="1762"/>
      <c r="DKC163" s="1762"/>
      <c r="DKD163" s="1762"/>
      <c r="DKE163" s="1762"/>
      <c r="DKF163" s="1762"/>
      <c r="DKG163" s="1762"/>
      <c r="DKH163" s="1762"/>
      <c r="DKI163" s="1762"/>
      <c r="DKJ163" s="1762"/>
      <c r="DKK163" s="1762"/>
      <c r="DKL163" s="1762"/>
      <c r="DKM163" s="1762"/>
      <c r="DKN163" s="1762"/>
      <c r="DKO163" s="1762"/>
      <c r="DKP163" s="1762"/>
      <c r="DKQ163" s="1762"/>
      <c r="DKR163" s="1762"/>
      <c r="DKS163" s="1762"/>
      <c r="DKT163" s="1762"/>
      <c r="DKU163" s="1762"/>
      <c r="DKV163" s="1762"/>
      <c r="DKW163" s="1762"/>
      <c r="DKX163" s="1762"/>
      <c r="DKY163" s="1762"/>
      <c r="DKZ163" s="1762"/>
      <c r="DLA163" s="1762"/>
      <c r="DLB163" s="1762"/>
      <c r="DLC163" s="1762"/>
      <c r="DLD163" s="1762"/>
      <c r="DLE163" s="1762"/>
      <c r="DLF163" s="1762"/>
      <c r="DLG163" s="1762"/>
      <c r="DLH163" s="1762"/>
      <c r="DLI163" s="1762"/>
      <c r="DLJ163" s="1762"/>
      <c r="DLK163" s="1762"/>
      <c r="DLL163" s="1762"/>
      <c r="DLM163" s="1762"/>
      <c r="DLN163" s="1762"/>
      <c r="DLO163" s="1762"/>
      <c r="DLP163" s="1762"/>
      <c r="DLQ163" s="1762"/>
      <c r="DLR163" s="1762"/>
      <c r="DLS163" s="1762"/>
      <c r="DLT163" s="1762"/>
      <c r="DLU163" s="1762"/>
      <c r="DLV163" s="1762"/>
      <c r="DLW163" s="1762"/>
      <c r="DLX163" s="1762"/>
      <c r="DLY163" s="1762"/>
      <c r="DLZ163" s="1762"/>
      <c r="DMA163" s="1762"/>
      <c r="DMB163" s="1762"/>
      <c r="DMC163" s="1762"/>
      <c r="DMD163" s="1762"/>
      <c r="DME163" s="1762"/>
      <c r="DMF163" s="1762"/>
      <c r="DMG163" s="1762"/>
      <c r="DMH163" s="1762"/>
      <c r="DMI163" s="1762"/>
      <c r="DMJ163" s="1762"/>
      <c r="DMK163" s="1762"/>
      <c r="DML163" s="1762"/>
      <c r="DMM163" s="1762"/>
      <c r="DMN163" s="1762"/>
      <c r="DMO163" s="1762"/>
      <c r="DMP163" s="1762"/>
      <c r="DMQ163" s="1762"/>
      <c r="DMR163" s="1762"/>
      <c r="DMS163" s="1762"/>
      <c r="DMT163" s="1762"/>
      <c r="DMU163" s="1762"/>
      <c r="DMV163" s="1762"/>
      <c r="DMW163" s="1762"/>
      <c r="DMX163" s="1762"/>
      <c r="DMY163" s="1762"/>
      <c r="DMZ163" s="1762"/>
      <c r="DNA163" s="1762"/>
      <c r="DNB163" s="1762"/>
      <c r="DNC163" s="1762"/>
      <c r="DND163" s="1762"/>
      <c r="DNE163" s="1762"/>
      <c r="DNF163" s="1762"/>
      <c r="DNG163" s="1762"/>
      <c r="DNH163" s="1762"/>
      <c r="DNI163" s="1762"/>
      <c r="DNJ163" s="1762"/>
      <c r="DNK163" s="1762"/>
      <c r="DNL163" s="1762"/>
      <c r="DNM163" s="1762"/>
      <c r="DNN163" s="1762"/>
      <c r="DNO163" s="1762"/>
      <c r="DNP163" s="1762"/>
      <c r="DNQ163" s="1762"/>
      <c r="DNR163" s="1762"/>
      <c r="DNS163" s="1762"/>
      <c r="DNT163" s="1762"/>
      <c r="DNU163" s="1762"/>
      <c r="DNV163" s="1762"/>
      <c r="DNW163" s="1762"/>
      <c r="DNX163" s="1762"/>
      <c r="DNY163" s="1762"/>
      <c r="DNZ163" s="1762"/>
      <c r="DOA163" s="1762"/>
      <c r="DOB163" s="1762"/>
      <c r="DOC163" s="1762"/>
      <c r="DOD163" s="1762"/>
      <c r="DOE163" s="1762"/>
      <c r="DOF163" s="1762"/>
      <c r="DOG163" s="1762"/>
      <c r="DOH163" s="1762"/>
      <c r="DOI163" s="1762"/>
      <c r="DOJ163" s="1762"/>
      <c r="DOK163" s="1762"/>
      <c r="DOL163" s="1762"/>
      <c r="DOM163" s="1762"/>
      <c r="DON163" s="1762"/>
      <c r="DOO163" s="1762"/>
      <c r="DOP163" s="1762"/>
      <c r="DOQ163" s="1762"/>
      <c r="DOR163" s="1762"/>
      <c r="DOS163" s="1762"/>
      <c r="DOT163" s="1762"/>
      <c r="DOU163" s="1762"/>
      <c r="DOV163" s="1762"/>
      <c r="DOW163" s="1762"/>
      <c r="DOX163" s="1762"/>
      <c r="DOY163" s="1762"/>
      <c r="DOZ163" s="1762"/>
      <c r="DPA163" s="1762"/>
      <c r="DPB163" s="1762"/>
      <c r="DPC163" s="1762"/>
      <c r="DPD163" s="1762"/>
      <c r="DPE163" s="1762"/>
      <c r="DPF163" s="1762"/>
      <c r="DPG163" s="1762"/>
      <c r="DPH163" s="1762"/>
      <c r="DPI163" s="1762"/>
      <c r="DPJ163" s="1762"/>
      <c r="DPK163" s="1762"/>
      <c r="DPL163" s="1762"/>
      <c r="DPM163" s="1762"/>
      <c r="DPN163" s="1762"/>
      <c r="DPO163" s="1762"/>
      <c r="DPP163" s="1762"/>
      <c r="DPQ163" s="1762"/>
      <c r="DPR163" s="1762"/>
      <c r="DPS163" s="1762"/>
      <c r="DPT163" s="1762"/>
      <c r="DPU163" s="1762"/>
      <c r="DPV163" s="1762"/>
      <c r="DPW163" s="1762"/>
      <c r="DPX163" s="1762"/>
      <c r="DPY163" s="1762"/>
      <c r="DPZ163" s="1762"/>
      <c r="DQA163" s="1762"/>
      <c r="DQB163" s="1762"/>
      <c r="DQC163" s="1762"/>
      <c r="DQD163" s="1762"/>
      <c r="DQE163" s="1762"/>
      <c r="DQF163" s="1762"/>
      <c r="DQG163" s="1762"/>
      <c r="DQH163" s="1762"/>
      <c r="DQI163" s="1762"/>
      <c r="DQJ163" s="1762"/>
      <c r="DQK163" s="1762"/>
      <c r="DQL163" s="1762"/>
      <c r="DQM163" s="1762"/>
      <c r="DQN163" s="1762"/>
      <c r="DQO163" s="1762"/>
      <c r="DQP163" s="1762"/>
      <c r="DQQ163" s="1762"/>
      <c r="DQR163" s="1762"/>
      <c r="DQS163" s="1762"/>
      <c r="DQT163" s="1762"/>
      <c r="DQU163" s="1762"/>
      <c r="DQV163" s="1762"/>
      <c r="DQW163" s="1762"/>
      <c r="DQX163" s="1762"/>
      <c r="DQY163" s="1762"/>
      <c r="DQZ163" s="1762"/>
      <c r="DRA163" s="1762"/>
      <c r="DRB163" s="1762"/>
      <c r="DRC163" s="1762"/>
      <c r="DRD163" s="1762"/>
      <c r="DRE163" s="1762"/>
      <c r="DRF163" s="1762"/>
      <c r="DRG163" s="1762"/>
      <c r="DRH163" s="1762"/>
      <c r="DRI163" s="1762"/>
      <c r="DRJ163" s="1762"/>
      <c r="DRK163" s="1762"/>
      <c r="DRL163" s="1762"/>
      <c r="DRM163" s="1762"/>
      <c r="DRN163" s="1762"/>
      <c r="DRO163" s="1762"/>
      <c r="DRP163" s="1762"/>
      <c r="DRQ163" s="1762"/>
      <c r="DRR163" s="1762"/>
      <c r="DRS163" s="1762"/>
      <c r="DRT163" s="1762"/>
      <c r="DRU163" s="1762"/>
      <c r="DRV163" s="1762"/>
      <c r="DRW163" s="1762"/>
      <c r="DRX163" s="1762"/>
      <c r="DRY163" s="1762"/>
      <c r="DRZ163" s="1762"/>
      <c r="DSA163" s="1762"/>
      <c r="DSB163" s="1762"/>
      <c r="DSC163" s="1762"/>
      <c r="DSD163" s="1762"/>
      <c r="DSE163" s="1762"/>
      <c r="DSF163" s="1762"/>
      <c r="DSG163" s="1762"/>
      <c r="DSH163" s="1762"/>
      <c r="DSI163" s="1762"/>
      <c r="DSJ163" s="1762"/>
      <c r="DSK163" s="1762"/>
      <c r="DSL163" s="1762"/>
      <c r="DSM163" s="1762"/>
      <c r="DSN163" s="1762"/>
      <c r="DSO163" s="1762"/>
      <c r="DSP163" s="1762"/>
      <c r="DSQ163" s="1762"/>
      <c r="DSR163" s="1762"/>
      <c r="DSS163" s="1762"/>
      <c r="DST163" s="1762"/>
      <c r="DSU163" s="1762"/>
      <c r="DSV163" s="1762"/>
      <c r="DSW163" s="1762"/>
      <c r="DSX163" s="1762"/>
      <c r="DSY163" s="1762"/>
      <c r="DSZ163" s="1762"/>
      <c r="DTA163" s="1762"/>
      <c r="DTB163" s="1762"/>
      <c r="DTC163" s="1762"/>
      <c r="DTD163" s="1762"/>
      <c r="DTE163" s="1762"/>
      <c r="DTF163" s="1762"/>
      <c r="DTG163" s="1762"/>
      <c r="DTH163" s="1762"/>
      <c r="DTI163" s="1762"/>
      <c r="DTJ163" s="1762"/>
      <c r="DTK163" s="1762"/>
      <c r="DTL163" s="1762"/>
      <c r="DTM163" s="1762"/>
      <c r="DTN163" s="1762"/>
      <c r="DTO163" s="1762"/>
      <c r="DTP163" s="1762"/>
      <c r="DTQ163" s="1762"/>
      <c r="DTR163" s="1762"/>
      <c r="DTS163" s="1762"/>
      <c r="DTT163" s="1762"/>
      <c r="DTU163" s="1762"/>
      <c r="DTV163" s="1762"/>
      <c r="DTW163" s="1762"/>
      <c r="DTX163" s="1762"/>
      <c r="DTY163" s="1762"/>
      <c r="DTZ163" s="1762"/>
      <c r="DUA163" s="1762"/>
      <c r="DUB163" s="1762"/>
      <c r="DUC163" s="1762"/>
      <c r="DUD163" s="1762"/>
      <c r="DUE163" s="1762"/>
      <c r="DUF163" s="1762"/>
      <c r="DUG163" s="1762"/>
      <c r="DUH163" s="1762"/>
      <c r="DUI163" s="1762"/>
      <c r="DUJ163" s="1762"/>
      <c r="DUK163" s="1762"/>
      <c r="DUL163" s="1762"/>
      <c r="DUM163" s="1762"/>
      <c r="DUN163" s="1762"/>
      <c r="DUO163" s="1762"/>
      <c r="DUP163" s="1762"/>
      <c r="DUQ163" s="1762"/>
      <c r="DUR163" s="1762"/>
      <c r="DUS163" s="1762"/>
      <c r="DUT163" s="1762"/>
      <c r="DUU163" s="1762"/>
      <c r="DUV163" s="1762"/>
      <c r="DUW163" s="1762"/>
      <c r="DUX163" s="1762"/>
      <c r="DUY163" s="1762"/>
      <c r="DUZ163" s="1762"/>
      <c r="DVA163" s="1762"/>
      <c r="DVB163" s="1762"/>
      <c r="DVC163" s="1762"/>
      <c r="DVD163" s="1762"/>
      <c r="DVE163" s="1762"/>
      <c r="DVF163" s="1762"/>
      <c r="DVG163" s="1762"/>
      <c r="DVH163" s="1762"/>
      <c r="DVI163" s="1762"/>
      <c r="DVJ163" s="1762"/>
      <c r="DVK163" s="1762"/>
      <c r="DVL163" s="1762"/>
      <c r="DVM163" s="1762"/>
      <c r="DVN163" s="1762"/>
      <c r="DVO163" s="1762"/>
      <c r="DVP163" s="1762"/>
      <c r="DVQ163" s="1762"/>
      <c r="DVR163" s="1762"/>
      <c r="DVS163" s="1762"/>
      <c r="DVT163" s="1762"/>
      <c r="DVU163" s="1762"/>
      <c r="DVV163" s="1762"/>
      <c r="DVW163" s="1762"/>
      <c r="DVX163" s="1762"/>
      <c r="DVY163" s="1762"/>
      <c r="DVZ163" s="1762"/>
      <c r="DWA163" s="1762"/>
      <c r="DWB163" s="1762"/>
      <c r="DWC163" s="1762"/>
      <c r="DWD163" s="1762"/>
      <c r="DWE163" s="1762"/>
      <c r="DWF163" s="1762"/>
      <c r="DWG163" s="1762"/>
      <c r="DWH163" s="1762"/>
      <c r="DWI163" s="1762"/>
      <c r="DWJ163" s="1762"/>
      <c r="DWK163" s="1762"/>
      <c r="DWL163" s="1762"/>
      <c r="DWM163" s="1762"/>
      <c r="DWN163" s="1762"/>
      <c r="DWO163" s="1762"/>
      <c r="DWP163" s="1762"/>
      <c r="DWQ163" s="1762"/>
      <c r="DWR163" s="1762"/>
      <c r="DWS163" s="1762"/>
      <c r="DWT163" s="1762"/>
      <c r="DWU163" s="1762"/>
      <c r="DWV163" s="1762"/>
      <c r="DWW163" s="1762"/>
      <c r="DWX163" s="1762"/>
      <c r="DWY163" s="1762"/>
      <c r="DWZ163" s="1762"/>
      <c r="DXA163" s="1762"/>
      <c r="DXB163" s="1762"/>
      <c r="DXC163" s="1762"/>
      <c r="DXD163" s="1762"/>
      <c r="DXE163" s="1762"/>
      <c r="DXF163" s="1762"/>
      <c r="DXG163" s="1762"/>
      <c r="DXH163" s="1762"/>
      <c r="DXI163" s="1762"/>
      <c r="DXJ163" s="1762"/>
      <c r="DXK163" s="1762"/>
      <c r="DXL163" s="1762"/>
      <c r="DXM163" s="1762"/>
      <c r="DXN163" s="1762"/>
      <c r="DXO163" s="1762"/>
      <c r="DXP163" s="1762"/>
      <c r="DXQ163" s="1762"/>
      <c r="DXR163" s="1762"/>
      <c r="DXS163" s="1762"/>
      <c r="DXT163" s="1762"/>
      <c r="DXU163" s="1762"/>
      <c r="DXV163" s="1762"/>
      <c r="DXW163" s="1762"/>
      <c r="DXX163" s="1762"/>
      <c r="DXY163" s="1762"/>
      <c r="DXZ163" s="1762"/>
      <c r="DYA163" s="1762"/>
      <c r="DYB163" s="1762"/>
      <c r="DYC163" s="1762"/>
      <c r="DYD163" s="1762"/>
      <c r="DYE163" s="1762"/>
      <c r="DYF163" s="1762"/>
      <c r="DYG163" s="1762"/>
      <c r="DYH163" s="1762"/>
      <c r="DYI163" s="1762"/>
      <c r="DYJ163" s="1762"/>
      <c r="DYK163" s="1762"/>
      <c r="DYL163" s="1762"/>
      <c r="DYM163" s="1762"/>
      <c r="DYN163" s="1762"/>
      <c r="DYO163" s="1762"/>
      <c r="DYP163" s="1762"/>
      <c r="DYQ163" s="1762"/>
      <c r="DYR163" s="1762"/>
      <c r="DYS163" s="1762"/>
      <c r="DYT163" s="1762"/>
      <c r="DYU163" s="1762"/>
      <c r="DYV163" s="1762"/>
      <c r="DYW163" s="1762"/>
      <c r="DYX163" s="1762"/>
      <c r="DYY163" s="1762"/>
      <c r="DYZ163" s="1762"/>
      <c r="DZA163" s="1762"/>
      <c r="DZB163" s="1762"/>
      <c r="DZC163" s="1762"/>
      <c r="DZD163" s="1762"/>
      <c r="DZE163" s="1762"/>
      <c r="DZF163" s="1762"/>
      <c r="DZG163" s="1762"/>
      <c r="DZH163" s="1762"/>
      <c r="DZI163" s="1762"/>
      <c r="DZJ163" s="1762"/>
      <c r="DZK163" s="1762"/>
      <c r="DZL163" s="1762"/>
      <c r="DZM163" s="1762"/>
      <c r="DZN163" s="1762"/>
      <c r="DZO163" s="1762"/>
      <c r="DZP163" s="1762"/>
      <c r="DZQ163" s="1762"/>
      <c r="DZR163" s="1762"/>
      <c r="DZS163" s="1762"/>
      <c r="DZT163" s="1762"/>
      <c r="DZU163" s="1762"/>
      <c r="DZV163" s="1762"/>
      <c r="DZW163" s="1762"/>
      <c r="DZX163" s="1762"/>
      <c r="DZY163" s="1762"/>
      <c r="DZZ163" s="1762"/>
      <c r="EAA163" s="1762"/>
      <c r="EAB163" s="1762"/>
      <c r="EAC163" s="1762"/>
      <c r="EAD163" s="1762"/>
      <c r="EAE163" s="1762"/>
      <c r="EAF163" s="1762"/>
      <c r="EAG163" s="1762"/>
      <c r="EAH163" s="1762"/>
      <c r="EAI163" s="1762"/>
      <c r="EAJ163" s="1762"/>
      <c r="EAK163" s="1762"/>
      <c r="EAL163" s="1762"/>
      <c r="EAM163" s="1762"/>
      <c r="EAN163" s="1762"/>
      <c r="EAO163" s="1762"/>
      <c r="EAP163" s="1762"/>
      <c r="EAQ163" s="1762"/>
      <c r="EAR163" s="1762"/>
      <c r="EAS163" s="1762"/>
      <c r="EAT163" s="1762"/>
      <c r="EAU163" s="1762"/>
      <c r="EAV163" s="1762"/>
      <c r="EAW163" s="1762"/>
      <c r="EAX163" s="1762"/>
      <c r="EAY163" s="1762"/>
      <c r="EAZ163" s="1762"/>
      <c r="EBA163" s="1762"/>
      <c r="EBB163" s="1762"/>
      <c r="EBC163" s="1762"/>
      <c r="EBD163" s="1762"/>
      <c r="EBE163" s="1762"/>
      <c r="EBF163" s="1762"/>
      <c r="EBG163" s="1762"/>
      <c r="EBH163" s="1762"/>
      <c r="EBI163" s="1762"/>
      <c r="EBJ163" s="1762"/>
      <c r="EBK163" s="1762"/>
      <c r="EBL163" s="1762"/>
      <c r="EBM163" s="1762"/>
      <c r="EBN163" s="1762"/>
      <c r="EBO163" s="1762"/>
      <c r="EBP163" s="1762"/>
      <c r="EBQ163" s="1762"/>
      <c r="EBR163" s="1762"/>
      <c r="EBS163" s="1762"/>
      <c r="EBT163" s="1762"/>
      <c r="EBU163" s="1762"/>
      <c r="EBV163" s="1762"/>
      <c r="EBW163" s="1762"/>
      <c r="EBX163" s="1762"/>
      <c r="EBY163" s="1762"/>
      <c r="EBZ163" s="1762"/>
      <c r="ECA163" s="1762"/>
      <c r="ECB163" s="1762"/>
      <c r="ECC163" s="1762"/>
      <c r="ECD163" s="1762"/>
      <c r="ECE163" s="1762"/>
      <c r="ECF163" s="1762"/>
      <c r="ECG163" s="1762"/>
      <c r="ECH163" s="1762"/>
      <c r="ECI163" s="1762"/>
      <c r="ECJ163" s="1762"/>
      <c r="ECK163" s="1762"/>
      <c r="ECL163" s="1762"/>
      <c r="ECM163" s="1762"/>
      <c r="ECN163" s="1762"/>
      <c r="ECO163" s="1762"/>
      <c r="ECP163" s="1762"/>
      <c r="ECQ163" s="1762"/>
      <c r="ECR163" s="1762"/>
      <c r="ECS163" s="1762"/>
      <c r="ECT163" s="1762"/>
      <c r="ECU163" s="1762"/>
      <c r="ECV163" s="1762"/>
      <c r="ECW163" s="1762"/>
      <c r="ECX163" s="1762"/>
      <c r="ECY163" s="1762"/>
      <c r="ECZ163" s="1762"/>
      <c r="EDA163" s="1762"/>
      <c r="EDB163" s="1762"/>
      <c r="EDC163" s="1762"/>
      <c r="EDD163" s="1762"/>
      <c r="EDE163" s="1762"/>
      <c r="EDF163" s="1762"/>
      <c r="EDG163" s="1762"/>
      <c r="EDH163" s="1762"/>
      <c r="EDI163" s="1762"/>
      <c r="EDJ163" s="1762"/>
      <c r="EDK163" s="1762"/>
      <c r="EDL163" s="1762"/>
      <c r="EDM163" s="1762"/>
      <c r="EDN163" s="1762"/>
      <c r="EDO163" s="1762"/>
      <c r="EDP163" s="1762"/>
      <c r="EDQ163" s="1762"/>
      <c r="EDR163" s="1762"/>
      <c r="EDS163" s="1762"/>
      <c r="EDT163" s="1762"/>
      <c r="EDU163" s="1762"/>
      <c r="EDV163" s="1762"/>
      <c r="EDW163" s="1762"/>
      <c r="EDX163" s="1762"/>
      <c r="EDY163" s="1762"/>
      <c r="EDZ163" s="1762"/>
      <c r="EEA163" s="1762"/>
      <c r="EEB163" s="1762"/>
      <c r="EEC163" s="1762"/>
      <c r="EED163" s="1762"/>
      <c r="EEE163" s="1762"/>
      <c r="EEF163" s="1762"/>
      <c r="EEG163" s="1762"/>
      <c r="EEH163" s="1762"/>
      <c r="EEI163" s="1762"/>
      <c r="EEJ163" s="1762"/>
      <c r="EEK163" s="1762"/>
      <c r="EEL163" s="1762"/>
      <c r="EEM163" s="1762"/>
      <c r="EEN163" s="1762"/>
      <c r="EEO163" s="1762"/>
      <c r="EEP163" s="1762"/>
      <c r="EEQ163" s="1762"/>
      <c r="EER163" s="1762"/>
      <c r="EES163" s="1762"/>
      <c r="EET163" s="1762"/>
      <c r="EEU163" s="1762"/>
      <c r="EEV163" s="1762"/>
      <c r="EEW163" s="1762"/>
      <c r="EEX163" s="1762"/>
      <c r="EEY163" s="1762"/>
      <c r="EEZ163" s="1762"/>
      <c r="EFA163" s="1762"/>
      <c r="EFB163" s="1762"/>
      <c r="EFC163" s="1762"/>
      <c r="EFD163" s="1762"/>
      <c r="EFE163" s="1762"/>
      <c r="EFF163" s="1762"/>
      <c r="EFG163" s="1762"/>
      <c r="EFH163" s="1762"/>
      <c r="EFI163" s="1762"/>
      <c r="EFJ163" s="1762"/>
      <c r="EFK163" s="1762"/>
      <c r="EFL163" s="1762"/>
      <c r="EFM163" s="1762"/>
      <c r="EFN163" s="1762"/>
      <c r="EFO163" s="1762"/>
      <c r="EFP163" s="1762"/>
      <c r="EFQ163" s="1762"/>
      <c r="EFR163" s="1762"/>
      <c r="EFS163" s="1762"/>
      <c r="EFT163" s="1762"/>
      <c r="EFU163" s="1762"/>
      <c r="EFV163" s="1762"/>
      <c r="EFW163" s="1762"/>
      <c r="EFX163" s="1762"/>
      <c r="EFY163" s="1762"/>
      <c r="EFZ163" s="1762"/>
      <c r="EGA163" s="1762"/>
      <c r="EGB163" s="1762"/>
      <c r="EGC163" s="1762"/>
      <c r="EGD163" s="1762"/>
      <c r="EGE163" s="1762"/>
      <c r="EGF163" s="1762"/>
      <c r="EGG163" s="1762"/>
      <c r="EGH163" s="1762"/>
      <c r="EGI163" s="1762"/>
      <c r="EGJ163" s="1762"/>
      <c r="EGK163" s="1762"/>
      <c r="EGL163" s="1762"/>
      <c r="EGM163" s="1762"/>
      <c r="EGN163" s="1762"/>
      <c r="EGO163" s="1762"/>
      <c r="EGP163" s="1762"/>
      <c r="EGQ163" s="1762"/>
      <c r="EGR163" s="1762"/>
      <c r="EGS163" s="1762"/>
      <c r="EGT163" s="1762"/>
      <c r="EGU163" s="1762"/>
      <c r="EGV163" s="1762"/>
      <c r="EGW163" s="1762"/>
      <c r="EGX163" s="1762"/>
      <c r="EGY163" s="1762"/>
      <c r="EGZ163" s="1762"/>
      <c r="EHA163" s="1762"/>
      <c r="EHB163" s="1762"/>
      <c r="EHC163" s="1762"/>
      <c r="EHD163" s="1762"/>
      <c r="EHE163" s="1762"/>
      <c r="EHF163" s="1762"/>
      <c r="EHG163" s="1762"/>
      <c r="EHH163" s="1762"/>
      <c r="EHI163" s="1762"/>
      <c r="EHJ163" s="1762"/>
      <c r="EHK163" s="1762"/>
      <c r="EHL163" s="1762"/>
      <c r="EHM163" s="1762"/>
      <c r="EHN163" s="1762"/>
      <c r="EHO163" s="1762"/>
      <c r="EHP163" s="1762"/>
      <c r="EHQ163" s="1762"/>
      <c r="EHR163" s="1762"/>
      <c r="EHS163" s="1762"/>
      <c r="EHT163" s="1762"/>
      <c r="EHU163" s="1762"/>
      <c r="EHV163" s="1762"/>
      <c r="EHW163" s="1762"/>
      <c r="EHX163" s="1762"/>
      <c r="EHY163" s="1762"/>
      <c r="EHZ163" s="1762"/>
      <c r="EIA163" s="1762"/>
      <c r="EIB163" s="1762"/>
      <c r="EIC163" s="1762"/>
      <c r="EID163" s="1762"/>
      <c r="EIE163" s="1762"/>
      <c r="EIF163" s="1762"/>
      <c r="EIG163" s="1762"/>
      <c r="EIH163" s="1762"/>
      <c r="EII163" s="1762"/>
      <c r="EIJ163" s="1762"/>
      <c r="EIK163" s="1762"/>
      <c r="EIL163" s="1762"/>
      <c r="EIM163" s="1762"/>
      <c r="EIN163" s="1762"/>
      <c r="EIO163" s="1762"/>
      <c r="EIP163" s="1762"/>
      <c r="EIQ163" s="1762"/>
      <c r="EIR163" s="1762"/>
      <c r="EIS163" s="1762"/>
      <c r="EIT163" s="1762"/>
      <c r="EIU163" s="1762"/>
      <c r="EIV163" s="1762"/>
      <c r="EIW163" s="1762"/>
      <c r="EIX163" s="1762"/>
      <c r="EIY163" s="1762"/>
      <c r="EIZ163" s="1762"/>
      <c r="EJA163" s="1762"/>
      <c r="EJB163" s="1762"/>
      <c r="EJC163" s="1762"/>
      <c r="EJD163" s="1762"/>
      <c r="EJE163" s="1762"/>
      <c r="EJF163" s="1762"/>
      <c r="EJG163" s="1762"/>
      <c r="EJH163" s="1762"/>
      <c r="EJI163" s="1762"/>
      <c r="EJJ163" s="1762"/>
      <c r="EJK163" s="1762"/>
      <c r="EJL163" s="1762"/>
      <c r="EJM163" s="1762"/>
      <c r="EJN163" s="1762"/>
      <c r="EJO163" s="1762"/>
      <c r="EJP163" s="1762"/>
      <c r="EJQ163" s="1762"/>
      <c r="EJR163" s="1762"/>
      <c r="EJS163" s="1762"/>
      <c r="EJT163" s="1762"/>
      <c r="EJU163" s="1762"/>
      <c r="EJV163" s="1762"/>
      <c r="EJW163" s="1762"/>
      <c r="EJX163" s="1762"/>
      <c r="EJY163" s="1762"/>
      <c r="EJZ163" s="1762"/>
      <c r="EKA163" s="1762"/>
      <c r="EKB163" s="1762"/>
      <c r="EKC163" s="1762"/>
      <c r="EKD163" s="1762"/>
      <c r="EKE163" s="1762"/>
      <c r="EKF163" s="1762"/>
      <c r="EKG163" s="1762"/>
      <c r="EKH163" s="1762"/>
      <c r="EKI163" s="1762"/>
      <c r="EKJ163" s="1762"/>
      <c r="EKK163" s="1762"/>
      <c r="EKL163" s="1762"/>
      <c r="EKM163" s="1762"/>
      <c r="EKN163" s="1762"/>
      <c r="EKO163" s="1762"/>
      <c r="EKP163" s="1762"/>
      <c r="EKQ163" s="1762"/>
      <c r="EKR163" s="1762"/>
      <c r="EKS163" s="1762"/>
      <c r="EKT163" s="1762"/>
      <c r="EKU163" s="1762"/>
      <c r="EKV163" s="1762"/>
      <c r="EKW163" s="1762"/>
      <c r="EKX163" s="1762"/>
      <c r="EKY163" s="1762"/>
      <c r="EKZ163" s="1762"/>
      <c r="ELA163" s="1762"/>
      <c r="ELB163" s="1762"/>
      <c r="ELC163" s="1762"/>
      <c r="ELD163" s="1762"/>
      <c r="ELE163" s="1762"/>
      <c r="ELF163" s="1762"/>
      <c r="ELG163" s="1762"/>
      <c r="ELH163" s="1762"/>
      <c r="ELI163" s="1762"/>
      <c r="ELJ163" s="1762"/>
      <c r="ELK163" s="1762"/>
      <c r="ELL163" s="1762"/>
      <c r="ELM163" s="1762"/>
      <c r="ELN163" s="1762"/>
      <c r="ELO163" s="1762"/>
      <c r="ELP163" s="1762"/>
      <c r="ELQ163" s="1762"/>
      <c r="ELR163" s="1762"/>
      <c r="ELS163" s="1762"/>
      <c r="ELT163" s="1762"/>
      <c r="ELU163" s="1762"/>
      <c r="ELV163" s="1762"/>
      <c r="ELW163" s="1762"/>
      <c r="ELX163" s="1762"/>
      <c r="ELY163" s="1762"/>
      <c r="ELZ163" s="1762"/>
      <c r="EMA163" s="1762"/>
      <c r="EMB163" s="1762"/>
      <c r="EMC163" s="1762"/>
      <c r="EMD163" s="1762"/>
      <c r="EME163" s="1762"/>
      <c r="EMF163" s="1762"/>
      <c r="EMG163" s="1762"/>
      <c r="EMH163" s="1762"/>
      <c r="EMI163" s="1762"/>
      <c r="EMJ163" s="1762"/>
      <c r="EMK163" s="1762"/>
      <c r="EML163" s="1762"/>
      <c r="EMM163" s="1762"/>
      <c r="EMN163" s="1762"/>
      <c r="EMO163" s="1762"/>
      <c r="EMP163" s="1762"/>
      <c r="EMQ163" s="1762"/>
      <c r="EMR163" s="1762"/>
      <c r="EMS163" s="1762"/>
      <c r="EMT163" s="1762"/>
      <c r="EMU163" s="1762"/>
      <c r="EMV163" s="1762"/>
      <c r="EMW163" s="1762"/>
      <c r="EMX163" s="1762"/>
      <c r="EMY163" s="1762"/>
      <c r="EMZ163" s="1762"/>
      <c r="ENA163" s="1762"/>
      <c r="ENB163" s="1762"/>
      <c r="ENC163" s="1762"/>
      <c r="END163" s="1762"/>
      <c r="ENE163" s="1762"/>
      <c r="ENF163" s="1762"/>
      <c r="ENG163" s="1762"/>
      <c r="ENH163" s="1762"/>
      <c r="ENI163" s="1762"/>
      <c r="ENJ163" s="1762"/>
      <c r="ENK163" s="1762"/>
      <c r="ENL163" s="1762"/>
      <c r="ENM163" s="1762"/>
      <c r="ENN163" s="1762"/>
      <c r="ENO163" s="1762"/>
      <c r="ENP163" s="1762"/>
      <c r="ENQ163" s="1762"/>
      <c r="ENR163" s="1762"/>
      <c r="ENS163" s="1762"/>
      <c r="ENT163" s="1762"/>
      <c r="ENU163" s="1762"/>
      <c r="ENV163" s="1762"/>
      <c r="ENW163" s="1762"/>
      <c r="ENX163" s="1762"/>
      <c r="ENY163" s="1762"/>
      <c r="ENZ163" s="1762"/>
      <c r="EOA163" s="1762"/>
      <c r="EOB163" s="1762"/>
      <c r="EOC163" s="1762"/>
      <c r="EOD163" s="1762"/>
      <c r="EOE163" s="1762"/>
      <c r="EOF163" s="1762"/>
      <c r="EOG163" s="1762"/>
      <c r="EOH163" s="1762"/>
      <c r="EOI163" s="1762"/>
      <c r="EOJ163" s="1762"/>
      <c r="EOK163" s="1762"/>
      <c r="EOL163" s="1762"/>
      <c r="EOM163" s="1762"/>
      <c r="EON163" s="1762"/>
      <c r="EOO163" s="1762"/>
      <c r="EOP163" s="1762"/>
      <c r="EOQ163" s="1762"/>
      <c r="EOR163" s="1762"/>
      <c r="EOS163" s="1762"/>
      <c r="EOT163" s="1762"/>
      <c r="EOU163" s="1762"/>
      <c r="EOV163" s="1762"/>
      <c r="EOW163" s="1762"/>
      <c r="EOX163" s="1762"/>
      <c r="EOY163" s="1762"/>
      <c r="EOZ163" s="1762"/>
      <c r="EPA163" s="1762"/>
      <c r="EPB163" s="1762"/>
      <c r="EPC163" s="1762"/>
      <c r="EPD163" s="1762"/>
      <c r="EPE163" s="1762"/>
      <c r="EPF163" s="1762"/>
      <c r="EPG163" s="1762"/>
      <c r="EPH163" s="1762"/>
      <c r="EPI163" s="1762"/>
      <c r="EPJ163" s="1762"/>
      <c r="EPK163" s="1762"/>
      <c r="EPL163" s="1762"/>
      <c r="EPM163" s="1762"/>
      <c r="EPN163" s="1762"/>
      <c r="EPO163" s="1762"/>
      <c r="EPP163" s="1762"/>
      <c r="EPQ163" s="1762"/>
      <c r="EPR163" s="1762"/>
      <c r="EPS163" s="1762"/>
      <c r="EPT163" s="1762"/>
      <c r="EPU163" s="1762"/>
      <c r="EPV163" s="1762"/>
      <c r="EPW163" s="1762"/>
      <c r="EPX163" s="1762"/>
      <c r="EPY163" s="1762"/>
      <c r="EPZ163" s="1762"/>
      <c r="EQA163" s="1762"/>
      <c r="EQB163" s="1762"/>
      <c r="EQC163" s="1762"/>
      <c r="EQD163" s="1762"/>
      <c r="EQE163" s="1762"/>
      <c r="EQF163" s="1762"/>
      <c r="EQG163" s="1762"/>
      <c r="EQH163" s="1762"/>
      <c r="EQI163" s="1762"/>
      <c r="EQJ163" s="1762"/>
      <c r="EQK163" s="1762"/>
      <c r="EQL163" s="1762"/>
      <c r="EQM163" s="1762"/>
      <c r="EQN163" s="1762"/>
      <c r="EQO163" s="1762"/>
      <c r="EQP163" s="1762"/>
      <c r="EQQ163" s="1762"/>
      <c r="EQR163" s="1762"/>
      <c r="EQS163" s="1762"/>
      <c r="EQT163" s="1762"/>
      <c r="EQU163" s="1762"/>
      <c r="EQV163" s="1762"/>
      <c r="EQW163" s="1762"/>
      <c r="EQX163" s="1762"/>
      <c r="EQY163" s="1762"/>
      <c r="EQZ163" s="1762"/>
      <c r="ERA163" s="1762"/>
      <c r="ERB163" s="1762"/>
      <c r="ERC163" s="1762"/>
      <c r="ERD163" s="1762"/>
      <c r="ERE163" s="1762"/>
      <c r="ERF163" s="1762"/>
      <c r="ERG163" s="1762"/>
      <c r="ERH163" s="1762"/>
      <c r="ERI163" s="1762"/>
      <c r="ERJ163" s="1762"/>
      <c r="ERK163" s="1762"/>
      <c r="ERL163" s="1762"/>
      <c r="ERM163" s="1762"/>
      <c r="ERN163" s="1762"/>
      <c r="ERO163" s="1762"/>
      <c r="ERP163" s="1762"/>
      <c r="ERQ163" s="1762"/>
      <c r="ERR163" s="1762"/>
      <c r="ERS163" s="1762"/>
      <c r="ERT163" s="1762"/>
      <c r="ERU163" s="1762"/>
      <c r="ERV163" s="1762"/>
      <c r="ERW163" s="1762"/>
      <c r="ERX163" s="1762"/>
      <c r="ERY163" s="1762"/>
      <c r="ERZ163" s="1762"/>
      <c r="ESA163" s="1762"/>
      <c r="ESB163" s="1762"/>
      <c r="ESC163" s="1762"/>
      <c r="ESD163" s="1762"/>
      <c r="ESE163" s="1762"/>
      <c r="ESF163" s="1762"/>
      <c r="ESG163" s="1762"/>
      <c r="ESH163" s="1762"/>
      <c r="ESI163" s="1762"/>
      <c r="ESJ163" s="1762"/>
      <c r="ESK163" s="1762"/>
      <c r="ESL163" s="1762"/>
      <c r="ESM163" s="1762"/>
      <c r="ESN163" s="1762"/>
      <c r="ESO163" s="1762"/>
      <c r="ESP163" s="1762"/>
      <c r="ESQ163" s="1762"/>
      <c r="ESR163" s="1762"/>
      <c r="ESS163" s="1762"/>
      <c r="EST163" s="1762"/>
      <c r="ESU163" s="1762"/>
      <c r="ESV163" s="1762"/>
      <c r="ESW163" s="1762"/>
      <c r="ESX163" s="1762"/>
      <c r="ESY163" s="1762"/>
      <c r="ESZ163" s="1762"/>
      <c r="ETA163" s="1762"/>
      <c r="ETB163" s="1762"/>
      <c r="ETC163" s="1762"/>
      <c r="ETD163" s="1762"/>
      <c r="ETE163" s="1762"/>
      <c r="ETF163" s="1762"/>
      <c r="ETG163" s="1762"/>
      <c r="ETH163" s="1762"/>
      <c r="ETI163" s="1762"/>
      <c r="ETJ163" s="1762"/>
      <c r="ETK163" s="1762"/>
      <c r="ETL163" s="1762"/>
      <c r="ETM163" s="1762"/>
      <c r="ETN163" s="1762"/>
      <c r="ETO163" s="1762"/>
      <c r="ETP163" s="1762"/>
      <c r="ETQ163" s="1762"/>
      <c r="ETR163" s="1762"/>
      <c r="ETS163" s="1762"/>
      <c r="ETT163" s="1762"/>
      <c r="ETU163" s="1762"/>
      <c r="ETV163" s="1762"/>
      <c r="ETW163" s="1762"/>
      <c r="ETX163" s="1762"/>
      <c r="ETY163" s="1762"/>
      <c r="ETZ163" s="1762"/>
      <c r="EUA163" s="1762"/>
      <c r="EUB163" s="1762"/>
      <c r="EUC163" s="1762"/>
      <c r="EUD163" s="1762"/>
      <c r="EUE163" s="1762"/>
      <c r="EUF163" s="1762"/>
      <c r="EUG163" s="1762"/>
      <c r="EUH163" s="1762"/>
      <c r="EUI163" s="1762"/>
      <c r="EUJ163" s="1762"/>
      <c r="EUK163" s="1762"/>
      <c r="EUL163" s="1762"/>
      <c r="EUM163" s="1762"/>
      <c r="EUN163" s="1762"/>
      <c r="EUO163" s="1762"/>
      <c r="EUP163" s="1762"/>
      <c r="EUQ163" s="1762"/>
      <c r="EUR163" s="1762"/>
      <c r="EUS163" s="1762"/>
      <c r="EUT163" s="1762"/>
      <c r="EUU163" s="1762"/>
      <c r="EUV163" s="1762"/>
      <c r="EUW163" s="1762"/>
      <c r="EUX163" s="1762"/>
      <c r="EUY163" s="1762"/>
      <c r="EUZ163" s="1762"/>
      <c r="EVA163" s="1762"/>
      <c r="EVB163" s="1762"/>
      <c r="EVC163" s="1762"/>
      <c r="EVD163" s="1762"/>
      <c r="EVE163" s="1762"/>
      <c r="EVF163" s="1762"/>
      <c r="EVG163" s="1762"/>
      <c r="EVH163" s="1762"/>
      <c r="EVI163" s="1762"/>
      <c r="EVJ163" s="1762"/>
      <c r="EVK163" s="1762"/>
      <c r="EVL163" s="1762"/>
      <c r="EVM163" s="1762"/>
      <c r="EVN163" s="1762"/>
      <c r="EVO163" s="1762"/>
      <c r="EVP163" s="1762"/>
      <c r="EVQ163" s="1762"/>
      <c r="EVR163" s="1762"/>
      <c r="EVS163" s="1762"/>
      <c r="EVT163" s="1762"/>
      <c r="EVU163" s="1762"/>
      <c r="EVV163" s="1762"/>
      <c r="EVW163" s="1762"/>
      <c r="EVX163" s="1762"/>
      <c r="EVY163" s="1762"/>
      <c r="EVZ163" s="1762"/>
      <c r="EWA163" s="1762"/>
      <c r="EWB163" s="1762"/>
      <c r="EWC163" s="1762"/>
      <c r="EWD163" s="1762"/>
      <c r="EWE163" s="1762"/>
      <c r="EWF163" s="1762"/>
      <c r="EWG163" s="1762"/>
      <c r="EWH163" s="1762"/>
      <c r="EWI163" s="1762"/>
      <c r="EWJ163" s="1762"/>
      <c r="EWK163" s="1762"/>
      <c r="EWL163" s="1762"/>
      <c r="EWM163" s="1762"/>
      <c r="EWN163" s="1762"/>
      <c r="EWO163" s="1762"/>
      <c r="EWP163" s="1762"/>
      <c r="EWQ163" s="1762"/>
      <c r="EWR163" s="1762"/>
      <c r="EWS163" s="1762"/>
      <c r="EWT163" s="1762"/>
      <c r="EWU163" s="1762"/>
      <c r="EWV163" s="1762"/>
      <c r="EWW163" s="1762"/>
      <c r="EWX163" s="1762"/>
      <c r="EWY163" s="1762"/>
      <c r="EWZ163" s="1762"/>
      <c r="EXA163" s="1762"/>
      <c r="EXB163" s="1762"/>
      <c r="EXC163" s="1762"/>
      <c r="EXD163" s="1762"/>
      <c r="EXE163" s="1762"/>
      <c r="EXF163" s="1762"/>
      <c r="EXG163" s="1762"/>
      <c r="EXH163" s="1762"/>
      <c r="EXI163" s="1762"/>
      <c r="EXJ163" s="1762"/>
      <c r="EXK163" s="1762"/>
      <c r="EXL163" s="1762"/>
      <c r="EXM163" s="1762"/>
      <c r="EXN163" s="1762"/>
      <c r="EXO163" s="1762"/>
      <c r="EXP163" s="1762"/>
      <c r="EXQ163" s="1762"/>
      <c r="EXR163" s="1762"/>
      <c r="EXS163" s="1762"/>
      <c r="EXT163" s="1762"/>
      <c r="EXU163" s="1762"/>
      <c r="EXV163" s="1762"/>
      <c r="EXW163" s="1762"/>
      <c r="EXX163" s="1762"/>
      <c r="EXY163" s="1762"/>
      <c r="EXZ163" s="1762"/>
      <c r="EYA163" s="1762"/>
      <c r="EYB163" s="1762"/>
      <c r="EYC163" s="1762"/>
      <c r="EYD163" s="1762"/>
      <c r="EYE163" s="1762"/>
      <c r="EYF163" s="1762"/>
      <c r="EYG163" s="1762"/>
      <c r="EYH163" s="1762"/>
      <c r="EYI163" s="1762"/>
      <c r="EYJ163" s="1762"/>
      <c r="EYK163" s="1762"/>
      <c r="EYL163" s="1762"/>
      <c r="EYM163" s="1762"/>
      <c r="EYN163" s="1762"/>
      <c r="EYO163" s="1762"/>
      <c r="EYP163" s="1762"/>
      <c r="EYQ163" s="1762"/>
      <c r="EYR163" s="1762"/>
      <c r="EYS163" s="1762"/>
      <c r="EYT163" s="1762"/>
      <c r="EYU163" s="1762"/>
      <c r="EYV163" s="1762"/>
      <c r="EYW163" s="1762"/>
      <c r="EYX163" s="1762"/>
      <c r="EYY163" s="1762"/>
      <c r="EYZ163" s="1762"/>
      <c r="EZA163" s="1762"/>
      <c r="EZB163" s="1762"/>
      <c r="EZC163" s="1762"/>
      <c r="EZD163" s="1762"/>
      <c r="EZE163" s="1762"/>
      <c r="EZF163" s="1762"/>
      <c r="EZG163" s="1762"/>
      <c r="EZH163" s="1762"/>
      <c r="EZI163" s="1762"/>
      <c r="EZJ163" s="1762"/>
      <c r="EZK163" s="1762"/>
      <c r="EZL163" s="1762"/>
      <c r="EZM163" s="1762"/>
      <c r="EZN163" s="1762"/>
      <c r="EZO163" s="1762"/>
      <c r="EZP163" s="1762"/>
      <c r="EZQ163" s="1762"/>
      <c r="EZR163" s="1762"/>
      <c r="EZS163" s="1762"/>
      <c r="EZT163" s="1762"/>
      <c r="EZU163" s="1762"/>
      <c r="EZV163" s="1762"/>
      <c r="EZW163" s="1762"/>
      <c r="EZX163" s="1762"/>
      <c r="EZY163" s="1762"/>
      <c r="EZZ163" s="1762"/>
      <c r="FAA163" s="1762"/>
      <c r="FAB163" s="1762"/>
      <c r="FAC163" s="1762"/>
      <c r="FAD163" s="1762"/>
      <c r="FAE163" s="1762"/>
      <c r="FAF163" s="1762"/>
      <c r="FAG163" s="1762"/>
      <c r="FAH163" s="1762"/>
      <c r="FAI163" s="1762"/>
      <c r="FAJ163" s="1762"/>
      <c r="FAK163" s="1762"/>
      <c r="FAL163" s="1762"/>
      <c r="FAM163" s="1762"/>
      <c r="FAN163" s="1762"/>
      <c r="FAO163" s="1762"/>
      <c r="FAP163" s="1762"/>
      <c r="FAQ163" s="1762"/>
      <c r="FAR163" s="1762"/>
      <c r="FAS163" s="1762"/>
      <c r="FAT163" s="1762"/>
      <c r="FAU163" s="1762"/>
      <c r="FAV163" s="1762"/>
      <c r="FAW163" s="1762"/>
      <c r="FAX163" s="1762"/>
      <c r="FAY163" s="1762"/>
      <c r="FAZ163" s="1762"/>
      <c r="FBA163" s="1762"/>
      <c r="FBB163" s="1762"/>
      <c r="FBC163" s="1762"/>
      <c r="FBD163" s="1762"/>
      <c r="FBE163" s="1762"/>
      <c r="FBF163" s="1762"/>
      <c r="FBG163" s="1762"/>
      <c r="FBH163" s="1762"/>
      <c r="FBI163" s="1762"/>
      <c r="FBJ163" s="1762"/>
      <c r="FBK163" s="1762"/>
      <c r="FBL163" s="1762"/>
      <c r="FBM163" s="1762"/>
      <c r="FBN163" s="1762"/>
      <c r="FBO163" s="1762"/>
      <c r="FBP163" s="1762"/>
      <c r="FBQ163" s="1762"/>
      <c r="FBR163" s="1762"/>
      <c r="FBS163" s="1762"/>
      <c r="FBT163" s="1762"/>
      <c r="FBU163" s="1762"/>
      <c r="FBV163" s="1762"/>
      <c r="FBW163" s="1762"/>
      <c r="FBX163" s="1762"/>
      <c r="FBY163" s="1762"/>
      <c r="FBZ163" s="1762"/>
      <c r="FCA163" s="1762"/>
      <c r="FCB163" s="1762"/>
      <c r="FCC163" s="1762"/>
      <c r="FCD163" s="1762"/>
      <c r="FCE163" s="1762"/>
      <c r="FCF163" s="1762"/>
      <c r="FCG163" s="1762"/>
      <c r="FCH163" s="1762"/>
      <c r="FCI163" s="1762"/>
      <c r="FCJ163" s="1762"/>
      <c r="FCK163" s="1762"/>
      <c r="FCL163" s="1762"/>
      <c r="FCM163" s="1762"/>
      <c r="FCN163" s="1762"/>
      <c r="FCO163" s="1762"/>
      <c r="FCP163" s="1762"/>
      <c r="FCQ163" s="1762"/>
      <c r="FCR163" s="1762"/>
      <c r="FCS163" s="1762"/>
      <c r="FCT163" s="1762"/>
      <c r="FCU163" s="1762"/>
      <c r="FCV163" s="1762"/>
      <c r="FCW163" s="1762"/>
      <c r="FCX163" s="1762"/>
      <c r="FCY163" s="1762"/>
      <c r="FCZ163" s="1762"/>
      <c r="FDA163" s="1762"/>
      <c r="FDB163" s="1762"/>
      <c r="FDC163" s="1762"/>
      <c r="FDD163" s="1762"/>
      <c r="FDE163" s="1762"/>
      <c r="FDF163" s="1762"/>
      <c r="FDG163" s="1762"/>
      <c r="FDH163" s="1762"/>
      <c r="FDI163" s="1762"/>
      <c r="FDJ163" s="1762"/>
      <c r="FDK163" s="1762"/>
      <c r="FDL163" s="1762"/>
      <c r="FDM163" s="1762"/>
      <c r="FDN163" s="1762"/>
      <c r="FDO163" s="1762"/>
      <c r="FDP163" s="1762"/>
      <c r="FDQ163" s="1762"/>
      <c r="FDR163" s="1762"/>
      <c r="FDS163" s="1762"/>
      <c r="FDT163" s="1762"/>
      <c r="FDU163" s="1762"/>
      <c r="FDV163" s="1762"/>
      <c r="FDW163" s="1762"/>
      <c r="FDX163" s="1762"/>
      <c r="FDY163" s="1762"/>
      <c r="FDZ163" s="1762"/>
      <c r="FEA163" s="1762"/>
      <c r="FEB163" s="1762"/>
      <c r="FEC163" s="1762"/>
      <c r="FED163" s="1762"/>
      <c r="FEE163" s="1762"/>
      <c r="FEF163" s="1762"/>
      <c r="FEG163" s="1762"/>
      <c r="FEH163" s="1762"/>
      <c r="FEI163" s="1762"/>
      <c r="FEJ163" s="1762"/>
      <c r="FEK163" s="1762"/>
      <c r="FEL163" s="1762"/>
      <c r="FEM163" s="1762"/>
      <c r="FEN163" s="1762"/>
      <c r="FEO163" s="1762"/>
      <c r="FEP163" s="1762"/>
      <c r="FEQ163" s="1762"/>
      <c r="FER163" s="1762"/>
      <c r="FES163" s="1762"/>
      <c r="FET163" s="1762"/>
      <c r="FEU163" s="1762"/>
      <c r="FEV163" s="1762"/>
      <c r="FEW163" s="1762"/>
      <c r="FEX163" s="1762"/>
      <c r="FEY163" s="1762"/>
      <c r="FEZ163" s="1762"/>
      <c r="FFA163" s="1762"/>
      <c r="FFB163" s="1762"/>
      <c r="FFC163" s="1762"/>
      <c r="FFD163" s="1762"/>
      <c r="FFE163" s="1762"/>
      <c r="FFF163" s="1762"/>
      <c r="FFG163" s="1762"/>
      <c r="FFH163" s="1762"/>
      <c r="FFI163" s="1762"/>
      <c r="FFJ163" s="1762"/>
      <c r="FFK163" s="1762"/>
      <c r="FFL163" s="1762"/>
      <c r="FFM163" s="1762"/>
      <c r="FFN163" s="1762"/>
      <c r="FFO163" s="1762"/>
      <c r="FFP163" s="1762"/>
      <c r="FFQ163" s="1762"/>
      <c r="FFR163" s="1762"/>
      <c r="FFS163" s="1762"/>
      <c r="FFT163" s="1762"/>
      <c r="FFU163" s="1762"/>
      <c r="FFV163" s="1762"/>
      <c r="FFW163" s="1762"/>
      <c r="FFX163" s="1762"/>
      <c r="FFY163" s="1762"/>
      <c r="FFZ163" s="1762"/>
      <c r="FGA163" s="1762"/>
      <c r="FGB163" s="1762"/>
      <c r="FGC163" s="1762"/>
      <c r="FGD163" s="1762"/>
      <c r="FGE163" s="1762"/>
      <c r="FGF163" s="1762"/>
      <c r="FGG163" s="1762"/>
      <c r="FGH163" s="1762"/>
      <c r="FGI163" s="1762"/>
      <c r="FGJ163" s="1762"/>
      <c r="FGK163" s="1762"/>
      <c r="FGL163" s="1762"/>
      <c r="FGM163" s="1762"/>
      <c r="FGN163" s="1762"/>
      <c r="FGO163" s="1762"/>
      <c r="FGP163" s="1762"/>
      <c r="FGQ163" s="1762"/>
      <c r="FGR163" s="1762"/>
      <c r="FGS163" s="1762"/>
      <c r="FGT163" s="1762"/>
      <c r="FGU163" s="1762"/>
      <c r="FGV163" s="1762"/>
      <c r="FGW163" s="1762"/>
      <c r="FGX163" s="1762"/>
      <c r="FGY163" s="1762"/>
      <c r="FGZ163" s="1762"/>
      <c r="FHA163" s="1762"/>
      <c r="FHB163" s="1762"/>
      <c r="FHC163" s="1762"/>
      <c r="FHD163" s="1762"/>
      <c r="FHE163" s="1762"/>
      <c r="FHF163" s="1762"/>
      <c r="FHG163" s="1762"/>
      <c r="FHH163" s="1762"/>
      <c r="FHI163" s="1762"/>
      <c r="FHJ163" s="1762"/>
      <c r="FHK163" s="1762"/>
      <c r="FHL163" s="1762"/>
      <c r="FHM163" s="1762"/>
      <c r="FHN163" s="1762"/>
      <c r="FHO163" s="1762"/>
      <c r="FHP163" s="1762"/>
      <c r="FHQ163" s="1762"/>
      <c r="FHR163" s="1762"/>
      <c r="FHS163" s="1762"/>
      <c r="FHT163" s="1762"/>
      <c r="FHU163" s="1762"/>
      <c r="FHV163" s="1762"/>
      <c r="FHW163" s="1762"/>
      <c r="FHX163" s="1762"/>
      <c r="FHY163" s="1762"/>
      <c r="FHZ163" s="1762"/>
      <c r="FIA163" s="1762"/>
      <c r="FIB163" s="1762"/>
      <c r="FIC163" s="1762"/>
      <c r="FID163" s="1762"/>
      <c r="FIE163" s="1762"/>
      <c r="FIF163" s="1762"/>
      <c r="FIG163" s="1762"/>
      <c r="FIH163" s="1762"/>
      <c r="FII163" s="1762"/>
      <c r="FIJ163" s="1762"/>
      <c r="FIK163" s="1762"/>
      <c r="FIL163" s="1762"/>
      <c r="FIM163" s="1762"/>
      <c r="FIN163" s="1762"/>
      <c r="FIO163" s="1762"/>
      <c r="FIP163" s="1762"/>
      <c r="FIQ163" s="1762"/>
      <c r="FIR163" s="1762"/>
      <c r="FIS163" s="1762"/>
      <c r="FIT163" s="1762"/>
      <c r="FIU163" s="1762"/>
      <c r="FIV163" s="1762"/>
      <c r="FIW163" s="1762"/>
      <c r="FIX163" s="1762"/>
      <c r="FIY163" s="1762"/>
      <c r="FIZ163" s="1762"/>
      <c r="FJA163" s="1762"/>
      <c r="FJB163" s="1762"/>
      <c r="FJC163" s="1762"/>
      <c r="FJD163" s="1762"/>
      <c r="FJE163" s="1762"/>
      <c r="FJF163" s="1762"/>
      <c r="FJG163" s="1762"/>
      <c r="FJH163" s="1762"/>
      <c r="FJI163" s="1762"/>
      <c r="FJJ163" s="1762"/>
      <c r="FJK163" s="1762"/>
      <c r="FJL163" s="1762"/>
      <c r="FJM163" s="1762"/>
      <c r="FJN163" s="1762"/>
      <c r="FJO163" s="1762"/>
      <c r="FJP163" s="1762"/>
      <c r="FJQ163" s="1762"/>
      <c r="FJR163" s="1762"/>
      <c r="FJS163" s="1762"/>
      <c r="FJT163" s="1762"/>
      <c r="FJU163" s="1762"/>
      <c r="FJV163" s="1762"/>
      <c r="FJW163" s="1762"/>
      <c r="FJX163" s="1762"/>
      <c r="FJY163" s="1762"/>
      <c r="FJZ163" s="1762"/>
      <c r="FKA163" s="1762"/>
      <c r="FKB163" s="1762"/>
      <c r="FKC163" s="1762"/>
      <c r="FKD163" s="1762"/>
      <c r="FKE163" s="1762"/>
      <c r="FKF163" s="1762"/>
      <c r="FKG163" s="1762"/>
      <c r="FKH163" s="1762"/>
      <c r="FKI163" s="1762"/>
      <c r="FKJ163" s="1762"/>
      <c r="FKK163" s="1762"/>
      <c r="FKL163" s="1762"/>
      <c r="FKM163" s="1762"/>
      <c r="FKN163" s="1762"/>
      <c r="FKO163" s="1762"/>
      <c r="FKP163" s="1762"/>
      <c r="FKQ163" s="1762"/>
      <c r="FKR163" s="1762"/>
      <c r="FKS163" s="1762"/>
      <c r="FKT163" s="1762"/>
      <c r="FKU163" s="1762"/>
      <c r="FKV163" s="1762"/>
      <c r="FKW163" s="1762"/>
      <c r="FKX163" s="1762"/>
      <c r="FKY163" s="1762"/>
      <c r="FKZ163" s="1762"/>
      <c r="FLA163" s="1762"/>
      <c r="FLB163" s="1762"/>
      <c r="FLC163" s="1762"/>
      <c r="FLD163" s="1762"/>
      <c r="FLE163" s="1762"/>
      <c r="FLF163" s="1762"/>
      <c r="FLG163" s="1762"/>
      <c r="FLH163" s="1762"/>
      <c r="FLI163" s="1762"/>
      <c r="FLJ163" s="1762"/>
      <c r="FLK163" s="1762"/>
      <c r="FLL163" s="1762"/>
      <c r="FLM163" s="1762"/>
      <c r="FLN163" s="1762"/>
      <c r="FLO163" s="1762"/>
      <c r="FLP163" s="1762"/>
      <c r="FLQ163" s="1762"/>
      <c r="FLR163" s="1762"/>
      <c r="FLS163" s="1762"/>
      <c r="FLT163" s="1762"/>
      <c r="FLU163" s="1762"/>
      <c r="FLV163" s="1762"/>
      <c r="FLW163" s="1762"/>
      <c r="FLX163" s="1762"/>
      <c r="FLY163" s="1762"/>
      <c r="FLZ163" s="1762"/>
      <c r="FMA163" s="1762"/>
      <c r="FMB163" s="1762"/>
      <c r="FMC163" s="1762"/>
      <c r="FMD163" s="1762"/>
      <c r="FME163" s="1762"/>
      <c r="FMF163" s="1762"/>
      <c r="FMG163" s="1762"/>
      <c r="FMH163" s="1762"/>
      <c r="FMI163" s="1762"/>
      <c r="FMJ163" s="1762"/>
      <c r="FMK163" s="1762"/>
      <c r="FML163" s="1762"/>
      <c r="FMM163" s="1762"/>
      <c r="FMN163" s="1762"/>
      <c r="FMO163" s="1762"/>
      <c r="FMP163" s="1762"/>
      <c r="FMQ163" s="1762"/>
      <c r="FMR163" s="1762"/>
      <c r="FMS163" s="1762"/>
      <c r="FMT163" s="1762"/>
      <c r="FMU163" s="1762"/>
      <c r="FMV163" s="1762"/>
      <c r="FMW163" s="1762"/>
      <c r="FMX163" s="1762"/>
      <c r="FMY163" s="1762"/>
      <c r="FMZ163" s="1762"/>
      <c r="FNA163" s="1762"/>
      <c r="FNB163" s="1762"/>
      <c r="FNC163" s="1762"/>
      <c r="FND163" s="1762"/>
      <c r="FNE163" s="1762"/>
      <c r="FNF163" s="1762"/>
      <c r="FNG163" s="1762"/>
      <c r="FNH163" s="1762"/>
      <c r="FNI163" s="1762"/>
      <c r="FNJ163" s="1762"/>
      <c r="FNK163" s="1762"/>
      <c r="FNL163" s="1762"/>
      <c r="FNM163" s="1762"/>
      <c r="FNN163" s="1762"/>
      <c r="FNO163" s="1762"/>
      <c r="FNP163" s="1762"/>
      <c r="FNQ163" s="1762"/>
      <c r="FNR163" s="1762"/>
      <c r="FNS163" s="1762"/>
      <c r="FNT163" s="1762"/>
      <c r="FNU163" s="1762"/>
      <c r="FNV163" s="1762"/>
      <c r="FNW163" s="1762"/>
      <c r="FNX163" s="1762"/>
      <c r="FNY163" s="1762"/>
      <c r="FNZ163" s="1762"/>
      <c r="FOA163" s="1762"/>
      <c r="FOB163" s="1762"/>
      <c r="FOC163" s="1762"/>
      <c r="FOD163" s="1762"/>
      <c r="FOE163" s="1762"/>
      <c r="FOF163" s="1762"/>
      <c r="FOG163" s="1762"/>
      <c r="FOH163" s="1762"/>
      <c r="FOI163" s="1762"/>
      <c r="FOJ163" s="1762"/>
      <c r="FOK163" s="1762"/>
      <c r="FOL163" s="1762"/>
      <c r="FOM163" s="1762"/>
      <c r="FON163" s="1762"/>
      <c r="FOO163" s="1762"/>
      <c r="FOP163" s="1762"/>
      <c r="FOQ163" s="1762"/>
      <c r="FOR163" s="1762"/>
      <c r="FOS163" s="1762"/>
      <c r="FOT163" s="1762"/>
      <c r="FOU163" s="1762"/>
      <c r="FOV163" s="1762"/>
      <c r="FOW163" s="1762"/>
      <c r="FOX163" s="1762"/>
      <c r="FOY163" s="1762"/>
      <c r="FOZ163" s="1762"/>
      <c r="FPA163" s="1762"/>
      <c r="FPB163" s="1762"/>
      <c r="FPC163" s="1762"/>
      <c r="FPD163" s="1762"/>
      <c r="FPE163" s="1762"/>
      <c r="FPF163" s="1762"/>
      <c r="FPG163" s="1762"/>
      <c r="FPH163" s="1762"/>
      <c r="FPI163" s="1762"/>
      <c r="FPJ163" s="1762"/>
      <c r="FPK163" s="1762"/>
      <c r="FPL163" s="1762"/>
      <c r="FPM163" s="1762"/>
      <c r="FPN163" s="1762"/>
      <c r="FPO163" s="1762"/>
      <c r="FPP163" s="1762"/>
      <c r="FPQ163" s="1762"/>
      <c r="FPR163" s="1762"/>
      <c r="FPS163" s="1762"/>
      <c r="FPT163" s="1762"/>
      <c r="FPU163" s="1762"/>
      <c r="FPV163" s="1762"/>
      <c r="FPW163" s="1762"/>
      <c r="FPX163" s="1762"/>
      <c r="FPY163" s="1762"/>
      <c r="FPZ163" s="1762"/>
      <c r="FQA163" s="1762"/>
      <c r="FQB163" s="1762"/>
      <c r="FQC163" s="1762"/>
      <c r="FQD163" s="1762"/>
      <c r="FQE163" s="1762"/>
      <c r="FQF163" s="1762"/>
      <c r="FQG163" s="1762"/>
      <c r="FQH163" s="1762"/>
      <c r="FQI163" s="1762"/>
      <c r="FQJ163" s="1762"/>
      <c r="FQK163" s="1762"/>
      <c r="FQL163" s="1762"/>
      <c r="FQM163" s="1762"/>
      <c r="FQN163" s="1762"/>
      <c r="FQO163" s="1762"/>
      <c r="FQP163" s="1762"/>
      <c r="FQQ163" s="1762"/>
      <c r="FQR163" s="1762"/>
      <c r="FQS163" s="1762"/>
      <c r="FQT163" s="1762"/>
      <c r="FQU163" s="1762"/>
      <c r="FQV163" s="1762"/>
      <c r="FQW163" s="1762"/>
      <c r="FQX163" s="1762"/>
      <c r="FQY163" s="1762"/>
      <c r="FQZ163" s="1762"/>
      <c r="FRA163" s="1762"/>
      <c r="FRB163" s="1762"/>
      <c r="FRC163" s="1762"/>
      <c r="FRD163" s="1762"/>
      <c r="FRE163" s="1762"/>
      <c r="FRF163" s="1762"/>
      <c r="FRG163" s="1762"/>
      <c r="FRH163" s="1762"/>
      <c r="FRI163" s="1762"/>
      <c r="FRJ163" s="1762"/>
      <c r="FRK163" s="1762"/>
      <c r="FRL163" s="1762"/>
      <c r="FRM163" s="1762"/>
      <c r="FRN163" s="1762"/>
      <c r="FRO163" s="1762"/>
      <c r="FRP163" s="1762"/>
      <c r="FRQ163" s="1762"/>
      <c r="FRR163" s="1762"/>
      <c r="FRS163" s="1762"/>
      <c r="FRT163" s="1762"/>
      <c r="FRU163" s="1762"/>
      <c r="FRV163" s="1762"/>
      <c r="FRW163" s="1762"/>
      <c r="FRX163" s="1762"/>
      <c r="FRY163" s="1762"/>
      <c r="FRZ163" s="1762"/>
      <c r="FSA163" s="1762"/>
      <c r="FSB163" s="1762"/>
      <c r="FSC163" s="1762"/>
      <c r="FSD163" s="1762"/>
      <c r="FSE163" s="1762"/>
      <c r="FSF163" s="1762"/>
      <c r="FSG163" s="1762"/>
      <c r="FSH163" s="1762"/>
      <c r="FSI163" s="1762"/>
      <c r="FSJ163" s="1762"/>
      <c r="FSK163" s="1762"/>
      <c r="FSL163" s="1762"/>
      <c r="FSM163" s="1762"/>
      <c r="FSN163" s="1762"/>
      <c r="FSO163" s="1762"/>
      <c r="FSP163" s="1762"/>
      <c r="FSQ163" s="1762"/>
      <c r="FSR163" s="1762"/>
      <c r="FSS163" s="1762"/>
      <c r="FST163" s="1762"/>
      <c r="FSU163" s="1762"/>
      <c r="FSV163" s="1762"/>
      <c r="FSW163" s="1762"/>
      <c r="FSX163" s="1762"/>
      <c r="FSY163" s="1762"/>
      <c r="FSZ163" s="1762"/>
      <c r="FTA163" s="1762"/>
      <c r="FTB163" s="1762"/>
      <c r="FTC163" s="1762"/>
      <c r="FTD163" s="1762"/>
      <c r="FTE163" s="1762"/>
      <c r="FTF163" s="1762"/>
      <c r="FTG163" s="1762"/>
      <c r="FTH163" s="1762"/>
      <c r="FTI163" s="1762"/>
      <c r="FTJ163" s="1762"/>
      <c r="FTK163" s="1762"/>
      <c r="FTL163" s="1762"/>
      <c r="FTM163" s="1762"/>
      <c r="FTN163" s="1762"/>
      <c r="FTO163" s="1762"/>
      <c r="FTP163" s="1762"/>
      <c r="FTQ163" s="1762"/>
      <c r="FTR163" s="1762"/>
      <c r="FTS163" s="1762"/>
      <c r="FTT163" s="1762"/>
      <c r="FTU163" s="1762"/>
      <c r="FTV163" s="1762"/>
      <c r="FTW163" s="1762"/>
      <c r="FTX163" s="1762"/>
      <c r="FTY163" s="1762"/>
      <c r="FTZ163" s="1762"/>
      <c r="FUA163" s="1762"/>
      <c r="FUB163" s="1762"/>
      <c r="FUC163" s="1762"/>
      <c r="FUD163" s="1762"/>
      <c r="FUE163" s="1762"/>
      <c r="FUF163" s="1762"/>
      <c r="FUG163" s="1762"/>
      <c r="FUH163" s="1762"/>
      <c r="FUI163" s="1762"/>
      <c r="FUJ163" s="1762"/>
      <c r="FUK163" s="1762"/>
      <c r="FUL163" s="1762"/>
      <c r="FUM163" s="1762"/>
      <c r="FUN163" s="1762"/>
      <c r="FUO163" s="1762"/>
      <c r="FUP163" s="1762"/>
      <c r="FUQ163" s="1762"/>
      <c r="FUR163" s="1762"/>
      <c r="FUS163" s="1762"/>
      <c r="FUT163" s="1762"/>
      <c r="FUU163" s="1762"/>
      <c r="FUV163" s="1762"/>
      <c r="FUW163" s="1762"/>
      <c r="FUX163" s="1762"/>
      <c r="FUY163" s="1762"/>
      <c r="FUZ163" s="1762"/>
      <c r="FVA163" s="1762"/>
      <c r="FVB163" s="1762"/>
      <c r="FVC163" s="1762"/>
      <c r="FVD163" s="1762"/>
      <c r="FVE163" s="1762"/>
      <c r="FVF163" s="1762"/>
      <c r="FVG163" s="1762"/>
      <c r="FVH163" s="1762"/>
      <c r="FVI163" s="1762"/>
      <c r="FVJ163" s="1762"/>
      <c r="FVK163" s="1762"/>
      <c r="FVL163" s="1762"/>
      <c r="FVM163" s="1762"/>
      <c r="FVN163" s="1762"/>
      <c r="FVO163" s="1762"/>
      <c r="FVP163" s="1762"/>
      <c r="FVQ163" s="1762"/>
      <c r="FVR163" s="1762"/>
      <c r="FVS163" s="1762"/>
      <c r="FVT163" s="1762"/>
      <c r="FVU163" s="1762"/>
      <c r="FVV163" s="1762"/>
      <c r="FVW163" s="1762"/>
      <c r="FVX163" s="1762"/>
      <c r="FVY163" s="1762"/>
      <c r="FVZ163" s="1762"/>
      <c r="FWA163" s="1762"/>
      <c r="FWB163" s="1762"/>
      <c r="FWC163" s="1762"/>
      <c r="FWD163" s="1762"/>
      <c r="FWE163" s="1762"/>
      <c r="FWF163" s="1762"/>
      <c r="FWG163" s="1762"/>
      <c r="FWH163" s="1762"/>
      <c r="FWI163" s="1762"/>
      <c r="FWJ163" s="1762"/>
      <c r="FWK163" s="1762"/>
      <c r="FWL163" s="1762"/>
      <c r="FWM163" s="1762"/>
      <c r="FWN163" s="1762"/>
      <c r="FWO163" s="1762"/>
      <c r="FWP163" s="1762"/>
      <c r="FWQ163" s="1762"/>
      <c r="FWR163" s="1762"/>
      <c r="FWS163" s="1762"/>
      <c r="FWT163" s="1762"/>
      <c r="FWU163" s="1762"/>
      <c r="FWV163" s="1762"/>
      <c r="FWW163" s="1762"/>
      <c r="FWX163" s="1762"/>
      <c r="FWY163" s="1762"/>
      <c r="FWZ163" s="1762"/>
      <c r="FXA163" s="1762"/>
      <c r="FXB163" s="1762"/>
      <c r="FXC163" s="1762"/>
      <c r="FXD163" s="1762"/>
      <c r="FXE163" s="1762"/>
      <c r="FXF163" s="1762"/>
      <c r="FXG163" s="1762"/>
      <c r="FXH163" s="1762"/>
      <c r="FXI163" s="1762"/>
      <c r="FXJ163" s="1762"/>
      <c r="FXK163" s="1762"/>
      <c r="FXL163" s="1762"/>
      <c r="FXM163" s="1762"/>
      <c r="FXN163" s="1762"/>
      <c r="FXO163" s="1762"/>
      <c r="FXP163" s="1762"/>
      <c r="FXQ163" s="1762"/>
      <c r="FXR163" s="1762"/>
      <c r="FXS163" s="1762"/>
      <c r="FXT163" s="1762"/>
      <c r="FXU163" s="1762"/>
      <c r="FXV163" s="1762"/>
      <c r="FXW163" s="1762"/>
      <c r="FXX163" s="1762"/>
      <c r="FXY163" s="1762"/>
      <c r="FXZ163" s="1762"/>
      <c r="FYA163" s="1762"/>
      <c r="FYB163" s="1762"/>
      <c r="FYC163" s="1762"/>
      <c r="FYD163" s="1762"/>
      <c r="FYE163" s="1762"/>
      <c r="FYF163" s="1762"/>
      <c r="FYG163" s="1762"/>
      <c r="FYH163" s="1762"/>
      <c r="FYI163" s="1762"/>
      <c r="FYJ163" s="1762"/>
      <c r="FYK163" s="1762"/>
      <c r="FYL163" s="1762"/>
      <c r="FYM163" s="1762"/>
      <c r="FYN163" s="1762"/>
      <c r="FYO163" s="1762"/>
      <c r="FYP163" s="1762"/>
      <c r="FYQ163" s="1762"/>
      <c r="FYR163" s="1762"/>
      <c r="FYS163" s="1762"/>
      <c r="FYT163" s="1762"/>
      <c r="FYU163" s="1762"/>
      <c r="FYV163" s="1762"/>
      <c r="FYW163" s="1762"/>
      <c r="FYX163" s="1762"/>
      <c r="FYY163" s="1762"/>
      <c r="FYZ163" s="1762"/>
      <c r="FZA163" s="1762"/>
      <c r="FZB163" s="1762"/>
      <c r="FZC163" s="1762"/>
      <c r="FZD163" s="1762"/>
      <c r="FZE163" s="1762"/>
      <c r="FZF163" s="1762"/>
      <c r="FZG163" s="1762"/>
      <c r="FZH163" s="1762"/>
      <c r="FZI163" s="1762"/>
      <c r="FZJ163" s="1762"/>
      <c r="FZK163" s="1762"/>
      <c r="FZL163" s="1762"/>
      <c r="FZM163" s="1762"/>
      <c r="FZN163" s="1762"/>
      <c r="FZO163" s="1762"/>
      <c r="FZP163" s="1762"/>
      <c r="FZQ163" s="1762"/>
      <c r="FZR163" s="1762"/>
      <c r="FZS163" s="1762"/>
      <c r="FZT163" s="1762"/>
      <c r="FZU163" s="1762"/>
      <c r="FZV163" s="1762"/>
      <c r="FZW163" s="1762"/>
      <c r="FZX163" s="1762"/>
      <c r="FZY163" s="1762"/>
      <c r="FZZ163" s="1762"/>
      <c r="GAA163" s="1762"/>
      <c r="GAB163" s="1762"/>
      <c r="GAC163" s="1762"/>
      <c r="GAD163" s="1762"/>
      <c r="GAE163" s="1762"/>
      <c r="GAF163" s="1762"/>
      <c r="GAG163" s="1762"/>
      <c r="GAH163" s="1762"/>
      <c r="GAI163" s="1762"/>
      <c r="GAJ163" s="1762"/>
      <c r="GAK163" s="1762"/>
      <c r="GAL163" s="1762"/>
      <c r="GAM163" s="1762"/>
      <c r="GAN163" s="1762"/>
      <c r="GAO163" s="1762"/>
      <c r="GAP163" s="1762"/>
      <c r="GAQ163" s="1762"/>
      <c r="GAR163" s="1762"/>
      <c r="GAS163" s="1762"/>
      <c r="GAT163" s="1762"/>
      <c r="GAU163" s="1762"/>
      <c r="GAV163" s="1762"/>
      <c r="GAW163" s="1762"/>
      <c r="GAX163" s="1762"/>
      <c r="GAY163" s="1762"/>
      <c r="GAZ163" s="1762"/>
      <c r="GBA163" s="1762"/>
      <c r="GBB163" s="1762"/>
      <c r="GBC163" s="1762"/>
      <c r="GBD163" s="1762"/>
      <c r="GBE163" s="1762"/>
      <c r="GBF163" s="1762"/>
      <c r="GBG163" s="1762"/>
      <c r="GBH163" s="1762"/>
      <c r="GBI163" s="1762"/>
      <c r="GBJ163" s="1762"/>
      <c r="GBK163" s="1762"/>
      <c r="GBL163" s="1762"/>
      <c r="GBM163" s="1762"/>
      <c r="GBN163" s="1762"/>
      <c r="GBO163" s="1762"/>
      <c r="GBP163" s="1762"/>
      <c r="GBQ163" s="1762"/>
      <c r="GBR163" s="1762"/>
      <c r="GBS163" s="1762"/>
      <c r="GBT163" s="1762"/>
      <c r="GBU163" s="1762"/>
      <c r="GBV163" s="1762"/>
      <c r="GBW163" s="1762"/>
      <c r="GBX163" s="1762"/>
      <c r="GBY163" s="1762"/>
      <c r="GBZ163" s="1762"/>
      <c r="GCA163" s="1762"/>
      <c r="GCB163" s="1762"/>
      <c r="GCC163" s="1762"/>
      <c r="GCD163" s="1762"/>
      <c r="GCE163" s="1762"/>
      <c r="GCF163" s="1762"/>
      <c r="GCG163" s="1762"/>
      <c r="GCH163" s="1762"/>
      <c r="GCI163" s="1762"/>
      <c r="GCJ163" s="1762"/>
      <c r="GCK163" s="1762"/>
      <c r="GCL163" s="1762"/>
      <c r="GCM163" s="1762"/>
      <c r="GCN163" s="1762"/>
      <c r="GCO163" s="1762"/>
      <c r="GCP163" s="1762"/>
      <c r="GCQ163" s="1762"/>
      <c r="GCR163" s="1762"/>
      <c r="GCS163" s="1762"/>
      <c r="GCT163" s="1762"/>
      <c r="GCU163" s="1762"/>
      <c r="GCV163" s="1762"/>
      <c r="GCW163" s="1762"/>
      <c r="GCX163" s="1762"/>
      <c r="GCY163" s="1762"/>
      <c r="GCZ163" s="1762"/>
      <c r="GDA163" s="1762"/>
      <c r="GDB163" s="1762"/>
      <c r="GDC163" s="1762"/>
      <c r="GDD163" s="1762"/>
      <c r="GDE163" s="1762"/>
      <c r="GDF163" s="1762"/>
      <c r="GDG163" s="1762"/>
      <c r="GDH163" s="1762"/>
      <c r="GDI163" s="1762"/>
      <c r="GDJ163" s="1762"/>
      <c r="GDK163" s="1762"/>
      <c r="GDL163" s="1762"/>
      <c r="GDM163" s="1762"/>
      <c r="GDN163" s="1762"/>
      <c r="GDO163" s="1762"/>
      <c r="GDP163" s="1762"/>
      <c r="GDQ163" s="1762"/>
      <c r="GDR163" s="1762"/>
      <c r="GDS163" s="1762"/>
      <c r="GDT163" s="1762"/>
      <c r="GDU163" s="1762"/>
      <c r="GDV163" s="1762"/>
      <c r="GDW163" s="1762"/>
      <c r="GDX163" s="1762"/>
      <c r="GDY163" s="1762"/>
      <c r="GDZ163" s="1762"/>
      <c r="GEA163" s="1762"/>
      <c r="GEB163" s="1762"/>
      <c r="GEC163" s="1762"/>
      <c r="GED163" s="1762"/>
      <c r="GEE163" s="1762"/>
      <c r="GEF163" s="1762"/>
      <c r="GEG163" s="1762"/>
      <c r="GEH163" s="1762"/>
      <c r="GEI163" s="1762"/>
      <c r="GEJ163" s="1762"/>
      <c r="GEK163" s="1762"/>
      <c r="GEL163" s="1762"/>
      <c r="GEM163" s="1762"/>
      <c r="GEN163" s="1762"/>
      <c r="GEO163" s="1762"/>
      <c r="GEP163" s="1762"/>
      <c r="GEQ163" s="1762"/>
      <c r="GER163" s="1762"/>
      <c r="GES163" s="1762"/>
      <c r="GET163" s="1762"/>
      <c r="GEU163" s="1762"/>
      <c r="GEV163" s="1762"/>
      <c r="GEW163" s="1762"/>
      <c r="GEX163" s="1762"/>
      <c r="GEY163" s="1762"/>
      <c r="GEZ163" s="1762"/>
      <c r="GFA163" s="1762"/>
      <c r="GFB163" s="1762"/>
      <c r="GFC163" s="1762"/>
      <c r="GFD163" s="1762"/>
      <c r="GFE163" s="1762"/>
      <c r="GFF163" s="1762"/>
      <c r="GFG163" s="1762"/>
      <c r="GFH163" s="1762"/>
      <c r="GFI163" s="1762"/>
      <c r="GFJ163" s="1762"/>
      <c r="GFK163" s="1762"/>
      <c r="GFL163" s="1762"/>
      <c r="GFM163" s="1762"/>
      <c r="GFN163" s="1762"/>
      <c r="GFO163" s="1762"/>
      <c r="GFP163" s="1762"/>
      <c r="GFQ163" s="1762"/>
      <c r="GFR163" s="1762"/>
      <c r="GFS163" s="1762"/>
      <c r="GFT163" s="1762"/>
      <c r="GFU163" s="1762"/>
      <c r="GFV163" s="1762"/>
      <c r="GFW163" s="1762"/>
      <c r="GFX163" s="1762"/>
      <c r="GFY163" s="1762"/>
      <c r="GFZ163" s="1762"/>
      <c r="GGA163" s="1762"/>
      <c r="GGB163" s="1762"/>
      <c r="GGC163" s="1762"/>
      <c r="GGD163" s="1762"/>
      <c r="GGE163" s="1762"/>
      <c r="GGF163" s="1762"/>
      <c r="GGG163" s="1762"/>
      <c r="GGH163" s="1762"/>
      <c r="GGI163" s="1762"/>
      <c r="GGJ163" s="1762"/>
      <c r="GGK163" s="1762"/>
      <c r="GGL163" s="1762"/>
      <c r="GGM163" s="1762"/>
      <c r="GGN163" s="1762"/>
      <c r="GGO163" s="1762"/>
      <c r="GGP163" s="1762"/>
      <c r="GGQ163" s="1762"/>
      <c r="GGR163" s="1762"/>
      <c r="GGS163" s="1762"/>
      <c r="GGT163" s="1762"/>
      <c r="GGU163" s="1762"/>
      <c r="GGV163" s="1762"/>
      <c r="GGW163" s="1762"/>
      <c r="GGX163" s="1762"/>
      <c r="GGY163" s="1762"/>
      <c r="GGZ163" s="1762"/>
      <c r="GHA163" s="1762"/>
      <c r="GHB163" s="1762"/>
      <c r="GHC163" s="1762"/>
      <c r="GHD163" s="1762"/>
      <c r="GHE163" s="1762"/>
      <c r="GHF163" s="1762"/>
      <c r="GHG163" s="1762"/>
      <c r="GHH163" s="1762"/>
      <c r="GHI163" s="1762"/>
      <c r="GHJ163" s="1762"/>
      <c r="GHK163" s="1762"/>
      <c r="GHL163" s="1762"/>
      <c r="GHM163" s="1762"/>
      <c r="GHN163" s="1762"/>
      <c r="GHO163" s="1762"/>
      <c r="GHP163" s="1762"/>
      <c r="GHQ163" s="1762"/>
      <c r="GHR163" s="1762"/>
      <c r="GHS163" s="1762"/>
      <c r="GHT163" s="1762"/>
      <c r="GHU163" s="1762"/>
      <c r="GHV163" s="1762"/>
      <c r="GHW163" s="1762"/>
      <c r="GHX163" s="1762"/>
      <c r="GHY163" s="1762"/>
      <c r="GHZ163" s="1762"/>
      <c r="GIA163" s="1762"/>
      <c r="GIB163" s="1762"/>
      <c r="GIC163" s="1762"/>
      <c r="GID163" s="1762"/>
      <c r="GIE163" s="1762"/>
      <c r="GIF163" s="1762"/>
      <c r="GIG163" s="1762"/>
      <c r="GIH163" s="1762"/>
      <c r="GII163" s="1762"/>
      <c r="GIJ163" s="1762"/>
      <c r="GIK163" s="1762"/>
      <c r="GIL163" s="1762"/>
      <c r="GIM163" s="1762"/>
      <c r="GIN163" s="1762"/>
      <c r="GIO163" s="1762"/>
      <c r="GIP163" s="1762"/>
      <c r="GIQ163" s="1762"/>
      <c r="GIR163" s="1762"/>
      <c r="GIS163" s="1762"/>
      <c r="GIT163" s="1762"/>
      <c r="GIU163" s="1762"/>
      <c r="GIV163" s="1762"/>
      <c r="GIW163" s="1762"/>
      <c r="GIX163" s="1762"/>
      <c r="GIY163" s="1762"/>
      <c r="GIZ163" s="1762"/>
      <c r="GJA163" s="1762"/>
      <c r="GJB163" s="1762"/>
      <c r="GJC163" s="1762"/>
      <c r="GJD163" s="1762"/>
      <c r="GJE163" s="1762"/>
      <c r="GJF163" s="1762"/>
      <c r="GJG163" s="1762"/>
      <c r="GJH163" s="1762"/>
      <c r="GJI163" s="1762"/>
      <c r="GJJ163" s="1762"/>
      <c r="GJK163" s="1762"/>
      <c r="GJL163" s="1762"/>
      <c r="GJM163" s="1762"/>
      <c r="GJN163" s="1762"/>
      <c r="GJO163" s="1762"/>
      <c r="GJP163" s="1762"/>
      <c r="GJQ163" s="1762"/>
      <c r="GJR163" s="1762"/>
      <c r="GJS163" s="1762"/>
      <c r="GJT163" s="1762"/>
      <c r="GJU163" s="1762"/>
      <c r="GJV163" s="1762"/>
      <c r="GJW163" s="1762"/>
      <c r="GJX163" s="1762"/>
      <c r="GJY163" s="1762"/>
      <c r="GJZ163" s="1762"/>
      <c r="GKA163" s="1762"/>
      <c r="GKB163" s="1762"/>
      <c r="GKC163" s="1762"/>
      <c r="GKD163" s="1762"/>
      <c r="GKE163" s="1762"/>
      <c r="GKF163" s="1762"/>
      <c r="GKG163" s="1762"/>
      <c r="GKH163" s="1762"/>
      <c r="GKI163" s="1762"/>
      <c r="GKJ163" s="1762"/>
      <c r="GKK163" s="1762"/>
      <c r="GKL163" s="1762"/>
      <c r="GKM163" s="1762"/>
      <c r="GKN163" s="1762"/>
      <c r="GKO163" s="1762"/>
      <c r="GKP163" s="1762"/>
      <c r="GKQ163" s="1762"/>
      <c r="GKR163" s="1762"/>
      <c r="GKS163" s="1762"/>
      <c r="GKT163" s="1762"/>
      <c r="GKU163" s="1762"/>
      <c r="GKV163" s="1762"/>
      <c r="GKW163" s="1762"/>
      <c r="GKX163" s="1762"/>
      <c r="GKY163" s="1762"/>
      <c r="GKZ163" s="1762"/>
      <c r="GLA163" s="1762"/>
      <c r="GLB163" s="1762"/>
      <c r="GLC163" s="1762"/>
      <c r="GLD163" s="1762"/>
      <c r="GLE163" s="1762"/>
      <c r="GLF163" s="1762"/>
      <c r="GLG163" s="1762"/>
      <c r="GLH163" s="1762"/>
      <c r="GLI163" s="1762"/>
      <c r="GLJ163" s="1762"/>
      <c r="GLK163" s="1762"/>
      <c r="GLL163" s="1762"/>
      <c r="GLM163" s="1762"/>
      <c r="GLN163" s="1762"/>
      <c r="GLO163" s="1762"/>
      <c r="GLP163" s="1762"/>
      <c r="GLQ163" s="1762"/>
      <c r="GLR163" s="1762"/>
      <c r="GLS163" s="1762"/>
      <c r="GLT163" s="1762"/>
      <c r="GLU163" s="1762"/>
      <c r="GLV163" s="1762"/>
      <c r="GLW163" s="1762"/>
      <c r="GLX163" s="1762"/>
      <c r="GLY163" s="1762"/>
      <c r="GLZ163" s="1762"/>
      <c r="GMA163" s="1762"/>
      <c r="GMB163" s="1762"/>
      <c r="GMC163" s="1762"/>
      <c r="GMD163" s="1762"/>
      <c r="GME163" s="1762"/>
      <c r="GMF163" s="1762"/>
      <c r="GMG163" s="1762"/>
      <c r="GMH163" s="1762"/>
      <c r="GMI163" s="1762"/>
      <c r="GMJ163" s="1762"/>
      <c r="GMK163" s="1762"/>
      <c r="GML163" s="1762"/>
      <c r="GMM163" s="1762"/>
      <c r="GMN163" s="1762"/>
      <c r="GMO163" s="1762"/>
      <c r="GMP163" s="1762"/>
      <c r="GMQ163" s="1762"/>
      <c r="GMR163" s="1762"/>
      <c r="GMS163" s="1762"/>
      <c r="GMT163" s="1762"/>
      <c r="GMU163" s="1762"/>
      <c r="GMV163" s="1762"/>
      <c r="GMW163" s="1762"/>
      <c r="GMX163" s="1762"/>
      <c r="GMY163" s="1762"/>
      <c r="GMZ163" s="1762"/>
      <c r="GNA163" s="1762"/>
      <c r="GNB163" s="1762"/>
      <c r="GNC163" s="1762"/>
      <c r="GND163" s="1762"/>
      <c r="GNE163" s="1762"/>
      <c r="GNF163" s="1762"/>
      <c r="GNG163" s="1762"/>
      <c r="GNH163" s="1762"/>
      <c r="GNI163" s="1762"/>
      <c r="GNJ163" s="1762"/>
      <c r="GNK163" s="1762"/>
      <c r="GNL163" s="1762"/>
      <c r="GNM163" s="1762"/>
      <c r="GNN163" s="1762"/>
      <c r="GNO163" s="1762"/>
      <c r="GNP163" s="1762"/>
      <c r="GNQ163" s="1762"/>
      <c r="GNR163" s="1762"/>
      <c r="GNS163" s="1762"/>
      <c r="GNT163" s="1762"/>
      <c r="GNU163" s="1762"/>
      <c r="GNV163" s="1762"/>
      <c r="GNW163" s="1762"/>
      <c r="GNX163" s="1762"/>
      <c r="GNY163" s="1762"/>
      <c r="GNZ163" s="1762"/>
      <c r="GOA163" s="1762"/>
      <c r="GOB163" s="1762"/>
      <c r="GOC163" s="1762"/>
      <c r="GOD163" s="1762"/>
      <c r="GOE163" s="1762"/>
      <c r="GOF163" s="1762"/>
      <c r="GOG163" s="1762"/>
      <c r="GOH163" s="1762"/>
      <c r="GOI163" s="1762"/>
      <c r="GOJ163" s="1762"/>
      <c r="GOK163" s="1762"/>
      <c r="GOL163" s="1762"/>
      <c r="GOM163" s="1762"/>
      <c r="GON163" s="1762"/>
      <c r="GOO163" s="1762"/>
      <c r="GOP163" s="1762"/>
      <c r="GOQ163" s="1762"/>
      <c r="GOR163" s="1762"/>
      <c r="GOS163" s="1762"/>
      <c r="GOT163" s="1762"/>
      <c r="GOU163" s="1762"/>
      <c r="GOV163" s="1762"/>
      <c r="GOW163" s="1762"/>
      <c r="GOX163" s="1762"/>
      <c r="GOY163" s="1762"/>
      <c r="GOZ163" s="1762"/>
      <c r="GPA163" s="1762"/>
      <c r="GPB163" s="1762"/>
      <c r="GPC163" s="1762"/>
      <c r="GPD163" s="1762"/>
      <c r="GPE163" s="1762"/>
      <c r="GPF163" s="1762"/>
      <c r="GPG163" s="1762"/>
      <c r="GPH163" s="1762"/>
      <c r="GPI163" s="1762"/>
      <c r="GPJ163" s="1762"/>
      <c r="GPK163" s="1762"/>
      <c r="GPL163" s="1762"/>
      <c r="GPM163" s="1762"/>
      <c r="GPN163" s="1762"/>
      <c r="GPO163" s="1762"/>
      <c r="GPP163" s="1762"/>
      <c r="GPQ163" s="1762"/>
      <c r="GPR163" s="1762"/>
      <c r="GPS163" s="1762"/>
      <c r="GPT163" s="1762"/>
      <c r="GPU163" s="1762"/>
      <c r="GPV163" s="1762"/>
      <c r="GPW163" s="1762"/>
      <c r="GPX163" s="1762"/>
      <c r="GPY163" s="1762"/>
      <c r="GPZ163" s="1762"/>
      <c r="GQA163" s="1762"/>
      <c r="GQB163" s="1762"/>
      <c r="GQC163" s="1762"/>
      <c r="GQD163" s="1762"/>
      <c r="GQE163" s="1762"/>
      <c r="GQF163" s="1762"/>
      <c r="GQG163" s="1762"/>
      <c r="GQH163" s="1762"/>
      <c r="GQI163" s="1762"/>
      <c r="GQJ163" s="1762"/>
      <c r="GQK163" s="1762"/>
      <c r="GQL163" s="1762"/>
      <c r="GQM163" s="1762"/>
      <c r="GQN163" s="1762"/>
      <c r="GQO163" s="1762"/>
      <c r="GQP163" s="1762"/>
      <c r="GQQ163" s="1762"/>
      <c r="GQR163" s="1762"/>
      <c r="GQS163" s="1762"/>
      <c r="GQT163" s="1762"/>
      <c r="GQU163" s="1762"/>
      <c r="GQV163" s="1762"/>
      <c r="GQW163" s="1762"/>
      <c r="GQX163" s="1762"/>
      <c r="GQY163" s="1762"/>
      <c r="GQZ163" s="1762"/>
      <c r="GRA163" s="1762"/>
      <c r="GRB163" s="1762"/>
      <c r="GRC163" s="1762"/>
      <c r="GRD163" s="1762"/>
      <c r="GRE163" s="1762"/>
      <c r="GRF163" s="1762"/>
      <c r="GRG163" s="1762"/>
      <c r="GRH163" s="1762"/>
      <c r="GRI163" s="1762"/>
      <c r="GRJ163" s="1762"/>
      <c r="GRK163" s="1762"/>
      <c r="GRL163" s="1762"/>
      <c r="GRM163" s="1762"/>
      <c r="GRN163" s="1762"/>
      <c r="GRO163" s="1762"/>
      <c r="GRP163" s="1762"/>
      <c r="GRQ163" s="1762"/>
      <c r="GRR163" s="1762"/>
      <c r="GRS163" s="1762"/>
      <c r="GRT163" s="1762"/>
      <c r="GRU163" s="1762"/>
      <c r="GRV163" s="1762"/>
      <c r="GRW163" s="1762"/>
      <c r="GRX163" s="1762"/>
      <c r="GRY163" s="1762"/>
      <c r="GRZ163" s="1762"/>
      <c r="GSA163" s="1762"/>
      <c r="GSB163" s="1762"/>
      <c r="GSC163" s="1762"/>
      <c r="GSD163" s="1762"/>
      <c r="GSE163" s="1762"/>
      <c r="GSF163" s="1762"/>
      <c r="GSG163" s="1762"/>
      <c r="GSH163" s="1762"/>
      <c r="GSI163" s="1762"/>
      <c r="GSJ163" s="1762"/>
      <c r="GSK163" s="1762"/>
      <c r="GSL163" s="1762"/>
      <c r="GSM163" s="1762"/>
      <c r="GSN163" s="1762"/>
      <c r="GSO163" s="1762"/>
      <c r="GSP163" s="1762"/>
      <c r="GSQ163" s="1762"/>
      <c r="GSR163" s="1762"/>
      <c r="GSS163" s="1762"/>
      <c r="GST163" s="1762"/>
      <c r="GSU163" s="1762"/>
      <c r="GSV163" s="1762"/>
      <c r="GSW163" s="1762"/>
      <c r="GSX163" s="1762"/>
      <c r="GSY163" s="1762"/>
      <c r="GSZ163" s="1762"/>
      <c r="GTA163" s="1762"/>
      <c r="GTB163" s="1762"/>
      <c r="GTC163" s="1762"/>
      <c r="GTD163" s="1762"/>
      <c r="GTE163" s="1762"/>
      <c r="GTF163" s="1762"/>
      <c r="GTG163" s="1762"/>
      <c r="GTH163" s="1762"/>
      <c r="GTI163" s="1762"/>
      <c r="GTJ163" s="1762"/>
      <c r="GTK163" s="1762"/>
      <c r="GTL163" s="1762"/>
      <c r="GTM163" s="1762"/>
      <c r="GTN163" s="1762"/>
      <c r="GTO163" s="1762"/>
      <c r="GTP163" s="1762"/>
      <c r="GTQ163" s="1762"/>
      <c r="GTR163" s="1762"/>
      <c r="GTS163" s="1762"/>
      <c r="GTT163" s="1762"/>
      <c r="GTU163" s="1762"/>
      <c r="GTV163" s="1762"/>
      <c r="GTW163" s="1762"/>
      <c r="GTX163" s="1762"/>
      <c r="GTY163" s="1762"/>
      <c r="GTZ163" s="1762"/>
      <c r="GUA163" s="1762"/>
      <c r="GUB163" s="1762"/>
      <c r="GUC163" s="1762"/>
      <c r="GUD163" s="1762"/>
      <c r="GUE163" s="1762"/>
      <c r="GUF163" s="1762"/>
      <c r="GUG163" s="1762"/>
      <c r="GUH163" s="1762"/>
      <c r="GUI163" s="1762"/>
      <c r="GUJ163" s="1762"/>
      <c r="GUK163" s="1762"/>
      <c r="GUL163" s="1762"/>
      <c r="GUM163" s="1762"/>
      <c r="GUN163" s="1762"/>
      <c r="GUO163" s="1762"/>
      <c r="GUP163" s="1762"/>
      <c r="GUQ163" s="1762"/>
      <c r="GUR163" s="1762"/>
      <c r="GUS163" s="1762"/>
      <c r="GUT163" s="1762"/>
      <c r="GUU163" s="1762"/>
      <c r="GUV163" s="1762"/>
      <c r="GUW163" s="1762"/>
      <c r="GUX163" s="1762"/>
      <c r="GUY163" s="1762"/>
      <c r="GUZ163" s="1762"/>
      <c r="GVA163" s="1762"/>
      <c r="GVB163" s="1762"/>
      <c r="GVC163" s="1762"/>
      <c r="GVD163" s="1762"/>
      <c r="GVE163" s="1762"/>
      <c r="GVF163" s="1762"/>
      <c r="GVG163" s="1762"/>
      <c r="GVH163" s="1762"/>
      <c r="GVI163" s="1762"/>
      <c r="GVJ163" s="1762"/>
      <c r="GVK163" s="1762"/>
      <c r="GVL163" s="1762"/>
      <c r="GVM163" s="1762"/>
      <c r="GVN163" s="1762"/>
      <c r="GVO163" s="1762"/>
      <c r="GVP163" s="1762"/>
      <c r="GVQ163" s="1762"/>
      <c r="GVR163" s="1762"/>
      <c r="GVS163" s="1762"/>
      <c r="GVT163" s="1762"/>
      <c r="GVU163" s="1762"/>
      <c r="GVV163" s="1762"/>
      <c r="GVW163" s="1762"/>
      <c r="GVX163" s="1762"/>
      <c r="GVY163" s="1762"/>
      <c r="GVZ163" s="1762"/>
      <c r="GWA163" s="1762"/>
      <c r="GWB163" s="1762"/>
      <c r="GWC163" s="1762"/>
      <c r="GWD163" s="1762"/>
      <c r="GWE163" s="1762"/>
      <c r="GWF163" s="1762"/>
      <c r="GWG163" s="1762"/>
      <c r="GWH163" s="1762"/>
      <c r="GWI163" s="1762"/>
      <c r="GWJ163" s="1762"/>
      <c r="GWK163" s="1762"/>
      <c r="GWL163" s="1762"/>
      <c r="GWM163" s="1762"/>
      <c r="GWN163" s="1762"/>
      <c r="GWO163" s="1762"/>
      <c r="GWP163" s="1762"/>
      <c r="GWQ163" s="1762"/>
      <c r="GWR163" s="1762"/>
      <c r="GWS163" s="1762"/>
      <c r="GWT163" s="1762"/>
      <c r="GWU163" s="1762"/>
      <c r="GWV163" s="1762"/>
      <c r="GWW163" s="1762"/>
      <c r="GWX163" s="1762"/>
      <c r="GWY163" s="1762"/>
      <c r="GWZ163" s="1762"/>
      <c r="GXA163" s="1762"/>
      <c r="GXB163" s="1762"/>
      <c r="GXC163" s="1762"/>
      <c r="GXD163" s="1762"/>
      <c r="GXE163" s="1762"/>
      <c r="GXF163" s="1762"/>
      <c r="GXG163" s="1762"/>
      <c r="GXH163" s="1762"/>
      <c r="GXI163" s="1762"/>
      <c r="GXJ163" s="1762"/>
      <c r="GXK163" s="1762"/>
      <c r="GXL163" s="1762"/>
      <c r="GXM163" s="1762"/>
      <c r="GXN163" s="1762"/>
      <c r="GXO163" s="1762"/>
      <c r="GXP163" s="1762"/>
      <c r="GXQ163" s="1762"/>
      <c r="GXR163" s="1762"/>
      <c r="GXS163" s="1762"/>
      <c r="GXT163" s="1762"/>
      <c r="GXU163" s="1762"/>
      <c r="GXV163" s="1762"/>
      <c r="GXW163" s="1762"/>
      <c r="GXX163" s="1762"/>
      <c r="GXY163" s="1762"/>
      <c r="GXZ163" s="1762"/>
      <c r="GYA163" s="1762"/>
      <c r="GYB163" s="1762"/>
      <c r="GYC163" s="1762"/>
      <c r="GYD163" s="1762"/>
      <c r="GYE163" s="1762"/>
      <c r="GYF163" s="1762"/>
      <c r="GYG163" s="1762"/>
      <c r="GYH163" s="1762"/>
      <c r="GYI163" s="1762"/>
      <c r="GYJ163" s="1762"/>
      <c r="GYK163" s="1762"/>
      <c r="GYL163" s="1762"/>
      <c r="GYM163" s="1762"/>
      <c r="GYN163" s="1762"/>
      <c r="GYO163" s="1762"/>
      <c r="GYP163" s="1762"/>
      <c r="GYQ163" s="1762"/>
      <c r="GYR163" s="1762"/>
      <c r="GYS163" s="1762"/>
      <c r="GYT163" s="1762"/>
      <c r="GYU163" s="1762"/>
      <c r="GYV163" s="1762"/>
      <c r="GYW163" s="1762"/>
      <c r="GYX163" s="1762"/>
      <c r="GYY163" s="1762"/>
      <c r="GYZ163" s="1762"/>
      <c r="GZA163" s="1762"/>
      <c r="GZB163" s="1762"/>
      <c r="GZC163" s="1762"/>
      <c r="GZD163" s="1762"/>
      <c r="GZE163" s="1762"/>
      <c r="GZF163" s="1762"/>
      <c r="GZG163" s="1762"/>
      <c r="GZH163" s="1762"/>
      <c r="GZI163" s="1762"/>
      <c r="GZJ163" s="1762"/>
      <c r="GZK163" s="1762"/>
      <c r="GZL163" s="1762"/>
      <c r="GZM163" s="1762"/>
      <c r="GZN163" s="1762"/>
      <c r="GZO163" s="1762"/>
      <c r="GZP163" s="1762"/>
      <c r="GZQ163" s="1762"/>
      <c r="GZR163" s="1762"/>
      <c r="GZS163" s="1762"/>
      <c r="GZT163" s="1762"/>
      <c r="GZU163" s="1762"/>
      <c r="GZV163" s="1762"/>
      <c r="GZW163" s="1762"/>
      <c r="GZX163" s="1762"/>
      <c r="GZY163" s="1762"/>
      <c r="GZZ163" s="1762"/>
      <c r="HAA163" s="1762"/>
      <c r="HAB163" s="1762"/>
      <c r="HAC163" s="1762"/>
      <c r="HAD163" s="1762"/>
      <c r="HAE163" s="1762"/>
      <c r="HAF163" s="1762"/>
      <c r="HAG163" s="1762"/>
      <c r="HAH163" s="1762"/>
      <c r="HAI163" s="1762"/>
      <c r="HAJ163" s="1762"/>
      <c r="HAK163" s="1762"/>
      <c r="HAL163" s="1762"/>
      <c r="HAM163" s="1762"/>
      <c r="HAN163" s="1762"/>
      <c r="HAO163" s="1762"/>
      <c r="HAP163" s="1762"/>
      <c r="HAQ163" s="1762"/>
      <c r="HAR163" s="1762"/>
      <c r="HAS163" s="1762"/>
      <c r="HAT163" s="1762"/>
      <c r="HAU163" s="1762"/>
      <c r="HAV163" s="1762"/>
      <c r="HAW163" s="1762"/>
      <c r="HAX163" s="1762"/>
      <c r="HAY163" s="1762"/>
      <c r="HAZ163" s="1762"/>
      <c r="HBA163" s="1762"/>
      <c r="HBB163" s="1762"/>
      <c r="HBC163" s="1762"/>
      <c r="HBD163" s="1762"/>
      <c r="HBE163" s="1762"/>
      <c r="HBF163" s="1762"/>
      <c r="HBG163" s="1762"/>
      <c r="HBH163" s="1762"/>
      <c r="HBI163" s="1762"/>
      <c r="HBJ163" s="1762"/>
      <c r="HBK163" s="1762"/>
      <c r="HBL163" s="1762"/>
      <c r="HBM163" s="1762"/>
      <c r="HBN163" s="1762"/>
      <c r="HBO163" s="1762"/>
      <c r="HBP163" s="1762"/>
      <c r="HBQ163" s="1762"/>
      <c r="HBR163" s="1762"/>
      <c r="HBS163" s="1762"/>
      <c r="HBT163" s="1762"/>
      <c r="HBU163" s="1762"/>
      <c r="HBV163" s="1762"/>
      <c r="HBW163" s="1762"/>
      <c r="HBX163" s="1762"/>
      <c r="HBY163" s="1762"/>
      <c r="HBZ163" s="1762"/>
      <c r="HCA163" s="1762"/>
      <c r="HCB163" s="1762"/>
      <c r="HCC163" s="1762"/>
      <c r="HCD163" s="1762"/>
      <c r="HCE163" s="1762"/>
      <c r="HCF163" s="1762"/>
      <c r="HCG163" s="1762"/>
      <c r="HCH163" s="1762"/>
      <c r="HCI163" s="1762"/>
      <c r="HCJ163" s="1762"/>
      <c r="HCK163" s="1762"/>
      <c r="HCL163" s="1762"/>
      <c r="HCM163" s="1762"/>
      <c r="HCN163" s="1762"/>
      <c r="HCO163" s="1762"/>
      <c r="HCP163" s="1762"/>
      <c r="HCQ163" s="1762"/>
      <c r="HCR163" s="1762"/>
      <c r="HCS163" s="1762"/>
      <c r="HCT163" s="1762"/>
      <c r="HCU163" s="1762"/>
      <c r="HCV163" s="1762"/>
      <c r="HCW163" s="1762"/>
      <c r="HCX163" s="1762"/>
      <c r="HCY163" s="1762"/>
      <c r="HCZ163" s="1762"/>
      <c r="HDA163" s="1762"/>
      <c r="HDB163" s="1762"/>
      <c r="HDC163" s="1762"/>
      <c r="HDD163" s="1762"/>
      <c r="HDE163" s="1762"/>
      <c r="HDF163" s="1762"/>
      <c r="HDG163" s="1762"/>
      <c r="HDH163" s="1762"/>
      <c r="HDI163" s="1762"/>
      <c r="HDJ163" s="1762"/>
      <c r="HDK163" s="1762"/>
      <c r="HDL163" s="1762"/>
      <c r="HDM163" s="1762"/>
      <c r="HDN163" s="1762"/>
      <c r="HDO163" s="1762"/>
      <c r="HDP163" s="1762"/>
      <c r="HDQ163" s="1762"/>
      <c r="HDR163" s="1762"/>
      <c r="HDS163" s="1762"/>
      <c r="HDT163" s="1762"/>
      <c r="HDU163" s="1762"/>
      <c r="HDV163" s="1762"/>
      <c r="HDW163" s="1762"/>
      <c r="HDX163" s="1762"/>
      <c r="HDY163" s="1762"/>
      <c r="HDZ163" s="1762"/>
      <c r="HEA163" s="1762"/>
      <c r="HEB163" s="1762"/>
      <c r="HEC163" s="1762"/>
      <c r="HED163" s="1762"/>
      <c r="HEE163" s="1762"/>
      <c r="HEF163" s="1762"/>
      <c r="HEG163" s="1762"/>
      <c r="HEH163" s="1762"/>
      <c r="HEI163" s="1762"/>
      <c r="HEJ163" s="1762"/>
      <c r="HEK163" s="1762"/>
      <c r="HEL163" s="1762"/>
      <c r="HEM163" s="1762"/>
      <c r="HEN163" s="1762"/>
      <c r="HEO163" s="1762"/>
      <c r="HEP163" s="1762"/>
      <c r="HEQ163" s="1762"/>
      <c r="HER163" s="1762"/>
      <c r="HES163" s="1762"/>
      <c r="HET163" s="1762"/>
      <c r="HEU163" s="1762"/>
      <c r="HEV163" s="1762"/>
      <c r="HEW163" s="1762"/>
      <c r="HEX163" s="1762"/>
      <c r="HEY163" s="1762"/>
      <c r="HEZ163" s="1762"/>
      <c r="HFA163" s="1762"/>
      <c r="HFB163" s="1762"/>
      <c r="HFC163" s="1762"/>
      <c r="HFD163" s="1762"/>
      <c r="HFE163" s="1762"/>
      <c r="HFF163" s="1762"/>
      <c r="HFG163" s="1762"/>
      <c r="HFH163" s="1762"/>
      <c r="HFI163" s="1762"/>
      <c r="HFJ163" s="1762"/>
      <c r="HFK163" s="1762"/>
      <c r="HFL163" s="1762"/>
      <c r="HFM163" s="1762"/>
      <c r="HFN163" s="1762"/>
      <c r="HFO163" s="1762"/>
      <c r="HFP163" s="1762"/>
      <c r="HFQ163" s="1762"/>
      <c r="HFR163" s="1762"/>
      <c r="HFS163" s="1762"/>
      <c r="HFT163" s="1762"/>
      <c r="HFU163" s="1762"/>
      <c r="HFV163" s="1762"/>
      <c r="HFW163" s="1762"/>
      <c r="HFX163" s="1762"/>
      <c r="HFY163" s="1762"/>
      <c r="HFZ163" s="1762"/>
      <c r="HGA163" s="1762"/>
      <c r="HGB163" s="1762"/>
      <c r="HGC163" s="1762"/>
      <c r="HGD163" s="1762"/>
      <c r="HGE163" s="1762"/>
      <c r="HGF163" s="1762"/>
      <c r="HGG163" s="1762"/>
      <c r="HGH163" s="1762"/>
      <c r="HGI163" s="1762"/>
      <c r="HGJ163" s="1762"/>
      <c r="HGK163" s="1762"/>
      <c r="HGL163" s="1762"/>
      <c r="HGM163" s="1762"/>
      <c r="HGN163" s="1762"/>
      <c r="HGO163" s="1762"/>
      <c r="HGP163" s="1762"/>
      <c r="HGQ163" s="1762"/>
      <c r="HGR163" s="1762"/>
      <c r="HGS163" s="1762"/>
      <c r="HGT163" s="1762"/>
      <c r="HGU163" s="1762"/>
      <c r="HGV163" s="1762"/>
      <c r="HGW163" s="1762"/>
      <c r="HGX163" s="1762"/>
      <c r="HGY163" s="1762"/>
      <c r="HGZ163" s="1762"/>
      <c r="HHA163" s="1762"/>
      <c r="HHB163" s="1762"/>
      <c r="HHC163" s="1762"/>
      <c r="HHD163" s="1762"/>
      <c r="HHE163" s="1762"/>
      <c r="HHF163" s="1762"/>
      <c r="HHG163" s="1762"/>
      <c r="HHH163" s="1762"/>
      <c r="HHI163" s="1762"/>
      <c r="HHJ163" s="1762"/>
      <c r="HHK163" s="1762"/>
      <c r="HHL163" s="1762"/>
      <c r="HHM163" s="1762"/>
      <c r="HHN163" s="1762"/>
      <c r="HHO163" s="1762"/>
      <c r="HHP163" s="1762"/>
      <c r="HHQ163" s="1762"/>
      <c r="HHR163" s="1762"/>
      <c r="HHS163" s="1762"/>
      <c r="HHT163" s="1762"/>
      <c r="HHU163" s="1762"/>
      <c r="HHV163" s="1762"/>
      <c r="HHW163" s="1762"/>
      <c r="HHX163" s="1762"/>
      <c r="HHY163" s="1762"/>
      <c r="HHZ163" s="1762"/>
      <c r="HIA163" s="1762"/>
      <c r="HIB163" s="1762"/>
      <c r="HIC163" s="1762"/>
      <c r="HID163" s="1762"/>
      <c r="HIE163" s="1762"/>
      <c r="HIF163" s="1762"/>
      <c r="HIG163" s="1762"/>
      <c r="HIH163" s="1762"/>
      <c r="HII163" s="1762"/>
      <c r="HIJ163" s="1762"/>
      <c r="HIK163" s="1762"/>
      <c r="HIL163" s="1762"/>
      <c r="HIM163" s="1762"/>
      <c r="HIN163" s="1762"/>
      <c r="HIO163" s="1762"/>
      <c r="HIP163" s="1762"/>
      <c r="HIQ163" s="1762"/>
      <c r="HIR163" s="1762"/>
      <c r="HIS163" s="1762"/>
      <c r="HIT163" s="1762"/>
      <c r="HIU163" s="1762"/>
      <c r="HIV163" s="1762"/>
      <c r="HIW163" s="1762"/>
      <c r="HIX163" s="1762"/>
      <c r="HIY163" s="1762"/>
      <c r="HIZ163" s="1762"/>
      <c r="HJA163" s="1762"/>
      <c r="HJB163" s="1762"/>
      <c r="HJC163" s="1762"/>
      <c r="HJD163" s="1762"/>
      <c r="HJE163" s="1762"/>
      <c r="HJF163" s="1762"/>
      <c r="HJG163" s="1762"/>
      <c r="HJH163" s="1762"/>
      <c r="HJI163" s="1762"/>
      <c r="HJJ163" s="1762"/>
      <c r="HJK163" s="1762"/>
      <c r="HJL163" s="1762"/>
      <c r="HJM163" s="1762"/>
      <c r="HJN163" s="1762"/>
      <c r="HJO163" s="1762"/>
      <c r="HJP163" s="1762"/>
      <c r="HJQ163" s="1762"/>
      <c r="HJR163" s="1762"/>
      <c r="HJS163" s="1762"/>
      <c r="HJT163" s="1762"/>
      <c r="HJU163" s="1762"/>
      <c r="HJV163" s="1762"/>
      <c r="HJW163" s="1762"/>
      <c r="HJX163" s="1762"/>
      <c r="HJY163" s="1762"/>
      <c r="HJZ163" s="1762"/>
      <c r="HKA163" s="1762"/>
      <c r="HKB163" s="1762"/>
      <c r="HKC163" s="1762"/>
      <c r="HKD163" s="1762"/>
      <c r="HKE163" s="1762"/>
      <c r="HKF163" s="1762"/>
      <c r="HKG163" s="1762"/>
      <c r="HKH163" s="1762"/>
      <c r="HKI163" s="1762"/>
      <c r="HKJ163" s="1762"/>
      <c r="HKK163" s="1762"/>
      <c r="HKL163" s="1762"/>
      <c r="HKM163" s="1762"/>
      <c r="HKN163" s="1762"/>
      <c r="HKO163" s="1762"/>
      <c r="HKP163" s="1762"/>
      <c r="HKQ163" s="1762"/>
      <c r="HKR163" s="1762"/>
      <c r="HKS163" s="1762"/>
      <c r="HKT163" s="1762"/>
      <c r="HKU163" s="1762"/>
      <c r="HKV163" s="1762"/>
      <c r="HKW163" s="1762"/>
      <c r="HKX163" s="1762"/>
      <c r="HKY163" s="1762"/>
      <c r="HKZ163" s="1762"/>
      <c r="HLA163" s="1762"/>
      <c r="HLB163" s="1762"/>
      <c r="HLC163" s="1762"/>
      <c r="HLD163" s="1762"/>
      <c r="HLE163" s="1762"/>
      <c r="HLF163" s="1762"/>
      <c r="HLG163" s="1762"/>
      <c r="HLH163" s="1762"/>
      <c r="HLI163" s="1762"/>
      <c r="HLJ163" s="1762"/>
      <c r="HLK163" s="1762"/>
      <c r="HLL163" s="1762"/>
      <c r="HLM163" s="1762"/>
      <c r="HLN163" s="1762"/>
      <c r="HLO163" s="1762"/>
      <c r="HLP163" s="1762"/>
      <c r="HLQ163" s="1762"/>
      <c r="HLR163" s="1762"/>
      <c r="HLS163" s="1762"/>
      <c r="HLT163" s="1762"/>
      <c r="HLU163" s="1762"/>
      <c r="HLV163" s="1762"/>
      <c r="HLW163" s="1762"/>
      <c r="HLX163" s="1762"/>
      <c r="HLY163" s="1762"/>
      <c r="HLZ163" s="1762"/>
      <c r="HMA163" s="1762"/>
      <c r="HMB163" s="1762"/>
      <c r="HMC163" s="1762"/>
      <c r="HMD163" s="1762"/>
      <c r="HME163" s="1762"/>
      <c r="HMF163" s="1762"/>
      <c r="HMG163" s="1762"/>
      <c r="HMH163" s="1762"/>
      <c r="HMI163" s="1762"/>
      <c r="HMJ163" s="1762"/>
      <c r="HMK163" s="1762"/>
      <c r="HML163" s="1762"/>
      <c r="HMM163" s="1762"/>
      <c r="HMN163" s="1762"/>
      <c r="HMO163" s="1762"/>
      <c r="HMP163" s="1762"/>
      <c r="HMQ163" s="1762"/>
      <c r="HMR163" s="1762"/>
      <c r="HMS163" s="1762"/>
      <c r="HMT163" s="1762"/>
      <c r="HMU163" s="1762"/>
      <c r="HMV163" s="1762"/>
      <c r="HMW163" s="1762"/>
      <c r="HMX163" s="1762"/>
      <c r="HMY163" s="1762"/>
      <c r="HMZ163" s="1762"/>
      <c r="HNA163" s="1762"/>
      <c r="HNB163" s="1762"/>
      <c r="HNC163" s="1762"/>
      <c r="HND163" s="1762"/>
      <c r="HNE163" s="1762"/>
      <c r="HNF163" s="1762"/>
      <c r="HNG163" s="1762"/>
      <c r="HNH163" s="1762"/>
      <c r="HNI163" s="1762"/>
      <c r="HNJ163" s="1762"/>
      <c r="HNK163" s="1762"/>
      <c r="HNL163" s="1762"/>
      <c r="HNM163" s="1762"/>
      <c r="HNN163" s="1762"/>
      <c r="HNO163" s="1762"/>
      <c r="HNP163" s="1762"/>
      <c r="HNQ163" s="1762"/>
      <c r="HNR163" s="1762"/>
      <c r="HNS163" s="1762"/>
      <c r="HNT163" s="1762"/>
      <c r="HNU163" s="1762"/>
      <c r="HNV163" s="1762"/>
      <c r="HNW163" s="1762"/>
      <c r="HNX163" s="1762"/>
      <c r="HNY163" s="1762"/>
      <c r="HNZ163" s="1762"/>
      <c r="HOA163" s="1762"/>
      <c r="HOB163" s="1762"/>
      <c r="HOC163" s="1762"/>
      <c r="HOD163" s="1762"/>
      <c r="HOE163" s="1762"/>
      <c r="HOF163" s="1762"/>
      <c r="HOG163" s="1762"/>
      <c r="HOH163" s="1762"/>
      <c r="HOI163" s="1762"/>
      <c r="HOJ163" s="1762"/>
      <c r="HOK163" s="1762"/>
      <c r="HOL163" s="1762"/>
      <c r="HOM163" s="1762"/>
      <c r="HON163" s="1762"/>
      <c r="HOO163" s="1762"/>
      <c r="HOP163" s="1762"/>
      <c r="HOQ163" s="1762"/>
      <c r="HOR163" s="1762"/>
      <c r="HOS163" s="1762"/>
      <c r="HOT163" s="1762"/>
      <c r="HOU163" s="1762"/>
      <c r="HOV163" s="1762"/>
      <c r="HOW163" s="1762"/>
      <c r="HOX163" s="1762"/>
      <c r="HOY163" s="1762"/>
      <c r="HOZ163" s="1762"/>
      <c r="HPA163" s="1762"/>
      <c r="HPB163" s="1762"/>
      <c r="HPC163" s="1762"/>
      <c r="HPD163" s="1762"/>
      <c r="HPE163" s="1762"/>
      <c r="HPF163" s="1762"/>
      <c r="HPG163" s="1762"/>
      <c r="HPH163" s="1762"/>
      <c r="HPI163" s="1762"/>
      <c r="HPJ163" s="1762"/>
      <c r="HPK163" s="1762"/>
      <c r="HPL163" s="1762"/>
      <c r="HPM163" s="1762"/>
      <c r="HPN163" s="1762"/>
      <c r="HPO163" s="1762"/>
      <c r="HPP163" s="1762"/>
      <c r="HPQ163" s="1762"/>
      <c r="HPR163" s="1762"/>
      <c r="HPS163" s="1762"/>
      <c r="HPT163" s="1762"/>
      <c r="HPU163" s="1762"/>
      <c r="HPV163" s="1762"/>
      <c r="HPW163" s="1762"/>
      <c r="HPX163" s="1762"/>
      <c r="HPY163" s="1762"/>
      <c r="HPZ163" s="1762"/>
      <c r="HQA163" s="1762"/>
      <c r="HQB163" s="1762"/>
      <c r="HQC163" s="1762"/>
      <c r="HQD163" s="1762"/>
      <c r="HQE163" s="1762"/>
      <c r="HQF163" s="1762"/>
      <c r="HQG163" s="1762"/>
      <c r="HQH163" s="1762"/>
      <c r="HQI163" s="1762"/>
      <c r="HQJ163" s="1762"/>
      <c r="HQK163" s="1762"/>
      <c r="HQL163" s="1762"/>
      <c r="HQM163" s="1762"/>
      <c r="HQN163" s="1762"/>
      <c r="HQO163" s="1762"/>
      <c r="HQP163" s="1762"/>
      <c r="HQQ163" s="1762"/>
      <c r="HQR163" s="1762"/>
      <c r="HQS163" s="1762"/>
      <c r="HQT163" s="1762"/>
      <c r="HQU163" s="1762"/>
      <c r="HQV163" s="1762"/>
      <c r="HQW163" s="1762"/>
      <c r="HQX163" s="1762"/>
      <c r="HQY163" s="1762"/>
      <c r="HQZ163" s="1762"/>
      <c r="HRA163" s="1762"/>
      <c r="HRB163" s="1762"/>
      <c r="HRC163" s="1762"/>
      <c r="HRD163" s="1762"/>
      <c r="HRE163" s="1762"/>
      <c r="HRF163" s="1762"/>
      <c r="HRG163" s="1762"/>
      <c r="HRH163" s="1762"/>
      <c r="HRI163" s="1762"/>
      <c r="HRJ163" s="1762"/>
      <c r="HRK163" s="1762"/>
      <c r="HRL163" s="1762"/>
      <c r="HRM163" s="1762"/>
      <c r="HRN163" s="1762"/>
      <c r="HRO163" s="1762"/>
      <c r="HRP163" s="1762"/>
      <c r="HRQ163" s="1762"/>
      <c r="HRR163" s="1762"/>
      <c r="HRS163" s="1762"/>
      <c r="HRT163" s="1762"/>
      <c r="HRU163" s="1762"/>
      <c r="HRV163" s="1762"/>
      <c r="HRW163" s="1762"/>
      <c r="HRX163" s="1762"/>
      <c r="HRY163" s="1762"/>
      <c r="HRZ163" s="1762"/>
      <c r="HSA163" s="1762"/>
      <c r="HSB163" s="1762"/>
      <c r="HSC163" s="1762"/>
      <c r="HSD163" s="1762"/>
      <c r="HSE163" s="1762"/>
      <c r="HSF163" s="1762"/>
      <c r="HSG163" s="1762"/>
      <c r="HSH163" s="1762"/>
      <c r="HSI163" s="1762"/>
      <c r="HSJ163" s="1762"/>
      <c r="HSK163" s="1762"/>
      <c r="HSL163" s="1762"/>
      <c r="HSM163" s="1762"/>
      <c r="HSN163" s="1762"/>
      <c r="HSO163" s="1762"/>
      <c r="HSP163" s="1762"/>
      <c r="HSQ163" s="1762"/>
      <c r="HSR163" s="1762"/>
      <c r="HSS163" s="1762"/>
      <c r="HST163" s="1762"/>
      <c r="HSU163" s="1762"/>
      <c r="HSV163" s="1762"/>
      <c r="HSW163" s="1762"/>
      <c r="HSX163" s="1762"/>
      <c r="HSY163" s="1762"/>
      <c r="HSZ163" s="1762"/>
      <c r="HTA163" s="1762"/>
      <c r="HTB163" s="1762"/>
      <c r="HTC163" s="1762"/>
      <c r="HTD163" s="1762"/>
      <c r="HTE163" s="1762"/>
      <c r="HTF163" s="1762"/>
      <c r="HTG163" s="1762"/>
      <c r="HTH163" s="1762"/>
      <c r="HTI163" s="1762"/>
      <c r="HTJ163" s="1762"/>
      <c r="HTK163" s="1762"/>
      <c r="HTL163" s="1762"/>
      <c r="HTM163" s="1762"/>
      <c r="HTN163" s="1762"/>
      <c r="HTO163" s="1762"/>
      <c r="HTP163" s="1762"/>
      <c r="HTQ163" s="1762"/>
      <c r="HTR163" s="1762"/>
      <c r="HTS163" s="1762"/>
      <c r="HTT163" s="1762"/>
      <c r="HTU163" s="1762"/>
      <c r="HTV163" s="1762"/>
      <c r="HTW163" s="1762"/>
      <c r="HTX163" s="1762"/>
      <c r="HTY163" s="1762"/>
      <c r="HTZ163" s="1762"/>
      <c r="HUA163" s="1762"/>
      <c r="HUB163" s="1762"/>
      <c r="HUC163" s="1762"/>
      <c r="HUD163" s="1762"/>
      <c r="HUE163" s="1762"/>
      <c r="HUF163" s="1762"/>
      <c r="HUG163" s="1762"/>
      <c r="HUH163" s="1762"/>
      <c r="HUI163" s="1762"/>
      <c r="HUJ163" s="1762"/>
      <c r="HUK163" s="1762"/>
      <c r="HUL163" s="1762"/>
      <c r="HUM163" s="1762"/>
      <c r="HUN163" s="1762"/>
      <c r="HUO163" s="1762"/>
      <c r="HUP163" s="1762"/>
      <c r="HUQ163" s="1762"/>
      <c r="HUR163" s="1762"/>
      <c r="HUS163" s="1762"/>
      <c r="HUT163" s="1762"/>
      <c r="HUU163" s="1762"/>
      <c r="HUV163" s="1762"/>
      <c r="HUW163" s="1762"/>
      <c r="HUX163" s="1762"/>
      <c r="HUY163" s="1762"/>
      <c r="HUZ163" s="1762"/>
      <c r="HVA163" s="1762"/>
      <c r="HVB163" s="1762"/>
      <c r="HVC163" s="1762"/>
      <c r="HVD163" s="1762"/>
      <c r="HVE163" s="1762"/>
      <c r="HVF163" s="1762"/>
      <c r="HVG163" s="1762"/>
      <c r="HVH163" s="1762"/>
      <c r="HVI163" s="1762"/>
      <c r="HVJ163" s="1762"/>
      <c r="HVK163" s="1762"/>
      <c r="HVL163" s="1762"/>
      <c r="HVM163" s="1762"/>
      <c r="HVN163" s="1762"/>
      <c r="HVO163" s="1762"/>
      <c r="HVP163" s="1762"/>
      <c r="HVQ163" s="1762"/>
      <c r="HVR163" s="1762"/>
      <c r="HVS163" s="1762"/>
      <c r="HVT163" s="1762"/>
      <c r="HVU163" s="1762"/>
      <c r="HVV163" s="1762"/>
      <c r="HVW163" s="1762"/>
      <c r="HVX163" s="1762"/>
      <c r="HVY163" s="1762"/>
      <c r="HVZ163" s="1762"/>
      <c r="HWA163" s="1762"/>
      <c r="HWB163" s="1762"/>
      <c r="HWC163" s="1762"/>
      <c r="HWD163" s="1762"/>
      <c r="HWE163" s="1762"/>
      <c r="HWF163" s="1762"/>
      <c r="HWG163" s="1762"/>
      <c r="HWH163" s="1762"/>
      <c r="HWI163" s="1762"/>
      <c r="HWJ163" s="1762"/>
      <c r="HWK163" s="1762"/>
      <c r="HWL163" s="1762"/>
      <c r="HWM163" s="1762"/>
      <c r="HWN163" s="1762"/>
      <c r="HWO163" s="1762"/>
      <c r="HWP163" s="1762"/>
      <c r="HWQ163" s="1762"/>
      <c r="HWR163" s="1762"/>
      <c r="HWS163" s="1762"/>
      <c r="HWT163" s="1762"/>
      <c r="HWU163" s="1762"/>
      <c r="HWV163" s="1762"/>
      <c r="HWW163" s="1762"/>
      <c r="HWX163" s="1762"/>
      <c r="HWY163" s="1762"/>
      <c r="HWZ163" s="1762"/>
      <c r="HXA163" s="1762"/>
      <c r="HXB163" s="1762"/>
      <c r="HXC163" s="1762"/>
      <c r="HXD163" s="1762"/>
      <c r="HXE163" s="1762"/>
      <c r="HXF163" s="1762"/>
      <c r="HXG163" s="1762"/>
      <c r="HXH163" s="1762"/>
      <c r="HXI163" s="1762"/>
      <c r="HXJ163" s="1762"/>
      <c r="HXK163" s="1762"/>
      <c r="HXL163" s="1762"/>
      <c r="HXM163" s="1762"/>
      <c r="HXN163" s="1762"/>
      <c r="HXO163" s="1762"/>
      <c r="HXP163" s="1762"/>
      <c r="HXQ163" s="1762"/>
      <c r="HXR163" s="1762"/>
      <c r="HXS163" s="1762"/>
      <c r="HXT163" s="1762"/>
      <c r="HXU163" s="1762"/>
      <c r="HXV163" s="1762"/>
      <c r="HXW163" s="1762"/>
      <c r="HXX163" s="1762"/>
      <c r="HXY163" s="1762"/>
      <c r="HXZ163" s="1762"/>
      <c r="HYA163" s="1762"/>
      <c r="HYB163" s="1762"/>
      <c r="HYC163" s="1762"/>
      <c r="HYD163" s="1762"/>
      <c r="HYE163" s="1762"/>
      <c r="HYF163" s="1762"/>
      <c r="HYG163" s="1762"/>
      <c r="HYH163" s="1762"/>
      <c r="HYI163" s="1762"/>
      <c r="HYJ163" s="1762"/>
      <c r="HYK163" s="1762"/>
      <c r="HYL163" s="1762"/>
      <c r="HYM163" s="1762"/>
      <c r="HYN163" s="1762"/>
      <c r="HYO163" s="1762"/>
      <c r="HYP163" s="1762"/>
      <c r="HYQ163" s="1762"/>
      <c r="HYR163" s="1762"/>
      <c r="HYS163" s="1762"/>
      <c r="HYT163" s="1762"/>
      <c r="HYU163" s="1762"/>
      <c r="HYV163" s="1762"/>
      <c r="HYW163" s="1762"/>
      <c r="HYX163" s="1762"/>
      <c r="HYY163" s="1762"/>
      <c r="HYZ163" s="1762"/>
      <c r="HZA163" s="1762"/>
      <c r="HZB163" s="1762"/>
      <c r="HZC163" s="1762"/>
      <c r="HZD163" s="1762"/>
      <c r="HZE163" s="1762"/>
      <c r="HZF163" s="1762"/>
      <c r="HZG163" s="1762"/>
      <c r="HZH163" s="1762"/>
      <c r="HZI163" s="1762"/>
      <c r="HZJ163" s="1762"/>
      <c r="HZK163" s="1762"/>
      <c r="HZL163" s="1762"/>
      <c r="HZM163" s="1762"/>
      <c r="HZN163" s="1762"/>
      <c r="HZO163" s="1762"/>
      <c r="HZP163" s="1762"/>
      <c r="HZQ163" s="1762"/>
      <c r="HZR163" s="1762"/>
      <c r="HZS163" s="1762"/>
      <c r="HZT163" s="1762"/>
      <c r="HZU163" s="1762"/>
      <c r="HZV163" s="1762"/>
      <c r="HZW163" s="1762"/>
      <c r="HZX163" s="1762"/>
      <c r="HZY163" s="1762"/>
      <c r="HZZ163" s="1762"/>
      <c r="IAA163" s="1762"/>
      <c r="IAB163" s="1762"/>
      <c r="IAC163" s="1762"/>
      <c r="IAD163" s="1762"/>
      <c r="IAE163" s="1762"/>
      <c r="IAF163" s="1762"/>
      <c r="IAG163" s="1762"/>
      <c r="IAH163" s="1762"/>
      <c r="IAI163" s="1762"/>
      <c r="IAJ163" s="1762"/>
      <c r="IAK163" s="1762"/>
      <c r="IAL163" s="1762"/>
      <c r="IAM163" s="1762"/>
      <c r="IAN163" s="1762"/>
      <c r="IAO163" s="1762"/>
      <c r="IAP163" s="1762"/>
      <c r="IAQ163" s="1762"/>
      <c r="IAR163" s="1762"/>
      <c r="IAS163" s="1762"/>
      <c r="IAT163" s="1762"/>
      <c r="IAU163" s="1762"/>
      <c r="IAV163" s="1762"/>
      <c r="IAW163" s="1762"/>
      <c r="IAX163" s="1762"/>
      <c r="IAY163" s="1762"/>
      <c r="IAZ163" s="1762"/>
      <c r="IBA163" s="1762"/>
      <c r="IBB163" s="1762"/>
      <c r="IBC163" s="1762"/>
      <c r="IBD163" s="1762"/>
      <c r="IBE163" s="1762"/>
      <c r="IBF163" s="1762"/>
      <c r="IBG163" s="1762"/>
      <c r="IBH163" s="1762"/>
      <c r="IBI163" s="1762"/>
      <c r="IBJ163" s="1762"/>
      <c r="IBK163" s="1762"/>
      <c r="IBL163" s="1762"/>
      <c r="IBM163" s="1762"/>
      <c r="IBN163" s="1762"/>
      <c r="IBO163" s="1762"/>
      <c r="IBP163" s="1762"/>
      <c r="IBQ163" s="1762"/>
      <c r="IBR163" s="1762"/>
      <c r="IBS163" s="1762"/>
      <c r="IBT163" s="1762"/>
      <c r="IBU163" s="1762"/>
      <c r="IBV163" s="1762"/>
      <c r="IBW163" s="1762"/>
      <c r="IBX163" s="1762"/>
      <c r="IBY163" s="1762"/>
      <c r="IBZ163" s="1762"/>
      <c r="ICA163" s="1762"/>
      <c r="ICB163" s="1762"/>
      <c r="ICC163" s="1762"/>
      <c r="ICD163" s="1762"/>
      <c r="ICE163" s="1762"/>
      <c r="ICF163" s="1762"/>
      <c r="ICG163" s="1762"/>
      <c r="ICH163" s="1762"/>
      <c r="ICI163" s="1762"/>
      <c r="ICJ163" s="1762"/>
      <c r="ICK163" s="1762"/>
      <c r="ICL163" s="1762"/>
      <c r="ICM163" s="1762"/>
      <c r="ICN163" s="1762"/>
      <c r="ICO163" s="1762"/>
      <c r="ICP163" s="1762"/>
      <c r="ICQ163" s="1762"/>
      <c r="ICR163" s="1762"/>
      <c r="ICS163" s="1762"/>
      <c r="ICT163" s="1762"/>
      <c r="ICU163" s="1762"/>
      <c r="ICV163" s="1762"/>
      <c r="ICW163" s="1762"/>
      <c r="ICX163" s="1762"/>
      <c r="ICY163" s="1762"/>
      <c r="ICZ163" s="1762"/>
      <c r="IDA163" s="1762"/>
      <c r="IDB163" s="1762"/>
      <c r="IDC163" s="1762"/>
      <c r="IDD163" s="1762"/>
      <c r="IDE163" s="1762"/>
      <c r="IDF163" s="1762"/>
      <c r="IDG163" s="1762"/>
      <c r="IDH163" s="1762"/>
      <c r="IDI163" s="1762"/>
      <c r="IDJ163" s="1762"/>
      <c r="IDK163" s="1762"/>
      <c r="IDL163" s="1762"/>
      <c r="IDM163" s="1762"/>
      <c r="IDN163" s="1762"/>
      <c r="IDO163" s="1762"/>
      <c r="IDP163" s="1762"/>
      <c r="IDQ163" s="1762"/>
      <c r="IDR163" s="1762"/>
      <c r="IDS163" s="1762"/>
      <c r="IDT163" s="1762"/>
      <c r="IDU163" s="1762"/>
      <c r="IDV163" s="1762"/>
      <c r="IDW163" s="1762"/>
      <c r="IDX163" s="1762"/>
      <c r="IDY163" s="1762"/>
      <c r="IDZ163" s="1762"/>
      <c r="IEA163" s="1762"/>
      <c r="IEB163" s="1762"/>
      <c r="IEC163" s="1762"/>
      <c r="IED163" s="1762"/>
      <c r="IEE163" s="1762"/>
      <c r="IEF163" s="1762"/>
      <c r="IEG163" s="1762"/>
      <c r="IEH163" s="1762"/>
      <c r="IEI163" s="1762"/>
      <c r="IEJ163" s="1762"/>
      <c r="IEK163" s="1762"/>
      <c r="IEL163" s="1762"/>
      <c r="IEM163" s="1762"/>
      <c r="IEN163" s="1762"/>
      <c r="IEO163" s="1762"/>
      <c r="IEP163" s="1762"/>
      <c r="IEQ163" s="1762"/>
      <c r="IER163" s="1762"/>
      <c r="IES163" s="1762"/>
      <c r="IET163" s="1762"/>
      <c r="IEU163" s="1762"/>
      <c r="IEV163" s="1762"/>
      <c r="IEW163" s="1762"/>
      <c r="IEX163" s="1762"/>
      <c r="IEY163" s="1762"/>
      <c r="IEZ163" s="1762"/>
      <c r="IFA163" s="1762"/>
      <c r="IFB163" s="1762"/>
      <c r="IFC163" s="1762"/>
      <c r="IFD163" s="1762"/>
      <c r="IFE163" s="1762"/>
      <c r="IFF163" s="1762"/>
      <c r="IFG163" s="1762"/>
      <c r="IFH163" s="1762"/>
      <c r="IFI163" s="1762"/>
      <c r="IFJ163" s="1762"/>
      <c r="IFK163" s="1762"/>
      <c r="IFL163" s="1762"/>
      <c r="IFM163" s="1762"/>
      <c r="IFN163" s="1762"/>
      <c r="IFO163" s="1762"/>
      <c r="IFP163" s="1762"/>
      <c r="IFQ163" s="1762"/>
      <c r="IFR163" s="1762"/>
      <c r="IFS163" s="1762"/>
      <c r="IFT163" s="1762"/>
      <c r="IFU163" s="1762"/>
      <c r="IFV163" s="1762"/>
      <c r="IFW163" s="1762"/>
      <c r="IFX163" s="1762"/>
      <c r="IFY163" s="1762"/>
      <c r="IFZ163" s="1762"/>
      <c r="IGA163" s="1762"/>
      <c r="IGB163" s="1762"/>
      <c r="IGC163" s="1762"/>
      <c r="IGD163" s="1762"/>
      <c r="IGE163" s="1762"/>
      <c r="IGF163" s="1762"/>
      <c r="IGG163" s="1762"/>
      <c r="IGH163" s="1762"/>
      <c r="IGI163" s="1762"/>
      <c r="IGJ163" s="1762"/>
      <c r="IGK163" s="1762"/>
      <c r="IGL163" s="1762"/>
      <c r="IGM163" s="1762"/>
      <c r="IGN163" s="1762"/>
      <c r="IGO163" s="1762"/>
      <c r="IGP163" s="1762"/>
      <c r="IGQ163" s="1762"/>
      <c r="IGR163" s="1762"/>
      <c r="IGS163" s="1762"/>
      <c r="IGT163" s="1762"/>
      <c r="IGU163" s="1762"/>
      <c r="IGV163" s="1762"/>
      <c r="IGW163" s="1762"/>
      <c r="IGX163" s="1762"/>
      <c r="IGY163" s="1762"/>
      <c r="IGZ163" s="1762"/>
      <c r="IHA163" s="1762"/>
      <c r="IHB163" s="1762"/>
      <c r="IHC163" s="1762"/>
      <c r="IHD163" s="1762"/>
      <c r="IHE163" s="1762"/>
      <c r="IHF163" s="1762"/>
      <c r="IHG163" s="1762"/>
      <c r="IHH163" s="1762"/>
      <c r="IHI163" s="1762"/>
      <c r="IHJ163" s="1762"/>
      <c r="IHK163" s="1762"/>
      <c r="IHL163" s="1762"/>
      <c r="IHM163" s="1762"/>
      <c r="IHN163" s="1762"/>
      <c r="IHO163" s="1762"/>
      <c r="IHP163" s="1762"/>
      <c r="IHQ163" s="1762"/>
      <c r="IHR163" s="1762"/>
      <c r="IHS163" s="1762"/>
      <c r="IHT163" s="1762"/>
      <c r="IHU163" s="1762"/>
      <c r="IHV163" s="1762"/>
      <c r="IHW163" s="1762"/>
      <c r="IHX163" s="1762"/>
      <c r="IHY163" s="1762"/>
      <c r="IHZ163" s="1762"/>
      <c r="IIA163" s="1762"/>
      <c r="IIB163" s="1762"/>
      <c r="IIC163" s="1762"/>
      <c r="IID163" s="1762"/>
      <c r="IIE163" s="1762"/>
      <c r="IIF163" s="1762"/>
      <c r="IIG163" s="1762"/>
      <c r="IIH163" s="1762"/>
      <c r="III163" s="1762"/>
      <c r="IIJ163" s="1762"/>
      <c r="IIK163" s="1762"/>
      <c r="IIL163" s="1762"/>
      <c r="IIM163" s="1762"/>
      <c r="IIN163" s="1762"/>
      <c r="IIO163" s="1762"/>
      <c r="IIP163" s="1762"/>
      <c r="IIQ163" s="1762"/>
      <c r="IIR163" s="1762"/>
      <c r="IIS163" s="1762"/>
      <c r="IIT163" s="1762"/>
      <c r="IIU163" s="1762"/>
      <c r="IIV163" s="1762"/>
      <c r="IIW163" s="1762"/>
      <c r="IIX163" s="1762"/>
      <c r="IIY163" s="1762"/>
      <c r="IIZ163" s="1762"/>
      <c r="IJA163" s="1762"/>
      <c r="IJB163" s="1762"/>
      <c r="IJC163" s="1762"/>
      <c r="IJD163" s="1762"/>
      <c r="IJE163" s="1762"/>
      <c r="IJF163" s="1762"/>
      <c r="IJG163" s="1762"/>
      <c r="IJH163" s="1762"/>
      <c r="IJI163" s="1762"/>
      <c r="IJJ163" s="1762"/>
      <c r="IJK163" s="1762"/>
      <c r="IJL163" s="1762"/>
      <c r="IJM163" s="1762"/>
      <c r="IJN163" s="1762"/>
      <c r="IJO163" s="1762"/>
      <c r="IJP163" s="1762"/>
      <c r="IJQ163" s="1762"/>
      <c r="IJR163" s="1762"/>
      <c r="IJS163" s="1762"/>
      <c r="IJT163" s="1762"/>
      <c r="IJU163" s="1762"/>
      <c r="IJV163" s="1762"/>
      <c r="IJW163" s="1762"/>
      <c r="IJX163" s="1762"/>
      <c r="IJY163" s="1762"/>
      <c r="IJZ163" s="1762"/>
      <c r="IKA163" s="1762"/>
      <c r="IKB163" s="1762"/>
      <c r="IKC163" s="1762"/>
      <c r="IKD163" s="1762"/>
      <c r="IKE163" s="1762"/>
      <c r="IKF163" s="1762"/>
      <c r="IKG163" s="1762"/>
      <c r="IKH163" s="1762"/>
      <c r="IKI163" s="1762"/>
      <c r="IKJ163" s="1762"/>
      <c r="IKK163" s="1762"/>
      <c r="IKL163" s="1762"/>
      <c r="IKM163" s="1762"/>
      <c r="IKN163" s="1762"/>
      <c r="IKO163" s="1762"/>
      <c r="IKP163" s="1762"/>
      <c r="IKQ163" s="1762"/>
      <c r="IKR163" s="1762"/>
      <c r="IKS163" s="1762"/>
      <c r="IKT163" s="1762"/>
      <c r="IKU163" s="1762"/>
      <c r="IKV163" s="1762"/>
      <c r="IKW163" s="1762"/>
      <c r="IKX163" s="1762"/>
      <c r="IKY163" s="1762"/>
      <c r="IKZ163" s="1762"/>
      <c r="ILA163" s="1762"/>
      <c r="ILB163" s="1762"/>
      <c r="ILC163" s="1762"/>
      <c r="ILD163" s="1762"/>
      <c r="ILE163" s="1762"/>
      <c r="ILF163" s="1762"/>
      <c r="ILG163" s="1762"/>
      <c r="ILH163" s="1762"/>
      <c r="ILI163" s="1762"/>
      <c r="ILJ163" s="1762"/>
      <c r="ILK163" s="1762"/>
      <c r="ILL163" s="1762"/>
      <c r="ILM163" s="1762"/>
      <c r="ILN163" s="1762"/>
      <c r="ILO163" s="1762"/>
      <c r="ILP163" s="1762"/>
      <c r="ILQ163" s="1762"/>
      <c r="ILR163" s="1762"/>
      <c r="ILS163" s="1762"/>
      <c r="ILT163" s="1762"/>
      <c r="ILU163" s="1762"/>
      <c r="ILV163" s="1762"/>
      <c r="ILW163" s="1762"/>
      <c r="ILX163" s="1762"/>
      <c r="ILY163" s="1762"/>
      <c r="ILZ163" s="1762"/>
      <c r="IMA163" s="1762"/>
      <c r="IMB163" s="1762"/>
      <c r="IMC163" s="1762"/>
      <c r="IMD163" s="1762"/>
      <c r="IME163" s="1762"/>
      <c r="IMF163" s="1762"/>
      <c r="IMG163" s="1762"/>
      <c r="IMH163" s="1762"/>
      <c r="IMI163" s="1762"/>
      <c r="IMJ163" s="1762"/>
      <c r="IMK163" s="1762"/>
      <c r="IML163" s="1762"/>
      <c r="IMM163" s="1762"/>
      <c r="IMN163" s="1762"/>
      <c r="IMO163" s="1762"/>
      <c r="IMP163" s="1762"/>
      <c r="IMQ163" s="1762"/>
      <c r="IMR163" s="1762"/>
      <c r="IMS163" s="1762"/>
      <c r="IMT163" s="1762"/>
      <c r="IMU163" s="1762"/>
      <c r="IMV163" s="1762"/>
      <c r="IMW163" s="1762"/>
      <c r="IMX163" s="1762"/>
      <c r="IMY163" s="1762"/>
      <c r="IMZ163" s="1762"/>
      <c r="INA163" s="1762"/>
      <c r="INB163" s="1762"/>
      <c r="INC163" s="1762"/>
      <c r="IND163" s="1762"/>
      <c r="INE163" s="1762"/>
      <c r="INF163" s="1762"/>
      <c r="ING163" s="1762"/>
      <c r="INH163" s="1762"/>
      <c r="INI163" s="1762"/>
      <c r="INJ163" s="1762"/>
      <c r="INK163" s="1762"/>
      <c r="INL163" s="1762"/>
      <c r="INM163" s="1762"/>
      <c r="INN163" s="1762"/>
      <c r="INO163" s="1762"/>
      <c r="INP163" s="1762"/>
      <c r="INQ163" s="1762"/>
      <c r="INR163" s="1762"/>
      <c r="INS163" s="1762"/>
      <c r="INT163" s="1762"/>
      <c r="INU163" s="1762"/>
      <c r="INV163" s="1762"/>
      <c r="INW163" s="1762"/>
      <c r="INX163" s="1762"/>
      <c r="INY163" s="1762"/>
      <c r="INZ163" s="1762"/>
      <c r="IOA163" s="1762"/>
      <c r="IOB163" s="1762"/>
      <c r="IOC163" s="1762"/>
      <c r="IOD163" s="1762"/>
      <c r="IOE163" s="1762"/>
      <c r="IOF163" s="1762"/>
      <c r="IOG163" s="1762"/>
      <c r="IOH163" s="1762"/>
      <c r="IOI163" s="1762"/>
      <c r="IOJ163" s="1762"/>
      <c r="IOK163" s="1762"/>
      <c r="IOL163" s="1762"/>
      <c r="IOM163" s="1762"/>
      <c r="ION163" s="1762"/>
      <c r="IOO163" s="1762"/>
      <c r="IOP163" s="1762"/>
      <c r="IOQ163" s="1762"/>
      <c r="IOR163" s="1762"/>
      <c r="IOS163" s="1762"/>
      <c r="IOT163" s="1762"/>
      <c r="IOU163" s="1762"/>
      <c r="IOV163" s="1762"/>
      <c r="IOW163" s="1762"/>
      <c r="IOX163" s="1762"/>
      <c r="IOY163" s="1762"/>
      <c r="IOZ163" s="1762"/>
      <c r="IPA163" s="1762"/>
      <c r="IPB163" s="1762"/>
      <c r="IPC163" s="1762"/>
      <c r="IPD163" s="1762"/>
      <c r="IPE163" s="1762"/>
      <c r="IPF163" s="1762"/>
      <c r="IPG163" s="1762"/>
      <c r="IPH163" s="1762"/>
      <c r="IPI163" s="1762"/>
      <c r="IPJ163" s="1762"/>
      <c r="IPK163" s="1762"/>
      <c r="IPL163" s="1762"/>
      <c r="IPM163" s="1762"/>
      <c r="IPN163" s="1762"/>
      <c r="IPO163" s="1762"/>
      <c r="IPP163" s="1762"/>
      <c r="IPQ163" s="1762"/>
      <c r="IPR163" s="1762"/>
      <c r="IPS163" s="1762"/>
      <c r="IPT163" s="1762"/>
      <c r="IPU163" s="1762"/>
      <c r="IPV163" s="1762"/>
      <c r="IPW163" s="1762"/>
      <c r="IPX163" s="1762"/>
      <c r="IPY163" s="1762"/>
      <c r="IPZ163" s="1762"/>
      <c r="IQA163" s="1762"/>
      <c r="IQB163" s="1762"/>
      <c r="IQC163" s="1762"/>
      <c r="IQD163" s="1762"/>
      <c r="IQE163" s="1762"/>
      <c r="IQF163" s="1762"/>
      <c r="IQG163" s="1762"/>
      <c r="IQH163" s="1762"/>
      <c r="IQI163" s="1762"/>
      <c r="IQJ163" s="1762"/>
      <c r="IQK163" s="1762"/>
      <c r="IQL163" s="1762"/>
      <c r="IQM163" s="1762"/>
      <c r="IQN163" s="1762"/>
      <c r="IQO163" s="1762"/>
      <c r="IQP163" s="1762"/>
      <c r="IQQ163" s="1762"/>
      <c r="IQR163" s="1762"/>
      <c r="IQS163" s="1762"/>
      <c r="IQT163" s="1762"/>
      <c r="IQU163" s="1762"/>
      <c r="IQV163" s="1762"/>
      <c r="IQW163" s="1762"/>
      <c r="IQX163" s="1762"/>
      <c r="IQY163" s="1762"/>
      <c r="IQZ163" s="1762"/>
      <c r="IRA163" s="1762"/>
      <c r="IRB163" s="1762"/>
      <c r="IRC163" s="1762"/>
      <c r="IRD163" s="1762"/>
      <c r="IRE163" s="1762"/>
      <c r="IRF163" s="1762"/>
      <c r="IRG163" s="1762"/>
      <c r="IRH163" s="1762"/>
      <c r="IRI163" s="1762"/>
      <c r="IRJ163" s="1762"/>
      <c r="IRK163" s="1762"/>
      <c r="IRL163" s="1762"/>
      <c r="IRM163" s="1762"/>
      <c r="IRN163" s="1762"/>
      <c r="IRO163" s="1762"/>
      <c r="IRP163" s="1762"/>
      <c r="IRQ163" s="1762"/>
      <c r="IRR163" s="1762"/>
      <c r="IRS163" s="1762"/>
      <c r="IRT163" s="1762"/>
      <c r="IRU163" s="1762"/>
      <c r="IRV163" s="1762"/>
      <c r="IRW163" s="1762"/>
      <c r="IRX163" s="1762"/>
      <c r="IRY163" s="1762"/>
      <c r="IRZ163" s="1762"/>
      <c r="ISA163" s="1762"/>
      <c r="ISB163" s="1762"/>
      <c r="ISC163" s="1762"/>
      <c r="ISD163" s="1762"/>
      <c r="ISE163" s="1762"/>
      <c r="ISF163" s="1762"/>
      <c r="ISG163" s="1762"/>
      <c r="ISH163" s="1762"/>
      <c r="ISI163" s="1762"/>
      <c r="ISJ163" s="1762"/>
      <c r="ISK163" s="1762"/>
      <c r="ISL163" s="1762"/>
      <c r="ISM163" s="1762"/>
      <c r="ISN163" s="1762"/>
      <c r="ISO163" s="1762"/>
      <c r="ISP163" s="1762"/>
      <c r="ISQ163" s="1762"/>
      <c r="ISR163" s="1762"/>
      <c r="ISS163" s="1762"/>
      <c r="IST163" s="1762"/>
      <c r="ISU163" s="1762"/>
      <c r="ISV163" s="1762"/>
      <c r="ISW163" s="1762"/>
      <c r="ISX163" s="1762"/>
      <c r="ISY163" s="1762"/>
      <c r="ISZ163" s="1762"/>
      <c r="ITA163" s="1762"/>
      <c r="ITB163" s="1762"/>
      <c r="ITC163" s="1762"/>
      <c r="ITD163" s="1762"/>
      <c r="ITE163" s="1762"/>
      <c r="ITF163" s="1762"/>
      <c r="ITG163" s="1762"/>
      <c r="ITH163" s="1762"/>
      <c r="ITI163" s="1762"/>
      <c r="ITJ163" s="1762"/>
      <c r="ITK163" s="1762"/>
      <c r="ITL163" s="1762"/>
      <c r="ITM163" s="1762"/>
      <c r="ITN163" s="1762"/>
      <c r="ITO163" s="1762"/>
      <c r="ITP163" s="1762"/>
      <c r="ITQ163" s="1762"/>
      <c r="ITR163" s="1762"/>
      <c r="ITS163" s="1762"/>
      <c r="ITT163" s="1762"/>
      <c r="ITU163" s="1762"/>
      <c r="ITV163" s="1762"/>
      <c r="ITW163" s="1762"/>
      <c r="ITX163" s="1762"/>
      <c r="ITY163" s="1762"/>
      <c r="ITZ163" s="1762"/>
      <c r="IUA163" s="1762"/>
      <c r="IUB163" s="1762"/>
      <c r="IUC163" s="1762"/>
      <c r="IUD163" s="1762"/>
      <c r="IUE163" s="1762"/>
      <c r="IUF163" s="1762"/>
      <c r="IUG163" s="1762"/>
      <c r="IUH163" s="1762"/>
      <c r="IUI163" s="1762"/>
      <c r="IUJ163" s="1762"/>
      <c r="IUK163" s="1762"/>
      <c r="IUL163" s="1762"/>
      <c r="IUM163" s="1762"/>
      <c r="IUN163" s="1762"/>
      <c r="IUO163" s="1762"/>
      <c r="IUP163" s="1762"/>
      <c r="IUQ163" s="1762"/>
      <c r="IUR163" s="1762"/>
      <c r="IUS163" s="1762"/>
      <c r="IUT163" s="1762"/>
      <c r="IUU163" s="1762"/>
      <c r="IUV163" s="1762"/>
      <c r="IUW163" s="1762"/>
      <c r="IUX163" s="1762"/>
      <c r="IUY163" s="1762"/>
      <c r="IUZ163" s="1762"/>
      <c r="IVA163" s="1762"/>
      <c r="IVB163" s="1762"/>
      <c r="IVC163" s="1762"/>
      <c r="IVD163" s="1762"/>
      <c r="IVE163" s="1762"/>
      <c r="IVF163" s="1762"/>
      <c r="IVG163" s="1762"/>
      <c r="IVH163" s="1762"/>
      <c r="IVI163" s="1762"/>
      <c r="IVJ163" s="1762"/>
      <c r="IVK163" s="1762"/>
      <c r="IVL163" s="1762"/>
      <c r="IVM163" s="1762"/>
      <c r="IVN163" s="1762"/>
      <c r="IVO163" s="1762"/>
      <c r="IVP163" s="1762"/>
      <c r="IVQ163" s="1762"/>
      <c r="IVR163" s="1762"/>
      <c r="IVS163" s="1762"/>
      <c r="IVT163" s="1762"/>
      <c r="IVU163" s="1762"/>
      <c r="IVV163" s="1762"/>
      <c r="IVW163" s="1762"/>
      <c r="IVX163" s="1762"/>
      <c r="IVY163" s="1762"/>
      <c r="IVZ163" s="1762"/>
      <c r="IWA163" s="1762"/>
      <c r="IWB163" s="1762"/>
      <c r="IWC163" s="1762"/>
      <c r="IWD163" s="1762"/>
      <c r="IWE163" s="1762"/>
      <c r="IWF163" s="1762"/>
      <c r="IWG163" s="1762"/>
      <c r="IWH163" s="1762"/>
      <c r="IWI163" s="1762"/>
      <c r="IWJ163" s="1762"/>
      <c r="IWK163" s="1762"/>
      <c r="IWL163" s="1762"/>
      <c r="IWM163" s="1762"/>
      <c r="IWN163" s="1762"/>
      <c r="IWO163" s="1762"/>
      <c r="IWP163" s="1762"/>
      <c r="IWQ163" s="1762"/>
      <c r="IWR163" s="1762"/>
      <c r="IWS163" s="1762"/>
      <c r="IWT163" s="1762"/>
      <c r="IWU163" s="1762"/>
      <c r="IWV163" s="1762"/>
      <c r="IWW163" s="1762"/>
      <c r="IWX163" s="1762"/>
      <c r="IWY163" s="1762"/>
      <c r="IWZ163" s="1762"/>
      <c r="IXA163" s="1762"/>
      <c r="IXB163" s="1762"/>
      <c r="IXC163" s="1762"/>
      <c r="IXD163" s="1762"/>
      <c r="IXE163" s="1762"/>
      <c r="IXF163" s="1762"/>
      <c r="IXG163" s="1762"/>
      <c r="IXH163" s="1762"/>
      <c r="IXI163" s="1762"/>
      <c r="IXJ163" s="1762"/>
      <c r="IXK163" s="1762"/>
      <c r="IXL163" s="1762"/>
      <c r="IXM163" s="1762"/>
      <c r="IXN163" s="1762"/>
      <c r="IXO163" s="1762"/>
      <c r="IXP163" s="1762"/>
      <c r="IXQ163" s="1762"/>
      <c r="IXR163" s="1762"/>
      <c r="IXS163" s="1762"/>
      <c r="IXT163" s="1762"/>
      <c r="IXU163" s="1762"/>
      <c r="IXV163" s="1762"/>
      <c r="IXW163" s="1762"/>
      <c r="IXX163" s="1762"/>
      <c r="IXY163" s="1762"/>
      <c r="IXZ163" s="1762"/>
      <c r="IYA163" s="1762"/>
      <c r="IYB163" s="1762"/>
      <c r="IYC163" s="1762"/>
      <c r="IYD163" s="1762"/>
      <c r="IYE163" s="1762"/>
      <c r="IYF163" s="1762"/>
      <c r="IYG163" s="1762"/>
      <c r="IYH163" s="1762"/>
      <c r="IYI163" s="1762"/>
      <c r="IYJ163" s="1762"/>
      <c r="IYK163" s="1762"/>
      <c r="IYL163" s="1762"/>
      <c r="IYM163" s="1762"/>
      <c r="IYN163" s="1762"/>
      <c r="IYO163" s="1762"/>
      <c r="IYP163" s="1762"/>
      <c r="IYQ163" s="1762"/>
      <c r="IYR163" s="1762"/>
      <c r="IYS163" s="1762"/>
      <c r="IYT163" s="1762"/>
      <c r="IYU163" s="1762"/>
      <c r="IYV163" s="1762"/>
      <c r="IYW163" s="1762"/>
      <c r="IYX163" s="1762"/>
      <c r="IYY163" s="1762"/>
      <c r="IYZ163" s="1762"/>
      <c r="IZA163" s="1762"/>
      <c r="IZB163" s="1762"/>
      <c r="IZC163" s="1762"/>
      <c r="IZD163" s="1762"/>
      <c r="IZE163" s="1762"/>
      <c r="IZF163" s="1762"/>
      <c r="IZG163" s="1762"/>
      <c r="IZH163" s="1762"/>
      <c r="IZI163" s="1762"/>
      <c r="IZJ163" s="1762"/>
      <c r="IZK163" s="1762"/>
      <c r="IZL163" s="1762"/>
      <c r="IZM163" s="1762"/>
      <c r="IZN163" s="1762"/>
      <c r="IZO163" s="1762"/>
      <c r="IZP163" s="1762"/>
      <c r="IZQ163" s="1762"/>
      <c r="IZR163" s="1762"/>
      <c r="IZS163" s="1762"/>
      <c r="IZT163" s="1762"/>
      <c r="IZU163" s="1762"/>
      <c r="IZV163" s="1762"/>
      <c r="IZW163" s="1762"/>
      <c r="IZX163" s="1762"/>
      <c r="IZY163" s="1762"/>
      <c r="IZZ163" s="1762"/>
      <c r="JAA163" s="1762"/>
      <c r="JAB163" s="1762"/>
      <c r="JAC163" s="1762"/>
      <c r="JAD163" s="1762"/>
      <c r="JAE163" s="1762"/>
      <c r="JAF163" s="1762"/>
      <c r="JAG163" s="1762"/>
      <c r="JAH163" s="1762"/>
      <c r="JAI163" s="1762"/>
      <c r="JAJ163" s="1762"/>
      <c r="JAK163" s="1762"/>
      <c r="JAL163" s="1762"/>
      <c r="JAM163" s="1762"/>
      <c r="JAN163" s="1762"/>
      <c r="JAO163" s="1762"/>
      <c r="JAP163" s="1762"/>
      <c r="JAQ163" s="1762"/>
      <c r="JAR163" s="1762"/>
      <c r="JAS163" s="1762"/>
      <c r="JAT163" s="1762"/>
      <c r="JAU163" s="1762"/>
      <c r="JAV163" s="1762"/>
      <c r="JAW163" s="1762"/>
      <c r="JAX163" s="1762"/>
      <c r="JAY163" s="1762"/>
      <c r="JAZ163" s="1762"/>
      <c r="JBA163" s="1762"/>
      <c r="JBB163" s="1762"/>
      <c r="JBC163" s="1762"/>
      <c r="JBD163" s="1762"/>
      <c r="JBE163" s="1762"/>
      <c r="JBF163" s="1762"/>
      <c r="JBG163" s="1762"/>
      <c r="JBH163" s="1762"/>
      <c r="JBI163" s="1762"/>
      <c r="JBJ163" s="1762"/>
      <c r="JBK163" s="1762"/>
      <c r="JBL163" s="1762"/>
      <c r="JBM163" s="1762"/>
      <c r="JBN163" s="1762"/>
      <c r="JBO163" s="1762"/>
      <c r="JBP163" s="1762"/>
      <c r="JBQ163" s="1762"/>
      <c r="JBR163" s="1762"/>
      <c r="JBS163" s="1762"/>
      <c r="JBT163" s="1762"/>
      <c r="JBU163" s="1762"/>
      <c r="JBV163" s="1762"/>
      <c r="JBW163" s="1762"/>
      <c r="JBX163" s="1762"/>
      <c r="JBY163" s="1762"/>
      <c r="JBZ163" s="1762"/>
      <c r="JCA163" s="1762"/>
      <c r="JCB163" s="1762"/>
      <c r="JCC163" s="1762"/>
      <c r="JCD163" s="1762"/>
      <c r="JCE163" s="1762"/>
      <c r="JCF163" s="1762"/>
      <c r="JCG163" s="1762"/>
      <c r="JCH163" s="1762"/>
      <c r="JCI163" s="1762"/>
      <c r="JCJ163" s="1762"/>
      <c r="JCK163" s="1762"/>
      <c r="JCL163" s="1762"/>
      <c r="JCM163" s="1762"/>
      <c r="JCN163" s="1762"/>
      <c r="JCO163" s="1762"/>
      <c r="JCP163" s="1762"/>
      <c r="JCQ163" s="1762"/>
      <c r="JCR163" s="1762"/>
      <c r="JCS163" s="1762"/>
      <c r="JCT163" s="1762"/>
      <c r="JCU163" s="1762"/>
      <c r="JCV163" s="1762"/>
      <c r="JCW163" s="1762"/>
      <c r="JCX163" s="1762"/>
      <c r="JCY163" s="1762"/>
      <c r="JCZ163" s="1762"/>
      <c r="JDA163" s="1762"/>
      <c r="JDB163" s="1762"/>
      <c r="JDC163" s="1762"/>
      <c r="JDD163" s="1762"/>
      <c r="JDE163" s="1762"/>
      <c r="JDF163" s="1762"/>
      <c r="JDG163" s="1762"/>
      <c r="JDH163" s="1762"/>
      <c r="JDI163" s="1762"/>
      <c r="JDJ163" s="1762"/>
      <c r="JDK163" s="1762"/>
      <c r="JDL163" s="1762"/>
      <c r="JDM163" s="1762"/>
      <c r="JDN163" s="1762"/>
      <c r="JDO163" s="1762"/>
      <c r="JDP163" s="1762"/>
      <c r="JDQ163" s="1762"/>
      <c r="JDR163" s="1762"/>
      <c r="JDS163" s="1762"/>
      <c r="JDT163" s="1762"/>
      <c r="JDU163" s="1762"/>
      <c r="JDV163" s="1762"/>
      <c r="JDW163" s="1762"/>
      <c r="JDX163" s="1762"/>
      <c r="JDY163" s="1762"/>
      <c r="JDZ163" s="1762"/>
      <c r="JEA163" s="1762"/>
      <c r="JEB163" s="1762"/>
      <c r="JEC163" s="1762"/>
      <c r="JED163" s="1762"/>
      <c r="JEE163" s="1762"/>
      <c r="JEF163" s="1762"/>
      <c r="JEG163" s="1762"/>
      <c r="JEH163" s="1762"/>
      <c r="JEI163" s="1762"/>
      <c r="JEJ163" s="1762"/>
      <c r="JEK163" s="1762"/>
      <c r="JEL163" s="1762"/>
      <c r="JEM163" s="1762"/>
      <c r="JEN163" s="1762"/>
      <c r="JEO163" s="1762"/>
      <c r="JEP163" s="1762"/>
      <c r="JEQ163" s="1762"/>
      <c r="JER163" s="1762"/>
      <c r="JES163" s="1762"/>
      <c r="JET163" s="1762"/>
      <c r="JEU163" s="1762"/>
      <c r="JEV163" s="1762"/>
      <c r="JEW163" s="1762"/>
      <c r="JEX163" s="1762"/>
      <c r="JEY163" s="1762"/>
      <c r="JEZ163" s="1762"/>
      <c r="JFA163" s="1762"/>
      <c r="JFB163" s="1762"/>
      <c r="JFC163" s="1762"/>
      <c r="JFD163" s="1762"/>
      <c r="JFE163" s="1762"/>
      <c r="JFF163" s="1762"/>
      <c r="JFG163" s="1762"/>
      <c r="JFH163" s="1762"/>
      <c r="JFI163" s="1762"/>
      <c r="JFJ163" s="1762"/>
      <c r="JFK163" s="1762"/>
      <c r="JFL163" s="1762"/>
      <c r="JFM163" s="1762"/>
      <c r="JFN163" s="1762"/>
      <c r="JFO163" s="1762"/>
      <c r="JFP163" s="1762"/>
      <c r="JFQ163" s="1762"/>
      <c r="JFR163" s="1762"/>
      <c r="JFS163" s="1762"/>
      <c r="JFT163" s="1762"/>
      <c r="JFU163" s="1762"/>
      <c r="JFV163" s="1762"/>
      <c r="JFW163" s="1762"/>
      <c r="JFX163" s="1762"/>
      <c r="JFY163" s="1762"/>
      <c r="JFZ163" s="1762"/>
      <c r="JGA163" s="1762"/>
      <c r="JGB163" s="1762"/>
      <c r="JGC163" s="1762"/>
      <c r="JGD163" s="1762"/>
      <c r="JGE163" s="1762"/>
      <c r="JGF163" s="1762"/>
      <c r="JGG163" s="1762"/>
      <c r="JGH163" s="1762"/>
      <c r="JGI163" s="1762"/>
      <c r="JGJ163" s="1762"/>
      <c r="JGK163" s="1762"/>
      <c r="JGL163" s="1762"/>
      <c r="JGM163" s="1762"/>
      <c r="JGN163" s="1762"/>
      <c r="JGO163" s="1762"/>
      <c r="JGP163" s="1762"/>
      <c r="JGQ163" s="1762"/>
      <c r="JGR163" s="1762"/>
      <c r="JGS163" s="1762"/>
      <c r="JGT163" s="1762"/>
      <c r="JGU163" s="1762"/>
      <c r="JGV163" s="1762"/>
      <c r="JGW163" s="1762"/>
      <c r="JGX163" s="1762"/>
      <c r="JGY163" s="1762"/>
      <c r="JGZ163" s="1762"/>
      <c r="JHA163" s="1762"/>
      <c r="JHB163" s="1762"/>
      <c r="JHC163" s="1762"/>
      <c r="JHD163" s="1762"/>
      <c r="JHE163" s="1762"/>
      <c r="JHF163" s="1762"/>
      <c r="JHG163" s="1762"/>
      <c r="JHH163" s="1762"/>
      <c r="JHI163" s="1762"/>
      <c r="JHJ163" s="1762"/>
      <c r="JHK163" s="1762"/>
      <c r="JHL163" s="1762"/>
      <c r="JHM163" s="1762"/>
      <c r="JHN163" s="1762"/>
      <c r="JHO163" s="1762"/>
      <c r="JHP163" s="1762"/>
      <c r="JHQ163" s="1762"/>
      <c r="JHR163" s="1762"/>
      <c r="JHS163" s="1762"/>
      <c r="JHT163" s="1762"/>
      <c r="JHU163" s="1762"/>
      <c r="JHV163" s="1762"/>
      <c r="JHW163" s="1762"/>
      <c r="JHX163" s="1762"/>
      <c r="JHY163" s="1762"/>
      <c r="JHZ163" s="1762"/>
      <c r="JIA163" s="1762"/>
      <c r="JIB163" s="1762"/>
      <c r="JIC163" s="1762"/>
      <c r="JID163" s="1762"/>
      <c r="JIE163" s="1762"/>
      <c r="JIF163" s="1762"/>
      <c r="JIG163" s="1762"/>
      <c r="JIH163" s="1762"/>
      <c r="JII163" s="1762"/>
      <c r="JIJ163" s="1762"/>
      <c r="JIK163" s="1762"/>
      <c r="JIL163" s="1762"/>
      <c r="JIM163" s="1762"/>
      <c r="JIN163" s="1762"/>
      <c r="JIO163" s="1762"/>
      <c r="JIP163" s="1762"/>
      <c r="JIQ163" s="1762"/>
      <c r="JIR163" s="1762"/>
      <c r="JIS163" s="1762"/>
      <c r="JIT163" s="1762"/>
      <c r="JIU163" s="1762"/>
      <c r="JIV163" s="1762"/>
      <c r="JIW163" s="1762"/>
      <c r="JIX163" s="1762"/>
      <c r="JIY163" s="1762"/>
      <c r="JIZ163" s="1762"/>
      <c r="JJA163" s="1762"/>
      <c r="JJB163" s="1762"/>
      <c r="JJC163" s="1762"/>
      <c r="JJD163" s="1762"/>
      <c r="JJE163" s="1762"/>
      <c r="JJF163" s="1762"/>
      <c r="JJG163" s="1762"/>
      <c r="JJH163" s="1762"/>
      <c r="JJI163" s="1762"/>
      <c r="JJJ163" s="1762"/>
      <c r="JJK163" s="1762"/>
      <c r="JJL163" s="1762"/>
      <c r="JJM163" s="1762"/>
      <c r="JJN163" s="1762"/>
      <c r="JJO163" s="1762"/>
      <c r="JJP163" s="1762"/>
      <c r="JJQ163" s="1762"/>
      <c r="JJR163" s="1762"/>
      <c r="JJS163" s="1762"/>
      <c r="JJT163" s="1762"/>
      <c r="JJU163" s="1762"/>
      <c r="JJV163" s="1762"/>
      <c r="JJW163" s="1762"/>
      <c r="JJX163" s="1762"/>
      <c r="JJY163" s="1762"/>
      <c r="JJZ163" s="1762"/>
      <c r="JKA163" s="1762"/>
      <c r="JKB163" s="1762"/>
      <c r="JKC163" s="1762"/>
      <c r="JKD163" s="1762"/>
      <c r="JKE163" s="1762"/>
      <c r="JKF163" s="1762"/>
      <c r="JKG163" s="1762"/>
      <c r="JKH163" s="1762"/>
      <c r="JKI163" s="1762"/>
      <c r="JKJ163" s="1762"/>
      <c r="JKK163" s="1762"/>
      <c r="JKL163" s="1762"/>
      <c r="JKM163" s="1762"/>
      <c r="JKN163" s="1762"/>
      <c r="JKO163" s="1762"/>
      <c r="JKP163" s="1762"/>
      <c r="JKQ163" s="1762"/>
      <c r="JKR163" s="1762"/>
      <c r="JKS163" s="1762"/>
      <c r="JKT163" s="1762"/>
      <c r="JKU163" s="1762"/>
      <c r="JKV163" s="1762"/>
      <c r="JKW163" s="1762"/>
      <c r="JKX163" s="1762"/>
      <c r="JKY163" s="1762"/>
      <c r="JKZ163" s="1762"/>
      <c r="JLA163" s="1762"/>
      <c r="JLB163" s="1762"/>
      <c r="JLC163" s="1762"/>
      <c r="JLD163" s="1762"/>
      <c r="JLE163" s="1762"/>
      <c r="JLF163" s="1762"/>
      <c r="JLG163" s="1762"/>
      <c r="JLH163" s="1762"/>
      <c r="JLI163" s="1762"/>
      <c r="JLJ163" s="1762"/>
      <c r="JLK163" s="1762"/>
      <c r="JLL163" s="1762"/>
      <c r="JLM163" s="1762"/>
      <c r="JLN163" s="1762"/>
      <c r="JLO163" s="1762"/>
      <c r="JLP163" s="1762"/>
      <c r="JLQ163" s="1762"/>
      <c r="JLR163" s="1762"/>
      <c r="JLS163" s="1762"/>
      <c r="JLT163" s="1762"/>
      <c r="JLU163" s="1762"/>
      <c r="JLV163" s="1762"/>
      <c r="JLW163" s="1762"/>
      <c r="JLX163" s="1762"/>
      <c r="JLY163" s="1762"/>
      <c r="JLZ163" s="1762"/>
      <c r="JMA163" s="1762"/>
      <c r="JMB163" s="1762"/>
      <c r="JMC163" s="1762"/>
      <c r="JMD163" s="1762"/>
      <c r="JME163" s="1762"/>
      <c r="JMF163" s="1762"/>
      <c r="JMG163" s="1762"/>
      <c r="JMH163" s="1762"/>
      <c r="JMI163" s="1762"/>
      <c r="JMJ163" s="1762"/>
      <c r="JMK163" s="1762"/>
      <c r="JML163" s="1762"/>
      <c r="JMM163" s="1762"/>
      <c r="JMN163" s="1762"/>
      <c r="JMO163" s="1762"/>
      <c r="JMP163" s="1762"/>
      <c r="JMQ163" s="1762"/>
      <c r="JMR163" s="1762"/>
      <c r="JMS163" s="1762"/>
      <c r="JMT163" s="1762"/>
      <c r="JMU163" s="1762"/>
      <c r="JMV163" s="1762"/>
      <c r="JMW163" s="1762"/>
      <c r="JMX163" s="1762"/>
      <c r="JMY163" s="1762"/>
      <c r="JMZ163" s="1762"/>
      <c r="JNA163" s="1762"/>
      <c r="JNB163" s="1762"/>
      <c r="JNC163" s="1762"/>
      <c r="JND163" s="1762"/>
      <c r="JNE163" s="1762"/>
      <c r="JNF163" s="1762"/>
      <c r="JNG163" s="1762"/>
      <c r="JNH163" s="1762"/>
      <c r="JNI163" s="1762"/>
      <c r="JNJ163" s="1762"/>
      <c r="JNK163" s="1762"/>
      <c r="JNL163" s="1762"/>
      <c r="JNM163" s="1762"/>
      <c r="JNN163" s="1762"/>
      <c r="JNO163" s="1762"/>
      <c r="JNP163" s="1762"/>
      <c r="JNQ163" s="1762"/>
      <c r="JNR163" s="1762"/>
      <c r="JNS163" s="1762"/>
      <c r="JNT163" s="1762"/>
      <c r="JNU163" s="1762"/>
      <c r="JNV163" s="1762"/>
      <c r="JNW163" s="1762"/>
      <c r="JNX163" s="1762"/>
      <c r="JNY163" s="1762"/>
      <c r="JNZ163" s="1762"/>
      <c r="JOA163" s="1762"/>
      <c r="JOB163" s="1762"/>
      <c r="JOC163" s="1762"/>
      <c r="JOD163" s="1762"/>
      <c r="JOE163" s="1762"/>
      <c r="JOF163" s="1762"/>
      <c r="JOG163" s="1762"/>
      <c r="JOH163" s="1762"/>
      <c r="JOI163" s="1762"/>
      <c r="JOJ163" s="1762"/>
      <c r="JOK163" s="1762"/>
      <c r="JOL163" s="1762"/>
      <c r="JOM163" s="1762"/>
      <c r="JON163" s="1762"/>
      <c r="JOO163" s="1762"/>
      <c r="JOP163" s="1762"/>
      <c r="JOQ163" s="1762"/>
      <c r="JOR163" s="1762"/>
      <c r="JOS163" s="1762"/>
      <c r="JOT163" s="1762"/>
      <c r="JOU163" s="1762"/>
      <c r="JOV163" s="1762"/>
      <c r="JOW163" s="1762"/>
      <c r="JOX163" s="1762"/>
      <c r="JOY163" s="1762"/>
      <c r="JOZ163" s="1762"/>
      <c r="JPA163" s="1762"/>
      <c r="JPB163" s="1762"/>
      <c r="JPC163" s="1762"/>
      <c r="JPD163" s="1762"/>
      <c r="JPE163" s="1762"/>
      <c r="JPF163" s="1762"/>
      <c r="JPG163" s="1762"/>
      <c r="JPH163" s="1762"/>
      <c r="JPI163" s="1762"/>
      <c r="JPJ163" s="1762"/>
      <c r="JPK163" s="1762"/>
      <c r="JPL163" s="1762"/>
      <c r="JPM163" s="1762"/>
      <c r="JPN163" s="1762"/>
      <c r="JPO163" s="1762"/>
      <c r="JPP163" s="1762"/>
      <c r="JPQ163" s="1762"/>
      <c r="JPR163" s="1762"/>
      <c r="JPS163" s="1762"/>
      <c r="JPT163" s="1762"/>
      <c r="JPU163" s="1762"/>
      <c r="JPV163" s="1762"/>
      <c r="JPW163" s="1762"/>
      <c r="JPX163" s="1762"/>
      <c r="JPY163" s="1762"/>
      <c r="JPZ163" s="1762"/>
      <c r="JQA163" s="1762"/>
      <c r="JQB163" s="1762"/>
      <c r="JQC163" s="1762"/>
      <c r="JQD163" s="1762"/>
      <c r="JQE163" s="1762"/>
      <c r="JQF163" s="1762"/>
      <c r="JQG163" s="1762"/>
      <c r="JQH163" s="1762"/>
      <c r="JQI163" s="1762"/>
      <c r="JQJ163" s="1762"/>
      <c r="JQK163" s="1762"/>
      <c r="JQL163" s="1762"/>
      <c r="JQM163" s="1762"/>
      <c r="JQN163" s="1762"/>
      <c r="JQO163" s="1762"/>
      <c r="JQP163" s="1762"/>
      <c r="JQQ163" s="1762"/>
      <c r="JQR163" s="1762"/>
      <c r="JQS163" s="1762"/>
      <c r="JQT163" s="1762"/>
      <c r="JQU163" s="1762"/>
      <c r="JQV163" s="1762"/>
      <c r="JQW163" s="1762"/>
      <c r="JQX163" s="1762"/>
      <c r="JQY163" s="1762"/>
      <c r="JQZ163" s="1762"/>
      <c r="JRA163" s="1762"/>
      <c r="JRB163" s="1762"/>
      <c r="JRC163" s="1762"/>
      <c r="JRD163" s="1762"/>
      <c r="JRE163" s="1762"/>
      <c r="JRF163" s="1762"/>
      <c r="JRG163" s="1762"/>
      <c r="JRH163" s="1762"/>
      <c r="JRI163" s="1762"/>
      <c r="JRJ163" s="1762"/>
      <c r="JRK163" s="1762"/>
      <c r="JRL163" s="1762"/>
      <c r="JRM163" s="1762"/>
      <c r="JRN163" s="1762"/>
      <c r="JRO163" s="1762"/>
      <c r="JRP163" s="1762"/>
      <c r="JRQ163" s="1762"/>
      <c r="JRR163" s="1762"/>
      <c r="JRS163" s="1762"/>
      <c r="JRT163" s="1762"/>
      <c r="JRU163" s="1762"/>
      <c r="JRV163" s="1762"/>
      <c r="JRW163" s="1762"/>
      <c r="JRX163" s="1762"/>
      <c r="JRY163" s="1762"/>
      <c r="JRZ163" s="1762"/>
      <c r="JSA163" s="1762"/>
      <c r="JSB163" s="1762"/>
      <c r="JSC163" s="1762"/>
      <c r="JSD163" s="1762"/>
      <c r="JSE163" s="1762"/>
      <c r="JSF163" s="1762"/>
      <c r="JSG163" s="1762"/>
      <c r="JSH163" s="1762"/>
      <c r="JSI163" s="1762"/>
      <c r="JSJ163" s="1762"/>
      <c r="JSK163" s="1762"/>
      <c r="JSL163" s="1762"/>
      <c r="JSM163" s="1762"/>
      <c r="JSN163" s="1762"/>
      <c r="JSO163" s="1762"/>
      <c r="JSP163" s="1762"/>
      <c r="JSQ163" s="1762"/>
      <c r="JSR163" s="1762"/>
      <c r="JSS163" s="1762"/>
      <c r="JST163" s="1762"/>
      <c r="JSU163" s="1762"/>
      <c r="JSV163" s="1762"/>
      <c r="JSW163" s="1762"/>
      <c r="JSX163" s="1762"/>
      <c r="JSY163" s="1762"/>
      <c r="JSZ163" s="1762"/>
      <c r="JTA163" s="1762"/>
      <c r="JTB163" s="1762"/>
      <c r="JTC163" s="1762"/>
      <c r="JTD163" s="1762"/>
      <c r="JTE163" s="1762"/>
      <c r="JTF163" s="1762"/>
      <c r="JTG163" s="1762"/>
      <c r="JTH163" s="1762"/>
      <c r="JTI163" s="1762"/>
      <c r="JTJ163" s="1762"/>
      <c r="JTK163" s="1762"/>
      <c r="JTL163" s="1762"/>
      <c r="JTM163" s="1762"/>
      <c r="JTN163" s="1762"/>
      <c r="JTO163" s="1762"/>
      <c r="JTP163" s="1762"/>
      <c r="JTQ163" s="1762"/>
      <c r="JTR163" s="1762"/>
      <c r="JTS163" s="1762"/>
      <c r="JTT163" s="1762"/>
      <c r="JTU163" s="1762"/>
      <c r="JTV163" s="1762"/>
      <c r="JTW163" s="1762"/>
      <c r="JTX163" s="1762"/>
      <c r="JTY163" s="1762"/>
      <c r="JTZ163" s="1762"/>
      <c r="JUA163" s="1762"/>
      <c r="JUB163" s="1762"/>
      <c r="JUC163" s="1762"/>
      <c r="JUD163" s="1762"/>
      <c r="JUE163" s="1762"/>
      <c r="JUF163" s="1762"/>
      <c r="JUG163" s="1762"/>
      <c r="JUH163" s="1762"/>
      <c r="JUI163" s="1762"/>
      <c r="JUJ163" s="1762"/>
      <c r="JUK163" s="1762"/>
      <c r="JUL163" s="1762"/>
      <c r="JUM163" s="1762"/>
      <c r="JUN163" s="1762"/>
      <c r="JUO163" s="1762"/>
      <c r="JUP163" s="1762"/>
      <c r="JUQ163" s="1762"/>
      <c r="JUR163" s="1762"/>
      <c r="JUS163" s="1762"/>
      <c r="JUT163" s="1762"/>
      <c r="JUU163" s="1762"/>
      <c r="JUV163" s="1762"/>
      <c r="JUW163" s="1762"/>
      <c r="JUX163" s="1762"/>
      <c r="JUY163" s="1762"/>
      <c r="JUZ163" s="1762"/>
      <c r="JVA163" s="1762"/>
      <c r="JVB163" s="1762"/>
      <c r="JVC163" s="1762"/>
      <c r="JVD163" s="1762"/>
      <c r="JVE163" s="1762"/>
      <c r="JVF163" s="1762"/>
      <c r="JVG163" s="1762"/>
      <c r="JVH163" s="1762"/>
      <c r="JVI163" s="1762"/>
      <c r="JVJ163" s="1762"/>
      <c r="JVK163" s="1762"/>
      <c r="JVL163" s="1762"/>
      <c r="JVM163" s="1762"/>
      <c r="JVN163" s="1762"/>
      <c r="JVO163" s="1762"/>
      <c r="JVP163" s="1762"/>
      <c r="JVQ163" s="1762"/>
      <c r="JVR163" s="1762"/>
      <c r="JVS163" s="1762"/>
      <c r="JVT163" s="1762"/>
      <c r="JVU163" s="1762"/>
      <c r="JVV163" s="1762"/>
      <c r="JVW163" s="1762"/>
      <c r="JVX163" s="1762"/>
      <c r="JVY163" s="1762"/>
      <c r="JVZ163" s="1762"/>
      <c r="JWA163" s="1762"/>
      <c r="JWB163" s="1762"/>
      <c r="JWC163" s="1762"/>
      <c r="JWD163" s="1762"/>
      <c r="JWE163" s="1762"/>
      <c r="JWF163" s="1762"/>
      <c r="JWG163" s="1762"/>
      <c r="JWH163" s="1762"/>
      <c r="JWI163" s="1762"/>
      <c r="JWJ163" s="1762"/>
      <c r="JWK163" s="1762"/>
      <c r="JWL163" s="1762"/>
      <c r="JWM163" s="1762"/>
      <c r="JWN163" s="1762"/>
      <c r="JWO163" s="1762"/>
      <c r="JWP163" s="1762"/>
      <c r="JWQ163" s="1762"/>
      <c r="JWR163" s="1762"/>
      <c r="JWS163" s="1762"/>
      <c r="JWT163" s="1762"/>
      <c r="JWU163" s="1762"/>
      <c r="JWV163" s="1762"/>
      <c r="JWW163" s="1762"/>
      <c r="JWX163" s="1762"/>
      <c r="JWY163" s="1762"/>
      <c r="JWZ163" s="1762"/>
      <c r="JXA163" s="1762"/>
      <c r="JXB163" s="1762"/>
      <c r="JXC163" s="1762"/>
      <c r="JXD163" s="1762"/>
      <c r="JXE163" s="1762"/>
      <c r="JXF163" s="1762"/>
      <c r="JXG163" s="1762"/>
      <c r="JXH163" s="1762"/>
      <c r="JXI163" s="1762"/>
      <c r="JXJ163" s="1762"/>
      <c r="JXK163" s="1762"/>
      <c r="JXL163" s="1762"/>
      <c r="JXM163" s="1762"/>
      <c r="JXN163" s="1762"/>
      <c r="JXO163" s="1762"/>
      <c r="JXP163" s="1762"/>
      <c r="JXQ163" s="1762"/>
      <c r="JXR163" s="1762"/>
      <c r="JXS163" s="1762"/>
      <c r="JXT163" s="1762"/>
      <c r="JXU163" s="1762"/>
      <c r="JXV163" s="1762"/>
      <c r="JXW163" s="1762"/>
      <c r="JXX163" s="1762"/>
      <c r="JXY163" s="1762"/>
      <c r="JXZ163" s="1762"/>
      <c r="JYA163" s="1762"/>
      <c r="JYB163" s="1762"/>
      <c r="JYC163" s="1762"/>
      <c r="JYD163" s="1762"/>
      <c r="JYE163" s="1762"/>
      <c r="JYF163" s="1762"/>
      <c r="JYG163" s="1762"/>
      <c r="JYH163" s="1762"/>
      <c r="JYI163" s="1762"/>
      <c r="JYJ163" s="1762"/>
      <c r="JYK163" s="1762"/>
      <c r="JYL163" s="1762"/>
      <c r="JYM163" s="1762"/>
      <c r="JYN163" s="1762"/>
      <c r="JYO163" s="1762"/>
      <c r="JYP163" s="1762"/>
      <c r="JYQ163" s="1762"/>
      <c r="JYR163" s="1762"/>
      <c r="JYS163" s="1762"/>
      <c r="JYT163" s="1762"/>
      <c r="JYU163" s="1762"/>
      <c r="JYV163" s="1762"/>
      <c r="JYW163" s="1762"/>
      <c r="JYX163" s="1762"/>
      <c r="JYY163" s="1762"/>
      <c r="JYZ163" s="1762"/>
      <c r="JZA163" s="1762"/>
      <c r="JZB163" s="1762"/>
      <c r="JZC163" s="1762"/>
      <c r="JZD163" s="1762"/>
      <c r="JZE163" s="1762"/>
      <c r="JZF163" s="1762"/>
      <c r="JZG163" s="1762"/>
      <c r="JZH163" s="1762"/>
      <c r="JZI163" s="1762"/>
      <c r="JZJ163" s="1762"/>
      <c r="JZK163" s="1762"/>
      <c r="JZL163" s="1762"/>
      <c r="JZM163" s="1762"/>
      <c r="JZN163" s="1762"/>
      <c r="JZO163" s="1762"/>
      <c r="JZP163" s="1762"/>
      <c r="JZQ163" s="1762"/>
      <c r="JZR163" s="1762"/>
      <c r="JZS163" s="1762"/>
      <c r="JZT163" s="1762"/>
      <c r="JZU163" s="1762"/>
      <c r="JZV163" s="1762"/>
      <c r="JZW163" s="1762"/>
      <c r="JZX163" s="1762"/>
      <c r="JZY163" s="1762"/>
      <c r="JZZ163" s="1762"/>
      <c r="KAA163" s="1762"/>
      <c r="KAB163" s="1762"/>
      <c r="KAC163" s="1762"/>
      <c r="KAD163" s="1762"/>
      <c r="KAE163" s="1762"/>
      <c r="KAF163" s="1762"/>
      <c r="KAG163" s="1762"/>
      <c r="KAH163" s="1762"/>
      <c r="KAI163" s="1762"/>
      <c r="KAJ163" s="1762"/>
      <c r="KAK163" s="1762"/>
      <c r="KAL163" s="1762"/>
      <c r="KAM163" s="1762"/>
      <c r="KAN163" s="1762"/>
      <c r="KAO163" s="1762"/>
      <c r="KAP163" s="1762"/>
      <c r="KAQ163" s="1762"/>
      <c r="KAR163" s="1762"/>
      <c r="KAS163" s="1762"/>
      <c r="KAT163" s="1762"/>
      <c r="KAU163" s="1762"/>
      <c r="KAV163" s="1762"/>
      <c r="KAW163" s="1762"/>
      <c r="KAX163" s="1762"/>
      <c r="KAY163" s="1762"/>
      <c r="KAZ163" s="1762"/>
      <c r="KBA163" s="1762"/>
      <c r="KBB163" s="1762"/>
      <c r="KBC163" s="1762"/>
      <c r="KBD163" s="1762"/>
      <c r="KBE163" s="1762"/>
      <c r="KBF163" s="1762"/>
      <c r="KBG163" s="1762"/>
      <c r="KBH163" s="1762"/>
      <c r="KBI163" s="1762"/>
      <c r="KBJ163" s="1762"/>
      <c r="KBK163" s="1762"/>
      <c r="KBL163" s="1762"/>
      <c r="KBM163" s="1762"/>
      <c r="KBN163" s="1762"/>
      <c r="KBO163" s="1762"/>
      <c r="KBP163" s="1762"/>
      <c r="KBQ163" s="1762"/>
      <c r="KBR163" s="1762"/>
      <c r="KBS163" s="1762"/>
      <c r="KBT163" s="1762"/>
      <c r="KBU163" s="1762"/>
      <c r="KBV163" s="1762"/>
      <c r="KBW163" s="1762"/>
      <c r="KBX163" s="1762"/>
      <c r="KBY163" s="1762"/>
      <c r="KBZ163" s="1762"/>
      <c r="KCA163" s="1762"/>
      <c r="KCB163" s="1762"/>
      <c r="KCC163" s="1762"/>
      <c r="KCD163" s="1762"/>
      <c r="KCE163" s="1762"/>
      <c r="KCF163" s="1762"/>
      <c r="KCG163" s="1762"/>
      <c r="KCH163" s="1762"/>
      <c r="KCI163" s="1762"/>
      <c r="KCJ163" s="1762"/>
      <c r="KCK163" s="1762"/>
      <c r="KCL163" s="1762"/>
      <c r="KCM163" s="1762"/>
      <c r="KCN163" s="1762"/>
      <c r="KCO163" s="1762"/>
      <c r="KCP163" s="1762"/>
      <c r="KCQ163" s="1762"/>
      <c r="KCR163" s="1762"/>
      <c r="KCS163" s="1762"/>
      <c r="KCT163" s="1762"/>
      <c r="KCU163" s="1762"/>
      <c r="KCV163" s="1762"/>
      <c r="KCW163" s="1762"/>
      <c r="KCX163" s="1762"/>
      <c r="KCY163" s="1762"/>
      <c r="KCZ163" s="1762"/>
      <c r="KDA163" s="1762"/>
      <c r="KDB163" s="1762"/>
      <c r="KDC163" s="1762"/>
      <c r="KDD163" s="1762"/>
      <c r="KDE163" s="1762"/>
      <c r="KDF163" s="1762"/>
      <c r="KDG163" s="1762"/>
      <c r="KDH163" s="1762"/>
      <c r="KDI163" s="1762"/>
      <c r="KDJ163" s="1762"/>
      <c r="KDK163" s="1762"/>
      <c r="KDL163" s="1762"/>
      <c r="KDM163" s="1762"/>
      <c r="KDN163" s="1762"/>
      <c r="KDO163" s="1762"/>
      <c r="KDP163" s="1762"/>
      <c r="KDQ163" s="1762"/>
      <c r="KDR163" s="1762"/>
      <c r="KDS163" s="1762"/>
      <c r="KDT163" s="1762"/>
      <c r="KDU163" s="1762"/>
      <c r="KDV163" s="1762"/>
      <c r="KDW163" s="1762"/>
      <c r="KDX163" s="1762"/>
      <c r="KDY163" s="1762"/>
      <c r="KDZ163" s="1762"/>
      <c r="KEA163" s="1762"/>
      <c r="KEB163" s="1762"/>
      <c r="KEC163" s="1762"/>
      <c r="KED163" s="1762"/>
      <c r="KEE163" s="1762"/>
      <c r="KEF163" s="1762"/>
      <c r="KEG163" s="1762"/>
      <c r="KEH163" s="1762"/>
      <c r="KEI163" s="1762"/>
      <c r="KEJ163" s="1762"/>
      <c r="KEK163" s="1762"/>
      <c r="KEL163" s="1762"/>
      <c r="KEM163" s="1762"/>
      <c r="KEN163" s="1762"/>
      <c r="KEO163" s="1762"/>
      <c r="KEP163" s="1762"/>
      <c r="KEQ163" s="1762"/>
      <c r="KER163" s="1762"/>
      <c r="KES163" s="1762"/>
      <c r="KET163" s="1762"/>
      <c r="KEU163" s="1762"/>
      <c r="KEV163" s="1762"/>
      <c r="KEW163" s="1762"/>
      <c r="KEX163" s="1762"/>
      <c r="KEY163" s="1762"/>
      <c r="KEZ163" s="1762"/>
      <c r="KFA163" s="1762"/>
      <c r="KFB163" s="1762"/>
      <c r="KFC163" s="1762"/>
      <c r="KFD163" s="1762"/>
      <c r="KFE163" s="1762"/>
      <c r="KFF163" s="1762"/>
      <c r="KFG163" s="1762"/>
      <c r="KFH163" s="1762"/>
      <c r="KFI163" s="1762"/>
      <c r="KFJ163" s="1762"/>
      <c r="KFK163" s="1762"/>
      <c r="KFL163" s="1762"/>
      <c r="KFM163" s="1762"/>
      <c r="KFN163" s="1762"/>
      <c r="KFO163" s="1762"/>
      <c r="KFP163" s="1762"/>
      <c r="KFQ163" s="1762"/>
      <c r="KFR163" s="1762"/>
      <c r="KFS163" s="1762"/>
      <c r="KFT163" s="1762"/>
      <c r="KFU163" s="1762"/>
      <c r="KFV163" s="1762"/>
      <c r="KFW163" s="1762"/>
      <c r="KFX163" s="1762"/>
      <c r="KFY163" s="1762"/>
      <c r="KFZ163" s="1762"/>
      <c r="KGA163" s="1762"/>
      <c r="KGB163" s="1762"/>
      <c r="KGC163" s="1762"/>
      <c r="KGD163" s="1762"/>
      <c r="KGE163" s="1762"/>
      <c r="KGF163" s="1762"/>
      <c r="KGG163" s="1762"/>
      <c r="KGH163" s="1762"/>
      <c r="KGI163" s="1762"/>
      <c r="KGJ163" s="1762"/>
      <c r="KGK163" s="1762"/>
      <c r="KGL163" s="1762"/>
      <c r="KGM163" s="1762"/>
      <c r="KGN163" s="1762"/>
      <c r="KGO163" s="1762"/>
      <c r="KGP163" s="1762"/>
      <c r="KGQ163" s="1762"/>
      <c r="KGR163" s="1762"/>
      <c r="KGS163" s="1762"/>
      <c r="KGT163" s="1762"/>
      <c r="KGU163" s="1762"/>
      <c r="KGV163" s="1762"/>
      <c r="KGW163" s="1762"/>
      <c r="KGX163" s="1762"/>
      <c r="KGY163" s="1762"/>
      <c r="KGZ163" s="1762"/>
      <c r="KHA163" s="1762"/>
      <c r="KHB163" s="1762"/>
      <c r="KHC163" s="1762"/>
      <c r="KHD163" s="1762"/>
      <c r="KHE163" s="1762"/>
      <c r="KHF163" s="1762"/>
      <c r="KHG163" s="1762"/>
      <c r="KHH163" s="1762"/>
      <c r="KHI163" s="1762"/>
      <c r="KHJ163" s="1762"/>
      <c r="KHK163" s="1762"/>
      <c r="KHL163" s="1762"/>
      <c r="KHM163" s="1762"/>
      <c r="KHN163" s="1762"/>
      <c r="KHO163" s="1762"/>
      <c r="KHP163" s="1762"/>
      <c r="KHQ163" s="1762"/>
      <c r="KHR163" s="1762"/>
      <c r="KHS163" s="1762"/>
      <c r="KHT163" s="1762"/>
      <c r="KHU163" s="1762"/>
      <c r="KHV163" s="1762"/>
      <c r="KHW163" s="1762"/>
      <c r="KHX163" s="1762"/>
      <c r="KHY163" s="1762"/>
      <c r="KHZ163" s="1762"/>
      <c r="KIA163" s="1762"/>
      <c r="KIB163" s="1762"/>
      <c r="KIC163" s="1762"/>
      <c r="KID163" s="1762"/>
      <c r="KIE163" s="1762"/>
      <c r="KIF163" s="1762"/>
      <c r="KIG163" s="1762"/>
      <c r="KIH163" s="1762"/>
      <c r="KII163" s="1762"/>
      <c r="KIJ163" s="1762"/>
      <c r="KIK163" s="1762"/>
      <c r="KIL163" s="1762"/>
      <c r="KIM163" s="1762"/>
      <c r="KIN163" s="1762"/>
      <c r="KIO163" s="1762"/>
      <c r="KIP163" s="1762"/>
      <c r="KIQ163" s="1762"/>
      <c r="KIR163" s="1762"/>
      <c r="KIS163" s="1762"/>
      <c r="KIT163" s="1762"/>
      <c r="KIU163" s="1762"/>
      <c r="KIV163" s="1762"/>
      <c r="KIW163" s="1762"/>
      <c r="KIX163" s="1762"/>
      <c r="KIY163" s="1762"/>
      <c r="KIZ163" s="1762"/>
      <c r="KJA163" s="1762"/>
      <c r="KJB163" s="1762"/>
      <c r="KJC163" s="1762"/>
      <c r="KJD163" s="1762"/>
      <c r="KJE163" s="1762"/>
      <c r="KJF163" s="1762"/>
      <c r="KJG163" s="1762"/>
      <c r="KJH163" s="1762"/>
      <c r="KJI163" s="1762"/>
      <c r="KJJ163" s="1762"/>
      <c r="KJK163" s="1762"/>
      <c r="KJL163" s="1762"/>
      <c r="KJM163" s="1762"/>
      <c r="KJN163" s="1762"/>
      <c r="KJO163" s="1762"/>
      <c r="KJP163" s="1762"/>
      <c r="KJQ163" s="1762"/>
      <c r="KJR163" s="1762"/>
      <c r="KJS163" s="1762"/>
      <c r="KJT163" s="1762"/>
      <c r="KJU163" s="1762"/>
      <c r="KJV163" s="1762"/>
      <c r="KJW163" s="1762"/>
      <c r="KJX163" s="1762"/>
      <c r="KJY163" s="1762"/>
      <c r="KJZ163" s="1762"/>
      <c r="KKA163" s="1762"/>
      <c r="KKB163" s="1762"/>
      <c r="KKC163" s="1762"/>
      <c r="KKD163" s="1762"/>
      <c r="KKE163" s="1762"/>
      <c r="KKF163" s="1762"/>
      <c r="KKG163" s="1762"/>
      <c r="KKH163" s="1762"/>
      <c r="KKI163" s="1762"/>
      <c r="KKJ163" s="1762"/>
      <c r="KKK163" s="1762"/>
      <c r="KKL163" s="1762"/>
      <c r="KKM163" s="1762"/>
      <c r="KKN163" s="1762"/>
      <c r="KKO163" s="1762"/>
      <c r="KKP163" s="1762"/>
      <c r="KKQ163" s="1762"/>
      <c r="KKR163" s="1762"/>
      <c r="KKS163" s="1762"/>
      <c r="KKT163" s="1762"/>
      <c r="KKU163" s="1762"/>
      <c r="KKV163" s="1762"/>
      <c r="KKW163" s="1762"/>
      <c r="KKX163" s="1762"/>
      <c r="KKY163" s="1762"/>
      <c r="KKZ163" s="1762"/>
      <c r="KLA163" s="1762"/>
      <c r="KLB163" s="1762"/>
      <c r="KLC163" s="1762"/>
      <c r="KLD163" s="1762"/>
      <c r="KLE163" s="1762"/>
      <c r="KLF163" s="1762"/>
      <c r="KLG163" s="1762"/>
      <c r="KLH163" s="1762"/>
      <c r="KLI163" s="1762"/>
      <c r="KLJ163" s="1762"/>
      <c r="KLK163" s="1762"/>
      <c r="KLL163" s="1762"/>
      <c r="KLM163" s="1762"/>
      <c r="KLN163" s="1762"/>
      <c r="KLO163" s="1762"/>
      <c r="KLP163" s="1762"/>
      <c r="KLQ163" s="1762"/>
      <c r="KLR163" s="1762"/>
      <c r="KLS163" s="1762"/>
      <c r="KLT163" s="1762"/>
      <c r="KLU163" s="1762"/>
      <c r="KLV163" s="1762"/>
      <c r="KLW163" s="1762"/>
      <c r="KLX163" s="1762"/>
      <c r="KLY163" s="1762"/>
      <c r="KLZ163" s="1762"/>
      <c r="KMA163" s="1762"/>
      <c r="KMB163" s="1762"/>
      <c r="KMC163" s="1762"/>
      <c r="KMD163" s="1762"/>
      <c r="KME163" s="1762"/>
      <c r="KMF163" s="1762"/>
      <c r="KMG163" s="1762"/>
      <c r="KMH163" s="1762"/>
      <c r="KMI163" s="1762"/>
      <c r="KMJ163" s="1762"/>
      <c r="KMK163" s="1762"/>
      <c r="KML163" s="1762"/>
      <c r="KMM163" s="1762"/>
      <c r="KMN163" s="1762"/>
      <c r="KMO163" s="1762"/>
      <c r="KMP163" s="1762"/>
      <c r="KMQ163" s="1762"/>
      <c r="KMR163" s="1762"/>
      <c r="KMS163" s="1762"/>
      <c r="KMT163" s="1762"/>
      <c r="KMU163" s="1762"/>
      <c r="KMV163" s="1762"/>
      <c r="KMW163" s="1762"/>
      <c r="KMX163" s="1762"/>
      <c r="KMY163" s="1762"/>
      <c r="KMZ163" s="1762"/>
      <c r="KNA163" s="1762"/>
      <c r="KNB163" s="1762"/>
      <c r="KNC163" s="1762"/>
      <c r="KND163" s="1762"/>
      <c r="KNE163" s="1762"/>
      <c r="KNF163" s="1762"/>
      <c r="KNG163" s="1762"/>
      <c r="KNH163" s="1762"/>
      <c r="KNI163" s="1762"/>
      <c r="KNJ163" s="1762"/>
      <c r="KNK163" s="1762"/>
      <c r="KNL163" s="1762"/>
      <c r="KNM163" s="1762"/>
      <c r="KNN163" s="1762"/>
      <c r="KNO163" s="1762"/>
      <c r="KNP163" s="1762"/>
      <c r="KNQ163" s="1762"/>
      <c r="KNR163" s="1762"/>
      <c r="KNS163" s="1762"/>
      <c r="KNT163" s="1762"/>
      <c r="KNU163" s="1762"/>
      <c r="KNV163" s="1762"/>
      <c r="KNW163" s="1762"/>
      <c r="KNX163" s="1762"/>
      <c r="KNY163" s="1762"/>
      <c r="KNZ163" s="1762"/>
      <c r="KOA163" s="1762"/>
      <c r="KOB163" s="1762"/>
      <c r="KOC163" s="1762"/>
      <c r="KOD163" s="1762"/>
      <c r="KOE163" s="1762"/>
      <c r="KOF163" s="1762"/>
      <c r="KOG163" s="1762"/>
      <c r="KOH163" s="1762"/>
      <c r="KOI163" s="1762"/>
      <c r="KOJ163" s="1762"/>
      <c r="KOK163" s="1762"/>
      <c r="KOL163" s="1762"/>
      <c r="KOM163" s="1762"/>
      <c r="KON163" s="1762"/>
      <c r="KOO163" s="1762"/>
      <c r="KOP163" s="1762"/>
      <c r="KOQ163" s="1762"/>
      <c r="KOR163" s="1762"/>
      <c r="KOS163" s="1762"/>
      <c r="KOT163" s="1762"/>
      <c r="KOU163" s="1762"/>
      <c r="KOV163" s="1762"/>
      <c r="KOW163" s="1762"/>
      <c r="KOX163" s="1762"/>
      <c r="KOY163" s="1762"/>
      <c r="KOZ163" s="1762"/>
      <c r="KPA163" s="1762"/>
      <c r="KPB163" s="1762"/>
      <c r="KPC163" s="1762"/>
      <c r="KPD163" s="1762"/>
      <c r="KPE163" s="1762"/>
      <c r="KPF163" s="1762"/>
      <c r="KPG163" s="1762"/>
      <c r="KPH163" s="1762"/>
      <c r="KPI163" s="1762"/>
      <c r="KPJ163" s="1762"/>
      <c r="KPK163" s="1762"/>
      <c r="KPL163" s="1762"/>
      <c r="KPM163" s="1762"/>
      <c r="KPN163" s="1762"/>
      <c r="KPO163" s="1762"/>
      <c r="KPP163" s="1762"/>
      <c r="KPQ163" s="1762"/>
      <c r="KPR163" s="1762"/>
      <c r="KPS163" s="1762"/>
      <c r="KPT163" s="1762"/>
      <c r="KPU163" s="1762"/>
      <c r="KPV163" s="1762"/>
      <c r="KPW163" s="1762"/>
      <c r="KPX163" s="1762"/>
      <c r="KPY163" s="1762"/>
      <c r="KPZ163" s="1762"/>
      <c r="KQA163" s="1762"/>
      <c r="KQB163" s="1762"/>
      <c r="KQC163" s="1762"/>
      <c r="KQD163" s="1762"/>
      <c r="KQE163" s="1762"/>
      <c r="KQF163" s="1762"/>
      <c r="KQG163" s="1762"/>
      <c r="KQH163" s="1762"/>
      <c r="KQI163" s="1762"/>
      <c r="KQJ163" s="1762"/>
      <c r="KQK163" s="1762"/>
      <c r="KQL163" s="1762"/>
      <c r="KQM163" s="1762"/>
      <c r="KQN163" s="1762"/>
      <c r="KQO163" s="1762"/>
      <c r="KQP163" s="1762"/>
      <c r="KQQ163" s="1762"/>
      <c r="KQR163" s="1762"/>
      <c r="KQS163" s="1762"/>
      <c r="KQT163" s="1762"/>
      <c r="KQU163" s="1762"/>
      <c r="KQV163" s="1762"/>
      <c r="KQW163" s="1762"/>
      <c r="KQX163" s="1762"/>
      <c r="KQY163" s="1762"/>
      <c r="KQZ163" s="1762"/>
      <c r="KRA163" s="1762"/>
      <c r="KRB163" s="1762"/>
      <c r="KRC163" s="1762"/>
      <c r="KRD163" s="1762"/>
      <c r="KRE163" s="1762"/>
      <c r="KRF163" s="1762"/>
      <c r="KRG163" s="1762"/>
      <c r="KRH163" s="1762"/>
      <c r="KRI163" s="1762"/>
      <c r="KRJ163" s="1762"/>
      <c r="KRK163" s="1762"/>
      <c r="KRL163" s="1762"/>
      <c r="KRM163" s="1762"/>
      <c r="KRN163" s="1762"/>
      <c r="KRO163" s="1762"/>
      <c r="KRP163" s="1762"/>
      <c r="KRQ163" s="1762"/>
      <c r="KRR163" s="1762"/>
      <c r="KRS163" s="1762"/>
      <c r="KRT163" s="1762"/>
      <c r="KRU163" s="1762"/>
      <c r="KRV163" s="1762"/>
      <c r="KRW163" s="1762"/>
      <c r="KRX163" s="1762"/>
      <c r="KRY163" s="1762"/>
      <c r="KRZ163" s="1762"/>
      <c r="KSA163" s="1762"/>
      <c r="KSB163" s="1762"/>
      <c r="KSC163" s="1762"/>
      <c r="KSD163" s="1762"/>
      <c r="KSE163" s="1762"/>
      <c r="KSF163" s="1762"/>
      <c r="KSG163" s="1762"/>
      <c r="KSH163" s="1762"/>
      <c r="KSI163" s="1762"/>
      <c r="KSJ163" s="1762"/>
      <c r="KSK163" s="1762"/>
      <c r="KSL163" s="1762"/>
      <c r="KSM163" s="1762"/>
      <c r="KSN163" s="1762"/>
      <c r="KSO163" s="1762"/>
      <c r="KSP163" s="1762"/>
      <c r="KSQ163" s="1762"/>
      <c r="KSR163" s="1762"/>
      <c r="KSS163" s="1762"/>
      <c r="KST163" s="1762"/>
      <c r="KSU163" s="1762"/>
      <c r="KSV163" s="1762"/>
      <c r="KSW163" s="1762"/>
      <c r="KSX163" s="1762"/>
      <c r="KSY163" s="1762"/>
      <c r="KSZ163" s="1762"/>
      <c r="KTA163" s="1762"/>
      <c r="KTB163" s="1762"/>
      <c r="KTC163" s="1762"/>
      <c r="KTD163" s="1762"/>
      <c r="KTE163" s="1762"/>
      <c r="KTF163" s="1762"/>
      <c r="KTG163" s="1762"/>
      <c r="KTH163" s="1762"/>
      <c r="KTI163" s="1762"/>
      <c r="KTJ163" s="1762"/>
      <c r="KTK163" s="1762"/>
      <c r="KTL163" s="1762"/>
      <c r="KTM163" s="1762"/>
      <c r="KTN163" s="1762"/>
      <c r="KTO163" s="1762"/>
      <c r="KTP163" s="1762"/>
      <c r="KTQ163" s="1762"/>
      <c r="KTR163" s="1762"/>
      <c r="KTS163" s="1762"/>
      <c r="KTT163" s="1762"/>
      <c r="KTU163" s="1762"/>
      <c r="KTV163" s="1762"/>
      <c r="KTW163" s="1762"/>
      <c r="KTX163" s="1762"/>
      <c r="KTY163" s="1762"/>
      <c r="KTZ163" s="1762"/>
      <c r="KUA163" s="1762"/>
      <c r="KUB163" s="1762"/>
      <c r="KUC163" s="1762"/>
      <c r="KUD163" s="1762"/>
      <c r="KUE163" s="1762"/>
      <c r="KUF163" s="1762"/>
      <c r="KUG163" s="1762"/>
      <c r="KUH163" s="1762"/>
      <c r="KUI163" s="1762"/>
      <c r="KUJ163" s="1762"/>
      <c r="KUK163" s="1762"/>
      <c r="KUL163" s="1762"/>
      <c r="KUM163" s="1762"/>
      <c r="KUN163" s="1762"/>
      <c r="KUO163" s="1762"/>
      <c r="KUP163" s="1762"/>
      <c r="KUQ163" s="1762"/>
      <c r="KUR163" s="1762"/>
      <c r="KUS163" s="1762"/>
      <c r="KUT163" s="1762"/>
      <c r="KUU163" s="1762"/>
      <c r="KUV163" s="1762"/>
      <c r="KUW163" s="1762"/>
      <c r="KUX163" s="1762"/>
      <c r="KUY163" s="1762"/>
      <c r="KUZ163" s="1762"/>
      <c r="KVA163" s="1762"/>
      <c r="KVB163" s="1762"/>
      <c r="KVC163" s="1762"/>
      <c r="KVD163" s="1762"/>
      <c r="KVE163" s="1762"/>
      <c r="KVF163" s="1762"/>
      <c r="KVG163" s="1762"/>
      <c r="KVH163" s="1762"/>
      <c r="KVI163" s="1762"/>
      <c r="KVJ163" s="1762"/>
      <c r="KVK163" s="1762"/>
      <c r="KVL163" s="1762"/>
      <c r="KVM163" s="1762"/>
      <c r="KVN163" s="1762"/>
      <c r="KVO163" s="1762"/>
      <c r="KVP163" s="1762"/>
      <c r="KVQ163" s="1762"/>
      <c r="KVR163" s="1762"/>
      <c r="KVS163" s="1762"/>
      <c r="KVT163" s="1762"/>
      <c r="KVU163" s="1762"/>
      <c r="KVV163" s="1762"/>
      <c r="KVW163" s="1762"/>
      <c r="KVX163" s="1762"/>
      <c r="KVY163" s="1762"/>
      <c r="KVZ163" s="1762"/>
      <c r="KWA163" s="1762"/>
      <c r="KWB163" s="1762"/>
      <c r="KWC163" s="1762"/>
      <c r="KWD163" s="1762"/>
      <c r="KWE163" s="1762"/>
      <c r="KWF163" s="1762"/>
      <c r="KWG163" s="1762"/>
      <c r="KWH163" s="1762"/>
      <c r="KWI163" s="1762"/>
      <c r="KWJ163" s="1762"/>
      <c r="KWK163" s="1762"/>
      <c r="KWL163" s="1762"/>
      <c r="KWM163" s="1762"/>
      <c r="KWN163" s="1762"/>
      <c r="KWO163" s="1762"/>
      <c r="KWP163" s="1762"/>
      <c r="KWQ163" s="1762"/>
      <c r="KWR163" s="1762"/>
      <c r="KWS163" s="1762"/>
      <c r="KWT163" s="1762"/>
      <c r="KWU163" s="1762"/>
      <c r="KWV163" s="1762"/>
      <c r="KWW163" s="1762"/>
      <c r="KWX163" s="1762"/>
      <c r="KWY163" s="1762"/>
      <c r="KWZ163" s="1762"/>
      <c r="KXA163" s="1762"/>
      <c r="KXB163" s="1762"/>
      <c r="KXC163" s="1762"/>
      <c r="KXD163" s="1762"/>
      <c r="KXE163" s="1762"/>
      <c r="KXF163" s="1762"/>
      <c r="KXG163" s="1762"/>
      <c r="KXH163" s="1762"/>
      <c r="KXI163" s="1762"/>
      <c r="KXJ163" s="1762"/>
      <c r="KXK163" s="1762"/>
      <c r="KXL163" s="1762"/>
      <c r="KXM163" s="1762"/>
      <c r="KXN163" s="1762"/>
      <c r="KXO163" s="1762"/>
      <c r="KXP163" s="1762"/>
      <c r="KXQ163" s="1762"/>
      <c r="KXR163" s="1762"/>
      <c r="KXS163" s="1762"/>
      <c r="KXT163" s="1762"/>
      <c r="KXU163" s="1762"/>
      <c r="KXV163" s="1762"/>
      <c r="KXW163" s="1762"/>
      <c r="KXX163" s="1762"/>
      <c r="KXY163" s="1762"/>
      <c r="KXZ163" s="1762"/>
      <c r="KYA163" s="1762"/>
      <c r="KYB163" s="1762"/>
      <c r="KYC163" s="1762"/>
      <c r="KYD163" s="1762"/>
      <c r="KYE163" s="1762"/>
      <c r="KYF163" s="1762"/>
      <c r="KYG163" s="1762"/>
      <c r="KYH163" s="1762"/>
      <c r="KYI163" s="1762"/>
      <c r="KYJ163" s="1762"/>
      <c r="KYK163" s="1762"/>
      <c r="KYL163" s="1762"/>
      <c r="KYM163" s="1762"/>
      <c r="KYN163" s="1762"/>
      <c r="KYO163" s="1762"/>
      <c r="KYP163" s="1762"/>
      <c r="KYQ163" s="1762"/>
      <c r="KYR163" s="1762"/>
      <c r="KYS163" s="1762"/>
      <c r="KYT163" s="1762"/>
      <c r="KYU163" s="1762"/>
      <c r="KYV163" s="1762"/>
      <c r="KYW163" s="1762"/>
      <c r="KYX163" s="1762"/>
      <c r="KYY163" s="1762"/>
      <c r="KYZ163" s="1762"/>
      <c r="KZA163" s="1762"/>
      <c r="KZB163" s="1762"/>
      <c r="KZC163" s="1762"/>
      <c r="KZD163" s="1762"/>
      <c r="KZE163" s="1762"/>
      <c r="KZF163" s="1762"/>
      <c r="KZG163" s="1762"/>
      <c r="KZH163" s="1762"/>
      <c r="KZI163" s="1762"/>
      <c r="KZJ163" s="1762"/>
      <c r="KZK163" s="1762"/>
      <c r="KZL163" s="1762"/>
      <c r="KZM163" s="1762"/>
      <c r="KZN163" s="1762"/>
      <c r="KZO163" s="1762"/>
      <c r="KZP163" s="1762"/>
      <c r="KZQ163" s="1762"/>
      <c r="KZR163" s="1762"/>
      <c r="KZS163" s="1762"/>
      <c r="KZT163" s="1762"/>
      <c r="KZU163" s="1762"/>
      <c r="KZV163" s="1762"/>
      <c r="KZW163" s="1762"/>
      <c r="KZX163" s="1762"/>
      <c r="KZY163" s="1762"/>
      <c r="KZZ163" s="1762"/>
      <c r="LAA163" s="1762"/>
      <c r="LAB163" s="1762"/>
      <c r="LAC163" s="1762"/>
      <c r="LAD163" s="1762"/>
      <c r="LAE163" s="1762"/>
      <c r="LAF163" s="1762"/>
      <c r="LAG163" s="1762"/>
      <c r="LAH163" s="1762"/>
      <c r="LAI163" s="1762"/>
      <c r="LAJ163" s="1762"/>
      <c r="LAK163" s="1762"/>
      <c r="LAL163" s="1762"/>
      <c r="LAM163" s="1762"/>
      <c r="LAN163" s="1762"/>
      <c r="LAO163" s="1762"/>
      <c r="LAP163" s="1762"/>
      <c r="LAQ163" s="1762"/>
      <c r="LAR163" s="1762"/>
      <c r="LAS163" s="1762"/>
      <c r="LAT163" s="1762"/>
      <c r="LAU163" s="1762"/>
      <c r="LAV163" s="1762"/>
      <c r="LAW163" s="1762"/>
      <c r="LAX163" s="1762"/>
      <c r="LAY163" s="1762"/>
      <c r="LAZ163" s="1762"/>
      <c r="LBA163" s="1762"/>
      <c r="LBB163" s="1762"/>
      <c r="LBC163" s="1762"/>
      <c r="LBD163" s="1762"/>
      <c r="LBE163" s="1762"/>
      <c r="LBF163" s="1762"/>
      <c r="LBG163" s="1762"/>
      <c r="LBH163" s="1762"/>
      <c r="LBI163" s="1762"/>
      <c r="LBJ163" s="1762"/>
      <c r="LBK163" s="1762"/>
      <c r="LBL163" s="1762"/>
      <c r="LBM163" s="1762"/>
      <c r="LBN163" s="1762"/>
      <c r="LBO163" s="1762"/>
      <c r="LBP163" s="1762"/>
      <c r="LBQ163" s="1762"/>
      <c r="LBR163" s="1762"/>
      <c r="LBS163" s="1762"/>
      <c r="LBT163" s="1762"/>
      <c r="LBU163" s="1762"/>
      <c r="LBV163" s="1762"/>
      <c r="LBW163" s="1762"/>
      <c r="LBX163" s="1762"/>
      <c r="LBY163" s="1762"/>
      <c r="LBZ163" s="1762"/>
      <c r="LCA163" s="1762"/>
      <c r="LCB163" s="1762"/>
      <c r="LCC163" s="1762"/>
      <c r="LCD163" s="1762"/>
      <c r="LCE163" s="1762"/>
      <c r="LCF163" s="1762"/>
      <c r="LCG163" s="1762"/>
      <c r="LCH163" s="1762"/>
      <c r="LCI163" s="1762"/>
      <c r="LCJ163" s="1762"/>
      <c r="LCK163" s="1762"/>
      <c r="LCL163" s="1762"/>
      <c r="LCM163" s="1762"/>
      <c r="LCN163" s="1762"/>
      <c r="LCO163" s="1762"/>
      <c r="LCP163" s="1762"/>
      <c r="LCQ163" s="1762"/>
      <c r="LCR163" s="1762"/>
      <c r="LCS163" s="1762"/>
      <c r="LCT163" s="1762"/>
      <c r="LCU163" s="1762"/>
      <c r="LCV163" s="1762"/>
      <c r="LCW163" s="1762"/>
      <c r="LCX163" s="1762"/>
      <c r="LCY163" s="1762"/>
      <c r="LCZ163" s="1762"/>
      <c r="LDA163" s="1762"/>
      <c r="LDB163" s="1762"/>
      <c r="LDC163" s="1762"/>
      <c r="LDD163" s="1762"/>
      <c r="LDE163" s="1762"/>
      <c r="LDF163" s="1762"/>
      <c r="LDG163" s="1762"/>
      <c r="LDH163" s="1762"/>
      <c r="LDI163" s="1762"/>
      <c r="LDJ163" s="1762"/>
      <c r="LDK163" s="1762"/>
      <c r="LDL163" s="1762"/>
      <c r="LDM163" s="1762"/>
      <c r="LDN163" s="1762"/>
      <c r="LDO163" s="1762"/>
      <c r="LDP163" s="1762"/>
      <c r="LDQ163" s="1762"/>
      <c r="LDR163" s="1762"/>
      <c r="LDS163" s="1762"/>
      <c r="LDT163" s="1762"/>
      <c r="LDU163" s="1762"/>
      <c r="LDV163" s="1762"/>
      <c r="LDW163" s="1762"/>
      <c r="LDX163" s="1762"/>
      <c r="LDY163" s="1762"/>
      <c r="LDZ163" s="1762"/>
      <c r="LEA163" s="1762"/>
      <c r="LEB163" s="1762"/>
      <c r="LEC163" s="1762"/>
      <c r="LED163" s="1762"/>
      <c r="LEE163" s="1762"/>
      <c r="LEF163" s="1762"/>
      <c r="LEG163" s="1762"/>
      <c r="LEH163" s="1762"/>
      <c r="LEI163" s="1762"/>
      <c r="LEJ163" s="1762"/>
      <c r="LEK163" s="1762"/>
      <c r="LEL163" s="1762"/>
      <c r="LEM163" s="1762"/>
      <c r="LEN163" s="1762"/>
      <c r="LEO163" s="1762"/>
      <c r="LEP163" s="1762"/>
      <c r="LEQ163" s="1762"/>
      <c r="LER163" s="1762"/>
      <c r="LES163" s="1762"/>
      <c r="LET163" s="1762"/>
      <c r="LEU163" s="1762"/>
      <c r="LEV163" s="1762"/>
      <c r="LEW163" s="1762"/>
      <c r="LEX163" s="1762"/>
      <c r="LEY163" s="1762"/>
      <c r="LEZ163" s="1762"/>
      <c r="LFA163" s="1762"/>
      <c r="LFB163" s="1762"/>
      <c r="LFC163" s="1762"/>
      <c r="LFD163" s="1762"/>
      <c r="LFE163" s="1762"/>
      <c r="LFF163" s="1762"/>
      <c r="LFG163" s="1762"/>
      <c r="LFH163" s="1762"/>
      <c r="LFI163" s="1762"/>
      <c r="LFJ163" s="1762"/>
      <c r="LFK163" s="1762"/>
      <c r="LFL163" s="1762"/>
      <c r="LFM163" s="1762"/>
      <c r="LFN163" s="1762"/>
      <c r="LFO163" s="1762"/>
      <c r="LFP163" s="1762"/>
      <c r="LFQ163" s="1762"/>
      <c r="LFR163" s="1762"/>
      <c r="LFS163" s="1762"/>
      <c r="LFT163" s="1762"/>
      <c r="LFU163" s="1762"/>
      <c r="LFV163" s="1762"/>
      <c r="LFW163" s="1762"/>
      <c r="LFX163" s="1762"/>
      <c r="LFY163" s="1762"/>
      <c r="LFZ163" s="1762"/>
      <c r="LGA163" s="1762"/>
      <c r="LGB163" s="1762"/>
      <c r="LGC163" s="1762"/>
      <c r="LGD163" s="1762"/>
      <c r="LGE163" s="1762"/>
      <c r="LGF163" s="1762"/>
      <c r="LGG163" s="1762"/>
      <c r="LGH163" s="1762"/>
      <c r="LGI163" s="1762"/>
      <c r="LGJ163" s="1762"/>
      <c r="LGK163" s="1762"/>
      <c r="LGL163" s="1762"/>
      <c r="LGM163" s="1762"/>
      <c r="LGN163" s="1762"/>
      <c r="LGO163" s="1762"/>
      <c r="LGP163" s="1762"/>
      <c r="LGQ163" s="1762"/>
      <c r="LGR163" s="1762"/>
      <c r="LGS163" s="1762"/>
      <c r="LGT163" s="1762"/>
      <c r="LGU163" s="1762"/>
      <c r="LGV163" s="1762"/>
      <c r="LGW163" s="1762"/>
      <c r="LGX163" s="1762"/>
      <c r="LGY163" s="1762"/>
      <c r="LGZ163" s="1762"/>
      <c r="LHA163" s="1762"/>
      <c r="LHB163" s="1762"/>
      <c r="LHC163" s="1762"/>
      <c r="LHD163" s="1762"/>
      <c r="LHE163" s="1762"/>
      <c r="LHF163" s="1762"/>
      <c r="LHG163" s="1762"/>
      <c r="LHH163" s="1762"/>
      <c r="LHI163" s="1762"/>
      <c r="LHJ163" s="1762"/>
      <c r="LHK163" s="1762"/>
      <c r="LHL163" s="1762"/>
      <c r="LHM163" s="1762"/>
      <c r="LHN163" s="1762"/>
      <c r="LHO163" s="1762"/>
      <c r="LHP163" s="1762"/>
      <c r="LHQ163" s="1762"/>
      <c r="LHR163" s="1762"/>
      <c r="LHS163" s="1762"/>
      <c r="LHT163" s="1762"/>
      <c r="LHU163" s="1762"/>
      <c r="LHV163" s="1762"/>
      <c r="LHW163" s="1762"/>
      <c r="LHX163" s="1762"/>
      <c r="LHY163" s="1762"/>
      <c r="LHZ163" s="1762"/>
      <c r="LIA163" s="1762"/>
      <c r="LIB163" s="1762"/>
      <c r="LIC163" s="1762"/>
      <c r="LID163" s="1762"/>
      <c r="LIE163" s="1762"/>
      <c r="LIF163" s="1762"/>
      <c r="LIG163" s="1762"/>
      <c r="LIH163" s="1762"/>
      <c r="LII163" s="1762"/>
      <c r="LIJ163" s="1762"/>
      <c r="LIK163" s="1762"/>
      <c r="LIL163" s="1762"/>
      <c r="LIM163" s="1762"/>
      <c r="LIN163" s="1762"/>
      <c r="LIO163" s="1762"/>
      <c r="LIP163" s="1762"/>
      <c r="LIQ163" s="1762"/>
      <c r="LIR163" s="1762"/>
      <c r="LIS163" s="1762"/>
      <c r="LIT163" s="1762"/>
      <c r="LIU163" s="1762"/>
      <c r="LIV163" s="1762"/>
      <c r="LIW163" s="1762"/>
      <c r="LIX163" s="1762"/>
      <c r="LIY163" s="1762"/>
      <c r="LIZ163" s="1762"/>
      <c r="LJA163" s="1762"/>
      <c r="LJB163" s="1762"/>
      <c r="LJC163" s="1762"/>
      <c r="LJD163" s="1762"/>
      <c r="LJE163" s="1762"/>
      <c r="LJF163" s="1762"/>
      <c r="LJG163" s="1762"/>
      <c r="LJH163" s="1762"/>
      <c r="LJI163" s="1762"/>
      <c r="LJJ163" s="1762"/>
      <c r="LJK163" s="1762"/>
      <c r="LJL163" s="1762"/>
      <c r="LJM163" s="1762"/>
      <c r="LJN163" s="1762"/>
      <c r="LJO163" s="1762"/>
      <c r="LJP163" s="1762"/>
      <c r="LJQ163" s="1762"/>
      <c r="LJR163" s="1762"/>
      <c r="LJS163" s="1762"/>
      <c r="LJT163" s="1762"/>
      <c r="LJU163" s="1762"/>
      <c r="LJV163" s="1762"/>
      <c r="LJW163" s="1762"/>
      <c r="LJX163" s="1762"/>
      <c r="LJY163" s="1762"/>
      <c r="LJZ163" s="1762"/>
      <c r="LKA163" s="1762"/>
      <c r="LKB163" s="1762"/>
      <c r="LKC163" s="1762"/>
      <c r="LKD163" s="1762"/>
      <c r="LKE163" s="1762"/>
      <c r="LKF163" s="1762"/>
      <c r="LKG163" s="1762"/>
      <c r="LKH163" s="1762"/>
      <c r="LKI163" s="1762"/>
      <c r="LKJ163" s="1762"/>
      <c r="LKK163" s="1762"/>
      <c r="LKL163" s="1762"/>
      <c r="LKM163" s="1762"/>
      <c r="LKN163" s="1762"/>
      <c r="LKO163" s="1762"/>
      <c r="LKP163" s="1762"/>
      <c r="LKQ163" s="1762"/>
      <c r="LKR163" s="1762"/>
      <c r="LKS163" s="1762"/>
      <c r="LKT163" s="1762"/>
      <c r="LKU163" s="1762"/>
      <c r="LKV163" s="1762"/>
      <c r="LKW163" s="1762"/>
      <c r="LKX163" s="1762"/>
      <c r="LKY163" s="1762"/>
      <c r="LKZ163" s="1762"/>
      <c r="LLA163" s="1762"/>
      <c r="LLB163" s="1762"/>
      <c r="LLC163" s="1762"/>
      <c r="LLD163" s="1762"/>
      <c r="LLE163" s="1762"/>
      <c r="LLF163" s="1762"/>
      <c r="LLG163" s="1762"/>
      <c r="LLH163" s="1762"/>
      <c r="LLI163" s="1762"/>
      <c r="LLJ163" s="1762"/>
      <c r="LLK163" s="1762"/>
      <c r="LLL163" s="1762"/>
      <c r="LLM163" s="1762"/>
      <c r="LLN163" s="1762"/>
      <c r="LLO163" s="1762"/>
      <c r="LLP163" s="1762"/>
      <c r="LLQ163" s="1762"/>
      <c r="LLR163" s="1762"/>
      <c r="LLS163" s="1762"/>
      <c r="LLT163" s="1762"/>
      <c r="LLU163" s="1762"/>
      <c r="LLV163" s="1762"/>
      <c r="LLW163" s="1762"/>
      <c r="LLX163" s="1762"/>
      <c r="LLY163" s="1762"/>
      <c r="LLZ163" s="1762"/>
      <c r="LMA163" s="1762"/>
      <c r="LMB163" s="1762"/>
      <c r="LMC163" s="1762"/>
      <c r="LMD163" s="1762"/>
      <c r="LME163" s="1762"/>
      <c r="LMF163" s="1762"/>
      <c r="LMG163" s="1762"/>
      <c r="LMH163" s="1762"/>
      <c r="LMI163" s="1762"/>
      <c r="LMJ163" s="1762"/>
      <c r="LMK163" s="1762"/>
      <c r="LML163" s="1762"/>
      <c r="LMM163" s="1762"/>
      <c r="LMN163" s="1762"/>
      <c r="LMO163" s="1762"/>
      <c r="LMP163" s="1762"/>
      <c r="LMQ163" s="1762"/>
      <c r="LMR163" s="1762"/>
      <c r="LMS163" s="1762"/>
      <c r="LMT163" s="1762"/>
      <c r="LMU163" s="1762"/>
      <c r="LMV163" s="1762"/>
      <c r="LMW163" s="1762"/>
      <c r="LMX163" s="1762"/>
      <c r="LMY163" s="1762"/>
      <c r="LMZ163" s="1762"/>
      <c r="LNA163" s="1762"/>
      <c r="LNB163" s="1762"/>
      <c r="LNC163" s="1762"/>
      <c r="LND163" s="1762"/>
      <c r="LNE163" s="1762"/>
      <c r="LNF163" s="1762"/>
      <c r="LNG163" s="1762"/>
      <c r="LNH163" s="1762"/>
      <c r="LNI163" s="1762"/>
      <c r="LNJ163" s="1762"/>
      <c r="LNK163" s="1762"/>
      <c r="LNL163" s="1762"/>
      <c r="LNM163" s="1762"/>
      <c r="LNN163" s="1762"/>
      <c r="LNO163" s="1762"/>
      <c r="LNP163" s="1762"/>
      <c r="LNQ163" s="1762"/>
      <c r="LNR163" s="1762"/>
      <c r="LNS163" s="1762"/>
      <c r="LNT163" s="1762"/>
      <c r="LNU163" s="1762"/>
      <c r="LNV163" s="1762"/>
      <c r="LNW163" s="1762"/>
      <c r="LNX163" s="1762"/>
      <c r="LNY163" s="1762"/>
      <c r="LNZ163" s="1762"/>
      <c r="LOA163" s="1762"/>
      <c r="LOB163" s="1762"/>
      <c r="LOC163" s="1762"/>
      <c r="LOD163" s="1762"/>
      <c r="LOE163" s="1762"/>
      <c r="LOF163" s="1762"/>
      <c r="LOG163" s="1762"/>
      <c r="LOH163" s="1762"/>
      <c r="LOI163" s="1762"/>
      <c r="LOJ163" s="1762"/>
      <c r="LOK163" s="1762"/>
      <c r="LOL163" s="1762"/>
      <c r="LOM163" s="1762"/>
      <c r="LON163" s="1762"/>
      <c r="LOO163" s="1762"/>
      <c r="LOP163" s="1762"/>
      <c r="LOQ163" s="1762"/>
      <c r="LOR163" s="1762"/>
      <c r="LOS163" s="1762"/>
      <c r="LOT163" s="1762"/>
      <c r="LOU163" s="1762"/>
      <c r="LOV163" s="1762"/>
      <c r="LOW163" s="1762"/>
      <c r="LOX163" s="1762"/>
      <c r="LOY163" s="1762"/>
      <c r="LOZ163" s="1762"/>
      <c r="LPA163" s="1762"/>
      <c r="LPB163" s="1762"/>
      <c r="LPC163" s="1762"/>
      <c r="LPD163" s="1762"/>
      <c r="LPE163" s="1762"/>
      <c r="LPF163" s="1762"/>
      <c r="LPG163" s="1762"/>
      <c r="LPH163" s="1762"/>
      <c r="LPI163" s="1762"/>
      <c r="LPJ163" s="1762"/>
      <c r="LPK163" s="1762"/>
      <c r="LPL163" s="1762"/>
      <c r="LPM163" s="1762"/>
      <c r="LPN163" s="1762"/>
      <c r="LPO163" s="1762"/>
      <c r="LPP163" s="1762"/>
      <c r="LPQ163" s="1762"/>
      <c r="LPR163" s="1762"/>
      <c r="LPS163" s="1762"/>
      <c r="LPT163" s="1762"/>
      <c r="LPU163" s="1762"/>
      <c r="LPV163" s="1762"/>
      <c r="LPW163" s="1762"/>
      <c r="LPX163" s="1762"/>
      <c r="LPY163" s="1762"/>
      <c r="LPZ163" s="1762"/>
      <c r="LQA163" s="1762"/>
      <c r="LQB163" s="1762"/>
      <c r="LQC163" s="1762"/>
      <c r="LQD163" s="1762"/>
      <c r="LQE163" s="1762"/>
      <c r="LQF163" s="1762"/>
      <c r="LQG163" s="1762"/>
      <c r="LQH163" s="1762"/>
      <c r="LQI163" s="1762"/>
      <c r="LQJ163" s="1762"/>
      <c r="LQK163" s="1762"/>
      <c r="LQL163" s="1762"/>
      <c r="LQM163" s="1762"/>
      <c r="LQN163" s="1762"/>
      <c r="LQO163" s="1762"/>
      <c r="LQP163" s="1762"/>
      <c r="LQQ163" s="1762"/>
      <c r="LQR163" s="1762"/>
      <c r="LQS163" s="1762"/>
      <c r="LQT163" s="1762"/>
      <c r="LQU163" s="1762"/>
      <c r="LQV163" s="1762"/>
      <c r="LQW163" s="1762"/>
      <c r="LQX163" s="1762"/>
      <c r="LQY163" s="1762"/>
      <c r="LQZ163" s="1762"/>
      <c r="LRA163" s="1762"/>
      <c r="LRB163" s="1762"/>
      <c r="LRC163" s="1762"/>
      <c r="LRD163" s="1762"/>
      <c r="LRE163" s="1762"/>
      <c r="LRF163" s="1762"/>
      <c r="LRG163" s="1762"/>
      <c r="LRH163" s="1762"/>
      <c r="LRI163" s="1762"/>
      <c r="LRJ163" s="1762"/>
      <c r="LRK163" s="1762"/>
      <c r="LRL163" s="1762"/>
      <c r="LRM163" s="1762"/>
      <c r="LRN163" s="1762"/>
      <c r="LRO163" s="1762"/>
      <c r="LRP163" s="1762"/>
      <c r="LRQ163" s="1762"/>
      <c r="LRR163" s="1762"/>
      <c r="LRS163" s="1762"/>
      <c r="LRT163" s="1762"/>
      <c r="LRU163" s="1762"/>
      <c r="LRV163" s="1762"/>
      <c r="LRW163" s="1762"/>
      <c r="LRX163" s="1762"/>
      <c r="LRY163" s="1762"/>
      <c r="LRZ163" s="1762"/>
      <c r="LSA163" s="1762"/>
      <c r="LSB163" s="1762"/>
      <c r="LSC163" s="1762"/>
      <c r="LSD163" s="1762"/>
      <c r="LSE163" s="1762"/>
      <c r="LSF163" s="1762"/>
      <c r="LSG163" s="1762"/>
      <c r="LSH163" s="1762"/>
      <c r="LSI163" s="1762"/>
      <c r="LSJ163" s="1762"/>
      <c r="LSK163" s="1762"/>
      <c r="LSL163" s="1762"/>
      <c r="LSM163" s="1762"/>
      <c r="LSN163" s="1762"/>
      <c r="LSO163" s="1762"/>
      <c r="LSP163" s="1762"/>
      <c r="LSQ163" s="1762"/>
      <c r="LSR163" s="1762"/>
      <c r="LSS163" s="1762"/>
      <c r="LST163" s="1762"/>
      <c r="LSU163" s="1762"/>
      <c r="LSV163" s="1762"/>
      <c r="LSW163" s="1762"/>
      <c r="LSX163" s="1762"/>
      <c r="LSY163" s="1762"/>
      <c r="LSZ163" s="1762"/>
      <c r="LTA163" s="1762"/>
      <c r="LTB163" s="1762"/>
      <c r="LTC163" s="1762"/>
      <c r="LTD163" s="1762"/>
      <c r="LTE163" s="1762"/>
      <c r="LTF163" s="1762"/>
      <c r="LTG163" s="1762"/>
      <c r="LTH163" s="1762"/>
      <c r="LTI163" s="1762"/>
      <c r="LTJ163" s="1762"/>
      <c r="LTK163" s="1762"/>
      <c r="LTL163" s="1762"/>
      <c r="LTM163" s="1762"/>
      <c r="LTN163" s="1762"/>
      <c r="LTO163" s="1762"/>
      <c r="LTP163" s="1762"/>
      <c r="LTQ163" s="1762"/>
      <c r="LTR163" s="1762"/>
      <c r="LTS163" s="1762"/>
      <c r="LTT163" s="1762"/>
      <c r="LTU163" s="1762"/>
      <c r="LTV163" s="1762"/>
      <c r="LTW163" s="1762"/>
      <c r="LTX163" s="1762"/>
      <c r="LTY163" s="1762"/>
      <c r="LTZ163" s="1762"/>
      <c r="LUA163" s="1762"/>
      <c r="LUB163" s="1762"/>
      <c r="LUC163" s="1762"/>
      <c r="LUD163" s="1762"/>
      <c r="LUE163" s="1762"/>
      <c r="LUF163" s="1762"/>
      <c r="LUG163" s="1762"/>
      <c r="LUH163" s="1762"/>
      <c r="LUI163" s="1762"/>
      <c r="LUJ163" s="1762"/>
      <c r="LUK163" s="1762"/>
      <c r="LUL163" s="1762"/>
      <c r="LUM163" s="1762"/>
      <c r="LUN163" s="1762"/>
      <c r="LUO163" s="1762"/>
      <c r="LUP163" s="1762"/>
      <c r="LUQ163" s="1762"/>
      <c r="LUR163" s="1762"/>
      <c r="LUS163" s="1762"/>
      <c r="LUT163" s="1762"/>
      <c r="LUU163" s="1762"/>
      <c r="LUV163" s="1762"/>
      <c r="LUW163" s="1762"/>
      <c r="LUX163" s="1762"/>
      <c r="LUY163" s="1762"/>
      <c r="LUZ163" s="1762"/>
      <c r="LVA163" s="1762"/>
      <c r="LVB163" s="1762"/>
      <c r="LVC163" s="1762"/>
      <c r="LVD163" s="1762"/>
      <c r="LVE163" s="1762"/>
      <c r="LVF163" s="1762"/>
      <c r="LVG163" s="1762"/>
      <c r="LVH163" s="1762"/>
      <c r="LVI163" s="1762"/>
      <c r="LVJ163" s="1762"/>
      <c r="LVK163" s="1762"/>
      <c r="LVL163" s="1762"/>
      <c r="LVM163" s="1762"/>
      <c r="LVN163" s="1762"/>
      <c r="LVO163" s="1762"/>
      <c r="LVP163" s="1762"/>
      <c r="LVQ163" s="1762"/>
      <c r="LVR163" s="1762"/>
      <c r="LVS163" s="1762"/>
      <c r="LVT163" s="1762"/>
      <c r="LVU163" s="1762"/>
      <c r="LVV163" s="1762"/>
      <c r="LVW163" s="1762"/>
      <c r="LVX163" s="1762"/>
      <c r="LVY163" s="1762"/>
      <c r="LVZ163" s="1762"/>
      <c r="LWA163" s="1762"/>
      <c r="LWB163" s="1762"/>
      <c r="LWC163" s="1762"/>
      <c r="LWD163" s="1762"/>
      <c r="LWE163" s="1762"/>
      <c r="LWF163" s="1762"/>
      <c r="LWG163" s="1762"/>
      <c r="LWH163" s="1762"/>
      <c r="LWI163" s="1762"/>
      <c r="LWJ163" s="1762"/>
      <c r="LWK163" s="1762"/>
      <c r="LWL163" s="1762"/>
      <c r="LWM163" s="1762"/>
      <c r="LWN163" s="1762"/>
      <c r="LWO163" s="1762"/>
      <c r="LWP163" s="1762"/>
      <c r="LWQ163" s="1762"/>
      <c r="LWR163" s="1762"/>
      <c r="LWS163" s="1762"/>
      <c r="LWT163" s="1762"/>
      <c r="LWU163" s="1762"/>
      <c r="LWV163" s="1762"/>
      <c r="LWW163" s="1762"/>
      <c r="LWX163" s="1762"/>
      <c r="LWY163" s="1762"/>
      <c r="LWZ163" s="1762"/>
      <c r="LXA163" s="1762"/>
      <c r="LXB163" s="1762"/>
      <c r="LXC163" s="1762"/>
      <c r="LXD163" s="1762"/>
      <c r="LXE163" s="1762"/>
      <c r="LXF163" s="1762"/>
      <c r="LXG163" s="1762"/>
      <c r="LXH163" s="1762"/>
      <c r="LXI163" s="1762"/>
      <c r="LXJ163" s="1762"/>
      <c r="LXK163" s="1762"/>
      <c r="LXL163" s="1762"/>
      <c r="LXM163" s="1762"/>
      <c r="LXN163" s="1762"/>
      <c r="LXO163" s="1762"/>
      <c r="LXP163" s="1762"/>
      <c r="LXQ163" s="1762"/>
      <c r="LXR163" s="1762"/>
      <c r="LXS163" s="1762"/>
      <c r="LXT163" s="1762"/>
      <c r="LXU163" s="1762"/>
      <c r="LXV163" s="1762"/>
      <c r="LXW163" s="1762"/>
      <c r="LXX163" s="1762"/>
      <c r="LXY163" s="1762"/>
      <c r="LXZ163" s="1762"/>
      <c r="LYA163" s="1762"/>
      <c r="LYB163" s="1762"/>
      <c r="LYC163" s="1762"/>
      <c r="LYD163" s="1762"/>
      <c r="LYE163" s="1762"/>
      <c r="LYF163" s="1762"/>
      <c r="LYG163" s="1762"/>
      <c r="LYH163" s="1762"/>
      <c r="LYI163" s="1762"/>
      <c r="LYJ163" s="1762"/>
      <c r="LYK163" s="1762"/>
      <c r="LYL163" s="1762"/>
      <c r="LYM163" s="1762"/>
      <c r="LYN163" s="1762"/>
      <c r="LYO163" s="1762"/>
      <c r="LYP163" s="1762"/>
      <c r="LYQ163" s="1762"/>
      <c r="LYR163" s="1762"/>
      <c r="LYS163" s="1762"/>
      <c r="LYT163" s="1762"/>
      <c r="LYU163" s="1762"/>
      <c r="LYV163" s="1762"/>
      <c r="LYW163" s="1762"/>
      <c r="LYX163" s="1762"/>
      <c r="LYY163" s="1762"/>
      <c r="LYZ163" s="1762"/>
      <c r="LZA163" s="1762"/>
      <c r="LZB163" s="1762"/>
      <c r="LZC163" s="1762"/>
      <c r="LZD163" s="1762"/>
      <c r="LZE163" s="1762"/>
      <c r="LZF163" s="1762"/>
      <c r="LZG163" s="1762"/>
      <c r="LZH163" s="1762"/>
      <c r="LZI163" s="1762"/>
      <c r="LZJ163" s="1762"/>
      <c r="LZK163" s="1762"/>
      <c r="LZL163" s="1762"/>
      <c r="LZM163" s="1762"/>
      <c r="LZN163" s="1762"/>
      <c r="LZO163" s="1762"/>
      <c r="LZP163" s="1762"/>
      <c r="LZQ163" s="1762"/>
      <c r="LZR163" s="1762"/>
      <c r="LZS163" s="1762"/>
      <c r="LZT163" s="1762"/>
      <c r="LZU163" s="1762"/>
      <c r="LZV163" s="1762"/>
      <c r="LZW163" s="1762"/>
      <c r="LZX163" s="1762"/>
      <c r="LZY163" s="1762"/>
      <c r="LZZ163" s="1762"/>
      <c r="MAA163" s="1762"/>
      <c r="MAB163" s="1762"/>
      <c r="MAC163" s="1762"/>
      <c r="MAD163" s="1762"/>
      <c r="MAE163" s="1762"/>
      <c r="MAF163" s="1762"/>
      <c r="MAG163" s="1762"/>
      <c r="MAH163" s="1762"/>
      <c r="MAI163" s="1762"/>
      <c r="MAJ163" s="1762"/>
      <c r="MAK163" s="1762"/>
      <c r="MAL163" s="1762"/>
      <c r="MAM163" s="1762"/>
      <c r="MAN163" s="1762"/>
      <c r="MAO163" s="1762"/>
      <c r="MAP163" s="1762"/>
      <c r="MAQ163" s="1762"/>
      <c r="MAR163" s="1762"/>
      <c r="MAS163" s="1762"/>
      <c r="MAT163" s="1762"/>
      <c r="MAU163" s="1762"/>
      <c r="MAV163" s="1762"/>
      <c r="MAW163" s="1762"/>
      <c r="MAX163" s="1762"/>
      <c r="MAY163" s="1762"/>
      <c r="MAZ163" s="1762"/>
      <c r="MBA163" s="1762"/>
      <c r="MBB163" s="1762"/>
      <c r="MBC163" s="1762"/>
      <c r="MBD163" s="1762"/>
      <c r="MBE163" s="1762"/>
      <c r="MBF163" s="1762"/>
      <c r="MBG163" s="1762"/>
      <c r="MBH163" s="1762"/>
      <c r="MBI163" s="1762"/>
      <c r="MBJ163" s="1762"/>
      <c r="MBK163" s="1762"/>
      <c r="MBL163" s="1762"/>
      <c r="MBM163" s="1762"/>
      <c r="MBN163" s="1762"/>
      <c r="MBO163" s="1762"/>
      <c r="MBP163" s="1762"/>
      <c r="MBQ163" s="1762"/>
      <c r="MBR163" s="1762"/>
      <c r="MBS163" s="1762"/>
      <c r="MBT163" s="1762"/>
      <c r="MBU163" s="1762"/>
      <c r="MBV163" s="1762"/>
      <c r="MBW163" s="1762"/>
      <c r="MBX163" s="1762"/>
      <c r="MBY163" s="1762"/>
      <c r="MBZ163" s="1762"/>
      <c r="MCA163" s="1762"/>
      <c r="MCB163" s="1762"/>
      <c r="MCC163" s="1762"/>
      <c r="MCD163" s="1762"/>
      <c r="MCE163" s="1762"/>
      <c r="MCF163" s="1762"/>
      <c r="MCG163" s="1762"/>
      <c r="MCH163" s="1762"/>
      <c r="MCI163" s="1762"/>
      <c r="MCJ163" s="1762"/>
      <c r="MCK163" s="1762"/>
      <c r="MCL163" s="1762"/>
      <c r="MCM163" s="1762"/>
      <c r="MCN163" s="1762"/>
      <c r="MCO163" s="1762"/>
      <c r="MCP163" s="1762"/>
      <c r="MCQ163" s="1762"/>
      <c r="MCR163" s="1762"/>
      <c r="MCS163" s="1762"/>
      <c r="MCT163" s="1762"/>
      <c r="MCU163" s="1762"/>
      <c r="MCV163" s="1762"/>
      <c r="MCW163" s="1762"/>
      <c r="MCX163" s="1762"/>
      <c r="MCY163" s="1762"/>
      <c r="MCZ163" s="1762"/>
      <c r="MDA163" s="1762"/>
      <c r="MDB163" s="1762"/>
      <c r="MDC163" s="1762"/>
      <c r="MDD163" s="1762"/>
      <c r="MDE163" s="1762"/>
      <c r="MDF163" s="1762"/>
      <c r="MDG163" s="1762"/>
      <c r="MDH163" s="1762"/>
      <c r="MDI163" s="1762"/>
      <c r="MDJ163" s="1762"/>
      <c r="MDK163" s="1762"/>
      <c r="MDL163" s="1762"/>
      <c r="MDM163" s="1762"/>
      <c r="MDN163" s="1762"/>
      <c r="MDO163" s="1762"/>
      <c r="MDP163" s="1762"/>
      <c r="MDQ163" s="1762"/>
      <c r="MDR163" s="1762"/>
      <c r="MDS163" s="1762"/>
      <c r="MDT163" s="1762"/>
      <c r="MDU163" s="1762"/>
      <c r="MDV163" s="1762"/>
      <c r="MDW163" s="1762"/>
      <c r="MDX163" s="1762"/>
      <c r="MDY163" s="1762"/>
      <c r="MDZ163" s="1762"/>
      <c r="MEA163" s="1762"/>
      <c r="MEB163" s="1762"/>
      <c r="MEC163" s="1762"/>
      <c r="MED163" s="1762"/>
      <c r="MEE163" s="1762"/>
      <c r="MEF163" s="1762"/>
      <c r="MEG163" s="1762"/>
      <c r="MEH163" s="1762"/>
      <c r="MEI163" s="1762"/>
      <c r="MEJ163" s="1762"/>
      <c r="MEK163" s="1762"/>
      <c r="MEL163" s="1762"/>
      <c r="MEM163" s="1762"/>
      <c r="MEN163" s="1762"/>
      <c r="MEO163" s="1762"/>
      <c r="MEP163" s="1762"/>
      <c r="MEQ163" s="1762"/>
      <c r="MER163" s="1762"/>
      <c r="MES163" s="1762"/>
      <c r="MET163" s="1762"/>
      <c r="MEU163" s="1762"/>
      <c r="MEV163" s="1762"/>
      <c r="MEW163" s="1762"/>
      <c r="MEX163" s="1762"/>
      <c r="MEY163" s="1762"/>
      <c r="MEZ163" s="1762"/>
      <c r="MFA163" s="1762"/>
      <c r="MFB163" s="1762"/>
      <c r="MFC163" s="1762"/>
      <c r="MFD163" s="1762"/>
      <c r="MFE163" s="1762"/>
      <c r="MFF163" s="1762"/>
      <c r="MFG163" s="1762"/>
      <c r="MFH163" s="1762"/>
      <c r="MFI163" s="1762"/>
      <c r="MFJ163" s="1762"/>
      <c r="MFK163" s="1762"/>
      <c r="MFL163" s="1762"/>
      <c r="MFM163" s="1762"/>
      <c r="MFN163" s="1762"/>
      <c r="MFO163" s="1762"/>
      <c r="MFP163" s="1762"/>
      <c r="MFQ163" s="1762"/>
      <c r="MFR163" s="1762"/>
      <c r="MFS163" s="1762"/>
      <c r="MFT163" s="1762"/>
      <c r="MFU163" s="1762"/>
      <c r="MFV163" s="1762"/>
      <c r="MFW163" s="1762"/>
      <c r="MFX163" s="1762"/>
      <c r="MFY163" s="1762"/>
      <c r="MFZ163" s="1762"/>
      <c r="MGA163" s="1762"/>
      <c r="MGB163" s="1762"/>
      <c r="MGC163" s="1762"/>
      <c r="MGD163" s="1762"/>
      <c r="MGE163" s="1762"/>
      <c r="MGF163" s="1762"/>
      <c r="MGG163" s="1762"/>
      <c r="MGH163" s="1762"/>
      <c r="MGI163" s="1762"/>
      <c r="MGJ163" s="1762"/>
      <c r="MGK163" s="1762"/>
      <c r="MGL163" s="1762"/>
      <c r="MGM163" s="1762"/>
      <c r="MGN163" s="1762"/>
      <c r="MGO163" s="1762"/>
      <c r="MGP163" s="1762"/>
      <c r="MGQ163" s="1762"/>
      <c r="MGR163" s="1762"/>
      <c r="MGS163" s="1762"/>
      <c r="MGT163" s="1762"/>
      <c r="MGU163" s="1762"/>
      <c r="MGV163" s="1762"/>
      <c r="MGW163" s="1762"/>
      <c r="MGX163" s="1762"/>
      <c r="MGY163" s="1762"/>
      <c r="MGZ163" s="1762"/>
      <c r="MHA163" s="1762"/>
      <c r="MHB163" s="1762"/>
      <c r="MHC163" s="1762"/>
      <c r="MHD163" s="1762"/>
      <c r="MHE163" s="1762"/>
      <c r="MHF163" s="1762"/>
      <c r="MHG163" s="1762"/>
      <c r="MHH163" s="1762"/>
      <c r="MHI163" s="1762"/>
      <c r="MHJ163" s="1762"/>
      <c r="MHK163" s="1762"/>
      <c r="MHL163" s="1762"/>
      <c r="MHM163" s="1762"/>
      <c r="MHN163" s="1762"/>
      <c r="MHO163" s="1762"/>
      <c r="MHP163" s="1762"/>
      <c r="MHQ163" s="1762"/>
      <c r="MHR163" s="1762"/>
      <c r="MHS163" s="1762"/>
      <c r="MHT163" s="1762"/>
      <c r="MHU163" s="1762"/>
      <c r="MHV163" s="1762"/>
      <c r="MHW163" s="1762"/>
      <c r="MHX163" s="1762"/>
      <c r="MHY163" s="1762"/>
      <c r="MHZ163" s="1762"/>
      <c r="MIA163" s="1762"/>
      <c r="MIB163" s="1762"/>
      <c r="MIC163" s="1762"/>
      <c r="MID163" s="1762"/>
      <c r="MIE163" s="1762"/>
      <c r="MIF163" s="1762"/>
      <c r="MIG163" s="1762"/>
      <c r="MIH163" s="1762"/>
      <c r="MII163" s="1762"/>
      <c r="MIJ163" s="1762"/>
      <c r="MIK163" s="1762"/>
      <c r="MIL163" s="1762"/>
      <c r="MIM163" s="1762"/>
      <c r="MIN163" s="1762"/>
      <c r="MIO163" s="1762"/>
      <c r="MIP163" s="1762"/>
      <c r="MIQ163" s="1762"/>
      <c r="MIR163" s="1762"/>
      <c r="MIS163" s="1762"/>
      <c r="MIT163" s="1762"/>
      <c r="MIU163" s="1762"/>
      <c r="MIV163" s="1762"/>
      <c r="MIW163" s="1762"/>
      <c r="MIX163" s="1762"/>
      <c r="MIY163" s="1762"/>
      <c r="MIZ163" s="1762"/>
      <c r="MJA163" s="1762"/>
      <c r="MJB163" s="1762"/>
      <c r="MJC163" s="1762"/>
      <c r="MJD163" s="1762"/>
      <c r="MJE163" s="1762"/>
      <c r="MJF163" s="1762"/>
      <c r="MJG163" s="1762"/>
      <c r="MJH163" s="1762"/>
      <c r="MJI163" s="1762"/>
      <c r="MJJ163" s="1762"/>
      <c r="MJK163" s="1762"/>
      <c r="MJL163" s="1762"/>
      <c r="MJM163" s="1762"/>
      <c r="MJN163" s="1762"/>
      <c r="MJO163" s="1762"/>
      <c r="MJP163" s="1762"/>
      <c r="MJQ163" s="1762"/>
      <c r="MJR163" s="1762"/>
      <c r="MJS163" s="1762"/>
      <c r="MJT163" s="1762"/>
      <c r="MJU163" s="1762"/>
      <c r="MJV163" s="1762"/>
      <c r="MJW163" s="1762"/>
      <c r="MJX163" s="1762"/>
      <c r="MJY163" s="1762"/>
      <c r="MJZ163" s="1762"/>
      <c r="MKA163" s="1762"/>
      <c r="MKB163" s="1762"/>
      <c r="MKC163" s="1762"/>
      <c r="MKD163" s="1762"/>
      <c r="MKE163" s="1762"/>
      <c r="MKF163" s="1762"/>
      <c r="MKG163" s="1762"/>
      <c r="MKH163" s="1762"/>
      <c r="MKI163" s="1762"/>
      <c r="MKJ163" s="1762"/>
      <c r="MKK163" s="1762"/>
      <c r="MKL163" s="1762"/>
      <c r="MKM163" s="1762"/>
      <c r="MKN163" s="1762"/>
      <c r="MKO163" s="1762"/>
      <c r="MKP163" s="1762"/>
      <c r="MKQ163" s="1762"/>
      <c r="MKR163" s="1762"/>
      <c r="MKS163" s="1762"/>
      <c r="MKT163" s="1762"/>
      <c r="MKU163" s="1762"/>
      <c r="MKV163" s="1762"/>
      <c r="MKW163" s="1762"/>
      <c r="MKX163" s="1762"/>
      <c r="MKY163" s="1762"/>
      <c r="MKZ163" s="1762"/>
      <c r="MLA163" s="1762"/>
      <c r="MLB163" s="1762"/>
      <c r="MLC163" s="1762"/>
      <c r="MLD163" s="1762"/>
      <c r="MLE163" s="1762"/>
      <c r="MLF163" s="1762"/>
      <c r="MLG163" s="1762"/>
      <c r="MLH163" s="1762"/>
      <c r="MLI163" s="1762"/>
      <c r="MLJ163" s="1762"/>
      <c r="MLK163" s="1762"/>
      <c r="MLL163" s="1762"/>
      <c r="MLM163" s="1762"/>
      <c r="MLN163" s="1762"/>
      <c r="MLO163" s="1762"/>
      <c r="MLP163" s="1762"/>
      <c r="MLQ163" s="1762"/>
      <c r="MLR163" s="1762"/>
      <c r="MLS163" s="1762"/>
      <c r="MLT163" s="1762"/>
      <c r="MLU163" s="1762"/>
      <c r="MLV163" s="1762"/>
      <c r="MLW163" s="1762"/>
      <c r="MLX163" s="1762"/>
      <c r="MLY163" s="1762"/>
      <c r="MLZ163" s="1762"/>
      <c r="MMA163" s="1762"/>
      <c r="MMB163" s="1762"/>
      <c r="MMC163" s="1762"/>
      <c r="MMD163" s="1762"/>
      <c r="MME163" s="1762"/>
      <c r="MMF163" s="1762"/>
      <c r="MMG163" s="1762"/>
      <c r="MMH163" s="1762"/>
      <c r="MMI163" s="1762"/>
      <c r="MMJ163" s="1762"/>
      <c r="MMK163" s="1762"/>
      <c r="MML163" s="1762"/>
      <c r="MMM163" s="1762"/>
      <c r="MMN163" s="1762"/>
      <c r="MMO163" s="1762"/>
      <c r="MMP163" s="1762"/>
      <c r="MMQ163" s="1762"/>
      <c r="MMR163" s="1762"/>
      <c r="MMS163" s="1762"/>
      <c r="MMT163" s="1762"/>
      <c r="MMU163" s="1762"/>
      <c r="MMV163" s="1762"/>
      <c r="MMW163" s="1762"/>
      <c r="MMX163" s="1762"/>
      <c r="MMY163" s="1762"/>
      <c r="MMZ163" s="1762"/>
      <c r="MNA163" s="1762"/>
      <c r="MNB163" s="1762"/>
      <c r="MNC163" s="1762"/>
      <c r="MND163" s="1762"/>
      <c r="MNE163" s="1762"/>
      <c r="MNF163" s="1762"/>
      <c r="MNG163" s="1762"/>
      <c r="MNH163" s="1762"/>
      <c r="MNI163" s="1762"/>
      <c r="MNJ163" s="1762"/>
      <c r="MNK163" s="1762"/>
      <c r="MNL163" s="1762"/>
      <c r="MNM163" s="1762"/>
      <c r="MNN163" s="1762"/>
      <c r="MNO163" s="1762"/>
      <c r="MNP163" s="1762"/>
      <c r="MNQ163" s="1762"/>
      <c r="MNR163" s="1762"/>
      <c r="MNS163" s="1762"/>
      <c r="MNT163" s="1762"/>
      <c r="MNU163" s="1762"/>
      <c r="MNV163" s="1762"/>
      <c r="MNW163" s="1762"/>
      <c r="MNX163" s="1762"/>
      <c r="MNY163" s="1762"/>
      <c r="MNZ163" s="1762"/>
      <c r="MOA163" s="1762"/>
      <c r="MOB163" s="1762"/>
      <c r="MOC163" s="1762"/>
      <c r="MOD163" s="1762"/>
      <c r="MOE163" s="1762"/>
      <c r="MOF163" s="1762"/>
      <c r="MOG163" s="1762"/>
      <c r="MOH163" s="1762"/>
      <c r="MOI163" s="1762"/>
      <c r="MOJ163" s="1762"/>
      <c r="MOK163" s="1762"/>
      <c r="MOL163" s="1762"/>
      <c r="MOM163" s="1762"/>
      <c r="MON163" s="1762"/>
      <c r="MOO163" s="1762"/>
      <c r="MOP163" s="1762"/>
      <c r="MOQ163" s="1762"/>
      <c r="MOR163" s="1762"/>
      <c r="MOS163" s="1762"/>
      <c r="MOT163" s="1762"/>
      <c r="MOU163" s="1762"/>
      <c r="MOV163" s="1762"/>
      <c r="MOW163" s="1762"/>
      <c r="MOX163" s="1762"/>
      <c r="MOY163" s="1762"/>
      <c r="MOZ163" s="1762"/>
      <c r="MPA163" s="1762"/>
      <c r="MPB163" s="1762"/>
      <c r="MPC163" s="1762"/>
      <c r="MPD163" s="1762"/>
      <c r="MPE163" s="1762"/>
      <c r="MPF163" s="1762"/>
      <c r="MPG163" s="1762"/>
      <c r="MPH163" s="1762"/>
      <c r="MPI163" s="1762"/>
      <c r="MPJ163" s="1762"/>
      <c r="MPK163" s="1762"/>
      <c r="MPL163" s="1762"/>
      <c r="MPM163" s="1762"/>
      <c r="MPN163" s="1762"/>
      <c r="MPO163" s="1762"/>
      <c r="MPP163" s="1762"/>
      <c r="MPQ163" s="1762"/>
      <c r="MPR163" s="1762"/>
      <c r="MPS163" s="1762"/>
      <c r="MPT163" s="1762"/>
      <c r="MPU163" s="1762"/>
      <c r="MPV163" s="1762"/>
      <c r="MPW163" s="1762"/>
      <c r="MPX163" s="1762"/>
      <c r="MPY163" s="1762"/>
      <c r="MPZ163" s="1762"/>
      <c r="MQA163" s="1762"/>
      <c r="MQB163" s="1762"/>
      <c r="MQC163" s="1762"/>
      <c r="MQD163" s="1762"/>
      <c r="MQE163" s="1762"/>
      <c r="MQF163" s="1762"/>
      <c r="MQG163" s="1762"/>
      <c r="MQH163" s="1762"/>
      <c r="MQI163" s="1762"/>
      <c r="MQJ163" s="1762"/>
      <c r="MQK163" s="1762"/>
      <c r="MQL163" s="1762"/>
      <c r="MQM163" s="1762"/>
      <c r="MQN163" s="1762"/>
      <c r="MQO163" s="1762"/>
      <c r="MQP163" s="1762"/>
      <c r="MQQ163" s="1762"/>
      <c r="MQR163" s="1762"/>
      <c r="MQS163" s="1762"/>
      <c r="MQT163" s="1762"/>
      <c r="MQU163" s="1762"/>
      <c r="MQV163" s="1762"/>
      <c r="MQW163" s="1762"/>
      <c r="MQX163" s="1762"/>
      <c r="MQY163" s="1762"/>
      <c r="MQZ163" s="1762"/>
      <c r="MRA163" s="1762"/>
      <c r="MRB163" s="1762"/>
      <c r="MRC163" s="1762"/>
      <c r="MRD163" s="1762"/>
      <c r="MRE163" s="1762"/>
      <c r="MRF163" s="1762"/>
      <c r="MRG163" s="1762"/>
      <c r="MRH163" s="1762"/>
      <c r="MRI163" s="1762"/>
      <c r="MRJ163" s="1762"/>
      <c r="MRK163" s="1762"/>
      <c r="MRL163" s="1762"/>
      <c r="MRM163" s="1762"/>
      <c r="MRN163" s="1762"/>
      <c r="MRO163" s="1762"/>
      <c r="MRP163" s="1762"/>
      <c r="MRQ163" s="1762"/>
      <c r="MRR163" s="1762"/>
      <c r="MRS163" s="1762"/>
      <c r="MRT163" s="1762"/>
      <c r="MRU163" s="1762"/>
      <c r="MRV163" s="1762"/>
      <c r="MRW163" s="1762"/>
      <c r="MRX163" s="1762"/>
      <c r="MRY163" s="1762"/>
      <c r="MRZ163" s="1762"/>
      <c r="MSA163" s="1762"/>
      <c r="MSB163" s="1762"/>
      <c r="MSC163" s="1762"/>
      <c r="MSD163" s="1762"/>
      <c r="MSE163" s="1762"/>
      <c r="MSF163" s="1762"/>
      <c r="MSG163" s="1762"/>
      <c r="MSH163" s="1762"/>
      <c r="MSI163" s="1762"/>
      <c r="MSJ163" s="1762"/>
      <c r="MSK163" s="1762"/>
      <c r="MSL163" s="1762"/>
      <c r="MSM163" s="1762"/>
      <c r="MSN163" s="1762"/>
      <c r="MSO163" s="1762"/>
      <c r="MSP163" s="1762"/>
      <c r="MSQ163" s="1762"/>
      <c r="MSR163" s="1762"/>
      <c r="MSS163" s="1762"/>
      <c r="MST163" s="1762"/>
      <c r="MSU163" s="1762"/>
      <c r="MSV163" s="1762"/>
      <c r="MSW163" s="1762"/>
      <c r="MSX163" s="1762"/>
      <c r="MSY163" s="1762"/>
      <c r="MSZ163" s="1762"/>
      <c r="MTA163" s="1762"/>
      <c r="MTB163" s="1762"/>
      <c r="MTC163" s="1762"/>
      <c r="MTD163" s="1762"/>
      <c r="MTE163" s="1762"/>
      <c r="MTF163" s="1762"/>
      <c r="MTG163" s="1762"/>
      <c r="MTH163" s="1762"/>
      <c r="MTI163" s="1762"/>
      <c r="MTJ163" s="1762"/>
      <c r="MTK163" s="1762"/>
      <c r="MTL163" s="1762"/>
      <c r="MTM163" s="1762"/>
      <c r="MTN163" s="1762"/>
      <c r="MTO163" s="1762"/>
      <c r="MTP163" s="1762"/>
      <c r="MTQ163" s="1762"/>
      <c r="MTR163" s="1762"/>
      <c r="MTS163" s="1762"/>
      <c r="MTT163" s="1762"/>
      <c r="MTU163" s="1762"/>
      <c r="MTV163" s="1762"/>
      <c r="MTW163" s="1762"/>
      <c r="MTX163" s="1762"/>
      <c r="MTY163" s="1762"/>
      <c r="MTZ163" s="1762"/>
      <c r="MUA163" s="1762"/>
      <c r="MUB163" s="1762"/>
      <c r="MUC163" s="1762"/>
      <c r="MUD163" s="1762"/>
      <c r="MUE163" s="1762"/>
      <c r="MUF163" s="1762"/>
      <c r="MUG163" s="1762"/>
      <c r="MUH163" s="1762"/>
      <c r="MUI163" s="1762"/>
      <c r="MUJ163" s="1762"/>
      <c r="MUK163" s="1762"/>
      <c r="MUL163" s="1762"/>
      <c r="MUM163" s="1762"/>
      <c r="MUN163" s="1762"/>
      <c r="MUO163" s="1762"/>
      <c r="MUP163" s="1762"/>
      <c r="MUQ163" s="1762"/>
      <c r="MUR163" s="1762"/>
      <c r="MUS163" s="1762"/>
      <c r="MUT163" s="1762"/>
      <c r="MUU163" s="1762"/>
      <c r="MUV163" s="1762"/>
      <c r="MUW163" s="1762"/>
      <c r="MUX163" s="1762"/>
      <c r="MUY163" s="1762"/>
      <c r="MUZ163" s="1762"/>
      <c r="MVA163" s="1762"/>
      <c r="MVB163" s="1762"/>
      <c r="MVC163" s="1762"/>
      <c r="MVD163" s="1762"/>
      <c r="MVE163" s="1762"/>
      <c r="MVF163" s="1762"/>
      <c r="MVG163" s="1762"/>
      <c r="MVH163" s="1762"/>
      <c r="MVI163" s="1762"/>
      <c r="MVJ163" s="1762"/>
      <c r="MVK163" s="1762"/>
      <c r="MVL163" s="1762"/>
      <c r="MVM163" s="1762"/>
      <c r="MVN163" s="1762"/>
      <c r="MVO163" s="1762"/>
      <c r="MVP163" s="1762"/>
      <c r="MVQ163" s="1762"/>
      <c r="MVR163" s="1762"/>
      <c r="MVS163" s="1762"/>
      <c r="MVT163" s="1762"/>
      <c r="MVU163" s="1762"/>
      <c r="MVV163" s="1762"/>
      <c r="MVW163" s="1762"/>
      <c r="MVX163" s="1762"/>
      <c r="MVY163" s="1762"/>
      <c r="MVZ163" s="1762"/>
      <c r="MWA163" s="1762"/>
      <c r="MWB163" s="1762"/>
      <c r="MWC163" s="1762"/>
      <c r="MWD163" s="1762"/>
      <c r="MWE163" s="1762"/>
      <c r="MWF163" s="1762"/>
      <c r="MWG163" s="1762"/>
      <c r="MWH163" s="1762"/>
      <c r="MWI163" s="1762"/>
      <c r="MWJ163" s="1762"/>
      <c r="MWK163" s="1762"/>
      <c r="MWL163" s="1762"/>
      <c r="MWM163" s="1762"/>
      <c r="MWN163" s="1762"/>
      <c r="MWO163" s="1762"/>
      <c r="MWP163" s="1762"/>
      <c r="MWQ163" s="1762"/>
      <c r="MWR163" s="1762"/>
      <c r="MWS163" s="1762"/>
      <c r="MWT163" s="1762"/>
      <c r="MWU163" s="1762"/>
      <c r="MWV163" s="1762"/>
      <c r="MWW163" s="1762"/>
      <c r="MWX163" s="1762"/>
      <c r="MWY163" s="1762"/>
      <c r="MWZ163" s="1762"/>
      <c r="MXA163" s="1762"/>
      <c r="MXB163" s="1762"/>
      <c r="MXC163" s="1762"/>
      <c r="MXD163" s="1762"/>
      <c r="MXE163" s="1762"/>
      <c r="MXF163" s="1762"/>
      <c r="MXG163" s="1762"/>
      <c r="MXH163" s="1762"/>
      <c r="MXI163" s="1762"/>
      <c r="MXJ163" s="1762"/>
      <c r="MXK163" s="1762"/>
      <c r="MXL163" s="1762"/>
      <c r="MXM163" s="1762"/>
      <c r="MXN163" s="1762"/>
      <c r="MXO163" s="1762"/>
      <c r="MXP163" s="1762"/>
      <c r="MXQ163" s="1762"/>
      <c r="MXR163" s="1762"/>
      <c r="MXS163" s="1762"/>
      <c r="MXT163" s="1762"/>
      <c r="MXU163" s="1762"/>
      <c r="MXV163" s="1762"/>
      <c r="MXW163" s="1762"/>
      <c r="MXX163" s="1762"/>
      <c r="MXY163" s="1762"/>
      <c r="MXZ163" s="1762"/>
      <c r="MYA163" s="1762"/>
      <c r="MYB163" s="1762"/>
      <c r="MYC163" s="1762"/>
      <c r="MYD163" s="1762"/>
      <c r="MYE163" s="1762"/>
      <c r="MYF163" s="1762"/>
      <c r="MYG163" s="1762"/>
      <c r="MYH163" s="1762"/>
      <c r="MYI163" s="1762"/>
      <c r="MYJ163" s="1762"/>
      <c r="MYK163" s="1762"/>
      <c r="MYL163" s="1762"/>
      <c r="MYM163" s="1762"/>
      <c r="MYN163" s="1762"/>
      <c r="MYO163" s="1762"/>
      <c r="MYP163" s="1762"/>
      <c r="MYQ163" s="1762"/>
      <c r="MYR163" s="1762"/>
      <c r="MYS163" s="1762"/>
      <c r="MYT163" s="1762"/>
      <c r="MYU163" s="1762"/>
      <c r="MYV163" s="1762"/>
      <c r="MYW163" s="1762"/>
      <c r="MYX163" s="1762"/>
      <c r="MYY163" s="1762"/>
      <c r="MYZ163" s="1762"/>
      <c r="MZA163" s="1762"/>
      <c r="MZB163" s="1762"/>
      <c r="MZC163" s="1762"/>
      <c r="MZD163" s="1762"/>
      <c r="MZE163" s="1762"/>
      <c r="MZF163" s="1762"/>
      <c r="MZG163" s="1762"/>
      <c r="MZH163" s="1762"/>
      <c r="MZI163" s="1762"/>
      <c r="MZJ163" s="1762"/>
      <c r="MZK163" s="1762"/>
      <c r="MZL163" s="1762"/>
      <c r="MZM163" s="1762"/>
      <c r="MZN163" s="1762"/>
      <c r="MZO163" s="1762"/>
      <c r="MZP163" s="1762"/>
      <c r="MZQ163" s="1762"/>
      <c r="MZR163" s="1762"/>
      <c r="MZS163" s="1762"/>
      <c r="MZT163" s="1762"/>
      <c r="MZU163" s="1762"/>
      <c r="MZV163" s="1762"/>
      <c r="MZW163" s="1762"/>
      <c r="MZX163" s="1762"/>
      <c r="MZY163" s="1762"/>
      <c r="MZZ163" s="1762"/>
      <c r="NAA163" s="1762"/>
      <c r="NAB163" s="1762"/>
      <c r="NAC163" s="1762"/>
      <c r="NAD163" s="1762"/>
      <c r="NAE163" s="1762"/>
      <c r="NAF163" s="1762"/>
      <c r="NAG163" s="1762"/>
      <c r="NAH163" s="1762"/>
      <c r="NAI163" s="1762"/>
      <c r="NAJ163" s="1762"/>
      <c r="NAK163" s="1762"/>
      <c r="NAL163" s="1762"/>
      <c r="NAM163" s="1762"/>
      <c r="NAN163" s="1762"/>
      <c r="NAO163" s="1762"/>
      <c r="NAP163" s="1762"/>
      <c r="NAQ163" s="1762"/>
      <c r="NAR163" s="1762"/>
      <c r="NAS163" s="1762"/>
      <c r="NAT163" s="1762"/>
      <c r="NAU163" s="1762"/>
      <c r="NAV163" s="1762"/>
      <c r="NAW163" s="1762"/>
      <c r="NAX163" s="1762"/>
      <c r="NAY163" s="1762"/>
      <c r="NAZ163" s="1762"/>
      <c r="NBA163" s="1762"/>
      <c r="NBB163" s="1762"/>
      <c r="NBC163" s="1762"/>
      <c r="NBD163" s="1762"/>
      <c r="NBE163" s="1762"/>
      <c r="NBF163" s="1762"/>
      <c r="NBG163" s="1762"/>
      <c r="NBH163" s="1762"/>
      <c r="NBI163" s="1762"/>
      <c r="NBJ163" s="1762"/>
      <c r="NBK163" s="1762"/>
      <c r="NBL163" s="1762"/>
      <c r="NBM163" s="1762"/>
      <c r="NBN163" s="1762"/>
      <c r="NBO163" s="1762"/>
      <c r="NBP163" s="1762"/>
      <c r="NBQ163" s="1762"/>
      <c r="NBR163" s="1762"/>
      <c r="NBS163" s="1762"/>
      <c r="NBT163" s="1762"/>
      <c r="NBU163" s="1762"/>
      <c r="NBV163" s="1762"/>
      <c r="NBW163" s="1762"/>
      <c r="NBX163" s="1762"/>
      <c r="NBY163" s="1762"/>
      <c r="NBZ163" s="1762"/>
      <c r="NCA163" s="1762"/>
      <c r="NCB163" s="1762"/>
      <c r="NCC163" s="1762"/>
      <c r="NCD163" s="1762"/>
      <c r="NCE163" s="1762"/>
      <c r="NCF163" s="1762"/>
      <c r="NCG163" s="1762"/>
      <c r="NCH163" s="1762"/>
      <c r="NCI163" s="1762"/>
      <c r="NCJ163" s="1762"/>
      <c r="NCK163" s="1762"/>
      <c r="NCL163" s="1762"/>
      <c r="NCM163" s="1762"/>
      <c r="NCN163" s="1762"/>
      <c r="NCO163" s="1762"/>
      <c r="NCP163" s="1762"/>
      <c r="NCQ163" s="1762"/>
      <c r="NCR163" s="1762"/>
      <c r="NCS163" s="1762"/>
      <c r="NCT163" s="1762"/>
      <c r="NCU163" s="1762"/>
      <c r="NCV163" s="1762"/>
      <c r="NCW163" s="1762"/>
      <c r="NCX163" s="1762"/>
      <c r="NCY163" s="1762"/>
      <c r="NCZ163" s="1762"/>
      <c r="NDA163" s="1762"/>
      <c r="NDB163" s="1762"/>
      <c r="NDC163" s="1762"/>
      <c r="NDD163" s="1762"/>
      <c r="NDE163" s="1762"/>
      <c r="NDF163" s="1762"/>
      <c r="NDG163" s="1762"/>
      <c r="NDH163" s="1762"/>
      <c r="NDI163" s="1762"/>
      <c r="NDJ163" s="1762"/>
      <c r="NDK163" s="1762"/>
      <c r="NDL163" s="1762"/>
      <c r="NDM163" s="1762"/>
      <c r="NDN163" s="1762"/>
      <c r="NDO163" s="1762"/>
      <c r="NDP163" s="1762"/>
      <c r="NDQ163" s="1762"/>
      <c r="NDR163" s="1762"/>
      <c r="NDS163" s="1762"/>
      <c r="NDT163" s="1762"/>
      <c r="NDU163" s="1762"/>
      <c r="NDV163" s="1762"/>
      <c r="NDW163" s="1762"/>
      <c r="NDX163" s="1762"/>
      <c r="NDY163" s="1762"/>
      <c r="NDZ163" s="1762"/>
      <c r="NEA163" s="1762"/>
      <c r="NEB163" s="1762"/>
      <c r="NEC163" s="1762"/>
      <c r="NED163" s="1762"/>
      <c r="NEE163" s="1762"/>
      <c r="NEF163" s="1762"/>
      <c r="NEG163" s="1762"/>
      <c r="NEH163" s="1762"/>
      <c r="NEI163" s="1762"/>
      <c r="NEJ163" s="1762"/>
      <c r="NEK163" s="1762"/>
      <c r="NEL163" s="1762"/>
      <c r="NEM163" s="1762"/>
      <c r="NEN163" s="1762"/>
      <c r="NEO163" s="1762"/>
      <c r="NEP163" s="1762"/>
      <c r="NEQ163" s="1762"/>
      <c r="NER163" s="1762"/>
      <c r="NES163" s="1762"/>
      <c r="NET163" s="1762"/>
      <c r="NEU163" s="1762"/>
      <c r="NEV163" s="1762"/>
      <c r="NEW163" s="1762"/>
      <c r="NEX163" s="1762"/>
      <c r="NEY163" s="1762"/>
      <c r="NEZ163" s="1762"/>
      <c r="NFA163" s="1762"/>
      <c r="NFB163" s="1762"/>
      <c r="NFC163" s="1762"/>
      <c r="NFD163" s="1762"/>
      <c r="NFE163" s="1762"/>
      <c r="NFF163" s="1762"/>
      <c r="NFG163" s="1762"/>
      <c r="NFH163" s="1762"/>
      <c r="NFI163" s="1762"/>
      <c r="NFJ163" s="1762"/>
      <c r="NFK163" s="1762"/>
      <c r="NFL163" s="1762"/>
      <c r="NFM163" s="1762"/>
      <c r="NFN163" s="1762"/>
      <c r="NFO163" s="1762"/>
      <c r="NFP163" s="1762"/>
      <c r="NFQ163" s="1762"/>
      <c r="NFR163" s="1762"/>
      <c r="NFS163" s="1762"/>
      <c r="NFT163" s="1762"/>
      <c r="NFU163" s="1762"/>
      <c r="NFV163" s="1762"/>
      <c r="NFW163" s="1762"/>
      <c r="NFX163" s="1762"/>
      <c r="NFY163" s="1762"/>
      <c r="NFZ163" s="1762"/>
      <c r="NGA163" s="1762"/>
      <c r="NGB163" s="1762"/>
      <c r="NGC163" s="1762"/>
      <c r="NGD163" s="1762"/>
      <c r="NGE163" s="1762"/>
      <c r="NGF163" s="1762"/>
      <c r="NGG163" s="1762"/>
      <c r="NGH163" s="1762"/>
      <c r="NGI163" s="1762"/>
      <c r="NGJ163" s="1762"/>
      <c r="NGK163" s="1762"/>
      <c r="NGL163" s="1762"/>
      <c r="NGM163" s="1762"/>
      <c r="NGN163" s="1762"/>
      <c r="NGO163" s="1762"/>
      <c r="NGP163" s="1762"/>
      <c r="NGQ163" s="1762"/>
      <c r="NGR163" s="1762"/>
      <c r="NGS163" s="1762"/>
      <c r="NGT163" s="1762"/>
      <c r="NGU163" s="1762"/>
      <c r="NGV163" s="1762"/>
      <c r="NGW163" s="1762"/>
      <c r="NGX163" s="1762"/>
      <c r="NGY163" s="1762"/>
      <c r="NGZ163" s="1762"/>
      <c r="NHA163" s="1762"/>
      <c r="NHB163" s="1762"/>
      <c r="NHC163" s="1762"/>
      <c r="NHD163" s="1762"/>
      <c r="NHE163" s="1762"/>
      <c r="NHF163" s="1762"/>
      <c r="NHG163" s="1762"/>
      <c r="NHH163" s="1762"/>
      <c r="NHI163" s="1762"/>
      <c r="NHJ163" s="1762"/>
      <c r="NHK163" s="1762"/>
      <c r="NHL163" s="1762"/>
      <c r="NHM163" s="1762"/>
      <c r="NHN163" s="1762"/>
      <c r="NHO163" s="1762"/>
      <c r="NHP163" s="1762"/>
      <c r="NHQ163" s="1762"/>
      <c r="NHR163" s="1762"/>
      <c r="NHS163" s="1762"/>
      <c r="NHT163" s="1762"/>
      <c r="NHU163" s="1762"/>
      <c r="NHV163" s="1762"/>
      <c r="NHW163" s="1762"/>
      <c r="NHX163" s="1762"/>
      <c r="NHY163" s="1762"/>
      <c r="NHZ163" s="1762"/>
      <c r="NIA163" s="1762"/>
      <c r="NIB163" s="1762"/>
      <c r="NIC163" s="1762"/>
      <c r="NID163" s="1762"/>
      <c r="NIE163" s="1762"/>
      <c r="NIF163" s="1762"/>
      <c r="NIG163" s="1762"/>
      <c r="NIH163" s="1762"/>
      <c r="NII163" s="1762"/>
      <c r="NIJ163" s="1762"/>
      <c r="NIK163" s="1762"/>
      <c r="NIL163" s="1762"/>
      <c r="NIM163" s="1762"/>
      <c r="NIN163" s="1762"/>
      <c r="NIO163" s="1762"/>
      <c r="NIP163" s="1762"/>
      <c r="NIQ163" s="1762"/>
      <c r="NIR163" s="1762"/>
      <c r="NIS163" s="1762"/>
      <c r="NIT163" s="1762"/>
      <c r="NIU163" s="1762"/>
      <c r="NIV163" s="1762"/>
      <c r="NIW163" s="1762"/>
      <c r="NIX163" s="1762"/>
      <c r="NIY163" s="1762"/>
      <c r="NIZ163" s="1762"/>
      <c r="NJA163" s="1762"/>
      <c r="NJB163" s="1762"/>
      <c r="NJC163" s="1762"/>
      <c r="NJD163" s="1762"/>
      <c r="NJE163" s="1762"/>
      <c r="NJF163" s="1762"/>
      <c r="NJG163" s="1762"/>
      <c r="NJH163" s="1762"/>
      <c r="NJI163" s="1762"/>
      <c r="NJJ163" s="1762"/>
      <c r="NJK163" s="1762"/>
      <c r="NJL163" s="1762"/>
      <c r="NJM163" s="1762"/>
      <c r="NJN163" s="1762"/>
      <c r="NJO163" s="1762"/>
      <c r="NJP163" s="1762"/>
      <c r="NJQ163" s="1762"/>
      <c r="NJR163" s="1762"/>
      <c r="NJS163" s="1762"/>
      <c r="NJT163" s="1762"/>
      <c r="NJU163" s="1762"/>
      <c r="NJV163" s="1762"/>
      <c r="NJW163" s="1762"/>
      <c r="NJX163" s="1762"/>
      <c r="NJY163" s="1762"/>
      <c r="NJZ163" s="1762"/>
      <c r="NKA163" s="1762"/>
      <c r="NKB163" s="1762"/>
      <c r="NKC163" s="1762"/>
      <c r="NKD163" s="1762"/>
      <c r="NKE163" s="1762"/>
      <c r="NKF163" s="1762"/>
      <c r="NKG163" s="1762"/>
      <c r="NKH163" s="1762"/>
      <c r="NKI163" s="1762"/>
      <c r="NKJ163" s="1762"/>
      <c r="NKK163" s="1762"/>
      <c r="NKL163" s="1762"/>
      <c r="NKM163" s="1762"/>
      <c r="NKN163" s="1762"/>
      <c r="NKO163" s="1762"/>
      <c r="NKP163" s="1762"/>
      <c r="NKQ163" s="1762"/>
      <c r="NKR163" s="1762"/>
      <c r="NKS163" s="1762"/>
      <c r="NKT163" s="1762"/>
      <c r="NKU163" s="1762"/>
      <c r="NKV163" s="1762"/>
      <c r="NKW163" s="1762"/>
      <c r="NKX163" s="1762"/>
      <c r="NKY163" s="1762"/>
      <c r="NKZ163" s="1762"/>
      <c r="NLA163" s="1762"/>
      <c r="NLB163" s="1762"/>
      <c r="NLC163" s="1762"/>
      <c r="NLD163" s="1762"/>
      <c r="NLE163" s="1762"/>
      <c r="NLF163" s="1762"/>
      <c r="NLG163" s="1762"/>
      <c r="NLH163" s="1762"/>
      <c r="NLI163" s="1762"/>
      <c r="NLJ163" s="1762"/>
      <c r="NLK163" s="1762"/>
      <c r="NLL163" s="1762"/>
      <c r="NLM163" s="1762"/>
      <c r="NLN163" s="1762"/>
      <c r="NLO163" s="1762"/>
      <c r="NLP163" s="1762"/>
      <c r="NLQ163" s="1762"/>
      <c r="NLR163" s="1762"/>
      <c r="NLS163" s="1762"/>
      <c r="NLT163" s="1762"/>
      <c r="NLU163" s="1762"/>
      <c r="NLV163" s="1762"/>
      <c r="NLW163" s="1762"/>
      <c r="NLX163" s="1762"/>
      <c r="NLY163" s="1762"/>
      <c r="NLZ163" s="1762"/>
      <c r="NMA163" s="1762"/>
      <c r="NMB163" s="1762"/>
      <c r="NMC163" s="1762"/>
      <c r="NMD163" s="1762"/>
      <c r="NME163" s="1762"/>
      <c r="NMF163" s="1762"/>
      <c r="NMG163" s="1762"/>
      <c r="NMH163" s="1762"/>
      <c r="NMI163" s="1762"/>
      <c r="NMJ163" s="1762"/>
      <c r="NMK163" s="1762"/>
      <c r="NML163" s="1762"/>
      <c r="NMM163" s="1762"/>
      <c r="NMN163" s="1762"/>
      <c r="NMO163" s="1762"/>
      <c r="NMP163" s="1762"/>
      <c r="NMQ163" s="1762"/>
      <c r="NMR163" s="1762"/>
      <c r="NMS163" s="1762"/>
      <c r="NMT163" s="1762"/>
      <c r="NMU163" s="1762"/>
      <c r="NMV163" s="1762"/>
      <c r="NMW163" s="1762"/>
      <c r="NMX163" s="1762"/>
      <c r="NMY163" s="1762"/>
      <c r="NMZ163" s="1762"/>
      <c r="NNA163" s="1762"/>
      <c r="NNB163" s="1762"/>
      <c r="NNC163" s="1762"/>
      <c r="NND163" s="1762"/>
      <c r="NNE163" s="1762"/>
      <c r="NNF163" s="1762"/>
      <c r="NNG163" s="1762"/>
      <c r="NNH163" s="1762"/>
      <c r="NNI163" s="1762"/>
      <c r="NNJ163" s="1762"/>
      <c r="NNK163" s="1762"/>
      <c r="NNL163" s="1762"/>
      <c r="NNM163" s="1762"/>
      <c r="NNN163" s="1762"/>
      <c r="NNO163" s="1762"/>
      <c r="NNP163" s="1762"/>
      <c r="NNQ163" s="1762"/>
      <c r="NNR163" s="1762"/>
      <c r="NNS163" s="1762"/>
      <c r="NNT163" s="1762"/>
      <c r="NNU163" s="1762"/>
      <c r="NNV163" s="1762"/>
      <c r="NNW163" s="1762"/>
      <c r="NNX163" s="1762"/>
      <c r="NNY163" s="1762"/>
      <c r="NNZ163" s="1762"/>
      <c r="NOA163" s="1762"/>
      <c r="NOB163" s="1762"/>
      <c r="NOC163" s="1762"/>
      <c r="NOD163" s="1762"/>
      <c r="NOE163" s="1762"/>
      <c r="NOF163" s="1762"/>
      <c r="NOG163" s="1762"/>
      <c r="NOH163" s="1762"/>
      <c r="NOI163" s="1762"/>
      <c r="NOJ163" s="1762"/>
      <c r="NOK163" s="1762"/>
      <c r="NOL163" s="1762"/>
      <c r="NOM163" s="1762"/>
      <c r="NON163" s="1762"/>
      <c r="NOO163" s="1762"/>
      <c r="NOP163" s="1762"/>
      <c r="NOQ163" s="1762"/>
      <c r="NOR163" s="1762"/>
      <c r="NOS163" s="1762"/>
      <c r="NOT163" s="1762"/>
      <c r="NOU163" s="1762"/>
      <c r="NOV163" s="1762"/>
      <c r="NOW163" s="1762"/>
      <c r="NOX163" s="1762"/>
      <c r="NOY163" s="1762"/>
      <c r="NOZ163" s="1762"/>
      <c r="NPA163" s="1762"/>
      <c r="NPB163" s="1762"/>
      <c r="NPC163" s="1762"/>
      <c r="NPD163" s="1762"/>
      <c r="NPE163" s="1762"/>
      <c r="NPF163" s="1762"/>
      <c r="NPG163" s="1762"/>
      <c r="NPH163" s="1762"/>
      <c r="NPI163" s="1762"/>
      <c r="NPJ163" s="1762"/>
      <c r="NPK163" s="1762"/>
      <c r="NPL163" s="1762"/>
      <c r="NPM163" s="1762"/>
      <c r="NPN163" s="1762"/>
      <c r="NPO163" s="1762"/>
      <c r="NPP163" s="1762"/>
      <c r="NPQ163" s="1762"/>
      <c r="NPR163" s="1762"/>
      <c r="NPS163" s="1762"/>
      <c r="NPT163" s="1762"/>
      <c r="NPU163" s="1762"/>
      <c r="NPV163" s="1762"/>
      <c r="NPW163" s="1762"/>
      <c r="NPX163" s="1762"/>
      <c r="NPY163" s="1762"/>
      <c r="NPZ163" s="1762"/>
      <c r="NQA163" s="1762"/>
      <c r="NQB163" s="1762"/>
      <c r="NQC163" s="1762"/>
      <c r="NQD163" s="1762"/>
      <c r="NQE163" s="1762"/>
      <c r="NQF163" s="1762"/>
      <c r="NQG163" s="1762"/>
      <c r="NQH163" s="1762"/>
      <c r="NQI163" s="1762"/>
      <c r="NQJ163" s="1762"/>
      <c r="NQK163" s="1762"/>
      <c r="NQL163" s="1762"/>
      <c r="NQM163" s="1762"/>
      <c r="NQN163" s="1762"/>
      <c r="NQO163" s="1762"/>
      <c r="NQP163" s="1762"/>
      <c r="NQQ163" s="1762"/>
      <c r="NQR163" s="1762"/>
      <c r="NQS163" s="1762"/>
      <c r="NQT163" s="1762"/>
      <c r="NQU163" s="1762"/>
      <c r="NQV163" s="1762"/>
      <c r="NQW163" s="1762"/>
      <c r="NQX163" s="1762"/>
      <c r="NQY163" s="1762"/>
      <c r="NQZ163" s="1762"/>
      <c r="NRA163" s="1762"/>
      <c r="NRB163" s="1762"/>
      <c r="NRC163" s="1762"/>
      <c r="NRD163" s="1762"/>
      <c r="NRE163" s="1762"/>
      <c r="NRF163" s="1762"/>
      <c r="NRG163" s="1762"/>
      <c r="NRH163" s="1762"/>
      <c r="NRI163" s="1762"/>
      <c r="NRJ163" s="1762"/>
      <c r="NRK163" s="1762"/>
      <c r="NRL163" s="1762"/>
      <c r="NRM163" s="1762"/>
      <c r="NRN163" s="1762"/>
      <c r="NRO163" s="1762"/>
      <c r="NRP163" s="1762"/>
      <c r="NRQ163" s="1762"/>
      <c r="NRR163" s="1762"/>
      <c r="NRS163" s="1762"/>
      <c r="NRT163" s="1762"/>
      <c r="NRU163" s="1762"/>
      <c r="NRV163" s="1762"/>
      <c r="NRW163" s="1762"/>
      <c r="NRX163" s="1762"/>
      <c r="NRY163" s="1762"/>
      <c r="NRZ163" s="1762"/>
      <c r="NSA163" s="1762"/>
      <c r="NSB163" s="1762"/>
      <c r="NSC163" s="1762"/>
      <c r="NSD163" s="1762"/>
      <c r="NSE163" s="1762"/>
      <c r="NSF163" s="1762"/>
      <c r="NSG163" s="1762"/>
      <c r="NSH163" s="1762"/>
      <c r="NSI163" s="1762"/>
      <c r="NSJ163" s="1762"/>
      <c r="NSK163" s="1762"/>
      <c r="NSL163" s="1762"/>
      <c r="NSM163" s="1762"/>
      <c r="NSN163" s="1762"/>
      <c r="NSO163" s="1762"/>
      <c r="NSP163" s="1762"/>
      <c r="NSQ163" s="1762"/>
      <c r="NSR163" s="1762"/>
      <c r="NSS163" s="1762"/>
      <c r="NST163" s="1762"/>
      <c r="NSU163" s="1762"/>
      <c r="NSV163" s="1762"/>
      <c r="NSW163" s="1762"/>
      <c r="NSX163" s="1762"/>
      <c r="NSY163" s="1762"/>
      <c r="NSZ163" s="1762"/>
      <c r="NTA163" s="1762"/>
      <c r="NTB163" s="1762"/>
      <c r="NTC163" s="1762"/>
      <c r="NTD163" s="1762"/>
      <c r="NTE163" s="1762"/>
      <c r="NTF163" s="1762"/>
      <c r="NTG163" s="1762"/>
      <c r="NTH163" s="1762"/>
      <c r="NTI163" s="1762"/>
      <c r="NTJ163" s="1762"/>
      <c r="NTK163" s="1762"/>
      <c r="NTL163" s="1762"/>
      <c r="NTM163" s="1762"/>
      <c r="NTN163" s="1762"/>
      <c r="NTO163" s="1762"/>
      <c r="NTP163" s="1762"/>
      <c r="NTQ163" s="1762"/>
      <c r="NTR163" s="1762"/>
      <c r="NTS163" s="1762"/>
      <c r="NTT163" s="1762"/>
      <c r="NTU163" s="1762"/>
      <c r="NTV163" s="1762"/>
      <c r="NTW163" s="1762"/>
      <c r="NTX163" s="1762"/>
      <c r="NTY163" s="1762"/>
      <c r="NTZ163" s="1762"/>
      <c r="NUA163" s="1762"/>
      <c r="NUB163" s="1762"/>
      <c r="NUC163" s="1762"/>
      <c r="NUD163" s="1762"/>
      <c r="NUE163" s="1762"/>
      <c r="NUF163" s="1762"/>
      <c r="NUG163" s="1762"/>
      <c r="NUH163" s="1762"/>
      <c r="NUI163" s="1762"/>
      <c r="NUJ163" s="1762"/>
      <c r="NUK163" s="1762"/>
      <c r="NUL163" s="1762"/>
      <c r="NUM163" s="1762"/>
      <c r="NUN163" s="1762"/>
      <c r="NUO163" s="1762"/>
      <c r="NUP163" s="1762"/>
      <c r="NUQ163" s="1762"/>
      <c r="NUR163" s="1762"/>
      <c r="NUS163" s="1762"/>
      <c r="NUT163" s="1762"/>
      <c r="NUU163" s="1762"/>
      <c r="NUV163" s="1762"/>
      <c r="NUW163" s="1762"/>
      <c r="NUX163" s="1762"/>
      <c r="NUY163" s="1762"/>
      <c r="NUZ163" s="1762"/>
      <c r="NVA163" s="1762"/>
      <c r="NVB163" s="1762"/>
      <c r="NVC163" s="1762"/>
      <c r="NVD163" s="1762"/>
      <c r="NVE163" s="1762"/>
      <c r="NVF163" s="1762"/>
      <c r="NVG163" s="1762"/>
      <c r="NVH163" s="1762"/>
      <c r="NVI163" s="1762"/>
      <c r="NVJ163" s="1762"/>
      <c r="NVK163" s="1762"/>
      <c r="NVL163" s="1762"/>
      <c r="NVM163" s="1762"/>
      <c r="NVN163" s="1762"/>
      <c r="NVO163" s="1762"/>
      <c r="NVP163" s="1762"/>
      <c r="NVQ163" s="1762"/>
      <c r="NVR163" s="1762"/>
      <c r="NVS163" s="1762"/>
      <c r="NVT163" s="1762"/>
      <c r="NVU163" s="1762"/>
      <c r="NVV163" s="1762"/>
      <c r="NVW163" s="1762"/>
      <c r="NVX163" s="1762"/>
      <c r="NVY163" s="1762"/>
      <c r="NVZ163" s="1762"/>
      <c r="NWA163" s="1762"/>
      <c r="NWB163" s="1762"/>
      <c r="NWC163" s="1762"/>
      <c r="NWD163" s="1762"/>
      <c r="NWE163" s="1762"/>
      <c r="NWF163" s="1762"/>
      <c r="NWG163" s="1762"/>
      <c r="NWH163" s="1762"/>
      <c r="NWI163" s="1762"/>
      <c r="NWJ163" s="1762"/>
      <c r="NWK163" s="1762"/>
      <c r="NWL163" s="1762"/>
      <c r="NWM163" s="1762"/>
      <c r="NWN163" s="1762"/>
      <c r="NWO163" s="1762"/>
      <c r="NWP163" s="1762"/>
      <c r="NWQ163" s="1762"/>
      <c r="NWR163" s="1762"/>
      <c r="NWS163" s="1762"/>
      <c r="NWT163" s="1762"/>
      <c r="NWU163" s="1762"/>
      <c r="NWV163" s="1762"/>
      <c r="NWW163" s="1762"/>
      <c r="NWX163" s="1762"/>
      <c r="NWY163" s="1762"/>
      <c r="NWZ163" s="1762"/>
      <c r="NXA163" s="1762"/>
      <c r="NXB163" s="1762"/>
      <c r="NXC163" s="1762"/>
      <c r="NXD163" s="1762"/>
      <c r="NXE163" s="1762"/>
      <c r="NXF163" s="1762"/>
      <c r="NXG163" s="1762"/>
      <c r="NXH163" s="1762"/>
      <c r="NXI163" s="1762"/>
      <c r="NXJ163" s="1762"/>
      <c r="NXK163" s="1762"/>
      <c r="NXL163" s="1762"/>
      <c r="NXM163" s="1762"/>
      <c r="NXN163" s="1762"/>
      <c r="NXO163" s="1762"/>
      <c r="NXP163" s="1762"/>
      <c r="NXQ163" s="1762"/>
      <c r="NXR163" s="1762"/>
      <c r="NXS163" s="1762"/>
      <c r="NXT163" s="1762"/>
      <c r="NXU163" s="1762"/>
      <c r="NXV163" s="1762"/>
      <c r="NXW163" s="1762"/>
      <c r="NXX163" s="1762"/>
      <c r="NXY163" s="1762"/>
      <c r="NXZ163" s="1762"/>
      <c r="NYA163" s="1762"/>
      <c r="NYB163" s="1762"/>
      <c r="NYC163" s="1762"/>
      <c r="NYD163" s="1762"/>
      <c r="NYE163" s="1762"/>
      <c r="NYF163" s="1762"/>
      <c r="NYG163" s="1762"/>
      <c r="NYH163" s="1762"/>
      <c r="NYI163" s="1762"/>
      <c r="NYJ163" s="1762"/>
      <c r="NYK163" s="1762"/>
      <c r="NYL163" s="1762"/>
      <c r="NYM163" s="1762"/>
      <c r="NYN163" s="1762"/>
      <c r="NYO163" s="1762"/>
      <c r="NYP163" s="1762"/>
      <c r="NYQ163" s="1762"/>
      <c r="NYR163" s="1762"/>
      <c r="NYS163" s="1762"/>
      <c r="NYT163" s="1762"/>
      <c r="NYU163" s="1762"/>
      <c r="NYV163" s="1762"/>
      <c r="NYW163" s="1762"/>
      <c r="NYX163" s="1762"/>
      <c r="NYY163" s="1762"/>
      <c r="NYZ163" s="1762"/>
      <c r="NZA163" s="1762"/>
      <c r="NZB163" s="1762"/>
      <c r="NZC163" s="1762"/>
      <c r="NZD163" s="1762"/>
      <c r="NZE163" s="1762"/>
      <c r="NZF163" s="1762"/>
      <c r="NZG163" s="1762"/>
      <c r="NZH163" s="1762"/>
      <c r="NZI163" s="1762"/>
      <c r="NZJ163" s="1762"/>
      <c r="NZK163" s="1762"/>
      <c r="NZL163" s="1762"/>
      <c r="NZM163" s="1762"/>
      <c r="NZN163" s="1762"/>
      <c r="NZO163" s="1762"/>
      <c r="NZP163" s="1762"/>
      <c r="NZQ163" s="1762"/>
      <c r="NZR163" s="1762"/>
      <c r="NZS163" s="1762"/>
      <c r="NZT163" s="1762"/>
      <c r="NZU163" s="1762"/>
      <c r="NZV163" s="1762"/>
      <c r="NZW163" s="1762"/>
      <c r="NZX163" s="1762"/>
      <c r="NZY163" s="1762"/>
      <c r="NZZ163" s="1762"/>
      <c r="OAA163" s="1762"/>
      <c r="OAB163" s="1762"/>
      <c r="OAC163" s="1762"/>
      <c r="OAD163" s="1762"/>
      <c r="OAE163" s="1762"/>
      <c r="OAF163" s="1762"/>
      <c r="OAG163" s="1762"/>
      <c r="OAH163" s="1762"/>
      <c r="OAI163" s="1762"/>
      <c r="OAJ163" s="1762"/>
      <c r="OAK163" s="1762"/>
      <c r="OAL163" s="1762"/>
      <c r="OAM163" s="1762"/>
      <c r="OAN163" s="1762"/>
      <c r="OAO163" s="1762"/>
      <c r="OAP163" s="1762"/>
      <c r="OAQ163" s="1762"/>
      <c r="OAR163" s="1762"/>
      <c r="OAS163" s="1762"/>
      <c r="OAT163" s="1762"/>
      <c r="OAU163" s="1762"/>
      <c r="OAV163" s="1762"/>
      <c r="OAW163" s="1762"/>
      <c r="OAX163" s="1762"/>
      <c r="OAY163" s="1762"/>
      <c r="OAZ163" s="1762"/>
      <c r="OBA163" s="1762"/>
      <c r="OBB163" s="1762"/>
      <c r="OBC163" s="1762"/>
      <c r="OBD163" s="1762"/>
      <c r="OBE163" s="1762"/>
      <c r="OBF163" s="1762"/>
      <c r="OBG163" s="1762"/>
      <c r="OBH163" s="1762"/>
      <c r="OBI163" s="1762"/>
      <c r="OBJ163" s="1762"/>
      <c r="OBK163" s="1762"/>
      <c r="OBL163" s="1762"/>
      <c r="OBM163" s="1762"/>
      <c r="OBN163" s="1762"/>
      <c r="OBO163" s="1762"/>
      <c r="OBP163" s="1762"/>
      <c r="OBQ163" s="1762"/>
      <c r="OBR163" s="1762"/>
      <c r="OBS163" s="1762"/>
      <c r="OBT163" s="1762"/>
      <c r="OBU163" s="1762"/>
      <c r="OBV163" s="1762"/>
      <c r="OBW163" s="1762"/>
      <c r="OBX163" s="1762"/>
      <c r="OBY163" s="1762"/>
      <c r="OBZ163" s="1762"/>
      <c r="OCA163" s="1762"/>
      <c r="OCB163" s="1762"/>
      <c r="OCC163" s="1762"/>
      <c r="OCD163" s="1762"/>
      <c r="OCE163" s="1762"/>
      <c r="OCF163" s="1762"/>
      <c r="OCG163" s="1762"/>
      <c r="OCH163" s="1762"/>
      <c r="OCI163" s="1762"/>
      <c r="OCJ163" s="1762"/>
      <c r="OCK163" s="1762"/>
      <c r="OCL163" s="1762"/>
      <c r="OCM163" s="1762"/>
      <c r="OCN163" s="1762"/>
      <c r="OCO163" s="1762"/>
      <c r="OCP163" s="1762"/>
      <c r="OCQ163" s="1762"/>
      <c r="OCR163" s="1762"/>
      <c r="OCS163" s="1762"/>
      <c r="OCT163" s="1762"/>
      <c r="OCU163" s="1762"/>
      <c r="OCV163" s="1762"/>
      <c r="OCW163" s="1762"/>
      <c r="OCX163" s="1762"/>
      <c r="OCY163" s="1762"/>
      <c r="OCZ163" s="1762"/>
      <c r="ODA163" s="1762"/>
      <c r="ODB163" s="1762"/>
      <c r="ODC163" s="1762"/>
      <c r="ODD163" s="1762"/>
      <c r="ODE163" s="1762"/>
      <c r="ODF163" s="1762"/>
      <c r="ODG163" s="1762"/>
      <c r="ODH163" s="1762"/>
      <c r="ODI163" s="1762"/>
      <c r="ODJ163" s="1762"/>
      <c r="ODK163" s="1762"/>
      <c r="ODL163" s="1762"/>
      <c r="ODM163" s="1762"/>
      <c r="ODN163" s="1762"/>
      <c r="ODO163" s="1762"/>
      <c r="ODP163" s="1762"/>
      <c r="ODQ163" s="1762"/>
      <c r="ODR163" s="1762"/>
      <c r="ODS163" s="1762"/>
      <c r="ODT163" s="1762"/>
      <c r="ODU163" s="1762"/>
      <c r="ODV163" s="1762"/>
      <c r="ODW163" s="1762"/>
      <c r="ODX163" s="1762"/>
      <c r="ODY163" s="1762"/>
      <c r="ODZ163" s="1762"/>
      <c r="OEA163" s="1762"/>
      <c r="OEB163" s="1762"/>
      <c r="OEC163" s="1762"/>
      <c r="OED163" s="1762"/>
      <c r="OEE163" s="1762"/>
      <c r="OEF163" s="1762"/>
      <c r="OEG163" s="1762"/>
      <c r="OEH163" s="1762"/>
      <c r="OEI163" s="1762"/>
      <c r="OEJ163" s="1762"/>
      <c r="OEK163" s="1762"/>
      <c r="OEL163" s="1762"/>
      <c r="OEM163" s="1762"/>
      <c r="OEN163" s="1762"/>
      <c r="OEO163" s="1762"/>
      <c r="OEP163" s="1762"/>
      <c r="OEQ163" s="1762"/>
      <c r="OER163" s="1762"/>
      <c r="OES163" s="1762"/>
      <c r="OET163" s="1762"/>
      <c r="OEU163" s="1762"/>
      <c r="OEV163" s="1762"/>
      <c r="OEW163" s="1762"/>
      <c r="OEX163" s="1762"/>
      <c r="OEY163" s="1762"/>
      <c r="OEZ163" s="1762"/>
      <c r="OFA163" s="1762"/>
      <c r="OFB163" s="1762"/>
      <c r="OFC163" s="1762"/>
      <c r="OFD163" s="1762"/>
      <c r="OFE163" s="1762"/>
      <c r="OFF163" s="1762"/>
      <c r="OFG163" s="1762"/>
      <c r="OFH163" s="1762"/>
      <c r="OFI163" s="1762"/>
      <c r="OFJ163" s="1762"/>
      <c r="OFK163" s="1762"/>
      <c r="OFL163" s="1762"/>
      <c r="OFM163" s="1762"/>
      <c r="OFN163" s="1762"/>
      <c r="OFO163" s="1762"/>
      <c r="OFP163" s="1762"/>
      <c r="OFQ163" s="1762"/>
      <c r="OFR163" s="1762"/>
      <c r="OFS163" s="1762"/>
      <c r="OFT163" s="1762"/>
      <c r="OFU163" s="1762"/>
      <c r="OFV163" s="1762"/>
      <c r="OFW163" s="1762"/>
      <c r="OFX163" s="1762"/>
      <c r="OFY163" s="1762"/>
      <c r="OFZ163" s="1762"/>
      <c r="OGA163" s="1762"/>
      <c r="OGB163" s="1762"/>
      <c r="OGC163" s="1762"/>
      <c r="OGD163" s="1762"/>
      <c r="OGE163" s="1762"/>
      <c r="OGF163" s="1762"/>
      <c r="OGG163" s="1762"/>
      <c r="OGH163" s="1762"/>
      <c r="OGI163" s="1762"/>
      <c r="OGJ163" s="1762"/>
      <c r="OGK163" s="1762"/>
      <c r="OGL163" s="1762"/>
      <c r="OGM163" s="1762"/>
      <c r="OGN163" s="1762"/>
      <c r="OGO163" s="1762"/>
      <c r="OGP163" s="1762"/>
      <c r="OGQ163" s="1762"/>
      <c r="OGR163" s="1762"/>
      <c r="OGS163" s="1762"/>
      <c r="OGT163" s="1762"/>
      <c r="OGU163" s="1762"/>
      <c r="OGV163" s="1762"/>
      <c r="OGW163" s="1762"/>
      <c r="OGX163" s="1762"/>
      <c r="OGY163" s="1762"/>
      <c r="OGZ163" s="1762"/>
      <c r="OHA163" s="1762"/>
      <c r="OHB163" s="1762"/>
      <c r="OHC163" s="1762"/>
      <c r="OHD163" s="1762"/>
      <c r="OHE163" s="1762"/>
      <c r="OHF163" s="1762"/>
      <c r="OHG163" s="1762"/>
      <c r="OHH163" s="1762"/>
      <c r="OHI163" s="1762"/>
      <c r="OHJ163" s="1762"/>
      <c r="OHK163" s="1762"/>
      <c r="OHL163" s="1762"/>
      <c r="OHM163" s="1762"/>
      <c r="OHN163" s="1762"/>
      <c r="OHO163" s="1762"/>
      <c r="OHP163" s="1762"/>
      <c r="OHQ163" s="1762"/>
      <c r="OHR163" s="1762"/>
      <c r="OHS163" s="1762"/>
      <c r="OHT163" s="1762"/>
      <c r="OHU163" s="1762"/>
      <c r="OHV163" s="1762"/>
      <c r="OHW163" s="1762"/>
      <c r="OHX163" s="1762"/>
      <c r="OHY163" s="1762"/>
      <c r="OHZ163" s="1762"/>
      <c r="OIA163" s="1762"/>
      <c r="OIB163" s="1762"/>
      <c r="OIC163" s="1762"/>
      <c r="OID163" s="1762"/>
      <c r="OIE163" s="1762"/>
      <c r="OIF163" s="1762"/>
      <c r="OIG163" s="1762"/>
      <c r="OIH163" s="1762"/>
      <c r="OII163" s="1762"/>
      <c r="OIJ163" s="1762"/>
      <c r="OIK163" s="1762"/>
      <c r="OIL163" s="1762"/>
      <c r="OIM163" s="1762"/>
      <c r="OIN163" s="1762"/>
      <c r="OIO163" s="1762"/>
      <c r="OIP163" s="1762"/>
      <c r="OIQ163" s="1762"/>
      <c r="OIR163" s="1762"/>
      <c r="OIS163" s="1762"/>
      <c r="OIT163" s="1762"/>
      <c r="OIU163" s="1762"/>
      <c r="OIV163" s="1762"/>
      <c r="OIW163" s="1762"/>
      <c r="OIX163" s="1762"/>
      <c r="OIY163" s="1762"/>
      <c r="OIZ163" s="1762"/>
      <c r="OJA163" s="1762"/>
      <c r="OJB163" s="1762"/>
      <c r="OJC163" s="1762"/>
      <c r="OJD163" s="1762"/>
      <c r="OJE163" s="1762"/>
      <c r="OJF163" s="1762"/>
      <c r="OJG163" s="1762"/>
      <c r="OJH163" s="1762"/>
      <c r="OJI163" s="1762"/>
      <c r="OJJ163" s="1762"/>
      <c r="OJK163" s="1762"/>
      <c r="OJL163" s="1762"/>
      <c r="OJM163" s="1762"/>
      <c r="OJN163" s="1762"/>
      <c r="OJO163" s="1762"/>
      <c r="OJP163" s="1762"/>
      <c r="OJQ163" s="1762"/>
      <c r="OJR163" s="1762"/>
      <c r="OJS163" s="1762"/>
      <c r="OJT163" s="1762"/>
      <c r="OJU163" s="1762"/>
      <c r="OJV163" s="1762"/>
      <c r="OJW163" s="1762"/>
      <c r="OJX163" s="1762"/>
      <c r="OJY163" s="1762"/>
      <c r="OJZ163" s="1762"/>
      <c r="OKA163" s="1762"/>
      <c r="OKB163" s="1762"/>
      <c r="OKC163" s="1762"/>
      <c r="OKD163" s="1762"/>
      <c r="OKE163" s="1762"/>
      <c r="OKF163" s="1762"/>
      <c r="OKG163" s="1762"/>
      <c r="OKH163" s="1762"/>
      <c r="OKI163" s="1762"/>
      <c r="OKJ163" s="1762"/>
      <c r="OKK163" s="1762"/>
      <c r="OKL163" s="1762"/>
      <c r="OKM163" s="1762"/>
      <c r="OKN163" s="1762"/>
      <c r="OKO163" s="1762"/>
      <c r="OKP163" s="1762"/>
      <c r="OKQ163" s="1762"/>
      <c r="OKR163" s="1762"/>
      <c r="OKS163" s="1762"/>
      <c r="OKT163" s="1762"/>
      <c r="OKU163" s="1762"/>
      <c r="OKV163" s="1762"/>
      <c r="OKW163" s="1762"/>
      <c r="OKX163" s="1762"/>
      <c r="OKY163" s="1762"/>
      <c r="OKZ163" s="1762"/>
      <c r="OLA163" s="1762"/>
      <c r="OLB163" s="1762"/>
      <c r="OLC163" s="1762"/>
      <c r="OLD163" s="1762"/>
      <c r="OLE163" s="1762"/>
      <c r="OLF163" s="1762"/>
      <c r="OLG163" s="1762"/>
      <c r="OLH163" s="1762"/>
      <c r="OLI163" s="1762"/>
      <c r="OLJ163" s="1762"/>
      <c r="OLK163" s="1762"/>
      <c r="OLL163" s="1762"/>
      <c r="OLM163" s="1762"/>
      <c r="OLN163" s="1762"/>
      <c r="OLO163" s="1762"/>
      <c r="OLP163" s="1762"/>
      <c r="OLQ163" s="1762"/>
      <c r="OLR163" s="1762"/>
      <c r="OLS163" s="1762"/>
      <c r="OLT163" s="1762"/>
      <c r="OLU163" s="1762"/>
      <c r="OLV163" s="1762"/>
      <c r="OLW163" s="1762"/>
      <c r="OLX163" s="1762"/>
      <c r="OLY163" s="1762"/>
      <c r="OLZ163" s="1762"/>
      <c r="OMA163" s="1762"/>
      <c r="OMB163" s="1762"/>
      <c r="OMC163" s="1762"/>
      <c r="OMD163" s="1762"/>
      <c r="OME163" s="1762"/>
      <c r="OMF163" s="1762"/>
      <c r="OMG163" s="1762"/>
      <c r="OMH163" s="1762"/>
      <c r="OMI163" s="1762"/>
      <c r="OMJ163" s="1762"/>
      <c r="OMK163" s="1762"/>
      <c r="OML163" s="1762"/>
      <c r="OMM163" s="1762"/>
      <c r="OMN163" s="1762"/>
      <c r="OMO163" s="1762"/>
      <c r="OMP163" s="1762"/>
      <c r="OMQ163" s="1762"/>
      <c r="OMR163" s="1762"/>
      <c r="OMS163" s="1762"/>
      <c r="OMT163" s="1762"/>
      <c r="OMU163" s="1762"/>
      <c r="OMV163" s="1762"/>
      <c r="OMW163" s="1762"/>
      <c r="OMX163" s="1762"/>
      <c r="OMY163" s="1762"/>
      <c r="OMZ163" s="1762"/>
      <c r="ONA163" s="1762"/>
      <c r="ONB163" s="1762"/>
      <c r="ONC163" s="1762"/>
      <c r="OND163" s="1762"/>
      <c r="ONE163" s="1762"/>
      <c r="ONF163" s="1762"/>
      <c r="ONG163" s="1762"/>
      <c r="ONH163" s="1762"/>
      <c r="ONI163" s="1762"/>
      <c r="ONJ163" s="1762"/>
      <c r="ONK163" s="1762"/>
      <c r="ONL163" s="1762"/>
      <c r="ONM163" s="1762"/>
      <c r="ONN163" s="1762"/>
      <c r="ONO163" s="1762"/>
      <c r="ONP163" s="1762"/>
      <c r="ONQ163" s="1762"/>
      <c r="ONR163" s="1762"/>
      <c r="ONS163" s="1762"/>
      <c r="ONT163" s="1762"/>
      <c r="ONU163" s="1762"/>
      <c r="ONV163" s="1762"/>
      <c r="ONW163" s="1762"/>
      <c r="ONX163" s="1762"/>
      <c r="ONY163" s="1762"/>
      <c r="ONZ163" s="1762"/>
      <c r="OOA163" s="1762"/>
      <c r="OOB163" s="1762"/>
      <c r="OOC163" s="1762"/>
      <c r="OOD163" s="1762"/>
      <c r="OOE163" s="1762"/>
      <c r="OOF163" s="1762"/>
      <c r="OOG163" s="1762"/>
      <c r="OOH163" s="1762"/>
      <c r="OOI163" s="1762"/>
      <c r="OOJ163" s="1762"/>
      <c r="OOK163" s="1762"/>
      <c r="OOL163" s="1762"/>
      <c r="OOM163" s="1762"/>
      <c r="OON163" s="1762"/>
      <c r="OOO163" s="1762"/>
      <c r="OOP163" s="1762"/>
      <c r="OOQ163" s="1762"/>
      <c r="OOR163" s="1762"/>
      <c r="OOS163" s="1762"/>
      <c r="OOT163" s="1762"/>
      <c r="OOU163" s="1762"/>
      <c r="OOV163" s="1762"/>
      <c r="OOW163" s="1762"/>
      <c r="OOX163" s="1762"/>
      <c r="OOY163" s="1762"/>
      <c r="OOZ163" s="1762"/>
      <c r="OPA163" s="1762"/>
      <c r="OPB163" s="1762"/>
      <c r="OPC163" s="1762"/>
      <c r="OPD163" s="1762"/>
      <c r="OPE163" s="1762"/>
      <c r="OPF163" s="1762"/>
      <c r="OPG163" s="1762"/>
      <c r="OPH163" s="1762"/>
      <c r="OPI163" s="1762"/>
      <c r="OPJ163" s="1762"/>
      <c r="OPK163" s="1762"/>
      <c r="OPL163" s="1762"/>
      <c r="OPM163" s="1762"/>
      <c r="OPN163" s="1762"/>
      <c r="OPO163" s="1762"/>
      <c r="OPP163" s="1762"/>
      <c r="OPQ163" s="1762"/>
      <c r="OPR163" s="1762"/>
      <c r="OPS163" s="1762"/>
      <c r="OPT163" s="1762"/>
      <c r="OPU163" s="1762"/>
      <c r="OPV163" s="1762"/>
      <c r="OPW163" s="1762"/>
      <c r="OPX163" s="1762"/>
      <c r="OPY163" s="1762"/>
      <c r="OPZ163" s="1762"/>
      <c r="OQA163" s="1762"/>
      <c r="OQB163" s="1762"/>
      <c r="OQC163" s="1762"/>
      <c r="OQD163" s="1762"/>
      <c r="OQE163" s="1762"/>
      <c r="OQF163" s="1762"/>
      <c r="OQG163" s="1762"/>
      <c r="OQH163" s="1762"/>
      <c r="OQI163" s="1762"/>
      <c r="OQJ163" s="1762"/>
      <c r="OQK163" s="1762"/>
      <c r="OQL163" s="1762"/>
      <c r="OQM163" s="1762"/>
      <c r="OQN163" s="1762"/>
      <c r="OQO163" s="1762"/>
      <c r="OQP163" s="1762"/>
      <c r="OQQ163" s="1762"/>
      <c r="OQR163" s="1762"/>
      <c r="OQS163" s="1762"/>
      <c r="OQT163" s="1762"/>
      <c r="OQU163" s="1762"/>
      <c r="OQV163" s="1762"/>
      <c r="OQW163" s="1762"/>
      <c r="OQX163" s="1762"/>
      <c r="OQY163" s="1762"/>
      <c r="OQZ163" s="1762"/>
      <c r="ORA163" s="1762"/>
      <c r="ORB163" s="1762"/>
      <c r="ORC163" s="1762"/>
      <c r="ORD163" s="1762"/>
      <c r="ORE163" s="1762"/>
      <c r="ORF163" s="1762"/>
      <c r="ORG163" s="1762"/>
      <c r="ORH163" s="1762"/>
      <c r="ORI163" s="1762"/>
      <c r="ORJ163" s="1762"/>
      <c r="ORK163" s="1762"/>
      <c r="ORL163" s="1762"/>
      <c r="ORM163" s="1762"/>
      <c r="ORN163" s="1762"/>
      <c r="ORO163" s="1762"/>
      <c r="ORP163" s="1762"/>
      <c r="ORQ163" s="1762"/>
      <c r="ORR163" s="1762"/>
      <c r="ORS163" s="1762"/>
      <c r="ORT163" s="1762"/>
      <c r="ORU163" s="1762"/>
      <c r="ORV163" s="1762"/>
      <c r="ORW163" s="1762"/>
      <c r="ORX163" s="1762"/>
      <c r="ORY163" s="1762"/>
      <c r="ORZ163" s="1762"/>
      <c r="OSA163" s="1762"/>
      <c r="OSB163" s="1762"/>
      <c r="OSC163" s="1762"/>
      <c r="OSD163" s="1762"/>
      <c r="OSE163" s="1762"/>
      <c r="OSF163" s="1762"/>
      <c r="OSG163" s="1762"/>
      <c r="OSH163" s="1762"/>
      <c r="OSI163" s="1762"/>
      <c r="OSJ163" s="1762"/>
      <c r="OSK163" s="1762"/>
      <c r="OSL163" s="1762"/>
      <c r="OSM163" s="1762"/>
      <c r="OSN163" s="1762"/>
      <c r="OSO163" s="1762"/>
      <c r="OSP163" s="1762"/>
      <c r="OSQ163" s="1762"/>
      <c r="OSR163" s="1762"/>
      <c r="OSS163" s="1762"/>
      <c r="OST163" s="1762"/>
      <c r="OSU163" s="1762"/>
      <c r="OSV163" s="1762"/>
      <c r="OSW163" s="1762"/>
      <c r="OSX163" s="1762"/>
      <c r="OSY163" s="1762"/>
      <c r="OSZ163" s="1762"/>
      <c r="OTA163" s="1762"/>
      <c r="OTB163" s="1762"/>
      <c r="OTC163" s="1762"/>
      <c r="OTD163" s="1762"/>
      <c r="OTE163" s="1762"/>
      <c r="OTF163" s="1762"/>
      <c r="OTG163" s="1762"/>
      <c r="OTH163" s="1762"/>
      <c r="OTI163" s="1762"/>
      <c r="OTJ163" s="1762"/>
      <c r="OTK163" s="1762"/>
      <c r="OTL163" s="1762"/>
      <c r="OTM163" s="1762"/>
      <c r="OTN163" s="1762"/>
      <c r="OTO163" s="1762"/>
      <c r="OTP163" s="1762"/>
      <c r="OTQ163" s="1762"/>
      <c r="OTR163" s="1762"/>
      <c r="OTS163" s="1762"/>
      <c r="OTT163" s="1762"/>
      <c r="OTU163" s="1762"/>
      <c r="OTV163" s="1762"/>
      <c r="OTW163" s="1762"/>
      <c r="OTX163" s="1762"/>
      <c r="OTY163" s="1762"/>
      <c r="OTZ163" s="1762"/>
      <c r="OUA163" s="1762"/>
      <c r="OUB163" s="1762"/>
      <c r="OUC163" s="1762"/>
      <c r="OUD163" s="1762"/>
      <c r="OUE163" s="1762"/>
      <c r="OUF163" s="1762"/>
      <c r="OUG163" s="1762"/>
      <c r="OUH163" s="1762"/>
      <c r="OUI163" s="1762"/>
      <c r="OUJ163" s="1762"/>
      <c r="OUK163" s="1762"/>
      <c r="OUL163" s="1762"/>
      <c r="OUM163" s="1762"/>
      <c r="OUN163" s="1762"/>
      <c r="OUO163" s="1762"/>
      <c r="OUP163" s="1762"/>
      <c r="OUQ163" s="1762"/>
      <c r="OUR163" s="1762"/>
      <c r="OUS163" s="1762"/>
      <c r="OUT163" s="1762"/>
      <c r="OUU163" s="1762"/>
      <c r="OUV163" s="1762"/>
      <c r="OUW163" s="1762"/>
      <c r="OUX163" s="1762"/>
      <c r="OUY163" s="1762"/>
      <c r="OUZ163" s="1762"/>
      <c r="OVA163" s="1762"/>
      <c r="OVB163" s="1762"/>
      <c r="OVC163" s="1762"/>
      <c r="OVD163" s="1762"/>
      <c r="OVE163" s="1762"/>
      <c r="OVF163" s="1762"/>
      <c r="OVG163" s="1762"/>
      <c r="OVH163" s="1762"/>
      <c r="OVI163" s="1762"/>
      <c r="OVJ163" s="1762"/>
      <c r="OVK163" s="1762"/>
      <c r="OVL163" s="1762"/>
      <c r="OVM163" s="1762"/>
      <c r="OVN163" s="1762"/>
      <c r="OVO163" s="1762"/>
      <c r="OVP163" s="1762"/>
      <c r="OVQ163" s="1762"/>
      <c r="OVR163" s="1762"/>
      <c r="OVS163" s="1762"/>
      <c r="OVT163" s="1762"/>
      <c r="OVU163" s="1762"/>
      <c r="OVV163" s="1762"/>
      <c r="OVW163" s="1762"/>
      <c r="OVX163" s="1762"/>
      <c r="OVY163" s="1762"/>
      <c r="OVZ163" s="1762"/>
      <c r="OWA163" s="1762"/>
      <c r="OWB163" s="1762"/>
      <c r="OWC163" s="1762"/>
      <c r="OWD163" s="1762"/>
      <c r="OWE163" s="1762"/>
      <c r="OWF163" s="1762"/>
      <c r="OWG163" s="1762"/>
      <c r="OWH163" s="1762"/>
      <c r="OWI163" s="1762"/>
      <c r="OWJ163" s="1762"/>
      <c r="OWK163" s="1762"/>
      <c r="OWL163" s="1762"/>
      <c r="OWM163" s="1762"/>
      <c r="OWN163" s="1762"/>
      <c r="OWO163" s="1762"/>
      <c r="OWP163" s="1762"/>
      <c r="OWQ163" s="1762"/>
      <c r="OWR163" s="1762"/>
      <c r="OWS163" s="1762"/>
      <c r="OWT163" s="1762"/>
      <c r="OWU163" s="1762"/>
      <c r="OWV163" s="1762"/>
      <c r="OWW163" s="1762"/>
      <c r="OWX163" s="1762"/>
      <c r="OWY163" s="1762"/>
      <c r="OWZ163" s="1762"/>
      <c r="OXA163" s="1762"/>
      <c r="OXB163" s="1762"/>
      <c r="OXC163" s="1762"/>
      <c r="OXD163" s="1762"/>
      <c r="OXE163" s="1762"/>
      <c r="OXF163" s="1762"/>
      <c r="OXG163" s="1762"/>
      <c r="OXH163" s="1762"/>
      <c r="OXI163" s="1762"/>
      <c r="OXJ163" s="1762"/>
      <c r="OXK163" s="1762"/>
      <c r="OXL163" s="1762"/>
      <c r="OXM163" s="1762"/>
      <c r="OXN163" s="1762"/>
      <c r="OXO163" s="1762"/>
      <c r="OXP163" s="1762"/>
      <c r="OXQ163" s="1762"/>
      <c r="OXR163" s="1762"/>
      <c r="OXS163" s="1762"/>
      <c r="OXT163" s="1762"/>
      <c r="OXU163" s="1762"/>
      <c r="OXV163" s="1762"/>
      <c r="OXW163" s="1762"/>
      <c r="OXX163" s="1762"/>
      <c r="OXY163" s="1762"/>
      <c r="OXZ163" s="1762"/>
      <c r="OYA163" s="1762"/>
      <c r="OYB163" s="1762"/>
      <c r="OYC163" s="1762"/>
      <c r="OYD163" s="1762"/>
      <c r="OYE163" s="1762"/>
      <c r="OYF163" s="1762"/>
      <c r="OYG163" s="1762"/>
      <c r="OYH163" s="1762"/>
      <c r="OYI163" s="1762"/>
      <c r="OYJ163" s="1762"/>
      <c r="OYK163" s="1762"/>
      <c r="OYL163" s="1762"/>
      <c r="OYM163" s="1762"/>
      <c r="OYN163" s="1762"/>
      <c r="OYO163" s="1762"/>
      <c r="OYP163" s="1762"/>
      <c r="OYQ163" s="1762"/>
      <c r="OYR163" s="1762"/>
      <c r="OYS163" s="1762"/>
      <c r="OYT163" s="1762"/>
      <c r="OYU163" s="1762"/>
      <c r="OYV163" s="1762"/>
      <c r="OYW163" s="1762"/>
      <c r="OYX163" s="1762"/>
      <c r="OYY163" s="1762"/>
      <c r="OYZ163" s="1762"/>
      <c r="OZA163" s="1762"/>
      <c r="OZB163" s="1762"/>
      <c r="OZC163" s="1762"/>
      <c r="OZD163" s="1762"/>
      <c r="OZE163" s="1762"/>
      <c r="OZF163" s="1762"/>
      <c r="OZG163" s="1762"/>
      <c r="OZH163" s="1762"/>
      <c r="OZI163" s="1762"/>
      <c r="OZJ163" s="1762"/>
      <c r="OZK163" s="1762"/>
      <c r="OZL163" s="1762"/>
      <c r="OZM163" s="1762"/>
      <c r="OZN163" s="1762"/>
      <c r="OZO163" s="1762"/>
      <c r="OZP163" s="1762"/>
      <c r="OZQ163" s="1762"/>
      <c r="OZR163" s="1762"/>
      <c r="OZS163" s="1762"/>
      <c r="OZT163" s="1762"/>
      <c r="OZU163" s="1762"/>
      <c r="OZV163" s="1762"/>
      <c r="OZW163" s="1762"/>
      <c r="OZX163" s="1762"/>
      <c r="OZY163" s="1762"/>
      <c r="OZZ163" s="1762"/>
      <c r="PAA163" s="1762"/>
      <c r="PAB163" s="1762"/>
      <c r="PAC163" s="1762"/>
      <c r="PAD163" s="1762"/>
      <c r="PAE163" s="1762"/>
      <c r="PAF163" s="1762"/>
      <c r="PAG163" s="1762"/>
      <c r="PAH163" s="1762"/>
      <c r="PAI163" s="1762"/>
      <c r="PAJ163" s="1762"/>
      <c r="PAK163" s="1762"/>
      <c r="PAL163" s="1762"/>
      <c r="PAM163" s="1762"/>
      <c r="PAN163" s="1762"/>
      <c r="PAO163" s="1762"/>
      <c r="PAP163" s="1762"/>
      <c r="PAQ163" s="1762"/>
      <c r="PAR163" s="1762"/>
      <c r="PAS163" s="1762"/>
      <c r="PAT163" s="1762"/>
      <c r="PAU163" s="1762"/>
      <c r="PAV163" s="1762"/>
      <c r="PAW163" s="1762"/>
      <c r="PAX163" s="1762"/>
      <c r="PAY163" s="1762"/>
      <c r="PAZ163" s="1762"/>
      <c r="PBA163" s="1762"/>
      <c r="PBB163" s="1762"/>
      <c r="PBC163" s="1762"/>
      <c r="PBD163" s="1762"/>
      <c r="PBE163" s="1762"/>
      <c r="PBF163" s="1762"/>
      <c r="PBG163" s="1762"/>
      <c r="PBH163" s="1762"/>
      <c r="PBI163" s="1762"/>
      <c r="PBJ163" s="1762"/>
      <c r="PBK163" s="1762"/>
      <c r="PBL163" s="1762"/>
      <c r="PBM163" s="1762"/>
      <c r="PBN163" s="1762"/>
      <c r="PBO163" s="1762"/>
      <c r="PBP163" s="1762"/>
      <c r="PBQ163" s="1762"/>
      <c r="PBR163" s="1762"/>
      <c r="PBS163" s="1762"/>
      <c r="PBT163" s="1762"/>
      <c r="PBU163" s="1762"/>
      <c r="PBV163" s="1762"/>
      <c r="PBW163" s="1762"/>
      <c r="PBX163" s="1762"/>
      <c r="PBY163" s="1762"/>
      <c r="PBZ163" s="1762"/>
      <c r="PCA163" s="1762"/>
      <c r="PCB163" s="1762"/>
      <c r="PCC163" s="1762"/>
      <c r="PCD163" s="1762"/>
      <c r="PCE163" s="1762"/>
      <c r="PCF163" s="1762"/>
      <c r="PCG163" s="1762"/>
      <c r="PCH163" s="1762"/>
      <c r="PCI163" s="1762"/>
      <c r="PCJ163" s="1762"/>
      <c r="PCK163" s="1762"/>
      <c r="PCL163" s="1762"/>
      <c r="PCM163" s="1762"/>
      <c r="PCN163" s="1762"/>
      <c r="PCO163" s="1762"/>
      <c r="PCP163" s="1762"/>
      <c r="PCQ163" s="1762"/>
      <c r="PCR163" s="1762"/>
      <c r="PCS163" s="1762"/>
      <c r="PCT163" s="1762"/>
      <c r="PCU163" s="1762"/>
      <c r="PCV163" s="1762"/>
      <c r="PCW163" s="1762"/>
      <c r="PCX163" s="1762"/>
      <c r="PCY163" s="1762"/>
      <c r="PCZ163" s="1762"/>
      <c r="PDA163" s="1762"/>
      <c r="PDB163" s="1762"/>
      <c r="PDC163" s="1762"/>
      <c r="PDD163" s="1762"/>
      <c r="PDE163" s="1762"/>
      <c r="PDF163" s="1762"/>
      <c r="PDG163" s="1762"/>
      <c r="PDH163" s="1762"/>
      <c r="PDI163" s="1762"/>
      <c r="PDJ163" s="1762"/>
      <c r="PDK163" s="1762"/>
      <c r="PDL163" s="1762"/>
      <c r="PDM163" s="1762"/>
      <c r="PDN163" s="1762"/>
      <c r="PDO163" s="1762"/>
      <c r="PDP163" s="1762"/>
      <c r="PDQ163" s="1762"/>
      <c r="PDR163" s="1762"/>
      <c r="PDS163" s="1762"/>
      <c r="PDT163" s="1762"/>
      <c r="PDU163" s="1762"/>
      <c r="PDV163" s="1762"/>
      <c r="PDW163" s="1762"/>
      <c r="PDX163" s="1762"/>
      <c r="PDY163" s="1762"/>
      <c r="PDZ163" s="1762"/>
      <c r="PEA163" s="1762"/>
      <c r="PEB163" s="1762"/>
      <c r="PEC163" s="1762"/>
      <c r="PED163" s="1762"/>
      <c r="PEE163" s="1762"/>
      <c r="PEF163" s="1762"/>
      <c r="PEG163" s="1762"/>
      <c r="PEH163" s="1762"/>
      <c r="PEI163" s="1762"/>
      <c r="PEJ163" s="1762"/>
      <c r="PEK163" s="1762"/>
      <c r="PEL163" s="1762"/>
      <c r="PEM163" s="1762"/>
      <c r="PEN163" s="1762"/>
      <c r="PEO163" s="1762"/>
      <c r="PEP163" s="1762"/>
      <c r="PEQ163" s="1762"/>
      <c r="PER163" s="1762"/>
      <c r="PES163" s="1762"/>
      <c r="PET163" s="1762"/>
      <c r="PEU163" s="1762"/>
      <c r="PEV163" s="1762"/>
      <c r="PEW163" s="1762"/>
      <c r="PEX163" s="1762"/>
      <c r="PEY163" s="1762"/>
      <c r="PEZ163" s="1762"/>
      <c r="PFA163" s="1762"/>
      <c r="PFB163" s="1762"/>
      <c r="PFC163" s="1762"/>
      <c r="PFD163" s="1762"/>
      <c r="PFE163" s="1762"/>
      <c r="PFF163" s="1762"/>
      <c r="PFG163" s="1762"/>
      <c r="PFH163" s="1762"/>
      <c r="PFI163" s="1762"/>
      <c r="PFJ163" s="1762"/>
      <c r="PFK163" s="1762"/>
      <c r="PFL163" s="1762"/>
      <c r="PFM163" s="1762"/>
      <c r="PFN163" s="1762"/>
      <c r="PFO163" s="1762"/>
      <c r="PFP163" s="1762"/>
      <c r="PFQ163" s="1762"/>
      <c r="PFR163" s="1762"/>
      <c r="PFS163" s="1762"/>
      <c r="PFT163" s="1762"/>
      <c r="PFU163" s="1762"/>
      <c r="PFV163" s="1762"/>
      <c r="PFW163" s="1762"/>
      <c r="PFX163" s="1762"/>
      <c r="PFY163" s="1762"/>
      <c r="PFZ163" s="1762"/>
      <c r="PGA163" s="1762"/>
      <c r="PGB163" s="1762"/>
      <c r="PGC163" s="1762"/>
      <c r="PGD163" s="1762"/>
      <c r="PGE163" s="1762"/>
      <c r="PGF163" s="1762"/>
      <c r="PGG163" s="1762"/>
      <c r="PGH163" s="1762"/>
      <c r="PGI163" s="1762"/>
      <c r="PGJ163" s="1762"/>
      <c r="PGK163" s="1762"/>
      <c r="PGL163" s="1762"/>
      <c r="PGM163" s="1762"/>
      <c r="PGN163" s="1762"/>
      <c r="PGO163" s="1762"/>
      <c r="PGP163" s="1762"/>
      <c r="PGQ163" s="1762"/>
      <c r="PGR163" s="1762"/>
      <c r="PGS163" s="1762"/>
      <c r="PGT163" s="1762"/>
      <c r="PGU163" s="1762"/>
      <c r="PGV163" s="1762"/>
      <c r="PGW163" s="1762"/>
      <c r="PGX163" s="1762"/>
      <c r="PGY163" s="1762"/>
      <c r="PGZ163" s="1762"/>
      <c r="PHA163" s="1762"/>
      <c r="PHB163" s="1762"/>
      <c r="PHC163" s="1762"/>
      <c r="PHD163" s="1762"/>
      <c r="PHE163" s="1762"/>
      <c r="PHF163" s="1762"/>
      <c r="PHG163" s="1762"/>
      <c r="PHH163" s="1762"/>
      <c r="PHI163" s="1762"/>
      <c r="PHJ163" s="1762"/>
      <c r="PHK163" s="1762"/>
      <c r="PHL163" s="1762"/>
      <c r="PHM163" s="1762"/>
      <c r="PHN163" s="1762"/>
      <c r="PHO163" s="1762"/>
      <c r="PHP163" s="1762"/>
      <c r="PHQ163" s="1762"/>
      <c r="PHR163" s="1762"/>
      <c r="PHS163" s="1762"/>
      <c r="PHT163" s="1762"/>
      <c r="PHU163" s="1762"/>
      <c r="PHV163" s="1762"/>
      <c r="PHW163" s="1762"/>
      <c r="PHX163" s="1762"/>
      <c r="PHY163" s="1762"/>
      <c r="PHZ163" s="1762"/>
      <c r="PIA163" s="1762"/>
      <c r="PIB163" s="1762"/>
      <c r="PIC163" s="1762"/>
      <c r="PID163" s="1762"/>
      <c r="PIE163" s="1762"/>
      <c r="PIF163" s="1762"/>
      <c r="PIG163" s="1762"/>
      <c r="PIH163" s="1762"/>
      <c r="PII163" s="1762"/>
      <c r="PIJ163" s="1762"/>
      <c r="PIK163" s="1762"/>
      <c r="PIL163" s="1762"/>
      <c r="PIM163" s="1762"/>
      <c r="PIN163" s="1762"/>
      <c r="PIO163" s="1762"/>
      <c r="PIP163" s="1762"/>
      <c r="PIQ163" s="1762"/>
      <c r="PIR163" s="1762"/>
      <c r="PIS163" s="1762"/>
      <c r="PIT163" s="1762"/>
      <c r="PIU163" s="1762"/>
      <c r="PIV163" s="1762"/>
      <c r="PIW163" s="1762"/>
      <c r="PIX163" s="1762"/>
      <c r="PIY163" s="1762"/>
      <c r="PIZ163" s="1762"/>
      <c r="PJA163" s="1762"/>
      <c r="PJB163" s="1762"/>
      <c r="PJC163" s="1762"/>
      <c r="PJD163" s="1762"/>
      <c r="PJE163" s="1762"/>
      <c r="PJF163" s="1762"/>
      <c r="PJG163" s="1762"/>
      <c r="PJH163" s="1762"/>
      <c r="PJI163" s="1762"/>
      <c r="PJJ163" s="1762"/>
      <c r="PJK163" s="1762"/>
      <c r="PJL163" s="1762"/>
      <c r="PJM163" s="1762"/>
      <c r="PJN163" s="1762"/>
      <c r="PJO163" s="1762"/>
      <c r="PJP163" s="1762"/>
      <c r="PJQ163" s="1762"/>
      <c r="PJR163" s="1762"/>
      <c r="PJS163" s="1762"/>
      <c r="PJT163" s="1762"/>
      <c r="PJU163" s="1762"/>
      <c r="PJV163" s="1762"/>
      <c r="PJW163" s="1762"/>
      <c r="PJX163" s="1762"/>
      <c r="PJY163" s="1762"/>
      <c r="PJZ163" s="1762"/>
      <c r="PKA163" s="1762"/>
      <c r="PKB163" s="1762"/>
      <c r="PKC163" s="1762"/>
      <c r="PKD163" s="1762"/>
      <c r="PKE163" s="1762"/>
      <c r="PKF163" s="1762"/>
      <c r="PKG163" s="1762"/>
      <c r="PKH163" s="1762"/>
      <c r="PKI163" s="1762"/>
      <c r="PKJ163" s="1762"/>
      <c r="PKK163" s="1762"/>
      <c r="PKL163" s="1762"/>
      <c r="PKM163" s="1762"/>
      <c r="PKN163" s="1762"/>
      <c r="PKO163" s="1762"/>
      <c r="PKP163" s="1762"/>
      <c r="PKQ163" s="1762"/>
      <c r="PKR163" s="1762"/>
      <c r="PKS163" s="1762"/>
      <c r="PKT163" s="1762"/>
      <c r="PKU163" s="1762"/>
      <c r="PKV163" s="1762"/>
      <c r="PKW163" s="1762"/>
      <c r="PKX163" s="1762"/>
      <c r="PKY163" s="1762"/>
      <c r="PKZ163" s="1762"/>
      <c r="PLA163" s="1762"/>
      <c r="PLB163" s="1762"/>
      <c r="PLC163" s="1762"/>
      <c r="PLD163" s="1762"/>
      <c r="PLE163" s="1762"/>
      <c r="PLF163" s="1762"/>
      <c r="PLG163" s="1762"/>
      <c r="PLH163" s="1762"/>
      <c r="PLI163" s="1762"/>
      <c r="PLJ163" s="1762"/>
      <c r="PLK163" s="1762"/>
      <c r="PLL163" s="1762"/>
      <c r="PLM163" s="1762"/>
      <c r="PLN163" s="1762"/>
      <c r="PLO163" s="1762"/>
      <c r="PLP163" s="1762"/>
      <c r="PLQ163" s="1762"/>
      <c r="PLR163" s="1762"/>
      <c r="PLS163" s="1762"/>
      <c r="PLT163" s="1762"/>
      <c r="PLU163" s="1762"/>
      <c r="PLV163" s="1762"/>
      <c r="PLW163" s="1762"/>
      <c r="PLX163" s="1762"/>
      <c r="PLY163" s="1762"/>
      <c r="PLZ163" s="1762"/>
      <c r="PMA163" s="1762"/>
      <c r="PMB163" s="1762"/>
      <c r="PMC163" s="1762"/>
      <c r="PMD163" s="1762"/>
      <c r="PME163" s="1762"/>
      <c r="PMF163" s="1762"/>
      <c r="PMG163" s="1762"/>
      <c r="PMH163" s="1762"/>
      <c r="PMI163" s="1762"/>
      <c r="PMJ163" s="1762"/>
      <c r="PMK163" s="1762"/>
      <c r="PML163" s="1762"/>
      <c r="PMM163" s="1762"/>
      <c r="PMN163" s="1762"/>
      <c r="PMO163" s="1762"/>
      <c r="PMP163" s="1762"/>
      <c r="PMQ163" s="1762"/>
      <c r="PMR163" s="1762"/>
      <c r="PMS163" s="1762"/>
      <c r="PMT163" s="1762"/>
      <c r="PMU163" s="1762"/>
      <c r="PMV163" s="1762"/>
      <c r="PMW163" s="1762"/>
      <c r="PMX163" s="1762"/>
      <c r="PMY163" s="1762"/>
      <c r="PMZ163" s="1762"/>
      <c r="PNA163" s="1762"/>
      <c r="PNB163" s="1762"/>
      <c r="PNC163" s="1762"/>
      <c r="PND163" s="1762"/>
      <c r="PNE163" s="1762"/>
      <c r="PNF163" s="1762"/>
      <c r="PNG163" s="1762"/>
      <c r="PNH163" s="1762"/>
      <c r="PNI163" s="1762"/>
      <c r="PNJ163" s="1762"/>
      <c r="PNK163" s="1762"/>
      <c r="PNL163" s="1762"/>
      <c r="PNM163" s="1762"/>
      <c r="PNN163" s="1762"/>
      <c r="PNO163" s="1762"/>
      <c r="PNP163" s="1762"/>
      <c r="PNQ163" s="1762"/>
      <c r="PNR163" s="1762"/>
      <c r="PNS163" s="1762"/>
      <c r="PNT163" s="1762"/>
      <c r="PNU163" s="1762"/>
      <c r="PNV163" s="1762"/>
      <c r="PNW163" s="1762"/>
      <c r="PNX163" s="1762"/>
      <c r="PNY163" s="1762"/>
      <c r="PNZ163" s="1762"/>
      <c r="POA163" s="1762"/>
      <c r="POB163" s="1762"/>
      <c r="POC163" s="1762"/>
      <c r="POD163" s="1762"/>
      <c r="POE163" s="1762"/>
      <c r="POF163" s="1762"/>
      <c r="POG163" s="1762"/>
      <c r="POH163" s="1762"/>
      <c r="POI163" s="1762"/>
      <c r="POJ163" s="1762"/>
      <c r="POK163" s="1762"/>
      <c r="POL163" s="1762"/>
      <c r="POM163" s="1762"/>
      <c r="PON163" s="1762"/>
      <c r="POO163" s="1762"/>
      <c r="POP163" s="1762"/>
      <c r="POQ163" s="1762"/>
      <c r="POR163" s="1762"/>
      <c r="POS163" s="1762"/>
      <c r="POT163" s="1762"/>
      <c r="POU163" s="1762"/>
      <c r="POV163" s="1762"/>
      <c r="POW163" s="1762"/>
      <c r="POX163" s="1762"/>
      <c r="POY163" s="1762"/>
      <c r="POZ163" s="1762"/>
      <c r="PPA163" s="1762"/>
      <c r="PPB163" s="1762"/>
      <c r="PPC163" s="1762"/>
      <c r="PPD163" s="1762"/>
      <c r="PPE163" s="1762"/>
      <c r="PPF163" s="1762"/>
      <c r="PPG163" s="1762"/>
      <c r="PPH163" s="1762"/>
      <c r="PPI163" s="1762"/>
      <c r="PPJ163" s="1762"/>
      <c r="PPK163" s="1762"/>
      <c r="PPL163" s="1762"/>
      <c r="PPM163" s="1762"/>
      <c r="PPN163" s="1762"/>
      <c r="PPO163" s="1762"/>
      <c r="PPP163" s="1762"/>
      <c r="PPQ163" s="1762"/>
      <c r="PPR163" s="1762"/>
      <c r="PPS163" s="1762"/>
      <c r="PPT163" s="1762"/>
      <c r="PPU163" s="1762"/>
      <c r="PPV163" s="1762"/>
      <c r="PPW163" s="1762"/>
      <c r="PPX163" s="1762"/>
      <c r="PPY163" s="1762"/>
      <c r="PPZ163" s="1762"/>
      <c r="PQA163" s="1762"/>
      <c r="PQB163" s="1762"/>
      <c r="PQC163" s="1762"/>
      <c r="PQD163" s="1762"/>
      <c r="PQE163" s="1762"/>
      <c r="PQF163" s="1762"/>
      <c r="PQG163" s="1762"/>
      <c r="PQH163" s="1762"/>
      <c r="PQI163" s="1762"/>
      <c r="PQJ163" s="1762"/>
      <c r="PQK163" s="1762"/>
      <c r="PQL163" s="1762"/>
      <c r="PQM163" s="1762"/>
      <c r="PQN163" s="1762"/>
      <c r="PQO163" s="1762"/>
      <c r="PQP163" s="1762"/>
      <c r="PQQ163" s="1762"/>
      <c r="PQR163" s="1762"/>
      <c r="PQS163" s="1762"/>
      <c r="PQT163" s="1762"/>
      <c r="PQU163" s="1762"/>
      <c r="PQV163" s="1762"/>
      <c r="PQW163" s="1762"/>
      <c r="PQX163" s="1762"/>
      <c r="PQY163" s="1762"/>
      <c r="PQZ163" s="1762"/>
      <c r="PRA163" s="1762"/>
      <c r="PRB163" s="1762"/>
      <c r="PRC163" s="1762"/>
      <c r="PRD163" s="1762"/>
      <c r="PRE163" s="1762"/>
      <c r="PRF163" s="1762"/>
      <c r="PRG163" s="1762"/>
      <c r="PRH163" s="1762"/>
      <c r="PRI163" s="1762"/>
      <c r="PRJ163" s="1762"/>
      <c r="PRK163" s="1762"/>
      <c r="PRL163" s="1762"/>
      <c r="PRM163" s="1762"/>
      <c r="PRN163" s="1762"/>
      <c r="PRO163" s="1762"/>
      <c r="PRP163" s="1762"/>
      <c r="PRQ163" s="1762"/>
      <c r="PRR163" s="1762"/>
      <c r="PRS163" s="1762"/>
      <c r="PRT163" s="1762"/>
      <c r="PRU163" s="1762"/>
      <c r="PRV163" s="1762"/>
      <c r="PRW163" s="1762"/>
      <c r="PRX163" s="1762"/>
      <c r="PRY163" s="1762"/>
      <c r="PRZ163" s="1762"/>
      <c r="PSA163" s="1762"/>
      <c r="PSB163" s="1762"/>
      <c r="PSC163" s="1762"/>
      <c r="PSD163" s="1762"/>
      <c r="PSE163" s="1762"/>
      <c r="PSF163" s="1762"/>
      <c r="PSG163" s="1762"/>
      <c r="PSH163" s="1762"/>
      <c r="PSI163" s="1762"/>
      <c r="PSJ163" s="1762"/>
      <c r="PSK163" s="1762"/>
      <c r="PSL163" s="1762"/>
      <c r="PSM163" s="1762"/>
      <c r="PSN163" s="1762"/>
      <c r="PSO163" s="1762"/>
      <c r="PSP163" s="1762"/>
      <c r="PSQ163" s="1762"/>
      <c r="PSR163" s="1762"/>
      <c r="PSS163" s="1762"/>
      <c r="PST163" s="1762"/>
      <c r="PSU163" s="1762"/>
      <c r="PSV163" s="1762"/>
      <c r="PSW163" s="1762"/>
      <c r="PSX163" s="1762"/>
      <c r="PSY163" s="1762"/>
      <c r="PSZ163" s="1762"/>
      <c r="PTA163" s="1762"/>
      <c r="PTB163" s="1762"/>
      <c r="PTC163" s="1762"/>
      <c r="PTD163" s="1762"/>
      <c r="PTE163" s="1762"/>
      <c r="PTF163" s="1762"/>
      <c r="PTG163" s="1762"/>
      <c r="PTH163" s="1762"/>
      <c r="PTI163" s="1762"/>
      <c r="PTJ163" s="1762"/>
      <c r="PTK163" s="1762"/>
      <c r="PTL163" s="1762"/>
      <c r="PTM163" s="1762"/>
      <c r="PTN163" s="1762"/>
      <c r="PTO163" s="1762"/>
      <c r="PTP163" s="1762"/>
      <c r="PTQ163" s="1762"/>
      <c r="PTR163" s="1762"/>
      <c r="PTS163" s="1762"/>
      <c r="PTT163" s="1762"/>
      <c r="PTU163" s="1762"/>
      <c r="PTV163" s="1762"/>
      <c r="PTW163" s="1762"/>
      <c r="PTX163" s="1762"/>
      <c r="PTY163" s="1762"/>
      <c r="PTZ163" s="1762"/>
      <c r="PUA163" s="1762"/>
      <c r="PUB163" s="1762"/>
      <c r="PUC163" s="1762"/>
      <c r="PUD163" s="1762"/>
      <c r="PUE163" s="1762"/>
      <c r="PUF163" s="1762"/>
      <c r="PUG163" s="1762"/>
      <c r="PUH163" s="1762"/>
      <c r="PUI163" s="1762"/>
      <c r="PUJ163" s="1762"/>
      <c r="PUK163" s="1762"/>
      <c r="PUL163" s="1762"/>
      <c r="PUM163" s="1762"/>
      <c r="PUN163" s="1762"/>
      <c r="PUO163" s="1762"/>
      <c r="PUP163" s="1762"/>
      <c r="PUQ163" s="1762"/>
      <c r="PUR163" s="1762"/>
      <c r="PUS163" s="1762"/>
      <c r="PUT163" s="1762"/>
      <c r="PUU163" s="1762"/>
      <c r="PUV163" s="1762"/>
      <c r="PUW163" s="1762"/>
      <c r="PUX163" s="1762"/>
      <c r="PUY163" s="1762"/>
      <c r="PUZ163" s="1762"/>
      <c r="PVA163" s="1762"/>
      <c r="PVB163" s="1762"/>
      <c r="PVC163" s="1762"/>
      <c r="PVD163" s="1762"/>
      <c r="PVE163" s="1762"/>
      <c r="PVF163" s="1762"/>
      <c r="PVG163" s="1762"/>
      <c r="PVH163" s="1762"/>
      <c r="PVI163" s="1762"/>
      <c r="PVJ163" s="1762"/>
      <c r="PVK163" s="1762"/>
      <c r="PVL163" s="1762"/>
      <c r="PVM163" s="1762"/>
      <c r="PVN163" s="1762"/>
      <c r="PVO163" s="1762"/>
      <c r="PVP163" s="1762"/>
      <c r="PVQ163" s="1762"/>
      <c r="PVR163" s="1762"/>
      <c r="PVS163" s="1762"/>
      <c r="PVT163" s="1762"/>
      <c r="PVU163" s="1762"/>
      <c r="PVV163" s="1762"/>
      <c r="PVW163" s="1762"/>
      <c r="PVX163" s="1762"/>
      <c r="PVY163" s="1762"/>
      <c r="PVZ163" s="1762"/>
      <c r="PWA163" s="1762"/>
      <c r="PWB163" s="1762"/>
      <c r="PWC163" s="1762"/>
      <c r="PWD163" s="1762"/>
      <c r="PWE163" s="1762"/>
      <c r="PWF163" s="1762"/>
      <c r="PWG163" s="1762"/>
      <c r="PWH163" s="1762"/>
      <c r="PWI163" s="1762"/>
      <c r="PWJ163" s="1762"/>
      <c r="PWK163" s="1762"/>
      <c r="PWL163" s="1762"/>
      <c r="PWM163" s="1762"/>
      <c r="PWN163" s="1762"/>
      <c r="PWO163" s="1762"/>
      <c r="PWP163" s="1762"/>
      <c r="PWQ163" s="1762"/>
      <c r="PWR163" s="1762"/>
      <c r="PWS163" s="1762"/>
      <c r="PWT163" s="1762"/>
      <c r="PWU163" s="1762"/>
      <c r="PWV163" s="1762"/>
      <c r="PWW163" s="1762"/>
      <c r="PWX163" s="1762"/>
      <c r="PWY163" s="1762"/>
      <c r="PWZ163" s="1762"/>
      <c r="PXA163" s="1762"/>
      <c r="PXB163" s="1762"/>
      <c r="PXC163" s="1762"/>
      <c r="PXD163" s="1762"/>
      <c r="PXE163" s="1762"/>
      <c r="PXF163" s="1762"/>
      <c r="PXG163" s="1762"/>
      <c r="PXH163" s="1762"/>
      <c r="PXI163" s="1762"/>
      <c r="PXJ163" s="1762"/>
      <c r="PXK163" s="1762"/>
      <c r="PXL163" s="1762"/>
      <c r="PXM163" s="1762"/>
      <c r="PXN163" s="1762"/>
      <c r="PXO163" s="1762"/>
      <c r="PXP163" s="1762"/>
      <c r="PXQ163" s="1762"/>
      <c r="PXR163" s="1762"/>
      <c r="PXS163" s="1762"/>
      <c r="PXT163" s="1762"/>
      <c r="PXU163" s="1762"/>
      <c r="PXV163" s="1762"/>
      <c r="PXW163" s="1762"/>
      <c r="PXX163" s="1762"/>
      <c r="PXY163" s="1762"/>
      <c r="PXZ163" s="1762"/>
      <c r="PYA163" s="1762"/>
      <c r="PYB163" s="1762"/>
      <c r="PYC163" s="1762"/>
      <c r="PYD163" s="1762"/>
      <c r="PYE163" s="1762"/>
      <c r="PYF163" s="1762"/>
      <c r="PYG163" s="1762"/>
      <c r="PYH163" s="1762"/>
      <c r="PYI163" s="1762"/>
      <c r="PYJ163" s="1762"/>
      <c r="PYK163" s="1762"/>
      <c r="PYL163" s="1762"/>
      <c r="PYM163" s="1762"/>
      <c r="PYN163" s="1762"/>
      <c r="PYO163" s="1762"/>
      <c r="PYP163" s="1762"/>
      <c r="PYQ163" s="1762"/>
      <c r="PYR163" s="1762"/>
      <c r="PYS163" s="1762"/>
      <c r="PYT163" s="1762"/>
      <c r="PYU163" s="1762"/>
      <c r="PYV163" s="1762"/>
      <c r="PYW163" s="1762"/>
      <c r="PYX163" s="1762"/>
      <c r="PYY163" s="1762"/>
      <c r="PYZ163" s="1762"/>
      <c r="PZA163" s="1762"/>
      <c r="PZB163" s="1762"/>
      <c r="PZC163" s="1762"/>
      <c r="PZD163" s="1762"/>
      <c r="PZE163" s="1762"/>
      <c r="PZF163" s="1762"/>
      <c r="PZG163" s="1762"/>
      <c r="PZH163" s="1762"/>
      <c r="PZI163" s="1762"/>
      <c r="PZJ163" s="1762"/>
      <c r="PZK163" s="1762"/>
      <c r="PZL163" s="1762"/>
      <c r="PZM163" s="1762"/>
      <c r="PZN163" s="1762"/>
      <c r="PZO163" s="1762"/>
      <c r="PZP163" s="1762"/>
      <c r="PZQ163" s="1762"/>
      <c r="PZR163" s="1762"/>
      <c r="PZS163" s="1762"/>
      <c r="PZT163" s="1762"/>
      <c r="PZU163" s="1762"/>
      <c r="PZV163" s="1762"/>
      <c r="PZW163" s="1762"/>
      <c r="PZX163" s="1762"/>
      <c r="PZY163" s="1762"/>
      <c r="PZZ163" s="1762"/>
      <c r="QAA163" s="1762"/>
      <c r="QAB163" s="1762"/>
      <c r="QAC163" s="1762"/>
      <c r="QAD163" s="1762"/>
      <c r="QAE163" s="1762"/>
      <c r="QAF163" s="1762"/>
      <c r="QAG163" s="1762"/>
      <c r="QAH163" s="1762"/>
      <c r="QAI163" s="1762"/>
      <c r="QAJ163" s="1762"/>
      <c r="QAK163" s="1762"/>
      <c r="QAL163" s="1762"/>
      <c r="QAM163" s="1762"/>
      <c r="QAN163" s="1762"/>
      <c r="QAO163" s="1762"/>
      <c r="QAP163" s="1762"/>
      <c r="QAQ163" s="1762"/>
      <c r="QAR163" s="1762"/>
      <c r="QAS163" s="1762"/>
      <c r="QAT163" s="1762"/>
      <c r="QAU163" s="1762"/>
      <c r="QAV163" s="1762"/>
      <c r="QAW163" s="1762"/>
      <c r="QAX163" s="1762"/>
      <c r="QAY163" s="1762"/>
      <c r="QAZ163" s="1762"/>
      <c r="QBA163" s="1762"/>
      <c r="QBB163" s="1762"/>
      <c r="QBC163" s="1762"/>
      <c r="QBD163" s="1762"/>
      <c r="QBE163" s="1762"/>
      <c r="QBF163" s="1762"/>
      <c r="QBG163" s="1762"/>
      <c r="QBH163" s="1762"/>
      <c r="QBI163" s="1762"/>
      <c r="QBJ163" s="1762"/>
      <c r="QBK163" s="1762"/>
      <c r="QBL163" s="1762"/>
      <c r="QBM163" s="1762"/>
      <c r="QBN163" s="1762"/>
      <c r="QBO163" s="1762"/>
      <c r="QBP163" s="1762"/>
      <c r="QBQ163" s="1762"/>
      <c r="QBR163" s="1762"/>
      <c r="QBS163" s="1762"/>
      <c r="QBT163" s="1762"/>
      <c r="QBU163" s="1762"/>
      <c r="QBV163" s="1762"/>
      <c r="QBW163" s="1762"/>
      <c r="QBX163" s="1762"/>
      <c r="QBY163" s="1762"/>
      <c r="QBZ163" s="1762"/>
      <c r="QCA163" s="1762"/>
      <c r="QCB163" s="1762"/>
      <c r="QCC163" s="1762"/>
      <c r="QCD163" s="1762"/>
      <c r="QCE163" s="1762"/>
      <c r="QCF163" s="1762"/>
      <c r="QCG163" s="1762"/>
      <c r="QCH163" s="1762"/>
      <c r="QCI163" s="1762"/>
      <c r="QCJ163" s="1762"/>
      <c r="QCK163" s="1762"/>
      <c r="QCL163" s="1762"/>
      <c r="QCM163" s="1762"/>
      <c r="QCN163" s="1762"/>
      <c r="QCO163" s="1762"/>
      <c r="QCP163" s="1762"/>
      <c r="QCQ163" s="1762"/>
      <c r="QCR163" s="1762"/>
      <c r="QCS163" s="1762"/>
      <c r="QCT163" s="1762"/>
      <c r="QCU163" s="1762"/>
      <c r="QCV163" s="1762"/>
      <c r="QCW163" s="1762"/>
      <c r="QCX163" s="1762"/>
      <c r="QCY163" s="1762"/>
      <c r="QCZ163" s="1762"/>
      <c r="QDA163" s="1762"/>
      <c r="QDB163" s="1762"/>
      <c r="QDC163" s="1762"/>
      <c r="QDD163" s="1762"/>
      <c r="QDE163" s="1762"/>
      <c r="QDF163" s="1762"/>
      <c r="QDG163" s="1762"/>
      <c r="QDH163" s="1762"/>
      <c r="QDI163" s="1762"/>
      <c r="QDJ163" s="1762"/>
      <c r="QDK163" s="1762"/>
      <c r="QDL163" s="1762"/>
      <c r="QDM163" s="1762"/>
      <c r="QDN163" s="1762"/>
      <c r="QDO163" s="1762"/>
      <c r="QDP163" s="1762"/>
      <c r="QDQ163" s="1762"/>
      <c r="QDR163" s="1762"/>
      <c r="QDS163" s="1762"/>
      <c r="QDT163" s="1762"/>
      <c r="QDU163" s="1762"/>
      <c r="QDV163" s="1762"/>
      <c r="QDW163" s="1762"/>
      <c r="QDX163" s="1762"/>
      <c r="QDY163" s="1762"/>
      <c r="QDZ163" s="1762"/>
      <c r="QEA163" s="1762"/>
      <c r="QEB163" s="1762"/>
      <c r="QEC163" s="1762"/>
      <c r="QED163" s="1762"/>
      <c r="QEE163" s="1762"/>
      <c r="QEF163" s="1762"/>
      <c r="QEG163" s="1762"/>
      <c r="QEH163" s="1762"/>
      <c r="QEI163" s="1762"/>
      <c r="QEJ163" s="1762"/>
      <c r="QEK163" s="1762"/>
      <c r="QEL163" s="1762"/>
      <c r="QEM163" s="1762"/>
      <c r="QEN163" s="1762"/>
      <c r="QEO163" s="1762"/>
      <c r="QEP163" s="1762"/>
      <c r="QEQ163" s="1762"/>
      <c r="QER163" s="1762"/>
      <c r="QES163" s="1762"/>
      <c r="QET163" s="1762"/>
      <c r="QEU163" s="1762"/>
      <c r="QEV163" s="1762"/>
      <c r="QEW163" s="1762"/>
      <c r="QEX163" s="1762"/>
      <c r="QEY163" s="1762"/>
      <c r="QEZ163" s="1762"/>
      <c r="QFA163" s="1762"/>
      <c r="QFB163" s="1762"/>
      <c r="QFC163" s="1762"/>
      <c r="QFD163" s="1762"/>
      <c r="QFE163" s="1762"/>
      <c r="QFF163" s="1762"/>
      <c r="QFG163" s="1762"/>
      <c r="QFH163" s="1762"/>
      <c r="QFI163" s="1762"/>
      <c r="QFJ163" s="1762"/>
      <c r="QFK163" s="1762"/>
      <c r="QFL163" s="1762"/>
      <c r="QFM163" s="1762"/>
      <c r="QFN163" s="1762"/>
      <c r="QFO163" s="1762"/>
      <c r="QFP163" s="1762"/>
      <c r="QFQ163" s="1762"/>
      <c r="QFR163" s="1762"/>
      <c r="QFS163" s="1762"/>
      <c r="QFT163" s="1762"/>
      <c r="QFU163" s="1762"/>
      <c r="QFV163" s="1762"/>
      <c r="QFW163" s="1762"/>
      <c r="QFX163" s="1762"/>
      <c r="QFY163" s="1762"/>
      <c r="QFZ163" s="1762"/>
      <c r="QGA163" s="1762"/>
      <c r="QGB163" s="1762"/>
      <c r="QGC163" s="1762"/>
      <c r="QGD163" s="1762"/>
      <c r="QGE163" s="1762"/>
      <c r="QGF163" s="1762"/>
      <c r="QGG163" s="1762"/>
      <c r="QGH163" s="1762"/>
      <c r="QGI163" s="1762"/>
      <c r="QGJ163" s="1762"/>
      <c r="QGK163" s="1762"/>
      <c r="QGL163" s="1762"/>
      <c r="QGM163" s="1762"/>
      <c r="QGN163" s="1762"/>
      <c r="QGO163" s="1762"/>
      <c r="QGP163" s="1762"/>
      <c r="QGQ163" s="1762"/>
      <c r="QGR163" s="1762"/>
      <c r="QGS163" s="1762"/>
      <c r="QGT163" s="1762"/>
      <c r="QGU163" s="1762"/>
      <c r="QGV163" s="1762"/>
      <c r="QGW163" s="1762"/>
      <c r="QGX163" s="1762"/>
      <c r="QGY163" s="1762"/>
      <c r="QGZ163" s="1762"/>
      <c r="QHA163" s="1762"/>
      <c r="QHB163" s="1762"/>
      <c r="QHC163" s="1762"/>
      <c r="QHD163" s="1762"/>
      <c r="QHE163" s="1762"/>
      <c r="QHF163" s="1762"/>
      <c r="QHG163" s="1762"/>
      <c r="QHH163" s="1762"/>
      <c r="QHI163" s="1762"/>
      <c r="QHJ163" s="1762"/>
      <c r="QHK163" s="1762"/>
      <c r="QHL163" s="1762"/>
      <c r="QHM163" s="1762"/>
      <c r="QHN163" s="1762"/>
      <c r="QHO163" s="1762"/>
      <c r="QHP163" s="1762"/>
      <c r="QHQ163" s="1762"/>
      <c r="QHR163" s="1762"/>
      <c r="QHS163" s="1762"/>
      <c r="QHT163" s="1762"/>
      <c r="QHU163" s="1762"/>
      <c r="QHV163" s="1762"/>
      <c r="QHW163" s="1762"/>
      <c r="QHX163" s="1762"/>
      <c r="QHY163" s="1762"/>
      <c r="QHZ163" s="1762"/>
      <c r="QIA163" s="1762"/>
      <c r="QIB163" s="1762"/>
      <c r="QIC163" s="1762"/>
      <c r="QID163" s="1762"/>
      <c r="QIE163" s="1762"/>
      <c r="QIF163" s="1762"/>
      <c r="QIG163" s="1762"/>
      <c r="QIH163" s="1762"/>
      <c r="QII163" s="1762"/>
      <c r="QIJ163" s="1762"/>
      <c r="QIK163" s="1762"/>
      <c r="QIL163" s="1762"/>
      <c r="QIM163" s="1762"/>
      <c r="QIN163" s="1762"/>
      <c r="QIO163" s="1762"/>
      <c r="QIP163" s="1762"/>
      <c r="QIQ163" s="1762"/>
      <c r="QIR163" s="1762"/>
      <c r="QIS163" s="1762"/>
      <c r="QIT163" s="1762"/>
      <c r="QIU163" s="1762"/>
      <c r="QIV163" s="1762"/>
      <c r="QIW163" s="1762"/>
      <c r="QIX163" s="1762"/>
      <c r="QIY163" s="1762"/>
      <c r="QIZ163" s="1762"/>
      <c r="QJA163" s="1762"/>
      <c r="QJB163" s="1762"/>
      <c r="QJC163" s="1762"/>
      <c r="QJD163" s="1762"/>
      <c r="QJE163" s="1762"/>
      <c r="QJF163" s="1762"/>
      <c r="QJG163" s="1762"/>
      <c r="QJH163" s="1762"/>
      <c r="QJI163" s="1762"/>
      <c r="QJJ163" s="1762"/>
      <c r="QJK163" s="1762"/>
      <c r="QJL163" s="1762"/>
      <c r="QJM163" s="1762"/>
      <c r="QJN163" s="1762"/>
      <c r="QJO163" s="1762"/>
      <c r="QJP163" s="1762"/>
      <c r="QJQ163" s="1762"/>
      <c r="QJR163" s="1762"/>
      <c r="QJS163" s="1762"/>
      <c r="QJT163" s="1762"/>
      <c r="QJU163" s="1762"/>
      <c r="QJV163" s="1762"/>
      <c r="QJW163" s="1762"/>
      <c r="QJX163" s="1762"/>
      <c r="QJY163" s="1762"/>
      <c r="QJZ163" s="1762"/>
      <c r="QKA163" s="1762"/>
      <c r="QKB163" s="1762"/>
      <c r="QKC163" s="1762"/>
      <c r="QKD163" s="1762"/>
      <c r="QKE163" s="1762"/>
      <c r="QKF163" s="1762"/>
      <c r="QKG163" s="1762"/>
      <c r="QKH163" s="1762"/>
      <c r="QKI163" s="1762"/>
      <c r="QKJ163" s="1762"/>
      <c r="QKK163" s="1762"/>
      <c r="QKL163" s="1762"/>
      <c r="QKM163" s="1762"/>
      <c r="QKN163" s="1762"/>
      <c r="QKO163" s="1762"/>
      <c r="QKP163" s="1762"/>
      <c r="QKQ163" s="1762"/>
      <c r="QKR163" s="1762"/>
      <c r="QKS163" s="1762"/>
      <c r="QKT163" s="1762"/>
      <c r="QKU163" s="1762"/>
      <c r="QKV163" s="1762"/>
      <c r="QKW163" s="1762"/>
      <c r="QKX163" s="1762"/>
      <c r="QKY163" s="1762"/>
      <c r="QKZ163" s="1762"/>
      <c r="QLA163" s="1762"/>
      <c r="QLB163" s="1762"/>
      <c r="QLC163" s="1762"/>
      <c r="QLD163" s="1762"/>
      <c r="QLE163" s="1762"/>
      <c r="QLF163" s="1762"/>
      <c r="QLG163" s="1762"/>
      <c r="QLH163" s="1762"/>
      <c r="QLI163" s="1762"/>
      <c r="QLJ163" s="1762"/>
      <c r="QLK163" s="1762"/>
      <c r="QLL163" s="1762"/>
      <c r="QLM163" s="1762"/>
      <c r="QLN163" s="1762"/>
      <c r="QLO163" s="1762"/>
      <c r="QLP163" s="1762"/>
      <c r="QLQ163" s="1762"/>
      <c r="QLR163" s="1762"/>
      <c r="QLS163" s="1762"/>
      <c r="QLT163" s="1762"/>
      <c r="QLU163" s="1762"/>
      <c r="QLV163" s="1762"/>
      <c r="QLW163" s="1762"/>
      <c r="QLX163" s="1762"/>
      <c r="QLY163" s="1762"/>
      <c r="QLZ163" s="1762"/>
      <c r="QMA163" s="1762"/>
      <c r="QMB163" s="1762"/>
      <c r="QMC163" s="1762"/>
      <c r="QMD163" s="1762"/>
      <c r="QME163" s="1762"/>
      <c r="QMF163" s="1762"/>
      <c r="QMG163" s="1762"/>
      <c r="QMH163" s="1762"/>
      <c r="QMI163" s="1762"/>
      <c r="QMJ163" s="1762"/>
      <c r="QMK163" s="1762"/>
      <c r="QML163" s="1762"/>
      <c r="QMM163" s="1762"/>
      <c r="QMN163" s="1762"/>
      <c r="QMO163" s="1762"/>
      <c r="QMP163" s="1762"/>
      <c r="QMQ163" s="1762"/>
      <c r="QMR163" s="1762"/>
      <c r="QMS163" s="1762"/>
      <c r="QMT163" s="1762"/>
      <c r="QMU163" s="1762"/>
      <c r="QMV163" s="1762"/>
      <c r="QMW163" s="1762"/>
      <c r="QMX163" s="1762"/>
      <c r="QMY163" s="1762"/>
      <c r="QMZ163" s="1762"/>
      <c r="QNA163" s="1762"/>
      <c r="QNB163" s="1762"/>
      <c r="QNC163" s="1762"/>
      <c r="QND163" s="1762"/>
      <c r="QNE163" s="1762"/>
      <c r="QNF163" s="1762"/>
      <c r="QNG163" s="1762"/>
      <c r="QNH163" s="1762"/>
      <c r="QNI163" s="1762"/>
      <c r="QNJ163" s="1762"/>
      <c r="QNK163" s="1762"/>
      <c r="QNL163" s="1762"/>
      <c r="QNM163" s="1762"/>
      <c r="QNN163" s="1762"/>
      <c r="QNO163" s="1762"/>
      <c r="QNP163" s="1762"/>
      <c r="QNQ163" s="1762"/>
      <c r="QNR163" s="1762"/>
      <c r="QNS163" s="1762"/>
      <c r="QNT163" s="1762"/>
      <c r="QNU163" s="1762"/>
      <c r="QNV163" s="1762"/>
      <c r="QNW163" s="1762"/>
      <c r="QNX163" s="1762"/>
      <c r="QNY163" s="1762"/>
      <c r="QNZ163" s="1762"/>
      <c r="QOA163" s="1762"/>
      <c r="QOB163" s="1762"/>
      <c r="QOC163" s="1762"/>
      <c r="QOD163" s="1762"/>
      <c r="QOE163" s="1762"/>
      <c r="QOF163" s="1762"/>
      <c r="QOG163" s="1762"/>
      <c r="QOH163" s="1762"/>
      <c r="QOI163" s="1762"/>
      <c r="QOJ163" s="1762"/>
      <c r="QOK163" s="1762"/>
      <c r="QOL163" s="1762"/>
      <c r="QOM163" s="1762"/>
      <c r="QON163" s="1762"/>
      <c r="QOO163" s="1762"/>
      <c r="QOP163" s="1762"/>
      <c r="QOQ163" s="1762"/>
      <c r="QOR163" s="1762"/>
      <c r="QOS163" s="1762"/>
      <c r="QOT163" s="1762"/>
      <c r="QOU163" s="1762"/>
      <c r="QOV163" s="1762"/>
      <c r="QOW163" s="1762"/>
      <c r="QOX163" s="1762"/>
      <c r="QOY163" s="1762"/>
      <c r="QOZ163" s="1762"/>
      <c r="QPA163" s="1762"/>
      <c r="QPB163" s="1762"/>
      <c r="QPC163" s="1762"/>
      <c r="QPD163" s="1762"/>
      <c r="QPE163" s="1762"/>
      <c r="QPF163" s="1762"/>
      <c r="QPG163" s="1762"/>
      <c r="QPH163" s="1762"/>
      <c r="QPI163" s="1762"/>
      <c r="QPJ163" s="1762"/>
      <c r="QPK163" s="1762"/>
      <c r="QPL163" s="1762"/>
      <c r="QPM163" s="1762"/>
      <c r="QPN163" s="1762"/>
      <c r="QPO163" s="1762"/>
      <c r="QPP163" s="1762"/>
      <c r="QPQ163" s="1762"/>
      <c r="QPR163" s="1762"/>
      <c r="QPS163" s="1762"/>
      <c r="QPT163" s="1762"/>
      <c r="QPU163" s="1762"/>
      <c r="QPV163" s="1762"/>
      <c r="QPW163" s="1762"/>
      <c r="QPX163" s="1762"/>
      <c r="QPY163" s="1762"/>
      <c r="QPZ163" s="1762"/>
      <c r="QQA163" s="1762"/>
      <c r="QQB163" s="1762"/>
      <c r="QQC163" s="1762"/>
      <c r="QQD163" s="1762"/>
      <c r="QQE163" s="1762"/>
      <c r="QQF163" s="1762"/>
      <c r="QQG163" s="1762"/>
      <c r="QQH163" s="1762"/>
      <c r="QQI163" s="1762"/>
      <c r="QQJ163" s="1762"/>
      <c r="QQK163" s="1762"/>
      <c r="QQL163" s="1762"/>
      <c r="QQM163" s="1762"/>
      <c r="QQN163" s="1762"/>
      <c r="QQO163" s="1762"/>
      <c r="QQP163" s="1762"/>
      <c r="QQQ163" s="1762"/>
      <c r="QQR163" s="1762"/>
      <c r="QQS163" s="1762"/>
      <c r="QQT163" s="1762"/>
      <c r="QQU163" s="1762"/>
      <c r="QQV163" s="1762"/>
      <c r="QQW163" s="1762"/>
      <c r="QQX163" s="1762"/>
      <c r="QQY163" s="1762"/>
      <c r="QQZ163" s="1762"/>
      <c r="QRA163" s="1762"/>
      <c r="QRB163" s="1762"/>
      <c r="QRC163" s="1762"/>
      <c r="QRD163" s="1762"/>
      <c r="QRE163" s="1762"/>
      <c r="QRF163" s="1762"/>
      <c r="QRG163" s="1762"/>
      <c r="QRH163" s="1762"/>
      <c r="QRI163" s="1762"/>
      <c r="QRJ163" s="1762"/>
      <c r="QRK163" s="1762"/>
      <c r="QRL163" s="1762"/>
      <c r="QRM163" s="1762"/>
      <c r="QRN163" s="1762"/>
      <c r="QRO163" s="1762"/>
      <c r="QRP163" s="1762"/>
      <c r="QRQ163" s="1762"/>
      <c r="QRR163" s="1762"/>
      <c r="QRS163" s="1762"/>
      <c r="QRT163" s="1762"/>
      <c r="QRU163" s="1762"/>
      <c r="QRV163" s="1762"/>
      <c r="QRW163" s="1762"/>
      <c r="QRX163" s="1762"/>
      <c r="QRY163" s="1762"/>
      <c r="QRZ163" s="1762"/>
      <c r="QSA163" s="1762"/>
      <c r="QSB163" s="1762"/>
      <c r="QSC163" s="1762"/>
      <c r="QSD163" s="1762"/>
      <c r="QSE163" s="1762"/>
      <c r="QSF163" s="1762"/>
      <c r="QSG163" s="1762"/>
      <c r="QSH163" s="1762"/>
      <c r="QSI163" s="1762"/>
      <c r="QSJ163" s="1762"/>
      <c r="QSK163" s="1762"/>
      <c r="QSL163" s="1762"/>
      <c r="QSM163" s="1762"/>
      <c r="QSN163" s="1762"/>
      <c r="QSO163" s="1762"/>
      <c r="QSP163" s="1762"/>
      <c r="QSQ163" s="1762"/>
      <c r="QSR163" s="1762"/>
      <c r="QSS163" s="1762"/>
      <c r="QST163" s="1762"/>
      <c r="QSU163" s="1762"/>
      <c r="QSV163" s="1762"/>
      <c r="QSW163" s="1762"/>
      <c r="QSX163" s="1762"/>
      <c r="QSY163" s="1762"/>
      <c r="QSZ163" s="1762"/>
      <c r="QTA163" s="1762"/>
      <c r="QTB163" s="1762"/>
      <c r="QTC163" s="1762"/>
      <c r="QTD163" s="1762"/>
      <c r="QTE163" s="1762"/>
      <c r="QTF163" s="1762"/>
      <c r="QTG163" s="1762"/>
      <c r="QTH163" s="1762"/>
      <c r="QTI163" s="1762"/>
      <c r="QTJ163" s="1762"/>
      <c r="QTK163" s="1762"/>
      <c r="QTL163" s="1762"/>
      <c r="QTM163" s="1762"/>
      <c r="QTN163" s="1762"/>
      <c r="QTO163" s="1762"/>
      <c r="QTP163" s="1762"/>
      <c r="QTQ163" s="1762"/>
      <c r="QTR163" s="1762"/>
      <c r="QTS163" s="1762"/>
      <c r="QTT163" s="1762"/>
      <c r="QTU163" s="1762"/>
      <c r="QTV163" s="1762"/>
      <c r="QTW163" s="1762"/>
      <c r="QTX163" s="1762"/>
      <c r="QTY163" s="1762"/>
      <c r="QTZ163" s="1762"/>
      <c r="QUA163" s="1762"/>
      <c r="QUB163" s="1762"/>
      <c r="QUC163" s="1762"/>
      <c r="QUD163" s="1762"/>
      <c r="QUE163" s="1762"/>
      <c r="QUF163" s="1762"/>
      <c r="QUG163" s="1762"/>
      <c r="QUH163" s="1762"/>
      <c r="QUI163" s="1762"/>
      <c r="QUJ163" s="1762"/>
      <c r="QUK163" s="1762"/>
      <c r="QUL163" s="1762"/>
      <c r="QUM163" s="1762"/>
      <c r="QUN163" s="1762"/>
      <c r="QUO163" s="1762"/>
      <c r="QUP163" s="1762"/>
      <c r="QUQ163" s="1762"/>
      <c r="QUR163" s="1762"/>
      <c r="QUS163" s="1762"/>
      <c r="QUT163" s="1762"/>
      <c r="QUU163" s="1762"/>
      <c r="QUV163" s="1762"/>
      <c r="QUW163" s="1762"/>
      <c r="QUX163" s="1762"/>
      <c r="QUY163" s="1762"/>
      <c r="QUZ163" s="1762"/>
      <c r="QVA163" s="1762"/>
      <c r="QVB163" s="1762"/>
      <c r="QVC163" s="1762"/>
      <c r="QVD163" s="1762"/>
      <c r="QVE163" s="1762"/>
      <c r="QVF163" s="1762"/>
      <c r="QVG163" s="1762"/>
      <c r="QVH163" s="1762"/>
      <c r="QVI163" s="1762"/>
      <c r="QVJ163" s="1762"/>
      <c r="QVK163" s="1762"/>
      <c r="QVL163" s="1762"/>
      <c r="QVM163" s="1762"/>
      <c r="QVN163" s="1762"/>
      <c r="QVO163" s="1762"/>
      <c r="QVP163" s="1762"/>
      <c r="QVQ163" s="1762"/>
      <c r="QVR163" s="1762"/>
      <c r="QVS163" s="1762"/>
      <c r="QVT163" s="1762"/>
      <c r="QVU163" s="1762"/>
      <c r="QVV163" s="1762"/>
      <c r="QVW163" s="1762"/>
      <c r="QVX163" s="1762"/>
      <c r="QVY163" s="1762"/>
      <c r="QVZ163" s="1762"/>
      <c r="QWA163" s="1762"/>
      <c r="QWB163" s="1762"/>
      <c r="QWC163" s="1762"/>
      <c r="QWD163" s="1762"/>
      <c r="QWE163" s="1762"/>
      <c r="QWF163" s="1762"/>
      <c r="QWG163" s="1762"/>
      <c r="QWH163" s="1762"/>
      <c r="QWI163" s="1762"/>
      <c r="QWJ163" s="1762"/>
      <c r="QWK163" s="1762"/>
      <c r="QWL163" s="1762"/>
      <c r="QWM163" s="1762"/>
      <c r="QWN163" s="1762"/>
      <c r="QWO163" s="1762"/>
      <c r="QWP163" s="1762"/>
      <c r="QWQ163" s="1762"/>
      <c r="QWR163" s="1762"/>
      <c r="QWS163" s="1762"/>
      <c r="QWT163" s="1762"/>
      <c r="QWU163" s="1762"/>
      <c r="QWV163" s="1762"/>
      <c r="QWW163" s="1762"/>
      <c r="QWX163" s="1762"/>
      <c r="QWY163" s="1762"/>
      <c r="QWZ163" s="1762"/>
      <c r="QXA163" s="1762"/>
      <c r="QXB163" s="1762"/>
      <c r="QXC163" s="1762"/>
      <c r="QXD163" s="1762"/>
      <c r="QXE163" s="1762"/>
      <c r="QXF163" s="1762"/>
      <c r="QXG163" s="1762"/>
      <c r="QXH163" s="1762"/>
      <c r="QXI163" s="1762"/>
      <c r="QXJ163" s="1762"/>
      <c r="QXK163" s="1762"/>
      <c r="QXL163" s="1762"/>
      <c r="QXM163" s="1762"/>
      <c r="QXN163" s="1762"/>
      <c r="QXO163" s="1762"/>
      <c r="QXP163" s="1762"/>
      <c r="QXQ163" s="1762"/>
      <c r="QXR163" s="1762"/>
      <c r="QXS163" s="1762"/>
      <c r="QXT163" s="1762"/>
      <c r="QXU163" s="1762"/>
      <c r="QXV163" s="1762"/>
      <c r="QXW163" s="1762"/>
      <c r="QXX163" s="1762"/>
      <c r="QXY163" s="1762"/>
      <c r="QXZ163" s="1762"/>
      <c r="QYA163" s="1762"/>
      <c r="QYB163" s="1762"/>
      <c r="QYC163" s="1762"/>
      <c r="QYD163" s="1762"/>
      <c r="QYE163" s="1762"/>
      <c r="QYF163" s="1762"/>
      <c r="QYG163" s="1762"/>
      <c r="QYH163" s="1762"/>
      <c r="QYI163" s="1762"/>
      <c r="QYJ163" s="1762"/>
      <c r="QYK163" s="1762"/>
      <c r="QYL163" s="1762"/>
      <c r="QYM163" s="1762"/>
      <c r="QYN163" s="1762"/>
      <c r="QYO163" s="1762"/>
      <c r="QYP163" s="1762"/>
      <c r="QYQ163" s="1762"/>
      <c r="QYR163" s="1762"/>
      <c r="QYS163" s="1762"/>
      <c r="QYT163" s="1762"/>
      <c r="QYU163" s="1762"/>
      <c r="QYV163" s="1762"/>
      <c r="QYW163" s="1762"/>
      <c r="QYX163" s="1762"/>
      <c r="QYY163" s="1762"/>
      <c r="QYZ163" s="1762"/>
      <c r="QZA163" s="1762"/>
      <c r="QZB163" s="1762"/>
      <c r="QZC163" s="1762"/>
      <c r="QZD163" s="1762"/>
      <c r="QZE163" s="1762"/>
      <c r="QZF163" s="1762"/>
      <c r="QZG163" s="1762"/>
      <c r="QZH163" s="1762"/>
      <c r="QZI163" s="1762"/>
      <c r="QZJ163" s="1762"/>
      <c r="QZK163" s="1762"/>
      <c r="QZL163" s="1762"/>
      <c r="QZM163" s="1762"/>
      <c r="QZN163" s="1762"/>
      <c r="QZO163" s="1762"/>
      <c r="QZP163" s="1762"/>
      <c r="QZQ163" s="1762"/>
      <c r="QZR163" s="1762"/>
      <c r="QZS163" s="1762"/>
      <c r="QZT163" s="1762"/>
      <c r="QZU163" s="1762"/>
      <c r="QZV163" s="1762"/>
      <c r="QZW163" s="1762"/>
      <c r="QZX163" s="1762"/>
      <c r="QZY163" s="1762"/>
      <c r="QZZ163" s="1762"/>
      <c r="RAA163" s="1762"/>
      <c r="RAB163" s="1762"/>
      <c r="RAC163" s="1762"/>
      <c r="RAD163" s="1762"/>
      <c r="RAE163" s="1762"/>
      <c r="RAF163" s="1762"/>
      <c r="RAG163" s="1762"/>
      <c r="RAH163" s="1762"/>
      <c r="RAI163" s="1762"/>
      <c r="RAJ163" s="1762"/>
      <c r="RAK163" s="1762"/>
      <c r="RAL163" s="1762"/>
      <c r="RAM163" s="1762"/>
      <c r="RAN163" s="1762"/>
      <c r="RAO163" s="1762"/>
      <c r="RAP163" s="1762"/>
      <c r="RAQ163" s="1762"/>
      <c r="RAR163" s="1762"/>
      <c r="RAS163" s="1762"/>
      <c r="RAT163" s="1762"/>
      <c r="RAU163" s="1762"/>
      <c r="RAV163" s="1762"/>
      <c r="RAW163" s="1762"/>
      <c r="RAX163" s="1762"/>
      <c r="RAY163" s="1762"/>
      <c r="RAZ163" s="1762"/>
      <c r="RBA163" s="1762"/>
      <c r="RBB163" s="1762"/>
      <c r="RBC163" s="1762"/>
      <c r="RBD163" s="1762"/>
      <c r="RBE163" s="1762"/>
      <c r="RBF163" s="1762"/>
      <c r="RBG163" s="1762"/>
      <c r="RBH163" s="1762"/>
      <c r="RBI163" s="1762"/>
      <c r="RBJ163" s="1762"/>
      <c r="RBK163" s="1762"/>
      <c r="RBL163" s="1762"/>
      <c r="RBM163" s="1762"/>
      <c r="RBN163" s="1762"/>
      <c r="RBO163" s="1762"/>
      <c r="RBP163" s="1762"/>
      <c r="RBQ163" s="1762"/>
      <c r="RBR163" s="1762"/>
      <c r="RBS163" s="1762"/>
      <c r="RBT163" s="1762"/>
      <c r="RBU163" s="1762"/>
      <c r="RBV163" s="1762"/>
      <c r="RBW163" s="1762"/>
      <c r="RBX163" s="1762"/>
      <c r="RBY163" s="1762"/>
      <c r="RBZ163" s="1762"/>
      <c r="RCA163" s="1762"/>
      <c r="RCB163" s="1762"/>
      <c r="RCC163" s="1762"/>
      <c r="RCD163" s="1762"/>
      <c r="RCE163" s="1762"/>
      <c r="RCF163" s="1762"/>
      <c r="RCG163" s="1762"/>
      <c r="RCH163" s="1762"/>
      <c r="RCI163" s="1762"/>
      <c r="RCJ163" s="1762"/>
      <c r="RCK163" s="1762"/>
      <c r="RCL163" s="1762"/>
      <c r="RCM163" s="1762"/>
      <c r="RCN163" s="1762"/>
      <c r="RCO163" s="1762"/>
      <c r="RCP163" s="1762"/>
      <c r="RCQ163" s="1762"/>
      <c r="RCR163" s="1762"/>
      <c r="RCS163" s="1762"/>
      <c r="RCT163" s="1762"/>
      <c r="RCU163" s="1762"/>
      <c r="RCV163" s="1762"/>
      <c r="RCW163" s="1762"/>
      <c r="RCX163" s="1762"/>
      <c r="RCY163" s="1762"/>
      <c r="RCZ163" s="1762"/>
      <c r="RDA163" s="1762"/>
      <c r="RDB163" s="1762"/>
      <c r="RDC163" s="1762"/>
      <c r="RDD163" s="1762"/>
      <c r="RDE163" s="1762"/>
      <c r="RDF163" s="1762"/>
      <c r="RDG163" s="1762"/>
      <c r="RDH163" s="1762"/>
      <c r="RDI163" s="1762"/>
      <c r="RDJ163" s="1762"/>
      <c r="RDK163" s="1762"/>
      <c r="RDL163" s="1762"/>
      <c r="RDM163" s="1762"/>
      <c r="RDN163" s="1762"/>
      <c r="RDO163" s="1762"/>
      <c r="RDP163" s="1762"/>
      <c r="RDQ163" s="1762"/>
      <c r="RDR163" s="1762"/>
      <c r="RDS163" s="1762"/>
      <c r="RDT163" s="1762"/>
      <c r="RDU163" s="1762"/>
      <c r="RDV163" s="1762"/>
      <c r="RDW163" s="1762"/>
      <c r="RDX163" s="1762"/>
      <c r="RDY163" s="1762"/>
      <c r="RDZ163" s="1762"/>
      <c r="REA163" s="1762"/>
      <c r="REB163" s="1762"/>
      <c r="REC163" s="1762"/>
      <c r="RED163" s="1762"/>
      <c r="REE163" s="1762"/>
      <c r="REF163" s="1762"/>
      <c r="REG163" s="1762"/>
      <c r="REH163" s="1762"/>
      <c r="REI163" s="1762"/>
      <c r="REJ163" s="1762"/>
      <c r="REK163" s="1762"/>
      <c r="REL163" s="1762"/>
      <c r="REM163" s="1762"/>
      <c r="REN163" s="1762"/>
      <c r="REO163" s="1762"/>
      <c r="REP163" s="1762"/>
      <c r="REQ163" s="1762"/>
      <c r="RER163" s="1762"/>
      <c r="RES163" s="1762"/>
      <c r="RET163" s="1762"/>
      <c r="REU163" s="1762"/>
      <c r="REV163" s="1762"/>
      <c r="REW163" s="1762"/>
      <c r="REX163" s="1762"/>
      <c r="REY163" s="1762"/>
      <c r="REZ163" s="1762"/>
      <c r="RFA163" s="1762"/>
      <c r="RFB163" s="1762"/>
      <c r="RFC163" s="1762"/>
      <c r="RFD163" s="1762"/>
      <c r="RFE163" s="1762"/>
      <c r="RFF163" s="1762"/>
      <c r="RFG163" s="1762"/>
      <c r="RFH163" s="1762"/>
      <c r="RFI163" s="1762"/>
      <c r="RFJ163" s="1762"/>
      <c r="RFK163" s="1762"/>
      <c r="RFL163" s="1762"/>
      <c r="RFM163" s="1762"/>
      <c r="RFN163" s="1762"/>
      <c r="RFO163" s="1762"/>
      <c r="RFP163" s="1762"/>
      <c r="RFQ163" s="1762"/>
      <c r="RFR163" s="1762"/>
      <c r="RFS163" s="1762"/>
      <c r="RFT163" s="1762"/>
      <c r="RFU163" s="1762"/>
      <c r="RFV163" s="1762"/>
      <c r="RFW163" s="1762"/>
      <c r="RFX163" s="1762"/>
      <c r="RFY163" s="1762"/>
      <c r="RFZ163" s="1762"/>
      <c r="RGA163" s="1762"/>
      <c r="RGB163" s="1762"/>
      <c r="RGC163" s="1762"/>
      <c r="RGD163" s="1762"/>
      <c r="RGE163" s="1762"/>
      <c r="RGF163" s="1762"/>
      <c r="RGG163" s="1762"/>
      <c r="RGH163" s="1762"/>
      <c r="RGI163" s="1762"/>
      <c r="RGJ163" s="1762"/>
      <c r="RGK163" s="1762"/>
      <c r="RGL163" s="1762"/>
      <c r="RGM163" s="1762"/>
      <c r="RGN163" s="1762"/>
      <c r="RGO163" s="1762"/>
      <c r="RGP163" s="1762"/>
      <c r="RGQ163" s="1762"/>
      <c r="RGR163" s="1762"/>
      <c r="RGS163" s="1762"/>
      <c r="RGT163" s="1762"/>
      <c r="RGU163" s="1762"/>
      <c r="RGV163" s="1762"/>
      <c r="RGW163" s="1762"/>
      <c r="RGX163" s="1762"/>
      <c r="RGY163" s="1762"/>
      <c r="RGZ163" s="1762"/>
      <c r="RHA163" s="1762"/>
      <c r="RHB163" s="1762"/>
      <c r="RHC163" s="1762"/>
      <c r="RHD163" s="1762"/>
      <c r="RHE163" s="1762"/>
      <c r="RHF163" s="1762"/>
      <c r="RHG163" s="1762"/>
      <c r="RHH163" s="1762"/>
      <c r="RHI163" s="1762"/>
      <c r="RHJ163" s="1762"/>
      <c r="RHK163" s="1762"/>
      <c r="RHL163" s="1762"/>
      <c r="RHM163" s="1762"/>
      <c r="RHN163" s="1762"/>
      <c r="RHO163" s="1762"/>
      <c r="RHP163" s="1762"/>
      <c r="RHQ163" s="1762"/>
      <c r="RHR163" s="1762"/>
      <c r="RHS163" s="1762"/>
      <c r="RHT163" s="1762"/>
      <c r="RHU163" s="1762"/>
      <c r="RHV163" s="1762"/>
      <c r="RHW163" s="1762"/>
      <c r="RHX163" s="1762"/>
      <c r="RHY163" s="1762"/>
      <c r="RHZ163" s="1762"/>
      <c r="RIA163" s="1762"/>
      <c r="RIB163" s="1762"/>
      <c r="RIC163" s="1762"/>
      <c r="RID163" s="1762"/>
      <c r="RIE163" s="1762"/>
      <c r="RIF163" s="1762"/>
      <c r="RIG163" s="1762"/>
      <c r="RIH163" s="1762"/>
      <c r="RII163" s="1762"/>
      <c r="RIJ163" s="1762"/>
      <c r="RIK163" s="1762"/>
      <c r="RIL163" s="1762"/>
      <c r="RIM163" s="1762"/>
      <c r="RIN163" s="1762"/>
      <c r="RIO163" s="1762"/>
      <c r="RIP163" s="1762"/>
      <c r="RIQ163" s="1762"/>
      <c r="RIR163" s="1762"/>
      <c r="RIS163" s="1762"/>
      <c r="RIT163" s="1762"/>
      <c r="RIU163" s="1762"/>
      <c r="RIV163" s="1762"/>
      <c r="RIW163" s="1762"/>
      <c r="RIX163" s="1762"/>
      <c r="RIY163" s="1762"/>
      <c r="RIZ163" s="1762"/>
      <c r="RJA163" s="1762"/>
      <c r="RJB163" s="1762"/>
      <c r="RJC163" s="1762"/>
      <c r="RJD163" s="1762"/>
      <c r="RJE163" s="1762"/>
      <c r="RJF163" s="1762"/>
      <c r="RJG163" s="1762"/>
      <c r="RJH163" s="1762"/>
      <c r="RJI163" s="1762"/>
      <c r="RJJ163" s="1762"/>
      <c r="RJK163" s="1762"/>
      <c r="RJL163" s="1762"/>
      <c r="RJM163" s="1762"/>
      <c r="RJN163" s="1762"/>
      <c r="RJO163" s="1762"/>
      <c r="RJP163" s="1762"/>
      <c r="RJQ163" s="1762"/>
      <c r="RJR163" s="1762"/>
      <c r="RJS163" s="1762"/>
      <c r="RJT163" s="1762"/>
      <c r="RJU163" s="1762"/>
      <c r="RJV163" s="1762"/>
      <c r="RJW163" s="1762"/>
      <c r="RJX163" s="1762"/>
      <c r="RJY163" s="1762"/>
      <c r="RJZ163" s="1762"/>
      <c r="RKA163" s="1762"/>
      <c r="RKB163" s="1762"/>
      <c r="RKC163" s="1762"/>
      <c r="RKD163" s="1762"/>
      <c r="RKE163" s="1762"/>
      <c r="RKF163" s="1762"/>
      <c r="RKG163" s="1762"/>
      <c r="RKH163" s="1762"/>
      <c r="RKI163" s="1762"/>
      <c r="RKJ163" s="1762"/>
      <c r="RKK163" s="1762"/>
      <c r="RKL163" s="1762"/>
      <c r="RKM163" s="1762"/>
      <c r="RKN163" s="1762"/>
      <c r="RKO163" s="1762"/>
      <c r="RKP163" s="1762"/>
      <c r="RKQ163" s="1762"/>
      <c r="RKR163" s="1762"/>
      <c r="RKS163" s="1762"/>
      <c r="RKT163" s="1762"/>
      <c r="RKU163" s="1762"/>
      <c r="RKV163" s="1762"/>
      <c r="RKW163" s="1762"/>
      <c r="RKX163" s="1762"/>
      <c r="RKY163" s="1762"/>
      <c r="RKZ163" s="1762"/>
      <c r="RLA163" s="1762"/>
      <c r="RLB163" s="1762"/>
      <c r="RLC163" s="1762"/>
      <c r="RLD163" s="1762"/>
      <c r="RLE163" s="1762"/>
      <c r="RLF163" s="1762"/>
      <c r="RLG163" s="1762"/>
      <c r="RLH163" s="1762"/>
      <c r="RLI163" s="1762"/>
      <c r="RLJ163" s="1762"/>
      <c r="RLK163" s="1762"/>
      <c r="RLL163" s="1762"/>
      <c r="RLM163" s="1762"/>
      <c r="RLN163" s="1762"/>
      <c r="RLO163" s="1762"/>
      <c r="RLP163" s="1762"/>
      <c r="RLQ163" s="1762"/>
      <c r="RLR163" s="1762"/>
      <c r="RLS163" s="1762"/>
      <c r="RLT163" s="1762"/>
      <c r="RLU163" s="1762"/>
      <c r="RLV163" s="1762"/>
      <c r="RLW163" s="1762"/>
      <c r="RLX163" s="1762"/>
      <c r="RLY163" s="1762"/>
      <c r="RLZ163" s="1762"/>
      <c r="RMA163" s="1762"/>
      <c r="RMB163" s="1762"/>
      <c r="RMC163" s="1762"/>
      <c r="RMD163" s="1762"/>
      <c r="RME163" s="1762"/>
      <c r="RMF163" s="1762"/>
      <c r="RMG163" s="1762"/>
      <c r="RMH163" s="1762"/>
      <c r="RMI163" s="1762"/>
      <c r="RMJ163" s="1762"/>
      <c r="RMK163" s="1762"/>
      <c r="RML163" s="1762"/>
      <c r="RMM163" s="1762"/>
      <c r="RMN163" s="1762"/>
      <c r="RMO163" s="1762"/>
      <c r="RMP163" s="1762"/>
      <c r="RMQ163" s="1762"/>
      <c r="RMR163" s="1762"/>
      <c r="RMS163" s="1762"/>
      <c r="RMT163" s="1762"/>
      <c r="RMU163" s="1762"/>
      <c r="RMV163" s="1762"/>
      <c r="RMW163" s="1762"/>
      <c r="RMX163" s="1762"/>
      <c r="RMY163" s="1762"/>
      <c r="RMZ163" s="1762"/>
      <c r="RNA163" s="1762"/>
      <c r="RNB163" s="1762"/>
      <c r="RNC163" s="1762"/>
      <c r="RND163" s="1762"/>
      <c r="RNE163" s="1762"/>
      <c r="RNF163" s="1762"/>
      <c r="RNG163" s="1762"/>
      <c r="RNH163" s="1762"/>
      <c r="RNI163" s="1762"/>
      <c r="RNJ163" s="1762"/>
      <c r="RNK163" s="1762"/>
      <c r="RNL163" s="1762"/>
      <c r="RNM163" s="1762"/>
      <c r="RNN163" s="1762"/>
      <c r="RNO163" s="1762"/>
      <c r="RNP163" s="1762"/>
      <c r="RNQ163" s="1762"/>
      <c r="RNR163" s="1762"/>
      <c r="RNS163" s="1762"/>
      <c r="RNT163" s="1762"/>
      <c r="RNU163" s="1762"/>
      <c r="RNV163" s="1762"/>
      <c r="RNW163" s="1762"/>
      <c r="RNX163" s="1762"/>
      <c r="RNY163" s="1762"/>
      <c r="RNZ163" s="1762"/>
      <c r="ROA163" s="1762"/>
      <c r="ROB163" s="1762"/>
      <c r="ROC163" s="1762"/>
      <c r="ROD163" s="1762"/>
      <c r="ROE163" s="1762"/>
      <c r="ROF163" s="1762"/>
      <c r="ROG163" s="1762"/>
      <c r="ROH163" s="1762"/>
      <c r="ROI163" s="1762"/>
      <c r="ROJ163" s="1762"/>
      <c r="ROK163" s="1762"/>
      <c r="ROL163" s="1762"/>
      <c r="ROM163" s="1762"/>
      <c r="RON163" s="1762"/>
      <c r="ROO163" s="1762"/>
      <c r="ROP163" s="1762"/>
      <c r="ROQ163" s="1762"/>
      <c r="ROR163" s="1762"/>
      <c r="ROS163" s="1762"/>
      <c r="ROT163" s="1762"/>
      <c r="ROU163" s="1762"/>
      <c r="ROV163" s="1762"/>
      <c r="ROW163" s="1762"/>
      <c r="ROX163" s="1762"/>
      <c r="ROY163" s="1762"/>
      <c r="ROZ163" s="1762"/>
      <c r="RPA163" s="1762"/>
      <c r="RPB163" s="1762"/>
      <c r="RPC163" s="1762"/>
      <c r="RPD163" s="1762"/>
      <c r="RPE163" s="1762"/>
      <c r="RPF163" s="1762"/>
      <c r="RPG163" s="1762"/>
      <c r="RPH163" s="1762"/>
      <c r="RPI163" s="1762"/>
      <c r="RPJ163" s="1762"/>
      <c r="RPK163" s="1762"/>
      <c r="RPL163" s="1762"/>
      <c r="RPM163" s="1762"/>
      <c r="RPN163" s="1762"/>
      <c r="RPO163" s="1762"/>
      <c r="RPP163" s="1762"/>
      <c r="RPQ163" s="1762"/>
      <c r="RPR163" s="1762"/>
      <c r="RPS163" s="1762"/>
      <c r="RPT163" s="1762"/>
      <c r="RPU163" s="1762"/>
      <c r="RPV163" s="1762"/>
      <c r="RPW163" s="1762"/>
      <c r="RPX163" s="1762"/>
      <c r="RPY163" s="1762"/>
      <c r="RPZ163" s="1762"/>
      <c r="RQA163" s="1762"/>
      <c r="RQB163" s="1762"/>
      <c r="RQC163" s="1762"/>
      <c r="RQD163" s="1762"/>
      <c r="RQE163" s="1762"/>
      <c r="RQF163" s="1762"/>
      <c r="RQG163" s="1762"/>
      <c r="RQH163" s="1762"/>
      <c r="RQI163" s="1762"/>
      <c r="RQJ163" s="1762"/>
      <c r="RQK163" s="1762"/>
      <c r="RQL163" s="1762"/>
      <c r="RQM163" s="1762"/>
      <c r="RQN163" s="1762"/>
      <c r="RQO163" s="1762"/>
      <c r="RQP163" s="1762"/>
      <c r="RQQ163" s="1762"/>
      <c r="RQR163" s="1762"/>
      <c r="RQS163" s="1762"/>
      <c r="RQT163" s="1762"/>
      <c r="RQU163" s="1762"/>
      <c r="RQV163" s="1762"/>
      <c r="RQW163" s="1762"/>
      <c r="RQX163" s="1762"/>
      <c r="RQY163" s="1762"/>
      <c r="RQZ163" s="1762"/>
      <c r="RRA163" s="1762"/>
      <c r="RRB163" s="1762"/>
      <c r="RRC163" s="1762"/>
      <c r="RRD163" s="1762"/>
      <c r="RRE163" s="1762"/>
      <c r="RRF163" s="1762"/>
      <c r="RRG163" s="1762"/>
      <c r="RRH163" s="1762"/>
      <c r="RRI163" s="1762"/>
      <c r="RRJ163" s="1762"/>
      <c r="RRK163" s="1762"/>
      <c r="RRL163" s="1762"/>
      <c r="RRM163" s="1762"/>
      <c r="RRN163" s="1762"/>
      <c r="RRO163" s="1762"/>
      <c r="RRP163" s="1762"/>
      <c r="RRQ163" s="1762"/>
      <c r="RRR163" s="1762"/>
      <c r="RRS163" s="1762"/>
      <c r="RRT163" s="1762"/>
      <c r="RRU163" s="1762"/>
      <c r="RRV163" s="1762"/>
      <c r="RRW163" s="1762"/>
      <c r="RRX163" s="1762"/>
      <c r="RRY163" s="1762"/>
      <c r="RRZ163" s="1762"/>
      <c r="RSA163" s="1762"/>
      <c r="RSB163" s="1762"/>
      <c r="RSC163" s="1762"/>
      <c r="RSD163" s="1762"/>
      <c r="RSE163" s="1762"/>
      <c r="RSF163" s="1762"/>
      <c r="RSG163" s="1762"/>
      <c r="RSH163" s="1762"/>
      <c r="RSI163" s="1762"/>
      <c r="RSJ163" s="1762"/>
      <c r="RSK163" s="1762"/>
      <c r="RSL163" s="1762"/>
      <c r="RSM163" s="1762"/>
      <c r="RSN163" s="1762"/>
      <c r="RSO163" s="1762"/>
      <c r="RSP163" s="1762"/>
      <c r="RSQ163" s="1762"/>
      <c r="RSR163" s="1762"/>
      <c r="RSS163" s="1762"/>
      <c r="RST163" s="1762"/>
      <c r="RSU163" s="1762"/>
      <c r="RSV163" s="1762"/>
      <c r="RSW163" s="1762"/>
      <c r="RSX163" s="1762"/>
      <c r="RSY163" s="1762"/>
      <c r="RSZ163" s="1762"/>
      <c r="RTA163" s="1762"/>
      <c r="RTB163" s="1762"/>
      <c r="RTC163" s="1762"/>
      <c r="RTD163" s="1762"/>
      <c r="RTE163" s="1762"/>
      <c r="RTF163" s="1762"/>
      <c r="RTG163" s="1762"/>
      <c r="RTH163" s="1762"/>
      <c r="RTI163" s="1762"/>
      <c r="RTJ163" s="1762"/>
      <c r="RTK163" s="1762"/>
      <c r="RTL163" s="1762"/>
      <c r="RTM163" s="1762"/>
      <c r="RTN163" s="1762"/>
      <c r="RTO163" s="1762"/>
      <c r="RTP163" s="1762"/>
      <c r="RTQ163" s="1762"/>
      <c r="RTR163" s="1762"/>
      <c r="RTS163" s="1762"/>
      <c r="RTT163" s="1762"/>
      <c r="RTU163" s="1762"/>
      <c r="RTV163" s="1762"/>
      <c r="RTW163" s="1762"/>
      <c r="RTX163" s="1762"/>
      <c r="RTY163" s="1762"/>
      <c r="RTZ163" s="1762"/>
      <c r="RUA163" s="1762"/>
      <c r="RUB163" s="1762"/>
      <c r="RUC163" s="1762"/>
      <c r="RUD163" s="1762"/>
      <c r="RUE163" s="1762"/>
      <c r="RUF163" s="1762"/>
      <c r="RUG163" s="1762"/>
      <c r="RUH163" s="1762"/>
      <c r="RUI163" s="1762"/>
      <c r="RUJ163" s="1762"/>
      <c r="RUK163" s="1762"/>
      <c r="RUL163" s="1762"/>
      <c r="RUM163" s="1762"/>
      <c r="RUN163" s="1762"/>
      <c r="RUO163" s="1762"/>
      <c r="RUP163" s="1762"/>
      <c r="RUQ163" s="1762"/>
      <c r="RUR163" s="1762"/>
      <c r="RUS163" s="1762"/>
      <c r="RUT163" s="1762"/>
      <c r="RUU163" s="1762"/>
      <c r="RUV163" s="1762"/>
      <c r="RUW163" s="1762"/>
      <c r="RUX163" s="1762"/>
      <c r="RUY163" s="1762"/>
      <c r="RUZ163" s="1762"/>
      <c r="RVA163" s="1762"/>
      <c r="RVB163" s="1762"/>
      <c r="RVC163" s="1762"/>
      <c r="RVD163" s="1762"/>
      <c r="RVE163" s="1762"/>
      <c r="RVF163" s="1762"/>
      <c r="RVG163" s="1762"/>
      <c r="RVH163" s="1762"/>
      <c r="RVI163" s="1762"/>
      <c r="RVJ163" s="1762"/>
      <c r="RVK163" s="1762"/>
      <c r="RVL163" s="1762"/>
      <c r="RVM163" s="1762"/>
      <c r="RVN163" s="1762"/>
      <c r="RVO163" s="1762"/>
      <c r="RVP163" s="1762"/>
      <c r="RVQ163" s="1762"/>
      <c r="RVR163" s="1762"/>
      <c r="RVS163" s="1762"/>
      <c r="RVT163" s="1762"/>
      <c r="RVU163" s="1762"/>
      <c r="RVV163" s="1762"/>
      <c r="RVW163" s="1762"/>
      <c r="RVX163" s="1762"/>
      <c r="RVY163" s="1762"/>
      <c r="RVZ163" s="1762"/>
      <c r="RWA163" s="1762"/>
      <c r="RWB163" s="1762"/>
      <c r="RWC163" s="1762"/>
      <c r="RWD163" s="1762"/>
      <c r="RWE163" s="1762"/>
      <c r="RWF163" s="1762"/>
      <c r="RWG163" s="1762"/>
      <c r="RWH163" s="1762"/>
      <c r="RWI163" s="1762"/>
      <c r="RWJ163" s="1762"/>
      <c r="RWK163" s="1762"/>
      <c r="RWL163" s="1762"/>
      <c r="RWM163" s="1762"/>
      <c r="RWN163" s="1762"/>
      <c r="RWO163" s="1762"/>
      <c r="RWP163" s="1762"/>
      <c r="RWQ163" s="1762"/>
      <c r="RWR163" s="1762"/>
      <c r="RWS163" s="1762"/>
      <c r="RWT163" s="1762"/>
      <c r="RWU163" s="1762"/>
      <c r="RWV163" s="1762"/>
      <c r="RWW163" s="1762"/>
      <c r="RWX163" s="1762"/>
      <c r="RWY163" s="1762"/>
      <c r="RWZ163" s="1762"/>
      <c r="RXA163" s="1762"/>
      <c r="RXB163" s="1762"/>
      <c r="RXC163" s="1762"/>
      <c r="RXD163" s="1762"/>
      <c r="RXE163" s="1762"/>
      <c r="RXF163" s="1762"/>
      <c r="RXG163" s="1762"/>
      <c r="RXH163" s="1762"/>
      <c r="RXI163" s="1762"/>
      <c r="RXJ163" s="1762"/>
      <c r="RXK163" s="1762"/>
      <c r="RXL163" s="1762"/>
      <c r="RXM163" s="1762"/>
      <c r="RXN163" s="1762"/>
      <c r="RXO163" s="1762"/>
      <c r="RXP163" s="1762"/>
      <c r="RXQ163" s="1762"/>
      <c r="RXR163" s="1762"/>
      <c r="RXS163" s="1762"/>
      <c r="RXT163" s="1762"/>
      <c r="RXU163" s="1762"/>
      <c r="RXV163" s="1762"/>
      <c r="RXW163" s="1762"/>
      <c r="RXX163" s="1762"/>
      <c r="RXY163" s="1762"/>
      <c r="RXZ163" s="1762"/>
      <c r="RYA163" s="1762"/>
      <c r="RYB163" s="1762"/>
      <c r="RYC163" s="1762"/>
      <c r="RYD163" s="1762"/>
      <c r="RYE163" s="1762"/>
      <c r="RYF163" s="1762"/>
      <c r="RYG163" s="1762"/>
      <c r="RYH163" s="1762"/>
      <c r="RYI163" s="1762"/>
      <c r="RYJ163" s="1762"/>
      <c r="RYK163" s="1762"/>
      <c r="RYL163" s="1762"/>
      <c r="RYM163" s="1762"/>
      <c r="RYN163" s="1762"/>
      <c r="RYO163" s="1762"/>
      <c r="RYP163" s="1762"/>
      <c r="RYQ163" s="1762"/>
      <c r="RYR163" s="1762"/>
      <c r="RYS163" s="1762"/>
      <c r="RYT163" s="1762"/>
      <c r="RYU163" s="1762"/>
      <c r="RYV163" s="1762"/>
      <c r="RYW163" s="1762"/>
      <c r="RYX163" s="1762"/>
      <c r="RYY163" s="1762"/>
      <c r="RYZ163" s="1762"/>
      <c r="RZA163" s="1762"/>
      <c r="RZB163" s="1762"/>
      <c r="RZC163" s="1762"/>
      <c r="RZD163" s="1762"/>
      <c r="RZE163" s="1762"/>
      <c r="RZF163" s="1762"/>
      <c r="RZG163" s="1762"/>
      <c r="RZH163" s="1762"/>
      <c r="RZI163" s="1762"/>
      <c r="RZJ163" s="1762"/>
      <c r="RZK163" s="1762"/>
      <c r="RZL163" s="1762"/>
      <c r="RZM163" s="1762"/>
      <c r="RZN163" s="1762"/>
      <c r="RZO163" s="1762"/>
      <c r="RZP163" s="1762"/>
      <c r="RZQ163" s="1762"/>
      <c r="RZR163" s="1762"/>
      <c r="RZS163" s="1762"/>
      <c r="RZT163" s="1762"/>
      <c r="RZU163" s="1762"/>
      <c r="RZV163" s="1762"/>
      <c r="RZW163" s="1762"/>
      <c r="RZX163" s="1762"/>
      <c r="RZY163" s="1762"/>
      <c r="RZZ163" s="1762"/>
      <c r="SAA163" s="1762"/>
      <c r="SAB163" s="1762"/>
      <c r="SAC163" s="1762"/>
      <c r="SAD163" s="1762"/>
      <c r="SAE163" s="1762"/>
      <c r="SAF163" s="1762"/>
      <c r="SAG163" s="1762"/>
      <c r="SAH163" s="1762"/>
      <c r="SAI163" s="1762"/>
      <c r="SAJ163" s="1762"/>
      <c r="SAK163" s="1762"/>
      <c r="SAL163" s="1762"/>
      <c r="SAM163" s="1762"/>
      <c r="SAN163" s="1762"/>
      <c r="SAO163" s="1762"/>
      <c r="SAP163" s="1762"/>
      <c r="SAQ163" s="1762"/>
      <c r="SAR163" s="1762"/>
      <c r="SAS163" s="1762"/>
      <c r="SAT163" s="1762"/>
      <c r="SAU163" s="1762"/>
      <c r="SAV163" s="1762"/>
      <c r="SAW163" s="1762"/>
      <c r="SAX163" s="1762"/>
      <c r="SAY163" s="1762"/>
      <c r="SAZ163" s="1762"/>
      <c r="SBA163" s="1762"/>
      <c r="SBB163" s="1762"/>
      <c r="SBC163" s="1762"/>
      <c r="SBD163" s="1762"/>
      <c r="SBE163" s="1762"/>
      <c r="SBF163" s="1762"/>
      <c r="SBG163" s="1762"/>
      <c r="SBH163" s="1762"/>
      <c r="SBI163" s="1762"/>
      <c r="SBJ163" s="1762"/>
      <c r="SBK163" s="1762"/>
      <c r="SBL163" s="1762"/>
      <c r="SBM163" s="1762"/>
      <c r="SBN163" s="1762"/>
      <c r="SBO163" s="1762"/>
      <c r="SBP163" s="1762"/>
      <c r="SBQ163" s="1762"/>
      <c r="SBR163" s="1762"/>
      <c r="SBS163" s="1762"/>
      <c r="SBT163" s="1762"/>
      <c r="SBU163" s="1762"/>
      <c r="SBV163" s="1762"/>
      <c r="SBW163" s="1762"/>
      <c r="SBX163" s="1762"/>
      <c r="SBY163" s="1762"/>
      <c r="SBZ163" s="1762"/>
      <c r="SCA163" s="1762"/>
      <c r="SCB163" s="1762"/>
      <c r="SCC163" s="1762"/>
      <c r="SCD163" s="1762"/>
      <c r="SCE163" s="1762"/>
      <c r="SCF163" s="1762"/>
      <c r="SCG163" s="1762"/>
      <c r="SCH163" s="1762"/>
      <c r="SCI163" s="1762"/>
      <c r="SCJ163" s="1762"/>
      <c r="SCK163" s="1762"/>
      <c r="SCL163" s="1762"/>
      <c r="SCM163" s="1762"/>
      <c r="SCN163" s="1762"/>
      <c r="SCO163" s="1762"/>
      <c r="SCP163" s="1762"/>
      <c r="SCQ163" s="1762"/>
      <c r="SCR163" s="1762"/>
      <c r="SCS163" s="1762"/>
      <c r="SCT163" s="1762"/>
      <c r="SCU163" s="1762"/>
      <c r="SCV163" s="1762"/>
      <c r="SCW163" s="1762"/>
      <c r="SCX163" s="1762"/>
      <c r="SCY163" s="1762"/>
      <c r="SCZ163" s="1762"/>
      <c r="SDA163" s="1762"/>
      <c r="SDB163" s="1762"/>
      <c r="SDC163" s="1762"/>
      <c r="SDD163" s="1762"/>
      <c r="SDE163" s="1762"/>
      <c r="SDF163" s="1762"/>
      <c r="SDG163" s="1762"/>
      <c r="SDH163" s="1762"/>
      <c r="SDI163" s="1762"/>
      <c r="SDJ163" s="1762"/>
      <c r="SDK163" s="1762"/>
      <c r="SDL163" s="1762"/>
      <c r="SDM163" s="1762"/>
      <c r="SDN163" s="1762"/>
      <c r="SDO163" s="1762"/>
      <c r="SDP163" s="1762"/>
      <c r="SDQ163" s="1762"/>
      <c r="SDR163" s="1762"/>
      <c r="SDS163" s="1762"/>
      <c r="SDT163" s="1762"/>
      <c r="SDU163" s="1762"/>
      <c r="SDV163" s="1762"/>
      <c r="SDW163" s="1762"/>
      <c r="SDX163" s="1762"/>
      <c r="SDY163" s="1762"/>
      <c r="SDZ163" s="1762"/>
      <c r="SEA163" s="1762"/>
      <c r="SEB163" s="1762"/>
      <c r="SEC163" s="1762"/>
      <c r="SED163" s="1762"/>
      <c r="SEE163" s="1762"/>
      <c r="SEF163" s="1762"/>
      <c r="SEG163" s="1762"/>
      <c r="SEH163" s="1762"/>
      <c r="SEI163" s="1762"/>
      <c r="SEJ163" s="1762"/>
      <c r="SEK163" s="1762"/>
      <c r="SEL163" s="1762"/>
      <c r="SEM163" s="1762"/>
      <c r="SEN163" s="1762"/>
      <c r="SEO163" s="1762"/>
      <c r="SEP163" s="1762"/>
      <c r="SEQ163" s="1762"/>
      <c r="SER163" s="1762"/>
      <c r="SES163" s="1762"/>
      <c r="SET163" s="1762"/>
      <c r="SEU163" s="1762"/>
      <c r="SEV163" s="1762"/>
      <c r="SEW163" s="1762"/>
      <c r="SEX163" s="1762"/>
      <c r="SEY163" s="1762"/>
      <c r="SEZ163" s="1762"/>
      <c r="SFA163" s="1762"/>
      <c r="SFB163" s="1762"/>
      <c r="SFC163" s="1762"/>
      <c r="SFD163" s="1762"/>
      <c r="SFE163" s="1762"/>
      <c r="SFF163" s="1762"/>
      <c r="SFG163" s="1762"/>
      <c r="SFH163" s="1762"/>
      <c r="SFI163" s="1762"/>
      <c r="SFJ163" s="1762"/>
      <c r="SFK163" s="1762"/>
      <c r="SFL163" s="1762"/>
      <c r="SFM163" s="1762"/>
      <c r="SFN163" s="1762"/>
      <c r="SFO163" s="1762"/>
      <c r="SFP163" s="1762"/>
      <c r="SFQ163" s="1762"/>
      <c r="SFR163" s="1762"/>
      <c r="SFS163" s="1762"/>
      <c r="SFT163" s="1762"/>
      <c r="SFU163" s="1762"/>
      <c r="SFV163" s="1762"/>
      <c r="SFW163" s="1762"/>
      <c r="SFX163" s="1762"/>
      <c r="SFY163" s="1762"/>
      <c r="SFZ163" s="1762"/>
      <c r="SGA163" s="1762"/>
      <c r="SGB163" s="1762"/>
      <c r="SGC163" s="1762"/>
      <c r="SGD163" s="1762"/>
      <c r="SGE163" s="1762"/>
      <c r="SGF163" s="1762"/>
      <c r="SGG163" s="1762"/>
      <c r="SGH163" s="1762"/>
      <c r="SGI163" s="1762"/>
      <c r="SGJ163" s="1762"/>
      <c r="SGK163" s="1762"/>
      <c r="SGL163" s="1762"/>
      <c r="SGM163" s="1762"/>
      <c r="SGN163" s="1762"/>
      <c r="SGO163" s="1762"/>
      <c r="SGP163" s="1762"/>
      <c r="SGQ163" s="1762"/>
      <c r="SGR163" s="1762"/>
      <c r="SGS163" s="1762"/>
      <c r="SGT163" s="1762"/>
      <c r="SGU163" s="1762"/>
      <c r="SGV163" s="1762"/>
      <c r="SGW163" s="1762"/>
      <c r="SGX163" s="1762"/>
      <c r="SGY163" s="1762"/>
      <c r="SGZ163" s="1762"/>
      <c r="SHA163" s="1762"/>
      <c r="SHB163" s="1762"/>
      <c r="SHC163" s="1762"/>
      <c r="SHD163" s="1762"/>
      <c r="SHE163" s="1762"/>
      <c r="SHF163" s="1762"/>
      <c r="SHG163" s="1762"/>
      <c r="SHH163" s="1762"/>
      <c r="SHI163" s="1762"/>
      <c r="SHJ163" s="1762"/>
      <c r="SHK163" s="1762"/>
      <c r="SHL163" s="1762"/>
      <c r="SHM163" s="1762"/>
      <c r="SHN163" s="1762"/>
      <c r="SHO163" s="1762"/>
      <c r="SHP163" s="1762"/>
      <c r="SHQ163" s="1762"/>
      <c r="SHR163" s="1762"/>
      <c r="SHS163" s="1762"/>
      <c r="SHT163" s="1762"/>
      <c r="SHU163" s="1762"/>
      <c r="SHV163" s="1762"/>
      <c r="SHW163" s="1762"/>
      <c r="SHX163" s="1762"/>
      <c r="SHY163" s="1762"/>
      <c r="SHZ163" s="1762"/>
      <c r="SIA163" s="1762"/>
      <c r="SIB163" s="1762"/>
      <c r="SIC163" s="1762"/>
      <c r="SID163" s="1762"/>
      <c r="SIE163" s="1762"/>
      <c r="SIF163" s="1762"/>
      <c r="SIG163" s="1762"/>
      <c r="SIH163" s="1762"/>
      <c r="SII163" s="1762"/>
      <c r="SIJ163" s="1762"/>
      <c r="SIK163" s="1762"/>
      <c r="SIL163" s="1762"/>
      <c r="SIM163" s="1762"/>
      <c r="SIN163" s="1762"/>
      <c r="SIO163" s="1762"/>
      <c r="SIP163" s="1762"/>
      <c r="SIQ163" s="1762"/>
      <c r="SIR163" s="1762"/>
      <c r="SIS163" s="1762"/>
      <c r="SIT163" s="1762"/>
      <c r="SIU163" s="1762"/>
      <c r="SIV163" s="1762"/>
      <c r="SIW163" s="1762"/>
      <c r="SIX163" s="1762"/>
      <c r="SIY163" s="1762"/>
      <c r="SIZ163" s="1762"/>
      <c r="SJA163" s="1762"/>
      <c r="SJB163" s="1762"/>
      <c r="SJC163" s="1762"/>
      <c r="SJD163" s="1762"/>
      <c r="SJE163" s="1762"/>
      <c r="SJF163" s="1762"/>
      <c r="SJG163" s="1762"/>
      <c r="SJH163" s="1762"/>
      <c r="SJI163" s="1762"/>
      <c r="SJJ163" s="1762"/>
      <c r="SJK163" s="1762"/>
      <c r="SJL163" s="1762"/>
      <c r="SJM163" s="1762"/>
      <c r="SJN163" s="1762"/>
      <c r="SJO163" s="1762"/>
      <c r="SJP163" s="1762"/>
      <c r="SJQ163" s="1762"/>
      <c r="SJR163" s="1762"/>
      <c r="SJS163" s="1762"/>
      <c r="SJT163" s="1762"/>
      <c r="SJU163" s="1762"/>
      <c r="SJV163" s="1762"/>
      <c r="SJW163" s="1762"/>
      <c r="SJX163" s="1762"/>
      <c r="SJY163" s="1762"/>
      <c r="SJZ163" s="1762"/>
      <c r="SKA163" s="1762"/>
      <c r="SKB163" s="1762"/>
      <c r="SKC163" s="1762"/>
      <c r="SKD163" s="1762"/>
      <c r="SKE163" s="1762"/>
      <c r="SKF163" s="1762"/>
      <c r="SKG163" s="1762"/>
      <c r="SKH163" s="1762"/>
      <c r="SKI163" s="1762"/>
      <c r="SKJ163" s="1762"/>
      <c r="SKK163" s="1762"/>
      <c r="SKL163" s="1762"/>
      <c r="SKM163" s="1762"/>
      <c r="SKN163" s="1762"/>
      <c r="SKO163" s="1762"/>
      <c r="SKP163" s="1762"/>
      <c r="SKQ163" s="1762"/>
      <c r="SKR163" s="1762"/>
      <c r="SKS163" s="1762"/>
      <c r="SKT163" s="1762"/>
      <c r="SKU163" s="1762"/>
      <c r="SKV163" s="1762"/>
      <c r="SKW163" s="1762"/>
      <c r="SKX163" s="1762"/>
      <c r="SKY163" s="1762"/>
      <c r="SKZ163" s="1762"/>
      <c r="SLA163" s="1762"/>
      <c r="SLB163" s="1762"/>
      <c r="SLC163" s="1762"/>
      <c r="SLD163" s="1762"/>
      <c r="SLE163" s="1762"/>
      <c r="SLF163" s="1762"/>
      <c r="SLG163" s="1762"/>
      <c r="SLH163" s="1762"/>
      <c r="SLI163" s="1762"/>
      <c r="SLJ163" s="1762"/>
      <c r="SLK163" s="1762"/>
      <c r="SLL163" s="1762"/>
      <c r="SLM163" s="1762"/>
      <c r="SLN163" s="1762"/>
      <c r="SLO163" s="1762"/>
      <c r="SLP163" s="1762"/>
      <c r="SLQ163" s="1762"/>
      <c r="SLR163" s="1762"/>
      <c r="SLS163" s="1762"/>
      <c r="SLT163" s="1762"/>
      <c r="SLU163" s="1762"/>
      <c r="SLV163" s="1762"/>
      <c r="SLW163" s="1762"/>
      <c r="SLX163" s="1762"/>
      <c r="SLY163" s="1762"/>
      <c r="SLZ163" s="1762"/>
      <c r="SMA163" s="1762"/>
      <c r="SMB163" s="1762"/>
      <c r="SMC163" s="1762"/>
      <c r="SMD163" s="1762"/>
      <c r="SME163" s="1762"/>
      <c r="SMF163" s="1762"/>
      <c r="SMG163" s="1762"/>
      <c r="SMH163" s="1762"/>
      <c r="SMI163" s="1762"/>
      <c r="SMJ163" s="1762"/>
      <c r="SMK163" s="1762"/>
      <c r="SML163" s="1762"/>
      <c r="SMM163" s="1762"/>
      <c r="SMN163" s="1762"/>
      <c r="SMO163" s="1762"/>
      <c r="SMP163" s="1762"/>
      <c r="SMQ163" s="1762"/>
      <c r="SMR163" s="1762"/>
      <c r="SMS163" s="1762"/>
      <c r="SMT163" s="1762"/>
      <c r="SMU163" s="1762"/>
      <c r="SMV163" s="1762"/>
      <c r="SMW163" s="1762"/>
      <c r="SMX163" s="1762"/>
      <c r="SMY163" s="1762"/>
      <c r="SMZ163" s="1762"/>
      <c r="SNA163" s="1762"/>
      <c r="SNB163" s="1762"/>
      <c r="SNC163" s="1762"/>
      <c r="SND163" s="1762"/>
      <c r="SNE163" s="1762"/>
      <c r="SNF163" s="1762"/>
      <c r="SNG163" s="1762"/>
      <c r="SNH163" s="1762"/>
      <c r="SNI163" s="1762"/>
      <c r="SNJ163" s="1762"/>
      <c r="SNK163" s="1762"/>
      <c r="SNL163" s="1762"/>
      <c r="SNM163" s="1762"/>
      <c r="SNN163" s="1762"/>
      <c r="SNO163" s="1762"/>
      <c r="SNP163" s="1762"/>
      <c r="SNQ163" s="1762"/>
      <c r="SNR163" s="1762"/>
      <c r="SNS163" s="1762"/>
      <c r="SNT163" s="1762"/>
      <c r="SNU163" s="1762"/>
      <c r="SNV163" s="1762"/>
      <c r="SNW163" s="1762"/>
      <c r="SNX163" s="1762"/>
      <c r="SNY163" s="1762"/>
      <c r="SNZ163" s="1762"/>
      <c r="SOA163" s="1762"/>
      <c r="SOB163" s="1762"/>
      <c r="SOC163" s="1762"/>
      <c r="SOD163" s="1762"/>
      <c r="SOE163" s="1762"/>
      <c r="SOF163" s="1762"/>
      <c r="SOG163" s="1762"/>
      <c r="SOH163" s="1762"/>
      <c r="SOI163" s="1762"/>
      <c r="SOJ163" s="1762"/>
      <c r="SOK163" s="1762"/>
      <c r="SOL163" s="1762"/>
      <c r="SOM163" s="1762"/>
      <c r="SON163" s="1762"/>
      <c r="SOO163" s="1762"/>
      <c r="SOP163" s="1762"/>
      <c r="SOQ163" s="1762"/>
      <c r="SOR163" s="1762"/>
      <c r="SOS163" s="1762"/>
      <c r="SOT163" s="1762"/>
      <c r="SOU163" s="1762"/>
      <c r="SOV163" s="1762"/>
      <c r="SOW163" s="1762"/>
      <c r="SOX163" s="1762"/>
      <c r="SOY163" s="1762"/>
      <c r="SOZ163" s="1762"/>
      <c r="SPA163" s="1762"/>
      <c r="SPB163" s="1762"/>
      <c r="SPC163" s="1762"/>
      <c r="SPD163" s="1762"/>
      <c r="SPE163" s="1762"/>
      <c r="SPF163" s="1762"/>
      <c r="SPG163" s="1762"/>
      <c r="SPH163" s="1762"/>
      <c r="SPI163" s="1762"/>
      <c r="SPJ163" s="1762"/>
      <c r="SPK163" s="1762"/>
      <c r="SPL163" s="1762"/>
      <c r="SPM163" s="1762"/>
      <c r="SPN163" s="1762"/>
      <c r="SPO163" s="1762"/>
      <c r="SPP163" s="1762"/>
      <c r="SPQ163" s="1762"/>
      <c r="SPR163" s="1762"/>
      <c r="SPS163" s="1762"/>
      <c r="SPT163" s="1762"/>
      <c r="SPU163" s="1762"/>
      <c r="SPV163" s="1762"/>
      <c r="SPW163" s="1762"/>
      <c r="SPX163" s="1762"/>
      <c r="SPY163" s="1762"/>
      <c r="SPZ163" s="1762"/>
      <c r="SQA163" s="1762"/>
      <c r="SQB163" s="1762"/>
      <c r="SQC163" s="1762"/>
      <c r="SQD163" s="1762"/>
      <c r="SQE163" s="1762"/>
      <c r="SQF163" s="1762"/>
      <c r="SQG163" s="1762"/>
      <c r="SQH163" s="1762"/>
      <c r="SQI163" s="1762"/>
      <c r="SQJ163" s="1762"/>
      <c r="SQK163" s="1762"/>
      <c r="SQL163" s="1762"/>
      <c r="SQM163" s="1762"/>
      <c r="SQN163" s="1762"/>
      <c r="SQO163" s="1762"/>
      <c r="SQP163" s="1762"/>
      <c r="SQQ163" s="1762"/>
      <c r="SQR163" s="1762"/>
      <c r="SQS163" s="1762"/>
      <c r="SQT163" s="1762"/>
      <c r="SQU163" s="1762"/>
      <c r="SQV163" s="1762"/>
      <c r="SQW163" s="1762"/>
      <c r="SQX163" s="1762"/>
      <c r="SQY163" s="1762"/>
      <c r="SQZ163" s="1762"/>
      <c r="SRA163" s="1762"/>
      <c r="SRB163" s="1762"/>
      <c r="SRC163" s="1762"/>
      <c r="SRD163" s="1762"/>
      <c r="SRE163" s="1762"/>
      <c r="SRF163" s="1762"/>
      <c r="SRG163" s="1762"/>
      <c r="SRH163" s="1762"/>
      <c r="SRI163" s="1762"/>
      <c r="SRJ163" s="1762"/>
      <c r="SRK163" s="1762"/>
      <c r="SRL163" s="1762"/>
      <c r="SRM163" s="1762"/>
      <c r="SRN163" s="1762"/>
      <c r="SRO163" s="1762"/>
      <c r="SRP163" s="1762"/>
      <c r="SRQ163" s="1762"/>
      <c r="SRR163" s="1762"/>
      <c r="SRS163" s="1762"/>
      <c r="SRT163" s="1762"/>
      <c r="SRU163" s="1762"/>
      <c r="SRV163" s="1762"/>
      <c r="SRW163" s="1762"/>
      <c r="SRX163" s="1762"/>
      <c r="SRY163" s="1762"/>
      <c r="SRZ163" s="1762"/>
      <c r="SSA163" s="1762"/>
      <c r="SSB163" s="1762"/>
      <c r="SSC163" s="1762"/>
      <c r="SSD163" s="1762"/>
      <c r="SSE163" s="1762"/>
      <c r="SSF163" s="1762"/>
      <c r="SSG163" s="1762"/>
      <c r="SSH163" s="1762"/>
      <c r="SSI163" s="1762"/>
      <c r="SSJ163" s="1762"/>
      <c r="SSK163" s="1762"/>
      <c r="SSL163" s="1762"/>
      <c r="SSM163" s="1762"/>
      <c r="SSN163" s="1762"/>
      <c r="SSO163" s="1762"/>
      <c r="SSP163" s="1762"/>
      <c r="SSQ163" s="1762"/>
      <c r="SSR163" s="1762"/>
      <c r="SSS163" s="1762"/>
      <c r="SST163" s="1762"/>
      <c r="SSU163" s="1762"/>
      <c r="SSV163" s="1762"/>
      <c r="SSW163" s="1762"/>
      <c r="SSX163" s="1762"/>
      <c r="SSY163" s="1762"/>
      <c r="SSZ163" s="1762"/>
      <c r="STA163" s="1762"/>
      <c r="STB163" s="1762"/>
      <c r="STC163" s="1762"/>
      <c r="STD163" s="1762"/>
      <c r="STE163" s="1762"/>
      <c r="STF163" s="1762"/>
      <c r="STG163" s="1762"/>
      <c r="STH163" s="1762"/>
      <c r="STI163" s="1762"/>
      <c r="STJ163" s="1762"/>
      <c r="STK163" s="1762"/>
      <c r="STL163" s="1762"/>
      <c r="STM163" s="1762"/>
      <c r="STN163" s="1762"/>
      <c r="STO163" s="1762"/>
      <c r="STP163" s="1762"/>
      <c r="STQ163" s="1762"/>
      <c r="STR163" s="1762"/>
      <c r="STS163" s="1762"/>
      <c r="STT163" s="1762"/>
      <c r="STU163" s="1762"/>
      <c r="STV163" s="1762"/>
      <c r="STW163" s="1762"/>
      <c r="STX163" s="1762"/>
      <c r="STY163" s="1762"/>
      <c r="STZ163" s="1762"/>
      <c r="SUA163" s="1762"/>
      <c r="SUB163" s="1762"/>
      <c r="SUC163" s="1762"/>
      <c r="SUD163" s="1762"/>
      <c r="SUE163" s="1762"/>
      <c r="SUF163" s="1762"/>
      <c r="SUG163" s="1762"/>
      <c r="SUH163" s="1762"/>
      <c r="SUI163" s="1762"/>
      <c r="SUJ163" s="1762"/>
      <c r="SUK163" s="1762"/>
      <c r="SUL163" s="1762"/>
      <c r="SUM163" s="1762"/>
      <c r="SUN163" s="1762"/>
      <c r="SUO163" s="1762"/>
      <c r="SUP163" s="1762"/>
      <c r="SUQ163" s="1762"/>
      <c r="SUR163" s="1762"/>
      <c r="SUS163" s="1762"/>
      <c r="SUT163" s="1762"/>
      <c r="SUU163" s="1762"/>
      <c r="SUV163" s="1762"/>
      <c r="SUW163" s="1762"/>
      <c r="SUX163" s="1762"/>
      <c r="SUY163" s="1762"/>
      <c r="SUZ163" s="1762"/>
      <c r="SVA163" s="1762"/>
      <c r="SVB163" s="1762"/>
      <c r="SVC163" s="1762"/>
      <c r="SVD163" s="1762"/>
      <c r="SVE163" s="1762"/>
      <c r="SVF163" s="1762"/>
      <c r="SVG163" s="1762"/>
      <c r="SVH163" s="1762"/>
      <c r="SVI163" s="1762"/>
      <c r="SVJ163" s="1762"/>
      <c r="SVK163" s="1762"/>
      <c r="SVL163" s="1762"/>
      <c r="SVM163" s="1762"/>
      <c r="SVN163" s="1762"/>
      <c r="SVO163" s="1762"/>
      <c r="SVP163" s="1762"/>
      <c r="SVQ163" s="1762"/>
      <c r="SVR163" s="1762"/>
      <c r="SVS163" s="1762"/>
      <c r="SVT163" s="1762"/>
      <c r="SVU163" s="1762"/>
      <c r="SVV163" s="1762"/>
      <c r="SVW163" s="1762"/>
      <c r="SVX163" s="1762"/>
      <c r="SVY163" s="1762"/>
      <c r="SVZ163" s="1762"/>
      <c r="SWA163" s="1762"/>
      <c r="SWB163" s="1762"/>
      <c r="SWC163" s="1762"/>
      <c r="SWD163" s="1762"/>
      <c r="SWE163" s="1762"/>
      <c r="SWF163" s="1762"/>
      <c r="SWG163" s="1762"/>
      <c r="SWH163" s="1762"/>
      <c r="SWI163" s="1762"/>
      <c r="SWJ163" s="1762"/>
      <c r="SWK163" s="1762"/>
      <c r="SWL163" s="1762"/>
      <c r="SWM163" s="1762"/>
      <c r="SWN163" s="1762"/>
      <c r="SWO163" s="1762"/>
      <c r="SWP163" s="1762"/>
      <c r="SWQ163" s="1762"/>
      <c r="SWR163" s="1762"/>
      <c r="SWS163" s="1762"/>
      <c r="SWT163" s="1762"/>
      <c r="SWU163" s="1762"/>
      <c r="SWV163" s="1762"/>
      <c r="SWW163" s="1762"/>
      <c r="SWX163" s="1762"/>
      <c r="SWY163" s="1762"/>
      <c r="SWZ163" s="1762"/>
      <c r="SXA163" s="1762"/>
      <c r="SXB163" s="1762"/>
      <c r="SXC163" s="1762"/>
      <c r="SXD163" s="1762"/>
      <c r="SXE163" s="1762"/>
      <c r="SXF163" s="1762"/>
      <c r="SXG163" s="1762"/>
      <c r="SXH163" s="1762"/>
      <c r="SXI163" s="1762"/>
      <c r="SXJ163" s="1762"/>
      <c r="SXK163" s="1762"/>
      <c r="SXL163" s="1762"/>
      <c r="SXM163" s="1762"/>
      <c r="SXN163" s="1762"/>
      <c r="SXO163" s="1762"/>
      <c r="SXP163" s="1762"/>
      <c r="SXQ163" s="1762"/>
      <c r="SXR163" s="1762"/>
      <c r="SXS163" s="1762"/>
      <c r="SXT163" s="1762"/>
      <c r="SXU163" s="1762"/>
      <c r="SXV163" s="1762"/>
      <c r="SXW163" s="1762"/>
      <c r="SXX163" s="1762"/>
      <c r="SXY163" s="1762"/>
      <c r="SXZ163" s="1762"/>
      <c r="SYA163" s="1762"/>
      <c r="SYB163" s="1762"/>
      <c r="SYC163" s="1762"/>
      <c r="SYD163" s="1762"/>
      <c r="SYE163" s="1762"/>
      <c r="SYF163" s="1762"/>
      <c r="SYG163" s="1762"/>
      <c r="SYH163" s="1762"/>
      <c r="SYI163" s="1762"/>
      <c r="SYJ163" s="1762"/>
      <c r="SYK163" s="1762"/>
      <c r="SYL163" s="1762"/>
      <c r="SYM163" s="1762"/>
      <c r="SYN163" s="1762"/>
      <c r="SYO163" s="1762"/>
      <c r="SYP163" s="1762"/>
      <c r="SYQ163" s="1762"/>
      <c r="SYR163" s="1762"/>
      <c r="SYS163" s="1762"/>
      <c r="SYT163" s="1762"/>
      <c r="SYU163" s="1762"/>
      <c r="SYV163" s="1762"/>
      <c r="SYW163" s="1762"/>
      <c r="SYX163" s="1762"/>
      <c r="SYY163" s="1762"/>
      <c r="SYZ163" s="1762"/>
      <c r="SZA163" s="1762"/>
      <c r="SZB163" s="1762"/>
      <c r="SZC163" s="1762"/>
      <c r="SZD163" s="1762"/>
      <c r="SZE163" s="1762"/>
      <c r="SZF163" s="1762"/>
      <c r="SZG163" s="1762"/>
      <c r="SZH163" s="1762"/>
      <c r="SZI163" s="1762"/>
      <c r="SZJ163" s="1762"/>
      <c r="SZK163" s="1762"/>
      <c r="SZL163" s="1762"/>
      <c r="SZM163" s="1762"/>
      <c r="SZN163" s="1762"/>
      <c r="SZO163" s="1762"/>
      <c r="SZP163" s="1762"/>
      <c r="SZQ163" s="1762"/>
      <c r="SZR163" s="1762"/>
      <c r="SZS163" s="1762"/>
      <c r="SZT163" s="1762"/>
      <c r="SZU163" s="1762"/>
      <c r="SZV163" s="1762"/>
      <c r="SZW163" s="1762"/>
      <c r="SZX163" s="1762"/>
      <c r="SZY163" s="1762"/>
      <c r="SZZ163" s="1762"/>
      <c r="TAA163" s="1762"/>
      <c r="TAB163" s="1762"/>
      <c r="TAC163" s="1762"/>
      <c r="TAD163" s="1762"/>
      <c r="TAE163" s="1762"/>
      <c r="TAF163" s="1762"/>
      <c r="TAG163" s="1762"/>
      <c r="TAH163" s="1762"/>
      <c r="TAI163" s="1762"/>
      <c r="TAJ163" s="1762"/>
      <c r="TAK163" s="1762"/>
      <c r="TAL163" s="1762"/>
      <c r="TAM163" s="1762"/>
      <c r="TAN163" s="1762"/>
      <c r="TAO163" s="1762"/>
      <c r="TAP163" s="1762"/>
      <c r="TAQ163" s="1762"/>
      <c r="TAR163" s="1762"/>
      <c r="TAS163" s="1762"/>
      <c r="TAT163" s="1762"/>
      <c r="TAU163" s="1762"/>
      <c r="TAV163" s="1762"/>
      <c r="TAW163" s="1762"/>
      <c r="TAX163" s="1762"/>
      <c r="TAY163" s="1762"/>
      <c r="TAZ163" s="1762"/>
      <c r="TBA163" s="1762"/>
      <c r="TBB163" s="1762"/>
      <c r="TBC163" s="1762"/>
      <c r="TBD163" s="1762"/>
      <c r="TBE163" s="1762"/>
      <c r="TBF163" s="1762"/>
      <c r="TBG163" s="1762"/>
      <c r="TBH163" s="1762"/>
      <c r="TBI163" s="1762"/>
      <c r="TBJ163" s="1762"/>
      <c r="TBK163" s="1762"/>
      <c r="TBL163" s="1762"/>
      <c r="TBM163" s="1762"/>
      <c r="TBN163" s="1762"/>
      <c r="TBO163" s="1762"/>
      <c r="TBP163" s="1762"/>
      <c r="TBQ163" s="1762"/>
      <c r="TBR163" s="1762"/>
      <c r="TBS163" s="1762"/>
      <c r="TBT163" s="1762"/>
      <c r="TBU163" s="1762"/>
      <c r="TBV163" s="1762"/>
      <c r="TBW163" s="1762"/>
      <c r="TBX163" s="1762"/>
      <c r="TBY163" s="1762"/>
      <c r="TBZ163" s="1762"/>
      <c r="TCA163" s="1762"/>
      <c r="TCB163" s="1762"/>
      <c r="TCC163" s="1762"/>
      <c r="TCD163" s="1762"/>
      <c r="TCE163" s="1762"/>
      <c r="TCF163" s="1762"/>
      <c r="TCG163" s="1762"/>
      <c r="TCH163" s="1762"/>
      <c r="TCI163" s="1762"/>
      <c r="TCJ163" s="1762"/>
      <c r="TCK163" s="1762"/>
      <c r="TCL163" s="1762"/>
      <c r="TCM163" s="1762"/>
      <c r="TCN163" s="1762"/>
      <c r="TCO163" s="1762"/>
      <c r="TCP163" s="1762"/>
      <c r="TCQ163" s="1762"/>
      <c r="TCR163" s="1762"/>
      <c r="TCS163" s="1762"/>
      <c r="TCT163" s="1762"/>
      <c r="TCU163" s="1762"/>
      <c r="TCV163" s="1762"/>
      <c r="TCW163" s="1762"/>
      <c r="TCX163" s="1762"/>
      <c r="TCY163" s="1762"/>
      <c r="TCZ163" s="1762"/>
      <c r="TDA163" s="1762"/>
      <c r="TDB163" s="1762"/>
      <c r="TDC163" s="1762"/>
      <c r="TDD163" s="1762"/>
      <c r="TDE163" s="1762"/>
      <c r="TDF163" s="1762"/>
      <c r="TDG163" s="1762"/>
      <c r="TDH163" s="1762"/>
      <c r="TDI163" s="1762"/>
      <c r="TDJ163" s="1762"/>
      <c r="TDK163" s="1762"/>
      <c r="TDL163" s="1762"/>
      <c r="TDM163" s="1762"/>
      <c r="TDN163" s="1762"/>
      <c r="TDO163" s="1762"/>
      <c r="TDP163" s="1762"/>
      <c r="TDQ163" s="1762"/>
      <c r="TDR163" s="1762"/>
      <c r="TDS163" s="1762"/>
      <c r="TDT163" s="1762"/>
      <c r="TDU163" s="1762"/>
      <c r="TDV163" s="1762"/>
      <c r="TDW163" s="1762"/>
      <c r="TDX163" s="1762"/>
      <c r="TDY163" s="1762"/>
      <c r="TDZ163" s="1762"/>
      <c r="TEA163" s="1762"/>
      <c r="TEB163" s="1762"/>
      <c r="TEC163" s="1762"/>
      <c r="TED163" s="1762"/>
      <c r="TEE163" s="1762"/>
      <c r="TEF163" s="1762"/>
      <c r="TEG163" s="1762"/>
      <c r="TEH163" s="1762"/>
      <c r="TEI163" s="1762"/>
      <c r="TEJ163" s="1762"/>
      <c r="TEK163" s="1762"/>
      <c r="TEL163" s="1762"/>
      <c r="TEM163" s="1762"/>
      <c r="TEN163" s="1762"/>
      <c r="TEO163" s="1762"/>
      <c r="TEP163" s="1762"/>
      <c r="TEQ163" s="1762"/>
      <c r="TER163" s="1762"/>
      <c r="TES163" s="1762"/>
      <c r="TET163" s="1762"/>
      <c r="TEU163" s="1762"/>
      <c r="TEV163" s="1762"/>
      <c r="TEW163" s="1762"/>
      <c r="TEX163" s="1762"/>
      <c r="TEY163" s="1762"/>
      <c r="TEZ163" s="1762"/>
      <c r="TFA163" s="1762"/>
      <c r="TFB163" s="1762"/>
      <c r="TFC163" s="1762"/>
      <c r="TFD163" s="1762"/>
      <c r="TFE163" s="1762"/>
      <c r="TFF163" s="1762"/>
      <c r="TFG163" s="1762"/>
      <c r="TFH163" s="1762"/>
      <c r="TFI163" s="1762"/>
      <c r="TFJ163" s="1762"/>
      <c r="TFK163" s="1762"/>
      <c r="TFL163" s="1762"/>
      <c r="TFM163" s="1762"/>
      <c r="TFN163" s="1762"/>
      <c r="TFO163" s="1762"/>
      <c r="TFP163" s="1762"/>
      <c r="TFQ163" s="1762"/>
      <c r="TFR163" s="1762"/>
      <c r="TFS163" s="1762"/>
      <c r="TFT163" s="1762"/>
      <c r="TFU163" s="1762"/>
      <c r="TFV163" s="1762"/>
      <c r="TFW163" s="1762"/>
      <c r="TFX163" s="1762"/>
      <c r="TFY163" s="1762"/>
      <c r="TFZ163" s="1762"/>
      <c r="TGA163" s="1762"/>
      <c r="TGB163" s="1762"/>
      <c r="TGC163" s="1762"/>
      <c r="TGD163" s="1762"/>
      <c r="TGE163" s="1762"/>
      <c r="TGF163" s="1762"/>
      <c r="TGG163" s="1762"/>
      <c r="TGH163" s="1762"/>
      <c r="TGI163" s="1762"/>
      <c r="TGJ163" s="1762"/>
      <c r="TGK163" s="1762"/>
      <c r="TGL163" s="1762"/>
      <c r="TGM163" s="1762"/>
      <c r="TGN163" s="1762"/>
      <c r="TGO163" s="1762"/>
      <c r="TGP163" s="1762"/>
      <c r="TGQ163" s="1762"/>
      <c r="TGR163" s="1762"/>
      <c r="TGS163" s="1762"/>
      <c r="TGT163" s="1762"/>
      <c r="TGU163" s="1762"/>
      <c r="TGV163" s="1762"/>
      <c r="TGW163" s="1762"/>
      <c r="TGX163" s="1762"/>
      <c r="TGY163" s="1762"/>
      <c r="TGZ163" s="1762"/>
      <c r="THA163" s="1762"/>
      <c r="THB163" s="1762"/>
      <c r="THC163" s="1762"/>
      <c r="THD163" s="1762"/>
      <c r="THE163" s="1762"/>
      <c r="THF163" s="1762"/>
      <c r="THG163" s="1762"/>
      <c r="THH163" s="1762"/>
      <c r="THI163" s="1762"/>
      <c r="THJ163" s="1762"/>
      <c r="THK163" s="1762"/>
      <c r="THL163" s="1762"/>
      <c r="THM163" s="1762"/>
      <c r="THN163" s="1762"/>
      <c r="THO163" s="1762"/>
      <c r="THP163" s="1762"/>
      <c r="THQ163" s="1762"/>
      <c r="THR163" s="1762"/>
      <c r="THS163" s="1762"/>
      <c r="THT163" s="1762"/>
      <c r="THU163" s="1762"/>
      <c r="THV163" s="1762"/>
      <c r="THW163" s="1762"/>
      <c r="THX163" s="1762"/>
      <c r="THY163" s="1762"/>
      <c r="THZ163" s="1762"/>
      <c r="TIA163" s="1762"/>
      <c r="TIB163" s="1762"/>
      <c r="TIC163" s="1762"/>
      <c r="TID163" s="1762"/>
      <c r="TIE163" s="1762"/>
      <c r="TIF163" s="1762"/>
      <c r="TIG163" s="1762"/>
      <c r="TIH163" s="1762"/>
      <c r="TII163" s="1762"/>
      <c r="TIJ163" s="1762"/>
      <c r="TIK163" s="1762"/>
      <c r="TIL163" s="1762"/>
      <c r="TIM163" s="1762"/>
      <c r="TIN163" s="1762"/>
      <c r="TIO163" s="1762"/>
      <c r="TIP163" s="1762"/>
      <c r="TIQ163" s="1762"/>
      <c r="TIR163" s="1762"/>
      <c r="TIS163" s="1762"/>
      <c r="TIT163" s="1762"/>
      <c r="TIU163" s="1762"/>
      <c r="TIV163" s="1762"/>
      <c r="TIW163" s="1762"/>
      <c r="TIX163" s="1762"/>
      <c r="TIY163" s="1762"/>
      <c r="TIZ163" s="1762"/>
      <c r="TJA163" s="1762"/>
      <c r="TJB163" s="1762"/>
      <c r="TJC163" s="1762"/>
      <c r="TJD163" s="1762"/>
      <c r="TJE163" s="1762"/>
      <c r="TJF163" s="1762"/>
      <c r="TJG163" s="1762"/>
      <c r="TJH163" s="1762"/>
      <c r="TJI163" s="1762"/>
      <c r="TJJ163" s="1762"/>
      <c r="TJK163" s="1762"/>
      <c r="TJL163" s="1762"/>
      <c r="TJM163" s="1762"/>
      <c r="TJN163" s="1762"/>
      <c r="TJO163" s="1762"/>
      <c r="TJP163" s="1762"/>
      <c r="TJQ163" s="1762"/>
      <c r="TJR163" s="1762"/>
      <c r="TJS163" s="1762"/>
      <c r="TJT163" s="1762"/>
      <c r="TJU163" s="1762"/>
      <c r="TJV163" s="1762"/>
      <c r="TJW163" s="1762"/>
      <c r="TJX163" s="1762"/>
      <c r="TJY163" s="1762"/>
      <c r="TJZ163" s="1762"/>
      <c r="TKA163" s="1762"/>
      <c r="TKB163" s="1762"/>
      <c r="TKC163" s="1762"/>
      <c r="TKD163" s="1762"/>
      <c r="TKE163" s="1762"/>
      <c r="TKF163" s="1762"/>
      <c r="TKG163" s="1762"/>
      <c r="TKH163" s="1762"/>
      <c r="TKI163" s="1762"/>
      <c r="TKJ163" s="1762"/>
      <c r="TKK163" s="1762"/>
      <c r="TKL163" s="1762"/>
      <c r="TKM163" s="1762"/>
      <c r="TKN163" s="1762"/>
      <c r="TKO163" s="1762"/>
      <c r="TKP163" s="1762"/>
      <c r="TKQ163" s="1762"/>
      <c r="TKR163" s="1762"/>
      <c r="TKS163" s="1762"/>
      <c r="TKT163" s="1762"/>
      <c r="TKU163" s="1762"/>
      <c r="TKV163" s="1762"/>
      <c r="TKW163" s="1762"/>
      <c r="TKX163" s="1762"/>
      <c r="TKY163" s="1762"/>
      <c r="TKZ163" s="1762"/>
      <c r="TLA163" s="1762"/>
      <c r="TLB163" s="1762"/>
      <c r="TLC163" s="1762"/>
      <c r="TLD163" s="1762"/>
      <c r="TLE163" s="1762"/>
      <c r="TLF163" s="1762"/>
      <c r="TLG163" s="1762"/>
      <c r="TLH163" s="1762"/>
      <c r="TLI163" s="1762"/>
      <c r="TLJ163" s="1762"/>
      <c r="TLK163" s="1762"/>
      <c r="TLL163" s="1762"/>
      <c r="TLM163" s="1762"/>
      <c r="TLN163" s="1762"/>
      <c r="TLO163" s="1762"/>
      <c r="TLP163" s="1762"/>
      <c r="TLQ163" s="1762"/>
      <c r="TLR163" s="1762"/>
      <c r="TLS163" s="1762"/>
      <c r="TLT163" s="1762"/>
      <c r="TLU163" s="1762"/>
      <c r="TLV163" s="1762"/>
      <c r="TLW163" s="1762"/>
      <c r="TLX163" s="1762"/>
      <c r="TLY163" s="1762"/>
      <c r="TLZ163" s="1762"/>
      <c r="TMA163" s="1762"/>
      <c r="TMB163" s="1762"/>
      <c r="TMC163" s="1762"/>
      <c r="TMD163" s="1762"/>
      <c r="TME163" s="1762"/>
      <c r="TMF163" s="1762"/>
      <c r="TMG163" s="1762"/>
      <c r="TMH163" s="1762"/>
      <c r="TMI163" s="1762"/>
      <c r="TMJ163" s="1762"/>
      <c r="TMK163" s="1762"/>
      <c r="TML163" s="1762"/>
      <c r="TMM163" s="1762"/>
      <c r="TMN163" s="1762"/>
      <c r="TMO163" s="1762"/>
      <c r="TMP163" s="1762"/>
      <c r="TMQ163" s="1762"/>
      <c r="TMR163" s="1762"/>
      <c r="TMS163" s="1762"/>
      <c r="TMT163" s="1762"/>
      <c r="TMU163" s="1762"/>
      <c r="TMV163" s="1762"/>
      <c r="TMW163" s="1762"/>
      <c r="TMX163" s="1762"/>
      <c r="TMY163" s="1762"/>
      <c r="TMZ163" s="1762"/>
      <c r="TNA163" s="1762"/>
      <c r="TNB163" s="1762"/>
      <c r="TNC163" s="1762"/>
      <c r="TND163" s="1762"/>
      <c r="TNE163" s="1762"/>
      <c r="TNF163" s="1762"/>
      <c r="TNG163" s="1762"/>
      <c r="TNH163" s="1762"/>
      <c r="TNI163" s="1762"/>
      <c r="TNJ163" s="1762"/>
      <c r="TNK163" s="1762"/>
      <c r="TNL163" s="1762"/>
      <c r="TNM163" s="1762"/>
      <c r="TNN163" s="1762"/>
      <c r="TNO163" s="1762"/>
      <c r="TNP163" s="1762"/>
      <c r="TNQ163" s="1762"/>
      <c r="TNR163" s="1762"/>
      <c r="TNS163" s="1762"/>
      <c r="TNT163" s="1762"/>
      <c r="TNU163" s="1762"/>
      <c r="TNV163" s="1762"/>
      <c r="TNW163" s="1762"/>
      <c r="TNX163" s="1762"/>
      <c r="TNY163" s="1762"/>
      <c r="TNZ163" s="1762"/>
      <c r="TOA163" s="1762"/>
      <c r="TOB163" s="1762"/>
      <c r="TOC163" s="1762"/>
      <c r="TOD163" s="1762"/>
      <c r="TOE163" s="1762"/>
      <c r="TOF163" s="1762"/>
      <c r="TOG163" s="1762"/>
      <c r="TOH163" s="1762"/>
      <c r="TOI163" s="1762"/>
      <c r="TOJ163" s="1762"/>
      <c r="TOK163" s="1762"/>
      <c r="TOL163" s="1762"/>
      <c r="TOM163" s="1762"/>
      <c r="TON163" s="1762"/>
      <c r="TOO163" s="1762"/>
      <c r="TOP163" s="1762"/>
      <c r="TOQ163" s="1762"/>
      <c r="TOR163" s="1762"/>
      <c r="TOS163" s="1762"/>
      <c r="TOT163" s="1762"/>
      <c r="TOU163" s="1762"/>
      <c r="TOV163" s="1762"/>
      <c r="TOW163" s="1762"/>
      <c r="TOX163" s="1762"/>
      <c r="TOY163" s="1762"/>
      <c r="TOZ163" s="1762"/>
      <c r="TPA163" s="1762"/>
      <c r="TPB163" s="1762"/>
      <c r="TPC163" s="1762"/>
      <c r="TPD163" s="1762"/>
      <c r="TPE163" s="1762"/>
      <c r="TPF163" s="1762"/>
      <c r="TPG163" s="1762"/>
      <c r="TPH163" s="1762"/>
      <c r="TPI163" s="1762"/>
      <c r="TPJ163" s="1762"/>
      <c r="TPK163" s="1762"/>
      <c r="TPL163" s="1762"/>
      <c r="TPM163" s="1762"/>
      <c r="TPN163" s="1762"/>
      <c r="TPO163" s="1762"/>
      <c r="TPP163" s="1762"/>
      <c r="TPQ163" s="1762"/>
      <c r="TPR163" s="1762"/>
      <c r="TPS163" s="1762"/>
      <c r="TPT163" s="1762"/>
      <c r="TPU163" s="1762"/>
      <c r="TPV163" s="1762"/>
      <c r="TPW163" s="1762"/>
      <c r="TPX163" s="1762"/>
      <c r="TPY163" s="1762"/>
      <c r="TPZ163" s="1762"/>
      <c r="TQA163" s="1762"/>
      <c r="TQB163" s="1762"/>
      <c r="TQC163" s="1762"/>
      <c r="TQD163" s="1762"/>
      <c r="TQE163" s="1762"/>
      <c r="TQF163" s="1762"/>
      <c r="TQG163" s="1762"/>
      <c r="TQH163" s="1762"/>
      <c r="TQI163" s="1762"/>
      <c r="TQJ163" s="1762"/>
      <c r="TQK163" s="1762"/>
      <c r="TQL163" s="1762"/>
      <c r="TQM163" s="1762"/>
      <c r="TQN163" s="1762"/>
      <c r="TQO163" s="1762"/>
      <c r="TQP163" s="1762"/>
      <c r="TQQ163" s="1762"/>
      <c r="TQR163" s="1762"/>
      <c r="TQS163" s="1762"/>
      <c r="TQT163" s="1762"/>
      <c r="TQU163" s="1762"/>
      <c r="TQV163" s="1762"/>
      <c r="TQW163" s="1762"/>
      <c r="TQX163" s="1762"/>
      <c r="TQY163" s="1762"/>
      <c r="TQZ163" s="1762"/>
      <c r="TRA163" s="1762"/>
      <c r="TRB163" s="1762"/>
      <c r="TRC163" s="1762"/>
      <c r="TRD163" s="1762"/>
      <c r="TRE163" s="1762"/>
      <c r="TRF163" s="1762"/>
      <c r="TRG163" s="1762"/>
      <c r="TRH163" s="1762"/>
      <c r="TRI163" s="1762"/>
      <c r="TRJ163" s="1762"/>
      <c r="TRK163" s="1762"/>
      <c r="TRL163" s="1762"/>
      <c r="TRM163" s="1762"/>
      <c r="TRN163" s="1762"/>
      <c r="TRO163" s="1762"/>
      <c r="TRP163" s="1762"/>
      <c r="TRQ163" s="1762"/>
      <c r="TRR163" s="1762"/>
      <c r="TRS163" s="1762"/>
      <c r="TRT163" s="1762"/>
      <c r="TRU163" s="1762"/>
      <c r="TRV163" s="1762"/>
      <c r="TRW163" s="1762"/>
      <c r="TRX163" s="1762"/>
      <c r="TRY163" s="1762"/>
      <c r="TRZ163" s="1762"/>
      <c r="TSA163" s="1762"/>
      <c r="TSB163" s="1762"/>
      <c r="TSC163" s="1762"/>
      <c r="TSD163" s="1762"/>
      <c r="TSE163" s="1762"/>
      <c r="TSF163" s="1762"/>
      <c r="TSG163" s="1762"/>
      <c r="TSH163" s="1762"/>
      <c r="TSI163" s="1762"/>
      <c r="TSJ163" s="1762"/>
      <c r="TSK163" s="1762"/>
      <c r="TSL163" s="1762"/>
      <c r="TSM163" s="1762"/>
      <c r="TSN163" s="1762"/>
      <c r="TSO163" s="1762"/>
      <c r="TSP163" s="1762"/>
      <c r="TSQ163" s="1762"/>
      <c r="TSR163" s="1762"/>
      <c r="TSS163" s="1762"/>
      <c r="TST163" s="1762"/>
      <c r="TSU163" s="1762"/>
      <c r="TSV163" s="1762"/>
      <c r="TSW163" s="1762"/>
      <c r="TSX163" s="1762"/>
      <c r="TSY163" s="1762"/>
      <c r="TSZ163" s="1762"/>
      <c r="TTA163" s="1762"/>
      <c r="TTB163" s="1762"/>
      <c r="TTC163" s="1762"/>
      <c r="TTD163" s="1762"/>
      <c r="TTE163" s="1762"/>
      <c r="TTF163" s="1762"/>
      <c r="TTG163" s="1762"/>
      <c r="TTH163" s="1762"/>
      <c r="TTI163" s="1762"/>
      <c r="TTJ163" s="1762"/>
      <c r="TTK163" s="1762"/>
      <c r="TTL163" s="1762"/>
      <c r="TTM163" s="1762"/>
      <c r="TTN163" s="1762"/>
      <c r="TTO163" s="1762"/>
      <c r="TTP163" s="1762"/>
      <c r="TTQ163" s="1762"/>
      <c r="TTR163" s="1762"/>
      <c r="TTS163" s="1762"/>
      <c r="TTT163" s="1762"/>
      <c r="TTU163" s="1762"/>
      <c r="TTV163" s="1762"/>
      <c r="TTW163" s="1762"/>
      <c r="TTX163" s="1762"/>
      <c r="TTY163" s="1762"/>
      <c r="TTZ163" s="1762"/>
      <c r="TUA163" s="1762"/>
      <c r="TUB163" s="1762"/>
      <c r="TUC163" s="1762"/>
      <c r="TUD163" s="1762"/>
      <c r="TUE163" s="1762"/>
      <c r="TUF163" s="1762"/>
      <c r="TUG163" s="1762"/>
      <c r="TUH163" s="1762"/>
      <c r="TUI163" s="1762"/>
      <c r="TUJ163" s="1762"/>
      <c r="TUK163" s="1762"/>
      <c r="TUL163" s="1762"/>
      <c r="TUM163" s="1762"/>
      <c r="TUN163" s="1762"/>
      <c r="TUO163" s="1762"/>
      <c r="TUP163" s="1762"/>
      <c r="TUQ163" s="1762"/>
      <c r="TUR163" s="1762"/>
      <c r="TUS163" s="1762"/>
      <c r="TUT163" s="1762"/>
      <c r="TUU163" s="1762"/>
      <c r="TUV163" s="1762"/>
      <c r="TUW163" s="1762"/>
      <c r="TUX163" s="1762"/>
      <c r="TUY163" s="1762"/>
      <c r="TUZ163" s="1762"/>
      <c r="TVA163" s="1762"/>
      <c r="TVB163" s="1762"/>
      <c r="TVC163" s="1762"/>
      <c r="TVD163" s="1762"/>
      <c r="TVE163" s="1762"/>
      <c r="TVF163" s="1762"/>
      <c r="TVG163" s="1762"/>
      <c r="TVH163" s="1762"/>
      <c r="TVI163" s="1762"/>
      <c r="TVJ163" s="1762"/>
      <c r="TVK163" s="1762"/>
      <c r="TVL163" s="1762"/>
      <c r="TVM163" s="1762"/>
      <c r="TVN163" s="1762"/>
      <c r="TVO163" s="1762"/>
      <c r="TVP163" s="1762"/>
      <c r="TVQ163" s="1762"/>
      <c r="TVR163" s="1762"/>
      <c r="TVS163" s="1762"/>
      <c r="TVT163" s="1762"/>
      <c r="TVU163" s="1762"/>
      <c r="TVV163" s="1762"/>
      <c r="TVW163" s="1762"/>
      <c r="TVX163" s="1762"/>
      <c r="TVY163" s="1762"/>
      <c r="TVZ163" s="1762"/>
      <c r="TWA163" s="1762"/>
      <c r="TWB163" s="1762"/>
      <c r="TWC163" s="1762"/>
      <c r="TWD163" s="1762"/>
      <c r="TWE163" s="1762"/>
      <c r="TWF163" s="1762"/>
      <c r="TWG163" s="1762"/>
      <c r="TWH163" s="1762"/>
      <c r="TWI163" s="1762"/>
      <c r="TWJ163" s="1762"/>
      <c r="TWK163" s="1762"/>
      <c r="TWL163" s="1762"/>
      <c r="TWM163" s="1762"/>
      <c r="TWN163" s="1762"/>
      <c r="TWO163" s="1762"/>
      <c r="TWP163" s="1762"/>
      <c r="TWQ163" s="1762"/>
      <c r="TWR163" s="1762"/>
      <c r="TWS163" s="1762"/>
      <c r="TWT163" s="1762"/>
      <c r="TWU163" s="1762"/>
      <c r="TWV163" s="1762"/>
      <c r="TWW163" s="1762"/>
      <c r="TWX163" s="1762"/>
      <c r="TWY163" s="1762"/>
      <c r="TWZ163" s="1762"/>
      <c r="TXA163" s="1762"/>
      <c r="TXB163" s="1762"/>
      <c r="TXC163" s="1762"/>
      <c r="TXD163" s="1762"/>
      <c r="TXE163" s="1762"/>
      <c r="TXF163" s="1762"/>
      <c r="TXG163" s="1762"/>
      <c r="TXH163" s="1762"/>
      <c r="TXI163" s="1762"/>
      <c r="TXJ163" s="1762"/>
      <c r="TXK163" s="1762"/>
      <c r="TXL163" s="1762"/>
      <c r="TXM163" s="1762"/>
      <c r="TXN163" s="1762"/>
      <c r="TXO163" s="1762"/>
      <c r="TXP163" s="1762"/>
      <c r="TXQ163" s="1762"/>
      <c r="TXR163" s="1762"/>
      <c r="TXS163" s="1762"/>
      <c r="TXT163" s="1762"/>
      <c r="TXU163" s="1762"/>
      <c r="TXV163" s="1762"/>
      <c r="TXW163" s="1762"/>
      <c r="TXX163" s="1762"/>
      <c r="TXY163" s="1762"/>
      <c r="TXZ163" s="1762"/>
      <c r="TYA163" s="1762"/>
      <c r="TYB163" s="1762"/>
      <c r="TYC163" s="1762"/>
      <c r="TYD163" s="1762"/>
      <c r="TYE163" s="1762"/>
      <c r="TYF163" s="1762"/>
      <c r="TYG163" s="1762"/>
      <c r="TYH163" s="1762"/>
      <c r="TYI163" s="1762"/>
      <c r="TYJ163" s="1762"/>
      <c r="TYK163" s="1762"/>
      <c r="TYL163" s="1762"/>
      <c r="TYM163" s="1762"/>
      <c r="TYN163" s="1762"/>
      <c r="TYO163" s="1762"/>
      <c r="TYP163" s="1762"/>
      <c r="TYQ163" s="1762"/>
      <c r="TYR163" s="1762"/>
      <c r="TYS163" s="1762"/>
      <c r="TYT163" s="1762"/>
      <c r="TYU163" s="1762"/>
      <c r="TYV163" s="1762"/>
      <c r="TYW163" s="1762"/>
      <c r="TYX163" s="1762"/>
      <c r="TYY163" s="1762"/>
      <c r="TYZ163" s="1762"/>
      <c r="TZA163" s="1762"/>
      <c r="TZB163" s="1762"/>
      <c r="TZC163" s="1762"/>
      <c r="TZD163" s="1762"/>
      <c r="TZE163" s="1762"/>
      <c r="TZF163" s="1762"/>
      <c r="TZG163" s="1762"/>
      <c r="TZH163" s="1762"/>
      <c r="TZI163" s="1762"/>
      <c r="TZJ163" s="1762"/>
      <c r="TZK163" s="1762"/>
      <c r="TZL163" s="1762"/>
      <c r="TZM163" s="1762"/>
      <c r="TZN163" s="1762"/>
      <c r="TZO163" s="1762"/>
      <c r="TZP163" s="1762"/>
      <c r="TZQ163" s="1762"/>
      <c r="TZR163" s="1762"/>
      <c r="TZS163" s="1762"/>
      <c r="TZT163" s="1762"/>
      <c r="TZU163" s="1762"/>
      <c r="TZV163" s="1762"/>
      <c r="TZW163" s="1762"/>
      <c r="TZX163" s="1762"/>
      <c r="TZY163" s="1762"/>
      <c r="TZZ163" s="1762"/>
      <c r="UAA163" s="1762"/>
      <c r="UAB163" s="1762"/>
      <c r="UAC163" s="1762"/>
      <c r="UAD163" s="1762"/>
      <c r="UAE163" s="1762"/>
      <c r="UAF163" s="1762"/>
      <c r="UAG163" s="1762"/>
      <c r="UAH163" s="1762"/>
      <c r="UAI163" s="1762"/>
      <c r="UAJ163" s="1762"/>
      <c r="UAK163" s="1762"/>
      <c r="UAL163" s="1762"/>
      <c r="UAM163" s="1762"/>
      <c r="UAN163" s="1762"/>
      <c r="UAO163" s="1762"/>
      <c r="UAP163" s="1762"/>
      <c r="UAQ163" s="1762"/>
      <c r="UAR163" s="1762"/>
      <c r="UAS163" s="1762"/>
      <c r="UAT163" s="1762"/>
      <c r="UAU163" s="1762"/>
      <c r="UAV163" s="1762"/>
      <c r="UAW163" s="1762"/>
      <c r="UAX163" s="1762"/>
      <c r="UAY163" s="1762"/>
      <c r="UAZ163" s="1762"/>
      <c r="UBA163" s="1762"/>
      <c r="UBB163" s="1762"/>
      <c r="UBC163" s="1762"/>
      <c r="UBD163" s="1762"/>
      <c r="UBE163" s="1762"/>
      <c r="UBF163" s="1762"/>
      <c r="UBG163" s="1762"/>
      <c r="UBH163" s="1762"/>
      <c r="UBI163" s="1762"/>
      <c r="UBJ163" s="1762"/>
      <c r="UBK163" s="1762"/>
      <c r="UBL163" s="1762"/>
      <c r="UBM163" s="1762"/>
      <c r="UBN163" s="1762"/>
      <c r="UBO163" s="1762"/>
      <c r="UBP163" s="1762"/>
      <c r="UBQ163" s="1762"/>
      <c r="UBR163" s="1762"/>
      <c r="UBS163" s="1762"/>
      <c r="UBT163" s="1762"/>
      <c r="UBU163" s="1762"/>
      <c r="UBV163" s="1762"/>
      <c r="UBW163" s="1762"/>
      <c r="UBX163" s="1762"/>
      <c r="UBY163" s="1762"/>
      <c r="UBZ163" s="1762"/>
      <c r="UCA163" s="1762"/>
      <c r="UCB163" s="1762"/>
      <c r="UCC163" s="1762"/>
      <c r="UCD163" s="1762"/>
      <c r="UCE163" s="1762"/>
      <c r="UCF163" s="1762"/>
      <c r="UCG163" s="1762"/>
      <c r="UCH163" s="1762"/>
      <c r="UCI163" s="1762"/>
      <c r="UCJ163" s="1762"/>
      <c r="UCK163" s="1762"/>
      <c r="UCL163" s="1762"/>
      <c r="UCM163" s="1762"/>
      <c r="UCN163" s="1762"/>
      <c r="UCO163" s="1762"/>
      <c r="UCP163" s="1762"/>
      <c r="UCQ163" s="1762"/>
      <c r="UCR163" s="1762"/>
      <c r="UCS163" s="1762"/>
      <c r="UCT163" s="1762"/>
      <c r="UCU163" s="1762"/>
      <c r="UCV163" s="1762"/>
      <c r="UCW163" s="1762"/>
      <c r="UCX163" s="1762"/>
      <c r="UCY163" s="1762"/>
      <c r="UCZ163" s="1762"/>
      <c r="UDA163" s="1762"/>
      <c r="UDB163" s="1762"/>
      <c r="UDC163" s="1762"/>
      <c r="UDD163" s="1762"/>
      <c r="UDE163" s="1762"/>
      <c r="UDF163" s="1762"/>
      <c r="UDG163" s="1762"/>
      <c r="UDH163" s="1762"/>
      <c r="UDI163" s="1762"/>
      <c r="UDJ163" s="1762"/>
      <c r="UDK163" s="1762"/>
      <c r="UDL163" s="1762"/>
      <c r="UDM163" s="1762"/>
      <c r="UDN163" s="1762"/>
      <c r="UDO163" s="1762"/>
      <c r="UDP163" s="1762"/>
      <c r="UDQ163" s="1762"/>
      <c r="UDR163" s="1762"/>
      <c r="UDS163" s="1762"/>
      <c r="UDT163" s="1762"/>
      <c r="UDU163" s="1762"/>
      <c r="UDV163" s="1762"/>
      <c r="UDW163" s="1762"/>
      <c r="UDX163" s="1762"/>
      <c r="UDY163" s="1762"/>
      <c r="UDZ163" s="1762"/>
      <c r="UEA163" s="1762"/>
      <c r="UEB163" s="1762"/>
      <c r="UEC163" s="1762"/>
      <c r="UED163" s="1762"/>
      <c r="UEE163" s="1762"/>
      <c r="UEF163" s="1762"/>
      <c r="UEG163" s="1762"/>
      <c r="UEH163" s="1762"/>
      <c r="UEI163" s="1762"/>
      <c r="UEJ163" s="1762"/>
      <c r="UEK163" s="1762"/>
      <c r="UEL163" s="1762"/>
      <c r="UEM163" s="1762"/>
      <c r="UEN163" s="1762"/>
      <c r="UEO163" s="1762"/>
      <c r="UEP163" s="1762"/>
      <c r="UEQ163" s="1762"/>
      <c r="UER163" s="1762"/>
      <c r="UES163" s="1762"/>
      <c r="UET163" s="1762"/>
      <c r="UEU163" s="1762"/>
      <c r="UEV163" s="1762"/>
      <c r="UEW163" s="1762"/>
      <c r="UEX163" s="1762"/>
      <c r="UEY163" s="1762"/>
      <c r="UEZ163" s="1762"/>
      <c r="UFA163" s="1762"/>
      <c r="UFB163" s="1762"/>
      <c r="UFC163" s="1762"/>
      <c r="UFD163" s="1762"/>
      <c r="UFE163" s="1762"/>
      <c r="UFF163" s="1762"/>
      <c r="UFG163" s="1762"/>
      <c r="UFH163" s="1762"/>
      <c r="UFI163" s="1762"/>
      <c r="UFJ163" s="1762"/>
      <c r="UFK163" s="1762"/>
      <c r="UFL163" s="1762"/>
      <c r="UFM163" s="1762"/>
      <c r="UFN163" s="1762"/>
      <c r="UFO163" s="1762"/>
      <c r="UFP163" s="1762"/>
      <c r="UFQ163" s="1762"/>
      <c r="UFR163" s="1762"/>
      <c r="UFS163" s="1762"/>
      <c r="UFT163" s="1762"/>
      <c r="UFU163" s="1762"/>
      <c r="UFV163" s="1762"/>
      <c r="UFW163" s="1762"/>
      <c r="UFX163" s="1762"/>
      <c r="UFY163" s="1762"/>
      <c r="UFZ163" s="1762"/>
      <c r="UGA163" s="1762"/>
      <c r="UGB163" s="1762"/>
      <c r="UGC163" s="1762"/>
      <c r="UGD163" s="1762"/>
      <c r="UGE163" s="1762"/>
      <c r="UGF163" s="1762"/>
      <c r="UGG163" s="1762"/>
      <c r="UGH163" s="1762"/>
      <c r="UGI163" s="1762"/>
      <c r="UGJ163" s="1762"/>
      <c r="UGK163" s="1762"/>
      <c r="UGL163" s="1762"/>
      <c r="UGM163" s="1762"/>
      <c r="UGN163" s="1762"/>
      <c r="UGO163" s="1762"/>
      <c r="UGP163" s="1762"/>
      <c r="UGQ163" s="1762"/>
      <c r="UGR163" s="1762"/>
      <c r="UGS163" s="1762"/>
      <c r="UGT163" s="1762"/>
      <c r="UGU163" s="1762"/>
      <c r="UGV163" s="1762"/>
      <c r="UGW163" s="1762"/>
      <c r="UGX163" s="1762"/>
      <c r="UGY163" s="1762"/>
      <c r="UGZ163" s="1762"/>
      <c r="UHA163" s="1762"/>
      <c r="UHB163" s="1762"/>
      <c r="UHC163" s="1762"/>
      <c r="UHD163" s="1762"/>
      <c r="UHE163" s="1762"/>
      <c r="UHF163" s="1762"/>
      <c r="UHG163" s="1762"/>
      <c r="UHH163" s="1762"/>
      <c r="UHI163" s="1762"/>
      <c r="UHJ163" s="1762"/>
      <c r="UHK163" s="1762"/>
      <c r="UHL163" s="1762"/>
      <c r="UHM163" s="1762"/>
      <c r="UHN163" s="1762"/>
      <c r="UHO163" s="1762"/>
      <c r="UHP163" s="1762"/>
      <c r="UHQ163" s="1762"/>
      <c r="UHR163" s="1762"/>
      <c r="UHS163" s="1762"/>
      <c r="UHT163" s="1762"/>
      <c r="UHU163" s="1762"/>
      <c r="UHV163" s="1762"/>
      <c r="UHW163" s="1762"/>
      <c r="UHX163" s="1762"/>
      <c r="UHY163" s="1762"/>
      <c r="UHZ163" s="1762"/>
      <c r="UIA163" s="1762"/>
      <c r="UIB163" s="1762"/>
      <c r="UIC163" s="1762"/>
      <c r="UID163" s="1762"/>
      <c r="UIE163" s="1762"/>
      <c r="UIF163" s="1762"/>
      <c r="UIG163" s="1762"/>
      <c r="UIH163" s="1762"/>
      <c r="UII163" s="1762"/>
      <c r="UIJ163" s="1762"/>
      <c r="UIK163" s="1762"/>
      <c r="UIL163" s="1762"/>
      <c r="UIM163" s="1762"/>
      <c r="UIN163" s="1762"/>
      <c r="UIO163" s="1762"/>
      <c r="UIP163" s="1762"/>
      <c r="UIQ163" s="1762"/>
      <c r="UIR163" s="1762"/>
      <c r="UIS163" s="1762"/>
      <c r="UIT163" s="1762"/>
      <c r="UIU163" s="1762"/>
      <c r="UIV163" s="1762"/>
      <c r="UIW163" s="1762"/>
      <c r="UIX163" s="1762"/>
      <c r="UIY163" s="1762"/>
      <c r="UIZ163" s="1762"/>
      <c r="UJA163" s="1762"/>
      <c r="UJB163" s="1762"/>
      <c r="UJC163" s="1762"/>
      <c r="UJD163" s="1762"/>
      <c r="UJE163" s="1762"/>
      <c r="UJF163" s="1762"/>
      <c r="UJG163" s="1762"/>
      <c r="UJH163" s="1762"/>
      <c r="UJI163" s="1762"/>
      <c r="UJJ163" s="1762"/>
      <c r="UJK163" s="1762"/>
      <c r="UJL163" s="1762"/>
      <c r="UJM163" s="1762"/>
      <c r="UJN163" s="1762"/>
      <c r="UJO163" s="1762"/>
      <c r="UJP163" s="1762"/>
      <c r="UJQ163" s="1762"/>
      <c r="UJR163" s="1762"/>
      <c r="UJS163" s="1762"/>
      <c r="UJT163" s="1762"/>
      <c r="UJU163" s="1762"/>
      <c r="UJV163" s="1762"/>
      <c r="UJW163" s="1762"/>
      <c r="UJX163" s="1762"/>
      <c r="UJY163" s="1762"/>
      <c r="UJZ163" s="1762"/>
      <c r="UKA163" s="1762"/>
      <c r="UKB163" s="1762"/>
      <c r="UKC163" s="1762"/>
      <c r="UKD163" s="1762"/>
      <c r="UKE163" s="1762"/>
      <c r="UKF163" s="1762"/>
      <c r="UKG163" s="1762"/>
      <c r="UKH163" s="1762"/>
      <c r="UKI163" s="1762"/>
      <c r="UKJ163" s="1762"/>
      <c r="UKK163" s="1762"/>
      <c r="UKL163" s="1762"/>
      <c r="UKM163" s="1762"/>
      <c r="UKN163" s="1762"/>
      <c r="UKO163" s="1762"/>
      <c r="UKP163" s="1762"/>
      <c r="UKQ163" s="1762"/>
      <c r="UKR163" s="1762"/>
      <c r="UKS163" s="1762"/>
      <c r="UKT163" s="1762"/>
      <c r="UKU163" s="1762"/>
      <c r="UKV163" s="1762"/>
      <c r="UKW163" s="1762"/>
      <c r="UKX163" s="1762"/>
      <c r="UKY163" s="1762"/>
      <c r="UKZ163" s="1762"/>
      <c r="ULA163" s="1762"/>
      <c r="ULB163" s="1762"/>
      <c r="ULC163" s="1762"/>
      <c r="ULD163" s="1762"/>
      <c r="ULE163" s="1762"/>
      <c r="ULF163" s="1762"/>
      <c r="ULG163" s="1762"/>
      <c r="ULH163" s="1762"/>
      <c r="ULI163" s="1762"/>
      <c r="ULJ163" s="1762"/>
      <c r="ULK163" s="1762"/>
      <c r="ULL163" s="1762"/>
      <c r="ULM163" s="1762"/>
      <c r="ULN163" s="1762"/>
      <c r="ULO163" s="1762"/>
      <c r="ULP163" s="1762"/>
      <c r="ULQ163" s="1762"/>
      <c r="ULR163" s="1762"/>
      <c r="ULS163" s="1762"/>
      <c r="ULT163" s="1762"/>
      <c r="ULU163" s="1762"/>
      <c r="ULV163" s="1762"/>
      <c r="ULW163" s="1762"/>
      <c r="ULX163" s="1762"/>
      <c r="ULY163" s="1762"/>
      <c r="ULZ163" s="1762"/>
      <c r="UMA163" s="1762"/>
      <c r="UMB163" s="1762"/>
      <c r="UMC163" s="1762"/>
      <c r="UMD163" s="1762"/>
      <c r="UME163" s="1762"/>
      <c r="UMF163" s="1762"/>
      <c r="UMG163" s="1762"/>
      <c r="UMH163" s="1762"/>
      <c r="UMI163" s="1762"/>
      <c r="UMJ163" s="1762"/>
      <c r="UMK163" s="1762"/>
      <c r="UML163" s="1762"/>
      <c r="UMM163" s="1762"/>
      <c r="UMN163" s="1762"/>
      <c r="UMO163" s="1762"/>
      <c r="UMP163" s="1762"/>
      <c r="UMQ163" s="1762"/>
      <c r="UMR163" s="1762"/>
      <c r="UMS163" s="1762"/>
      <c r="UMT163" s="1762"/>
      <c r="UMU163" s="1762"/>
      <c r="UMV163" s="1762"/>
      <c r="UMW163" s="1762"/>
      <c r="UMX163" s="1762"/>
      <c r="UMY163" s="1762"/>
      <c r="UMZ163" s="1762"/>
      <c r="UNA163" s="1762"/>
      <c r="UNB163" s="1762"/>
      <c r="UNC163" s="1762"/>
      <c r="UND163" s="1762"/>
      <c r="UNE163" s="1762"/>
      <c r="UNF163" s="1762"/>
      <c r="UNG163" s="1762"/>
      <c r="UNH163" s="1762"/>
      <c r="UNI163" s="1762"/>
      <c r="UNJ163" s="1762"/>
      <c r="UNK163" s="1762"/>
      <c r="UNL163" s="1762"/>
      <c r="UNM163" s="1762"/>
      <c r="UNN163" s="1762"/>
      <c r="UNO163" s="1762"/>
      <c r="UNP163" s="1762"/>
      <c r="UNQ163" s="1762"/>
      <c r="UNR163" s="1762"/>
      <c r="UNS163" s="1762"/>
      <c r="UNT163" s="1762"/>
      <c r="UNU163" s="1762"/>
      <c r="UNV163" s="1762"/>
      <c r="UNW163" s="1762"/>
      <c r="UNX163" s="1762"/>
      <c r="UNY163" s="1762"/>
      <c r="UNZ163" s="1762"/>
      <c r="UOA163" s="1762"/>
      <c r="UOB163" s="1762"/>
      <c r="UOC163" s="1762"/>
      <c r="UOD163" s="1762"/>
      <c r="UOE163" s="1762"/>
      <c r="UOF163" s="1762"/>
      <c r="UOG163" s="1762"/>
      <c r="UOH163" s="1762"/>
      <c r="UOI163" s="1762"/>
      <c r="UOJ163" s="1762"/>
      <c r="UOK163" s="1762"/>
      <c r="UOL163" s="1762"/>
      <c r="UOM163" s="1762"/>
      <c r="UON163" s="1762"/>
      <c r="UOO163" s="1762"/>
      <c r="UOP163" s="1762"/>
      <c r="UOQ163" s="1762"/>
      <c r="UOR163" s="1762"/>
      <c r="UOS163" s="1762"/>
      <c r="UOT163" s="1762"/>
      <c r="UOU163" s="1762"/>
      <c r="UOV163" s="1762"/>
      <c r="UOW163" s="1762"/>
      <c r="UOX163" s="1762"/>
      <c r="UOY163" s="1762"/>
      <c r="UOZ163" s="1762"/>
      <c r="UPA163" s="1762"/>
      <c r="UPB163" s="1762"/>
      <c r="UPC163" s="1762"/>
      <c r="UPD163" s="1762"/>
      <c r="UPE163" s="1762"/>
      <c r="UPF163" s="1762"/>
      <c r="UPG163" s="1762"/>
      <c r="UPH163" s="1762"/>
      <c r="UPI163" s="1762"/>
      <c r="UPJ163" s="1762"/>
      <c r="UPK163" s="1762"/>
      <c r="UPL163" s="1762"/>
      <c r="UPM163" s="1762"/>
      <c r="UPN163" s="1762"/>
      <c r="UPO163" s="1762"/>
      <c r="UPP163" s="1762"/>
      <c r="UPQ163" s="1762"/>
      <c r="UPR163" s="1762"/>
      <c r="UPS163" s="1762"/>
      <c r="UPT163" s="1762"/>
      <c r="UPU163" s="1762"/>
      <c r="UPV163" s="1762"/>
      <c r="UPW163" s="1762"/>
      <c r="UPX163" s="1762"/>
      <c r="UPY163" s="1762"/>
      <c r="UPZ163" s="1762"/>
      <c r="UQA163" s="1762"/>
      <c r="UQB163" s="1762"/>
      <c r="UQC163" s="1762"/>
      <c r="UQD163" s="1762"/>
      <c r="UQE163" s="1762"/>
      <c r="UQF163" s="1762"/>
      <c r="UQG163" s="1762"/>
      <c r="UQH163" s="1762"/>
      <c r="UQI163" s="1762"/>
      <c r="UQJ163" s="1762"/>
      <c r="UQK163" s="1762"/>
      <c r="UQL163" s="1762"/>
      <c r="UQM163" s="1762"/>
      <c r="UQN163" s="1762"/>
      <c r="UQO163" s="1762"/>
      <c r="UQP163" s="1762"/>
      <c r="UQQ163" s="1762"/>
      <c r="UQR163" s="1762"/>
      <c r="UQS163" s="1762"/>
      <c r="UQT163" s="1762"/>
      <c r="UQU163" s="1762"/>
      <c r="UQV163" s="1762"/>
      <c r="UQW163" s="1762"/>
      <c r="UQX163" s="1762"/>
      <c r="UQY163" s="1762"/>
      <c r="UQZ163" s="1762"/>
      <c r="URA163" s="1762"/>
      <c r="URB163" s="1762"/>
      <c r="URC163" s="1762"/>
      <c r="URD163" s="1762"/>
      <c r="URE163" s="1762"/>
      <c r="URF163" s="1762"/>
      <c r="URG163" s="1762"/>
      <c r="URH163" s="1762"/>
      <c r="URI163" s="1762"/>
      <c r="URJ163" s="1762"/>
      <c r="URK163" s="1762"/>
      <c r="URL163" s="1762"/>
      <c r="URM163" s="1762"/>
      <c r="URN163" s="1762"/>
      <c r="URO163" s="1762"/>
      <c r="URP163" s="1762"/>
      <c r="URQ163" s="1762"/>
      <c r="URR163" s="1762"/>
      <c r="URS163" s="1762"/>
      <c r="URT163" s="1762"/>
      <c r="URU163" s="1762"/>
      <c r="URV163" s="1762"/>
      <c r="URW163" s="1762"/>
      <c r="URX163" s="1762"/>
      <c r="URY163" s="1762"/>
      <c r="URZ163" s="1762"/>
      <c r="USA163" s="1762"/>
      <c r="USB163" s="1762"/>
      <c r="USC163" s="1762"/>
      <c r="USD163" s="1762"/>
      <c r="USE163" s="1762"/>
      <c r="USF163" s="1762"/>
      <c r="USG163" s="1762"/>
      <c r="USH163" s="1762"/>
      <c r="USI163" s="1762"/>
      <c r="USJ163" s="1762"/>
      <c r="USK163" s="1762"/>
      <c r="USL163" s="1762"/>
      <c r="USM163" s="1762"/>
      <c r="USN163" s="1762"/>
      <c r="USO163" s="1762"/>
      <c r="USP163" s="1762"/>
      <c r="USQ163" s="1762"/>
      <c r="USR163" s="1762"/>
      <c r="USS163" s="1762"/>
      <c r="UST163" s="1762"/>
      <c r="USU163" s="1762"/>
      <c r="USV163" s="1762"/>
      <c r="USW163" s="1762"/>
      <c r="USX163" s="1762"/>
      <c r="USY163" s="1762"/>
      <c r="USZ163" s="1762"/>
      <c r="UTA163" s="1762"/>
      <c r="UTB163" s="1762"/>
      <c r="UTC163" s="1762"/>
      <c r="UTD163" s="1762"/>
      <c r="UTE163" s="1762"/>
      <c r="UTF163" s="1762"/>
      <c r="UTG163" s="1762"/>
      <c r="UTH163" s="1762"/>
      <c r="UTI163" s="1762"/>
      <c r="UTJ163" s="1762"/>
      <c r="UTK163" s="1762"/>
      <c r="UTL163" s="1762"/>
      <c r="UTM163" s="1762"/>
      <c r="UTN163" s="1762"/>
      <c r="UTO163" s="1762"/>
      <c r="UTP163" s="1762"/>
      <c r="UTQ163" s="1762"/>
      <c r="UTR163" s="1762"/>
      <c r="UTS163" s="1762"/>
      <c r="UTT163" s="1762"/>
      <c r="UTU163" s="1762"/>
      <c r="UTV163" s="1762"/>
      <c r="UTW163" s="1762"/>
      <c r="UTX163" s="1762"/>
      <c r="UTY163" s="1762"/>
      <c r="UTZ163" s="1762"/>
      <c r="UUA163" s="1762"/>
      <c r="UUB163" s="1762"/>
      <c r="UUC163" s="1762"/>
      <c r="UUD163" s="1762"/>
      <c r="UUE163" s="1762"/>
      <c r="UUF163" s="1762"/>
      <c r="UUG163" s="1762"/>
      <c r="UUH163" s="1762"/>
      <c r="UUI163" s="1762"/>
      <c r="UUJ163" s="1762"/>
      <c r="UUK163" s="1762"/>
      <c r="UUL163" s="1762"/>
      <c r="UUM163" s="1762"/>
      <c r="UUN163" s="1762"/>
      <c r="UUO163" s="1762"/>
      <c r="UUP163" s="1762"/>
      <c r="UUQ163" s="1762"/>
      <c r="UUR163" s="1762"/>
      <c r="UUS163" s="1762"/>
      <c r="UUT163" s="1762"/>
      <c r="UUU163" s="1762"/>
      <c r="UUV163" s="1762"/>
      <c r="UUW163" s="1762"/>
      <c r="UUX163" s="1762"/>
      <c r="UUY163" s="1762"/>
      <c r="UUZ163" s="1762"/>
      <c r="UVA163" s="1762"/>
      <c r="UVB163" s="1762"/>
      <c r="UVC163" s="1762"/>
      <c r="UVD163" s="1762"/>
      <c r="UVE163" s="1762"/>
      <c r="UVF163" s="1762"/>
      <c r="UVG163" s="1762"/>
      <c r="UVH163" s="1762"/>
      <c r="UVI163" s="1762"/>
      <c r="UVJ163" s="1762"/>
      <c r="UVK163" s="1762"/>
      <c r="UVL163" s="1762"/>
      <c r="UVM163" s="1762"/>
      <c r="UVN163" s="1762"/>
      <c r="UVO163" s="1762"/>
      <c r="UVP163" s="1762"/>
      <c r="UVQ163" s="1762"/>
      <c r="UVR163" s="1762"/>
      <c r="UVS163" s="1762"/>
      <c r="UVT163" s="1762"/>
      <c r="UVU163" s="1762"/>
      <c r="UVV163" s="1762"/>
      <c r="UVW163" s="1762"/>
      <c r="UVX163" s="1762"/>
      <c r="UVY163" s="1762"/>
      <c r="UVZ163" s="1762"/>
      <c r="UWA163" s="1762"/>
      <c r="UWB163" s="1762"/>
      <c r="UWC163" s="1762"/>
      <c r="UWD163" s="1762"/>
      <c r="UWE163" s="1762"/>
      <c r="UWF163" s="1762"/>
      <c r="UWG163" s="1762"/>
      <c r="UWH163" s="1762"/>
      <c r="UWI163" s="1762"/>
      <c r="UWJ163" s="1762"/>
      <c r="UWK163" s="1762"/>
      <c r="UWL163" s="1762"/>
      <c r="UWM163" s="1762"/>
      <c r="UWN163" s="1762"/>
      <c r="UWO163" s="1762"/>
      <c r="UWP163" s="1762"/>
      <c r="UWQ163" s="1762"/>
      <c r="UWR163" s="1762"/>
      <c r="UWS163" s="1762"/>
      <c r="UWT163" s="1762"/>
      <c r="UWU163" s="1762"/>
      <c r="UWV163" s="1762"/>
      <c r="UWW163" s="1762"/>
      <c r="UWX163" s="1762"/>
      <c r="UWY163" s="1762"/>
      <c r="UWZ163" s="1762"/>
      <c r="UXA163" s="1762"/>
      <c r="UXB163" s="1762"/>
      <c r="UXC163" s="1762"/>
      <c r="UXD163" s="1762"/>
      <c r="UXE163" s="1762"/>
      <c r="UXF163" s="1762"/>
      <c r="UXG163" s="1762"/>
      <c r="UXH163" s="1762"/>
      <c r="UXI163" s="1762"/>
      <c r="UXJ163" s="1762"/>
      <c r="UXK163" s="1762"/>
      <c r="UXL163" s="1762"/>
      <c r="UXM163" s="1762"/>
      <c r="UXN163" s="1762"/>
      <c r="UXO163" s="1762"/>
      <c r="UXP163" s="1762"/>
      <c r="UXQ163" s="1762"/>
      <c r="UXR163" s="1762"/>
      <c r="UXS163" s="1762"/>
      <c r="UXT163" s="1762"/>
      <c r="UXU163" s="1762"/>
      <c r="UXV163" s="1762"/>
      <c r="UXW163" s="1762"/>
      <c r="UXX163" s="1762"/>
      <c r="UXY163" s="1762"/>
      <c r="UXZ163" s="1762"/>
      <c r="UYA163" s="1762"/>
      <c r="UYB163" s="1762"/>
      <c r="UYC163" s="1762"/>
      <c r="UYD163" s="1762"/>
      <c r="UYE163" s="1762"/>
      <c r="UYF163" s="1762"/>
      <c r="UYG163" s="1762"/>
      <c r="UYH163" s="1762"/>
      <c r="UYI163" s="1762"/>
      <c r="UYJ163" s="1762"/>
      <c r="UYK163" s="1762"/>
      <c r="UYL163" s="1762"/>
      <c r="UYM163" s="1762"/>
      <c r="UYN163" s="1762"/>
      <c r="UYO163" s="1762"/>
      <c r="UYP163" s="1762"/>
      <c r="UYQ163" s="1762"/>
      <c r="UYR163" s="1762"/>
      <c r="UYS163" s="1762"/>
      <c r="UYT163" s="1762"/>
      <c r="UYU163" s="1762"/>
      <c r="UYV163" s="1762"/>
      <c r="UYW163" s="1762"/>
      <c r="UYX163" s="1762"/>
      <c r="UYY163" s="1762"/>
      <c r="UYZ163" s="1762"/>
      <c r="UZA163" s="1762"/>
      <c r="UZB163" s="1762"/>
      <c r="UZC163" s="1762"/>
      <c r="UZD163" s="1762"/>
      <c r="UZE163" s="1762"/>
      <c r="UZF163" s="1762"/>
      <c r="UZG163" s="1762"/>
      <c r="UZH163" s="1762"/>
      <c r="UZI163" s="1762"/>
      <c r="UZJ163" s="1762"/>
      <c r="UZK163" s="1762"/>
      <c r="UZL163" s="1762"/>
      <c r="UZM163" s="1762"/>
      <c r="UZN163" s="1762"/>
      <c r="UZO163" s="1762"/>
      <c r="UZP163" s="1762"/>
      <c r="UZQ163" s="1762"/>
      <c r="UZR163" s="1762"/>
      <c r="UZS163" s="1762"/>
      <c r="UZT163" s="1762"/>
      <c r="UZU163" s="1762"/>
      <c r="UZV163" s="1762"/>
      <c r="UZW163" s="1762"/>
      <c r="UZX163" s="1762"/>
      <c r="UZY163" s="1762"/>
      <c r="UZZ163" s="1762"/>
      <c r="VAA163" s="1762"/>
      <c r="VAB163" s="1762"/>
      <c r="VAC163" s="1762"/>
      <c r="VAD163" s="1762"/>
      <c r="VAE163" s="1762"/>
      <c r="VAF163" s="1762"/>
      <c r="VAG163" s="1762"/>
      <c r="VAH163" s="1762"/>
      <c r="VAI163" s="1762"/>
      <c r="VAJ163" s="1762"/>
      <c r="VAK163" s="1762"/>
      <c r="VAL163" s="1762"/>
      <c r="VAM163" s="1762"/>
      <c r="VAN163" s="1762"/>
      <c r="VAO163" s="1762"/>
      <c r="VAP163" s="1762"/>
      <c r="VAQ163" s="1762"/>
      <c r="VAR163" s="1762"/>
      <c r="VAS163" s="1762"/>
      <c r="VAT163" s="1762"/>
      <c r="VAU163" s="1762"/>
      <c r="VAV163" s="1762"/>
      <c r="VAW163" s="1762"/>
      <c r="VAX163" s="1762"/>
      <c r="VAY163" s="1762"/>
      <c r="VAZ163" s="1762"/>
      <c r="VBA163" s="1762"/>
      <c r="VBB163" s="1762"/>
      <c r="VBC163" s="1762"/>
      <c r="VBD163" s="1762"/>
      <c r="VBE163" s="1762"/>
      <c r="VBF163" s="1762"/>
      <c r="VBG163" s="1762"/>
      <c r="VBH163" s="1762"/>
      <c r="VBI163" s="1762"/>
      <c r="VBJ163" s="1762"/>
      <c r="VBK163" s="1762"/>
      <c r="VBL163" s="1762"/>
      <c r="VBM163" s="1762"/>
      <c r="VBN163" s="1762"/>
      <c r="VBO163" s="1762"/>
      <c r="VBP163" s="1762"/>
      <c r="VBQ163" s="1762"/>
      <c r="VBR163" s="1762"/>
      <c r="VBS163" s="1762"/>
      <c r="VBT163" s="1762"/>
      <c r="VBU163" s="1762"/>
      <c r="VBV163" s="1762"/>
      <c r="VBW163" s="1762"/>
      <c r="VBX163" s="1762"/>
      <c r="VBY163" s="1762"/>
      <c r="VBZ163" s="1762"/>
      <c r="VCA163" s="1762"/>
      <c r="VCB163" s="1762"/>
      <c r="VCC163" s="1762"/>
      <c r="VCD163" s="1762"/>
      <c r="VCE163" s="1762"/>
      <c r="VCF163" s="1762"/>
      <c r="VCG163" s="1762"/>
      <c r="VCH163" s="1762"/>
      <c r="VCI163" s="1762"/>
      <c r="VCJ163" s="1762"/>
      <c r="VCK163" s="1762"/>
      <c r="VCL163" s="1762"/>
      <c r="VCM163" s="1762"/>
      <c r="VCN163" s="1762"/>
      <c r="VCO163" s="1762"/>
      <c r="VCP163" s="1762"/>
      <c r="VCQ163" s="1762"/>
      <c r="VCR163" s="1762"/>
      <c r="VCS163" s="1762"/>
      <c r="VCT163" s="1762"/>
      <c r="VCU163" s="1762"/>
      <c r="VCV163" s="1762"/>
      <c r="VCW163" s="1762"/>
      <c r="VCX163" s="1762"/>
      <c r="VCY163" s="1762"/>
      <c r="VCZ163" s="1762"/>
      <c r="VDA163" s="1762"/>
      <c r="VDB163" s="1762"/>
      <c r="VDC163" s="1762"/>
      <c r="VDD163" s="1762"/>
      <c r="VDE163" s="1762"/>
      <c r="VDF163" s="1762"/>
      <c r="VDG163" s="1762"/>
      <c r="VDH163" s="1762"/>
      <c r="VDI163" s="1762"/>
      <c r="VDJ163" s="1762"/>
      <c r="VDK163" s="1762"/>
      <c r="VDL163" s="1762"/>
      <c r="VDM163" s="1762"/>
      <c r="VDN163" s="1762"/>
      <c r="VDO163" s="1762"/>
      <c r="VDP163" s="1762"/>
      <c r="VDQ163" s="1762"/>
      <c r="VDR163" s="1762"/>
      <c r="VDS163" s="1762"/>
      <c r="VDT163" s="1762"/>
      <c r="VDU163" s="1762"/>
      <c r="VDV163" s="1762"/>
      <c r="VDW163" s="1762"/>
      <c r="VDX163" s="1762"/>
      <c r="VDY163" s="1762"/>
      <c r="VDZ163" s="1762"/>
      <c r="VEA163" s="1762"/>
      <c r="VEB163" s="1762"/>
      <c r="VEC163" s="1762"/>
      <c r="VED163" s="1762"/>
      <c r="VEE163" s="1762"/>
      <c r="VEF163" s="1762"/>
      <c r="VEG163" s="1762"/>
      <c r="VEH163" s="1762"/>
      <c r="VEI163" s="1762"/>
      <c r="VEJ163" s="1762"/>
      <c r="VEK163" s="1762"/>
      <c r="VEL163" s="1762"/>
      <c r="VEM163" s="1762"/>
      <c r="VEN163" s="1762"/>
      <c r="VEO163" s="1762"/>
      <c r="VEP163" s="1762"/>
      <c r="VEQ163" s="1762"/>
      <c r="VER163" s="1762"/>
      <c r="VES163" s="1762"/>
      <c r="VET163" s="1762"/>
      <c r="VEU163" s="1762"/>
      <c r="VEV163" s="1762"/>
      <c r="VEW163" s="1762"/>
      <c r="VEX163" s="1762"/>
      <c r="VEY163" s="1762"/>
      <c r="VEZ163" s="1762"/>
      <c r="VFA163" s="1762"/>
      <c r="VFB163" s="1762"/>
      <c r="VFC163" s="1762"/>
      <c r="VFD163" s="1762"/>
      <c r="VFE163" s="1762"/>
      <c r="VFF163" s="1762"/>
      <c r="VFG163" s="1762"/>
      <c r="VFH163" s="1762"/>
      <c r="VFI163" s="1762"/>
      <c r="VFJ163" s="1762"/>
      <c r="VFK163" s="1762"/>
      <c r="VFL163" s="1762"/>
      <c r="VFM163" s="1762"/>
      <c r="VFN163" s="1762"/>
      <c r="VFO163" s="1762"/>
      <c r="VFP163" s="1762"/>
      <c r="VFQ163" s="1762"/>
      <c r="VFR163" s="1762"/>
      <c r="VFS163" s="1762"/>
      <c r="VFT163" s="1762"/>
      <c r="VFU163" s="1762"/>
      <c r="VFV163" s="1762"/>
      <c r="VFW163" s="1762"/>
      <c r="VFX163" s="1762"/>
      <c r="VFY163" s="1762"/>
      <c r="VFZ163" s="1762"/>
      <c r="VGA163" s="1762"/>
      <c r="VGB163" s="1762"/>
      <c r="VGC163" s="1762"/>
      <c r="VGD163" s="1762"/>
      <c r="VGE163" s="1762"/>
      <c r="VGF163" s="1762"/>
      <c r="VGG163" s="1762"/>
      <c r="VGH163" s="1762"/>
      <c r="VGI163" s="1762"/>
      <c r="VGJ163" s="1762"/>
      <c r="VGK163" s="1762"/>
      <c r="VGL163" s="1762"/>
      <c r="VGM163" s="1762"/>
      <c r="VGN163" s="1762"/>
      <c r="VGO163" s="1762"/>
      <c r="VGP163" s="1762"/>
      <c r="VGQ163" s="1762"/>
      <c r="VGR163" s="1762"/>
      <c r="VGS163" s="1762"/>
      <c r="VGT163" s="1762"/>
      <c r="VGU163" s="1762"/>
      <c r="VGV163" s="1762"/>
      <c r="VGW163" s="1762"/>
      <c r="VGX163" s="1762"/>
      <c r="VGY163" s="1762"/>
      <c r="VGZ163" s="1762"/>
      <c r="VHA163" s="1762"/>
      <c r="VHB163" s="1762"/>
      <c r="VHC163" s="1762"/>
      <c r="VHD163" s="1762"/>
      <c r="VHE163" s="1762"/>
      <c r="VHF163" s="1762"/>
      <c r="VHG163" s="1762"/>
      <c r="VHH163" s="1762"/>
      <c r="VHI163" s="1762"/>
      <c r="VHJ163" s="1762"/>
      <c r="VHK163" s="1762"/>
      <c r="VHL163" s="1762"/>
      <c r="VHM163" s="1762"/>
      <c r="VHN163" s="1762"/>
      <c r="VHO163" s="1762"/>
      <c r="VHP163" s="1762"/>
      <c r="VHQ163" s="1762"/>
      <c r="VHR163" s="1762"/>
      <c r="VHS163" s="1762"/>
      <c r="VHT163" s="1762"/>
      <c r="VHU163" s="1762"/>
      <c r="VHV163" s="1762"/>
      <c r="VHW163" s="1762"/>
      <c r="VHX163" s="1762"/>
      <c r="VHY163" s="1762"/>
      <c r="VHZ163" s="1762"/>
      <c r="VIA163" s="1762"/>
      <c r="VIB163" s="1762"/>
      <c r="VIC163" s="1762"/>
      <c r="VID163" s="1762"/>
      <c r="VIE163" s="1762"/>
      <c r="VIF163" s="1762"/>
      <c r="VIG163" s="1762"/>
      <c r="VIH163" s="1762"/>
      <c r="VII163" s="1762"/>
      <c r="VIJ163" s="1762"/>
      <c r="VIK163" s="1762"/>
      <c r="VIL163" s="1762"/>
      <c r="VIM163" s="1762"/>
      <c r="VIN163" s="1762"/>
      <c r="VIO163" s="1762"/>
      <c r="VIP163" s="1762"/>
      <c r="VIQ163" s="1762"/>
      <c r="VIR163" s="1762"/>
      <c r="VIS163" s="1762"/>
      <c r="VIT163" s="1762"/>
      <c r="VIU163" s="1762"/>
      <c r="VIV163" s="1762"/>
      <c r="VIW163" s="1762"/>
      <c r="VIX163" s="1762"/>
      <c r="VIY163" s="1762"/>
      <c r="VIZ163" s="1762"/>
      <c r="VJA163" s="1762"/>
      <c r="VJB163" s="1762"/>
      <c r="VJC163" s="1762"/>
      <c r="VJD163" s="1762"/>
      <c r="VJE163" s="1762"/>
      <c r="VJF163" s="1762"/>
      <c r="VJG163" s="1762"/>
      <c r="VJH163" s="1762"/>
      <c r="VJI163" s="1762"/>
      <c r="VJJ163" s="1762"/>
      <c r="VJK163" s="1762"/>
      <c r="VJL163" s="1762"/>
      <c r="VJM163" s="1762"/>
      <c r="VJN163" s="1762"/>
      <c r="VJO163" s="1762"/>
      <c r="VJP163" s="1762"/>
      <c r="VJQ163" s="1762"/>
      <c r="VJR163" s="1762"/>
      <c r="VJS163" s="1762"/>
      <c r="VJT163" s="1762"/>
      <c r="VJU163" s="1762"/>
      <c r="VJV163" s="1762"/>
      <c r="VJW163" s="1762"/>
      <c r="VJX163" s="1762"/>
      <c r="VJY163" s="1762"/>
      <c r="VJZ163" s="1762"/>
      <c r="VKA163" s="1762"/>
      <c r="VKB163" s="1762"/>
      <c r="VKC163" s="1762"/>
      <c r="VKD163" s="1762"/>
      <c r="VKE163" s="1762"/>
      <c r="VKF163" s="1762"/>
      <c r="VKG163" s="1762"/>
      <c r="VKH163" s="1762"/>
      <c r="VKI163" s="1762"/>
      <c r="VKJ163" s="1762"/>
      <c r="VKK163" s="1762"/>
      <c r="VKL163" s="1762"/>
      <c r="VKM163" s="1762"/>
      <c r="VKN163" s="1762"/>
      <c r="VKO163" s="1762"/>
      <c r="VKP163" s="1762"/>
      <c r="VKQ163" s="1762"/>
      <c r="VKR163" s="1762"/>
      <c r="VKS163" s="1762"/>
      <c r="VKT163" s="1762"/>
      <c r="VKU163" s="1762"/>
      <c r="VKV163" s="1762"/>
      <c r="VKW163" s="1762"/>
      <c r="VKX163" s="1762"/>
      <c r="VKY163" s="1762"/>
      <c r="VKZ163" s="1762"/>
      <c r="VLA163" s="1762"/>
      <c r="VLB163" s="1762"/>
      <c r="VLC163" s="1762"/>
      <c r="VLD163" s="1762"/>
      <c r="VLE163" s="1762"/>
      <c r="VLF163" s="1762"/>
      <c r="VLG163" s="1762"/>
      <c r="VLH163" s="1762"/>
      <c r="VLI163" s="1762"/>
      <c r="VLJ163" s="1762"/>
      <c r="VLK163" s="1762"/>
      <c r="VLL163" s="1762"/>
      <c r="VLM163" s="1762"/>
      <c r="VLN163" s="1762"/>
      <c r="VLO163" s="1762"/>
      <c r="VLP163" s="1762"/>
      <c r="VLQ163" s="1762"/>
      <c r="VLR163" s="1762"/>
      <c r="VLS163" s="1762"/>
      <c r="VLT163" s="1762"/>
      <c r="VLU163" s="1762"/>
      <c r="VLV163" s="1762"/>
      <c r="VLW163" s="1762"/>
      <c r="VLX163" s="1762"/>
      <c r="VLY163" s="1762"/>
      <c r="VLZ163" s="1762"/>
      <c r="VMA163" s="1762"/>
      <c r="VMB163" s="1762"/>
      <c r="VMC163" s="1762"/>
      <c r="VMD163" s="1762"/>
      <c r="VME163" s="1762"/>
      <c r="VMF163" s="1762"/>
      <c r="VMG163" s="1762"/>
      <c r="VMH163" s="1762"/>
      <c r="VMI163" s="1762"/>
      <c r="VMJ163" s="1762"/>
      <c r="VMK163" s="1762"/>
      <c r="VML163" s="1762"/>
      <c r="VMM163" s="1762"/>
      <c r="VMN163" s="1762"/>
      <c r="VMO163" s="1762"/>
      <c r="VMP163" s="1762"/>
      <c r="VMQ163" s="1762"/>
      <c r="VMR163" s="1762"/>
      <c r="VMS163" s="1762"/>
      <c r="VMT163" s="1762"/>
      <c r="VMU163" s="1762"/>
      <c r="VMV163" s="1762"/>
      <c r="VMW163" s="1762"/>
      <c r="VMX163" s="1762"/>
      <c r="VMY163" s="1762"/>
      <c r="VMZ163" s="1762"/>
      <c r="VNA163" s="1762"/>
      <c r="VNB163" s="1762"/>
      <c r="VNC163" s="1762"/>
      <c r="VND163" s="1762"/>
      <c r="VNE163" s="1762"/>
      <c r="VNF163" s="1762"/>
      <c r="VNG163" s="1762"/>
      <c r="VNH163" s="1762"/>
      <c r="VNI163" s="1762"/>
      <c r="VNJ163" s="1762"/>
      <c r="VNK163" s="1762"/>
      <c r="VNL163" s="1762"/>
      <c r="VNM163" s="1762"/>
      <c r="VNN163" s="1762"/>
      <c r="VNO163" s="1762"/>
      <c r="VNP163" s="1762"/>
      <c r="VNQ163" s="1762"/>
      <c r="VNR163" s="1762"/>
      <c r="VNS163" s="1762"/>
      <c r="VNT163" s="1762"/>
      <c r="VNU163" s="1762"/>
      <c r="VNV163" s="1762"/>
      <c r="VNW163" s="1762"/>
      <c r="VNX163" s="1762"/>
      <c r="VNY163" s="1762"/>
      <c r="VNZ163" s="1762"/>
      <c r="VOA163" s="1762"/>
      <c r="VOB163" s="1762"/>
      <c r="VOC163" s="1762"/>
      <c r="VOD163" s="1762"/>
      <c r="VOE163" s="1762"/>
      <c r="VOF163" s="1762"/>
      <c r="VOG163" s="1762"/>
      <c r="VOH163" s="1762"/>
      <c r="VOI163" s="1762"/>
      <c r="VOJ163" s="1762"/>
      <c r="VOK163" s="1762"/>
      <c r="VOL163" s="1762"/>
      <c r="VOM163" s="1762"/>
      <c r="VON163" s="1762"/>
      <c r="VOO163" s="1762"/>
      <c r="VOP163" s="1762"/>
      <c r="VOQ163" s="1762"/>
      <c r="VOR163" s="1762"/>
      <c r="VOS163" s="1762"/>
      <c r="VOT163" s="1762"/>
      <c r="VOU163" s="1762"/>
      <c r="VOV163" s="1762"/>
      <c r="VOW163" s="1762"/>
      <c r="VOX163" s="1762"/>
      <c r="VOY163" s="1762"/>
      <c r="VOZ163" s="1762"/>
      <c r="VPA163" s="1762"/>
      <c r="VPB163" s="1762"/>
      <c r="VPC163" s="1762"/>
      <c r="VPD163" s="1762"/>
      <c r="VPE163" s="1762"/>
      <c r="VPF163" s="1762"/>
      <c r="VPG163" s="1762"/>
      <c r="VPH163" s="1762"/>
      <c r="VPI163" s="1762"/>
      <c r="VPJ163" s="1762"/>
      <c r="VPK163" s="1762"/>
      <c r="VPL163" s="1762"/>
      <c r="VPM163" s="1762"/>
      <c r="VPN163" s="1762"/>
      <c r="VPO163" s="1762"/>
      <c r="VPP163" s="1762"/>
      <c r="VPQ163" s="1762"/>
      <c r="VPR163" s="1762"/>
      <c r="VPS163" s="1762"/>
      <c r="VPT163" s="1762"/>
      <c r="VPU163" s="1762"/>
      <c r="VPV163" s="1762"/>
      <c r="VPW163" s="1762"/>
      <c r="VPX163" s="1762"/>
      <c r="VPY163" s="1762"/>
      <c r="VPZ163" s="1762"/>
      <c r="VQA163" s="1762"/>
      <c r="VQB163" s="1762"/>
      <c r="VQC163" s="1762"/>
      <c r="VQD163" s="1762"/>
      <c r="VQE163" s="1762"/>
      <c r="VQF163" s="1762"/>
      <c r="VQG163" s="1762"/>
      <c r="VQH163" s="1762"/>
      <c r="VQI163" s="1762"/>
      <c r="VQJ163" s="1762"/>
      <c r="VQK163" s="1762"/>
      <c r="VQL163" s="1762"/>
      <c r="VQM163" s="1762"/>
      <c r="VQN163" s="1762"/>
      <c r="VQO163" s="1762"/>
      <c r="VQP163" s="1762"/>
      <c r="VQQ163" s="1762"/>
      <c r="VQR163" s="1762"/>
      <c r="VQS163" s="1762"/>
      <c r="VQT163" s="1762"/>
      <c r="VQU163" s="1762"/>
      <c r="VQV163" s="1762"/>
      <c r="VQW163" s="1762"/>
      <c r="VQX163" s="1762"/>
      <c r="VQY163" s="1762"/>
      <c r="VQZ163" s="1762"/>
      <c r="VRA163" s="1762"/>
      <c r="VRB163" s="1762"/>
      <c r="VRC163" s="1762"/>
      <c r="VRD163" s="1762"/>
      <c r="VRE163" s="1762"/>
      <c r="VRF163" s="1762"/>
      <c r="VRG163" s="1762"/>
      <c r="VRH163" s="1762"/>
      <c r="VRI163" s="1762"/>
      <c r="VRJ163" s="1762"/>
      <c r="VRK163" s="1762"/>
      <c r="VRL163" s="1762"/>
      <c r="VRM163" s="1762"/>
      <c r="VRN163" s="1762"/>
      <c r="VRO163" s="1762"/>
      <c r="VRP163" s="1762"/>
      <c r="VRQ163" s="1762"/>
      <c r="VRR163" s="1762"/>
      <c r="VRS163" s="1762"/>
      <c r="VRT163" s="1762"/>
      <c r="VRU163" s="1762"/>
      <c r="VRV163" s="1762"/>
      <c r="VRW163" s="1762"/>
      <c r="VRX163" s="1762"/>
      <c r="VRY163" s="1762"/>
      <c r="VRZ163" s="1762"/>
      <c r="VSA163" s="1762"/>
      <c r="VSB163" s="1762"/>
      <c r="VSC163" s="1762"/>
      <c r="VSD163" s="1762"/>
      <c r="VSE163" s="1762"/>
      <c r="VSF163" s="1762"/>
      <c r="VSG163" s="1762"/>
      <c r="VSH163" s="1762"/>
      <c r="VSI163" s="1762"/>
      <c r="VSJ163" s="1762"/>
      <c r="VSK163" s="1762"/>
      <c r="VSL163" s="1762"/>
      <c r="VSM163" s="1762"/>
      <c r="VSN163" s="1762"/>
      <c r="VSO163" s="1762"/>
      <c r="VSP163" s="1762"/>
      <c r="VSQ163" s="1762"/>
      <c r="VSR163" s="1762"/>
      <c r="VSS163" s="1762"/>
      <c r="VST163" s="1762"/>
      <c r="VSU163" s="1762"/>
      <c r="VSV163" s="1762"/>
      <c r="VSW163" s="1762"/>
      <c r="VSX163" s="1762"/>
      <c r="VSY163" s="1762"/>
      <c r="VSZ163" s="1762"/>
      <c r="VTA163" s="1762"/>
      <c r="VTB163" s="1762"/>
      <c r="VTC163" s="1762"/>
      <c r="VTD163" s="1762"/>
      <c r="VTE163" s="1762"/>
      <c r="VTF163" s="1762"/>
      <c r="VTG163" s="1762"/>
      <c r="VTH163" s="1762"/>
      <c r="VTI163" s="1762"/>
      <c r="VTJ163" s="1762"/>
      <c r="VTK163" s="1762"/>
      <c r="VTL163" s="1762"/>
      <c r="VTM163" s="1762"/>
      <c r="VTN163" s="1762"/>
      <c r="VTO163" s="1762"/>
      <c r="VTP163" s="1762"/>
      <c r="VTQ163" s="1762"/>
      <c r="VTR163" s="1762"/>
      <c r="VTS163" s="1762"/>
      <c r="VTT163" s="1762"/>
      <c r="VTU163" s="1762"/>
      <c r="VTV163" s="1762"/>
      <c r="VTW163" s="1762"/>
      <c r="VTX163" s="1762"/>
      <c r="VTY163" s="1762"/>
      <c r="VTZ163" s="1762"/>
      <c r="VUA163" s="1762"/>
      <c r="VUB163" s="1762"/>
      <c r="VUC163" s="1762"/>
      <c r="VUD163" s="1762"/>
      <c r="VUE163" s="1762"/>
      <c r="VUF163" s="1762"/>
      <c r="VUG163" s="1762"/>
      <c r="VUH163" s="1762"/>
      <c r="VUI163" s="1762"/>
      <c r="VUJ163" s="1762"/>
      <c r="VUK163" s="1762"/>
      <c r="VUL163" s="1762"/>
      <c r="VUM163" s="1762"/>
      <c r="VUN163" s="1762"/>
      <c r="VUO163" s="1762"/>
      <c r="VUP163" s="1762"/>
      <c r="VUQ163" s="1762"/>
      <c r="VUR163" s="1762"/>
      <c r="VUS163" s="1762"/>
      <c r="VUT163" s="1762"/>
      <c r="VUU163" s="1762"/>
      <c r="VUV163" s="1762"/>
      <c r="VUW163" s="1762"/>
      <c r="VUX163" s="1762"/>
      <c r="VUY163" s="1762"/>
      <c r="VUZ163" s="1762"/>
      <c r="VVA163" s="1762"/>
      <c r="VVB163" s="1762"/>
      <c r="VVC163" s="1762"/>
      <c r="VVD163" s="1762"/>
      <c r="VVE163" s="1762"/>
      <c r="VVF163" s="1762"/>
      <c r="VVG163" s="1762"/>
      <c r="VVH163" s="1762"/>
      <c r="VVI163" s="1762"/>
      <c r="VVJ163" s="1762"/>
      <c r="VVK163" s="1762"/>
      <c r="VVL163" s="1762"/>
      <c r="VVM163" s="1762"/>
      <c r="VVN163" s="1762"/>
      <c r="VVO163" s="1762"/>
      <c r="VVP163" s="1762"/>
      <c r="VVQ163" s="1762"/>
      <c r="VVR163" s="1762"/>
      <c r="VVS163" s="1762"/>
      <c r="VVT163" s="1762"/>
      <c r="VVU163" s="1762"/>
      <c r="VVV163" s="1762"/>
      <c r="VVW163" s="1762"/>
      <c r="VVX163" s="1762"/>
      <c r="VVY163" s="1762"/>
      <c r="VVZ163" s="1762"/>
      <c r="VWA163" s="1762"/>
      <c r="VWB163" s="1762"/>
      <c r="VWC163" s="1762"/>
      <c r="VWD163" s="1762"/>
      <c r="VWE163" s="1762"/>
      <c r="VWF163" s="1762"/>
      <c r="VWG163" s="1762"/>
      <c r="VWH163" s="1762"/>
      <c r="VWI163" s="1762"/>
      <c r="VWJ163" s="1762"/>
      <c r="VWK163" s="1762"/>
      <c r="VWL163" s="1762"/>
      <c r="VWM163" s="1762"/>
      <c r="VWN163" s="1762"/>
      <c r="VWO163" s="1762"/>
      <c r="VWP163" s="1762"/>
      <c r="VWQ163" s="1762"/>
      <c r="VWR163" s="1762"/>
      <c r="VWS163" s="1762"/>
      <c r="VWT163" s="1762"/>
      <c r="VWU163" s="1762"/>
      <c r="VWV163" s="1762"/>
      <c r="VWW163" s="1762"/>
      <c r="VWX163" s="1762"/>
      <c r="VWY163" s="1762"/>
      <c r="VWZ163" s="1762"/>
      <c r="VXA163" s="1762"/>
      <c r="VXB163" s="1762"/>
      <c r="VXC163" s="1762"/>
      <c r="VXD163" s="1762"/>
      <c r="VXE163" s="1762"/>
      <c r="VXF163" s="1762"/>
      <c r="VXG163" s="1762"/>
      <c r="VXH163" s="1762"/>
      <c r="VXI163" s="1762"/>
      <c r="VXJ163" s="1762"/>
      <c r="VXK163" s="1762"/>
      <c r="VXL163" s="1762"/>
      <c r="VXM163" s="1762"/>
      <c r="VXN163" s="1762"/>
      <c r="VXO163" s="1762"/>
      <c r="VXP163" s="1762"/>
      <c r="VXQ163" s="1762"/>
      <c r="VXR163" s="1762"/>
      <c r="VXS163" s="1762"/>
      <c r="VXT163" s="1762"/>
      <c r="VXU163" s="1762"/>
      <c r="VXV163" s="1762"/>
      <c r="VXW163" s="1762"/>
      <c r="VXX163" s="1762"/>
      <c r="VXY163" s="1762"/>
      <c r="VXZ163" s="1762"/>
      <c r="VYA163" s="1762"/>
      <c r="VYB163" s="1762"/>
      <c r="VYC163" s="1762"/>
      <c r="VYD163" s="1762"/>
      <c r="VYE163" s="1762"/>
      <c r="VYF163" s="1762"/>
      <c r="VYG163" s="1762"/>
      <c r="VYH163" s="1762"/>
      <c r="VYI163" s="1762"/>
      <c r="VYJ163" s="1762"/>
      <c r="VYK163" s="1762"/>
      <c r="VYL163" s="1762"/>
      <c r="VYM163" s="1762"/>
      <c r="VYN163" s="1762"/>
      <c r="VYO163" s="1762"/>
      <c r="VYP163" s="1762"/>
      <c r="VYQ163" s="1762"/>
      <c r="VYR163" s="1762"/>
      <c r="VYS163" s="1762"/>
      <c r="VYT163" s="1762"/>
      <c r="VYU163" s="1762"/>
      <c r="VYV163" s="1762"/>
      <c r="VYW163" s="1762"/>
      <c r="VYX163" s="1762"/>
      <c r="VYY163" s="1762"/>
      <c r="VYZ163" s="1762"/>
      <c r="VZA163" s="1762"/>
      <c r="VZB163" s="1762"/>
      <c r="VZC163" s="1762"/>
      <c r="VZD163" s="1762"/>
      <c r="VZE163" s="1762"/>
      <c r="VZF163" s="1762"/>
      <c r="VZG163" s="1762"/>
      <c r="VZH163" s="1762"/>
      <c r="VZI163" s="1762"/>
      <c r="VZJ163" s="1762"/>
      <c r="VZK163" s="1762"/>
      <c r="VZL163" s="1762"/>
      <c r="VZM163" s="1762"/>
      <c r="VZN163" s="1762"/>
      <c r="VZO163" s="1762"/>
      <c r="VZP163" s="1762"/>
      <c r="VZQ163" s="1762"/>
      <c r="VZR163" s="1762"/>
      <c r="VZS163" s="1762"/>
      <c r="VZT163" s="1762"/>
      <c r="VZU163" s="1762"/>
      <c r="VZV163" s="1762"/>
      <c r="VZW163" s="1762"/>
      <c r="VZX163" s="1762"/>
      <c r="VZY163" s="1762"/>
      <c r="VZZ163" s="1762"/>
      <c r="WAA163" s="1762"/>
      <c r="WAB163" s="1762"/>
      <c r="WAC163" s="1762"/>
      <c r="WAD163" s="1762"/>
      <c r="WAE163" s="1762"/>
      <c r="WAF163" s="1762"/>
      <c r="WAG163" s="1762"/>
      <c r="WAH163" s="1762"/>
      <c r="WAI163" s="1762"/>
      <c r="WAJ163" s="1762"/>
      <c r="WAK163" s="1762"/>
      <c r="WAL163" s="1762"/>
      <c r="WAM163" s="1762"/>
      <c r="WAN163" s="1762"/>
      <c r="WAO163" s="1762"/>
      <c r="WAP163" s="1762"/>
      <c r="WAQ163" s="1762"/>
      <c r="WAR163" s="1762"/>
      <c r="WAS163" s="1762"/>
      <c r="WAT163" s="1762"/>
      <c r="WAU163" s="1762"/>
      <c r="WAV163" s="1762"/>
      <c r="WAW163" s="1762"/>
      <c r="WAX163" s="1762"/>
      <c r="WAY163" s="1762"/>
      <c r="WAZ163" s="1762"/>
      <c r="WBA163" s="1762"/>
      <c r="WBB163" s="1762"/>
      <c r="WBC163" s="1762"/>
      <c r="WBD163" s="1762"/>
      <c r="WBE163" s="1762"/>
      <c r="WBF163" s="1762"/>
      <c r="WBG163" s="1762"/>
      <c r="WBH163" s="1762"/>
      <c r="WBI163" s="1762"/>
      <c r="WBJ163" s="1762"/>
      <c r="WBK163" s="1762"/>
      <c r="WBL163" s="1762"/>
      <c r="WBM163" s="1762"/>
      <c r="WBN163" s="1762"/>
      <c r="WBO163" s="1762"/>
      <c r="WBP163" s="1762"/>
      <c r="WBQ163" s="1762"/>
      <c r="WBR163" s="1762"/>
      <c r="WBS163" s="1762"/>
      <c r="WBT163" s="1762"/>
      <c r="WBU163" s="1762"/>
      <c r="WBV163" s="1762"/>
      <c r="WBW163" s="1762"/>
      <c r="WBX163" s="1762"/>
      <c r="WBY163" s="1762"/>
      <c r="WBZ163" s="1762"/>
      <c r="WCA163" s="1762"/>
      <c r="WCB163" s="1762"/>
      <c r="WCC163" s="1762"/>
      <c r="WCD163" s="1762"/>
      <c r="WCE163" s="1762"/>
      <c r="WCF163" s="1762"/>
      <c r="WCG163" s="1762"/>
      <c r="WCH163" s="1762"/>
      <c r="WCI163" s="1762"/>
      <c r="WCJ163" s="1762"/>
      <c r="WCK163" s="1762"/>
      <c r="WCL163" s="1762"/>
      <c r="WCM163" s="1762"/>
      <c r="WCN163" s="1762"/>
      <c r="WCO163" s="1762"/>
      <c r="WCP163" s="1762"/>
      <c r="WCQ163" s="1762"/>
      <c r="WCR163" s="1762"/>
      <c r="WCS163" s="1762"/>
      <c r="WCT163" s="1762"/>
      <c r="WCU163" s="1762"/>
      <c r="WCV163" s="1762"/>
      <c r="WCW163" s="1762"/>
      <c r="WCX163" s="1762"/>
      <c r="WCY163" s="1762"/>
      <c r="WCZ163" s="1762"/>
      <c r="WDA163" s="1762"/>
      <c r="WDB163" s="1762"/>
      <c r="WDC163" s="1762"/>
      <c r="WDD163" s="1762"/>
      <c r="WDE163" s="1762"/>
      <c r="WDF163" s="1762"/>
      <c r="WDG163" s="1762"/>
      <c r="WDH163" s="1762"/>
      <c r="WDI163" s="1762"/>
      <c r="WDJ163" s="1762"/>
      <c r="WDK163" s="1762"/>
      <c r="WDL163" s="1762"/>
      <c r="WDM163" s="1762"/>
      <c r="WDN163" s="1762"/>
      <c r="WDO163" s="1762"/>
      <c r="WDP163" s="1762"/>
      <c r="WDQ163" s="1762"/>
      <c r="WDR163" s="1762"/>
      <c r="WDS163" s="1762"/>
      <c r="WDT163" s="1762"/>
      <c r="WDU163" s="1762"/>
      <c r="WDV163" s="1762"/>
      <c r="WDW163" s="1762"/>
      <c r="WDX163" s="1762"/>
      <c r="WDY163" s="1762"/>
      <c r="WDZ163" s="1762"/>
      <c r="WEA163" s="1762"/>
      <c r="WEB163" s="1762"/>
      <c r="WEC163" s="1762"/>
      <c r="WED163" s="1762"/>
      <c r="WEE163" s="1762"/>
      <c r="WEF163" s="1762"/>
      <c r="WEG163" s="1762"/>
      <c r="WEH163" s="1762"/>
      <c r="WEI163" s="1762"/>
      <c r="WEJ163" s="1762"/>
      <c r="WEK163" s="1762"/>
      <c r="WEL163" s="1762"/>
      <c r="WEM163" s="1762"/>
      <c r="WEN163" s="1762"/>
      <c r="WEO163" s="1762"/>
      <c r="WEP163" s="1762"/>
      <c r="WEQ163" s="1762"/>
      <c r="WER163" s="1762"/>
      <c r="WES163" s="1762"/>
      <c r="WET163" s="1762"/>
      <c r="WEU163" s="1762"/>
      <c r="WEV163" s="1762"/>
      <c r="WEW163" s="1762"/>
      <c r="WEX163" s="1762"/>
      <c r="WEY163" s="1762"/>
      <c r="WEZ163" s="1762"/>
      <c r="WFA163" s="1762"/>
      <c r="WFB163" s="1762"/>
      <c r="WFC163" s="1762"/>
      <c r="WFD163" s="1762"/>
      <c r="WFE163" s="1762"/>
      <c r="WFF163" s="1762"/>
      <c r="WFG163" s="1762"/>
      <c r="WFH163" s="1762"/>
      <c r="WFI163" s="1762"/>
      <c r="WFJ163" s="1762"/>
      <c r="WFK163" s="1762"/>
      <c r="WFL163" s="1762"/>
      <c r="WFM163" s="1762"/>
      <c r="WFN163" s="1762"/>
      <c r="WFO163" s="1762"/>
      <c r="WFP163" s="1762"/>
      <c r="WFQ163" s="1762"/>
      <c r="WFR163" s="1762"/>
      <c r="WFS163" s="1762"/>
      <c r="WFT163" s="1762"/>
      <c r="WFU163" s="1762"/>
      <c r="WFV163" s="1762"/>
      <c r="WFW163" s="1762"/>
      <c r="WFX163" s="1762"/>
      <c r="WFY163" s="1762"/>
      <c r="WFZ163" s="1762"/>
      <c r="WGA163" s="1762"/>
      <c r="WGB163" s="1762"/>
      <c r="WGC163" s="1762"/>
      <c r="WGD163" s="1762"/>
      <c r="WGE163" s="1762"/>
      <c r="WGF163" s="1762"/>
      <c r="WGG163" s="1762"/>
      <c r="WGH163" s="1762"/>
      <c r="WGI163" s="1762"/>
      <c r="WGJ163" s="1762"/>
      <c r="WGK163" s="1762"/>
      <c r="WGL163" s="1762"/>
      <c r="WGM163" s="1762"/>
      <c r="WGN163" s="1762"/>
      <c r="WGO163" s="1762"/>
      <c r="WGP163" s="1762"/>
      <c r="WGQ163" s="1762"/>
      <c r="WGR163" s="1762"/>
      <c r="WGS163" s="1762"/>
      <c r="WGT163" s="1762"/>
      <c r="WGU163" s="1762"/>
      <c r="WGV163" s="1762"/>
      <c r="WGW163" s="1762"/>
      <c r="WGX163" s="1762"/>
      <c r="WGY163" s="1762"/>
      <c r="WGZ163" s="1762"/>
      <c r="WHA163" s="1762"/>
      <c r="WHB163" s="1762"/>
      <c r="WHC163" s="1762"/>
      <c r="WHD163" s="1762"/>
      <c r="WHE163" s="1762"/>
      <c r="WHF163" s="1762"/>
      <c r="WHG163" s="1762"/>
      <c r="WHH163" s="1762"/>
      <c r="WHI163" s="1762"/>
      <c r="WHJ163" s="1762"/>
      <c r="WHK163" s="1762"/>
      <c r="WHL163" s="1762"/>
      <c r="WHM163" s="1762"/>
      <c r="WHN163" s="1762"/>
      <c r="WHO163" s="1762"/>
      <c r="WHP163" s="1762"/>
      <c r="WHQ163" s="1762"/>
      <c r="WHR163" s="1762"/>
      <c r="WHS163" s="1762"/>
      <c r="WHT163" s="1762"/>
      <c r="WHU163" s="1762"/>
      <c r="WHV163" s="1762"/>
      <c r="WHW163" s="1762"/>
      <c r="WHX163" s="1762"/>
      <c r="WHY163" s="1762"/>
      <c r="WHZ163" s="1762"/>
      <c r="WIA163" s="1762"/>
      <c r="WIB163" s="1762"/>
      <c r="WIC163" s="1762"/>
      <c r="WID163" s="1762"/>
      <c r="WIE163" s="1762"/>
      <c r="WIF163" s="1762"/>
      <c r="WIG163" s="1762"/>
      <c r="WIH163" s="1762"/>
      <c r="WII163" s="1762"/>
      <c r="WIJ163" s="1762"/>
      <c r="WIK163" s="1762"/>
      <c r="WIL163" s="1762"/>
      <c r="WIM163" s="1762"/>
      <c r="WIN163" s="1762"/>
      <c r="WIO163" s="1762"/>
      <c r="WIP163" s="1762"/>
      <c r="WIQ163" s="1762"/>
      <c r="WIR163" s="1762"/>
      <c r="WIS163" s="1762"/>
      <c r="WIT163" s="1762"/>
      <c r="WIU163" s="1762"/>
      <c r="WIV163" s="1762"/>
      <c r="WIW163" s="1762"/>
      <c r="WIX163" s="1762"/>
      <c r="WIY163" s="1762"/>
      <c r="WIZ163" s="1762"/>
      <c r="WJA163" s="1762"/>
      <c r="WJB163" s="1762"/>
      <c r="WJC163" s="1762"/>
      <c r="WJD163" s="1762"/>
      <c r="WJE163" s="1762"/>
      <c r="WJF163" s="1762"/>
      <c r="WJG163" s="1762"/>
      <c r="WJH163" s="1762"/>
      <c r="WJI163" s="1762"/>
      <c r="WJJ163" s="1762"/>
      <c r="WJK163" s="1762"/>
      <c r="WJL163" s="1762"/>
      <c r="WJM163" s="1762"/>
      <c r="WJN163" s="1762"/>
      <c r="WJO163" s="1762"/>
      <c r="WJP163" s="1762"/>
      <c r="WJQ163" s="1762"/>
      <c r="WJR163" s="1762"/>
      <c r="WJS163" s="1762"/>
      <c r="WJT163" s="1762"/>
      <c r="WJU163" s="1762"/>
      <c r="WJV163" s="1762"/>
      <c r="WJW163" s="1762"/>
      <c r="WJX163" s="1762"/>
      <c r="WJY163" s="1762"/>
      <c r="WJZ163" s="1762"/>
      <c r="WKA163" s="1762"/>
      <c r="WKB163" s="1762"/>
      <c r="WKC163" s="1762"/>
      <c r="WKD163" s="1762"/>
      <c r="WKE163" s="1762"/>
      <c r="WKF163" s="1762"/>
      <c r="WKG163" s="1762"/>
      <c r="WKH163" s="1762"/>
      <c r="WKI163" s="1762"/>
      <c r="WKJ163" s="1762"/>
      <c r="WKK163" s="1762"/>
      <c r="WKL163" s="1762"/>
      <c r="WKM163" s="1762"/>
      <c r="WKN163" s="1762"/>
      <c r="WKO163" s="1762"/>
      <c r="WKP163" s="1762"/>
      <c r="WKQ163" s="1762"/>
      <c r="WKR163" s="1762"/>
      <c r="WKS163" s="1762"/>
      <c r="WKT163" s="1762"/>
      <c r="WKU163" s="1762"/>
      <c r="WKV163" s="1762"/>
      <c r="WKW163" s="1762"/>
      <c r="WKX163" s="1762"/>
      <c r="WKY163" s="1762"/>
      <c r="WKZ163" s="1762"/>
      <c r="WLA163" s="1762"/>
      <c r="WLB163" s="1762"/>
      <c r="WLC163" s="1762"/>
      <c r="WLD163" s="1762"/>
      <c r="WLE163" s="1762"/>
      <c r="WLF163" s="1762"/>
      <c r="WLG163" s="1762"/>
      <c r="WLH163" s="1762"/>
      <c r="WLI163" s="1762"/>
      <c r="WLJ163" s="1762"/>
      <c r="WLK163" s="1762"/>
      <c r="WLL163" s="1762"/>
      <c r="WLM163" s="1762"/>
      <c r="WLN163" s="1762"/>
      <c r="WLO163" s="1762"/>
      <c r="WLP163" s="1762"/>
      <c r="WLQ163" s="1762"/>
      <c r="WLR163" s="1762"/>
      <c r="WLS163" s="1762"/>
      <c r="WLT163" s="1762"/>
      <c r="WLU163" s="1762"/>
      <c r="WLV163" s="1762"/>
      <c r="WLW163" s="1762"/>
      <c r="WLX163" s="1762"/>
      <c r="WLY163" s="1762"/>
      <c r="WLZ163" s="1762"/>
      <c r="WMA163" s="1762"/>
      <c r="WMB163" s="1762"/>
      <c r="WMC163" s="1762"/>
      <c r="WMD163" s="1762"/>
      <c r="WME163" s="1762"/>
      <c r="WMF163" s="1762"/>
      <c r="WMG163" s="1762"/>
      <c r="WMH163" s="1762"/>
      <c r="WMI163" s="1762"/>
      <c r="WMJ163" s="1762"/>
      <c r="WMK163" s="1762"/>
      <c r="WML163" s="1762"/>
      <c r="WMM163" s="1762"/>
      <c r="WMN163" s="1762"/>
      <c r="WMO163" s="1762"/>
      <c r="WMP163" s="1762"/>
      <c r="WMQ163" s="1762"/>
      <c r="WMR163" s="1762"/>
      <c r="WMS163" s="1762"/>
      <c r="WMT163" s="1762"/>
      <c r="WMU163" s="1762"/>
      <c r="WMV163" s="1762"/>
      <c r="WMW163" s="1762"/>
      <c r="WMX163" s="1762"/>
      <c r="WMY163" s="1762"/>
      <c r="WMZ163" s="1762"/>
      <c r="WNA163" s="1762"/>
      <c r="WNB163" s="1762"/>
      <c r="WNC163" s="1762"/>
      <c r="WND163" s="1762"/>
      <c r="WNE163" s="1762"/>
      <c r="WNF163" s="1762"/>
      <c r="WNG163" s="1762"/>
      <c r="WNH163" s="1762"/>
      <c r="WNI163" s="1762"/>
      <c r="WNJ163" s="1762"/>
      <c r="WNK163" s="1762"/>
      <c r="WNL163" s="1762"/>
      <c r="WNM163" s="1762"/>
      <c r="WNN163" s="1762"/>
      <c r="WNO163" s="1762"/>
      <c r="WNP163" s="1762"/>
      <c r="WNQ163" s="1762"/>
      <c r="WNR163" s="1762"/>
      <c r="WNS163" s="1762"/>
      <c r="WNT163" s="1762"/>
      <c r="WNU163" s="1762"/>
      <c r="WNV163" s="1762"/>
      <c r="WNW163" s="1762"/>
      <c r="WNX163" s="1762"/>
      <c r="WNY163" s="1762"/>
      <c r="WNZ163" s="1762"/>
      <c r="WOA163" s="1762"/>
      <c r="WOB163" s="1762"/>
      <c r="WOC163" s="1762"/>
      <c r="WOD163" s="1762"/>
      <c r="WOE163" s="1762"/>
      <c r="WOF163" s="1762"/>
      <c r="WOG163" s="1762"/>
      <c r="WOH163" s="1762"/>
      <c r="WOI163" s="1762"/>
      <c r="WOJ163" s="1762"/>
      <c r="WOK163" s="1762"/>
      <c r="WOL163" s="1762"/>
      <c r="WOM163" s="1762"/>
      <c r="WON163" s="1762"/>
      <c r="WOO163" s="1762"/>
      <c r="WOP163" s="1762"/>
      <c r="WOQ163" s="1762"/>
      <c r="WOR163" s="1762"/>
      <c r="WOS163" s="1762"/>
      <c r="WOT163" s="1762"/>
      <c r="WOU163" s="1762"/>
      <c r="WOV163" s="1762"/>
      <c r="WOW163" s="1762"/>
      <c r="WOX163" s="1762"/>
      <c r="WOY163" s="1762"/>
      <c r="WOZ163" s="1762"/>
      <c r="WPA163" s="1762"/>
      <c r="WPB163" s="1762"/>
      <c r="WPC163" s="1762"/>
      <c r="WPD163" s="1762"/>
      <c r="WPE163" s="1762"/>
      <c r="WPF163" s="1762"/>
      <c r="WPG163" s="1762"/>
      <c r="WPH163" s="1762"/>
      <c r="WPI163" s="1762"/>
      <c r="WPJ163" s="1762"/>
      <c r="WPK163" s="1762"/>
      <c r="WPL163" s="1762"/>
      <c r="WPM163" s="1762"/>
      <c r="WPN163" s="1762"/>
      <c r="WPO163" s="1762"/>
      <c r="WPP163" s="1762"/>
      <c r="WPQ163" s="1762"/>
      <c r="WPR163" s="1762"/>
      <c r="WPS163" s="1762"/>
      <c r="WPT163" s="1762"/>
      <c r="WPU163" s="1762"/>
      <c r="WPV163" s="1762"/>
      <c r="WPW163" s="1762"/>
      <c r="WPX163" s="1762"/>
      <c r="WPY163" s="1762"/>
      <c r="WPZ163" s="1762"/>
      <c r="WQA163" s="1762"/>
      <c r="WQB163" s="1762"/>
      <c r="WQC163" s="1762"/>
      <c r="WQD163" s="1762"/>
      <c r="WQE163" s="1762"/>
      <c r="WQF163" s="1762"/>
      <c r="WQG163" s="1762"/>
      <c r="WQH163" s="1762"/>
      <c r="WQI163" s="1762"/>
      <c r="WQJ163" s="1762"/>
      <c r="WQK163" s="1762"/>
      <c r="WQL163" s="1762"/>
      <c r="WQM163" s="1762"/>
      <c r="WQN163" s="1762"/>
      <c r="WQO163" s="1762"/>
      <c r="WQP163" s="1762"/>
      <c r="WQQ163" s="1762"/>
      <c r="WQR163" s="1762"/>
      <c r="WQS163" s="1762"/>
      <c r="WQT163" s="1762"/>
      <c r="WQU163" s="1762"/>
      <c r="WQV163" s="1762"/>
      <c r="WQW163" s="1762"/>
      <c r="WQX163" s="1762"/>
      <c r="WQY163" s="1762"/>
      <c r="WQZ163" s="1762"/>
      <c r="WRA163" s="1762"/>
      <c r="WRB163" s="1762"/>
      <c r="WRC163" s="1762"/>
      <c r="WRD163" s="1762"/>
      <c r="WRE163" s="1762"/>
      <c r="WRF163" s="1762"/>
      <c r="WRG163" s="1762"/>
      <c r="WRH163" s="1762"/>
      <c r="WRI163" s="1762"/>
      <c r="WRJ163" s="1762"/>
      <c r="WRK163" s="1762"/>
      <c r="WRL163" s="1762"/>
      <c r="WRM163" s="1762"/>
      <c r="WRN163" s="1762"/>
      <c r="WRO163" s="1762"/>
      <c r="WRP163" s="1762"/>
      <c r="WRQ163" s="1762"/>
      <c r="WRR163" s="1762"/>
      <c r="WRS163" s="1762"/>
      <c r="WRT163" s="1762"/>
      <c r="WRU163" s="1762"/>
      <c r="WRV163" s="1762"/>
      <c r="WRW163" s="1762"/>
      <c r="WRX163" s="1762"/>
      <c r="WRY163" s="1762"/>
      <c r="WRZ163" s="1762"/>
      <c r="WSA163" s="1762"/>
      <c r="WSB163" s="1762"/>
      <c r="WSC163" s="1762"/>
      <c r="WSD163" s="1762"/>
      <c r="WSE163" s="1762"/>
      <c r="WSF163" s="1762"/>
      <c r="WSG163" s="1762"/>
      <c r="WSH163" s="1762"/>
      <c r="WSI163" s="1762"/>
      <c r="WSJ163" s="1762"/>
      <c r="WSK163" s="1762"/>
      <c r="WSL163" s="1762"/>
      <c r="WSM163" s="1762"/>
      <c r="WSN163" s="1762"/>
      <c r="WSO163" s="1762"/>
      <c r="WSP163" s="1762"/>
      <c r="WSQ163" s="1762"/>
      <c r="WSR163" s="1762"/>
      <c r="WSS163" s="1762"/>
      <c r="WST163" s="1762"/>
      <c r="WSU163" s="1762"/>
      <c r="WSV163" s="1762"/>
      <c r="WSW163" s="1762"/>
      <c r="WSX163" s="1762"/>
      <c r="WSY163" s="1762"/>
      <c r="WSZ163" s="1762"/>
      <c r="WTA163" s="1762"/>
      <c r="WTB163" s="1762"/>
      <c r="WTC163" s="1762"/>
      <c r="WTD163" s="1762"/>
      <c r="WTE163" s="1762"/>
      <c r="WTF163" s="1762"/>
      <c r="WTG163" s="1762"/>
      <c r="WTH163" s="1762"/>
      <c r="WTI163" s="1762"/>
      <c r="WTJ163" s="1762"/>
      <c r="WTK163" s="1762"/>
      <c r="WTL163" s="1762"/>
      <c r="WTM163" s="1762"/>
      <c r="WTN163" s="1762"/>
      <c r="WTO163" s="1762"/>
      <c r="WTP163" s="1762"/>
      <c r="WTQ163" s="1762"/>
      <c r="WTR163" s="1762"/>
      <c r="WTS163" s="1762"/>
      <c r="WTT163" s="1762"/>
      <c r="WTU163" s="1762"/>
      <c r="WTV163" s="1762"/>
      <c r="WTW163" s="1762"/>
      <c r="WTX163" s="1762"/>
      <c r="WTY163" s="1762"/>
      <c r="WTZ163" s="1762"/>
      <c r="WUA163" s="1762"/>
      <c r="WUB163" s="1762"/>
      <c r="WUC163" s="1762"/>
      <c r="WUD163" s="1762"/>
      <c r="WUE163" s="1762"/>
      <c r="WUF163" s="1762"/>
      <c r="WUG163" s="1762"/>
      <c r="WUH163" s="1762"/>
      <c r="WUI163" s="1762"/>
      <c r="WUJ163" s="1762"/>
      <c r="WUK163" s="1762"/>
      <c r="WUL163" s="1762"/>
      <c r="WUM163" s="1762"/>
      <c r="WUN163" s="1762"/>
      <c r="WUO163" s="1762"/>
      <c r="WUP163" s="1762"/>
      <c r="WUQ163" s="1762"/>
      <c r="WUR163" s="1762"/>
      <c r="WUS163" s="1762"/>
      <c r="WUT163" s="1762"/>
      <c r="WUU163" s="1762"/>
      <c r="WUV163" s="1762"/>
      <c r="WUW163" s="1762"/>
      <c r="WUX163" s="1762"/>
      <c r="WUY163" s="1762"/>
      <c r="WUZ163" s="1762"/>
      <c r="WVA163" s="1762"/>
      <c r="WVB163" s="1762"/>
      <c r="WVC163" s="1762"/>
      <c r="WVD163" s="1762"/>
      <c r="WVE163" s="1762"/>
      <c r="WVF163" s="1762"/>
      <c r="WVG163" s="1762"/>
      <c r="WVH163" s="1762"/>
      <c r="WVI163" s="1762"/>
      <c r="WVJ163" s="1762"/>
      <c r="WVK163" s="1762"/>
      <c r="WVL163" s="1762"/>
      <c r="WVM163" s="1762"/>
      <c r="WVN163" s="1762"/>
      <c r="WVO163" s="1762"/>
      <c r="WVP163" s="1762"/>
      <c r="WVQ163" s="1762"/>
      <c r="WVR163" s="1762"/>
      <c r="WVS163" s="1762"/>
      <c r="WVT163" s="1762"/>
      <c r="WVU163" s="1762"/>
      <c r="WVV163" s="1762"/>
      <c r="WVW163" s="1762"/>
      <c r="WVX163" s="1762"/>
      <c r="WVY163" s="1762"/>
      <c r="WVZ163" s="1762"/>
      <c r="WWA163" s="1762"/>
      <c r="WWB163" s="1762"/>
      <c r="WWC163" s="1762"/>
      <c r="WWD163" s="1762"/>
      <c r="WWE163" s="1762"/>
      <c r="WWF163" s="1762"/>
      <c r="WWG163" s="1762"/>
      <c r="WWH163" s="1762"/>
      <c r="WWI163" s="1762"/>
      <c r="WWJ163" s="1762"/>
      <c r="WWK163" s="1762"/>
      <c r="WWL163" s="1762"/>
      <c r="WWM163" s="1762"/>
      <c r="WWN163" s="1762"/>
      <c r="WWO163" s="1762"/>
      <c r="WWP163" s="1762"/>
      <c r="WWQ163" s="1762"/>
      <c r="WWR163" s="1762"/>
      <c r="WWS163" s="1762"/>
      <c r="WWT163" s="1762"/>
      <c r="WWU163" s="1762"/>
      <c r="WWV163" s="1762"/>
      <c r="WWW163" s="1762"/>
      <c r="WWX163" s="1762"/>
      <c r="WWY163" s="1762"/>
      <c r="WWZ163" s="1762"/>
      <c r="WXA163" s="1762"/>
      <c r="WXB163" s="1762"/>
      <c r="WXC163" s="1762"/>
      <c r="WXD163" s="1762"/>
      <c r="WXE163" s="1762"/>
      <c r="WXF163" s="1762"/>
      <c r="WXG163" s="1762"/>
      <c r="WXH163" s="1762"/>
      <c r="WXI163" s="1762"/>
      <c r="WXJ163" s="1762"/>
      <c r="WXK163" s="1762"/>
      <c r="WXL163" s="1762"/>
      <c r="WXM163" s="1762"/>
      <c r="WXN163" s="1762"/>
      <c r="WXO163" s="1762"/>
      <c r="WXP163" s="1762"/>
      <c r="WXQ163" s="1762"/>
      <c r="WXR163" s="1762"/>
      <c r="WXS163" s="1762"/>
      <c r="WXT163" s="1762"/>
      <c r="WXU163" s="1762"/>
      <c r="WXV163" s="1762"/>
      <c r="WXW163" s="1762"/>
      <c r="WXX163" s="1762"/>
      <c r="WXY163" s="1762"/>
      <c r="WXZ163" s="1762"/>
      <c r="WYA163" s="1762"/>
      <c r="WYB163" s="1762"/>
      <c r="WYC163" s="1762"/>
      <c r="WYD163" s="1762"/>
      <c r="WYE163" s="1762"/>
      <c r="WYF163" s="1762"/>
      <c r="WYG163" s="1762"/>
      <c r="WYH163" s="1762"/>
      <c r="WYI163" s="1762"/>
      <c r="WYJ163" s="1762"/>
      <c r="WYK163" s="1762"/>
      <c r="WYL163" s="1762"/>
      <c r="WYM163" s="1762"/>
      <c r="WYN163" s="1762"/>
      <c r="WYO163" s="1762"/>
      <c r="WYP163" s="1762"/>
      <c r="WYQ163" s="1762"/>
      <c r="WYR163" s="1762"/>
      <c r="WYS163" s="1762"/>
      <c r="WYT163" s="1762"/>
      <c r="WYU163" s="1762"/>
      <c r="WYV163" s="1762"/>
      <c r="WYW163" s="1762"/>
      <c r="WYX163" s="1762"/>
      <c r="WYY163" s="1762"/>
      <c r="WYZ163" s="1762"/>
      <c r="WZA163" s="1762"/>
      <c r="WZB163" s="1762"/>
      <c r="WZC163" s="1762"/>
      <c r="WZD163" s="1762"/>
      <c r="WZE163" s="1762"/>
      <c r="WZF163" s="1762"/>
      <c r="WZG163" s="1762"/>
      <c r="WZH163" s="1762"/>
      <c r="WZI163" s="1762"/>
      <c r="WZJ163" s="1762"/>
      <c r="WZK163" s="1762"/>
      <c r="WZL163" s="1762"/>
      <c r="WZM163" s="1762"/>
      <c r="WZN163" s="1762"/>
      <c r="WZO163" s="1762"/>
      <c r="WZP163" s="1762"/>
      <c r="WZQ163" s="1762"/>
      <c r="WZR163" s="1762"/>
      <c r="WZS163" s="1762"/>
      <c r="WZT163" s="1762"/>
      <c r="WZU163" s="1762"/>
      <c r="WZV163" s="1762"/>
      <c r="WZW163" s="1762"/>
      <c r="WZX163" s="1762"/>
      <c r="WZY163" s="1762"/>
      <c r="WZZ163" s="1762"/>
      <c r="XAA163" s="1762"/>
      <c r="XAB163" s="1762"/>
      <c r="XAC163" s="1762"/>
      <c r="XAD163" s="1762"/>
      <c r="XAE163" s="1762"/>
      <c r="XAF163" s="1762"/>
      <c r="XAG163" s="1762"/>
      <c r="XAH163" s="1762"/>
      <c r="XAI163" s="1762"/>
      <c r="XAJ163" s="1762"/>
      <c r="XAK163" s="1762"/>
      <c r="XAL163" s="1762"/>
      <c r="XAM163" s="1762"/>
      <c r="XAN163" s="1762"/>
      <c r="XAO163" s="1762"/>
      <c r="XAP163" s="1762"/>
      <c r="XAQ163" s="1762"/>
      <c r="XAR163" s="1762"/>
      <c r="XAS163" s="1762"/>
      <c r="XAT163" s="1762"/>
      <c r="XAU163" s="1762"/>
      <c r="XAV163" s="1762"/>
      <c r="XAW163" s="1762"/>
      <c r="XAX163" s="1762"/>
      <c r="XAY163" s="1762"/>
      <c r="XAZ163" s="1762"/>
      <c r="XBA163" s="1762"/>
      <c r="XBB163" s="1762"/>
      <c r="XBC163" s="1762"/>
      <c r="XBD163" s="1762"/>
      <c r="XBE163" s="1762"/>
      <c r="XBF163" s="1762"/>
      <c r="XBG163" s="1762"/>
      <c r="XBH163" s="1762"/>
      <c r="XBI163" s="1762"/>
      <c r="XBJ163" s="1762"/>
      <c r="XBK163" s="1762"/>
      <c r="XBL163" s="1762"/>
      <c r="XBM163" s="1762"/>
      <c r="XBN163" s="1762"/>
      <c r="XBO163" s="1762"/>
      <c r="XBP163" s="1762"/>
      <c r="XBQ163" s="1762"/>
      <c r="XBR163" s="1762"/>
      <c r="XBS163" s="1762"/>
      <c r="XBT163" s="1762"/>
      <c r="XBU163" s="1762"/>
      <c r="XBV163" s="1762"/>
      <c r="XBW163" s="1762"/>
      <c r="XBX163" s="1762"/>
      <c r="XBY163" s="1762"/>
      <c r="XBZ163" s="1762"/>
      <c r="XCA163" s="1762"/>
      <c r="XCB163" s="1762"/>
      <c r="XCC163" s="1762"/>
      <c r="XCD163" s="1762"/>
      <c r="XCE163" s="1762"/>
      <c r="XCF163" s="1762"/>
      <c r="XCG163" s="1762"/>
      <c r="XCH163" s="1762"/>
      <c r="XCI163" s="1762"/>
      <c r="XCJ163" s="1762"/>
      <c r="XCK163" s="1762"/>
      <c r="XCL163" s="1762"/>
      <c r="XCM163" s="1762"/>
      <c r="XCN163" s="1762"/>
      <c r="XCO163" s="1762"/>
      <c r="XCP163" s="1762"/>
      <c r="XCQ163" s="1762"/>
      <c r="XCR163" s="1762"/>
      <c r="XCS163" s="1762"/>
      <c r="XCT163" s="1762"/>
      <c r="XCU163" s="1762"/>
      <c r="XCV163" s="1762"/>
      <c r="XCW163" s="1762"/>
      <c r="XCX163" s="1762"/>
      <c r="XCY163" s="1762"/>
      <c r="XCZ163" s="1762"/>
      <c r="XDA163" s="1762"/>
      <c r="XDB163" s="1762"/>
      <c r="XDC163" s="1762"/>
      <c r="XDD163" s="1762"/>
      <c r="XDE163" s="1762"/>
      <c r="XDF163" s="1762"/>
      <c r="XDG163" s="1762"/>
      <c r="XDH163" s="1762"/>
      <c r="XDI163" s="1762"/>
      <c r="XDJ163" s="1762"/>
      <c r="XDK163" s="1762"/>
      <c r="XDL163" s="1762"/>
      <c r="XDM163" s="1762"/>
      <c r="XDN163" s="1762"/>
      <c r="XDO163" s="1762"/>
      <c r="XDP163" s="1762"/>
      <c r="XDQ163" s="1762"/>
      <c r="XDR163" s="1762"/>
      <c r="XDS163" s="1762"/>
      <c r="XDT163" s="1762"/>
      <c r="XDU163" s="1762"/>
      <c r="XDV163" s="1762"/>
      <c r="XDW163" s="1762"/>
      <c r="XDX163" s="1762"/>
      <c r="XDY163" s="1762"/>
      <c r="XDZ163" s="1762"/>
      <c r="XEA163" s="1762"/>
      <c r="XEB163" s="1762"/>
      <c r="XEC163" s="1762"/>
      <c r="XED163" s="1762"/>
      <c r="XEE163" s="1762"/>
      <c r="XEF163" s="1762"/>
      <c r="XEG163" s="1762"/>
      <c r="XEH163" s="1762"/>
      <c r="XEI163" s="1762"/>
      <c r="XEJ163" s="1762"/>
      <c r="XEK163" s="1762"/>
      <c r="XEL163" s="1762"/>
      <c r="XEM163" s="1762"/>
      <c r="XEN163" s="1762"/>
      <c r="XEO163" s="1762"/>
      <c r="XEP163" s="1762"/>
      <c r="XEQ163" s="1762"/>
      <c r="XER163" s="1762"/>
      <c r="XES163" s="1762"/>
      <c r="XET163" s="1762"/>
      <c r="XEU163" s="1762"/>
      <c r="XEV163" s="1762"/>
      <c r="XEW163" s="1762"/>
      <c r="XEX163" s="1762"/>
      <c r="XEY163" s="1762"/>
      <c r="XEZ163" s="1762"/>
      <c r="XFA163" s="1762"/>
      <c r="XFB163" s="1762"/>
      <c r="XFC163" s="1762"/>
      <c r="XFD163" s="1762"/>
    </row>
    <row r="164" spans="1:16384">
      <c r="A164" s="1760">
        <v>51000100008</v>
      </c>
      <c r="B164" s="1758" t="s">
        <v>1139</v>
      </c>
      <c r="C164" s="1759">
        <v>1393</v>
      </c>
      <c r="D164" s="1759" t="s">
        <v>2901</v>
      </c>
      <c r="E164" s="1761"/>
      <c r="F164" s="1770">
        <f t="shared" si="7"/>
        <v>1</v>
      </c>
      <c r="G164" s="1777">
        <f>E155+E156+E163+SUM(E164:E172)</f>
        <v>0</v>
      </c>
      <c r="H164" s="1777">
        <f>C153+C156+C157+SUM(C162:C172)</f>
        <v>2989358</v>
      </c>
      <c r="I164" s="1761"/>
    </row>
    <row r="165" spans="1:16384">
      <c r="A165" s="1760">
        <v>51000100009</v>
      </c>
      <c r="B165" s="1758" t="s">
        <v>748</v>
      </c>
      <c r="C165" s="1759">
        <v>41724</v>
      </c>
      <c r="D165" s="1759" t="s">
        <v>2901</v>
      </c>
      <c r="E165" s="1784"/>
      <c r="F165" s="1770">
        <f t="shared" si="7"/>
        <v>42</v>
      </c>
      <c r="G165" s="1771" t="e">
        <f t="shared" si="8"/>
        <v>#VALUE!</v>
      </c>
      <c r="H165" s="1834">
        <f>ROUND(H164/1000,0)</f>
        <v>2989</v>
      </c>
      <c r="I165" s="1010" t="s">
        <v>158</v>
      </c>
    </row>
    <row r="166" spans="1:16384">
      <c r="A166" s="1760">
        <v>51000100010</v>
      </c>
      <c r="B166" s="2223" t="s">
        <v>750</v>
      </c>
      <c r="C166" s="2224">
        <v>83230</v>
      </c>
      <c r="D166" s="1759" t="s">
        <v>2901</v>
      </c>
      <c r="F166" s="1770">
        <f t="shared" si="7"/>
        <v>83</v>
      </c>
      <c r="G166" s="1771" t="e">
        <f t="shared" si="8"/>
        <v>#VALUE!</v>
      </c>
      <c r="H166" s="1010"/>
      <c r="I166" s="1010"/>
    </row>
    <row r="167" spans="1:16384">
      <c r="A167" s="1760">
        <v>51000100016</v>
      </c>
      <c r="B167" s="1758" t="s">
        <v>752</v>
      </c>
      <c r="C167" s="1759">
        <v>7</v>
      </c>
      <c r="D167" s="1759" t="s">
        <v>2901</v>
      </c>
      <c r="F167" s="1770">
        <f t="shared" si="7"/>
        <v>0</v>
      </c>
      <c r="G167" s="1771" t="e">
        <f t="shared" si="8"/>
        <v>#VALUE!</v>
      </c>
      <c r="H167" s="1010"/>
      <c r="I167" s="1010"/>
    </row>
    <row r="168" spans="1:16384">
      <c r="A168" s="1760">
        <v>51000100017</v>
      </c>
      <c r="B168" s="1758" t="s">
        <v>754</v>
      </c>
      <c r="C168" s="1759">
        <v>277</v>
      </c>
      <c r="D168" s="1759" t="s">
        <v>2901</v>
      </c>
      <c r="F168" s="1770">
        <f t="shared" si="7"/>
        <v>0</v>
      </c>
      <c r="G168" s="1771" t="e">
        <f t="shared" si="8"/>
        <v>#VALUE!</v>
      </c>
      <c r="H168" s="1010"/>
      <c r="I168" s="1010"/>
    </row>
    <row r="169" spans="1:16384">
      <c r="A169" s="1760">
        <v>51000100021</v>
      </c>
      <c r="B169" s="1758" t="s">
        <v>1140</v>
      </c>
      <c r="C169" s="1759">
        <v>15</v>
      </c>
      <c r="D169" s="1759" t="s">
        <v>2901</v>
      </c>
      <c r="E169" s="1784"/>
      <c r="F169" s="1770">
        <f t="shared" si="7"/>
        <v>0</v>
      </c>
      <c r="G169" s="1771" t="e">
        <f t="shared" si="8"/>
        <v>#VALUE!</v>
      </c>
      <c r="H169" s="1010"/>
      <c r="I169" s="1010"/>
    </row>
    <row r="170" spans="1:16384">
      <c r="A170" s="1760"/>
      <c r="B170" s="1758"/>
      <c r="C170" s="1759"/>
      <c r="D170" s="1759"/>
      <c r="F170" s="1770">
        <f t="shared" si="7"/>
        <v>0</v>
      </c>
      <c r="G170" s="1771">
        <f t="shared" si="8"/>
        <v>0</v>
      </c>
      <c r="H170" s="1010"/>
      <c r="I170" s="1010"/>
    </row>
    <row r="171" spans="1:16384">
      <c r="A171" s="1760"/>
      <c r="B171" s="1758"/>
      <c r="C171" s="1759"/>
      <c r="D171" s="1759"/>
      <c r="F171" s="1770">
        <f t="shared" si="7"/>
        <v>0</v>
      </c>
      <c r="G171" s="1771">
        <f t="shared" si="8"/>
        <v>0</v>
      </c>
      <c r="H171" s="1010"/>
      <c r="I171" s="1010"/>
    </row>
    <row r="172" spans="1:16384">
      <c r="A172" s="1760"/>
      <c r="B172" s="1758"/>
      <c r="C172" s="1759"/>
      <c r="D172" s="1759"/>
      <c r="F172" s="1770">
        <f t="shared" si="7"/>
        <v>0</v>
      </c>
      <c r="G172" s="1771">
        <f t="shared" si="8"/>
        <v>0</v>
      </c>
      <c r="H172" s="1010"/>
      <c r="I172" s="1010"/>
    </row>
    <row r="173" spans="1:16384">
      <c r="A173" s="1741"/>
      <c r="B173" s="1741"/>
      <c r="C173" s="1174"/>
      <c r="D173" s="1174"/>
    </row>
    <row r="174" spans="1:16384">
      <c r="B174" s="1757" t="s">
        <v>44</v>
      </c>
      <c r="C174" s="1742">
        <v>20434476746.969997</v>
      </c>
      <c r="D174" s="1742">
        <v>20434476746.969997</v>
      </c>
      <c r="E174" s="1769">
        <f>C174-D174</f>
        <v>0</v>
      </c>
    </row>
    <row r="177" spans="3:4">
      <c r="C177" s="385"/>
      <c r="D177" s="385"/>
    </row>
  </sheetData>
  <mergeCells count="8">
    <mergeCell ref="C144:D144"/>
    <mergeCell ref="F144:G144"/>
    <mergeCell ref="C3:D3"/>
    <mergeCell ref="F3:G3"/>
    <mergeCell ref="C81:D81"/>
    <mergeCell ref="F81:G81"/>
    <mergeCell ref="C119:D119"/>
    <mergeCell ref="F119:G119"/>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79"/>
  <sheetViews>
    <sheetView topLeftCell="D1" workbookViewId="0">
      <selection activeCell="B6" sqref="B6:K7"/>
    </sheetView>
  </sheetViews>
  <sheetFormatPr defaultColWidth="8.59765625" defaultRowHeight="15.6"/>
  <cols>
    <col min="1" max="2" width="8.59765625" style="2121"/>
    <col min="3" max="3" width="22.8984375" style="2121" customWidth="1"/>
    <col min="4" max="11" width="8.59765625" style="2121"/>
    <col min="12" max="12" width="13.09765625" style="2121" customWidth="1"/>
    <col min="13" max="13" width="4.09765625" style="2121" customWidth="1"/>
    <col min="14" max="14" width="10.8984375" style="2131" customWidth="1"/>
    <col min="15" max="15" width="10.59765625" style="2121" customWidth="1"/>
    <col min="16" max="17" width="2.09765625" style="2121" customWidth="1"/>
    <col min="18" max="18" width="3.09765625" style="2121" customWidth="1"/>
    <col min="19" max="19" width="14.59765625" style="2121" customWidth="1"/>
    <col min="20" max="20" width="8.59765625" style="2121"/>
    <col min="21" max="22" width="9" style="2121" bestFit="1" customWidth="1"/>
    <col min="23" max="23" width="10.09765625" style="2121" bestFit="1" customWidth="1"/>
    <col min="24" max="24" width="12.09765625" style="2121" bestFit="1" customWidth="1"/>
    <col min="25" max="16384" width="8.59765625" style="2121"/>
  </cols>
  <sheetData>
    <row r="1" spans="1:24" ht="26.25" customHeight="1">
      <c r="A1" s="2117" t="s">
        <v>2713</v>
      </c>
      <c r="B1" s="2118"/>
      <c r="C1" s="2117" t="s">
        <v>1069</v>
      </c>
      <c r="D1" s="2118"/>
      <c r="E1" s="2117" t="s">
        <v>2714</v>
      </c>
      <c r="F1" s="2118"/>
      <c r="G1" s="2119"/>
      <c r="H1" s="2119"/>
      <c r="I1" s="2119"/>
      <c r="J1" s="2119"/>
      <c r="K1" s="2119"/>
      <c r="L1" s="2119"/>
      <c r="M1" s="2119"/>
      <c r="N1" s="2120"/>
      <c r="O1" s="2119"/>
      <c r="P1" s="2119"/>
      <c r="Q1" s="2119"/>
      <c r="R1" s="2119"/>
    </row>
    <row r="2" spans="1:24">
      <c r="A2" s="2122"/>
      <c r="B2" s="2122"/>
      <c r="C2" s="2122"/>
      <c r="D2" s="2122"/>
      <c r="E2" s="2122"/>
      <c r="F2" s="2122"/>
      <c r="G2" s="2122"/>
      <c r="H2" s="2122"/>
      <c r="I2" s="2122"/>
      <c r="J2" s="2122"/>
      <c r="K2" s="2122"/>
      <c r="L2" s="2122"/>
      <c r="M2" s="2122"/>
      <c r="N2" s="2120"/>
      <c r="O2" s="2119"/>
      <c r="P2" s="2119"/>
      <c r="Q2" s="2119"/>
      <c r="R2" s="2119"/>
    </row>
    <row r="3" spans="1:24" ht="14.4">
      <c r="A3" s="2118"/>
      <c r="B3" s="2119"/>
      <c r="C3" s="2119"/>
      <c r="D3" s="2119"/>
      <c r="E3" s="2119"/>
      <c r="F3" s="2119"/>
      <c r="G3" s="2119"/>
      <c r="H3" s="2505" t="s">
        <v>2715</v>
      </c>
      <c r="I3" s="2505"/>
      <c r="J3" s="2122"/>
      <c r="K3" s="2506">
        <v>294.18169999999998</v>
      </c>
      <c r="L3" s="2506"/>
      <c r="M3" s="2122"/>
      <c r="N3" s="2507">
        <v>29236</v>
      </c>
      <c r="O3" s="2122"/>
      <c r="P3" s="2119"/>
      <c r="Q3" s="2119"/>
      <c r="R3" s="2119"/>
    </row>
    <row r="4" spans="1:24">
      <c r="A4" s="2119"/>
      <c r="B4" s="2119"/>
      <c r="C4" s="2119"/>
      <c r="D4" s="2119"/>
      <c r="E4" s="2119"/>
      <c r="F4" s="2119"/>
      <c r="G4" s="2119"/>
      <c r="H4" s="2122"/>
      <c r="I4" s="2122"/>
      <c r="J4" s="2122"/>
      <c r="K4" s="2506"/>
      <c r="L4" s="2506"/>
      <c r="M4" s="2119"/>
      <c r="N4" s="2507"/>
      <c r="O4" s="2123">
        <f>K3+K66+K76+K85+K96+K105+K159+K169+K179+K206+K216+K225+K235+K247+K258+K267+K277+K295+K304+K316+K327+K336+K363+K373</f>
        <v>72197.641000000003</v>
      </c>
      <c r="P4" s="2120"/>
      <c r="Q4" s="2119"/>
      <c r="R4" s="2123">
        <f>N3+N66+N76+N85+N96+N105+N159+N169+N179+N206+N216+N225+N235+N247+N258+N267+N277+N295+N304+N316+N327+N336+N363+N373</f>
        <v>7175024</v>
      </c>
      <c r="S4" s="2123">
        <f>R4</f>
        <v>7175024</v>
      </c>
      <c r="T4" s="2123"/>
      <c r="U4" s="2121">
        <v>96942.331699999995</v>
      </c>
      <c r="V4" s="2121">
        <v>97807.269700000004</v>
      </c>
    </row>
    <row r="5" spans="1:24">
      <c r="A5" s="2117">
        <v>69348</v>
      </c>
      <c r="B5" s="2122"/>
      <c r="C5" s="2508" t="s">
        <v>2716</v>
      </c>
      <c r="D5" s="2508"/>
      <c r="E5" s="2508"/>
      <c r="F5" s="2508"/>
      <c r="G5" s="2508"/>
      <c r="H5" s="2508"/>
      <c r="I5" s="2508"/>
      <c r="J5" s="2122"/>
      <c r="K5" s="2122"/>
      <c r="L5" s="2122"/>
      <c r="M5" s="2122"/>
      <c r="N5" s="2120"/>
      <c r="O5" s="2119"/>
      <c r="P5" s="2124"/>
      <c r="Q5" s="2119"/>
      <c r="R5" s="2119"/>
      <c r="U5" s="2121">
        <v>72197.641000000003</v>
      </c>
      <c r="V5" s="2121">
        <v>7175024</v>
      </c>
    </row>
    <row r="6" spans="1:24">
      <c r="A6" s="2122"/>
      <c r="B6" s="2122"/>
      <c r="C6" s="2122"/>
      <c r="D6" s="2122"/>
      <c r="E6" s="2122"/>
      <c r="F6" s="2122"/>
      <c r="G6" s="2122"/>
      <c r="H6" s="2122"/>
      <c r="I6" s="2122"/>
      <c r="J6" s="2122"/>
      <c r="K6" s="2122"/>
      <c r="L6" s="2122"/>
      <c r="M6" s="2122"/>
      <c r="N6" s="2120"/>
      <c r="O6" s="2119"/>
      <c r="P6" s="2119"/>
      <c r="Q6" s="2119"/>
      <c r="R6" s="2119"/>
      <c r="U6" s="2121">
        <f>SUM(U4:U5)</f>
        <v>169139.97269999998</v>
      </c>
      <c r="V6" s="2121">
        <f>SUM(V4:V5)</f>
        <v>7272831.2697000001</v>
      </c>
    </row>
    <row r="7" spans="1:24">
      <c r="A7" s="2511" t="s">
        <v>2717</v>
      </c>
      <c r="B7" s="2511"/>
      <c r="C7" s="2511"/>
      <c r="D7" s="2125"/>
      <c r="E7" s="2125"/>
      <c r="F7" s="2125"/>
      <c r="G7" s="2125"/>
      <c r="H7" s="2510">
        <v>-294.18200000000002</v>
      </c>
      <c r="I7" s="2510"/>
      <c r="J7" s="2510"/>
      <c r="K7" s="2125"/>
      <c r="L7" s="2126">
        <v>-25080.75</v>
      </c>
      <c r="M7" s="2125"/>
      <c r="N7" s="2120"/>
      <c r="O7" s="2123">
        <f>H70+H91+H163+H174+H211+H230+H239+H242+H251+H253+H272+H299+H308+H311+H320+H331+H340+H368</f>
        <v>2537433.3279999997</v>
      </c>
      <c r="P7" s="2119"/>
      <c r="Q7" s="2119"/>
      <c r="R7" s="2119"/>
      <c r="S7" s="2123">
        <f>L70+L91+L163+L174+L211+L230+L239+L242+L251+L253+L272+L299+L308+L311+L320+L331+L340+L368</f>
        <v>240509518.22</v>
      </c>
      <c r="U7" s="2121">
        <v>13597.096</v>
      </c>
      <c r="V7" s="2121">
        <v>1174219.81</v>
      </c>
      <c r="W7" s="2127">
        <f>+O7+U7</f>
        <v>2551030.4239999996</v>
      </c>
      <c r="X7" s="2127">
        <f>S7+V7</f>
        <v>241683738.03</v>
      </c>
    </row>
    <row r="8" spans="1:24">
      <c r="A8" s="2118"/>
      <c r="B8" s="2118"/>
      <c r="C8" s="2118"/>
      <c r="D8" s="2118"/>
      <c r="E8" s="2505" t="s">
        <v>2718</v>
      </c>
      <c r="F8" s="2505"/>
      <c r="G8" s="2118"/>
      <c r="H8" s="2506">
        <v>1E-4</v>
      </c>
      <c r="I8" s="2506"/>
      <c r="J8" s="2506"/>
      <c r="K8" s="2122"/>
      <c r="L8" s="2506">
        <v>0.01</v>
      </c>
      <c r="M8" s="2122"/>
      <c r="N8" s="2120"/>
      <c r="O8" s="2119"/>
      <c r="P8" s="2119"/>
      <c r="Q8" s="2119"/>
      <c r="R8" s="2119"/>
      <c r="U8" s="2121">
        <v>-12212.035</v>
      </c>
      <c r="V8" s="2121">
        <v>-1172219.72</v>
      </c>
      <c r="W8" s="2127">
        <f>+O9-U8</f>
        <v>2456777.4810000001</v>
      </c>
      <c r="X8" s="2127">
        <f>+S9-V8</f>
        <v>234131283.19</v>
      </c>
    </row>
    <row r="9" spans="1:24">
      <c r="A9" s="2118"/>
      <c r="B9" s="2118"/>
      <c r="C9" s="2118"/>
      <c r="D9" s="2118"/>
      <c r="E9" s="2118"/>
      <c r="F9" s="2118"/>
      <c r="G9" s="2118"/>
      <c r="H9" s="2506"/>
      <c r="I9" s="2506"/>
      <c r="J9" s="2506"/>
      <c r="K9" s="2122"/>
      <c r="L9" s="2506"/>
      <c r="M9" s="2122"/>
      <c r="N9" s="2120"/>
      <c r="O9" s="2123">
        <f>-H7-H71-H89-H90-H164-H173-H210-H229-H240-H241-H252-H271-H309-H310-H321-H322-H367</f>
        <v>2444565.446</v>
      </c>
      <c r="P9" s="2119"/>
      <c r="Q9" s="2119"/>
      <c r="R9" s="2119"/>
      <c r="S9" s="2123">
        <f>-L7-L71-L89-L90-L164-L173-L210-L229-L240-L241-L252-L271-L309-L310-L321-L322-L367</f>
        <v>232959063.47</v>
      </c>
    </row>
    <row r="10" spans="1:24" ht="27.6">
      <c r="A10" s="2117" t="s">
        <v>2713</v>
      </c>
      <c r="B10" s="2118"/>
      <c r="C10" s="2117" t="s">
        <v>1069</v>
      </c>
      <c r="D10" s="2118"/>
      <c r="E10" s="2117" t="s">
        <v>2714</v>
      </c>
      <c r="F10" s="2118"/>
      <c r="G10" s="2119"/>
      <c r="H10" s="2119"/>
      <c r="I10" s="2119"/>
      <c r="J10" s="2119"/>
      <c r="K10" s="2119"/>
      <c r="L10" s="2119"/>
      <c r="M10" s="2119"/>
      <c r="N10" s="2120"/>
      <c r="O10" s="2119"/>
      <c r="P10" s="2119"/>
      <c r="Q10" s="2119"/>
      <c r="R10" s="2119"/>
    </row>
    <row r="11" spans="1:24" ht="14.4">
      <c r="A11" s="2122"/>
      <c r="B11" s="2122"/>
      <c r="C11" s="2122"/>
      <c r="D11" s="2122"/>
      <c r="E11" s="2122"/>
      <c r="F11" s="2122"/>
      <c r="G11" s="2122"/>
      <c r="H11" s="2122"/>
      <c r="I11" s="2122"/>
      <c r="J11" s="2122"/>
      <c r="K11" s="2122"/>
      <c r="L11" s="2128">
        <f>H8+H81+H92+H165+H175+H184+H212+H231+H243+H254+H273+H300+H312+H323+H332+H341+H369+H378</f>
        <v>165065.52159999998</v>
      </c>
      <c r="M11" s="2128"/>
      <c r="N11" s="2128"/>
      <c r="O11" s="2123">
        <f>O4+O7-O9</f>
        <v>165065.52299999958</v>
      </c>
      <c r="P11" s="2119"/>
      <c r="Q11" s="2128"/>
      <c r="R11" s="2119"/>
      <c r="S11" s="2127">
        <f>L8+L81+L92+L165+L175+L184+L212+L243+L254+L273+L30+L312+L300+L323+L332+L341+L369+L378</f>
        <v>16404261.069999998</v>
      </c>
      <c r="U11" s="2127">
        <f>+U6+O7-O9</f>
        <v>262007.85469999956</v>
      </c>
    </row>
    <row r="12" spans="1:24" ht="14.4">
      <c r="A12" s="2118"/>
      <c r="B12" s="2119"/>
      <c r="C12" s="2119"/>
      <c r="D12" s="2119"/>
      <c r="E12" s="2119"/>
      <c r="F12" s="2119"/>
      <c r="G12" s="2119"/>
      <c r="H12" s="2505" t="s">
        <v>2715</v>
      </c>
      <c r="I12" s="2505"/>
      <c r="J12" s="2122"/>
      <c r="K12" s="2506">
        <v>0</v>
      </c>
      <c r="L12" s="2506"/>
      <c r="M12" s="2128"/>
      <c r="N12" s="2507"/>
      <c r="O12" s="2122"/>
      <c r="P12" s="2128"/>
      <c r="Q12" s="2128"/>
      <c r="R12" s="2119"/>
      <c r="S12" s="2127"/>
    </row>
    <row r="13" spans="1:24" ht="14.4">
      <c r="A13" s="2119"/>
      <c r="B13" s="2119"/>
      <c r="C13" s="2119"/>
      <c r="D13" s="2119"/>
      <c r="E13" s="2119"/>
      <c r="F13" s="2119"/>
      <c r="G13" s="2119"/>
      <c r="H13" s="2122"/>
      <c r="I13" s="2122"/>
      <c r="J13" s="2122"/>
      <c r="K13" s="2506"/>
      <c r="L13" s="2506"/>
      <c r="M13" s="2119"/>
      <c r="N13" s="2507"/>
      <c r="O13" s="2119"/>
      <c r="P13" s="2119"/>
      <c r="Q13" s="2119"/>
      <c r="R13" s="2119"/>
      <c r="S13" s="2127"/>
      <c r="U13" s="2121">
        <v>98327.392500000002</v>
      </c>
      <c r="V13" s="2127">
        <f>O11+U13</f>
        <v>263392.9154999996</v>
      </c>
    </row>
    <row r="14" spans="1:24">
      <c r="A14" s="2117">
        <v>2300</v>
      </c>
      <c r="B14" s="2122"/>
      <c r="C14" s="2508" t="s">
        <v>2719</v>
      </c>
      <c r="D14" s="2508"/>
      <c r="E14" s="2508"/>
      <c r="F14" s="2508"/>
      <c r="G14" s="2508"/>
      <c r="H14" s="2508"/>
      <c r="I14" s="2508"/>
      <c r="J14" s="2122"/>
      <c r="K14" s="2122"/>
      <c r="L14" s="2122"/>
      <c r="M14" s="2122"/>
      <c r="N14" s="2120"/>
      <c r="O14" s="2119"/>
      <c r="P14" s="2119"/>
      <c r="Q14" s="2119"/>
      <c r="R14" s="2119"/>
      <c r="S14" s="2127"/>
    </row>
    <row r="15" spans="1:24">
      <c r="A15" s="2122"/>
      <c r="B15" s="2122"/>
      <c r="C15" s="2122"/>
      <c r="D15" s="2122"/>
      <c r="E15" s="2122"/>
      <c r="F15" s="2122"/>
      <c r="G15" s="2122"/>
      <c r="H15" s="2122"/>
      <c r="I15" s="2122"/>
      <c r="J15" s="2122"/>
      <c r="K15" s="2122"/>
      <c r="L15" s="2122"/>
      <c r="M15" s="2122"/>
      <c r="N15" s="2120"/>
      <c r="O15" s="2119"/>
      <c r="P15" s="2119"/>
      <c r="Q15" s="2119"/>
      <c r="R15" s="2119"/>
      <c r="S15" s="2127"/>
    </row>
    <row r="16" spans="1:24">
      <c r="A16" s="2509"/>
      <c r="B16" s="2509"/>
      <c r="C16" s="2509"/>
      <c r="D16" s="2125"/>
      <c r="E16" s="2125"/>
      <c r="F16" s="2125"/>
      <c r="G16" s="2125"/>
      <c r="H16" s="2510"/>
      <c r="I16" s="2510"/>
      <c r="J16" s="2510"/>
      <c r="K16" s="2125"/>
      <c r="L16" s="2129"/>
      <c r="M16" s="2125"/>
      <c r="N16" s="2120"/>
      <c r="O16" s="2119"/>
      <c r="P16" s="2119"/>
      <c r="Q16" s="2119"/>
      <c r="R16" s="2119"/>
    </row>
    <row r="17" spans="1:18">
      <c r="A17" s="2118"/>
      <c r="B17" s="2118"/>
      <c r="C17" s="2118"/>
      <c r="D17" s="2118"/>
      <c r="E17" s="2505" t="s">
        <v>2718</v>
      </c>
      <c r="F17" s="2505"/>
      <c r="G17" s="2118"/>
      <c r="H17" s="2506">
        <v>0</v>
      </c>
      <c r="I17" s="2506"/>
      <c r="J17" s="2506"/>
      <c r="K17" s="2122"/>
      <c r="L17" s="2506">
        <v>0</v>
      </c>
      <c r="M17" s="2122"/>
      <c r="N17" s="2120"/>
      <c r="O17" s="2119"/>
      <c r="P17" s="2119"/>
      <c r="Q17" s="2119"/>
      <c r="R17" s="2119"/>
    </row>
    <row r="18" spans="1:18">
      <c r="A18" s="2118"/>
      <c r="B18" s="2118"/>
      <c r="C18" s="2118"/>
      <c r="D18" s="2118"/>
      <c r="E18" s="2118"/>
      <c r="F18" s="2118"/>
      <c r="G18" s="2118"/>
      <c r="H18" s="2506"/>
      <c r="I18" s="2506"/>
      <c r="J18" s="2506"/>
      <c r="K18" s="2122"/>
      <c r="L18" s="2506"/>
      <c r="M18" s="2122"/>
      <c r="N18" s="2120"/>
      <c r="O18" s="2119"/>
      <c r="P18" s="2119"/>
      <c r="Q18" s="2119"/>
      <c r="R18" s="2119"/>
    </row>
    <row r="19" spans="1:18" ht="27.6">
      <c r="A19" s="2117" t="s">
        <v>2713</v>
      </c>
      <c r="B19" s="2118"/>
      <c r="C19" s="2117" t="s">
        <v>1069</v>
      </c>
      <c r="D19" s="2118"/>
      <c r="E19" s="2117" t="s">
        <v>2714</v>
      </c>
      <c r="F19" s="2118"/>
      <c r="G19" s="2119"/>
      <c r="H19" s="2119"/>
      <c r="I19" s="2119"/>
      <c r="J19" s="2119"/>
      <c r="K19" s="2119"/>
      <c r="L19" s="2119"/>
      <c r="M19" s="2119"/>
      <c r="N19" s="2120"/>
      <c r="O19" s="2119"/>
      <c r="P19" s="2119"/>
      <c r="Q19" s="2119"/>
      <c r="R19" s="2119"/>
    </row>
    <row r="20" spans="1:18">
      <c r="A20" s="2122"/>
      <c r="B20" s="2122"/>
      <c r="C20" s="2122"/>
      <c r="D20" s="2122"/>
      <c r="E20" s="2122"/>
      <c r="F20" s="2122"/>
      <c r="G20" s="2122"/>
      <c r="H20" s="2122"/>
      <c r="I20" s="2122"/>
      <c r="J20" s="2122"/>
      <c r="K20" s="2122"/>
      <c r="L20" s="2122"/>
      <c r="M20" s="2122"/>
      <c r="N20" s="2120"/>
      <c r="O20" s="2119"/>
      <c r="P20" s="2119"/>
      <c r="Q20" s="2119"/>
      <c r="R20" s="2119"/>
    </row>
    <row r="21" spans="1:18" ht="14.4">
      <c r="A21" s="2118"/>
      <c r="B21" s="2119"/>
      <c r="C21" s="2119"/>
      <c r="D21" s="2119"/>
      <c r="E21" s="2119"/>
      <c r="F21" s="2119"/>
      <c r="G21" s="2119"/>
      <c r="H21" s="2505" t="s">
        <v>2715</v>
      </c>
      <c r="I21" s="2505"/>
      <c r="J21" s="2122"/>
      <c r="K21" s="2506">
        <v>0</v>
      </c>
      <c r="L21" s="2506"/>
      <c r="M21" s="2122"/>
      <c r="N21" s="2507"/>
      <c r="O21" s="2122"/>
      <c r="P21" s="2119"/>
      <c r="Q21" s="2119"/>
      <c r="R21" s="2119"/>
    </row>
    <row r="22" spans="1:18" ht="14.4">
      <c r="A22" s="2119"/>
      <c r="B22" s="2119"/>
      <c r="C22" s="2119"/>
      <c r="D22" s="2119"/>
      <c r="E22" s="2119"/>
      <c r="F22" s="2119"/>
      <c r="G22" s="2119"/>
      <c r="H22" s="2122"/>
      <c r="I22" s="2122"/>
      <c r="J22" s="2122"/>
      <c r="K22" s="2506"/>
      <c r="L22" s="2506"/>
      <c r="M22" s="2119"/>
      <c r="N22" s="2507"/>
      <c r="O22" s="2119"/>
      <c r="P22" s="2119"/>
      <c r="Q22" s="2119"/>
      <c r="R22" s="2119"/>
    </row>
    <row r="23" spans="1:18">
      <c r="A23" s="2117">
        <v>2300</v>
      </c>
      <c r="B23" s="2122"/>
      <c r="C23" s="2508" t="s">
        <v>2719</v>
      </c>
      <c r="D23" s="2508"/>
      <c r="E23" s="2508"/>
      <c r="F23" s="2508"/>
      <c r="G23" s="2508"/>
      <c r="H23" s="2508"/>
      <c r="I23" s="2508"/>
      <c r="J23" s="2122"/>
      <c r="K23" s="2122"/>
      <c r="L23" s="2122"/>
      <c r="M23" s="2122"/>
      <c r="N23" s="2120"/>
      <c r="O23" s="2119"/>
      <c r="P23" s="2119"/>
      <c r="Q23" s="2119"/>
      <c r="R23" s="2119"/>
    </row>
    <row r="24" spans="1:18">
      <c r="A24" s="2122"/>
      <c r="B24" s="2122"/>
      <c r="C24" s="2122"/>
      <c r="D24" s="2122"/>
      <c r="E24" s="2122"/>
      <c r="F24" s="2122"/>
      <c r="G24" s="2122"/>
      <c r="H24" s="2122"/>
      <c r="I24" s="2122"/>
      <c r="J24" s="2122"/>
      <c r="K24" s="2122"/>
      <c r="L24" s="2122"/>
      <c r="M24" s="2122"/>
      <c r="N24" s="2120"/>
      <c r="O24" s="2119"/>
      <c r="P24" s="2119"/>
      <c r="Q24" s="2119"/>
      <c r="R24" s="2119"/>
    </row>
    <row r="25" spans="1:18">
      <c r="A25" s="2509"/>
      <c r="B25" s="2509"/>
      <c r="C25" s="2509"/>
      <c r="D25" s="2125"/>
      <c r="E25" s="2125"/>
      <c r="F25" s="2125"/>
      <c r="G25" s="2125"/>
      <c r="H25" s="2510"/>
      <c r="I25" s="2510"/>
      <c r="J25" s="2510"/>
      <c r="K25" s="2125"/>
      <c r="L25" s="2129"/>
      <c r="M25" s="2125"/>
      <c r="N25" s="2120"/>
      <c r="O25" s="2119"/>
      <c r="P25" s="2119"/>
      <c r="Q25" s="2119"/>
      <c r="R25" s="2119"/>
    </row>
    <row r="26" spans="1:18">
      <c r="A26" s="2118"/>
      <c r="B26" s="2118"/>
      <c r="C26" s="2118"/>
      <c r="D26" s="2118"/>
      <c r="E26" s="2505" t="s">
        <v>2718</v>
      </c>
      <c r="F26" s="2505"/>
      <c r="G26" s="2118"/>
      <c r="H26" s="2506">
        <v>0</v>
      </c>
      <c r="I26" s="2506"/>
      <c r="J26" s="2506"/>
      <c r="K26" s="2122"/>
      <c r="L26" s="2506">
        <v>0</v>
      </c>
      <c r="M26" s="2122"/>
      <c r="N26" s="2120"/>
      <c r="O26" s="2119"/>
      <c r="P26" s="2119"/>
      <c r="Q26" s="2119"/>
      <c r="R26" s="2119"/>
    </row>
    <row r="27" spans="1:18">
      <c r="A27" s="2118"/>
      <c r="B27" s="2118"/>
      <c r="C27" s="2118"/>
      <c r="D27" s="2118"/>
      <c r="E27" s="2118"/>
      <c r="F27" s="2118"/>
      <c r="G27" s="2118"/>
      <c r="H27" s="2506"/>
      <c r="I27" s="2506"/>
      <c r="J27" s="2506"/>
      <c r="K27" s="2122"/>
      <c r="L27" s="2506"/>
      <c r="M27" s="2122"/>
      <c r="N27" s="2120"/>
      <c r="O27" s="2119"/>
      <c r="P27" s="2119"/>
      <c r="Q27" s="2119"/>
      <c r="R27" s="2119"/>
    </row>
    <row r="28" spans="1:18" ht="27.6">
      <c r="A28" s="2117" t="s">
        <v>2713</v>
      </c>
      <c r="B28" s="2118"/>
      <c r="C28" s="2117" t="s">
        <v>1069</v>
      </c>
      <c r="D28" s="2118"/>
      <c r="E28" s="2117" t="s">
        <v>2714</v>
      </c>
      <c r="F28" s="2118"/>
      <c r="G28" s="2119"/>
      <c r="H28" s="2119"/>
      <c r="I28" s="2119"/>
      <c r="J28" s="2119"/>
      <c r="K28" s="2119"/>
      <c r="L28" s="2119"/>
      <c r="M28" s="2119"/>
      <c r="N28" s="2120"/>
      <c r="O28" s="2119"/>
      <c r="P28" s="2119"/>
      <c r="Q28" s="2119"/>
      <c r="R28" s="2119"/>
    </row>
    <row r="29" spans="1:18">
      <c r="A29" s="2122"/>
      <c r="B29" s="2122"/>
      <c r="C29" s="2122"/>
      <c r="D29" s="2122"/>
      <c r="E29" s="2122"/>
      <c r="F29" s="2122"/>
      <c r="G29" s="2122"/>
      <c r="H29" s="2122"/>
      <c r="I29" s="2122"/>
      <c r="J29" s="2122"/>
      <c r="K29" s="2122"/>
      <c r="L29" s="2122"/>
      <c r="M29" s="2122"/>
      <c r="N29" s="2120"/>
      <c r="O29" s="2119"/>
      <c r="P29" s="2119"/>
      <c r="Q29" s="2119"/>
      <c r="R29" s="2119"/>
    </row>
    <row r="30" spans="1:18" ht="14.4">
      <c r="A30" s="2118"/>
      <c r="B30" s="2119"/>
      <c r="C30" s="2119"/>
      <c r="D30" s="2119"/>
      <c r="E30" s="2119"/>
      <c r="F30" s="2119"/>
      <c r="G30" s="2119"/>
      <c r="H30" s="2505" t="s">
        <v>2715</v>
      </c>
      <c r="I30" s="2505"/>
      <c r="J30" s="2122"/>
      <c r="K30" s="2506">
        <v>0</v>
      </c>
      <c r="L30" s="2506"/>
      <c r="M30" s="2122"/>
      <c r="N30" s="2507"/>
      <c r="O30" s="2122"/>
      <c r="P30" s="2119"/>
      <c r="Q30" s="2119"/>
      <c r="R30" s="2119"/>
    </row>
    <row r="31" spans="1:18" ht="14.4">
      <c r="A31" s="2119"/>
      <c r="B31" s="2119"/>
      <c r="C31" s="2119"/>
      <c r="D31" s="2119"/>
      <c r="E31" s="2119"/>
      <c r="F31" s="2119"/>
      <c r="G31" s="2119"/>
      <c r="H31" s="2122"/>
      <c r="I31" s="2122"/>
      <c r="J31" s="2122"/>
      <c r="K31" s="2506"/>
      <c r="L31" s="2506"/>
      <c r="M31" s="2119"/>
      <c r="N31" s="2507"/>
      <c r="O31" s="2119"/>
      <c r="P31" s="2119"/>
      <c r="Q31" s="2119"/>
      <c r="R31" s="2119"/>
    </row>
    <row r="32" spans="1:18">
      <c r="A32" s="2117">
        <v>2300</v>
      </c>
      <c r="B32" s="2122"/>
      <c r="C32" s="2508" t="s">
        <v>2719</v>
      </c>
      <c r="D32" s="2508"/>
      <c r="E32" s="2508"/>
      <c r="F32" s="2508"/>
      <c r="G32" s="2508"/>
      <c r="H32" s="2508"/>
      <c r="I32" s="2508"/>
      <c r="J32" s="2122"/>
      <c r="K32" s="2122"/>
      <c r="L32" s="2122"/>
      <c r="M32" s="2122"/>
      <c r="N32" s="2120"/>
      <c r="O32" s="2119"/>
      <c r="P32" s="2119"/>
      <c r="Q32" s="2119"/>
      <c r="R32" s="2119"/>
    </row>
    <row r="33" spans="1:18">
      <c r="A33" s="2122"/>
      <c r="B33" s="2122"/>
      <c r="C33" s="2122"/>
      <c r="D33" s="2122"/>
      <c r="E33" s="2122"/>
      <c r="F33" s="2122"/>
      <c r="G33" s="2122"/>
      <c r="H33" s="2122"/>
      <c r="I33" s="2122"/>
      <c r="J33" s="2122"/>
      <c r="K33" s="2122"/>
      <c r="L33" s="2122"/>
      <c r="M33" s="2122"/>
      <c r="N33" s="2120"/>
      <c r="O33" s="2119"/>
      <c r="P33" s="2119"/>
      <c r="Q33" s="2119"/>
      <c r="R33" s="2119"/>
    </row>
    <row r="34" spans="1:18">
      <c r="A34" s="2509"/>
      <c r="B34" s="2509"/>
      <c r="C34" s="2509"/>
      <c r="D34" s="2125"/>
      <c r="E34" s="2125"/>
      <c r="F34" s="2125"/>
      <c r="G34" s="2125"/>
      <c r="H34" s="2510"/>
      <c r="I34" s="2510"/>
      <c r="J34" s="2510"/>
      <c r="K34" s="2125"/>
      <c r="L34" s="2129"/>
      <c r="M34" s="2125"/>
      <c r="N34" s="2120"/>
      <c r="O34" s="2119"/>
      <c r="P34" s="2119"/>
      <c r="Q34" s="2119"/>
      <c r="R34" s="2119"/>
    </row>
    <row r="35" spans="1:18">
      <c r="A35" s="2118"/>
      <c r="B35" s="2118"/>
      <c r="C35" s="2118"/>
      <c r="D35" s="2118"/>
      <c r="E35" s="2505" t="s">
        <v>2718</v>
      </c>
      <c r="F35" s="2505"/>
      <c r="G35" s="2118"/>
      <c r="H35" s="2506">
        <v>0</v>
      </c>
      <c r="I35" s="2506"/>
      <c r="J35" s="2506"/>
      <c r="K35" s="2122"/>
      <c r="L35" s="2506">
        <v>0</v>
      </c>
      <c r="M35" s="2122"/>
      <c r="N35" s="2120"/>
      <c r="O35" s="2119"/>
      <c r="P35" s="2119"/>
      <c r="Q35" s="2119"/>
      <c r="R35" s="2119"/>
    </row>
    <row r="36" spans="1:18">
      <c r="A36" s="2118"/>
      <c r="B36" s="2118"/>
      <c r="C36" s="2118"/>
      <c r="D36" s="2118"/>
      <c r="E36" s="2118"/>
      <c r="F36" s="2118"/>
      <c r="G36" s="2118"/>
      <c r="H36" s="2506"/>
      <c r="I36" s="2506"/>
      <c r="J36" s="2506"/>
      <c r="K36" s="2122"/>
      <c r="L36" s="2506"/>
      <c r="M36" s="2122"/>
      <c r="N36" s="2120"/>
      <c r="O36" s="2119"/>
      <c r="P36" s="2119"/>
      <c r="Q36" s="2119"/>
      <c r="R36" s="2119"/>
    </row>
    <row r="37" spans="1:18" ht="27.6">
      <c r="A37" s="2117" t="s">
        <v>2713</v>
      </c>
      <c r="B37" s="2118"/>
      <c r="C37" s="2117" t="s">
        <v>1069</v>
      </c>
      <c r="D37" s="2118"/>
      <c r="E37" s="2117" t="s">
        <v>2714</v>
      </c>
      <c r="F37" s="2118"/>
      <c r="G37" s="2119"/>
      <c r="H37" s="2119"/>
      <c r="I37" s="2119"/>
      <c r="J37" s="2119"/>
      <c r="K37" s="2119"/>
      <c r="L37" s="2119"/>
      <c r="M37" s="2119"/>
      <c r="N37" s="2120"/>
      <c r="O37" s="2119"/>
      <c r="P37" s="2119"/>
      <c r="Q37" s="2119"/>
      <c r="R37" s="2119"/>
    </row>
    <row r="38" spans="1:18">
      <c r="A38" s="2122"/>
      <c r="B38" s="2122"/>
      <c r="C38" s="2122"/>
      <c r="D38" s="2122"/>
      <c r="E38" s="2122"/>
      <c r="F38" s="2122"/>
      <c r="G38" s="2122"/>
      <c r="H38" s="2122"/>
      <c r="I38" s="2122"/>
      <c r="J38" s="2122"/>
      <c r="K38" s="2122"/>
      <c r="L38" s="2122"/>
      <c r="M38" s="2122"/>
      <c r="N38" s="2120"/>
      <c r="O38" s="2119"/>
      <c r="P38" s="2119"/>
      <c r="Q38" s="2119"/>
      <c r="R38" s="2119"/>
    </row>
    <row r="39" spans="1:18" ht="14.4">
      <c r="A39" s="2118"/>
      <c r="B39" s="2119"/>
      <c r="C39" s="2119"/>
      <c r="D39" s="2119"/>
      <c r="E39" s="2119"/>
      <c r="F39" s="2119"/>
      <c r="G39" s="2119"/>
      <c r="H39" s="2505" t="s">
        <v>2715</v>
      </c>
      <c r="I39" s="2505"/>
      <c r="J39" s="2122"/>
      <c r="K39" s="2506">
        <v>0</v>
      </c>
      <c r="L39" s="2506"/>
      <c r="M39" s="2122"/>
      <c r="N39" s="2507"/>
      <c r="O39" s="2122"/>
      <c r="P39" s="2119"/>
      <c r="Q39" s="2119"/>
      <c r="R39" s="2119"/>
    </row>
    <row r="40" spans="1:18" ht="14.4">
      <c r="A40" s="2119"/>
      <c r="B40" s="2119"/>
      <c r="C40" s="2119"/>
      <c r="D40" s="2119"/>
      <c r="E40" s="2119"/>
      <c r="F40" s="2119"/>
      <c r="G40" s="2119"/>
      <c r="H40" s="2122"/>
      <c r="I40" s="2122"/>
      <c r="J40" s="2122"/>
      <c r="K40" s="2506"/>
      <c r="L40" s="2506"/>
      <c r="M40" s="2119"/>
      <c r="N40" s="2507"/>
      <c r="O40" s="2119"/>
      <c r="P40" s="2119"/>
      <c r="Q40" s="2119"/>
      <c r="R40" s="2119"/>
    </row>
    <row r="41" spans="1:18">
      <c r="A41" s="2117">
        <v>5123</v>
      </c>
      <c r="B41" s="2122"/>
      <c r="C41" s="2508" t="s">
        <v>2720</v>
      </c>
      <c r="D41" s="2508"/>
      <c r="E41" s="2508"/>
      <c r="F41" s="2508"/>
      <c r="G41" s="2508"/>
      <c r="H41" s="2508"/>
      <c r="I41" s="2508"/>
      <c r="J41" s="2122"/>
      <c r="K41" s="2122"/>
      <c r="L41" s="2122"/>
      <c r="M41" s="2122"/>
      <c r="N41" s="2120"/>
      <c r="O41" s="2119"/>
      <c r="P41" s="2119"/>
      <c r="Q41" s="2119"/>
      <c r="R41" s="2119"/>
    </row>
    <row r="42" spans="1:18">
      <c r="A42" s="2122"/>
      <c r="B42" s="2122"/>
      <c r="C42" s="2122"/>
      <c r="D42" s="2122"/>
      <c r="E42" s="2122"/>
      <c r="F42" s="2122"/>
      <c r="G42" s="2122"/>
      <c r="H42" s="2122"/>
      <c r="I42" s="2122"/>
      <c r="J42" s="2122"/>
      <c r="K42" s="2122"/>
      <c r="L42" s="2122"/>
      <c r="M42" s="2122"/>
      <c r="N42" s="2120"/>
      <c r="O42" s="2119"/>
      <c r="P42" s="2119"/>
      <c r="Q42" s="2119"/>
      <c r="R42" s="2119"/>
    </row>
    <row r="43" spans="1:18">
      <c r="A43" s="2509"/>
      <c r="B43" s="2509"/>
      <c r="C43" s="2509"/>
      <c r="D43" s="2125"/>
      <c r="E43" s="2125"/>
      <c r="F43" s="2125"/>
      <c r="G43" s="2125"/>
      <c r="H43" s="2510"/>
      <c r="I43" s="2510"/>
      <c r="J43" s="2510"/>
      <c r="K43" s="2125"/>
      <c r="L43" s="2129"/>
      <c r="M43" s="2125"/>
      <c r="N43" s="2120"/>
      <c r="O43" s="2119"/>
      <c r="P43" s="2119"/>
      <c r="Q43" s="2119"/>
      <c r="R43" s="2119"/>
    </row>
    <row r="44" spans="1:18">
      <c r="A44" s="2118"/>
      <c r="B44" s="2118"/>
      <c r="C44" s="2118"/>
      <c r="D44" s="2118"/>
      <c r="E44" s="2505" t="s">
        <v>2718</v>
      </c>
      <c r="F44" s="2505"/>
      <c r="G44" s="2118"/>
      <c r="H44" s="2506">
        <v>0</v>
      </c>
      <c r="I44" s="2506"/>
      <c r="J44" s="2506"/>
      <c r="K44" s="2122"/>
      <c r="L44" s="2506">
        <v>0</v>
      </c>
      <c r="M44" s="2122"/>
      <c r="N44" s="2120"/>
      <c r="O44" s="2119"/>
      <c r="P44" s="2119"/>
      <c r="Q44" s="2119"/>
      <c r="R44" s="2119"/>
    </row>
    <row r="45" spans="1:18">
      <c r="A45" s="2118"/>
      <c r="B45" s="2118"/>
      <c r="C45" s="2118"/>
      <c r="D45" s="2118"/>
      <c r="E45" s="2118"/>
      <c r="F45" s="2118"/>
      <c r="G45" s="2118"/>
      <c r="H45" s="2506"/>
      <c r="I45" s="2506"/>
      <c r="J45" s="2506"/>
      <c r="K45" s="2122"/>
      <c r="L45" s="2506"/>
      <c r="M45" s="2122"/>
      <c r="N45" s="2120"/>
      <c r="O45" s="2119"/>
      <c r="P45" s="2119"/>
      <c r="Q45" s="2119"/>
      <c r="R45" s="2119"/>
    </row>
    <row r="46" spans="1:18" ht="27.6">
      <c r="A46" s="2117" t="s">
        <v>2713</v>
      </c>
      <c r="B46" s="2118"/>
      <c r="C46" s="2117" t="s">
        <v>1069</v>
      </c>
      <c r="D46" s="2118"/>
      <c r="E46" s="2117" t="s">
        <v>2714</v>
      </c>
      <c r="F46" s="2118"/>
      <c r="G46" s="2119"/>
      <c r="H46" s="2119"/>
      <c r="I46" s="2119"/>
      <c r="J46" s="2119"/>
      <c r="K46" s="2119"/>
      <c r="L46" s="2119"/>
      <c r="M46" s="2119"/>
      <c r="N46" s="2120"/>
      <c r="O46" s="2119"/>
      <c r="P46" s="2119"/>
      <c r="Q46" s="2119"/>
      <c r="R46" s="2119"/>
    </row>
    <row r="47" spans="1:18">
      <c r="A47" s="2122"/>
      <c r="B47" s="2122"/>
      <c r="C47" s="2122"/>
      <c r="D47" s="2122"/>
      <c r="E47" s="2122"/>
      <c r="F47" s="2122"/>
      <c r="G47" s="2122"/>
      <c r="H47" s="2122"/>
      <c r="I47" s="2122"/>
      <c r="J47" s="2122"/>
      <c r="K47" s="2122"/>
      <c r="L47" s="2122"/>
      <c r="M47" s="2122"/>
      <c r="N47" s="2120"/>
      <c r="O47" s="2119"/>
      <c r="P47" s="2119"/>
      <c r="Q47" s="2119"/>
      <c r="R47" s="2119"/>
    </row>
    <row r="48" spans="1:18" ht="14.4">
      <c r="A48" s="2118"/>
      <c r="B48" s="2119"/>
      <c r="C48" s="2119"/>
      <c r="D48" s="2119"/>
      <c r="E48" s="2119"/>
      <c r="F48" s="2119"/>
      <c r="G48" s="2119"/>
      <c r="H48" s="2505" t="s">
        <v>2715</v>
      </c>
      <c r="I48" s="2505"/>
      <c r="J48" s="2122"/>
      <c r="K48" s="2506">
        <v>0</v>
      </c>
      <c r="L48" s="2506"/>
      <c r="M48" s="2122"/>
      <c r="N48" s="2507"/>
      <c r="O48" s="2122"/>
      <c r="P48" s="2119"/>
      <c r="Q48" s="2119"/>
      <c r="R48" s="2119"/>
    </row>
    <row r="49" spans="1:18" ht="14.4">
      <c r="A49" s="2119"/>
      <c r="B49" s="2119"/>
      <c r="C49" s="2119"/>
      <c r="D49" s="2119"/>
      <c r="E49" s="2119"/>
      <c r="F49" s="2119"/>
      <c r="G49" s="2119"/>
      <c r="H49" s="2122"/>
      <c r="I49" s="2122"/>
      <c r="J49" s="2122"/>
      <c r="K49" s="2506"/>
      <c r="L49" s="2506"/>
      <c r="M49" s="2119"/>
      <c r="N49" s="2507"/>
      <c r="O49" s="2119"/>
      <c r="P49" s="2119"/>
      <c r="Q49" s="2119"/>
      <c r="R49" s="2119"/>
    </row>
    <row r="50" spans="1:18">
      <c r="A50" s="2117">
        <v>5123</v>
      </c>
      <c r="B50" s="2122"/>
      <c r="C50" s="2508" t="s">
        <v>2720</v>
      </c>
      <c r="D50" s="2508"/>
      <c r="E50" s="2508"/>
      <c r="F50" s="2508"/>
      <c r="G50" s="2508"/>
      <c r="H50" s="2508"/>
      <c r="I50" s="2508"/>
      <c r="J50" s="2122"/>
      <c r="K50" s="2122"/>
      <c r="L50" s="2122"/>
      <c r="M50" s="2122"/>
      <c r="N50" s="2120"/>
      <c r="O50" s="2119"/>
      <c r="P50" s="2119"/>
      <c r="Q50" s="2119"/>
      <c r="R50" s="2119"/>
    </row>
    <row r="51" spans="1:18">
      <c r="A51" s="2122"/>
      <c r="B51" s="2122"/>
      <c r="C51" s="2122"/>
      <c r="D51" s="2122"/>
      <c r="E51" s="2122"/>
      <c r="F51" s="2122"/>
      <c r="G51" s="2122"/>
      <c r="H51" s="2122"/>
      <c r="I51" s="2122"/>
      <c r="J51" s="2122"/>
      <c r="K51" s="2122"/>
      <c r="L51" s="2122"/>
      <c r="M51" s="2122"/>
      <c r="N51" s="2120"/>
      <c r="O51" s="2119"/>
      <c r="P51" s="2119"/>
      <c r="Q51" s="2119"/>
      <c r="R51" s="2119"/>
    </row>
    <row r="52" spans="1:18">
      <c r="A52" s="2509"/>
      <c r="B52" s="2509"/>
      <c r="C52" s="2509"/>
      <c r="D52" s="2125"/>
      <c r="E52" s="2125"/>
      <c r="F52" s="2125"/>
      <c r="G52" s="2125"/>
      <c r="H52" s="2510"/>
      <c r="I52" s="2510"/>
      <c r="J52" s="2510"/>
      <c r="K52" s="2125"/>
      <c r="L52" s="2129"/>
      <c r="M52" s="2125"/>
      <c r="N52" s="2120"/>
      <c r="O52" s="2119"/>
      <c r="P52" s="2119"/>
      <c r="Q52" s="2119"/>
      <c r="R52" s="2119"/>
    </row>
    <row r="53" spans="1:18">
      <c r="A53" s="2118"/>
      <c r="B53" s="2118"/>
      <c r="C53" s="2118"/>
      <c r="D53" s="2118"/>
      <c r="E53" s="2505" t="s">
        <v>2718</v>
      </c>
      <c r="F53" s="2505"/>
      <c r="G53" s="2118"/>
      <c r="H53" s="2506">
        <v>0</v>
      </c>
      <c r="I53" s="2506"/>
      <c r="J53" s="2506"/>
      <c r="K53" s="2122"/>
      <c r="L53" s="2506">
        <v>0</v>
      </c>
      <c r="M53" s="2122"/>
      <c r="N53" s="2120"/>
      <c r="O53" s="2119"/>
      <c r="P53" s="2119"/>
      <c r="Q53" s="2119"/>
      <c r="R53" s="2119"/>
    </row>
    <row r="54" spans="1:18">
      <c r="A54" s="2118"/>
      <c r="B54" s="2118"/>
      <c r="C54" s="2118"/>
      <c r="D54" s="2118"/>
      <c r="E54" s="2118"/>
      <c r="F54" s="2118"/>
      <c r="G54" s="2118"/>
      <c r="H54" s="2506"/>
      <c r="I54" s="2506"/>
      <c r="J54" s="2506"/>
      <c r="K54" s="2122"/>
      <c r="L54" s="2506"/>
      <c r="M54" s="2122"/>
      <c r="N54" s="2120"/>
      <c r="O54" s="2119"/>
      <c r="P54" s="2119"/>
      <c r="Q54" s="2119"/>
      <c r="R54" s="2119"/>
    </row>
    <row r="55" spans="1:18" ht="27.6">
      <c r="A55" s="2117" t="s">
        <v>2713</v>
      </c>
      <c r="B55" s="2118"/>
      <c r="C55" s="2117" t="s">
        <v>1069</v>
      </c>
      <c r="D55" s="2118"/>
      <c r="E55" s="2117" t="s">
        <v>2714</v>
      </c>
      <c r="F55" s="2118"/>
      <c r="G55" s="2119"/>
      <c r="H55" s="2119"/>
      <c r="I55" s="2119"/>
      <c r="J55" s="2119"/>
      <c r="K55" s="2119"/>
      <c r="L55" s="2119"/>
      <c r="M55" s="2119"/>
      <c r="N55" s="2120"/>
      <c r="O55" s="2119"/>
      <c r="P55" s="2119"/>
      <c r="Q55" s="2119"/>
      <c r="R55" s="2119"/>
    </row>
    <row r="56" spans="1:18">
      <c r="A56" s="2122"/>
      <c r="B56" s="2122"/>
      <c r="C56" s="2122"/>
      <c r="D56" s="2122"/>
      <c r="E56" s="2122"/>
      <c r="F56" s="2122"/>
      <c r="G56" s="2122"/>
      <c r="H56" s="2122"/>
      <c r="I56" s="2122"/>
      <c r="J56" s="2122"/>
      <c r="K56" s="2122"/>
      <c r="L56" s="2122"/>
      <c r="M56" s="2122"/>
      <c r="N56" s="2120"/>
      <c r="O56" s="2119"/>
      <c r="P56" s="2119"/>
      <c r="Q56" s="2119"/>
      <c r="R56" s="2119"/>
    </row>
    <row r="57" spans="1:18" ht="14.4">
      <c r="A57" s="2118"/>
      <c r="B57" s="2119"/>
      <c r="C57" s="2119"/>
      <c r="D57" s="2119"/>
      <c r="E57" s="2119"/>
      <c r="F57" s="2119"/>
      <c r="G57" s="2119"/>
      <c r="H57" s="2505" t="s">
        <v>2715</v>
      </c>
      <c r="I57" s="2505"/>
      <c r="J57" s="2122"/>
      <c r="K57" s="2506">
        <v>0</v>
      </c>
      <c r="L57" s="2506"/>
      <c r="M57" s="2122"/>
      <c r="N57" s="2507"/>
      <c r="O57" s="2122"/>
      <c r="P57" s="2119"/>
      <c r="Q57" s="2119"/>
      <c r="R57" s="2119"/>
    </row>
    <row r="58" spans="1:18" ht="14.4">
      <c r="A58" s="2119"/>
      <c r="B58" s="2119"/>
      <c r="C58" s="2119"/>
      <c r="D58" s="2119"/>
      <c r="E58" s="2119"/>
      <c r="F58" s="2119"/>
      <c r="G58" s="2119"/>
      <c r="H58" s="2122"/>
      <c r="I58" s="2122"/>
      <c r="J58" s="2122"/>
      <c r="K58" s="2506"/>
      <c r="L58" s="2506"/>
      <c r="M58" s="2119"/>
      <c r="N58" s="2507"/>
      <c r="O58" s="2119"/>
      <c r="P58" s="2119"/>
      <c r="Q58" s="2119"/>
      <c r="R58" s="2119"/>
    </row>
    <row r="59" spans="1:18">
      <c r="A59" s="2117">
        <v>5178</v>
      </c>
      <c r="B59" s="2122"/>
      <c r="C59" s="2508" t="s">
        <v>2719</v>
      </c>
      <c r="D59" s="2508"/>
      <c r="E59" s="2508"/>
      <c r="F59" s="2508"/>
      <c r="G59" s="2508"/>
      <c r="H59" s="2508"/>
      <c r="I59" s="2508"/>
      <c r="J59" s="2122"/>
      <c r="K59" s="2122"/>
      <c r="L59" s="2122"/>
      <c r="M59" s="2122"/>
      <c r="N59" s="2120"/>
      <c r="O59" s="2119"/>
      <c r="P59" s="2119"/>
      <c r="Q59" s="2119"/>
      <c r="R59" s="2119"/>
    </row>
    <row r="60" spans="1:18">
      <c r="A60" s="2122"/>
      <c r="B60" s="2122"/>
      <c r="C60" s="2122"/>
      <c r="D60" s="2122"/>
      <c r="E60" s="2122"/>
      <c r="F60" s="2122"/>
      <c r="G60" s="2122"/>
      <c r="H60" s="2122"/>
      <c r="I60" s="2122"/>
      <c r="J60" s="2122"/>
      <c r="K60" s="2122"/>
      <c r="L60" s="2122"/>
      <c r="M60" s="2122"/>
      <c r="N60" s="2120"/>
      <c r="O60" s="2119"/>
      <c r="P60" s="2119"/>
      <c r="Q60" s="2119"/>
      <c r="R60" s="2119"/>
    </row>
    <row r="61" spans="1:18">
      <c r="A61" s="2509"/>
      <c r="B61" s="2509"/>
      <c r="C61" s="2509"/>
      <c r="D61" s="2125"/>
      <c r="E61" s="2125"/>
      <c r="F61" s="2125"/>
      <c r="G61" s="2125"/>
      <c r="H61" s="2510"/>
      <c r="I61" s="2510"/>
      <c r="J61" s="2510"/>
      <c r="K61" s="2125"/>
      <c r="L61" s="2129"/>
      <c r="M61" s="2125"/>
      <c r="N61" s="2120"/>
      <c r="O61" s="2119"/>
      <c r="P61" s="2119"/>
      <c r="Q61" s="2119"/>
      <c r="R61" s="2119"/>
    </row>
    <row r="62" spans="1:18">
      <c r="A62" s="2118"/>
      <c r="B62" s="2118"/>
      <c r="C62" s="2118"/>
      <c r="D62" s="2118"/>
      <c r="E62" s="2505" t="s">
        <v>2718</v>
      </c>
      <c r="F62" s="2505"/>
      <c r="G62" s="2118"/>
      <c r="H62" s="2506">
        <v>0</v>
      </c>
      <c r="I62" s="2506"/>
      <c r="J62" s="2506"/>
      <c r="K62" s="2122"/>
      <c r="L62" s="2506">
        <v>0</v>
      </c>
      <c r="M62" s="2122"/>
      <c r="N62" s="2120"/>
      <c r="O62" s="2119"/>
      <c r="P62" s="2119"/>
      <c r="Q62" s="2119"/>
      <c r="R62" s="2119"/>
    </row>
    <row r="63" spans="1:18">
      <c r="A63" s="2118"/>
      <c r="B63" s="2118"/>
      <c r="C63" s="2118"/>
      <c r="D63" s="2118"/>
      <c r="E63" s="2118"/>
      <c r="F63" s="2118"/>
      <c r="G63" s="2118"/>
      <c r="H63" s="2506"/>
      <c r="I63" s="2506"/>
      <c r="J63" s="2506"/>
      <c r="K63" s="2122"/>
      <c r="L63" s="2506"/>
      <c r="M63" s="2122"/>
      <c r="N63" s="2120"/>
      <c r="O63" s="2119"/>
      <c r="P63" s="2119"/>
      <c r="Q63" s="2119"/>
      <c r="R63" s="2119"/>
    </row>
    <row r="64" spans="1:18" ht="27.6">
      <c r="A64" s="2117" t="s">
        <v>2713</v>
      </c>
      <c r="B64" s="2118"/>
      <c r="C64" s="2117" t="s">
        <v>1069</v>
      </c>
      <c r="D64" s="2118"/>
      <c r="E64" s="2117" t="s">
        <v>2714</v>
      </c>
      <c r="F64" s="2118"/>
      <c r="G64" s="2119"/>
      <c r="H64" s="2119"/>
      <c r="I64" s="2119"/>
      <c r="J64" s="2119"/>
      <c r="K64" s="2119"/>
      <c r="L64" s="2119"/>
      <c r="M64" s="2119"/>
      <c r="N64" s="2120"/>
      <c r="O64" s="2119"/>
      <c r="P64" s="2119"/>
      <c r="Q64" s="2119"/>
      <c r="R64" s="2119"/>
    </row>
    <row r="65" spans="1:18">
      <c r="A65" s="2122"/>
      <c r="B65" s="2122"/>
      <c r="C65" s="2122"/>
      <c r="D65" s="2122"/>
      <c r="E65" s="2122"/>
      <c r="F65" s="2122"/>
      <c r="G65" s="2122"/>
      <c r="H65" s="2122"/>
      <c r="I65" s="2122"/>
      <c r="J65" s="2122"/>
      <c r="K65" s="2122"/>
      <c r="L65" s="2122"/>
      <c r="M65" s="2122"/>
      <c r="N65" s="2120"/>
      <c r="O65" s="2119"/>
      <c r="P65" s="2119"/>
      <c r="Q65" s="2119"/>
      <c r="R65" s="2119"/>
    </row>
    <row r="66" spans="1:18" ht="14.4">
      <c r="A66" s="2118"/>
      <c r="B66" s="2119"/>
      <c r="C66" s="2119"/>
      <c r="D66" s="2119"/>
      <c r="E66" s="2119"/>
      <c r="F66" s="2119"/>
      <c r="G66" s="2119"/>
      <c r="H66" s="2505" t="s">
        <v>2715</v>
      </c>
      <c r="I66" s="2505"/>
      <c r="J66" s="2122"/>
      <c r="K66" s="2506">
        <v>0</v>
      </c>
      <c r="L66" s="2506"/>
      <c r="M66" s="2122"/>
      <c r="N66" s="2507"/>
      <c r="O66" s="2122"/>
      <c r="P66" s="2119"/>
      <c r="Q66" s="2119"/>
      <c r="R66" s="2119"/>
    </row>
    <row r="67" spans="1:18" ht="14.4">
      <c r="A67" s="2119"/>
      <c r="B67" s="2119"/>
      <c r="C67" s="2119"/>
      <c r="D67" s="2119"/>
      <c r="E67" s="2119"/>
      <c r="F67" s="2119"/>
      <c r="G67" s="2119"/>
      <c r="H67" s="2122"/>
      <c r="I67" s="2122"/>
      <c r="J67" s="2122"/>
      <c r="K67" s="2506"/>
      <c r="L67" s="2506"/>
      <c r="M67" s="2119"/>
      <c r="N67" s="2507"/>
      <c r="O67" s="2119"/>
      <c r="P67" s="2119"/>
      <c r="Q67" s="2119"/>
      <c r="R67" s="2119"/>
    </row>
    <row r="68" spans="1:18">
      <c r="A68" s="2117">
        <v>13425</v>
      </c>
      <c r="B68" s="2122"/>
      <c r="C68" s="2508" t="s">
        <v>2721</v>
      </c>
      <c r="D68" s="2508"/>
      <c r="E68" s="2508"/>
      <c r="F68" s="2508"/>
      <c r="G68" s="2508"/>
      <c r="H68" s="2508"/>
      <c r="I68" s="2508"/>
      <c r="J68" s="2122"/>
      <c r="K68" s="2122"/>
      <c r="L68" s="2122"/>
      <c r="M68" s="2122"/>
      <c r="N68" s="2120"/>
      <c r="O68" s="2119"/>
      <c r="P68" s="2119"/>
      <c r="Q68" s="2119"/>
      <c r="R68" s="2119"/>
    </row>
    <row r="69" spans="1:18">
      <c r="A69" s="2122"/>
      <c r="B69" s="2122"/>
      <c r="C69" s="2122"/>
      <c r="D69" s="2122"/>
      <c r="E69" s="2122"/>
      <c r="F69" s="2122"/>
      <c r="G69" s="2122"/>
      <c r="H69" s="2122"/>
      <c r="I69" s="2122"/>
      <c r="J69" s="2122"/>
      <c r="K69" s="2122"/>
      <c r="L69" s="2122"/>
      <c r="M69" s="2122"/>
      <c r="N69" s="2120"/>
      <c r="O69" s="2119"/>
      <c r="P69" s="2119"/>
      <c r="Q69" s="2119"/>
      <c r="R69" s="2119"/>
    </row>
    <row r="70" spans="1:18">
      <c r="A70" s="2511" t="s">
        <v>2722</v>
      </c>
      <c r="B70" s="2511"/>
      <c r="C70" s="2511"/>
      <c r="D70" s="2125"/>
      <c r="E70" s="2125"/>
      <c r="F70" s="2125"/>
      <c r="G70" s="2125"/>
      <c r="H70" s="2510">
        <v>97.512</v>
      </c>
      <c r="I70" s="2510"/>
      <c r="J70" s="2510"/>
      <c r="K70" s="2125"/>
      <c r="L70" s="2126">
        <v>9981</v>
      </c>
      <c r="M70" s="2125"/>
      <c r="N70" s="2120"/>
      <c r="O70" s="2119"/>
      <c r="P70" s="2119"/>
      <c r="Q70" s="2119"/>
      <c r="R70" s="2119"/>
    </row>
    <row r="71" spans="1:18">
      <c r="A71" s="2511" t="s">
        <v>2723</v>
      </c>
      <c r="B71" s="2511"/>
      <c r="C71" s="2511"/>
      <c r="D71" s="2125"/>
      <c r="E71" s="2125"/>
      <c r="F71" s="2125"/>
      <c r="G71" s="2125"/>
      <c r="H71" s="2510">
        <v>-97.512</v>
      </c>
      <c r="I71" s="2510"/>
      <c r="J71" s="2510"/>
      <c r="K71" s="2125"/>
      <c r="L71" s="2126">
        <v>-10028.030000000001</v>
      </c>
      <c r="M71" s="2125"/>
      <c r="N71" s="2120"/>
      <c r="O71" s="2119"/>
      <c r="P71" s="2119"/>
      <c r="Q71" s="2119"/>
      <c r="R71" s="2119"/>
    </row>
    <row r="72" spans="1:18">
      <c r="A72" s="2118"/>
      <c r="B72" s="2118"/>
      <c r="C72" s="2118"/>
      <c r="D72" s="2118"/>
      <c r="E72" s="2505" t="s">
        <v>2718</v>
      </c>
      <c r="F72" s="2505"/>
      <c r="G72" s="2118"/>
      <c r="H72" s="2506">
        <v>0</v>
      </c>
      <c r="I72" s="2506"/>
      <c r="J72" s="2506"/>
      <c r="K72" s="2122"/>
      <c r="L72" s="2506">
        <v>0</v>
      </c>
      <c r="M72" s="2122"/>
      <c r="N72" s="2120"/>
      <c r="O72" s="2119"/>
      <c r="P72" s="2119"/>
      <c r="Q72" s="2119"/>
      <c r="R72" s="2119"/>
    </row>
    <row r="73" spans="1:18">
      <c r="A73" s="2118"/>
      <c r="B73" s="2118"/>
      <c r="C73" s="2118"/>
      <c r="D73" s="2118"/>
      <c r="E73" s="2118"/>
      <c r="F73" s="2118"/>
      <c r="G73" s="2118"/>
      <c r="H73" s="2506"/>
      <c r="I73" s="2506"/>
      <c r="J73" s="2506"/>
      <c r="K73" s="2122"/>
      <c r="L73" s="2506"/>
      <c r="M73" s="2122"/>
      <c r="N73" s="2120"/>
      <c r="O73" s="2119"/>
      <c r="P73" s="2119"/>
      <c r="Q73" s="2119"/>
      <c r="R73" s="2119"/>
    </row>
    <row r="74" spans="1:18" ht="27.6">
      <c r="A74" s="2117" t="s">
        <v>2713</v>
      </c>
      <c r="B74" s="2118"/>
      <c r="C74" s="2117" t="s">
        <v>1069</v>
      </c>
      <c r="D74" s="2118"/>
      <c r="E74" s="2117" t="s">
        <v>2714</v>
      </c>
      <c r="F74" s="2118"/>
      <c r="G74" s="2119"/>
      <c r="H74" s="2119"/>
      <c r="I74" s="2119"/>
      <c r="J74" s="2119"/>
      <c r="K74" s="2119"/>
      <c r="L74" s="2119"/>
      <c r="M74" s="2119"/>
      <c r="N74" s="2120"/>
      <c r="O74" s="2119"/>
      <c r="P74" s="2119"/>
      <c r="Q74" s="2119"/>
      <c r="R74" s="2119"/>
    </row>
    <row r="75" spans="1:18">
      <c r="A75" s="2122"/>
      <c r="B75" s="2122"/>
      <c r="C75" s="2122"/>
      <c r="D75" s="2122"/>
      <c r="E75" s="2122"/>
      <c r="F75" s="2122"/>
      <c r="G75" s="2122"/>
      <c r="H75" s="2122"/>
      <c r="I75" s="2122"/>
      <c r="J75" s="2122"/>
      <c r="K75" s="2122"/>
      <c r="L75" s="2122"/>
      <c r="M75" s="2122"/>
      <c r="N75" s="2120"/>
      <c r="O75" s="2119"/>
      <c r="P75" s="2119"/>
      <c r="Q75" s="2119"/>
      <c r="R75" s="2119"/>
    </row>
    <row r="76" spans="1:18" ht="14.4">
      <c r="A76" s="2118"/>
      <c r="B76" s="2119"/>
      <c r="C76" s="2119"/>
      <c r="D76" s="2119"/>
      <c r="E76" s="2119"/>
      <c r="F76" s="2119"/>
      <c r="G76" s="2119"/>
      <c r="H76" s="2505" t="s">
        <v>2715</v>
      </c>
      <c r="I76" s="2505"/>
      <c r="J76" s="2122"/>
      <c r="K76" s="2506">
        <v>1E-4</v>
      </c>
      <c r="L76" s="2506"/>
      <c r="M76" s="2122"/>
      <c r="N76" s="2507"/>
      <c r="O76" s="2122"/>
      <c r="P76" s="2119"/>
      <c r="Q76" s="2119"/>
      <c r="R76" s="2119"/>
    </row>
    <row r="77" spans="1:18" ht="14.4">
      <c r="A77" s="2119"/>
      <c r="B77" s="2119"/>
      <c r="C77" s="2119"/>
      <c r="D77" s="2119"/>
      <c r="E77" s="2119"/>
      <c r="F77" s="2119"/>
      <c r="G77" s="2119"/>
      <c r="H77" s="2122"/>
      <c r="I77" s="2122"/>
      <c r="J77" s="2122"/>
      <c r="K77" s="2506"/>
      <c r="L77" s="2506"/>
      <c r="M77" s="2119"/>
      <c r="N77" s="2507"/>
      <c r="O77" s="2119"/>
      <c r="P77" s="2119"/>
      <c r="Q77" s="2119"/>
      <c r="R77" s="2119"/>
    </row>
    <row r="78" spans="1:18">
      <c r="A78" s="2117">
        <v>15177</v>
      </c>
      <c r="B78" s="2122"/>
      <c r="C78" s="2508" t="s">
        <v>2724</v>
      </c>
      <c r="D78" s="2508"/>
      <c r="E78" s="2508"/>
      <c r="F78" s="2508"/>
      <c r="G78" s="2508"/>
      <c r="H78" s="2508"/>
      <c r="I78" s="2508"/>
      <c r="J78" s="2122"/>
      <c r="K78" s="2122"/>
      <c r="L78" s="2122"/>
      <c r="M78" s="2122"/>
      <c r="N78" s="2120"/>
      <c r="O78" s="2119"/>
      <c r="P78" s="2119"/>
      <c r="Q78" s="2119"/>
      <c r="R78" s="2119"/>
    </row>
    <row r="79" spans="1:18">
      <c r="A79" s="2122"/>
      <c r="B79" s="2122"/>
      <c r="C79" s="2122"/>
      <c r="D79" s="2122"/>
      <c r="E79" s="2122"/>
      <c r="F79" s="2122"/>
      <c r="G79" s="2122"/>
      <c r="H79" s="2122"/>
      <c r="I79" s="2122"/>
      <c r="J79" s="2122"/>
      <c r="K79" s="2122"/>
      <c r="L79" s="2122"/>
      <c r="M79" s="2122"/>
      <c r="N79" s="2120"/>
      <c r="O79" s="2119"/>
      <c r="P79" s="2119"/>
      <c r="Q79" s="2119"/>
      <c r="R79" s="2119"/>
    </row>
    <row r="80" spans="1:18">
      <c r="A80" s="2509"/>
      <c r="B80" s="2509"/>
      <c r="C80" s="2509"/>
      <c r="D80" s="2125"/>
      <c r="E80" s="2125"/>
      <c r="F80" s="2125"/>
      <c r="G80" s="2125"/>
      <c r="H80" s="2510"/>
      <c r="I80" s="2510"/>
      <c r="J80" s="2510"/>
      <c r="K80" s="2125"/>
      <c r="L80" s="2129"/>
      <c r="M80" s="2125"/>
      <c r="N80" s="2120"/>
      <c r="O80" s="2119"/>
      <c r="P80" s="2119"/>
      <c r="Q80" s="2119"/>
      <c r="R80" s="2119"/>
    </row>
    <row r="81" spans="1:18">
      <c r="A81" s="2118"/>
      <c r="B81" s="2118"/>
      <c r="C81" s="2118"/>
      <c r="D81" s="2118"/>
      <c r="E81" s="2505" t="s">
        <v>2718</v>
      </c>
      <c r="F81" s="2505"/>
      <c r="G81" s="2118"/>
      <c r="H81" s="2506">
        <v>1E-4</v>
      </c>
      <c r="I81" s="2506"/>
      <c r="J81" s="2506"/>
      <c r="K81" s="2122"/>
      <c r="L81" s="2506">
        <v>0.01</v>
      </c>
      <c r="M81" s="2122"/>
      <c r="N81" s="2120"/>
      <c r="O81" s="2119"/>
      <c r="P81" s="2119"/>
      <c r="Q81" s="2119"/>
      <c r="R81" s="2119"/>
    </row>
    <row r="82" spans="1:18">
      <c r="A82" s="2118"/>
      <c r="B82" s="2118"/>
      <c r="C82" s="2118"/>
      <c r="D82" s="2118"/>
      <c r="E82" s="2118"/>
      <c r="F82" s="2118"/>
      <c r="G82" s="2118"/>
      <c r="H82" s="2506"/>
      <c r="I82" s="2506"/>
      <c r="J82" s="2506"/>
      <c r="K82" s="2122"/>
      <c r="L82" s="2506"/>
      <c r="M82" s="2122"/>
      <c r="N82" s="2120"/>
      <c r="O82" s="2119"/>
      <c r="P82" s="2119"/>
      <c r="Q82" s="2119"/>
      <c r="R82" s="2119"/>
    </row>
    <row r="83" spans="1:18" ht="27.6">
      <c r="A83" s="2117" t="s">
        <v>2713</v>
      </c>
      <c r="B83" s="2118"/>
      <c r="C83" s="2117" t="s">
        <v>1069</v>
      </c>
      <c r="D83" s="2118"/>
      <c r="E83" s="2117" t="s">
        <v>2714</v>
      </c>
      <c r="F83" s="2118"/>
      <c r="G83" s="2119"/>
      <c r="H83" s="2119"/>
      <c r="I83" s="2119"/>
      <c r="J83" s="2119"/>
      <c r="K83" s="2119"/>
      <c r="L83" s="2119"/>
      <c r="M83" s="2119"/>
      <c r="N83" s="2120"/>
      <c r="O83" s="2119"/>
      <c r="P83" s="2119"/>
      <c r="Q83" s="2119"/>
      <c r="R83" s="2119"/>
    </row>
    <row r="84" spans="1:18">
      <c r="A84" s="2122"/>
      <c r="B84" s="2122"/>
      <c r="C84" s="2122"/>
      <c r="D84" s="2122"/>
      <c r="E84" s="2122"/>
      <c r="F84" s="2122"/>
      <c r="G84" s="2122"/>
      <c r="H84" s="2122"/>
      <c r="I84" s="2122"/>
      <c r="J84" s="2122"/>
      <c r="K84" s="2122"/>
      <c r="L84" s="2122"/>
      <c r="M84" s="2122"/>
      <c r="N84" s="2120"/>
      <c r="O84" s="2119"/>
      <c r="P84" s="2119"/>
      <c r="Q84" s="2119"/>
      <c r="R84" s="2119"/>
    </row>
    <row r="85" spans="1:18" ht="14.4">
      <c r="A85" s="2118"/>
      <c r="B85" s="2119"/>
      <c r="C85" s="2119"/>
      <c r="D85" s="2119"/>
      <c r="E85" s="2119"/>
      <c r="F85" s="2119"/>
      <c r="G85" s="2119"/>
      <c r="H85" s="2505" t="s">
        <v>2715</v>
      </c>
      <c r="I85" s="2505"/>
      <c r="J85" s="2122"/>
      <c r="K85" s="2506">
        <v>1E-4</v>
      </c>
      <c r="L85" s="2506"/>
      <c r="M85" s="2122"/>
      <c r="N85" s="2507"/>
      <c r="O85" s="2122"/>
      <c r="P85" s="2119"/>
      <c r="Q85" s="2119"/>
      <c r="R85" s="2119"/>
    </row>
    <row r="86" spans="1:18" ht="14.4">
      <c r="A86" s="2119"/>
      <c r="B86" s="2119"/>
      <c r="C86" s="2119"/>
      <c r="D86" s="2119"/>
      <c r="E86" s="2119"/>
      <c r="F86" s="2119"/>
      <c r="G86" s="2119"/>
      <c r="H86" s="2122"/>
      <c r="I86" s="2122"/>
      <c r="J86" s="2122"/>
      <c r="K86" s="2506"/>
      <c r="L86" s="2506"/>
      <c r="M86" s="2119"/>
      <c r="N86" s="2507"/>
      <c r="O86" s="2119"/>
      <c r="P86" s="2119"/>
      <c r="Q86" s="2119"/>
      <c r="R86" s="2119"/>
    </row>
    <row r="87" spans="1:18">
      <c r="A87" s="2117">
        <v>19339</v>
      </c>
      <c r="B87" s="2122"/>
      <c r="C87" s="2508" t="s">
        <v>2720</v>
      </c>
      <c r="D87" s="2508"/>
      <c r="E87" s="2508"/>
      <c r="F87" s="2508"/>
      <c r="G87" s="2508"/>
      <c r="H87" s="2508"/>
      <c r="I87" s="2508"/>
      <c r="J87" s="2122"/>
      <c r="K87" s="2122"/>
      <c r="L87" s="2122"/>
      <c r="M87" s="2122"/>
      <c r="N87" s="2120"/>
      <c r="O87" s="2119"/>
      <c r="P87" s="2119"/>
      <c r="Q87" s="2119"/>
      <c r="R87" s="2119"/>
    </row>
    <row r="88" spans="1:18">
      <c r="A88" s="2122"/>
      <c r="B88" s="2122"/>
      <c r="C88" s="2122"/>
      <c r="D88" s="2122"/>
      <c r="E88" s="2122"/>
      <c r="F88" s="2122"/>
      <c r="G88" s="2122"/>
      <c r="H88" s="2122"/>
      <c r="I88" s="2122"/>
      <c r="J88" s="2122"/>
      <c r="K88" s="2122"/>
      <c r="L88" s="2122"/>
      <c r="M88" s="2122"/>
      <c r="N88" s="2120"/>
      <c r="O88" s="2119"/>
      <c r="P88" s="2119"/>
      <c r="Q88" s="2119"/>
      <c r="R88" s="2119"/>
    </row>
    <row r="89" spans="1:18">
      <c r="A89" s="2511" t="s">
        <v>2723</v>
      </c>
      <c r="B89" s="2511"/>
      <c r="C89" s="2511"/>
      <c r="D89" s="2125"/>
      <c r="E89" s="2125"/>
      <c r="F89" s="2125"/>
      <c r="G89" s="2125"/>
      <c r="H89" s="2512">
        <v>-11597.349</v>
      </c>
      <c r="I89" s="2512"/>
      <c r="J89" s="2512"/>
      <c r="K89" s="2125"/>
      <c r="L89" s="2126">
        <v>-1072238.1100000001</v>
      </c>
      <c r="M89" s="2125"/>
      <c r="N89" s="2120"/>
      <c r="O89" s="2119"/>
      <c r="P89" s="2119"/>
      <c r="Q89" s="2119"/>
      <c r="R89" s="2119"/>
    </row>
    <row r="90" spans="1:18">
      <c r="A90" s="2511" t="s">
        <v>2717</v>
      </c>
      <c r="B90" s="2511"/>
      <c r="C90" s="2511"/>
      <c r="D90" s="2125"/>
      <c r="E90" s="2125"/>
      <c r="F90" s="2125"/>
      <c r="G90" s="2125"/>
      <c r="H90" s="2512">
        <v>-8873.2579999999998</v>
      </c>
      <c r="I90" s="2512"/>
      <c r="J90" s="2512"/>
      <c r="K90" s="2125"/>
      <c r="L90" s="2126">
        <v>-823894.4</v>
      </c>
      <c r="M90" s="2125"/>
      <c r="N90" s="2120"/>
      <c r="O90" s="2119"/>
      <c r="P90" s="2119"/>
      <c r="Q90" s="2119"/>
      <c r="R90" s="2119"/>
    </row>
    <row r="91" spans="1:18">
      <c r="A91" s="2511" t="s">
        <v>2725</v>
      </c>
      <c r="B91" s="2511"/>
      <c r="C91" s="2511"/>
      <c r="D91" s="2125"/>
      <c r="E91" s="2125"/>
      <c r="F91" s="2125"/>
      <c r="G91" s="2125"/>
      <c r="H91" s="2512">
        <v>20470.607</v>
      </c>
      <c r="I91" s="2512"/>
      <c r="J91" s="2512"/>
      <c r="K91" s="2125"/>
      <c r="L91" s="2126">
        <v>1850355.34</v>
      </c>
      <c r="M91" s="2125"/>
      <c r="N91" s="2120"/>
      <c r="O91" s="2119"/>
      <c r="P91" s="2119"/>
      <c r="Q91" s="2119"/>
      <c r="R91" s="2119"/>
    </row>
    <row r="92" spans="1:18">
      <c r="A92" s="2118"/>
      <c r="B92" s="2118"/>
      <c r="C92" s="2118"/>
      <c r="D92" s="2118"/>
      <c r="E92" s="2505" t="s">
        <v>2718</v>
      </c>
      <c r="F92" s="2505"/>
      <c r="G92" s="2118"/>
      <c r="H92" s="2506">
        <v>1E-4</v>
      </c>
      <c r="I92" s="2506"/>
      <c r="J92" s="2506"/>
      <c r="K92" s="2122"/>
      <c r="L92" s="2506">
        <v>0.01</v>
      </c>
      <c r="M92" s="2122"/>
      <c r="N92" s="2120"/>
      <c r="O92" s="2119"/>
      <c r="P92" s="2119"/>
      <c r="Q92" s="2119"/>
      <c r="R92" s="2119"/>
    </row>
    <row r="93" spans="1:18">
      <c r="A93" s="2118"/>
      <c r="B93" s="2118"/>
      <c r="C93" s="2118"/>
      <c r="D93" s="2118"/>
      <c r="E93" s="2118"/>
      <c r="F93" s="2118"/>
      <c r="G93" s="2118"/>
      <c r="H93" s="2506"/>
      <c r="I93" s="2506"/>
      <c r="J93" s="2506"/>
      <c r="K93" s="2122"/>
      <c r="L93" s="2506"/>
      <c r="M93" s="2122"/>
      <c r="N93" s="2120"/>
      <c r="O93" s="2119"/>
      <c r="P93" s="2119"/>
      <c r="Q93" s="2119"/>
      <c r="R93" s="2119"/>
    </row>
    <row r="94" spans="1:18" ht="27.6">
      <c r="A94" s="2117" t="s">
        <v>2713</v>
      </c>
      <c r="B94" s="2118"/>
      <c r="C94" s="2117" t="s">
        <v>1069</v>
      </c>
      <c r="D94" s="2118"/>
      <c r="E94" s="2117" t="s">
        <v>2714</v>
      </c>
      <c r="F94" s="2118"/>
      <c r="G94" s="2119"/>
      <c r="H94" s="2119"/>
      <c r="I94" s="2119"/>
      <c r="J94" s="2119"/>
      <c r="K94" s="2119"/>
      <c r="L94" s="2119"/>
      <c r="M94" s="2119"/>
      <c r="N94" s="2120"/>
      <c r="O94" s="2119"/>
      <c r="P94" s="2119"/>
      <c r="Q94" s="2119"/>
      <c r="R94" s="2119"/>
    </row>
    <row r="95" spans="1:18">
      <c r="A95" s="2122"/>
      <c r="B95" s="2122"/>
      <c r="C95" s="2122"/>
      <c r="D95" s="2122"/>
      <c r="E95" s="2122"/>
      <c r="F95" s="2122"/>
      <c r="G95" s="2122"/>
      <c r="H95" s="2122"/>
      <c r="I95" s="2122"/>
      <c r="J95" s="2122"/>
      <c r="K95" s="2122"/>
      <c r="L95" s="2122"/>
      <c r="M95" s="2122"/>
      <c r="N95" s="2120"/>
      <c r="O95" s="2119"/>
      <c r="P95" s="2119"/>
      <c r="Q95" s="2119"/>
      <c r="R95" s="2119"/>
    </row>
    <row r="96" spans="1:18" ht="14.4">
      <c r="A96" s="2118"/>
      <c r="B96" s="2119"/>
      <c r="C96" s="2119"/>
      <c r="D96" s="2119"/>
      <c r="E96" s="2119"/>
      <c r="F96" s="2119"/>
      <c r="G96" s="2119"/>
      <c r="H96" s="2505" t="s">
        <v>2715</v>
      </c>
      <c r="I96" s="2505"/>
      <c r="J96" s="2122"/>
      <c r="K96" s="2506">
        <v>0</v>
      </c>
      <c r="L96" s="2506"/>
      <c r="M96" s="2122"/>
      <c r="N96" s="2507"/>
      <c r="O96" s="2122"/>
      <c r="P96" s="2119"/>
      <c r="Q96" s="2119"/>
      <c r="R96" s="2119"/>
    </row>
    <row r="97" spans="1:18" ht="14.4">
      <c r="A97" s="2119"/>
      <c r="B97" s="2119"/>
      <c r="C97" s="2119"/>
      <c r="D97" s="2119"/>
      <c r="E97" s="2119"/>
      <c r="F97" s="2119"/>
      <c r="G97" s="2119"/>
      <c r="H97" s="2122"/>
      <c r="I97" s="2122"/>
      <c r="J97" s="2122"/>
      <c r="K97" s="2506"/>
      <c r="L97" s="2506"/>
      <c r="M97" s="2119"/>
      <c r="N97" s="2507"/>
      <c r="O97" s="2119"/>
      <c r="P97" s="2119"/>
      <c r="Q97" s="2119"/>
      <c r="R97" s="2119"/>
    </row>
    <row r="98" spans="1:18">
      <c r="A98" s="2117">
        <v>19339</v>
      </c>
      <c r="B98" s="2122"/>
      <c r="C98" s="2508" t="s">
        <v>2720</v>
      </c>
      <c r="D98" s="2508"/>
      <c r="E98" s="2508"/>
      <c r="F98" s="2508"/>
      <c r="G98" s="2508"/>
      <c r="H98" s="2508"/>
      <c r="I98" s="2508"/>
      <c r="J98" s="2122"/>
      <c r="K98" s="2122"/>
      <c r="L98" s="2122"/>
      <c r="M98" s="2122"/>
      <c r="N98" s="2120"/>
      <c r="O98" s="2119"/>
      <c r="P98" s="2119"/>
      <c r="Q98" s="2119"/>
      <c r="R98" s="2119"/>
    </row>
    <row r="99" spans="1:18">
      <c r="A99" s="2122"/>
      <c r="B99" s="2122"/>
      <c r="C99" s="2122"/>
      <c r="D99" s="2122"/>
      <c r="E99" s="2122"/>
      <c r="F99" s="2122"/>
      <c r="G99" s="2122"/>
      <c r="H99" s="2122"/>
      <c r="I99" s="2122"/>
      <c r="J99" s="2122"/>
      <c r="K99" s="2122"/>
      <c r="L99" s="2122"/>
      <c r="M99" s="2122"/>
      <c r="N99" s="2120"/>
      <c r="O99" s="2119"/>
      <c r="P99" s="2119"/>
      <c r="Q99" s="2119"/>
      <c r="R99" s="2119"/>
    </row>
    <row r="100" spans="1:18">
      <c r="A100" s="2509"/>
      <c r="B100" s="2509"/>
      <c r="C100" s="2509"/>
      <c r="D100" s="2125"/>
      <c r="E100" s="2125"/>
      <c r="F100" s="2125"/>
      <c r="G100" s="2125"/>
      <c r="H100" s="2510"/>
      <c r="I100" s="2510"/>
      <c r="J100" s="2510"/>
      <c r="K100" s="2125"/>
      <c r="L100" s="2129"/>
      <c r="M100" s="2125"/>
      <c r="N100" s="2120"/>
      <c r="O100" s="2119"/>
      <c r="P100" s="2119"/>
      <c r="Q100" s="2119"/>
      <c r="R100" s="2119"/>
    </row>
    <row r="101" spans="1:18">
      <c r="A101" s="2118"/>
      <c r="B101" s="2118"/>
      <c r="C101" s="2118"/>
      <c r="D101" s="2118"/>
      <c r="E101" s="2505" t="s">
        <v>2718</v>
      </c>
      <c r="F101" s="2505"/>
      <c r="G101" s="2118"/>
      <c r="H101" s="2506">
        <v>0</v>
      </c>
      <c r="I101" s="2506"/>
      <c r="J101" s="2506"/>
      <c r="K101" s="2122"/>
      <c r="L101" s="2506">
        <v>0</v>
      </c>
      <c r="M101" s="2122"/>
      <c r="N101" s="2120"/>
      <c r="O101" s="2119"/>
      <c r="P101" s="2119"/>
      <c r="Q101" s="2119"/>
      <c r="R101" s="2119"/>
    </row>
    <row r="102" spans="1:18">
      <c r="A102" s="2118"/>
      <c r="B102" s="2118"/>
      <c r="C102" s="2118"/>
      <c r="D102" s="2118"/>
      <c r="E102" s="2118"/>
      <c r="F102" s="2118"/>
      <c r="G102" s="2118"/>
      <c r="H102" s="2506"/>
      <c r="I102" s="2506"/>
      <c r="J102" s="2506"/>
      <c r="K102" s="2122"/>
      <c r="L102" s="2506"/>
      <c r="M102" s="2122"/>
      <c r="N102" s="2120"/>
      <c r="O102" s="2119"/>
      <c r="P102" s="2119"/>
      <c r="Q102" s="2119"/>
      <c r="R102" s="2119"/>
    </row>
    <row r="103" spans="1:18" ht="27.6">
      <c r="A103" s="2117" t="s">
        <v>2713</v>
      </c>
      <c r="B103" s="2118"/>
      <c r="C103" s="2117" t="s">
        <v>1069</v>
      </c>
      <c r="D103" s="2118"/>
      <c r="E103" s="2117" t="s">
        <v>2714</v>
      </c>
      <c r="F103" s="2118"/>
      <c r="G103" s="2119"/>
      <c r="H103" s="2119"/>
      <c r="I103" s="2119"/>
      <c r="J103" s="2119"/>
      <c r="K103" s="2119"/>
      <c r="L103" s="2119"/>
      <c r="M103" s="2119"/>
      <c r="N103" s="2120"/>
      <c r="O103" s="2119"/>
      <c r="P103" s="2119"/>
      <c r="Q103" s="2119"/>
      <c r="R103" s="2119"/>
    </row>
    <row r="104" spans="1:18">
      <c r="A104" s="2122"/>
      <c r="B104" s="2122"/>
      <c r="C104" s="2122"/>
      <c r="D104" s="2122"/>
      <c r="E104" s="2122"/>
      <c r="F104" s="2122"/>
      <c r="G104" s="2122"/>
      <c r="H104" s="2122"/>
      <c r="I104" s="2122"/>
      <c r="J104" s="2122"/>
      <c r="K104" s="2122"/>
      <c r="L104" s="2122"/>
      <c r="M104" s="2122"/>
      <c r="N104" s="2120"/>
      <c r="O104" s="2119"/>
      <c r="P104" s="2119"/>
      <c r="Q104" s="2119"/>
      <c r="R104" s="2119"/>
    </row>
    <row r="105" spans="1:18" ht="14.4">
      <c r="A105" s="2118"/>
      <c r="B105" s="2119"/>
      <c r="C105" s="2119"/>
      <c r="D105" s="2119"/>
      <c r="E105" s="2119"/>
      <c r="F105" s="2119"/>
      <c r="G105" s="2119"/>
      <c r="H105" s="2505" t="s">
        <v>2715</v>
      </c>
      <c r="I105" s="2505"/>
      <c r="J105" s="2122"/>
      <c r="K105" s="2506">
        <v>0</v>
      </c>
      <c r="L105" s="2506"/>
      <c r="M105" s="2122"/>
      <c r="N105" s="2507"/>
      <c r="O105" s="2122"/>
      <c r="P105" s="2119"/>
      <c r="Q105" s="2119"/>
      <c r="R105" s="2119"/>
    </row>
    <row r="106" spans="1:18" ht="14.4">
      <c r="A106" s="2119"/>
      <c r="B106" s="2119"/>
      <c r="C106" s="2119"/>
      <c r="D106" s="2119"/>
      <c r="E106" s="2119"/>
      <c r="F106" s="2119"/>
      <c r="G106" s="2119"/>
      <c r="H106" s="2122"/>
      <c r="I106" s="2122"/>
      <c r="J106" s="2122"/>
      <c r="K106" s="2506"/>
      <c r="L106" s="2506"/>
      <c r="M106" s="2119"/>
      <c r="N106" s="2507"/>
      <c r="O106" s="2119"/>
      <c r="P106" s="2119"/>
      <c r="Q106" s="2119"/>
      <c r="R106" s="2119"/>
    </row>
    <row r="107" spans="1:18">
      <c r="A107" s="2117">
        <v>19339</v>
      </c>
      <c r="B107" s="2122"/>
      <c r="C107" s="2508" t="s">
        <v>2720</v>
      </c>
      <c r="D107" s="2508"/>
      <c r="E107" s="2508"/>
      <c r="F107" s="2508"/>
      <c r="G107" s="2508"/>
      <c r="H107" s="2508"/>
      <c r="I107" s="2508"/>
      <c r="J107" s="2122"/>
      <c r="K107" s="2122"/>
      <c r="L107" s="2122"/>
      <c r="M107" s="2122"/>
      <c r="N107" s="2120"/>
      <c r="O107" s="2119"/>
      <c r="P107" s="2119"/>
      <c r="Q107" s="2119"/>
      <c r="R107" s="2119"/>
    </row>
    <row r="108" spans="1:18">
      <c r="A108" s="2122"/>
      <c r="B108" s="2122"/>
      <c r="C108" s="2122"/>
      <c r="D108" s="2122"/>
      <c r="E108" s="2122"/>
      <c r="F108" s="2122"/>
      <c r="G108" s="2122"/>
      <c r="H108" s="2122"/>
      <c r="I108" s="2122"/>
      <c r="J108" s="2122"/>
      <c r="K108" s="2122"/>
      <c r="L108" s="2122"/>
      <c r="M108" s="2122"/>
      <c r="N108" s="2120"/>
      <c r="O108" s="2119"/>
      <c r="P108" s="2119"/>
      <c r="Q108" s="2119"/>
      <c r="R108" s="2119"/>
    </row>
    <row r="109" spans="1:18">
      <c r="A109" s="2509"/>
      <c r="B109" s="2509"/>
      <c r="C109" s="2509"/>
      <c r="D109" s="2125"/>
      <c r="E109" s="2125"/>
      <c r="F109" s="2125"/>
      <c r="G109" s="2125"/>
      <c r="H109" s="2510"/>
      <c r="I109" s="2510"/>
      <c r="J109" s="2510"/>
      <c r="K109" s="2125"/>
      <c r="L109" s="2129"/>
      <c r="M109" s="2125"/>
      <c r="N109" s="2120"/>
      <c r="O109" s="2119"/>
      <c r="P109" s="2119"/>
      <c r="Q109" s="2119"/>
      <c r="R109" s="2119"/>
    </row>
    <row r="110" spans="1:18">
      <c r="A110" s="2118"/>
      <c r="B110" s="2118"/>
      <c r="C110" s="2118"/>
      <c r="D110" s="2118"/>
      <c r="E110" s="2505" t="s">
        <v>2718</v>
      </c>
      <c r="F110" s="2505"/>
      <c r="G110" s="2118"/>
      <c r="H110" s="2506">
        <v>0</v>
      </c>
      <c r="I110" s="2506"/>
      <c r="J110" s="2506"/>
      <c r="K110" s="2122"/>
      <c r="L110" s="2506">
        <v>0</v>
      </c>
      <c r="M110" s="2122"/>
      <c r="N110" s="2120"/>
      <c r="O110" s="2119"/>
      <c r="P110" s="2119"/>
      <c r="Q110" s="2119"/>
      <c r="R110" s="2119"/>
    </row>
    <row r="111" spans="1:18">
      <c r="A111" s="2118"/>
      <c r="B111" s="2118"/>
      <c r="C111" s="2118"/>
      <c r="D111" s="2118"/>
      <c r="E111" s="2118"/>
      <c r="F111" s="2118"/>
      <c r="G111" s="2118"/>
      <c r="H111" s="2506"/>
      <c r="I111" s="2506"/>
      <c r="J111" s="2506"/>
      <c r="K111" s="2122"/>
      <c r="L111" s="2506"/>
      <c r="M111" s="2122"/>
      <c r="N111" s="2120"/>
      <c r="O111" s="2119"/>
      <c r="P111" s="2119"/>
      <c r="Q111" s="2119"/>
      <c r="R111" s="2119"/>
    </row>
    <row r="112" spans="1:18" ht="27.6">
      <c r="A112" s="2117" t="s">
        <v>2713</v>
      </c>
      <c r="B112" s="2118"/>
      <c r="C112" s="2117" t="s">
        <v>1069</v>
      </c>
      <c r="D112" s="2118"/>
      <c r="E112" s="2117" t="s">
        <v>2714</v>
      </c>
      <c r="F112" s="2118"/>
      <c r="G112" s="2119"/>
      <c r="H112" s="2119"/>
      <c r="I112" s="2119"/>
      <c r="J112" s="2119"/>
      <c r="K112" s="2119"/>
      <c r="L112" s="2119"/>
      <c r="M112" s="2119"/>
      <c r="N112" s="2120"/>
      <c r="O112" s="2119"/>
      <c r="P112" s="2119"/>
      <c r="Q112" s="2119"/>
      <c r="R112" s="2119"/>
    </row>
    <row r="113" spans="1:18">
      <c r="A113" s="2122"/>
      <c r="B113" s="2122"/>
      <c r="C113" s="2122"/>
      <c r="D113" s="2122"/>
      <c r="E113" s="2122"/>
      <c r="F113" s="2122"/>
      <c r="G113" s="2122"/>
      <c r="H113" s="2122"/>
      <c r="I113" s="2122"/>
      <c r="J113" s="2122"/>
      <c r="K113" s="2122"/>
      <c r="L113" s="2122"/>
      <c r="M113" s="2122"/>
      <c r="N113" s="2120"/>
      <c r="O113" s="2119"/>
      <c r="P113" s="2119"/>
      <c r="Q113" s="2119"/>
      <c r="R113" s="2119"/>
    </row>
    <row r="114" spans="1:18" ht="14.4">
      <c r="A114" s="2118"/>
      <c r="B114" s="2119"/>
      <c r="C114" s="2119"/>
      <c r="D114" s="2119"/>
      <c r="E114" s="2119"/>
      <c r="F114" s="2119"/>
      <c r="G114" s="2119"/>
      <c r="H114" s="2505" t="s">
        <v>2715</v>
      </c>
      <c r="I114" s="2505"/>
      <c r="J114" s="2122"/>
      <c r="K114" s="2506">
        <v>0</v>
      </c>
      <c r="L114" s="2506"/>
      <c r="M114" s="2122"/>
      <c r="N114" s="2507"/>
      <c r="O114" s="2122"/>
      <c r="P114" s="2119"/>
      <c r="Q114" s="2119"/>
      <c r="R114" s="2119"/>
    </row>
    <row r="115" spans="1:18" ht="14.4">
      <c r="A115" s="2119"/>
      <c r="B115" s="2119"/>
      <c r="C115" s="2119"/>
      <c r="D115" s="2119"/>
      <c r="E115" s="2119"/>
      <c r="F115" s="2119"/>
      <c r="G115" s="2119"/>
      <c r="H115" s="2122"/>
      <c r="I115" s="2122"/>
      <c r="J115" s="2122"/>
      <c r="K115" s="2506"/>
      <c r="L115" s="2506"/>
      <c r="M115" s="2119"/>
      <c r="N115" s="2507"/>
      <c r="O115" s="2119"/>
      <c r="P115" s="2119"/>
      <c r="Q115" s="2119"/>
      <c r="R115" s="2119"/>
    </row>
    <row r="116" spans="1:18">
      <c r="A116" s="2117">
        <v>19339</v>
      </c>
      <c r="B116" s="2122"/>
      <c r="C116" s="2508" t="s">
        <v>2720</v>
      </c>
      <c r="D116" s="2508"/>
      <c r="E116" s="2508"/>
      <c r="F116" s="2508"/>
      <c r="G116" s="2508"/>
      <c r="H116" s="2508"/>
      <c r="I116" s="2508"/>
      <c r="J116" s="2122"/>
      <c r="K116" s="2122"/>
      <c r="L116" s="2122"/>
      <c r="M116" s="2122"/>
      <c r="N116" s="2120"/>
      <c r="O116" s="2119"/>
      <c r="P116" s="2119"/>
      <c r="Q116" s="2119"/>
      <c r="R116" s="2119"/>
    </row>
    <row r="117" spans="1:18">
      <c r="A117" s="2122"/>
      <c r="B117" s="2122"/>
      <c r="C117" s="2122"/>
      <c r="D117" s="2122"/>
      <c r="E117" s="2122"/>
      <c r="F117" s="2122"/>
      <c r="G117" s="2122"/>
      <c r="H117" s="2122"/>
      <c r="I117" s="2122"/>
      <c r="J117" s="2122"/>
      <c r="K117" s="2122"/>
      <c r="L117" s="2122"/>
      <c r="M117" s="2122"/>
      <c r="N117" s="2120"/>
      <c r="O117" s="2119"/>
      <c r="P117" s="2119"/>
      <c r="Q117" s="2119"/>
      <c r="R117" s="2119"/>
    </row>
    <row r="118" spans="1:18">
      <c r="A118" s="2509"/>
      <c r="B118" s="2509"/>
      <c r="C118" s="2509"/>
      <c r="D118" s="2125"/>
      <c r="E118" s="2125"/>
      <c r="F118" s="2125"/>
      <c r="G118" s="2125"/>
      <c r="H118" s="2510"/>
      <c r="I118" s="2510"/>
      <c r="J118" s="2510"/>
      <c r="K118" s="2125"/>
      <c r="L118" s="2129"/>
      <c r="M118" s="2125"/>
      <c r="N118" s="2120"/>
      <c r="O118" s="2119"/>
      <c r="P118" s="2119"/>
      <c r="Q118" s="2119"/>
      <c r="R118" s="2119"/>
    </row>
    <row r="119" spans="1:18">
      <c r="A119" s="2118"/>
      <c r="B119" s="2118"/>
      <c r="C119" s="2118"/>
      <c r="D119" s="2118"/>
      <c r="E119" s="2505" t="s">
        <v>2718</v>
      </c>
      <c r="F119" s="2505"/>
      <c r="G119" s="2118"/>
      <c r="H119" s="2506">
        <v>0</v>
      </c>
      <c r="I119" s="2506"/>
      <c r="J119" s="2506"/>
      <c r="K119" s="2122"/>
      <c r="L119" s="2506">
        <v>0</v>
      </c>
      <c r="M119" s="2122"/>
      <c r="N119" s="2120"/>
      <c r="O119" s="2119"/>
      <c r="P119" s="2119"/>
      <c r="Q119" s="2119"/>
      <c r="R119" s="2119"/>
    </row>
    <row r="120" spans="1:18">
      <c r="A120" s="2118"/>
      <c r="B120" s="2118"/>
      <c r="C120" s="2118"/>
      <c r="D120" s="2118"/>
      <c r="E120" s="2118"/>
      <c r="F120" s="2118"/>
      <c r="G120" s="2118"/>
      <c r="H120" s="2506"/>
      <c r="I120" s="2506"/>
      <c r="J120" s="2506"/>
      <c r="K120" s="2122"/>
      <c r="L120" s="2506"/>
      <c r="M120" s="2122"/>
      <c r="N120" s="2120"/>
      <c r="O120" s="2119"/>
      <c r="P120" s="2119"/>
      <c r="Q120" s="2119"/>
      <c r="R120" s="2119"/>
    </row>
    <row r="121" spans="1:18" ht="27.6">
      <c r="A121" s="2117" t="s">
        <v>2713</v>
      </c>
      <c r="B121" s="2118"/>
      <c r="C121" s="2117" t="s">
        <v>1069</v>
      </c>
      <c r="D121" s="2118"/>
      <c r="E121" s="2117" t="s">
        <v>2714</v>
      </c>
      <c r="F121" s="2118"/>
      <c r="G121" s="2119"/>
      <c r="H121" s="2119"/>
      <c r="I121" s="2119"/>
      <c r="J121" s="2119"/>
      <c r="K121" s="2119"/>
      <c r="L121" s="2119"/>
      <c r="M121" s="2119"/>
      <c r="N121" s="2120"/>
      <c r="O121" s="2119"/>
      <c r="P121" s="2119"/>
      <c r="Q121" s="2119"/>
      <c r="R121" s="2119"/>
    </row>
    <row r="122" spans="1:18">
      <c r="A122" s="2122"/>
      <c r="B122" s="2122"/>
      <c r="C122" s="2122"/>
      <c r="D122" s="2122"/>
      <c r="E122" s="2122"/>
      <c r="F122" s="2122"/>
      <c r="G122" s="2122"/>
      <c r="H122" s="2122"/>
      <c r="I122" s="2122"/>
      <c r="J122" s="2122"/>
      <c r="K122" s="2122"/>
      <c r="L122" s="2122"/>
      <c r="M122" s="2122"/>
      <c r="N122" s="2120"/>
      <c r="O122" s="2119"/>
      <c r="P122" s="2119"/>
      <c r="Q122" s="2119"/>
      <c r="R122" s="2119"/>
    </row>
    <row r="123" spans="1:18" ht="14.4">
      <c r="A123" s="2118"/>
      <c r="B123" s="2119"/>
      <c r="C123" s="2119"/>
      <c r="D123" s="2119"/>
      <c r="E123" s="2119"/>
      <c r="F123" s="2119"/>
      <c r="G123" s="2119"/>
      <c r="H123" s="2505" t="s">
        <v>2715</v>
      </c>
      <c r="I123" s="2505"/>
      <c r="J123" s="2122"/>
      <c r="K123" s="2506">
        <v>0</v>
      </c>
      <c r="L123" s="2506"/>
      <c r="M123" s="2122"/>
      <c r="N123" s="2507"/>
      <c r="O123" s="2122"/>
      <c r="P123" s="2119"/>
      <c r="Q123" s="2119"/>
      <c r="R123" s="2119"/>
    </row>
    <row r="124" spans="1:18" ht="14.4">
      <c r="A124" s="2119"/>
      <c r="B124" s="2119"/>
      <c r="C124" s="2119"/>
      <c r="D124" s="2119"/>
      <c r="E124" s="2119"/>
      <c r="F124" s="2119"/>
      <c r="G124" s="2119"/>
      <c r="H124" s="2122"/>
      <c r="I124" s="2122"/>
      <c r="J124" s="2122"/>
      <c r="K124" s="2506"/>
      <c r="L124" s="2506"/>
      <c r="M124" s="2119"/>
      <c r="N124" s="2507"/>
      <c r="O124" s="2119"/>
      <c r="P124" s="2119"/>
      <c r="Q124" s="2119"/>
      <c r="R124" s="2119"/>
    </row>
    <row r="125" spans="1:18">
      <c r="A125" s="2117">
        <v>19339</v>
      </c>
      <c r="B125" s="2122"/>
      <c r="C125" s="2508" t="s">
        <v>2720</v>
      </c>
      <c r="D125" s="2508"/>
      <c r="E125" s="2508"/>
      <c r="F125" s="2508"/>
      <c r="G125" s="2508"/>
      <c r="H125" s="2508"/>
      <c r="I125" s="2508"/>
      <c r="J125" s="2122"/>
      <c r="K125" s="2122"/>
      <c r="L125" s="2122"/>
      <c r="M125" s="2122"/>
      <c r="N125" s="2120"/>
      <c r="O125" s="2119"/>
      <c r="P125" s="2119"/>
      <c r="Q125" s="2119"/>
      <c r="R125" s="2119"/>
    </row>
    <row r="126" spans="1:18">
      <c r="A126" s="2122"/>
      <c r="B126" s="2122"/>
      <c r="C126" s="2122"/>
      <c r="D126" s="2122"/>
      <c r="E126" s="2122"/>
      <c r="F126" s="2122"/>
      <c r="G126" s="2122"/>
      <c r="H126" s="2122"/>
      <c r="I126" s="2122"/>
      <c r="J126" s="2122"/>
      <c r="K126" s="2122"/>
      <c r="L126" s="2122"/>
      <c r="M126" s="2122"/>
      <c r="N126" s="2120"/>
      <c r="O126" s="2119"/>
      <c r="P126" s="2119"/>
      <c r="Q126" s="2119"/>
      <c r="R126" s="2119"/>
    </row>
    <row r="127" spans="1:18">
      <c r="A127" s="2509"/>
      <c r="B127" s="2509"/>
      <c r="C127" s="2509"/>
      <c r="D127" s="2125"/>
      <c r="E127" s="2125"/>
      <c r="F127" s="2125"/>
      <c r="G127" s="2125"/>
      <c r="H127" s="2510"/>
      <c r="I127" s="2510"/>
      <c r="J127" s="2510"/>
      <c r="K127" s="2125"/>
      <c r="L127" s="2129"/>
      <c r="M127" s="2125"/>
      <c r="N127" s="2120"/>
      <c r="O127" s="2119"/>
      <c r="P127" s="2119"/>
      <c r="Q127" s="2119"/>
      <c r="R127" s="2119"/>
    </row>
    <row r="128" spans="1:18">
      <c r="A128" s="2118"/>
      <c r="B128" s="2118"/>
      <c r="C128" s="2118"/>
      <c r="D128" s="2118"/>
      <c r="E128" s="2505" t="s">
        <v>2718</v>
      </c>
      <c r="F128" s="2505"/>
      <c r="G128" s="2118"/>
      <c r="H128" s="2506">
        <v>0</v>
      </c>
      <c r="I128" s="2506"/>
      <c r="J128" s="2506"/>
      <c r="K128" s="2122"/>
      <c r="L128" s="2506">
        <v>0</v>
      </c>
      <c r="M128" s="2122"/>
      <c r="N128" s="2120"/>
      <c r="O128" s="2119"/>
      <c r="P128" s="2119"/>
      <c r="Q128" s="2119"/>
      <c r="R128" s="2119"/>
    </row>
    <row r="129" spans="1:18">
      <c r="A129" s="2118"/>
      <c r="B129" s="2118"/>
      <c r="C129" s="2118"/>
      <c r="D129" s="2118"/>
      <c r="E129" s="2118"/>
      <c r="F129" s="2118"/>
      <c r="G129" s="2118"/>
      <c r="H129" s="2506"/>
      <c r="I129" s="2506"/>
      <c r="J129" s="2506"/>
      <c r="K129" s="2122"/>
      <c r="L129" s="2506"/>
      <c r="M129" s="2122"/>
      <c r="N129" s="2120"/>
      <c r="O129" s="2119"/>
      <c r="P129" s="2119"/>
      <c r="Q129" s="2119"/>
      <c r="R129" s="2119"/>
    </row>
    <row r="130" spans="1:18" ht="27.6">
      <c r="A130" s="2117" t="s">
        <v>2713</v>
      </c>
      <c r="B130" s="2118"/>
      <c r="C130" s="2117" t="s">
        <v>1069</v>
      </c>
      <c r="D130" s="2118"/>
      <c r="E130" s="2117" t="s">
        <v>2714</v>
      </c>
      <c r="F130" s="2118"/>
      <c r="G130" s="2119"/>
      <c r="H130" s="2119"/>
      <c r="I130" s="2119"/>
      <c r="J130" s="2119"/>
      <c r="K130" s="2119"/>
      <c r="L130" s="2119"/>
      <c r="M130" s="2119"/>
      <c r="N130" s="2120"/>
      <c r="O130" s="2119"/>
      <c r="P130" s="2119"/>
      <c r="Q130" s="2119"/>
      <c r="R130" s="2119"/>
    </row>
    <row r="131" spans="1:18">
      <c r="A131" s="2122"/>
      <c r="B131" s="2122"/>
      <c r="C131" s="2122"/>
      <c r="D131" s="2122"/>
      <c r="E131" s="2122"/>
      <c r="F131" s="2122"/>
      <c r="G131" s="2122"/>
      <c r="H131" s="2122"/>
      <c r="I131" s="2122"/>
      <c r="J131" s="2122"/>
      <c r="K131" s="2122"/>
      <c r="L131" s="2122"/>
      <c r="M131" s="2122"/>
      <c r="N131" s="2120"/>
      <c r="O131" s="2119"/>
      <c r="P131" s="2119"/>
      <c r="Q131" s="2119"/>
      <c r="R131" s="2119"/>
    </row>
    <row r="132" spans="1:18" ht="14.4">
      <c r="A132" s="2118"/>
      <c r="B132" s="2119"/>
      <c r="C132" s="2119"/>
      <c r="D132" s="2119"/>
      <c r="E132" s="2119"/>
      <c r="F132" s="2119"/>
      <c r="G132" s="2119"/>
      <c r="H132" s="2505" t="s">
        <v>2715</v>
      </c>
      <c r="I132" s="2505"/>
      <c r="J132" s="2122"/>
      <c r="K132" s="2506">
        <v>0</v>
      </c>
      <c r="L132" s="2506"/>
      <c r="M132" s="2122"/>
      <c r="N132" s="2507"/>
      <c r="O132" s="2122"/>
      <c r="P132" s="2119"/>
      <c r="Q132" s="2119"/>
      <c r="R132" s="2119"/>
    </row>
    <row r="133" spans="1:18" ht="14.4">
      <c r="A133" s="2119"/>
      <c r="B133" s="2119"/>
      <c r="C133" s="2119"/>
      <c r="D133" s="2119"/>
      <c r="E133" s="2119"/>
      <c r="F133" s="2119"/>
      <c r="G133" s="2119"/>
      <c r="H133" s="2122"/>
      <c r="I133" s="2122"/>
      <c r="J133" s="2122"/>
      <c r="K133" s="2506"/>
      <c r="L133" s="2506"/>
      <c r="M133" s="2119"/>
      <c r="N133" s="2507"/>
      <c r="O133" s="2119"/>
      <c r="P133" s="2119"/>
      <c r="Q133" s="2119"/>
      <c r="R133" s="2119"/>
    </row>
    <row r="134" spans="1:18">
      <c r="A134" s="2117">
        <v>30824</v>
      </c>
      <c r="B134" s="2122"/>
      <c r="C134" s="2508" t="s">
        <v>2721</v>
      </c>
      <c r="D134" s="2508"/>
      <c r="E134" s="2508"/>
      <c r="F134" s="2508"/>
      <c r="G134" s="2508"/>
      <c r="H134" s="2508"/>
      <c r="I134" s="2508"/>
      <c r="J134" s="2122"/>
      <c r="K134" s="2122"/>
      <c r="L134" s="2122"/>
      <c r="M134" s="2122"/>
      <c r="N134" s="2120"/>
      <c r="O134" s="2119"/>
      <c r="P134" s="2119"/>
      <c r="Q134" s="2119"/>
      <c r="R134" s="2119"/>
    </row>
    <row r="135" spans="1:18">
      <c r="A135" s="2122"/>
      <c r="B135" s="2122"/>
      <c r="C135" s="2122"/>
      <c r="D135" s="2122"/>
      <c r="E135" s="2122"/>
      <c r="F135" s="2122"/>
      <c r="G135" s="2122"/>
      <c r="H135" s="2122"/>
      <c r="I135" s="2122"/>
      <c r="J135" s="2122"/>
      <c r="K135" s="2122"/>
      <c r="L135" s="2122"/>
      <c r="M135" s="2122"/>
      <c r="N135" s="2120"/>
      <c r="O135" s="2119"/>
      <c r="P135" s="2119"/>
      <c r="Q135" s="2119"/>
      <c r="R135" s="2119"/>
    </row>
    <row r="136" spans="1:18">
      <c r="A136" s="2509"/>
      <c r="B136" s="2509"/>
      <c r="C136" s="2509"/>
      <c r="D136" s="2125"/>
      <c r="E136" s="2125"/>
      <c r="F136" s="2125"/>
      <c r="G136" s="2125"/>
      <c r="H136" s="2510"/>
      <c r="I136" s="2510"/>
      <c r="J136" s="2510"/>
      <c r="K136" s="2125"/>
      <c r="L136" s="2129"/>
      <c r="M136" s="2125"/>
      <c r="N136" s="2120"/>
      <c r="O136" s="2119"/>
      <c r="P136" s="2119"/>
      <c r="Q136" s="2119"/>
      <c r="R136" s="2119"/>
    </row>
    <row r="137" spans="1:18">
      <c r="A137" s="2118"/>
      <c r="B137" s="2118"/>
      <c r="C137" s="2118"/>
      <c r="D137" s="2118"/>
      <c r="E137" s="2505" t="s">
        <v>2718</v>
      </c>
      <c r="F137" s="2505"/>
      <c r="G137" s="2118"/>
      <c r="H137" s="2506">
        <v>0</v>
      </c>
      <c r="I137" s="2506"/>
      <c r="J137" s="2506"/>
      <c r="K137" s="2122"/>
      <c r="L137" s="2506">
        <v>0</v>
      </c>
      <c r="M137" s="2122"/>
      <c r="N137" s="2120"/>
      <c r="O137" s="2119"/>
      <c r="P137" s="2119"/>
      <c r="Q137" s="2119"/>
      <c r="R137" s="2119"/>
    </row>
    <row r="138" spans="1:18">
      <c r="A138" s="2118"/>
      <c r="B138" s="2118"/>
      <c r="C138" s="2118"/>
      <c r="D138" s="2118"/>
      <c r="E138" s="2118"/>
      <c r="F138" s="2118"/>
      <c r="G138" s="2118"/>
      <c r="H138" s="2506"/>
      <c r="I138" s="2506"/>
      <c r="J138" s="2506"/>
      <c r="K138" s="2122"/>
      <c r="L138" s="2506"/>
      <c r="M138" s="2122"/>
      <c r="N138" s="2120"/>
      <c r="O138" s="2119"/>
      <c r="P138" s="2119"/>
      <c r="Q138" s="2119"/>
      <c r="R138" s="2119"/>
    </row>
    <row r="139" spans="1:18" ht="27.6">
      <c r="A139" s="2117" t="s">
        <v>2713</v>
      </c>
      <c r="B139" s="2118"/>
      <c r="C139" s="2117" t="s">
        <v>1069</v>
      </c>
      <c r="D139" s="2118"/>
      <c r="E139" s="2117" t="s">
        <v>2714</v>
      </c>
      <c r="F139" s="2118"/>
      <c r="G139" s="2119"/>
      <c r="H139" s="2119"/>
      <c r="I139" s="2119"/>
      <c r="J139" s="2119"/>
      <c r="K139" s="2119"/>
      <c r="L139" s="2119"/>
      <c r="M139" s="2119"/>
      <c r="N139" s="2120"/>
      <c r="O139" s="2119"/>
      <c r="P139" s="2119"/>
      <c r="Q139" s="2119"/>
      <c r="R139" s="2119"/>
    </row>
    <row r="140" spans="1:18">
      <c r="A140" s="2122"/>
      <c r="B140" s="2122"/>
      <c r="C140" s="2122"/>
      <c r="D140" s="2122"/>
      <c r="E140" s="2122"/>
      <c r="F140" s="2122"/>
      <c r="G140" s="2122"/>
      <c r="H140" s="2122"/>
      <c r="I140" s="2122"/>
      <c r="J140" s="2122"/>
      <c r="K140" s="2122"/>
      <c r="L140" s="2122"/>
      <c r="M140" s="2122"/>
      <c r="N140" s="2120"/>
      <c r="O140" s="2119"/>
      <c r="P140" s="2119"/>
      <c r="Q140" s="2119"/>
      <c r="R140" s="2119"/>
    </row>
    <row r="141" spans="1:18" ht="14.4">
      <c r="A141" s="2118"/>
      <c r="B141" s="2119"/>
      <c r="C141" s="2119"/>
      <c r="D141" s="2119"/>
      <c r="E141" s="2119"/>
      <c r="F141" s="2119"/>
      <c r="G141" s="2119"/>
      <c r="H141" s="2505" t="s">
        <v>2715</v>
      </c>
      <c r="I141" s="2505"/>
      <c r="J141" s="2122"/>
      <c r="K141" s="2506">
        <v>0</v>
      </c>
      <c r="L141" s="2506"/>
      <c r="M141" s="2122"/>
      <c r="N141" s="2507"/>
      <c r="O141" s="2122"/>
      <c r="P141" s="2119"/>
      <c r="Q141" s="2119"/>
      <c r="R141" s="2119"/>
    </row>
    <row r="142" spans="1:18" ht="14.4">
      <c r="A142" s="2119"/>
      <c r="B142" s="2119"/>
      <c r="C142" s="2119"/>
      <c r="D142" s="2119"/>
      <c r="E142" s="2119"/>
      <c r="F142" s="2119"/>
      <c r="G142" s="2119"/>
      <c r="H142" s="2122"/>
      <c r="I142" s="2122"/>
      <c r="J142" s="2122"/>
      <c r="K142" s="2506"/>
      <c r="L142" s="2506"/>
      <c r="M142" s="2119"/>
      <c r="N142" s="2507"/>
      <c r="O142" s="2119"/>
      <c r="P142" s="2119"/>
      <c r="Q142" s="2119"/>
      <c r="R142" s="2119"/>
    </row>
    <row r="143" spans="1:18">
      <c r="A143" s="2117">
        <v>31791</v>
      </c>
      <c r="B143" s="2122"/>
      <c r="C143" s="2508" t="s">
        <v>2726</v>
      </c>
      <c r="D143" s="2508"/>
      <c r="E143" s="2508"/>
      <c r="F143" s="2508"/>
      <c r="G143" s="2508"/>
      <c r="H143" s="2508"/>
      <c r="I143" s="2508"/>
      <c r="J143" s="2122"/>
      <c r="K143" s="2122"/>
      <c r="L143" s="2122"/>
      <c r="M143" s="2122"/>
      <c r="N143" s="2120"/>
      <c r="O143" s="2119"/>
      <c r="P143" s="2119"/>
      <c r="Q143" s="2119"/>
      <c r="R143" s="2119"/>
    </row>
    <row r="144" spans="1:18">
      <c r="A144" s="2122"/>
      <c r="B144" s="2122"/>
      <c r="C144" s="2122"/>
      <c r="D144" s="2122"/>
      <c r="E144" s="2122"/>
      <c r="F144" s="2122"/>
      <c r="G144" s="2122"/>
      <c r="H144" s="2122"/>
      <c r="I144" s="2122"/>
      <c r="J144" s="2122"/>
      <c r="K144" s="2122"/>
      <c r="L144" s="2122"/>
      <c r="M144" s="2122"/>
      <c r="N144" s="2120"/>
      <c r="O144" s="2119"/>
      <c r="P144" s="2119"/>
      <c r="Q144" s="2119"/>
      <c r="R144" s="2119"/>
    </row>
    <row r="145" spans="1:18">
      <c r="A145" s="2509"/>
      <c r="B145" s="2509"/>
      <c r="C145" s="2509"/>
      <c r="D145" s="2125"/>
      <c r="E145" s="2125"/>
      <c r="F145" s="2125"/>
      <c r="G145" s="2125"/>
      <c r="H145" s="2510"/>
      <c r="I145" s="2510"/>
      <c r="J145" s="2510"/>
      <c r="K145" s="2125"/>
      <c r="L145" s="2129"/>
      <c r="M145" s="2125"/>
      <c r="N145" s="2120"/>
      <c r="O145" s="2119"/>
      <c r="P145" s="2119"/>
      <c r="Q145" s="2119"/>
      <c r="R145" s="2119"/>
    </row>
    <row r="146" spans="1:18">
      <c r="A146" s="2118"/>
      <c r="B146" s="2118"/>
      <c r="C146" s="2118"/>
      <c r="D146" s="2118"/>
      <c r="E146" s="2505" t="s">
        <v>2718</v>
      </c>
      <c r="F146" s="2505"/>
      <c r="G146" s="2118"/>
      <c r="H146" s="2506">
        <v>0</v>
      </c>
      <c r="I146" s="2506"/>
      <c r="J146" s="2506"/>
      <c r="K146" s="2122"/>
      <c r="L146" s="2506">
        <v>0</v>
      </c>
      <c r="M146" s="2122"/>
      <c r="N146" s="2120"/>
      <c r="O146" s="2119"/>
      <c r="P146" s="2119"/>
      <c r="Q146" s="2119"/>
      <c r="R146" s="2119"/>
    </row>
    <row r="147" spans="1:18">
      <c r="A147" s="2118"/>
      <c r="B147" s="2118"/>
      <c r="C147" s="2118"/>
      <c r="D147" s="2118"/>
      <c r="E147" s="2118"/>
      <c r="F147" s="2118"/>
      <c r="G147" s="2118"/>
      <c r="H147" s="2506"/>
      <c r="I147" s="2506"/>
      <c r="J147" s="2506"/>
      <c r="K147" s="2122"/>
      <c r="L147" s="2506"/>
      <c r="M147" s="2122"/>
      <c r="N147" s="2120"/>
      <c r="O147" s="2119"/>
      <c r="P147" s="2119"/>
      <c r="Q147" s="2119"/>
      <c r="R147" s="2119"/>
    </row>
    <row r="148" spans="1:18" ht="27.6">
      <c r="A148" s="2117" t="s">
        <v>2713</v>
      </c>
      <c r="B148" s="2118"/>
      <c r="C148" s="2117" t="s">
        <v>1069</v>
      </c>
      <c r="D148" s="2118"/>
      <c r="E148" s="2117" t="s">
        <v>2714</v>
      </c>
      <c r="F148" s="2118"/>
      <c r="G148" s="2119"/>
      <c r="H148" s="2119"/>
      <c r="I148" s="2119"/>
      <c r="J148" s="2119"/>
      <c r="K148" s="2119"/>
      <c r="L148" s="2119"/>
      <c r="M148" s="2119"/>
      <c r="N148" s="2120"/>
      <c r="O148" s="2119"/>
      <c r="P148" s="2119"/>
      <c r="Q148" s="2119"/>
      <c r="R148" s="2119"/>
    </row>
    <row r="149" spans="1:18">
      <c r="A149" s="2122"/>
      <c r="B149" s="2122"/>
      <c r="C149" s="2122"/>
      <c r="D149" s="2122"/>
      <c r="E149" s="2122"/>
      <c r="F149" s="2122"/>
      <c r="G149" s="2122"/>
      <c r="H149" s="2122"/>
      <c r="I149" s="2122"/>
      <c r="J149" s="2122"/>
      <c r="K149" s="2122"/>
      <c r="L149" s="2122"/>
      <c r="M149" s="2122"/>
      <c r="N149" s="2120"/>
      <c r="O149" s="2119"/>
      <c r="P149" s="2119"/>
      <c r="Q149" s="2119"/>
      <c r="R149" s="2119"/>
    </row>
    <row r="150" spans="1:18" ht="14.4">
      <c r="A150" s="2118"/>
      <c r="B150" s="2119"/>
      <c r="C150" s="2119"/>
      <c r="D150" s="2119"/>
      <c r="E150" s="2119"/>
      <c r="F150" s="2119"/>
      <c r="G150" s="2119"/>
      <c r="H150" s="2505" t="s">
        <v>2715</v>
      </c>
      <c r="I150" s="2505"/>
      <c r="J150" s="2122"/>
      <c r="K150" s="2506">
        <v>0</v>
      </c>
      <c r="L150" s="2506"/>
      <c r="M150" s="2122"/>
      <c r="N150" s="2507"/>
      <c r="O150" s="2122"/>
      <c r="P150" s="2119"/>
      <c r="Q150" s="2119"/>
      <c r="R150" s="2119"/>
    </row>
    <row r="151" spans="1:18" ht="14.4">
      <c r="A151" s="2119"/>
      <c r="B151" s="2119"/>
      <c r="C151" s="2119"/>
      <c r="D151" s="2119"/>
      <c r="E151" s="2119"/>
      <c r="F151" s="2119"/>
      <c r="G151" s="2119"/>
      <c r="H151" s="2122"/>
      <c r="I151" s="2122"/>
      <c r="J151" s="2122"/>
      <c r="K151" s="2506"/>
      <c r="L151" s="2506"/>
      <c r="M151" s="2119"/>
      <c r="N151" s="2507"/>
      <c r="O151" s="2119"/>
      <c r="P151" s="2119"/>
      <c r="Q151" s="2119"/>
      <c r="R151" s="2119"/>
    </row>
    <row r="152" spans="1:18">
      <c r="A152" s="2117">
        <v>41474</v>
      </c>
      <c r="B152" s="2122"/>
      <c r="C152" s="2508" t="s">
        <v>2727</v>
      </c>
      <c r="D152" s="2508"/>
      <c r="E152" s="2508"/>
      <c r="F152" s="2508"/>
      <c r="G152" s="2508"/>
      <c r="H152" s="2508"/>
      <c r="I152" s="2508"/>
      <c r="J152" s="2122"/>
      <c r="K152" s="2122"/>
      <c r="L152" s="2122"/>
      <c r="M152" s="2122"/>
      <c r="N152" s="2120"/>
      <c r="O152" s="2119"/>
      <c r="P152" s="2119"/>
      <c r="Q152" s="2119"/>
      <c r="R152" s="2119"/>
    </row>
    <row r="153" spans="1:18">
      <c r="A153" s="2122"/>
      <c r="B153" s="2122"/>
      <c r="C153" s="2122"/>
      <c r="D153" s="2122"/>
      <c r="E153" s="2122"/>
      <c r="F153" s="2122"/>
      <c r="G153" s="2122"/>
      <c r="H153" s="2122"/>
      <c r="I153" s="2122"/>
      <c r="J153" s="2122"/>
      <c r="K153" s="2122"/>
      <c r="L153" s="2122"/>
      <c r="M153" s="2122"/>
      <c r="N153" s="2120"/>
      <c r="O153" s="2119"/>
      <c r="P153" s="2119"/>
      <c r="Q153" s="2119"/>
      <c r="R153" s="2119"/>
    </row>
    <row r="154" spans="1:18">
      <c r="A154" s="2509"/>
      <c r="B154" s="2509"/>
      <c r="C154" s="2509"/>
      <c r="D154" s="2125"/>
      <c r="E154" s="2125"/>
      <c r="F154" s="2125"/>
      <c r="G154" s="2125"/>
      <c r="H154" s="2510"/>
      <c r="I154" s="2510"/>
      <c r="J154" s="2510"/>
      <c r="K154" s="2125"/>
      <c r="L154" s="2129"/>
      <c r="M154" s="2125"/>
      <c r="N154" s="2120"/>
      <c r="O154" s="2119"/>
      <c r="P154" s="2119"/>
      <c r="Q154" s="2119"/>
      <c r="R154" s="2119"/>
    </row>
    <row r="155" spans="1:18">
      <c r="A155" s="2118"/>
      <c r="B155" s="2118"/>
      <c r="C155" s="2118"/>
      <c r="D155" s="2118"/>
      <c r="E155" s="2505" t="s">
        <v>2718</v>
      </c>
      <c r="F155" s="2505"/>
      <c r="G155" s="2118"/>
      <c r="H155" s="2506">
        <v>0</v>
      </c>
      <c r="I155" s="2506"/>
      <c r="J155" s="2506"/>
      <c r="K155" s="2122"/>
      <c r="L155" s="2506">
        <v>0</v>
      </c>
      <c r="M155" s="2122"/>
      <c r="N155" s="2120"/>
      <c r="O155" s="2119"/>
      <c r="P155" s="2119"/>
      <c r="Q155" s="2119"/>
      <c r="R155" s="2119"/>
    </row>
    <row r="156" spans="1:18">
      <c r="A156" s="2118"/>
      <c r="B156" s="2118"/>
      <c r="C156" s="2118"/>
      <c r="D156" s="2118"/>
      <c r="E156" s="2118"/>
      <c r="F156" s="2118"/>
      <c r="G156" s="2118"/>
      <c r="H156" s="2506"/>
      <c r="I156" s="2506"/>
      <c r="J156" s="2506"/>
      <c r="K156" s="2122"/>
      <c r="L156" s="2506"/>
      <c r="M156" s="2122"/>
      <c r="N156" s="2120"/>
      <c r="O156" s="2119"/>
      <c r="P156" s="2119"/>
      <c r="Q156" s="2119"/>
      <c r="R156" s="2119"/>
    </row>
    <row r="157" spans="1:18" ht="27.6">
      <c r="A157" s="2117" t="s">
        <v>2713</v>
      </c>
      <c r="B157" s="2118"/>
      <c r="C157" s="2117" t="s">
        <v>1069</v>
      </c>
      <c r="D157" s="2118"/>
      <c r="E157" s="2117" t="s">
        <v>2714</v>
      </c>
      <c r="F157" s="2118"/>
      <c r="G157" s="2119"/>
      <c r="H157" s="2119"/>
      <c r="I157" s="2119"/>
      <c r="J157" s="2119"/>
      <c r="K157" s="2119"/>
      <c r="L157" s="2119"/>
      <c r="M157" s="2119"/>
      <c r="N157" s="2120"/>
      <c r="O157" s="2119"/>
      <c r="P157" s="2119"/>
      <c r="Q157" s="2119"/>
      <c r="R157" s="2119"/>
    </row>
    <row r="158" spans="1:18">
      <c r="A158" s="2122"/>
      <c r="B158" s="2122"/>
      <c r="C158" s="2122"/>
      <c r="D158" s="2122"/>
      <c r="E158" s="2122"/>
      <c r="F158" s="2122"/>
      <c r="G158" s="2122"/>
      <c r="H158" s="2122"/>
      <c r="I158" s="2122"/>
      <c r="J158" s="2122"/>
      <c r="K158" s="2122"/>
      <c r="L158" s="2122"/>
      <c r="M158" s="2122"/>
      <c r="N158" s="2120"/>
      <c r="O158" s="2119"/>
      <c r="P158" s="2119"/>
      <c r="Q158" s="2119"/>
      <c r="R158" s="2119"/>
    </row>
    <row r="159" spans="1:18" ht="14.4">
      <c r="A159" s="2118"/>
      <c r="B159" s="2119"/>
      <c r="C159" s="2119"/>
      <c r="D159" s="2119"/>
      <c r="E159" s="2119"/>
      <c r="F159" s="2119"/>
      <c r="G159" s="2119"/>
      <c r="H159" s="2505" t="s">
        <v>2715</v>
      </c>
      <c r="I159" s="2505"/>
      <c r="J159" s="2122"/>
      <c r="K159" s="2506">
        <v>1E-4</v>
      </c>
      <c r="L159" s="2506"/>
      <c r="M159" s="2122"/>
      <c r="N159" s="2507"/>
      <c r="O159" s="2122"/>
      <c r="P159" s="2119"/>
      <c r="Q159" s="2119"/>
      <c r="R159" s="2119"/>
    </row>
    <row r="160" spans="1:18" ht="14.4">
      <c r="A160" s="2119"/>
      <c r="B160" s="2119"/>
      <c r="C160" s="2119"/>
      <c r="D160" s="2119"/>
      <c r="E160" s="2119"/>
      <c r="F160" s="2119"/>
      <c r="G160" s="2119"/>
      <c r="H160" s="2122"/>
      <c r="I160" s="2122"/>
      <c r="J160" s="2122"/>
      <c r="K160" s="2506"/>
      <c r="L160" s="2506"/>
      <c r="M160" s="2119"/>
      <c r="N160" s="2507"/>
      <c r="O160" s="2119"/>
      <c r="P160" s="2119"/>
      <c r="Q160" s="2119"/>
      <c r="R160" s="2119"/>
    </row>
    <row r="161" spans="1:18">
      <c r="A161" s="2117">
        <v>41512</v>
      </c>
      <c r="B161" s="2122"/>
      <c r="C161" s="2508" t="s">
        <v>2728</v>
      </c>
      <c r="D161" s="2508"/>
      <c r="E161" s="2508"/>
      <c r="F161" s="2508"/>
      <c r="G161" s="2508"/>
      <c r="H161" s="2508"/>
      <c r="I161" s="2508"/>
      <c r="J161" s="2122"/>
      <c r="K161" s="2122"/>
      <c r="L161" s="2122"/>
      <c r="M161" s="2122"/>
      <c r="N161" s="2120"/>
      <c r="O161" s="2119"/>
      <c r="P161" s="2119"/>
      <c r="Q161" s="2119"/>
      <c r="R161" s="2119"/>
    </row>
    <row r="162" spans="1:18">
      <c r="A162" s="2122"/>
      <c r="B162" s="2122"/>
      <c r="C162" s="2122"/>
      <c r="D162" s="2122"/>
      <c r="E162" s="2122"/>
      <c r="F162" s="2122"/>
      <c r="G162" s="2122"/>
      <c r="H162" s="2122"/>
      <c r="I162" s="2122"/>
      <c r="J162" s="2122"/>
      <c r="K162" s="2122"/>
      <c r="L162" s="2122"/>
      <c r="M162" s="2122"/>
      <c r="N162" s="2120"/>
      <c r="O162" s="2119"/>
      <c r="P162" s="2119"/>
      <c r="Q162" s="2119"/>
      <c r="R162" s="2119"/>
    </row>
    <row r="163" spans="1:18">
      <c r="A163" s="2511" t="s">
        <v>2722</v>
      </c>
      <c r="B163" s="2511"/>
      <c r="C163" s="2511"/>
      <c r="D163" s="2125"/>
      <c r="E163" s="2125"/>
      <c r="F163" s="2125"/>
      <c r="G163" s="2125"/>
      <c r="H163" s="2512">
        <v>17231.151000000002</v>
      </c>
      <c r="I163" s="2512"/>
      <c r="J163" s="2512"/>
      <c r="K163" s="2125"/>
      <c r="L163" s="2126">
        <v>1463998.22</v>
      </c>
      <c r="M163" s="2125"/>
      <c r="N163" s="2120"/>
      <c r="O163" s="2119"/>
      <c r="P163" s="2119"/>
      <c r="Q163" s="2119"/>
      <c r="R163" s="2119"/>
    </row>
    <row r="164" spans="1:18">
      <c r="A164" s="2511" t="s">
        <v>2723</v>
      </c>
      <c r="B164" s="2511"/>
      <c r="C164" s="2511"/>
      <c r="D164" s="2125"/>
      <c r="E164" s="2125"/>
      <c r="F164" s="2125"/>
      <c r="G164" s="2125"/>
      <c r="H164" s="2512">
        <v>-17231.151000000002</v>
      </c>
      <c r="I164" s="2512"/>
      <c r="J164" s="2512"/>
      <c r="K164" s="2125"/>
      <c r="L164" s="2126">
        <v>-1516341.29</v>
      </c>
      <c r="M164" s="2125"/>
      <c r="N164" s="2120"/>
      <c r="O164" s="2119"/>
      <c r="P164" s="2119"/>
      <c r="Q164" s="2119"/>
      <c r="R164" s="2119"/>
    </row>
    <row r="165" spans="1:18">
      <c r="A165" s="2118"/>
      <c r="B165" s="2118"/>
      <c r="C165" s="2118"/>
      <c r="D165" s="2118"/>
      <c r="E165" s="2505" t="s">
        <v>2718</v>
      </c>
      <c r="F165" s="2505"/>
      <c r="G165" s="2118"/>
      <c r="H165" s="2506">
        <v>1E-4</v>
      </c>
      <c r="I165" s="2506"/>
      <c r="J165" s="2506"/>
      <c r="K165" s="2122"/>
      <c r="L165" s="2506">
        <v>0.01</v>
      </c>
      <c r="M165" s="2122"/>
      <c r="N165" s="2120"/>
      <c r="O165" s="2119"/>
      <c r="P165" s="2119"/>
      <c r="Q165" s="2119"/>
      <c r="R165" s="2119"/>
    </row>
    <row r="166" spans="1:18">
      <c r="A166" s="2118"/>
      <c r="B166" s="2118"/>
      <c r="C166" s="2118"/>
      <c r="D166" s="2118"/>
      <c r="E166" s="2118"/>
      <c r="F166" s="2118"/>
      <c r="G166" s="2118"/>
      <c r="H166" s="2506"/>
      <c r="I166" s="2506"/>
      <c r="J166" s="2506"/>
      <c r="K166" s="2122"/>
      <c r="L166" s="2506"/>
      <c r="M166" s="2122"/>
      <c r="N166" s="2120"/>
      <c r="O166" s="2119"/>
      <c r="P166" s="2119"/>
      <c r="Q166" s="2119"/>
      <c r="R166" s="2119"/>
    </row>
    <row r="167" spans="1:18" ht="27.6">
      <c r="A167" s="2117" t="s">
        <v>2713</v>
      </c>
      <c r="B167" s="2118"/>
      <c r="C167" s="2117" t="s">
        <v>1069</v>
      </c>
      <c r="D167" s="2118"/>
      <c r="E167" s="2117" t="s">
        <v>2714</v>
      </c>
      <c r="F167" s="2118"/>
      <c r="G167" s="2119"/>
      <c r="H167" s="2119"/>
      <c r="I167" s="2119"/>
      <c r="J167" s="2119"/>
      <c r="K167" s="2119"/>
      <c r="L167" s="2119"/>
      <c r="M167" s="2119"/>
      <c r="N167" s="2120"/>
      <c r="O167" s="2119"/>
      <c r="P167" s="2119"/>
      <c r="Q167" s="2119"/>
      <c r="R167" s="2119"/>
    </row>
    <row r="168" spans="1:18">
      <c r="A168" s="2122"/>
      <c r="B168" s="2122"/>
      <c r="C168" s="2122"/>
      <c r="D168" s="2122"/>
      <c r="E168" s="2122"/>
      <c r="F168" s="2122"/>
      <c r="G168" s="2122"/>
      <c r="H168" s="2122"/>
      <c r="I168" s="2122"/>
      <c r="J168" s="2122"/>
      <c r="K168" s="2122"/>
      <c r="L168" s="2122"/>
      <c r="M168" s="2122"/>
      <c r="N168" s="2120"/>
      <c r="O168" s="2119"/>
      <c r="P168" s="2119"/>
      <c r="Q168" s="2119"/>
      <c r="R168" s="2119"/>
    </row>
    <row r="169" spans="1:18" ht="14.4">
      <c r="A169" s="2118"/>
      <c r="B169" s="2119"/>
      <c r="C169" s="2119"/>
      <c r="D169" s="2119"/>
      <c r="E169" s="2119"/>
      <c r="F169" s="2119"/>
      <c r="G169" s="2119"/>
      <c r="H169" s="2505" t="s">
        <v>2715</v>
      </c>
      <c r="I169" s="2505"/>
      <c r="J169" s="2122"/>
      <c r="K169" s="2513">
        <v>7210.9597000000003</v>
      </c>
      <c r="L169" s="2513"/>
      <c r="M169" s="2122"/>
      <c r="N169" s="2507">
        <v>716627</v>
      </c>
      <c r="O169" s="2122"/>
      <c r="P169" s="2119"/>
      <c r="Q169" s="2119"/>
      <c r="R169" s="2119"/>
    </row>
    <row r="170" spans="1:18" ht="14.4">
      <c r="A170" s="2119"/>
      <c r="B170" s="2119"/>
      <c r="C170" s="2119"/>
      <c r="D170" s="2119"/>
      <c r="E170" s="2119"/>
      <c r="F170" s="2119"/>
      <c r="G170" s="2119"/>
      <c r="H170" s="2122"/>
      <c r="I170" s="2122"/>
      <c r="J170" s="2122"/>
      <c r="K170" s="2513"/>
      <c r="L170" s="2513"/>
      <c r="M170" s="2119"/>
      <c r="N170" s="2507"/>
      <c r="O170" s="2119"/>
      <c r="P170" s="2119"/>
      <c r="Q170" s="2119"/>
      <c r="R170" s="2119"/>
    </row>
    <row r="171" spans="1:18">
      <c r="A171" s="2117">
        <v>40568</v>
      </c>
      <c r="B171" s="2122"/>
      <c r="C171" s="2508" t="s">
        <v>2729</v>
      </c>
      <c r="D171" s="2508"/>
      <c r="E171" s="2508"/>
      <c r="F171" s="2508"/>
      <c r="G171" s="2508"/>
      <c r="H171" s="2508"/>
      <c r="I171" s="2508"/>
      <c r="J171" s="2122"/>
      <c r="K171" s="2122"/>
      <c r="L171" s="2122"/>
      <c r="M171" s="2122"/>
      <c r="N171" s="2120"/>
      <c r="O171" s="2119"/>
      <c r="P171" s="2119"/>
      <c r="Q171" s="2119"/>
      <c r="R171" s="2119"/>
    </row>
    <row r="172" spans="1:18">
      <c r="A172" s="2122"/>
      <c r="B172" s="2122"/>
      <c r="C172" s="2122"/>
      <c r="D172" s="2122"/>
      <c r="E172" s="2122"/>
      <c r="F172" s="2122"/>
      <c r="G172" s="2122"/>
      <c r="H172" s="2122"/>
      <c r="I172" s="2122"/>
      <c r="J172" s="2122"/>
      <c r="K172" s="2122"/>
      <c r="L172" s="2122"/>
      <c r="M172" s="2122"/>
      <c r="N172" s="2120"/>
      <c r="O172" s="2119"/>
      <c r="P172" s="2119"/>
      <c r="Q172" s="2119"/>
      <c r="R172" s="2119"/>
    </row>
    <row r="173" spans="1:18">
      <c r="A173" s="2511" t="s">
        <v>2717</v>
      </c>
      <c r="B173" s="2511"/>
      <c r="C173" s="2511"/>
      <c r="D173" s="2125"/>
      <c r="E173" s="2125"/>
      <c r="F173" s="2125"/>
      <c r="G173" s="2125"/>
      <c r="H173" s="2510">
        <v>-200.44399999999999</v>
      </c>
      <c r="I173" s="2510"/>
      <c r="J173" s="2510"/>
      <c r="K173" s="2125"/>
      <c r="L173" s="2126">
        <v>-19661.259999999998</v>
      </c>
      <c r="M173" s="2125"/>
      <c r="N173" s="2120"/>
      <c r="O173" s="2119"/>
      <c r="P173" s="2119"/>
      <c r="Q173" s="2119"/>
      <c r="R173" s="2119"/>
    </row>
    <row r="174" spans="1:18">
      <c r="A174" s="2511" t="s">
        <v>2725</v>
      </c>
      <c r="B174" s="2511"/>
      <c r="C174" s="2511"/>
      <c r="D174" s="2125"/>
      <c r="E174" s="2125"/>
      <c r="F174" s="2125"/>
      <c r="G174" s="2125"/>
      <c r="H174" s="2510">
        <v>8.4390000000000001</v>
      </c>
      <c r="I174" s="2510"/>
      <c r="J174" s="2510"/>
      <c r="K174" s="2125"/>
      <c r="L174" s="2129">
        <v>795.42</v>
      </c>
      <c r="M174" s="2125"/>
      <c r="N174" s="2120"/>
      <c r="O174" s="2119"/>
      <c r="P174" s="2119"/>
      <c r="Q174" s="2119"/>
      <c r="R174" s="2119"/>
    </row>
    <row r="175" spans="1:18">
      <c r="A175" s="2118"/>
      <c r="B175" s="2118"/>
      <c r="C175" s="2118"/>
      <c r="D175" s="2118"/>
      <c r="E175" s="2505" t="s">
        <v>2718</v>
      </c>
      <c r="F175" s="2505"/>
      <c r="G175" s="2118"/>
      <c r="H175" s="2513">
        <v>7018.9547000000002</v>
      </c>
      <c r="I175" s="2513"/>
      <c r="J175" s="2513"/>
      <c r="K175" s="2122"/>
      <c r="L175" s="2513">
        <v>697545.83</v>
      </c>
      <c r="M175" s="2122"/>
      <c r="N175" s="2120"/>
      <c r="O175" s="2119"/>
      <c r="P175" s="2119"/>
      <c r="Q175" s="2119"/>
      <c r="R175" s="2119"/>
    </row>
    <row r="176" spans="1:18">
      <c r="A176" s="2118"/>
      <c r="B176" s="2118"/>
      <c r="C176" s="2118"/>
      <c r="D176" s="2118"/>
      <c r="E176" s="2118"/>
      <c r="F176" s="2118"/>
      <c r="G176" s="2118"/>
      <c r="H176" s="2513"/>
      <c r="I176" s="2513"/>
      <c r="J176" s="2513"/>
      <c r="K176" s="2122"/>
      <c r="L176" s="2513"/>
      <c r="M176" s="2122"/>
      <c r="N176" s="2120"/>
      <c r="O176" s="2119"/>
      <c r="P176" s="2119"/>
      <c r="Q176" s="2119"/>
      <c r="R176" s="2119"/>
    </row>
    <row r="177" spans="1:18" ht="27.6">
      <c r="A177" s="2117" t="s">
        <v>2713</v>
      </c>
      <c r="B177" s="2118"/>
      <c r="C177" s="2117" t="s">
        <v>1069</v>
      </c>
      <c r="D177" s="2118"/>
      <c r="E177" s="2117" t="s">
        <v>2714</v>
      </c>
      <c r="F177" s="2118"/>
      <c r="G177" s="2119"/>
      <c r="H177" s="2119"/>
      <c r="I177" s="2119"/>
      <c r="J177" s="2119"/>
      <c r="K177" s="2119"/>
      <c r="L177" s="2119"/>
      <c r="M177" s="2119"/>
      <c r="N177" s="2120"/>
      <c r="O177" s="2119"/>
      <c r="P177" s="2119"/>
      <c r="Q177" s="2119"/>
      <c r="R177" s="2119"/>
    </row>
    <row r="178" spans="1:18">
      <c r="A178" s="2122"/>
      <c r="B178" s="2122"/>
      <c r="C178" s="2122"/>
      <c r="D178" s="2122"/>
      <c r="E178" s="2122"/>
      <c r="F178" s="2122"/>
      <c r="G178" s="2122"/>
      <c r="H178" s="2122"/>
      <c r="I178" s="2122"/>
      <c r="J178" s="2122"/>
      <c r="K178" s="2122"/>
      <c r="L178" s="2122"/>
      <c r="M178" s="2122"/>
      <c r="N178" s="2120"/>
      <c r="O178" s="2119"/>
      <c r="P178" s="2119"/>
      <c r="Q178" s="2119"/>
      <c r="R178" s="2119"/>
    </row>
    <row r="179" spans="1:18" ht="14.4">
      <c r="A179" s="2118"/>
      <c r="B179" s="2119"/>
      <c r="C179" s="2119"/>
      <c r="D179" s="2119"/>
      <c r="E179" s="2119"/>
      <c r="F179" s="2119"/>
      <c r="G179" s="2119"/>
      <c r="H179" s="2505" t="s">
        <v>2715</v>
      </c>
      <c r="I179" s="2505"/>
      <c r="J179" s="2122"/>
      <c r="K179" s="2506">
        <v>0.78200000000000003</v>
      </c>
      <c r="L179" s="2506"/>
      <c r="M179" s="2122"/>
      <c r="N179" s="2507">
        <v>78</v>
      </c>
      <c r="O179" s="2122"/>
      <c r="P179" s="2119"/>
      <c r="Q179" s="2119"/>
      <c r="R179" s="2119"/>
    </row>
    <row r="180" spans="1:18" ht="14.4">
      <c r="A180" s="2119"/>
      <c r="B180" s="2119"/>
      <c r="C180" s="2119"/>
      <c r="D180" s="2119"/>
      <c r="E180" s="2119"/>
      <c r="F180" s="2119"/>
      <c r="G180" s="2119"/>
      <c r="H180" s="2122"/>
      <c r="I180" s="2122"/>
      <c r="J180" s="2122"/>
      <c r="K180" s="2506"/>
      <c r="L180" s="2506"/>
      <c r="M180" s="2119"/>
      <c r="N180" s="2507"/>
      <c r="O180" s="2119"/>
      <c r="P180" s="2119"/>
      <c r="Q180" s="2119"/>
      <c r="R180" s="2119"/>
    </row>
    <row r="181" spans="1:18">
      <c r="A181" s="2117">
        <v>32028</v>
      </c>
      <c r="B181" s="2122"/>
      <c r="C181" s="2508" t="s">
        <v>2721</v>
      </c>
      <c r="D181" s="2508"/>
      <c r="E181" s="2508"/>
      <c r="F181" s="2508"/>
      <c r="G181" s="2508"/>
      <c r="H181" s="2508"/>
      <c r="I181" s="2508"/>
      <c r="J181" s="2122"/>
      <c r="K181" s="2122"/>
      <c r="L181" s="2122"/>
      <c r="M181" s="2122"/>
      <c r="N181" s="2120"/>
      <c r="O181" s="2119"/>
      <c r="P181" s="2119"/>
      <c r="Q181" s="2119"/>
      <c r="R181" s="2119"/>
    </row>
    <row r="182" spans="1:18">
      <c r="A182" s="2122"/>
      <c r="B182" s="2122"/>
      <c r="C182" s="2122"/>
      <c r="D182" s="2122"/>
      <c r="E182" s="2122"/>
      <c r="F182" s="2122"/>
      <c r="G182" s="2122"/>
      <c r="H182" s="2122"/>
      <c r="I182" s="2122"/>
      <c r="J182" s="2122"/>
      <c r="K182" s="2122"/>
      <c r="L182" s="2122"/>
      <c r="M182" s="2122"/>
      <c r="N182" s="2120"/>
      <c r="O182" s="2119"/>
      <c r="P182" s="2119"/>
      <c r="Q182" s="2119"/>
      <c r="R182" s="2119"/>
    </row>
    <row r="183" spans="1:18">
      <c r="A183" s="2509"/>
      <c r="B183" s="2509"/>
      <c r="C183" s="2509"/>
      <c r="D183" s="2125"/>
      <c r="E183" s="2125"/>
      <c r="F183" s="2125"/>
      <c r="G183" s="2125"/>
      <c r="H183" s="2510"/>
      <c r="I183" s="2510"/>
      <c r="J183" s="2510"/>
      <c r="K183" s="2125"/>
      <c r="L183" s="2129"/>
      <c r="M183" s="2125"/>
      <c r="N183" s="2120"/>
      <c r="O183" s="2119"/>
      <c r="P183" s="2119"/>
      <c r="Q183" s="2119"/>
      <c r="R183" s="2119"/>
    </row>
    <row r="184" spans="1:18">
      <c r="A184" s="2118"/>
      <c r="B184" s="2118"/>
      <c r="C184" s="2118"/>
      <c r="D184" s="2118"/>
      <c r="E184" s="2505" t="s">
        <v>2718</v>
      </c>
      <c r="F184" s="2505"/>
      <c r="G184" s="2118"/>
      <c r="H184" s="2506">
        <v>0.78200000000000003</v>
      </c>
      <c r="I184" s="2506"/>
      <c r="J184" s="2506"/>
      <c r="K184" s="2122"/>
      <c r="L184" s="2506">
        <v>77.72</v>
      </c>
      <c r="M184" s="2122"/>
      <c r="N184" s="2120"/>
      <c r="O184" s="2119"/>
      <c r="P184" s="2119"/>
      <c r="Q184" s="2119"/>
      <c r="R184" s="2119"/>
    </row>
    <row r="185" spans="1:18">
      <c r="A185" s="2118"/>
      <c r="B185" s="2118"/>
      <c r="C185" s="2118"/>
      <c r="D185" s="2118"/>
      <c r="E185" s="2118"/>
      <c r="F185" s="2118"/>
      <c r="G185" s="2118"/>
      <c r="H185" s="2506"/>
      <c r="I185" s="2506"/>
      <c r="J185" s="2506"/>
      <c r="K185" s="2122"/>
      <c r="L185" s="2506"/>
      <c r="M185" s="2122"/>
      <c r="N185" s="2120"/>
      <c r="O185" s="2119"/>
      <c r="P185" s="2119"/>
      <c r="Q185" s="2119"/>
      <c r="R185" s="2119"/>
    </row>
    <row r="186" spans="1:18" ht="27.6">
      <c r="A186" s="2117" t="s">
        <v>2713</v>
      </c>
      <c r="B186" s="2118"/>
      <c r="C186" s="2117" t="s">
        <v>1069</v>
      </c>
      <c r="D186" s="2118"/>
      <c r="E186" s="2117" t="s">
        <v>2714</v>
      </c>
      <c r="F186" s="2118"/>
      <c r="G186" s="2119"/>
      <c r="H186" s="2119"/>
      <c r="I186" s="2119"/>
      <c r="J186" s="2119"/>
      <c r="K186" s="2119"/>
      <c r="L186" s="2119"/>
      <c r="M186" s="2119"/>
      <c r="N186" s="2120"/>
      <c r="O186" s="2119"/>
      <c r="P186" s="2119"/>
      <c r="Q186" s="2119"/>
      <c r="R186" s="2119"/>
    </row>
    <row r="187" spans="1:18">
      <c r="A187" s="2122"/>
      <c r="B187" s="2122"/>
      <c r="C187" s="2122"/>
      <c r="D187" s="2122"/>
      <c r="E187" s="2122"/>
      <c r="F187" s="2122"/>
      <c r="G187" s="2122"/>
      <c r="H187" s="2122"/>
      <c r="I187" s="2122"/>
      <c r="J187" s="2122"/>
      <c r="K187" s="2122"/>
      <c r="L187" s="2122"/>
      <c r="M187" s="2122"/>
      <c r="N187" s="2120"/>
      <c r="O187" s="2119"/>
      <c r="P187" s="2119"/>
      <c r="Q187" s="2119"/>
      <c r="R187" s="2119"/>
    </row>
    <row r="188" spans="1:18" ht="14.4">
      <c r="A188" s="2118"/>
      <c r="B188" s="2119"/>
      <c r="C188" s="2119"/>
      <c r="D188" s="2119"/>
      <c r="E188" s="2119"/>
      <c r="F188" s="2119"/>
      <c r="G188" s="2119"/>
      <c r="H188" s="2505" t="s">
        <v>2715</v>
      </c>
      <c r="I188" s="2505"/>
      <c r="J188" s="2122"/>
      <c r="K188" s="2506">
        <v>0</v>
      </c>
      <c r="L188" s="2506"/>
      <c r="M188" s="2122"/>
      <c r="N188" s="2507"/>
      <c r="O188" s="2122"/>
      <c r="P188" s="2119"/>
      <c r="Q188" s="2119"/>
      <c r="R188" s="2119"/>
    </row>
    <row r="189" spans="1:18" ht="14.4">
      <c r="A189" s="2119"/>
      <c r="B189" s="2119"/>
      <c r="C189" s="2119"/>
      <c r="D189" s="2119"/>
      <c r="E189" s="2119"/>
      <c r="F189" s="2119"/>
      <c r="G189" s="2119"/>
      <c r="H189" s="2122"/>
      <c r="I189" s="2122"/>
      <c r="J189" s="2122"/>
      <c r="K189" s="2506"/>
      <c r="L189" s="2506"/>
      <c r="M189" s="2119"/>
      <c r="N189" s="2507"/>
      <c r="O189" s="2119"/>
      <c r="P189" s="2119"/>
      <c r="Q189" s="2119"/>
      <c r="R189" s="2119"/>
    </row>
    <row r="190" spans="1:18">
      <c r="A190" s="2117">
        <v>32068</v>
      </c>
      <c r="B190" s="2122"/>
      <c r="C190" s="2508" t="s">
        <v>2730</v>
      </c>
      <c r="D190" s="2508"/>
      <c r="E190" s="2508"/>
      <c r="F190" s="2508"/>
      <c r="G190" s="2508"/>
      <c r="H190" s="2508"/>
      <c r="I190" s="2508"/>
      <c r="J190" s="2122"/>
      <c r="K190" s="2122"/>
      <c r="L190" s="2122"/>
      <c r="M190" s="2122"/>
      <c r="N190" s="2120"/>
      <c r="O190" s="2119"/>
      <c r="P190" s="2119"/>
      <c r="Q190" s="2119"/>
      <c r="R190" s="2119"/>
    </row>
    <row r="191" spans="1:18">
      <c r="A191" s="2122"/>
      <c r="B191" s="2122"/>
      <c r="C191" s="2122"/>
      <c r="D191" s="2122"/>
      <c r="E191" s="2122"/>
      <c r="F191" s="2122"/>
      <c r="G191" s="2122"/>
      <c r="H191" s="2122"/>
      <c r="I191" s="2122"/>
      <c r="J191" s="2122"/>
      <c r="K191" s="2122"/>
      <c r="L191" s="2122"/>
      <c r="M191" s="2122"/>
      <c r="N191" s="2120"/>
      <c r="O191" s="2119"/>
      <c r="P191" s="2119"/>
      <c r="Q191" s="2119"/>
      <c r="R191" s="2119"/>
    </row>
    <row r="192" spans="1:18">
      <c r="A192" s="2509"/>
      <c r="B192" s="2509"/>
      <c r="C192" s="2509"/>
      <c r="D192" s="2125"/>
      <c r="E192" s="2125"/>
      <c r="F192" s="2125"/>
      <c r="G192" s="2125"/>
      <c r="H192" s="2510"/>
      <c r="I192" s="2510"/>
      <c r="J192" s="2510"/>
      <c r="K192" s="2125"/>
      <c r="L192" s="2129"/>
      <c r="M192" s="2125"/>
      <c r="N192" s="2120"/>
      <c r="O192" s="2119"/>
      <c r="P192" s="2119"/>
      <c r="Q192" s="2119"/>
      <c r="R192" s="2119"/>
    </row>
    <row r="193" spans="1:18">
      <c r="A193" s="2118"/>
      <c r="B193" s="2118"/>
      <c r="C193" s="2118"/>
      <c r="D193" s="2118"/>
      <c r="E193" s="2505" t="s">
        <v>2718</v>
      </c>
      <c r="F193" s="2505"/>
      <c r="G193" s="2118"/>
      <c r="H193" s="2506">
        <v>0</v>
      </c>
      <c r="I193" s="2506"/>
      <c r="J193" s="2506"/>
      <c r="K193" s="2122"/>
      <c r="L193" s="2506">
        <v>0</v>
      </c>
      <c r="M193" s="2122"/>
      <c r="N193" s="2120"/>
      <c r="O193" s="2119"/>
      <c r="P193" s="2119"/>
      <c r="Q193" s="2119"/>
      <c r="R193" s="2119"/>
    </row>
    <row r="194" spans="1:18">
      <c r="A194" s="2118"/>
      <c r="B194" s="2118"/>
      <c r="C194" s="2118"/>
      <c r="D194" s="2118"/>
      <c r="E194" s="2118"/>
      <c r="F194" s="2118"/>
      <c r="G194" s="2118"/>
      <c r="H194" s="2506"/>
      <c r="I194" s="2506"/>
      <c r="J194" s="2506"/>
      <c r="K194" s="2122"/>
      <c r="L194" s="2506"/>
      <c r="M194" s="2122"/>
      <c r="N194" s="2120"/>
      <c r="O194" s="2119"/>
      <c r="P194" s="2119"/>
      <c r="Q194" s="2119"/>
      <c r="R194" s="2119"/>
    </row>
    <row r="195" spans="1:18" ht="27.6">
      <c r="A195" s="2117" t="s">
        <v>2713</v>
      </c>
      <c r="B195" s="2118"/>
      <c r="C195" s="2117" t="s">
        <v>1069</v>
      </c>
      <c r="D195" s="2118"/>
      <c r="E195" s="2117" t="s">
        <v>2714</v>
      </c>
      <c r="F195" s="2118"/>
      <c r="G195" s="2119"/>
      <c r="H195" s="2119"/>
      <c r="I195" s="2119"/>
      <c r="J195" s="2119"/>
      <c r="K195" s="2119"/>
      <c r="L195" s="2119"/>
      <c r="M195" s="2119"/>
      <c r="N195" s="2120"/>
      <c r="O195" s="2119"/>
      <c r="P195" s="2119"/>
      <c r="Q195" s="2119"/>
      <c r="R195" s="2119"/>
    </row>
    <row r="196" spans="1:18">
      <c r="A196" s="2122"/>
      <c r="B196" s="2122"/>
      <c r="C196" s="2122"/>
      <c r="D196" s="2122"/>
      <c r="E196" s="2122"/>
      <c r="F196" s="2122"/>
      <c r="G196" s="2122"/>
      <c r="H196" s="2122"/>
      <c r="I196" s="2122"/>
      <c r="J196" s="2122"/>
      <c r="K196" s="2122"/>
      <c r="L196" s="2122"/>
      <c r="M196" s="2122"/>
      <c r="N196" s="2120"/>
      <c r="O196" s="2119"/>
      <c r="P196" s="2119"/>
      <c r="Q196" s="2119"/>
      <c r="R196" s="2119"/>
    </row>
    <row r="197" spans="1:18" ht="14.4">
      <c r="A197" s="2118"/>
      <c r="B197" s="2119"/>
      <c r="C197" s="2119"/>
      <c r="D197" s="2119"/>
      <c r="E197" s="2119"/>
      <c r="F197" s="2119"/>
      <c r="G197" s="2119"/>
      <c r="H197" s="2505" t="s">
        <v>2715</v>
      </c>
      <c r="I197" s="2505"/>
      <c r="J197" s="2122"/>
      <c r="K197" s="2506">
        <v>0</v>
      </c>
      <c r="L197" s="2506"/>
      <c r="M197" s="2122"/>
      <c r="N197" s="2507"/>
      <c r="O197" s="2122"/>
      <c r="P197" s="2119"/>
      <c r="Q197" s="2119"/>
      <c r="R197" s="2119"/>
    </row>
    <row r="198" spans="1:18" ht="14.4">
      <c r="A198" s="2119"/>
      <c r="B198" s="2119"/>
      <c r="C198" s="2119"/>
      <c r="D198" s="2119"/>
      <c r="E198" s="2119"/>
      <c r="F198" s="2119"/>
      <c r="G198" s="2119"/>
      <c r="H198" s="2122"/>
      <c r="I198" s="2122"/>
      <c r="J198" s="2122"/>
      <c r="K198" s="2506"/>
      <c r="L198" s="2506"/>
      <c r="M198" s="2119"/>
      <c r="N198" s="2507"/>
      <c r="O198" s="2119"/>
      <c r="P198" s="2119"/>
      <c r="Q198" s="2119"/>
      <c r="R198" s="2119"/>
    </row>
    <row r="199" spans="1:18">
      <c r="A199" s="2117">
        <v>33376</v>
      </c>
      <c r="B199" s="2122"/>
      <c r="C199" s="2508" t="s">
        <v>2731</v>
      </c>
      <c r="D199" s="2508"/>
      <c r="E199" s="2508"/>
      <c r="F199" s="2508"/>
      <c r="G199" s="2508"/>
      <c r="H199" s="2508"/>
      <c r="I199" s="2508"/>
      <c r="J199" s="2122"/>
      <c r="K199" s="2122"/>
      <c r="L199" s="2122"/>
      <c r="M199" s="2122"/>
      <c r="N199" s="2120"/>
      <c r="O199" s="2119"/>
      <c r="P199" s="2119"/>
      <c r="Q199" s="2119"/>
      <c r="R199" s="2119"/>
    </row>
    <row r="200" spans="1:18">
      <c r="A200" s="2122"/>
      <c r="B200" s="2122"/>
      <c r="C200" s="2122"/>
      <c r="D200" s="2122"/>
      <c r="E200" s="2122"/>
      <c r="F200" s="2122"/>
      <c r="G200" s="2122"/>
      <c r="H200" s="2122"/>
      <c r="I200" s="2122"/>
      <c r="J200" s="2122"/>
      <c r="K200" s="2122"/>
      <c r="L200" s="2122"/>
      <c r="M200" s="2122"/>
      <c r="N200" s="2120"/>
      <c r="O200" s="2119"/>
      <c r="P200" s="2119"/>
      <c r="Q200" s="2119"/>
      <c r="R200" s="2119"/>
    </row>
    <row r="201" spans="1:18">
      <c r="A201" s="2509"/>
      <c r="B201" s="2509"/>
      <c r="C201" s="2509"/>
      <c r="D201" s="2125"/>
      <c r="E201" s="2125"/>
      <c r="F201" s="2125"/>
      <c r="G201" s="2125"/>
      <c r="H201" s="2510"/>
      <c r="I201" s="2510"/>
      <c r="J201" s="2510"/>
      <c r="K201" s="2125"/>
      <c r="L201" s="2129"/>
      <c r="M201" s="2125"/>
      <c r="N201" s="2120"/>
      <c r="O201" s="2119"/>
      <c r="P201" s="2119"/>
      <c r="Q201" s="2119"/>
      <c r="R201" s="2119"/>
    </row>
    <row r="202" spans="1:18">
      <c r="A202" s="2118"/>
      <c r="B202" s="2118"/>
      <c r="C202" s="2118"/>
      <c r="D202" s="2118"/>
      <c r="E202" s="2505" t="s">
        <v>2718</v>
      </c>
      <c r="F202" s="2505"/>
      <c r="G202" s="2118"/>
      <c r="H202" s="2506">
        <v>0</v>
      </c>
      <c r="I202" s="2506"/>
      <c r="J202" s="2506"/>
      <c r="K202" s="2122"/>
      <c r="L202" s="2506">
        <v>0</v>
      </c>
      <c r="M202" s="2122"/>
      <c r="N202" s="2120"/>
      <c r="O202" s="2119"/>
      <c r="P202" s="2119"/>
      <c r="Q202" s="2119"/>
      <c r="R202" s="2119"/>
    </row>
    <row r="203" spans="1:18">
      <c r="A203" s="2118"/>
      <c r="B203" s="2118"/>
      <c r="C203" s="2118"/>
      <c r="D203" s="2118"/>
      <c r="E203" s="2118"/>
      <c r="F203" s="2118"/>
      <c r="G203" s="2118"/>
      <c r="H203" s="2506"/>
      <c r="I203" s="2506"/>
      <c r="J203" s="2506"/>
      <c r="K203" s="2122"/>
      <c r="L203" s="2506"/>
      <c r="M203" s="2122"/>
      <c r="N203" s="2120"/>
      <c r="O203" s="2119"/>
      <c r="P203" s="2119"/>
      <c r="Q203" s="2119"/>
      <c r="R203" s="2119"/>
    </row>
    <row r="204" spans="1:18" ht="27.6">
      <c r="A204" s="2117" t="s">
        <v>2713</v>
      </c>
      <c r="B204" s="2118"/>
      <c r="C204" s="2117" t="s">
        <v>1069</v>
      </c>
      <c r="D204" s="2118"/>
      <c r="E204" s="2117" t="s">
        <v>2714</v>
      </c>
      <c r="F204" s="2118"/>
      <c r="G204" s="2119"/>
      <c r="H204" s="2119"/>
      <c r="I204" s="2119"/>
      <c r="J204" s="2119"/>
      <c r="K204" s="2119"/>
      <c r="L204" s="2119"/>
      <c r="M204" s="2119"/>
      <c r="N204" s="2120"/>
      <c r="O204" s="2119"/>
      <c r="P204" s="2119"/>
      <c r="Q204" s="2119"/>
      <c r="R204" s="2119"/>
    </row>
    <row r="205" spans="1:18">
      <c r="A205" s="2122"/>
      <c r="B205" s="2122"/>
      <c r="C205" s="2122"/>
      <c r="D205" s="2122"/>
      <c r="E205" s="2122"/>
      <c r="F205" s="2122"/>
      <c r="G205" s="2122"/>
      <c r="H205" s="2122"/>
      <c r="I205" s="2122"/>
      <c r="J205" s="2122"/>
      <c r="K205" s="2122"/>
      <c r="L205" s="2122"/>
      <c r="M205" s="2122"/>
      <c r="N205" s="2120"/>
      <c r="O205" s="2119"/>
      <c r="P205" s="2119"/>
      <c r="Q205" s="2119"/>
      <c r="R205" s="2119"/>
    </row>
    <row r="206" spans="1:18" ht="14.4">
      <c r="A206" s="2118"/>
      <c r="B206" s="2119"/>
      <c r="C206" s="2119"/>
      <c r="D206" s="2119"/>
      <c r="E206" s="2119"/>
      <c r="F206" s="2119"/>
      <c r="G206" s="2119"/>
      <c r="H206" s="2505" t="s">
        <v>2715</v>
      </c>
      <c r="I206" s="2505"/>
      <c r="J206" s="2122"/>
      <c r="K206" s="2506">
        <v>1E-4</v>
      </c>
      <c r="L206" s="2506"/>
      <c r="M206" s="2122"/>
      <c r="N206" s="2507"/>
      <c r="O206" s="2122"/>
      <c r="P206" s="2119"/>
      <c r="Q206" s="2119"/>
      <c r="R206" s="2119"/>
    </row>
    <row r="207" spans="1:18" ht="14.4">
      <c r="A207" s="2119"/>
      <c r="B207" s="2119"/>
      <c r="C207" s="2119"/>
      <c r="D207" s="2119"/>
      <c r="E207" s="2119"/>
      <c r="F207" s="2119"/>
      <c r="G207" s="2119"/>
      <c r="H207" s="2122"/>
      <c r="I207" s="2122"/>
      <c r="J207" s="2122"/>
      <c r="K207" s="2506"/>
      <c r="L207" s="2506"/>
      <c r="M207" s="2119"/>
      <c r="N207" s="2507"/>
      <c r="O207" s="2119"/>
      <c r="P207" s="2119"/>
      <c r="Q207" s="2119"/>
      <c r="R207" s="2119"/>
    </row>
    <row r="208" spans="1:18">
      <c r="A208" s="2117">
        <v>33762</v>
      </c>
      <c r="B208" s="2122"/>
      <c r="C208" s="2508" t="s">
        <v>2732</v>
      </c>
      <c r="D208" s="2508"/>
      <c r="E208" s="2508"/>
      <c r="F208" s="2508"/>
      <c r="G208" s="2508"/>
      <c r="H208" s="2508"/>
      <c r="I208" s="2508"/>
      <c r="J208" s="2122"/>
      <c r="K208" s="2122"/>
      <c r="L208" s="2122"/>
      <c r="M208" s="2122"/>
      <c r="N208" s="2120"/>
      <c r="O208" s="2119"/>
      <c r="P208" s="2119"/>
      <c r="Q208" s="2119"/>
      <c r="R208" s="2119"/>
    </row>
    <row r="209" spans="1:18">
      <c r="A209" s="2122"/>
      <c r="B209" s="2122"/>
      <c r="C209" s="2122"/>
      <c r="D209" s="2122"/>
      <c r="E209" s="2122"/>
      <c r="F209" s="2122"/>
      <c r="G209" s="2122"/>
      <c r="H209" s="2122"/>
      <c r="I209" s="2122"/>
      <c r="J209" s="2122"/>
      <c r="K209" s="2122"/>
      <c r="L209" s="2122"/>
      <c r="M209" s="2122"/>
      <c r="N209" s="2120"/>
      <c r="O209" s="2119"/>
      <c r="P209" s="2119"/>
      <c r="Q209" s="2119"/>
      <c r="R209" s="2119"/>
    </row>
    <row r="210" spans="1:18">
      <c r="A210" s="2511" t="s">
        <v>2717</v>
      </c>
      <c r="B210" s="2511"/>
      <c r="C210" s="2511"/>
      <c r="D210" s="2125"/>
      <c r="E210" s="2125"/>
      <c r="F210" s="2125"/>
      <c r="G210" s="2125"/>
      <c r="H210" s="2512">
        <v>-1958.732</v>
      </c>
      <c r="I210" s="2512"/>
      <c r="J210" s="2512"/>
      <c r="K210" s="2125"/>
      <c r="L210" s="2126">
        <v>-176727.55</v>
      </c>
      <c r="M210" s="2125"/>
      <c r="N210" s="2120"/>
      <c r="O210" s="2119"/>
      <c r="P210" s="2119"/>
      <c r="Q210" s="2119"/>
      <c r="R210" s="2119"/>
    </row>
    <row r="211" spans="1:18">
      <c r="A211" s="2511" t="s">
        <v>2725</v>
      </c>
      <c r="B211" s="2511"/>
      <c r="C211" s="2511"/>
      <c r="D211" s="2125"/>
      <c r="E211" s="2125"/>
      <c r="F211" s="2125"/>
      <c r="G211" s="2125"/>
      <c r="H211" s="2512">
        <v>1958.732</v>
      </c>
      <c r="I211" s="2512"/>
      <c r="J211" s="2512"/>
      <c r="K211" s="2125"/>
      <c r="L211" s="2126">
        <v>184623</v>
      </c>
      <c r="M211" s="2125"/>
      <c r="N211" s="2120"/>
      <c r="O211" s="2119"/>
      <c r="P211" s="2119"/>
      <c r="Q211" s="2119"/>
      <c r="R211" s="2119"/>
    </row>
    <row r="212" spans="1:18">
      <c r="A212" s="2118"/>
      <c r="B212" s="2118"/>
      <c r="C212" s="2118"/>
      <c r="D212" s="2118"/>
      <c r="E212" s="2505" t="s">
        <v>2718</v>
      </c>
      <c r="F212" s="2505"/>
      <c r="G212" s="2118"/>
      <c r="H212" s="2506">
        <v>1E-4</v>
      </c>
      <c r="I212" s="2506"/>
      <c r="J212" s="2506"/>
      <c r="K212" s="2122"/>
      <c r="L212" s="2506">
        <v>0.01</v>
      </c>
      <c r="M212" s="2122"/>
      <c r="N212" s="2120"/>
      <c r="O212" s="2119"/>
      <c r="P212" s="2119"/>
      <c r="Q212" s="2119"/>
      <c r="R212" s="2119"/>
    </row>
    <row r="213" spans="1:18">
      <c r="A213" s="2118"/>
      <c r="B213" s="2118"/>
      <c r="C213" s="2118"/>
      <c r="D213" s="2118"/>
      <c r="E213" s="2118"/>
      <c r="F213" s="2118"/>
      <c r="G213" s="2118"/>
      <c r="H213" s="2506"/>
      <c r="I213" s="2506"/>
      <c r="J213" s="2506"/>
      <c r="K213" s="2122"/>
      <c r="L213" s="2506"/>
      <c r="M213" s="2122"/>
      <c r="N213" s="2120"/>
      <c r="O213" s="2119"/>
      <c r="P213" s="2119"/>
      <c r="Q213" s="2119"/>
      <c r="R213" s="2119"/>
    </row>
    <row r="214" spans="1:18" ht="27.6">
      <c r="A214" s="2117" t="s">
        <v>2713</v>
      </c>
      <c r="B214" s="2118"/>
      <c r="C214" s="2117" t="s">
        <v>1069</v>
      </c>
      <c r="D214" s="2118"/>
      <c r="E214" s="2117" t="s">
        <v>2714</v>
      </c>
      <c r="F214" s="2118"/>
      <c r="G214" s="2119"/>
      <c r="H214" s="2119"/>
      <c r="I214" s="2119"/>
      <c r="J214" s="2119"/>
      <c r="K214" s="2119"/>
      <c r="L214" s="2119"/>
      <c r="M214" s="2119"/>
      <c r="N214" s="2120"/>
      <c r="O214" s="2119"/>
      <c r="P214" s="2119"/>
      <c r="Q214" s="2119"/>
      <c r="R214" s="2119"/>
    </row>
    <row r="215" spans="1:18">
      <c r="A215" s="2122"/>
      <c r="B215" s="2122"/>
      <c r="C215" s="2122"/>
      <c r="D215" s="2122"/>
      <c r="E215" s="2122"/>
      <c r="F215" s="2122"/>
      <c r="G215" s="2122"/>
      <c r="H215" s="2122"/>
      <c r="I215" s="2122"/>
      <c r="J215" s="2122"/>
      <c r="K215" s="2122"/>
      <c r="L215" s="2122"/>
      <c r="M215" s="2122"/>
      <c r="N215" s="2120"/>
      <c r="O215" s="2119"/>
      <c r="P215" s="2119"/>
      <c r="Q215" s="2119"/>
      <c r="R215" s="2119"/>
    </row>
    <row r="216" spans="1:18" ht="14.4">
      <c r="A216" s="2118"/>
      <c r="B216" s="2119"/>
      <c r="C216" s="2119"/>
      <c r="D216" s="2119"/>
      <c r="E216" s="2119"/>
      <c r="F216" s="2119"/>
      <c r="G216" s="2119"/>
      <c r="H216" s="2505" t="s">
        <v>2715</v>
      </c>
      <c r="I216" s="2505"/>
      <c r="J216" s="2122"/>
      <c r="K216" s="2506">
        <v>0</v>
      </c>
      <c r="L216" s="2506"/>
      <c r="M216" s="2122"/>
      <c r="N216" s="2507"/>
      <c r="O216" s="2122"/>
      <c r="P216" s="2119"/>
      <c r="Q216" s="2119"/>
      <c r="R216" s="2119"/>
    </row>
    <row r="217" spans="1:18" ht="14.4">
      <c r="A217" s="2119"/>
      <c r="B217" s="2119"/>
      <c r="C217" s="2119"/>
      <c r="D217" s="2119"/>
      <c r="E217" s="2119"/>
      <c r="F217" s="2119"/>
      <c r="G217" s="2119"/>
      <c r="H217" s="2122"/>
      <c r="I217" s="2122"/>
      <c r="J217" s="2122"/>
      <c r="K217" s="2506"/>
      <c r="L217" s="2506"/>
      <c r="M217" s="2119"/>
      <c r="N217" s="2507"/>
      <c r="O217" s="2119"/>
      <c r="P217" s="2119"/>
      <c r="Q217" s="2119"/>
      <c r="R217" s="2119"/>
    </row>
    <row r="218" spans="1:18">
      <c r="A218" s="2117">
        <v>35647</v>
      </c>
      <c r="B218" s="2122"/>
      <c r="C218" s="2508" t="s">
        <v>2733</v>
      </c>
      <c r="D218" s="2508"/>
      <c r="E218" s="2508"/>
      <c r="F218" s="2508"/>
      <c r="G218" s="2508"/>
      <c r="H218" s="2508"/>
      <c r="I218" s="2508"/>
      <c r="J218" s="2122"/>
      <c r="K218" s="2122"/>
      <c r="L218" s="2122"/>
      <c r="M218" s="2122"/>
      <c r="N218" s="2120"/>
      <c r="O218" s="2119"/>
      <c r="P218" s="2119"/>
      <c r="Q218" s="2119"/>
      <c r="R218" s="2119"/>
    </row>
    <row r="219" spans="1:18">
      <c r="A219" s="2122"/>
      <c r="B219" s="2122"/>
      <c r="C219" s="2122"/>
      <c r="D219" s="2122"/>
      <c r="E219" s="2122"/>
      <c r="F219" s="2122"/>
      <c r="G219" s="2122"/>
      <c r="H219" s="2122"/>
      <c r="I219" s="2122"/>
      <c r="J219" s="2122"/>
      <c r="K219" s="2122"/>
      <c r="L219" s="2122"/>
      <c r="M219" s="2122"/>
      <c r="N219" s="2120"/>
      <c r="O219" s="2119"/>
      <c r="P219" s="2119"/>
      <c r="Q219" s="2119"/>
      <c r="R219" s="2119"/>
    </row>
    <row r="220" spans="1:18">
      <c r="A220" s="2509"/>
      <c r="B220" s="2509"/>
      <c r="C220" s="2509"/>
      <c r="D220" s="2125"/>
      <c r="E220" s="2125"/>
      <c r="F220" s="2125"/>
      <c r="G220" s="2125"/>
      <c r="H220" s="2510"/>
      <c r="I220" s="2510"/>
      <c r="J220" s="2510"/>
      <c r="K220" s="2125"/>
      <c r="L220" s="2129"/>
      <c r="M220" s="2125"/>
      <c r="N220" s="2120"/>
      <c r="O220" s="2119"/>
      <c r="P220" s="2119"/>
      <c r="Q220" s="2119"/>
      <c r="R220" s="2119"/>
    </row>
    <row r="221" spans="1:18">
      <c r="A221" s="2118"/>
      <c r="B221" s="2118"/>
      <c r="C221" s="2118"/>
      <c r="D221" s="2118"/>
      <c r="E221" s="2505" t="s">
        <v>2718</v>
      </c>
      <c r="F221" s="2505"/>
      <c r="G221" s="2118"/>
      <c r="H221" s="2506">
        <v>0</v>
      </c>
      <c r="I221" s="2506"/>
      <c r="J221" s="2506"/>
      <c r="K221" s="2122"/>
      <c r="L221" s="2506">
        <v>0</v>
      </c>
      <c r="M221" s="2122"/>
      <c r="N221" s="2120"/>
      <c r="O221" s="2119"/>
      <c r="P221" s="2119"/>
      <c r="Q221" s="2119"/>
      <c r="R221" s="2119"/>
    </row>
    <row r="222" spans="1:18">
      <c r="A222" s="2118"/>
      <c r="B222" s="2118"/>
      <c r="C222" s="2118"/>
      <c r="D222" s="2118"/>
      <c r="E222" s="2118"/>
      <c r="F222" s="2118"/>
      <c r="G222" s="2118"/>
      <c r="H222" s="2506"/>
      <c r="I222" s="2506"/>
      <c r="J222" s="2506"/>
      <c r="K222" s="2122"/>
      <c r="L222" s="2506"/>
      <c r="M222" s="2122"/>
      <c r="N222" s="2120"/>
      <c r="O222" s="2119"/>
      <c r="P222" s="2119"/>
      <c r="Q222" s="2119"/>
      <c r="R222" s="2119"/>
    </row>
    <row r="223" spans="1:18" ht="27.6">
      <c r="A223" s="2117" t="s">
        <v>2713</v>
      </c>
      <c r="B223" s="2118"/>
      <c r="C223" s="2117" t="s">
        <v>1069</v>
      </c>
      <c r="D223" s="2118"/>
      <c r="E223" s="2117" t="s">
        <v>2714</v>
      </c>
      <c r="F223" s="2118"/>
      <c r="G223" s="2119"/>
      <c r="H223" s="2119"/>
      <c r="I223" s="2119"/>
      <c r="J223" s="2119"/>
      <c r="K223" s="2119"/>
      <c r="L223" s="2119"/>
      <c r="M223" s="2119"/>
      <c r="N223" s="2120"/>
      <c r="O223" s="2119"/>
      <c r="P223" s="2119"/>
      <c r="Q223" s="2119"/>
      <c r="R223" s="2119"/>
    </row>
    <row r="224" spans="1:18">
      <c r="A224" s="2122"/>
      <c r="B224" s="2122"/>
      <c r="C224" s="2122"/>
      <c r="D224" s="2122"/>
      <c r="E224" s="2122"/>
      <c r="F224" s="2122"/>
      <c r="G224" s="2122"/>
      <c r="H224" s="2122"/>
      <c r="I224" s="2122"/>
      <c r="J224" s="2122"/>
      <c r="K224" s="2122"/>
      <c r="L224" s="2122"/>
      <c r="M224" s="2122"/>
      <c r="N224" s="2120"/>
      <c r="O224" s="2119"/>
      <c r="P224" s="2119"/>
      <c r="Q224" s="2119"/>
      <c r="R224" s="2119"/>
    </row>
    <row r="225" spans="1:18" ht="14.4">
      <c r="A225" s="2118"/>
      <c r="B225" s="2119"/>
      <c r="C225" s="2119"/>
      <c r="D225" s="2119"/>
      <c r="E225" s="2119"/>
      <c r="F225" s="2119"/>
      <c r="G225" s="2119"/>
      <c r="H225" s="2505" t="s">
        <v>2715</v>
      </c>
      <c r="I225" s="2505"/>
      <c r="J225" s="2122"/>
      <c r="K225" s="2506">
        <v>0</v>
      </c>
      <c r="L225" s="2506"/>
      <c r="M225" s="2122"/>
      <c r="N225" s="2507"/>
      <c r="O225" s="2122"/>
      <c r="P225" s="2119"/>
      <c r="Q225" s="2119"/>
      <c r="R225" s="2119"/>
    </row>
    <row r="226" spans="1:18" ht="14.4">
      <c r="A226" s="2119"/>
      <c r="B226" s="2119"/>
      <c r="C226" s="2119"/>
      <c r="D226" s="2119"/>
      <c r="E226" s="2119"/>
      <c r="F226" s="2119"/>
      <c r="G226" s="2119"/>
      <c r="H226" s="2122"/>
      <c r="I226" s="2122"/>
      <c r="J226" s="2122"/>
      <c r="K226" s="2506"/>
      <c r="L226" s="2506"/>
      <c r="M226" s="2119"/>
      <c r="N226" s="2507"/>
      <c r="O226" s="2119"/>
      <c r="P226" s="2119"/>
      <c r="Q226" s="2119"/>
      <c r="R226" s="2119"/>
    </row>
    <row r="227" spans="1:18">
      <c r="A227" s="2117">
        <v>50602</v>
      </c>
      <c r="B227" s="2122"/>
      <c r="C227" s="2508" t="s">
        <v>2719</v>
      </c>
      <c r="D227" s="2508"/>
      <c r="E227" s="2508"/>
      <c r="F227" s="2508"/>
      <c r="G227" s="2508"/>
      <c r="H227" s="2508"/>
      <c r="I227" s="2508"/>
      <c r="J227" s="2122"/>
      <c r="K227" s="2122"/>
      <c r="L227" s="2122"/>
      <c r="M227" s="2122"/>
      <c r="N227" s="2120"/>
      <c r="O227" s="2119"/>
      <c r="P227" s="2119"/>
      <c r="Q227" s="2119"/>
      <c r="R227" s="2119"/>
    </row>
    <row r="228" spans="1:18">
      <c r="A228" s="2122"/>
      <c r="B228" s="2122"/>
      <c r="C228" s="2122"/>
      <c r="D228" s="2122"/>
      <c r="E228" s="2122"/>
      <c r="F228" s="2122"/>
      <c r="G228" s="2122"/>
      <c r="H228" s="2122"/>
      <c r="I228" s="2122"/>
      <c r="J228" s="2122"/>
      <c r="K228" s="2122"/>
      <c r="L228" s="2122"/>
      <c r="M228" s="2122"/>
      <c r="N228" s="2120"/>
      <c r="O228" s="2119"/>
      <c r="P228" s="2119"/>
      <c r="Q228" s="2119"/>
      <c r="R228" s="2119"/>
    </row>
    <row r="229" spans="1:18">
      <c r="A229" s="2511" t="s">
        <v>2717</v>
      </c>
      <c r="B229" s="2511"/>
      <c r="C229" s="2511"/>
      <c r="D229" s="2125"/>
      <c r="E229" s="2125"/>
      <c r="F229" s="2125"/>
      <c r="G229" s="2125"/>
      <c r="H229" s="2510">
        <v>-650.63800000000003</v>
      </c>
      <c r="I229" s="2510"/>
      <c r="J229" s="2510"/>
      <c r="K229" s="2125"/>
      <c r="L229" s="2126">
        <v>-63011.57</v>
      </c>
      <c r="M229" s="2125"/>
      <c r="N229" s="2120"/>
      <c r="O229" s="2119"/>
      <c r="P229" s="2119"/>
      <c r="Q229" s="2119"/>
      <c r="R229" s="2119"/>
    </row>
    <row r="230" spans="1:18">
      <c r="A230" s="2511" t="s">
        <v>2725</v>
      </c>
      <c r="B230" s="2511"/>
      <c r="C230" s="2511"/>
      <c r="D230" s="2125"/>
      <c r="E230" s="2125"/>
      <c r="F230" s="2125"/>
      <c r="G230" s="2125"/>
      <c r="H230" s="2510">
        <v>650.63800000000003</v>
      </c>
      <c r="I230" s="2510"/>
      <c r="J230" s="2510"/>
      <c r="K230" s="2125"/>
      <c r="L230" s="2126">
        <v>59000</v>
      </c>
      <c r="M230" s="2125"/>
      <c r="N230" s="2120"/>
      <c r="O230" s="2119"/>
      <c r="P230" s="2119"/>
      <c r="Q230" s="2119"/>
      <c r="R230" s="2119"/>
    </row>
    <row r="231" spans="1:18">
      <c r="A231" s="2118"/>
      <c r="B231" s="2118"/>
      <c r="C231" s="2118"/>
      <c r="D231" s="2118"/>
      <c r="E231" s="2505" t="s">
        <v>2718</v>
      </c>
      <c r="F231" s="2505"/>
      <c r="G231" s="2118"/>
      <c r="H231" s="2506">
        <v>0</v>
      </c>
      <c r="I231" s="2506"/>
      <c r="J231" s="2506"/>
      <c r="K231" s="2122"/>
      <c r="L231" s="2506">
        <v>0</v>
      </c>
      <c r="M231" s="2122"/>
      <c r="N231" s="2120"/>
      <c r="O231" s="2119"/>
      <c r="P231" s="2119"/>
      <c r="Q231" s="2119"/>
      <c r="R231" s="2119"/>
    </row>
    <row r="232" spans="1:18">
      <c r="A232" s="2118"/>
      <c r="B232" s="2118"/>
      <c r="C232" s="2118"/>
      <c r="D232" s="2118"/>
      <c r="E232" s="2118"/>
      <c r="F232" s="2118"/>
      <c r="G232" s="2118"/>
      <c r="H232" s="2506"/>
      <c r="I232" s="2506"/>
      <c r="J232" s="2506"/>
      <c r="K232" s="2122"/>
      <c r="L232" s="2506"/>
      <c r="M232" s="2122"/>
      <c r="N232" s="2120"/>
      <c r="O232" s="2119"/>
      <c r="P232" s="2119"/>
      <c r="Q232" s="2119"/>
      <c r="R232" s="2119"/>
    </row>
    <row r="233" spans="1:18" ht="27.6">
      <c r="A233" s="2117" t="s">
        <v>2713</v>
      </c>
      <c r="B233" s="2118"/>
      <c r="C233" s="2117" t="s">
        <v>1069</v>
      </c>
      <c r="D233" s="2118"/>
      <c r="E233" s="2117" t="s">
        <v>2714</v>
      </c>
      <c r="F233" s="2118"/>
      <c r="G233" s="2119"/>
      <c r="H233" s="2119"/>
      <c r="I233" s="2119"/>
      <c r="J233" s="2119"/>
      <c r="K233" s="2119"/>
      <c r="L233" s="2119"/>
      <c r="M233" s="2119"/>
      <c r="N233" s="2120"/>
      <c r="O233" s="2119"/>
      <c r="P233" s="2119"/>
      <c r="Q233" s="2119"/>
      <c r="R233" s="2119"/>
    </row>
    <row r="234" spans="1:18">
      <c r="A234" s="2122"/>
      <c r="B234" s="2122"/>
      <c r="C234" s="2122"/>
      <c r="D234" s="2122"/>
      <c r="E234" s="2122"/>
      <c r="F234" s="2122"/>
      <c r="G234" s="2122"/>
      <c r="H234" s="2122"/>
      <c r="I234" s="2122"/>
      <c r="J234" s="2122"/>
      <c r="K234" s="2122"/>
      <c r="L234" s="2122"/>
      <c r="M234" s="2122"/>
      <c r="N234" s="2120"/>
      <c r="O234" s="2119"/>
      <c r="P234" s="2119"/>
      <c r="Q234" s="2119"/>
      <c r="R234" s="2119"/>
    </row>
    <row r="235" spans="1:18" ht="14.4">
      <c r="A235" s="2118"/>
      <c r="B235" s="2119"/>
      <c r="C235" s="2119"/>
      <c r="D235" s="2119"/>
      <c r="E235" s="2119"/>
      <c r="F235" s="2119"/>
      <c r="G235" s="2119"/>
      <c r="H235" s="2505" t="s">
        <v>2715</v>
      </c>
      <c r="I235" s="2505"/>
      <c r="J235" s="2122"/>
      <c r="K235" s="2513">
        <v>20148.2752</v>
      </c>
      <c r="L235" s="2513"/>
      <c r="M235" s="2122"/>
      <c r="N235" s="2507">
        <v>2002342</v>
      </c>
      <c r="O235" s="2122"/>
      <c r="P235" s="2119"/>
      <c r="Q235" s="2119"/>
      <c r="R235" s="2119"/>
    </row>
    <row r="236" spans="1:18" ht="14.4">
      <c r="A236" s="2119"/>
      <c r="B236" s="2119"/>
      <c r="C236" s="2119"/>
      <c r="D236" s="2119"/>
      <c r="E236" s="2119"/>
      <c r="F236" s="2119"/>
      <c r="G236" s="2119"/>
      <c r="H236" s="2122"/>
      <c r="I236" s="2122"/>
      <c r="J236" s="2122"/>
      <c r="K236" s="2513"/>
      <c r="L236" s="2513"/>
      <c r="M236" s="2119"/>
      <c r="N236" s="2507"/>
      <c r="O236" s="2119"/>
      <c r="P236" s="2119"/>
      <c r="Q236" s="2119"/>
      <c r="R236" s="2119"/>
    </row>
    <row r="237" spans="1:18">
      <c r="A237" s="2117">
        <v>75627</v>
      </c>
      <c r="B237" s="2122"/>
      <c r="C237" s="2508" t="s">
        <v>2734</v>
      </c>
      <c r="D237" s="2508"/>
      <c r="E237" s="2508"/>
      <c r="F237" s="2508"/>
      <c r="G237" s="2508"/>
      <c r="H237" s="2508"/>
      <c r="I237" s="2508"/>
      <c r="J237" s="2122"/>
      <c r="K237" s="2122"/>
      <c r="L237" s="2122"/>
      <c r="M237" s="2122"/>
      <c r="N237" s="2120"/>
      <c r="O237" s="2119"/>
      <c r="P237" s="2119"/>
      <c r="Q237" s="2119"/>
      <c r="R237" s="2119"/>
    </row>
    <row r="238" spans="1:18">
      <c r="A238" s="2122"/>
      <c r="B238" s="2122"/>
      <c r="C238" s="2122"/>
      <c r="D238" s="2122"/>
      <c r="E238" s="2122"/>
      <c r="F238" s="2122"/>
      <c r="G238" s="2122"/>
      <c r="H238" s="2122"/>
      <c r="I238" s="2122"/>
      <c r="J238" s="2122"/>
      <c r="K238" s="2122"/>
      <c r="L238" s="2122"/>
      <c r="M238" s="2122"/>
      <c r="N238" s="2120"/>
      <c r="O238" s="2119"/>
      <c r="P238" s="2119"/>
      <c r="Q238" s="2119"/>
      <c r="R238" s="2119"/>
    </row>
    <row r="239" spans="1:18">
      <c r="A239" s="2511" t="s">
        <v>2722</v>
      </c>
      <c r="B239" s="2511"/>
      <c r="C239" s="2511"/>
      <c r="D239" s="2125"/>
      <c r="E239" s="2125"/>
      <c r="F239" s="2125"/>
      <c r="G239" s="2125"/>
      <c r="H239" s="2512">
        <v>583168.82200000004</v>
      </c>
      <c r="I239" s="2512"/>
      <c r="J239" s="2512"/>
      <c r="K239" s="2125"/>
      <c r="L239" s="2126">
        <v>51471813.420000002</v>
      </c>
      <c r="M239" s="2125"/>
      <c r="N239" s="2120"/>
      <c r="O239" s="2119"/>
      <c r="P239" s="2119"/>
      <c r="Q239" s="2119"/>
      <c r="R239" s="2119"/>
    </row>
    <row r="240" spans="1:18">
      <c r="A240" s="2511" t="s">
        <v>2723</v>
      </c>
      <c r="B240" s="2511"/>
      <c r="C240" s="2511"/>
      <c r="D240" s="2125"/>
      <c r="E240" s="2125"/>
      <c r="F240" s="2125"/>
      <c r="G240" s="2125"/>
      <c r="H240" s="2512">
        <v>-2347699.0550000002</v>
      </c>
      <c r="I240" s="2512"/>
      <c r="J240" s="2512"/>
      <c r="K240" s="2125"/>
      <c r="L240" s="2126">
        <v>-224022468.06999999</v>
      </c>
      <c r="M240" s="2125"/>
      <c r="N240" s="2120"/>
      <c r="O240" s="2119"/>
      <c r="P240" s="2119"/>
      <c r="Q240" s="2119"/>
      <c r="R240" s="2119"/>
    </row>
    <row r="241" spans="1:18">
      <c r="A241" s="2511" t="s">
        <v>2717</v>
      </c>
      <c r="B241" s="2511"/>
      <c r="C241" s="2511"/>
      <c r="D241" s="2125"/>
      <c r="E241" s="2125"/>
      <c r="F241" s="2125"/>
      <c r="G241" s="2125"/>
      <c r="H241" s="2512">
        <v>-11644.602000000001</v>
      </c>
      <c r="I241" s="2512"/>
      <c r="J241" s="2512"/>
      <c r="K241" s="2125"/>
      <c r="L241" s="2130">
        <v>-1000000</v>
      </c>
      <c r="M241" s="2125"/>
      <c r="N241" s="2120"/>
      <c r="O241" s="2119"/>
      <c r="P241" s="2119"/>
      <c r="Q241" s="2119"/>
      <c r="R241" s="2119"/>
    </row>
    <row r="242" spans="1:18">
      <c r="A242" s="2511" t="s">
        <v>2725</v>
      </c>
      <c r="B242" s="2511"/>
      <c r="C242" s="2511"/>
      <c r="D242" s="2125"/>
      <c r="E242" s="2125"/>
      <c r="F242" s="2125"/>
      <c r="G242" s="2125"/>
      <c r="H242" s="2512">
        <v>1858957.8470000001</v>
      </c>
      <c r="I242" s="2512"/>
      <c r="J242" s="2512"/>
      <c r="K242" s="2125"/>
      <c r="L242" s="2126">
        <v>180216899.22999999</v>
      </c>
      <c r="M242" s="2125"/>
      <c r="N242" s="2120"/>
      <c r="O242" s="2119"/>
      <c r="P242" s="2119"/>
      <c r="Q242" s="2119"/>
      <c r="R242" s="2119"/>
    </row>
    <row r="243" spans="1:18">
      <c r="A243" s="2118"/>
      <c r="B243" s="2118"/>
      <c r="C243" s="2118"/>
      <c r="D243" s="2118"/>
      <c r="E243" s="2505" t="s">
        <v>2718</v>
      </c>
      <c r="F243" s="2505"/>
      <c r="G243" s="2118"/>
      <c r="H243" s="2513">
        <v>102931.2871</v>
      </c>
      <c r="I243" s="2513"/>
      <c r="J243" s="2513"/>
      <c r="K243" s="2122"/>
      <c r="L243" s="2513">
        <v>10229342.189999999</v>
      </c>
      <c r="M243" s="2122"/>
      <c r="N243" s="2120"/>
      <c r="O243" s="2119"/>
      <c r="P243" s="2119"/>
      <c r="Q243" s="2119"/>
      <c r="R243" s="2119"/>
    </row>
    <row r="244" spans="1:18">
      <c r="A244" s="2118"/>
      <c r="B244" s="2118"/>
      <c r="C244" s="2118"/>
      <c r="D244" s="2118"/>
      <c r="E244" s="2118"/>
      <c r="F244" s="2118"/>
      <c r="G244" s="2118"/>
      <c r="H244" s="2513"/>
      <c r="I244" s="2513"/>
      <c r="J244" s="2513"/>
      <c r="K244" s="2122"/>
      <c r="L244" s="2513"/>
      <c r="M244" s="2122"/>
      <c r="N244" s="2120"/>
      <c r="O244" s="2119"/>
      <c r="P244" s="2119"/>
      <c r="Q244" s="2119"/>
      <c r="R244" s="2119"/>
    </row>
    <row r="245" spans="1:18" ht="27.6">
      <c r="A245" s="2117" t="s">
        <v>2713</v>
      </c>
      <c r="B245" s="2118"/>
      <c r="C245" s="2117" t="s">
        <v>1069</v>
      </c>
      <c r="D245" s="2118"/>
      <c r="E245" s="2117" t="s">
        <v>2714</v>
      </c>
      <c r="F245" s="2118"/>
      <c r="G245" s="2119"/>
      <c r="H245" s="2119"/>
      <c r="I245" s="2119"/>
      <c r="J245" s="2119"/>
      <c r="K245" s="2119"/>
      <c r="L245" s="2119"/>
      <c r="M245" s="2119"/>
      <c r="N245" s="2120"/>
      <c r="O245" s="2119"/>
      <c r="P245" s="2119"/>
      <c r="Q245" s="2119"/>
      <c r="R245" s="2119"/>
    </row>
    <row r="246" spans="1:18">
      <c r="A246" s="2122"/>
      <c r="B246" s="2122"/>
      <c r="C246" s="2122"/>
      <c r="D246" s="2122"/>
      <c r="E246" s="2122"/>
      <c r="F246" s="2122"/>
      <c r="G246" s="2122"/>
      <c r="H246" s="2122"/>
      <c r="I246" s="2122"/>
      <c r="J246" s="2122"/>
      <c r="K246" s="2122"/>
      <c r="L246" s="2122"/>
      <c r="M246" s="2122"/>
      <c r="N246" s="2120"/>
      <c r="O246" s="2119"/>
      <c r="P246" s="2119"/>
      <c r="Q246" s="2119"/>
      <c r="R246" s="2119"/>
    </row>
    <row r="247" spans="1:18" ht="14.4">
      <c r="A247" s="2118"/>
      <c r="B247" s="2119"/>
      <c r="C247" s="2119"/>
      <c r="D247" s="2119"/>
      <c r="E247" s="2119"/>
      <c r="F247" s="2119"/>
      <c r="G247" s="2119"/>
      <c r="H247" s="2505" t="s">
        <v>2715</v>
      </c>
      <c r="I247" s="2505"/>
      <c r="J247" s="2122"/>
      <c r="K247" s="2506">
        <v>0</v>
      </c>
      <c r="L247" s="2506"/>
      <c r="M247" s="2122"/>
      <c r="N247" s="2507"/>
      <c r="O247" s="2122"/>
      <c r="P247" s="2119"/>
      <c r="Q247" s="2119"/>
      <c r="R247" s="2119"/>
    </row>
    <row r="248" spans="1:18" ht="14.4">
      <c r="A248" s="2119"/>
      <c r="B248" s="2119"/>
      <c r="C248" s="2119"/>
      <c r="D248" s="2119"/>
      <c r="E248" s="2119"/>
      <c r="F248" s="2119"/>
      <c r="G248" s="2119"/>
      <c r="H248" s="2122"/>
      <c r="I248" s="2122"/>
      <c r="J248" s="2122"/>
      <c r="K248" s="2506"/>
      <c r="L248" s="2506"/>
      <c r="M248" s="2119"/>
      <c r="N248" s="2507"/>
      <c r="O248" s="2119"/>
      <c r="P248" s="2119"/>
      <c r="Q248" s="2119"/>
      <c r="R248" s="2119"/>
    </row>
    <row r="249" spans="1:18">
      <c r="A249" s="2117">
        <v>75677</v>
      </c>
      <c r="B249" s="2122"/>
      <c r="C249" s="2508" t="s">
        <v>2735</v>
      </c>
      <c r="D249" s="2508"/>
      <c r="E249" s="2508"/>
      <c r="F249" s="2508"/>
      <c r="G249" s="2508"/>
      <c r="H249" s="2508"/>
      <c r="I249" s="2508"/>
      <c r="J249" s="2122"/>
      <c r="K249" s="2122"/>
      <c r="L249" s="2122"/>
      <c r="M249" s="2122"/>
      <c r="N249" s="2120"/>
      <c r="O249" s="2119"/>
      <c r="P249" s="2119"/>
      <c r="Q249" s="2119"/>
      <c r="R249" s="2119"/>
    </row>
    <row r="250" spans="1:18">
      <c r="A250" s="2122"/>
      <c r="B250" s="2122"/>
      <c r="C250" s="2122"/>
      <c r="D250" s="2122"/>
      <c r="E250" s="2122"/>
      <c r="F250" s="2122"/>
      <c r="G250" s="2122"/>
      <c r="H250" s="2122"/>
      <c r="I250" s="2122"/>
      <c r="J250" s="2122"/>
      <c r="K250" s="2122"/>
      <c r="L250" s="2122"/>
      <c r="M250" s="2122"/>
      <c r="N250" s="2120"/>
      <c r="O250" s="2119"/>
      <c r="P250" s="2119"/>
      <c r="Q250" s="2119"/>
      <c r="R250" s="2119"/>
    </row>
    <row r="251" spans="1:18">
      <c r="A251" s="2511" t="s">
        <v>2722</v>
      </c>
      <c r="B251" s="2511"/>
      <c r="C251" s="2511"/>
      <c r="D251" s="2125"/>
      <c r="E251" s="2125"/>
      <c r="F251" s="2125"/>
      <c r="G251" s="2125"/>
      <c r="H251" s="2510">
        <v>5.2850000000000001</v>
      </c>
      <c r="I251" s="2510"/>
      <c r="J251" s="2510"/>
      <c r="K251" s="2125"/>
      <c r="L251" s="2129">
        <v>500</v>
      </c>
      <c r="M251" s="2125"/>
      <c r="N251" s="2120"/>
      <c r="O251" s="2119"/>
      <c r="P251" s="2119"/>
      <c r="Q251" s="2119"/>
      <c r="R251" s="2119"/>
    </row>
    <row r="252" spans="1:18">
      <c r="A252" s="2511" t="s">
        <v>2723</v>
      </c>
      <c r="B252" s="2511"/>
      <c r="C252" s="2511"/>
      <c r="D252" s="2125"/>
      <c r="E252" s="2125"/>
      <c r="F252" s="2125"/>
      <c r="G252" s="2125"/>
      <c r="H252" s="2510">
        <v>-5.4329999999999998</v>
      </c>
      <c r="I252" s="2510"/>
      <c r="J252" s="2510"/>
      <c r="K252" s="2125"/>
      <c r="L252" s="2129">
        <v>-514.72</v>
      </c>
      <c r="M252" s="2125"/>
      <c r="N252" s="2120"/>
      <c r="O252" s="2119"/>
      <c r="P252" s="2119"/>
      <c r="Q252" s="2119"/>
      <c r="R252" s="2119"/>
    </row>
    <row r="253" spans="1:18">
      <c r="A253" s="2511" t="s">
        <v>2725</v>
      </c>
      <c r="B253" s="2511"/>
      <c r="C253" s="2511"/>
      <c r="D253" s="2125"/>
      <c r="E253" s="2125"/>
      <c r="F253" s="2125"/>
      <c r="G253" s="2125"/>
      <c r="H253" s="2510">
        <v>0.14899999999999999</v>
      </c>
      <c r="I253" s="2510"/>
      <c r="J253" s="2510"/>
      <c r="K253" s="2125"/>
      <c r="L253" s="2129">
        <v>14</v>
      </c>
      <c r="M253" s="2125"/>
      <c r="N253" s="2120"/>
      <c r="O253" s="2119"/>
      <c r="P253" s="2119"/>
      <c r="Q253" s="2119"/>
      <c r="R253" s="2119"/>
    </row>
    <row r="254" spans="1:18">
      <c r="A254" s="2118"/>
      <c r="B254" s="2118"/>
      <c r="C254" s="2118"/>
      <c r="D254" s="2118"/>
      <c r="E254" s="2505" t="s">
        <v>2718</v>
      </c>
      <c r="F254" s="2505"/>
      <c r="G254" s="2118"/>
      <c r="H254" s="2506">
        <v>0</v>
      </c>
      <c r="I254" s="2506"/>
      <c r="J254" s="2506"/>
      <c r="K254" s="2122"/>
      <c r="L254" s="2506">
        <v>0</v>
      </c>
      <c r="M254" s="2122"/>
      <c r="N254" s="2120"/>
      <c r="O254" s="2119"/>
      <c r="P254" s="2119"/>
      <c r="Q254" s="2119"/>
      <c r="R254" s="2119"/>
    </row>
    <row r="255" spans="1:18">
      <c r="A255" s="2118"/>
      <c r="B255" s="2118"/>
      <c r="C255" s="2118"/>
      <c r="D255" s="2118"/>
      <c r="E255" s="2118"/>
      <c r="F255" s="2118"/>
      <c r="G255" s="2118"/>
      <c r="H255" s="2506"/>
      <c r="I255" s="2506"/>
      <c r="J255" s="2506"/>
      <c r="K255" s="2122"/>
      <c r="L255" s="2506"/>
      <c r="M255" s="2122"/>
      <c r="N255" s="2120"/>
      <c r="O255" s="2119"/>
      <c r="P255" s="2119"/>
      <c r="Q255" s="2119"/>
      <c r="R255" s="2119"/>
    </row>
    <row r="256" spans="1:18" ht="27.6">
      <c r="A256" s="2117" t="s">
        <v>2713</v>
      </c>
      <c r="B256" s="2118"/>
      <c r="C256" s="2117" t="s">
        <v>1069</v>
      </c>
      <c r="D256" s="2118"/>
      <c r="E256" s="2117" t="s">
        <v>2714</v>
      </c>
      <c r="F256" s="2118"/>
      <c r="G256" s="2119"/>
      <c r="H256" s="2119"/>
      <c r="I256" s="2119"/>
      <c r="J256" s="2119"/>
      <c r="K256" s="2119"/>
      <c r="L256" s="2119"/>
      <c r="M256" s="2119"/>
      <c r="N256" s="2120"/>
      <c r="O256" s="2119"/>
      <c r="P256" s="2119"/>
      <c r="Q256" s="2119"/>
      <c r="R256" s="2119"/>
    </row>
    <row r="257" spans="1:18">
      <c r="A257" s="2122"/>
      <c r="B257" s="2122"/>
      <c r="C257" s="2122"/>
      <c r="D257" s="2122"/>
      <c r="E257" s="2122"/>
      <c r="F257" s="2122"/>
      <c r="G257" s="2122"/>
      <c r="H257" s="2122"/>
      <c r="I257" s="2122"/>
      <c r="J257" s="2122"/>
      <c r="K257" s="2122"/>
      <c r="L257" s="2122"/>
      <c r="M257" s="2122"/>
      <c r="N257" s="2120"/>
      <c r="O257" s="2119"/>
      <c r="P257" s="2119"/>
      <c r="Q257" s="2119"/>
      <c r="R257" s="2119"/>
    </row>
    <row r="258" spans="1:18" ht="14.4">
      <c r="A258" s="2118"/>
      <c r="B258" s="2119"/>
      <c r="C258" s="2119"/>
      <c r="D258" s="2119"/>
      <c r="E258" s="2119"/>
      <c r="F258" s="2119"/>
      <c r="G258" s="2119"/>
      <c r="H258" s="2505" t="s">
        <v>2715</v>
      </c>
      <c r="I258" s="2505"/>
      <c r="J258" s="2122"/>
      <c r="K258" s="2506">
        <v>0</v>
      </c>
      <c r="L258" s="2506"/>
      <c r="M258" s="2122"/>
      <c r="N258" s="2507"/>
      <c r="O258" s="2122"/>
      <c r="P258" s="2119"/>
      <c r="Q258" s="2119"/>
      <c r="R258" s="2119"/>
    </row>
    <row r="259" spans="1:18" ht="14.4">
      <c r="A259" s="2119"/>
      <c r="B259" s="2119"/>
      <c r="C259" s="2119"/>
      <c r="D259" s="2119"/>
      <c r="E259" s="2119"/>
      <c r="F259" s="2119"/>
      <c r="G259" s="2119"/>
      <c r="H259" s="2122"/>
      <c r="I259" s="2122"/>
      <c r="J259" s="2122"/>
      <c r="K259" s="2506"/>
      <c r="L259" s="2506"/>
      <c r="M259" s="2119"/>
      <c r="N259" s="2507"/>
      <c r="O259" s="2119"/>
      <c r="P259" s="2119"/>
      <c r="Q259" s="2119"/>
      <c r="R259" s="2119"/>
    </row>
    <row r="260" spans="1:18">
      <c r="A260" s="2117">
        <v>54545</v>
      </c>
      <c r="B260" s="2122"/>
      <c r="C260" s="2508" t="s">
        <v>2732</v>
      </c>
      <c r="D260" s="2508"/>
      <c r="E260" s="2508"/>
      <c r="F260" s="2508"/>
      <c r="G260" s="2508"/>
      <c r="H260" s="2508"/>
      <c r="I260" s="2508"/>
      <c r="J260" s="2122"/>
      <c r="K260" s="2122"/>
      <c r="L260" s="2122"/>
      <c r="M260" s="2122"/>
      <c r="N260" s="2120"/>
      <c r="O260" s="2119"/>
      <c r="P260" s="2119"/>
      <c r="Q260" s="2119"/>
      <c r="R260" s="2119"/>
    </row>
    <row r="261" spans="1:18">
      <c r="A261" s="2122"/>
      <c r="B261" s="2122"/>
      <c r="C261" s="2122"/>
      <c r="D261" s="2122"/>
      <c r="E261" s="2122"/>
      <c r="F261" s="2122"/>
      <c r="G261" s="2122"/>
      <c r="H261" s="2122"/>
      <c r="I261" s="2122"/>
      <c r="J261" s="2122"/>
      <c r="K261" s="2122"/>
      <c r="L261" s="2122"/>
      <c r="M261" s="2122"/>
      <c r="N261" s="2120"/>
      <c r="O261" s="2119"/>
      <c r="P261" s="2119"/>
      <c r="Q261" s="2119"/>
      <c r="R261" s="2119"/>
    </row>
    <row r="262" spans="1:18">
      <c r="A262" s="2509"/>
      <c r="B262" s="2509"/>
      <c r="C262" s="2509"/>
      <c r="D262" s="2125"/>
      <c r="E262" s="2125"/>
      <c r="F262" s="2125"/>
      <c r="G262" s="2125"/>
      <c r="H262" s="2510"/>
      <c r="I262" s="2510"/>
      <c r="J262" s="2510"/>
      <c r="K262" s="2125"/>
      <c r="L262" s="2129"/>
      <c r="M262" s="2125"/>
      <c r="N262" s="2120"/>
      <c r="O262" s="2119"/>
      <c r="P262" s="2119"/>
      <c r="Q262" s="2119"/>
      <c r="R262" s="2119"/>
    </row>
    <row r="263" spans="1:18">
      <c r="A263" s="2118"/>
      <c r="B263" s="2118"/>
      <c r="C263" s="2118"/>
      <c r="D263" s="2118"/>
      <c r="E263" s="2505" t="s">
        <v>2718</v>
      </c>
      <c r="F263" s="2505"/>
      <c r="G263" s="2118"/>
      <c r="H263" s="2506">
        <v>0</v>
      </c>
      <c r="I263" s="2506"/>
      <c r="J263" s="2506"/>
      <c r="K263" s="2122"/>
      <c r="L263" s="2506">
        <v>0</v>
      </c>
      <c r="M263" s="2122"/>
      <c r="N263" s="2120"/>
      <c r="O263" s="2119"/>
      <c r="P263" s="2119"/>
      <c r="Q263" s="2119"/>
      <c r="R263" s="2119"/>
    </row>
    <row r="264" spans="1:18">
      <c r="A264" s="2118"/>
      <c r="B264" s="2118"/>
      <c r="C264" s="2118"/>
      <c r="D264" s="2118"/>
      <c r="E264" s="2118"/>
      <c r="F264" s="2118"/>
      <c r="G264" s="2118"/>
      <c r="H264" s="2506"/>
      <c r="I264" s="2506"/>
      <c r="J264" s="2506"/>
      <c r="K264" s="2122"/>
      <c r="L264" s="2506"/>
      <c r="M264" s="2122"/>
      <c r="N264" s="2120"/>
      <c r="O264" s="2119"/>
      <c r="P264" s="2119"/>
      <c r="Q264" s="2119"/>
      <c r="R264" s="2119"/>
    </row>
    <row r="265" spans="1:18" ht="27.6">
      <c r="A265" s="2117" t="s">
        <v>2713</v>
      </c>
      <c r="B265" s="2118"/>
      <c r="C265" s="2117" t="s">
        <v>1069</v>
      </c>
      <c r="D265" s="2118"/>
      <c r="E265" s="2117" t="s">
        <v>2714</v>
      </c>
      <c r="F265" s="2118"/>
      <c r="G265" s="2119"/>
      <c r="H265" s="2119"/>
      <c r="I265" s="2119"/>
      <c r="J265" s="2119"/>
      <c r="K265" s="2119"/>
      <c r="L265" s="2119"/>
      <c r="M265" s="2119"/>
      <c r="N265" s="2120"/>
      <c r="O265" s="2119"/>
      <c r="P265" s="2119"/>
      <c r="Q265" s="2119"/>
      <c r="R265" s="2119"/>
    </row>
    <row r="266" spans="1:18">
      <c r="A266" s="2122"/>
      <c r="B266" s="2122"/>
      <c r="C266" s="2122"/>
      <c r="D266" s="2122"/>
      <c r="E266" s="2122"/>
      <c r="F266" s="2122"/>
      <c r="G266" s="2122"/>
      <c r="H266" s="2122"/>
      <c r="I266" s="2122"/>
      <c r="J266" s="2122"/>
      <c r="K266" s="2122"/>
      <c r="L266" s="2122"/>
      <c r="M266" s="2122"/>
      <c r="N266" s="2120"/>
      <c r="O266" s="2119"/>
      <c r="P266" s="2119"/>
      <c r="Q266" s="2119"/>
      <c r="R266" s="2119"/>
    </row>
    <row r="267" spans="1:18" ht="14.4">
      <c r="A267" s="2118"/>
      <c r="B267" s="2119"/>
      <c r="C267" s="2119"/>
      <c r="D267" s="2119"/>
      <c r="E267" s="2119"/>
      <c r="F267" s="2119"/>
      <c r="G267" s="2119"/>
      <c r="H267" s="2505" t="s">
        <v>2715</v>
      </c>
      <c r="I267" s="2505"/>
      <c r="J267" s="2122"/>
      <c r="K267" s="2506">
        <v>0</v>
      </c>
      <c r="L267" s="2506"/>
      <c r="M267" s="2122"/>
      <c r="N267" s="2507"/>
      <c r="O267" s="2122"/>
      <c r="P267" s="2119"/>
      <c r="Q267" s="2119"/>
      <c r="R267" s="2119"/>
    </row>
    <row r="268" spans="1:18" ht="14.4">
      <c r="A268" s="2119"/>
      <c r="B268" s="2119"/>
      <c r="C268" s="2119"/>
      <c r="D268" s="2119"/>
      <c r="E268" s="2119"/>
      <c r="F268" s="2119"/>
      <c r="G268" s="2119"/>
      <c r="H268" s="2122"/>
      <c r="I268" s="2122"/>
      <c r="J268" s="2122"/>
      <c r="K268" s="2506"/>
      <c r="L268" s="2506"/>
      <c r="M268" s="2119"/>
      <c r="N268" s="2507"/>
      <c r="O268" s="2119"/>
      <c r="P268" s="2119"/>
      <c r="Q268" s="2119"/>
      <c r="R268" s="2119"/>
    </row>
    <row r="269" spans="1:18">
      <c r="A269" s="2117">
        <v>64050</v>
      </c>
      <c r="B269" s="2122"/>
      <c r="C269" s="2508" t="s">
        <v>2736</v>
      </c>
      <c r="D269" s="2508"/>
      <c r="E269" s="2508"/>
      <c r="F269" s="2508"/>
      <c r="G269" s="2508"/>
      <c r="H269" s="2508"/>
      <c r="I269" s="2508"/>
      <c r="J269" s="2122"/>
      <c r="K269" s="2122"/>
      <c r="L269" s="2122"/>
      <c r="M269" s="2122"/>
      <c r="N269" s="2120"/>
      <c r="O269" s="2119"/>
      <c r="P269" s="2119"/>
      <c r="Q269" s="2119"/>
      <c r="R269" s="2119"/>
    </row>
    <row r="270" spans="1:18">
      <c r="A270" s="2122"/>
      <c r="B270" s="2122"/>
      <c r="C270" s="2122"/>
      <c r="D270" s="2122"/>
      <c r="E270" s="2122"/>
      <c r="F270" s="2122"/>
      <c r="G270" s="2122"/>
      <c r="H270" s="2122"/>
      <c r="I270" s="2122"/>
      <c r="J270" s="2122"/>
      <c r="K270" s="2122"/>
      <c r="L270" s="2122"/>
      <c r="M270" s="2122"/>
      <c r="N270" s="2120"/>
      <c r="O270" s="2119"/>
      <c r="P270" s="2119"/>
      <c r="Q270" s="2119"/>
      <c r="R270" s="2119"/>
    </row>
    <row r="271" spans="1:18">
      <c r="A271" s="2511" t="s">
        <v>2723</v>
      </c>
      <c r="B271" s="2511"/>
      <c r="C271" s="2511"/>
      <c r="D271" s="2125"/>
      <c r="E271" s="2125"/>
      <c r="F271" s="2125"/>
      <c r="G271" s="2125"/>
      <c r="H271" s="2510">
        <v>-143.184</v>
      </c>
      <c r="I271" s="2510"/>
      <c r="J271" s="2510"/>
      <c r="K271" s="2125"/>
      <c r="L271" s="2126">
        <v>-14736.7</v>
      </c>
      <c r="M271" s="2125"/>
      <c r="N271" s="2120"/>
      <c r="O271" s="2119"/>
      <c r="P271" s="2119"/>
      <c r="Q271" s="2119"/>
      <c r="R271" s="2119"/>
    </row>
    <row r="272" spans="1:18">
      <c r="A272" s="2511" t="s">
        <v>2725</v>
      </c>
      <c r="B272" s="2511"/>
      <c r="C272" s="2511"/>
      <c r="D272" s="2125"/>
      <c r="E272" s="2125"/>
      <c r="F272" s="2125"/>
      <c r="G272" s="2125"/>
      <c r="H272" s="2510">
        <v>143.184</v>
      </c>
      <c r="I272" s="2510"/>
      <c r="J272" s="2510"/>
      <c r="K272" s="2125"/>
      <c r="L272" s="2126">
        <v>13496</v>
      </c>
      <c r="M272" s="2125"/>
      <c r="N272" s="2120"/>
      <c r="O272" s="2119"/>
      <c r="P272" s="2119"/>
      <c r="Q272" s="2119"/>
      <c r="R272" s="2119"/>
    </row>
    <row r="273" spans="1:18">
      <c r="A273" s="2118"/>
      <c r="B273" s="2118"/>
      <c r="C273" s="2118"/>
      <c r="D273" s="2118"/>
      <c r="E273" s="2505" t="s">
        <v>2718</v>
      </c>
      <c r="F273" s="2505"/>
      <c r="G273" s="2118"/>
      <c r="H273" s="2506">
        <v>0</v>
      </c>
      <c r="I273" s="2506"/>
      <c r="J273" s="2506"/>
      <c r="K273" s="2122"/>
      <c r="L273" s="2506">
        <v>0</v>
      </c>
      <c r="M273" s="2122"/>
      <c r="N273" s="2120"/>
      <c r="O273" s="2119"/>
      <c r="P273" s="2119"/>
      <c r="Q273" s="2119"/>
      <c r="R273" s="2119"/>
    </row>
    <row r="274" spans="1:18">
      <c r="A274" s="2118"/>
      <c r="B274" s="2118"/>
      <c r="C274" s="2118"/>
      <c r="D274" s="2118"/>
      <c r="E274" s="2118"/>
      <c r="F274" s="2118"/>
      <c r="G274" s="2118"/>
      <c r="H274" s="2506"/>
      <c r="I274" s="2506"/>
      <c r="J274" s="2506"/>
      <c r="K274" s="2122"/>
      <c r="L274" s="2506"/>
      <c r="M274" s="2122"/>
      <c r="N274" s="2120"/>
      <c r="O274" s="2119"/>
      <c r="P274" s="2119"/>
      <c r="Q274" s="2119"/>
      <c r="R274" s="2119"/>
    </row>
    <row r="275" spans="1:18" ht="27.6">
      <c r="A275" s="2117" t="s">
        <v>2713</v>
      </c>
      <c r="B275" s="2118"/>
      <c r="C275" s="2117" t="s">
        <v>1069</v>
      </c>
      <c r="D275" s="2118"/>
      <c r="E275" s="2117" t="s">
        <v>2714</v>
      </c>
      <c r="F275" s="2118"/>
      <c r="G275" s="2119"/>
      <c r="H275" s="2119"/>
      <c r="I275" s="2119"/>
      <c r="J275" s="2119"/>
      <c r="K275" s="2119"/>
      <c r="L275" s="2119"/>
      <c r="M275" s="2119"/>
      <c r="N275" s="2120"/>
      <c r="O275" s="2119"/>
      <c r="P275" s="2119"/>
      <c r="Q275" s="2119"/>
      <c r="R275" s="2119"/>
    </row>
    <row r="276" spans="1:18">
      <c r="A276" s="2122"/>
      <c r="B276" s="2122"/>
      <c r="C276" s="2122"/>
      <c r="D276" s="2122"/>
      <c r="E276" s="2122"/>
      <c r="F276" s="2122"/>
      <c r="G276" s="2122"/>
      <c r="H276" s="2122"/>
      <c r="I276" s="2122"/>
      <c r="J276" s="2122"/>
      <c r="K276" s="2122"/>
      <c r="L276" s="2122"/>
      <c r="M276" s="2122"/>
      <c r="N276" s="2120"/>
      <c r="O276" s="2119"/>
      <c r="P276" s="2119"/>
      <c r="Q276" s="2119"/>
      <c r="R276" s="2119"/>
    </row>
    <row r="277" spans="1:18" ht="14.4">
      <c r="A277" s="2118"/>
      <c r="B277" s="2119"/>
      <c r="C277" s="2119"/>
      <c r="D277" s="2119"/>
      <c r="E277" s="2119"/>
      <c r="F277" s="2119"/>
      <c r="G277" s="2119"/>
      <c r="H277" s="2505" t="s">
        <v>2715</v>
      </c>
      <c r="I277" s="2505"/>
      <c r="J277" s="2122"/>
      <c r="K277" s="2506">
        <v>0</v>
      </c>
      <c r="L277" s="2506"/>
      <c r="M277" s="2122"/>
      <c r="N277" s="2507"/>
      <c r="O277" s="2122"/>
      <c r="P277" s="2119"/>
      <c r="Q277" s="2119"/>
      <c r="R277" s="2119"/>
    </row>
    <row r="278" spans="1:18" ht="14.4">
      <c r="A278" s="2119"/>
      <c r="B278" s="2119"/>
      <c r="C278" s="2119"/>
      <c r="D278" s="2119"/>
      <c r="E278" s="2119"/>
      <c r="F278" s="2119"/>
      <c r="G278" s="2119"/>
      <c r="H278" s="2122"/>
      <c r="I278" s="2122"/>
      <c r="J278" s="2122"/>
      <c r="K278" s="2506"/>
      <c r="L278" s="2506"/>
      <c r="M278" s="2119"/>
      <c r="N278" s="2507"/>
      <c r="O278" s="2119"/>
      <c r="P278" s="2119"/>
      <c r="Q278" s="2119"/>
      <c r="R278" s="2119"/>
    </row>
    <row r="279" spans="1:18">
      <c r="A279" s="2117">
        <v>64750</v>
      </c>
      <c r="B279" s="2122"/>
      <c r="C279" s="2508" t="s">
        <v>2731</v>
      </c>
      <c r="D279" s="2508"/>
      <c r="E279" s="2508"/>
      <c r="F279" s="2508"/>
      <c r="G279" s="2508"/>
      <c r="H279" s="2508"/>
      <c r="I279" s="2508"/>
      <c r="J279" s="2122"/>
      <c r="K279" s="2122"/>
      <c r="L279" s="2122"/>
      <c r="M279" s="2122"/>
      <c r="N279" s="2120"/>
      <c r="O279" s="2119"/>
      <c r="P279" s="2119"/>
      <c r="Q279" s="2119"/>
      <c r="R279" s="2119"/>
    </row>
    <row r="280" spans="1:18">
      <c r="A280" s="2122"/>
      <c r="B280" s="2122"/>
      <c r="C280" s="2122"/>
      <c r="D280" s="2122"/>
      <c r="E280" s="2122"/>
      <c r="F280" s="2122"/>
      <c r="G280" s="2122"/>
      <c r="H280" s="2122"/>
      <c r="I280" s="2122"/>
      <c r="J280" s="2122"/>
      <c r="K280" s="2122"/>
      <c r="L280" s="2122"/>
      <c r="M280" s="2122"/>
      <c r="N280" s="2120"/>
      <c r="O280" s="2119"/>
      <c r="P280" s="2119"/>
      <c r="Q280" s="2119"/>
      <c r="R280" s="2119"/>
    </row>
    <row r="281" spans="1:18">
      <c r="A281" s="2509"/>
      <c r="B281" s="2509"/>
      <c r="C281" s="2509"/>
      <c r="D281" s="2125"/>
      <c r="E281" s="2125"/>
      <c r="F281" s="2125"/>
      <c r="G281" s="2125"/>
      <c r="H281" s="2510"/>
      <c r="I281" s="2510"/>
      <c r="J281" s="2510"/>
      <c r="K281" s="2125"/>
      <c r="L281" s="2129"/>
      <c r="M281" s="2125"/>
      <c r="N281" s="2120"/>
      <c r="O281" s="2119"/>
      <c r="P281" s="2119"/>
      <c r="Q281" s="2119"/>
      <c r="R281" s="2119"/>
    </row>
    <row r="282" spans="1:18">
      <c r="A282" s="2118"/>
      <c r="B282" s="2118"/>
      <c r="C282" s="2118"/>
      <c r="D282" s="2118"/>
      <c r="E282" s="2505" t="s">
        <v>2718</v>
      </c>
      <c r="F282" s="2505"/>
      <c r="G282" s="2118"/>
      <c r="H282" s="2506">
        <v>0</v>
      </c>
      <c r="I282" s="2506"/>
      <c r="J282" s="2506"/>
      <c r="K282" s="2122"/>
      <c r="L282" s="2506">
        <v>0</v>
      </c>
      <c r="M282" s="2122"/>
      <c r="N282" s="2120"/>
      <c r="O282" s="2119"/>
      <c r="P282" s="2119"/>
      <c r="Q282" s="2119"/>
      <c r="R282" s="2119"/>
    </row>
    <row r="283" spans="1:18">
      <c r="A283" s="2118"/>
      <c r="B283" s="2118"/>
      <c r="C283" s="2118"/>
      <c r="D283" s="2118"/>
      <c r="E283" s="2118"/>
      <c r="F283" s="2118"/>
      <c r="G283" s="2118"/>
      <c r="H283" s="2506"/>
      <c r="I283" s="2506"/>
      <c r="J283" s="2506"/>
      <c r="K283" s="2122"/>
      <c r="L283" s="2506"/>
      <c r="M283" s="2122"/>
      <c r="N283" s="2120"/>
      <c r="O283" s="2119"/>
      <c r="P283" s="2119"/>
      <c r="Q283" s="2119"/>
      <c r="R283" s="2119"/>
    </row>
    <row r="284" spans="1:18" ht="27.6">
      <c r="A284" s="2117" t="s">
        <v>2713</v>
      </c>
      <c r="B284" s="2118"/>
      <c r="C284" s="2117" t="s">
        <v>1069</v>
      </c>
      <c r="D284" s="2118"/>
      <c r="E284" s="2117" t="s">
        <v>2714</v>
      </c>
      <c r="F284" s="2118"/>
      <c r="G284" s="2119"/>
      <c r="H284" s="2119"/>
      <c r="I284" s="2119"/>
      <c r="J284" s="2119"/>
      <c r="K284" s="2119"/>
      <c r="L284" s="2119"/>
      <c r="M284" s="2119"/>
      <c r="N284" s="2120"/>
      <c r="O284" s="2119"/>
      <c r="P284" s="2119"/>
      <c r="Q284" s="2119"/>
      <c r="R284" s="2119"/>
    </row>
    <row r="285" spans="1:18">
      <c r="A285" s="2122"/>
      <c r="B285" s="2122"/>
      <c r="C285" s="2122"/>
      <c r="D285" s="2122"/>
      <c r="E285" s="2122"/>
      <c r="F285" s="2122"/>
      <c r="G285" s="2122"/>
      <c r="H285" s="2122"/>
      <c r="I285" s="2122"/>
      <c r="J285" s="2122"/>
      <c r="K285" s="2122"/>
      <c r="L285" s="2122"/>
      <c r="M285" s="2122"/>
      <c r="N285" s="2120"/>
      <c r="O285" s="2119"/>
      <c r="P285" s="2119"/>
      <c r="Q285" s="2119"/>
      <c r="R285" s="2119"/>
    </row>
    <row r="286" spans="1:18" ht="14.4">
      <c r="A286" s="2118"/>
      <c r="B286" s="2119"/>
      <c r="C286" s="2119"/>
      <c r="D286" s="2119"/>
      <c r="E286" s="2119"/>
      <c r="F286" s="2119"/>
      <c r="G286" s="2119"/>
      <c r="H286" s="2505" t="s">
        <v>2715</v>
      </c>
      <c r="I286" s="2505"/>
      <c r="J286" s="2122"/>
      <c r="K286" s="2506">
        <v>0</v>
      </c>
      <c r="L286" s="2506"/>
      <c r="M286" s="2122"/>
      <c r="N286" s="2507"/>
      <c r="O286" s="2122"/>
      <c r="P286" s="2119"/>
      <c r="Q286" s="2119"/>
      <c r="R286" s="2119"/>
    </row>
    <row r="287" spans="1:18" ht="14.4">
      <c r="A287" s="2119"/>
      <c r="B287" s="2119"/>
      <c r="C287" s="2119"/>
      <c r="D287" s="2119"/>
      <c r="E287" s="2119"/>
      <c r="F287" s="2119"/>
      <c r="G287" s="2119"/>
      <c r="H287" s="2122"/>
      <c r="I287" s="2122"/>
      <c r="J287" s="2122"/>
      <c r="K287" s="2506"/>
      <c r="L287" s="2506"/>
      <c r="M287" s="2119"/>
      <c r="N287" s="2507"/>
      <c r="O287" s="2119"/>
      <c r="P287" s="2119"/>
      <c r="Q287" s="2119"/>
      <c r="R287" s="2119"/>
    </row>
    <row r="288" spans="1:18">
      <c r="A288" s="2117">
        <v>65000</v>
      </c>
      <c r="B288" s="2122"/>
      <c r="C288" s="2508" t="s">
        <v>2731</v>
      </c>
      <c r="D288" s="2508"/>
      <c r="E288" s="2508"/>
      <c r="F288" s="2508"/>
      <c r="G288" s="2508"/>
      <c r="H288" s="2508"/>
      <c r="I288" s="2508"/>
      <c r="J288" s="2122"/>
      <c r="K288" s="2122"/>
      <c r="L288" s="2122"/>
      <c r="M288" s="2122"/>
      <c r="N288" s="2120"/>
      <c r="O288" s="2119"/>
      <c r="P288" s="2119"/>
      <c r="Q288" s="2119"/>
      <c r="R288" s="2119"/>
    </row>
    <row r="289" spans="1:18">
      <c r="A289" s="2122"/>
      <c r="B289" s="2122"/>
      <c r="C289" s="2122"/>
      <c r="D289" s="2122"/>
      <c r="E289" s="2122"/>
      <c r="F289" s="2122"/>
      <c r="G289" s="2122"/>
      <c r="H289" s="2122"/>
      <c r="I289" s="2122"/>
      <c r="J289" s="2122"/>
      <c r="K289" s="2122"/>
      <c r="L289" s="2122"/>
      <c r="M289" s="2122"/>
      <c r="N289" s="2120"/>
      <c r="O289" s="2119"/>
      <c r="P289" s="2119"/>
      <c r="Q289" s="2119"/>
      <c r="R289" s="2119"/>
    </row>
    <row r="290" spans="1:18">
      <c r="A290" s="2509"/>
      <c r="B290" s="2509"/>
      <c r="C290" s="2509"/>
      <c r="D290" s="2125"/>
      <c r="E290" s="2125"/>
      <c r="F290" s="2125"/>
      <c r="G290" s="2125"/>
      <c r="H290" s="2510"/>
      <c r="I290" s="2510"/>
      <c r="J290" s="2510"/>
      <c r="K290" s="2125"/>
      <c r="L290" s="2129"/>
      <c r="M290" s="2125"/>
      <c r="N290" s="2120"/>
      <c r="O290" s="2119"/>
      <c r="P290" s="2119"/>
      <c r="Q290" s="2119"/>
      <c r="R290" s="2119"/>
    </row>
    <row r="291" spans="1:18">
      <c r="A291" s="2118"/>
      <c r="B291" s="2118"/>
      <c r="C291" s="2118"/>
      <c r="D291" s="2118"/>
      <c r="E291" s="2505" t="s">
        <v>2718</v>
      </c>
      <c r="F291" s="2505"/>
      <c r="G291" s="2118"/>
      <c r="H291" s="2506">
        <v>0</v>
      </c>
      <c r="I291" s="2506"/>
      <c r="J291" s="2506"/>
      <c r="K291" s="2122"/>
      <c r="L291" s="2506">
        <v>0</v>
      </c>
      <c r="M291" s="2122"/>
      <c r="N291" s="2120"/>
      <c r="O291" s="2119"/>
      <c r="P291" s="2119"/>
      <c r="Q291" s="2119"/>
      <c r="R291" s="2119"/>
    </row>
    <row r="292" spans="1:18">
      <c r="A292" s="2118"/>
      <c r="B292" s="2118"/>
      <c r="C292" s="2118"/>
      <c r="D292" s="2118"/>
      <c r="E292" s="2118"/>
      <c r="F292" s="2118"/>
      <c r="G292" s="2118"/>
      <c r="H292" s="2506"/>
      <c r="I292" s="2506"/>
      <c r="J292" s="2506"/>
      <c r="K292" s="2122"/>
      <c r="L292" s="2506"/>
      <c r="M292" s="2122"/>
      <c r="N292" s="2120"/>
      <c r="O292" s="2119"/>
      <c r="P292" s="2119"/>
      <c r="Q292" s="2119"/>
      <c r="R292" s="2119"/>
    </row>
    <row r="293" spans="1:18" ht="27.6">
      <c r="A293" s="2117" t="s">
        <v>2713</v>
      </c>
      <c r="B293" s="2118"/>
      <c r="C293" s="2117" t="s">
        <v>1069</v>
      </c>
      <c r="D293" s="2118"/>
      <c r="E293" s="2117" t="s">
        <v>2714</v>
      </c>
      <c r="F293" s="2118"/>
      <c r="G293" s="2119"/>
      <c r="H293" s="2119"/>
      <c r="I293" s="2119"/>
      <c r="J293" s="2119"/>
      <c r="K293" s="2119"/>
      <c r="L293" s="2119"/>
      <c r="M293" s="2119"/>
      <c r="N293" s="2120"/>
      <c r="O293" s="2119"/>
      <c r="P293" s="2119"/>
      <c r="Q293" s="2119"/>
      <c r="R293" s="2119"/>
    </row>
    <row r="294" spans="1:18">
      <c r="A294" s="2122"/>
      <c r="B294" s="2122"/>
      <c r="C294" s="2122"/>
      <c r="D294" s="2122"/>
      <c r="E294" s="2122"/>
      <c r="F294" s="2122"/>
      <c r="G294" s="2122"/>
      <c r="H294" s="2122"/>
      <c r="I294" s="2122"/>
      <c r="J294" s="2122"/>
      <c r="K294" s="2122"/>
      <c r="L294" s="2122"/>
      <c r="M294" s="2122"/>
      <c r="N294" s="2120"/>
      <c r="O294" s="2119"/>
      <c r="P294" s="2119"/>
      <c r="Q294" s="2119"/>
      <c r="R294" s="2119"/>
    </row>
    <row r="295" spans="1:18" ht="14.4">
      <c r="A295" s="2118"/>
      <c r="B295" s="2119"/>
      <c r="C295" s="2119"/>
      <c r="D295" s="2119"/>
      <c r="E295" s="2119"/>
      <c r="F295" s="2119"/>
      <c r="G295" s="2119"/>
      <c r="H295" s="2505" t="s">
        <v>2715</v>
      </c>
      <c r="I295" s="2505"/>
      <c r="J295" s="2122"/>
      <c r="K295" s="2513">
        <v>2872.2193000000002</v>
      </c>
      <c r="L295" s="2513"/>
      <c r="M295" s="2122"/>
      <c r="N295" s="2507">
        <v>285442</v>
      </c>
      <c r="O295" s="2122"/>
      <c r="P295" s="2119"/>
      <c r="Q295" s="2119"/>
      <c r="R295" s="2119"/>
    </row>
    <row r="296" spans="1:18" ht="14.4">
      <c r="A296" s="2119"/>
      <c r="B296" s="2119"/>
      <c r="C296" s="2119"/>
      <c r="D296" s="2119"/>
      <c r="E296" s="2119"/>
      <c r="F296" s="2119"/>
      <c r="G296" s="2119"/>
      <c r="H296" s="2122"/>
      <c r="I296" s="2122"/>
      <c r="J296" s="2122"/>
      <c r="K296" s="2513"/>
      <c r="L296" s="2513"/>
      <c r="M296" s="2119"/>
      <c r="N296" s="2507"/>
      <c r="O296" s="2119"/>
      <c r="P296" s="2119"/>
      <c r="Q296" s="2119"/>
      <c r="R296" s="2119"/>
    </row>
    <row r="297" spans="1:18">
      <c r="A297" s="2117">
        <v>65402</v>
      </c>
      <c r="B297" s="2122"/>
      <c r="C297" s="2508" t="s">
        <v>2737</v>
      </c>
      <c r="D297" s="2508"/>
      <c r="E297" s="2508"/>
      <c r="F297" s="2508"/>
      <c r="G297" s="2508"/>
      <c r="H297" s="2508"/>
      <c r="I297" s="2508"/>
      <c r="J297" s="2122"/>
      <c r="K297" s="2122"/>
      <c r="L297" s="2122"/>
      <c r="M297" s="2122"/>
      <c r="N297" s="2120"/>
      <c r="O297" s="2119"/>
      <c r="P297" s="2119"/>
      <c r="Q297" s="2119"/>
      <c r="R297" s="2119"/>
    </row>
    <row r="298" spans="1:18">
      <c r="A298" s="2122"/>
      <c r="B298" s="2122"/>
      <c r="C298" s="2122"/>
      <c r="D298" s="2122"/>
      <c r="E298" s="2122"/>
      <c r="F298" s="2122"/>
      <c r="G298" s="2122"/>
      <c r="H298" s="2122"/>
      <c r="I298" s="2122"/>
      <c r="J298" s="2122"/>
      <c r="K298" s="2122"/>
      <c r="L298" s="2122"/>
      <c r="M298" s="2122"/>
      <c r="N298" s="2120"/>
      <c r="O298" s="2119"/>
      <c r="P298" s="2119"/>
      <c r="Q298" s="2119"/>
      <c r="R298" s="2119"/>
    </row>
    <row r="299" spans="1:18">
      <c r="A299" s="2511" t="s">
        <v>2725</v>
      </c>
      <c r="B299" s="2511"/>
      <c r="C299" s="2511"/>
      <c r="D299" s="2125"/>
      <c r="E299" s="2125"/>
      <c r="F299" s="2125"/>
      <c r="G299" s="2125"/>
      <c r="H299" s="2512">
        <v>1062.03</v>
      </c>
      <c r="I299" s="2512"/>
      <c r="J299" s="2512"/>
      <c r="K299" s="2125"/>
      <c r="L299" s="2126">
        <v>100000</v>
      </c>
      <c r="M299" s="2125"/>
      <c r="N299" s="2120"/>
      <c r="O299" s="2119"/>
      <c r="P299" s="2119"/>
      <c r="Q299" s="2119"/>
      <c r="R299" s="2119"/>
    </row>
    <row r="300" spans="1:18">
      <c r="A300" s="2118"/>
      <c r="B300" s="2118"/>
      <c r="C300" s="2118"/>
      <c r="D300" s="2118"/>
      <c r="E300" s="2505" t="s">
        <v>2718</v>
      </c>
      <c r="F300" s="2505"/>
      <c r="G300" s="2118"/>
      <c r="H300" s="2513">
        <v>3934.2492999999999</v>
      </c>
      <c r="I300" s="2513"/>
      <c r="J300" s="2513"/>
      <c r="K300" s="2122"/>
      <c r="L300" s="2513">
        <v>390986.88</v>
      </c>
      <c r="M300" s="2122"/>
      <c r="N300" s="2120"/>
      <c r="O300" s="2119"/>
      <c r="P300" s="2119"/>
      <c r="Q300" s="2119"/>
      <c r="R300" s="2119"/>
    </row>
    <row r="301" spans="1:18">
      <c r="A301" s="2118"/>
      <c r="B301" s="2118"/>
      <c r="C301" s="2118"/>
      <c r="D301" s="2118"/>
      <c r="E301" s="2118"/>
      <c r="F301" s="2118"/>
      <c r="G301" s="2118"/>
      <c r="H301" s="2513"/>
      <c r="I301" s="2513"/>
      <c r="J301" s="2513"/>
      <c r="K301" s="2122"/>
      <c r="L301" s="2513"/>
      <c r="M301" s="2122"/>
      <c r="N301" s="2120"/>
      <c r="O301" s="2119"/>
      <c r="P301" s="2119"/>
      <c r="Q301" s="2119"/>
      <c r="R301" s="2119"/>
    </row>
    <row r="302" spans="1:18" ht="27.6">
      <c r="A302" s="2117" t="s">
        <v>2713</v>
      </c>
      <c r="B302" s="2118"/>
      <c r="C302" s="2117" t="s">
        <v>1069</v>
      </c>
      <c r="D302" s="2118"/>
      <c r="E302" s="2117" t="s">
        <v>2714</v>
      </c>
      <c r="F302" s="2118"/>
      <c r="G302" s="2119"/>
      <c r="H302" s="2119"/>
      <c r="I302" s="2119"/>
      <c r="J302" s="2119"/>
      <c r="K302" s="2119"/>
      <c r="L302" s="2119"/>
      <c r="M302" s="2119"/>
      <c r="N302" s="2120"/>
      <c r="O302" s="2119"/>
      <c r="P302" s="2119"/>
      <c r="Q302" s="2119"/>
      <c r="R302" s="2119"/>
    </row>
    <row r="303" spans="1:18">
      <c r="A303" s="2122"/>
      <c r="B303" s="2122"/>
      <c r="C303" s="2122"/>
      <c r="D303" s="2122"/>
      <c r="E303" s="2122"/>
      <c r="F303" s="2122"/>
      <c r="G303" s="2122"/>
      <c r="H303" s="2122"/>
      <c r="I303" s="2122"/>
      <c r="J303" s="2122"/>
      <c r="K303" s="2122"/>
      <c r="L303" s="2122"/>
      <c r="M303" s="2122"/>
      <c r="N303" s="2120"/>
      <c r="O303" s="2119"/>
      <c r="P303" s="2119"/>
      <c r="Q303" s="2119"/>
      <c r="R303" s="2119"/>
    </row>
    <row r="304" spans="1:18" ht="14.4">
      <c r="A304" s="2118"/>
      <c r="B304" s="2119"/>
      <c r="C304" s="2119"/>
      <c r="D304" s="2119"/>
      <c r="E304" s="2119"/>
      <c r="F304" s="2119"/>
      <c r="G304" s="2119"/>
      <c r="H304" s="2505" t="s">
        <v>2715</v>
      </c>
      <c r="I304" s="2505"/>
      <c r="J304" s="2122"/>
      <c r="K304" s="2513">
        <v>41671.222600000001</v>
      </c>
      <c r="L304" s="2513"/>
      <c r="M304" s="2122"/>
      <c r="N304" s="2507">
        <v>4141299</v>
      </c>
      <c r="O304" s="2122"/>
      <c r="P304" s="2119"/>
      <c r="Q304" s="2119"/>
      <c r="R304" s="2119"/>
    </row>
    <row r="305" spans="1:18" ht="14.4">
      <c r="A305" s="2119"/>
      <c r="B305" s="2119"/>
      <c r="C305" s="2119"/>
      <c r="D305" s="2119"/>
      <c r="E305" s="2119"/>
      <c r="F305" s="2119"/>
      <c r="G305" s="2119"/>
      <c r="H305" s="2122"/>
      <c r="I305" s="2122"/>
      <c r="J305" s="2122"/>
      <c r="K305" s="2513"/>
      <c r="L305" s="2513"/>
      <c r="M305" s="2119"/>
      <c r="N305" s="2507"/>
      <c r="O305" s="2119"/>
      <c r="P305" s="2119"/>
      <c r="Q305" s="2119"/>
      <c r="R305" s="2119"/>
    </row>
    <row r="306" spans="1:18">
      <c r="A306" s="2117">
        <v>67110</v>
      </c>
      <c r="B306" s="2122"/>
      <c r="C306" s="2508" t="s">
        <v>2738</v>
      </c>
      <c r="D306" s="2508"/>
      <c r="E306" s="2508"/>
      <c r="F306" s="2508"/>
      <c r="G306" s="2508"/>
      <c r="H306" s="2508"/>
      <c r="I306" s="2508"/>
      <c r="J306" s="2122"/>
      <c r="K306" s="2122"/>
      <c r="L306" s="2122"/>
      <c r="M306" s="2122"/>
      <c r="N306" s="2120"/>
      <c r="O306" s="2119"/>
      <c r="P306" s="2119"/>
      <c r="Q306" s="2119"/>
      <c r="R306" s="2119"/>
    </row>
    <row r="307" spans="1:18">
      <c r="A307" s="2122"/>
      <c r="B307" s="2122"/>
      <c r="C307" s="2122"/>
      <c r="D307" s="2122"/>
      <c r="E307" s="2122"/>
      <c r="F307" s="2122"/>
      <c r="G307" s="2122"/>
      <c r="H307" s="2122"/>
      <c r="I307" s="2122"/>
      <c r="J307" s="2122"/>
      <c r="K307" s="2122"/>
      <c r="L307" s="2122"/>
      <c r="M307" s="2122"/>
      <c r="N307" s="2120"/>
      <c r="O307" s="2119"/>
      <c r="P307" s="2119"/>
      <c r="Q307" s="2119"/>
      <c r="R307" s="2119"/>
    </row>
    <row r="308" spans="1:18">
      <c r="A308" s="2511" t="s">
        <v>2722</v>
      </c>
      <c r="B308" s="2511"/>
      <c r="C308" s="2511"/>
      <c r="D308" s="2125"/>
      <c r="E308" s="2125"/>
      <c r="F308" s="2125"/>
      <c r="G308" s="2125"/>
      <c r="H308" s="2512">
        <v>31409.351999999999</v>
      </c>
      <c r="I308" s="2512"/>
      <c r="J308" s="2512"/>
      <c r="K308" s="2125"/>
      <c r="L308" s="2126">
        <v>2999815</v>
      </c>
      <c r="M308" s="2125"/>
      <c r="N308" s="2120"/>
      <c r="O308" s="2119"/>
      <c r="P308" s="2119"/>
      <c r="Q308" s="2119"/>
      <c r="R308" s="2119"/>
    </row>
    <row r="309" spans="1:18">
      <c r="A309" s="2511" t="s">
        <v>2723</v>
      </c>
      <c r="B309" s="2511"/>
      <c r="C309" s="2511"/>
      <c r="D309" s="2125"/>
      <c r="E309" s="2125"/>
      <c r="F309" s="2125"/>
      <c r="G309" s="2125"/>
      <c r="H309" s="2512">
        <v>-16120.378000000001</v>
      </c>
      <c r="I309" s="2512"/>
      <c r="J309" s="2512"/>
      <c r="K309" s="2125"/>
      <c r="L309" s="2126">
        <v>-1500000</v>
      </c>
      <c r="M309" s="2125"/>
      <c r="N309" s="2120"/>
      <c r="O309" s="2119"/>
      <c r="P309" s="2119"/>
      <c r="Q309" s="2119"/>
      <c r="R309" s="2119"/>
    </row>
    <row r="310" spans="1:18">
      <c r="A310" s="2511" t="s">
        <v>2717</v>
      </c>
      <c r="B310" s="2511"/>
      <c r="C310" s="2511"/>
      <c r="D310" s="2125"/>
      <c r="E310" s="2125"/>
      <c r="F310" s="2125"/>
      <c r="G310" s="2125"/>
      <c r="H310" s="2512">
        <v>-13724.172</v>
      </c>
      <c r="I310" s="2512"/>
      <c r="J310" s="2512"/>
      <c r="K310" s="2125"/>
      <c r="L310" s="2126">
        <v>-1400000</v>
      </c>
      <c r="M310" s="2125"/>
      <c r="N310" s="2120"/>
      <c r="O310" s="2119"/>
      <c r="P310" s="2119"/>
      <c r="Q310" s="2119"/>
      <c r="R310" s="2119"/>
    </row>
    <row r="311" spans="1:18">
      <c r="A311" s="2511" t="s">
        <v>2725</v>
      </c>
      <c r="B311" s="2511"/>
      <c r="C311" s="2511"/>
      <c r="D311" s="2125"/>
      <c r="E311" s="2125"/>
      <c r="F311" s="2125"/>
      <c r="G311" s="2125"/>
      <c r="H311" s="2510">
        <v>182.19499999999999</v>
      </c>
      <c r="I311" s="2510"/>
      <c r="J311" s="2510"/>
      <c r="K311" s="2125"/>
      <c r="L311" s="2126">
        <v>17173</v>
      </c>
      <c r="M311" s="2125"/>
      <c r="N311" s="2120"/>
      <c r="O311" s="2119"/>
      <c r="P311" s="2119"/>
      <c r="Q311" s="2119"/>
      <c r="R311" s="2119"/>
    </row>
    <row r="312" spans="1:18">
      <c r="A312" s="2118"/>
      <c r="B312" s="2118"/>
      <c r="C312" s="2118"/>
      <c r="D312" s="2118"/>
      <c r="E312" s="2505" t="s">
        <v>2718</v>
      </c>
      <c r="F312" s="2505"/>
      <c r="G312" s="2118"/>
      <c r="H312" s="2513">
        <v>43418.218800000002</v>
      </c>
      <c r="I312" s="2513"/>
      <c r="J312" s="2513"/>
      <c r="K312" s="2122"/>
      <c r="L312" s="2513">
        <v>4314915.6100000003</v>
      </c>
      <c r="M312" s="2122"/>
      <c r="N312" s="2120"/>
      <c r="O312" s="2119"/>
      <c r="P312" s="2119"/>
      <c r="Q312" s="2119"/>
      <c r="R312" s="2119"/>
    </row>
    <row r="313" spans="1:18">
      <c r="A313" s="2118"/>
      <c r="B313" s="2118"/>
      <c r="C313" s="2118"/>
      <c r="D313" s="2118"/>
      <c r="E313" s="2118"/>
      <c r="F313" s="2118"/>
      <c r="G313" s="2118"/>
      <c r="H313" s="2513"/>
      <c r="I313" s="2513"/>
      <c r="J313" s="2513"/>
      <c r="K313" s="2122"/>
      <c r="L313" s="2513"/>
      <c r="M313" s="2122"/>
      <c r="N313" s="2120"/>
      <c r="O313" s="2119"/>
      <c r="P313" s="2119"/>
      <c r="Q313" s="2119"/>
      <c r="R313" s="2119"/>
    </row>
    <row r="314" spans="1:18" ht="27.6">
      <c r="A314" s="2117" t="s">
        <v>2713</v>
      </c>
      <c r="B314" s="2118"/>
      <c r="C314" s="2117" t="s">
        <v>1069</v>
      </c>
      <c r="D314" s="2118"/>
      <c r="E314" s="2117" t="s">
        <v>2714</v>
      </c>
      <c r="F314" s="2118"/>
      <c r="G314" s="2119"/>
      <c r="H314" s="2119"/>
      <c r="I314" s="2119"/>
      <c r="J314" s="2119"/>
      <c r="K314" s="2119"/>
      <c r="L314" s="2119"/>
      <c r="M314" s="2119"/>
      <c r="N314" s="2120"/>
      <c r="O314" s="2119"/>
      <c r="P314" s="2119"/>
      <c r="Q314" s="2119"/>
      <c r="R314" s="2119"/>
    </row>
    <row r="315" spans="1:18">
      <c r="A315" s="2122"/>
      <c r="B315" s="2122"/>
      <c r="C315" s="2122"/>
      <c r="D315" s="2122"/>
      <c r="E315" s="2122"/>
      <c r="F315" s="2122"/>
      <c r="G315" s="2122"/>
      <c r="H315" s="2122"/>
      <c r="I315" s="2122"/>
      <c r="J315" s="2122"/>
      <c r="K315" s="2122"/>
      <c r="L315" s="2122"/>
      <c r="M315" s="2122"/>
      <c r="N315" s="2120"/>
      <c r="O315" s="2119"/>
      <c r="P315" s="2119"/>
      <c r="Q315" s="2119"/>
      <c r="R315" s="2119"/>
    </row>
    <row r="316" spans="1:18" ht="14.4">
      <c r="A316" s="2118"/>
      <c r="B316" s="2119"/>
      <c r="C316" s="2119"/>
      <c r="D316" s="2119"/>
      <c r="E316" s="2119"/>
      <c r="F316" s="2119"/>
      <c r="G316" s="2119"/>
      <c r="H316" s="2505" t="s">
        <v>2715</v>
      </c>
      <c r="I316" s="2505"/>
      <c r="J316" s="2122"/>
      <c r="K316" s="2506">
        <v>0</v>
      </c>
      <c r="L316" s="2506"/>
      <c r="M316" s="2122"/>
      <c r="N316" s="2507"/>
      <c r="O316" s="2122"/>
      <c r="P316" s="2119"/>
      <c r="Q316" s="2119"/>
      <c r="R316" s="2119"/>
    </row>
    <row r="317" spans="1:18" ht="14.4">
      <c r="A317" s="2119"/>
      <c r="B317" s="2119"/>
      <c r="C317" s="2119"/>
      <c r="D317" s="2119"/>
      <c r="E317" s="2119"/>
      <c r="F317" s="2119"/>
      <c r="G317" s="2119"/>
      <c r="H317" s="2122"/>
      <c r="I317" s="2122"/>
      <c r="J317" s="2122"/>
      <c r="K317" s="2506"/>
      <c r="L317" s="2506"/>
      <c r="M317" s="2119"/>
      <c r="N317" s="2507"/>
      <c r="O317" s="2119"/>
      <c r="P317" s="2119"/>
      <c r="Q317" s="2119"/>
      <c r="R317" s="2119"/>
    </row>
    <row r="318" spans="1:18">
      <c r="A318" s="2117">
        <v>71255</v>
      </c>
      <c r="B318" s="2122"/>
      <c r="C318" s="2508" t="s">
        <v>2739</v>
      </c>
      <c r="D318" s="2508"/>
      <c r="E318" s="2508"/>
      <c r="F318" s="2508"/>
      <c r="G318" s="2508"/>
      <c r="H318" s="2508"/>
      <c r="I318" s="2508"/>
      <c r="J318" s="2122"/>
      <c r="K318" s="2122"/>
      <c r="L318" s="2122"/>
      <c r="M318" s="2122"/>
      <c r="N318" s="2120"/>
      <c r="O318" s="2119"/>
      <c r="P318" s="2119"/>
      <c r="Q318" s="2119"/>
      <c r="R318" s="2119"/>
    </row>
    <row r="319" spans="1:18">
      <c r="A319" s="2122"/>
      <c r="B319" s="2122"/>
      <c r="C319" s="2122"/>
      <c r="D319" s="2122"/>
      <c r="E319" s="2122"/>
      <c r="F319" s="2122"/>
      <c r="G319" s="2122"/>
      <c r="H319" s="2122"/>
      <c r="I319" s="2122"/>
      <c r="J319" s="2122"/>
      <c r="K319" s="2122"/>
      <c r="L319" s="2122"/>
      <c r="M319" s="2122"/>
      <c r="N319" s="2120"/>
      <c r="O319" s="2119"/>
      <c r="P319" s="2119"/>
      <c r="Q319" s="2119"/>
      <c r="R319" s="2119"/>
    </row>
    <row r="320" spans="1:18">
      <c r="A320" s="2511" t="s">
        <v>2722</v>
      </c>
      <c r="B320" s="2511"/>
      <c r="C320" s="2511"/>
      <c r="D320" s="2125"/>
      <c r="E320" s="2125"/>
      <c r="F320" s="2125"/>
      <c r="G320" s="2125"/>
      <c r="H320" s="2512">
        <v>1715.326</v>
      </c>
      <c r="I320" s="2512"/>
      <c r="J320" s="2512"/>
      <c r="K320" s="2125"/>
      <c r="L320" s="2126">
        <v>147306.51999999999</v>
      </c>
      <c r="M320" s="2125"/>
      <c r="N320" s="2120"/>
      <c r="O320" s="2119"/>
      <c r="P320" s="2119"/>
      <c r="Q320" s="2119"/>
      <c r="R320" s="2119"/>
    </row>
    <row r="321" spans="1:18">
      <c r="A321" s="2511" t="s">
        <v>2723</v>
      </c>
      <c r="B321" s="2511"/>
      <c r="C321" s="2511"/>
      <c r="D321" s="2125"/>
      <c r="E321" s="2125"/>
      <c r="F321" s="2125"/>
      <c r="G321" s="2125"/>
      <c r="H321" s="2510">
        <v>-244.244</v>
      </c>
      <c r="I321" s="2510"/>
      <c r="J321" s="2510"/>
      <c r="K321" s="2125"/>
      <c r="L321" s="2126">
        <v>-25000</v>
      </c>
      <c r="M321" s="2125"/>
      <c r="N321" s="2120"/>
      <c r="O321" s="2119"/>
      <c r="P321" s="2119"/>
      <c r="Q321" s="2119"/>
      <c r="R321" s="2119"/>
    </row>
    <row r="322" spans="1:18">
      <c r="A322" s="2511" t="s">
        <v>2717</v>
      </c>
      <c r="B322" s="2511"/>
      <c r="C322" s="2511"/>
      <c r="D322" s="2125"/>
      <c r="E322" s="2125"/>
      <c r="F322" s="2125"/>
      <c r="G322" s="2125"/>
      <c r="H322" s="2510">
        <v>-274.72199999999998</v>
      </c>
      <c r="I322" s="2510"/>
      <c r="J322" s="2510"/>
      <c r="K322" s="2125"/>
      <c r="L322" s="2126">
        <v>-27000</v>
      </c>
      <c r="M322" s="2125"/>
      <c r="N322" s="2120"/>
      <c r="O322" s="2119"/>
      <c r="P322" s="2119"/>
      <c r="Q322" s="2119"/>
      <c r="R322" s="2119"/>
    </row>
    <row r="323" spans="1:18">
      <c r="A323" s="2118"/>
      <c r="B323" s="2118"/>
      <c r="C323" s="2118"/>
      <c r="D323" s="2118"/>
      <c r="E323" s="2505" t="s">
        <v>2718</v>
      </c>
      <c r="F323" s="2505"/>
      <c r="G323" s="2118"/>
      <c r="H323" s="2513">
        <v>1196.3599999999999</v>
      </c>
      <c r="I323" s="2513"/>
      <c r="J323" s="2513"/>
      <c r="K323" s="2122"/>
      <c r="L323" s="2513">
        <v>118894.61</v>
      </c>
      <c r="M323" s="2122"/>
      <c r="N323" s="2120"/>
      <c r="O323" s="2119"/>
      <c r="P323" s="2119"/>
      <c r="Q323" s="2119"/>
      <c r="R323" s="2119"/>
    </row>
    <row r="324" spans="1:18">
      <c r="A324" s="2118"/>
      <c r="B324" s="2118"/>
      <c r="C324" s="2118"/>
      <c r="D324" s="2118"/>
      <c r="E324" s="2118"/>
      <c r="F324" s="2118"/>
      <c r="G324" s="2118"/>
      <c r="H324" s="2513"/>
      <c r="I324" s="2513"/>
      <c r="J324" s="2513"/>
      <c r="K324" s="2122"/>
      <c r="L324" s="2513"/>
      <c r="M324" s="2122"/>
      <c r="N324" s="2120"/>
      <c r="O324" s="2119"/>
      <c r="P324" s="2119"/>
      <c r="Q324" s="2119"/>
      <c r="R324" s="2119"/>
    </row>
    <row r="325" spans="1:18" ht="27.6">
      <c r="A325" s="2117" t="s">
        <v>2713</v>
      </c>
      <c r="B325" s="2118"/>
      <c r="C325" s="2117" t="s">
        <v>1069</v>
      </c>
      <c r="D325" s="2118"/>
      <c r="E325" s="2117" t="s">
        <v>2714</v>
      </c>
      <c r="F325" s="2118"/>
      <c r="G325" s="2119"/>
      <c r="H325" s="2119"/>
      <c r="I325" s="2119"/>
      <c r="J325" s="2119"/>
      <c r="K325" s="2119"/>
      <c r="L325" s="2119"/>
      <c r="M325" s="2119"/>
      <c r="N325" s="2120"/>
      <c r="O325" s="2119"/>
      <c r="P325" s="2119"/>
      <c r="Q325" s="2119"/>
      <c r="R325" s="2119"/>
    </row>
    <row r="326" spans="1:18">
      <c r="A326" s="2122"/>
      <c r="B326" s="2122"/>
      <c r="C326" s="2122"/>
      <c r="D326" s="2122"/>
      <c r="E326" s="2122"/>
      <c r="F326" s="2122"/>
      <c r="G326" s="2122"/>
      <c r="H326" s="2122"/>
      <c r="I326" s="2122"/>
      <c r="J326" s="2122"/>
      <c r="K326" s="2122"/>
      <c r="L326" s="2122"/>
      <c r="M326" s="2122"/>
      <c r="N326" s="2120"/>
      <c r="O326" s="2119"/>
      <c r="P326" s="2119"/>
      <c r="Q326" s="2119"/>
      <c r="R326" s="2119"/>
    </row>
    <row r="327" spans="1:18" ht="14.4">
      <c r="A327" s="2118"/>
      <c r="B327" s="2119"/>
      <c r="C327" s="2119"/>
      <c r="D327" s="2119"/>
      <c r="E327" s="2119"/>
      <c r="F327" s="2119"/>
      <c r="G327" s="2119"/>
      <c r="H327" s="2505" t="s">
        <v>2715</v>
      </c>
      <c r="I327" s="2505"/>
      <c r="J327" s="2122"/>
      <c r="K327" s="2506">
        <v>0</v>
      </c>
      <c r="L327" s="2506"/>
      <c r="M327" s="2122"/>
      <c r="N327" s="2507"/>
      <c r="O327" s="2122"/>
      <c r="P327" s="2119"/>
      <c r="Q327" s="2119"/>
      <c r="R327" s="2119"/>
    </row>
    <row r="328" spans="1:18" ht="14.4">
      <c r="A328" s="2119"/>
      <c r="B328" s="2119"/>
      <c r="C328" s="2119"/>
      <c r="D328" s="2119"/>
      <c r="E328" s="2119"/>
      <c r="F328" s="2119"/>
      <c r="G328" s="2119"/>
      <c r="H328" s="2122"/>
      <c r="I328" s="2122"/>
      <c r="J328" s="2122"/>
      <c r="K328" s="2506"/>
      <c r="L328" s="2506"/>
      <c r="M328" s="2119"/>
      <c r="N328" s="2507"/>
      <c r="O328" s="2119"/>
      <c r="P328" s="2119"/>
      <c r="Q328" s="2119"/>
      <c r="R328" s="2119"/>
    </row>
    <row r="329" spans="1:18">
      <c r="A329" s="2117">
        <v>71447</v>
      </c>
      <c r="B329" s="2122"/>
      <c r="C329" s="2508" t="s">
        <v>2740</v>
      </c>
      <c r="D329" s="2508"/>
      <c r="E329" s="2508"/>
      <c r="F329" s="2508"/>
      <c r="G329" s="2508"/>
      <c r="H329" s="2508"/>
      <c r="I329" s="2508"/>
      <c r="J329" s="2122"/>
      <c r="K329" s="2122"/>
      <c r="L329" s="2122"/>
      <c r="M329" s="2122"/>
      <c r="N329" s="2120"/>
      <c r="O329" s="2119"/>
      <c r="P329" s="2119"/>
      <c r="Q329" s="2119"/>
      <c r="R329" s="2119"/>
    </row>
    <row r="330" spans="1:18">
      <c r="A330" s="2122"/>
      <c r="B330" s="2122"/>
      <c r="C330" s="2122"/>
      <c r="D330" s="2122"/>
      <c r="E330" s="2122"/>
      <c r="F330" s="2122"/>
      <c r="G330" s="2122"/>
      <c r="H330" s="2122"/>
      <c r="I330" s="2122"/>
      <c r="J330" s="2122"/>
      <c r="K330" s="2122"/>
      <c r="L330" s="2122"/>
      <c r="M330" s="2122"/>
      <c r="N330" s="2120"/>
      <c r="O330" s="2119"/>
      <c r="P330" s="2119"/>
      <c r="Q330" s="2119"/>
      <c r="R330" s="2119"/>
    </row>
    <row r="331" spans="1:18">
      <c r="A331" s="2511" t="s">
        <v>2722</v>
      </c>
      <c r="B331" s="2511"/>
      <c r="C331" s="2511"/>
      <c r="D331" s="2125"/>
      <c r="E331" s="2125"/>
      <c r="F331" s="2125"/>
      <c r="G331" s="2125"/>
      <c r="H331" s="2512">
        <v>6074.9930000000004</v>
      </c>
      <c r="I331" s="2512"/>
      <c r="J331" s="2512"/>
      <c r="K331" s="2125"/>
      <c r="L331" s="2126">
        <v>623748.06999999995</v>
      </c>
      <c r="M331" s="2125"/>
      <c r="N331" s="2120"/>
      <c r="O331" s="2119"/>
      <c r="P331" s="2119"/>
      <c r="Q331" s="2119"/>
      <c r="R331" s="2119"/>
    </row>
    <row r="332" spans="1:18">
      <c r="A332" s="2118"/>
      <c r="B332" s="2118"/>
      <c r="C332" s="2118"/>
      <c r="D332" s="2118"/>
      <c r="E332" s="2505" t="s">
        <v>2718</v>
      </c>
      <c r="F332" s="2505"/>
      <c r="G332" s="2118"/>
      <c r="H332" s="2513">
        <v>6074.9929000000002</v>
      </c>
      <c r="I332" s="2513"/>
      <c r="J332" s="2513"/>
      <c r="K332" s="2122"/>
      <c r="L332" s="2513">
        <v>603734.62</v>
      </c>
      <c r="M332" s="2122"/>
      <c r="N332" s="2120"/>
      <c r="O332" s="2119"/>
      <c r="P332" s="2119"/>
      <c r="Q332" s="2119"/>
      <c r="R332" s="2119"/>
    </row>
    <row r="333" spans="1:18">
      <c r="A333" s="2118"/>
      <c r="B333" s="2118"/>
      <c r="C333" s="2118"/>
      <c r="D333" s="2118"/>
      <c r="E333" s="2118"/>
      <c r="F333" s="2118"/>
      <c r="G333" s="2118"/>
      <c r="H333" s="2513"/>
      <c r="I333" s="2513"/>
      <c r="J333" s="2513"/>
      <c r="K333" s="2122"/>
      <c r="L333" s="2513"/>
      <c r="M333" s="2122"/>
      <c r="N333" s="2120"/>
      <c r="O333" s="2119"/>
      <c r="P333" s="2119"/>
      <c r="Q333" s="2119"/>
      <c r="R333" s="2119"/>
    </row>
    <row r="334" spans="1:18" ht="27.6">
      <c r="A334" s="2117" t="s">
        <v>2713</v>
      </c>
      <c r="B334" s="2118"/>
      <c r="C334" s="2117" t="s">
        <v>1069</v>
      </c>
      <c r="D334" s="2118"/>
      <c r="E334" s="2117" t="s">
        <v>2714</v>
      </c>
      <c r="F334" s="2118"/>
      <c r="G334" s="2119"/>
      <c r="H334" s="2119"/>
      <c r="I334" s="2119"/>
      <c r="J334" s="2119"/>
      <c r="K334" s="2119"/>
      <c r="L334" s="2119"/>
      <c r="M334" s="2119"/>
      <c r="N334" s="2120"/>
      <c r="O334" s="2119"/>
      <c r="P334" s="2119"/>
      <c r="Q334" s="2119"/>
      <c r="R334" s="2119"/>
    </row>
    <row r="335" spans="1:18">
      <c r="A335" s="2122"/>
      <c r="B335" s="2122"/>
      <c r="C335" s="2122"/>
      <c r="D335" s="2122"/>
      <c r="E335" s="2122"/>
      <c r="F335" s="2122"/>
      <c r="G335" s="2122"/>
      <c r="H335" s="2122"/>
      <c r="I335" s="2122"/>
      <c r="J335" s="2122"/>
      <c r="K335" s="2122"/>
      <c r="L335" s="2122"/>
      <c r="M335" s="2122"/>
      <c r="N335" s="2120"/>
      <c r="O335" s="2119"/>
      <c r="P335" s="2119"/>
      <c r="Q335" s="2119"/>
      <c r="R335" s="2119"/>
    </row>
    <row r="336" spans="1:18" ht="14.4">
      <c r="A336" s="2118"/>
      <c r="B336" s="2119"/>
      <c r="C336" s="2119"/>
      <c r="D336" s="2119"/>
      <c r="E336" s="2119"/>
      <c r="F336" s="2119"/>
      <c r="G336" s="2119"/>
      <c r="H336" s="2505" t="s">
        <v>2715</v>
      </c>
      <c r="I336" s="2505"/>
      <c r="J336" s="2122"/>
      <c r="K336" s="2506">
        <v>0</v>
      </c>
      <c r="L336" s="2506"/>
      <c r="M336" s="2122"/>
      <c r="N336" s="2507"/>
      <c r="O336" s="2122"/>
      <c r="P336" s="2119"/>
      <c r="Q336" s="2119"/>
      <c r="R336" s="2119"/>
    </row>
    <row r="337" spans="1:18" ht="14.4">
      <c r="A337" s="2119"/>
      <c r="B337" s="2119"/>
      <c r="C337" s="2119"/>
      <c r="D337" s="2119"/>
      <c r="E337" s="2119"/>
      <c r="F337" s="2119"/>
      <c r="G337" s="2119"/>
      <c r="H337" s="2122"/>
      <c r="I337" s="2122"/>
      <c r="J337" s="2122"/>
      <c r="K337" s="2506"/>
      <c r="L337" s="2506"/>
      <c r="M337" s="2119"/>
      <c r="N337" s="2507"/>
      <c r="O337" s="2119"/>
      <c r="P337" s="2119"/>
      <c r="Q337" s="2119"/>
      <c r="R337" s="2119"/>
    </row>
    <row r="338" spans="1:18">
      <c r="A338" s="2117">
        <v>73000</v>
      </c>
      <c r="B338" s="2122"/>
      <c r="C338" s="2508" t="s">
        <v>2719</v>
      </c>
      <c r="D338" s="2508"/>
      <c r="E338" s="2508"/>
      <c r="F338" s="2508"/>
      <c r="G338" s="2508"/>
      <c r="H338" s="2508"/>
      <c r="I338" s="2508"/>
      <c r="J338" s="2122"/>
      <c r="K338" s="2122"/>
      <c r="L338" s="2122"/>
      <c r="M338" s="2122"/>
      <c r="N338" s="2120"/>
      <c r="O338" s="2119"/>
      <c r="P338" s="2119"/>
      <c r="Q338" s="2119"/>
      <c r="R338" s="2119"/>
    </row>
    <row r="339" spans="1:18">
      <c r="A339" s="2122"/>
      <c r="B339" s="2122"/>
      <c r="C339" s="2122"/>
      <c r="D339" s="2122"/>
      <c r="E339" s="2122"/>
      <c r="F339" s="2122"/>
      <c r="G339" s="2122"/>
      <c r="H339" s="2122"/>
      <c r="I339" s="2122"/>
      <c r="J339" s="2122"/>
      <c r="K339" s="2122"/>
      <c r="L339" s="2122"/>
      <c r="M339" s="2122"/>
      <c r="N339" s="2120"/>
      <c r="O339" s="2119"/>
      <c r="P339" s="2119"/>
      <c r="Q339" s="2119"/>
      <c r="R339" s="2119"/>
    </row>
    <row r="340" spans="1:18">
      <c r="A340" s="2511" t="s">
        <v>2725</v>
      </c>
      <c r="B340" s="2511"/>
      <c r="C340" s="2511"/>
      <c r="D340" s="2125"/>
      <c r="E340" s="2125"/>
      <c r="F340" s="2125"/>
      <c r="G340" s="2125"/>
      <c r="H340" s="2510">
        <v>490.67599999999999</v>
      </c>
      <c r="I340" s="2510"/>
      <c r="J340" s="2510"/>
      <c r="K340" s="2125"/>
      <c r="L340" s="2126">
        <v>50000</v>
      </c>
      <c r="M340" s="2125"/>
      <c r="N340" s="2120"/>
      <c r="O340" s="2119"/>
      <c r="P340" s="2119"/>
      <c r="Q340" s="2119"/>
      <c r="R340" s="2119"/>
    </row>
    <row r="341" spans="1:18">
      <c r="A341" s="2118"/>
      <c r="B341" s="2118"/>
      <c r="C341" s="2118"/>
      <c r="D341" s="2118"/>
      <c r="E341" s="2505" t="s">
        <v>2718</v>
      </c>
      <c r="F341" s="2505"/>
      <c r="G341" s="2118"/>
      <c r="H341" s="2506">
        <v>490.67619999999999</v>
      </c>
      <c r="I341" s="2506"/>
      <c r="J341" s="2506"/>
      <c r="K341" s="2122"/>
      <c r="L341" s="2513">
        <v>48763.55</v>
      </c>
      <c r="M341" s="2122"/>
      <c r="N341" s="2120"/>
      <c r="O341" s="2119"/>
      <c r="P341" s="2119"/>
      <c r="Q341" s="2119"/>
      <c r="R341" s="2119"/>
    </row>
    <row r="342" spans="1:18">
      <c r="A342" s="2118"/>
      <c r="B342" s="2118"/>
      <c r="C342" s="2118"/>
      <c r="D342" s="2118"/>
      <c r="E342" s="2118"/>
      <c r="F342" s="2118"/>
      <c r="G342" s="2118"/>
      <c r="H342" s="2506"/>
      <c r="I342" s="2506"/>
      <c r="J342" s="2506"/>
      <c r="K342" s="2122"/>
      <c r="L342" s="2513"/>
      <c r="M342" s="2122"/>
      <c r="N342" s="2120"/>
      <c r="O342" s="2119"/>
      <c r="P342" s="2119"/>
      <c r="Q342" s="2119"/>
      <c r="R342" s="2119"/>
    </row>
    <row r="343" spans="1:18" ht="27.6">
      <c r="A343" s="2117" t="s">
        <v>2713</v>
      </c>
      <c r="B343" s="2118"/>
      <c r="C343" s="2117" t="s">
        <v>1069</v>
      </c>
      <c r="D343" s="2118"/>
      <c r="E343" s="2117" t="s">
        <v>2714</v>
      </c>
      <c r="F343" s="2118"/>
      <c r="G343" s="2119"/>
      <c r="H343" s="2119"/>
      <c r="I343" s="2119"/>
      <c r="J343" s="2119"/>
      <c r="K343" s="2119"/>
      <c r="L343" s="2119"/>
      <c r="M343" s="2119"/>
      <c r="N343" s="2120"/>
      <c r="O343" s="2119"/>
      <c r="P343" s="2119"/>
      <c r="Q343" s="2119"/>
      <c r="R343" s="2119"/>
    </row>
    <row r="344" spans="1:18">
      <c r="A344" s="2122"/>
      <c r="B344" s="2122"/>
      <c r="C344" s="2122"/>
      <c r="D344" s="2122"/>
      <c r="E344" s="2122"/>
      <c r="F344" s="2122"/>
      <c r="G344" s="2122"/>
      <c r="H344" s="2122"/>
      <c r="I344" s="2122"/>
      <c r="J344" s="2122"/>
      <c r="K344" s="2122"/>
      <c r="L344" s="2122"/>
      <c r="M344" s="2122"/>
      <c r="N344" s="2120"/>
      <c r="O344" s="2119"/>
      <c r="P344" s="2119"/>
      <c r="Q344" s="2119"/>
      <c r="R344" s="2119"/>
    </row>
    <row r="345" spans="1:18" ht="14.4">
      <c r="A345" s="2118"/>
      <c r="B345" s="2119"/>
      <c r="C345" s="2119"/>
      <c r="D345" s="2119"/>
      <c r="E345" s="2119"/>
      <c r="F345" s="2119"/>
      <c r="G345" s="2119"/>
      <c r="H345" s="2505" t="s">
        <v>2715</v>
      </c>
      <c r="I345" s="2505"/>
      <c r="J345" s="2122"/>
      <c r="K345" s="2506">
        <v>0</v>
      </c>
      <c r="L345" s="2506"/>
      <c r="M345" s="2122"/>
      <c r="N345" s="2507"/>
      <c r="O345" s="2122"/>
      <c r="P345" s="2119"/>
      <c r="Q345" s="2119"/>
      <c r="R345" s="2119"/>
    </row>
    <row r="346" spans="1:18" ht="14.4">
      <c r="A346" s="2119"/>
      <c r="B346" s="2119"/>
      <c r="C346" s="2119"/>
      <c r="D346" s="2119"/>
      <c r="E346" s="2119"/>
      <c r="F346" s="2119"/>
      <c r="G346" s="2119"/>
      <c r="H346" s="2122"/>
      <c r="I346" s="2122"/>
      <c r="J346" s="2122"/>
      <c r="K346" s="2506"/>
      <c r="L346" s="2506"/>
      <c r="M346" s="2119"/>
      <c r="N346" s="2507"/>
      <c r="O346" s="2119"/>
      <c r="P346" s="2119"/>
      <c r="Q346" s="2119"/>
      <c r="R346" s="2119"/>
    </row>
    <row r="347" spans="1:18">
      <c r="A347" s="2117">
        <v>73898</v>
      </c>
      <c r="B347" s="2122"/>
      <c r="C347" s="2508" t="s">
        <v>2719</v>
      </c>
      <c r="D347" s="2508"/>
      <c r="E347" s="2508"/>
      <c r="F347" s="2508"/>
      <c r="G347" s="2508"/>
      <c r="H347" s="2508"/>
      <c r="I347" s="2508"/>
      <c r="J347" s="2122"/>
      <c r="K347" s="2122"/>
      <c r="L347" s="2122"/>
      <c r="M347" s="2122"/>
      <c r="N347" s="2120"/>
      <c r="O347" s="2119"/>
      <c r="P347" s="2119"/>
      <c r="Q347" s="2119"/>
      <c r="R347" s="2119"/>
    </row>
    <row r="348" spans="1:18">
      <c r="A348" s="2122"/>
      <c r="B348" s="2122"/>
      <c r="C348" s="2122"/>
      <c r="D348" s="2122"/>
      <c r="E348" s="2122"/>
      <c r="F348" s="2122"/>
      <c r="G348" s="2122"/>
      <c r="H348" s="2122"/>
      <c r="I348" s="2122"/>
      <c r="J348" s="2122"/>
      <c r="K348" s="2122"/>
      <c r="L348" s="2122"/>
      <c r="M348" s="2122"/>
      <c r="N348" s="2120"/>
      <c r="O348" s="2119"/>
      <c r="P348" s="2119"/>
      <c r="Q348" s="2119"/>
      <c r="R348" s="2119"/>
    </row>
    <row r="349" spans="1:18">
      <c r="A349" s="2509"/>
      <c r="B349" s="2509"/>
      <c r="C349" s="2509"/>
      <c r="D349" s="2125"/>
      <c r="E349" s="2125"/>
      <c r="F349" s="2125"/>
      <c r="G349" s="2125"/>
      <c r="H349" s="2510"/>
      <c r="I349" s="2510"/>
      <c r="J349" s="2510"/>
      <c r="K349" s="2125"/>
      <c r="L349" s="2129"/>
      <c r="M349" s="2125"/>
      <c r="N349" s="2120"/>
      <c r="O349" s="2119"/>
      <c r="P349" s="2119"/>
      <c r="Q349" s="2119"/>
      <c r="R349" s="2119"/>
    </row>
    <row r="350" spans="1:18">
      <c r="A350" s="2118"/>
      <c r="B350" s="2118"/>
      <c r="C350" s="2118"/>
      <c r="D350" s="2118"/>
      <c r="E350" s="2505" t="s">
        <v>2718</v>
      </c>
      <c r="F350" s="2505"/>
      <c r="G350" s="2118"/>
      <c r="H350" s="2506">
        <v>0</v>
      </c>
      <c r="I350" s="2506"/>
      <c r="J350" s="2506"/>
      <c r="K350" s="2122"/>
      <c r="L350" s="2506">
        <v>0</v>
      </c>
      <c r="M350" s="2122"/>
      <c r="N350" s="2120"/>
      <c r="O350" s="2119"/>
      <c r="P350" s="2119"/>
      <c r="Q350" s="2119"/>
      <c r="R350" s="2119"/>
    </row>
    <row r="351" spans="1:18">
      <c r="A351" s="2118"/>
      <c r="B351" s="2118"/>
      <c r="C351" s="2118"/>
      <c r="D351" s="2118"/>
      <c r="E351" s="2118"/>
      <c r="F351" s="2118"/>
      <c r="G351" s="2118"/>
      <c r="H351" s="2506"/>
      <c r="I351" s="2506"/>
      <c r="J351" s="2506"/>
      <c r="K351" s="2122"/>
      <c r="L351" s="2506"/>
      <c r="M351" s="2122"/>
      <c r="N351" s="2120"/>
      <c r="O351" s="2119"/>
      <c r="P351" s="2119"/>
      <c r="Q351" s="2119"/>
      <c r="R351" s="2119"/>
    </row>
    <row r="352" spans="1:18" ht="27.6">
      <c r="A352" s="2117" t="s">
        <v>2713</v>
      </c>
      <c r="B352" s="2118"/>
      <c r="C352" s="2117" t="s">
        <v>1069</v>
      </c>
      <c r="D352" s="2118"/>
      <c r="E352" s="2117" t="s">
        <v>2714</v>
      </c>
      <c r="F352" s="2118"/>
      <c r="G352" s="2119"/>
      <c r="H352" s="2119"/>
      <c r="I352" s="2119"/>
      <c r="J352" s="2119"/>
      <c r="K352" s="2119"/>
      <c r="L352" s="2119"/>
      <c r="M352" s="2119"/>
      <c r="N352" s="2120"/>
      <c r="O352" s="2119"/>
      <c r="P352" s="2119"/>
      <c r="Q352" s="2119"/>
      <c r="R352" s="2119"/>
    </row>
    <row r="353" spans="1:18">
      <c r="A353" s="2122"/>
      <c r="B353" s="2122"/>
      <c r="C353" s="2122"/>
      <c r="D353" s="2122"/>
      <c r="E353" s="2122"/>
      <c r="F353" s="2122"/>
      <c r="G353" s="2122"/>
      <c r="H353" s="2122"/>
      <c r="I353" s="2122"/>
      <c r="J353" s="2122"/>
      <c r="K353" s="2122"/>
      <c r="L353" s="2122"/>
      <c r="M353" s="2122"/>
      <c r="N353" s="2120"/>
      <c r="O353" s="2119"/>
      <c r="P353" s="2119"/>
      <c r="Q353" s="2119"/>
      <c r="R353" s="2119"/>
    </row>
    <row r="354" spans="1:18" ht="14.4">
      <c r="A354" s="2118"/>
      <c r="B354" s="2119"/>
      <c r="C354" s="2119"/>
      <c r="D354" s="2119"/>
      <c r="E354" s="2119"/>
      <c r="F354" s="2119"/>
      <c r="G354" s="2119"/>
      <c r="H354" s="2505" t="s">
        <v>2715</v>
      </c>
      <c r="I354" s="2505"/>
      <c r="J354" s="2122"/>
      <c r="K354" s="2506">
        <v>0</v>
      </c>
      <c r="L354" s="2506"/>
      <c r="M354" s="2122"/>
      <c r="N354" s="2507"/>
      <c r="O354" s="2122"/>
      <c r="P354" s="2119"/>
      <c r="Q354" s="2119"/>
      <c r="R354" s="2119"/>
    </row>
    <row r="355" spans="1:18" ht="14.4">
      <c r="A355" s="2119"/>
      <c r="B355" s="2119"/>
      <c r="C355" s="2119"/>
      <c r="D355" s="2119"/>
      <c r="E355" s="2119"/>
      <c r="F355" s="2119"/>
      <c r="G355" s="2119"/>
      <c r="H355" s="2122"/>
      <c r="I355" s="2122"/>
      <c r="J355" s="2122"/>
      <c r="K355" s="2506"/>
      <c r="L355" s="2506"/>
      <c r="M355" s="2119"/>
      <c r="N355" s="2507"/>
      <c r="O355" s="2119"/>
      <c r="P355" s="2119"/>
      <c r="Q355" s="2119"/>
      <c r="R355" s="2119"/>
    </row>
    <row r="356" spans="1:18">
      <c r="A356" s="2117">
        <v>76666</v>
      </c>
      <c r="B356" s="2122"/>
      <c r="C356" s="2508" t="s">
        <v>2724</v>
      </c>
      <c r="D356" s="2508"/>
      <c r="E356" s="2508"/>
      <c r="F356" s="2508"/>
      <c r="G356" s="2508"/>
      <c r="H356" s="2508"/>
      <c r="I356" s="2508"/>
      <c r="J356" s="2122"/>
      <c r="K356" s="2122"/>
      <c r="L356" s="2122"/>
      <c r="M356" s="2122"/>
      <c r="N356" s="2120"/>
      <c r="O356" s="2119"/>
      <c r="P356" s="2119"/>
      <c r="Q356" s="2119"/>
      <c r="R356" s="2119"/>
    </row>
    <row r="357" spans="1:18">
      <c r="A357" s="2122"/>
      <c r="B357" s="2122"/>
      <c r="C357" s="2122"/>
      <c r="D357" s="2122"/>
      <c r="E357" s="2122"/>
      <c r="F357" s="2122"/>
      <c r="G357" s="2122"/>
      <c r="H357" s="2122"/>
      <c r="I357" s="2122"/>
      <c r="J357" s="2122"/>
      <c r="K357" s="2122"/>
      <c r="L357" s="2122"/>
      <c r="M357" s="2122"/>
      <c r="N357" s="2120"/>
      <c r="O357" s="2119"/>
      <c r="P357" s="2119"/>
      <c r="Q357" s="2119"/>
      <c r="R357" s="2119"/>
    </row>
    <row r="358" spans="1:18">
      <c r="A358" s="2509"/>
      <c r="B358" s="2509"/>
      <c r="C358" s="2509"/>
      <c r="D358" s="2125"/>
      <c r="E358" s="2125"/>
      <c r="F358" s="2125"/>
      <c r="G358" s="2125"/>
      <c r="H358" s="2510"/>
      <c r="I358" s="2510"/>
      <c r="J358" s="2510"/>
      <c r="K358" s="2125"/>
      <c r="L358" s="2129"/>
      <c r="M358" s="2125"/>
      <c r="N358" s="2120"/>
      <c r="O358" s="2119"/>
      <c r="P358" s="2119"/>
      <c r="Q358" s="2119"/>
      <c r="R358" s="2119"/>
    </row>
    <row r="359" spans="1:18">
      <c r="A359" s="2118"/>
      <c r="B359" s="2118"/>
      <c r="C359" s="2118"/>
      <c r="D359" s="2118"/>
      <c r="E359" s="2505" t="s">
        <v>2718</v>
      </c>
      <c r="F359" s="2505"/>
      <c r="G359" s="2118"/>
      <c r="H359" s="2506">
        <v>0</v>
      </c>
      <c r="I359" s="2506"/>
      <c r="J359" s="2506"/>
      <c r="K359" s="2122"/>
      <c r="L359" s="2506">
        <v>0</v>
      </c>
      <c r="M359" s="2122"/>
      <c r="N359" s="2120"/>
      <c r="O359" s="2119"/>
      <c r="P359" s="2119"/>
      <c r="Q359" s="2119"/>
      <c r="R359" s="2119"/>
    </row>
    <row r="360" spans="1:18">
      <c r="A360" s="2118"/>
      <c r="B360" s="2118"/>
      <c r="C360" s="2118"/>
      <c r="D360" s="2118"/>
      <c r="E360" s="2118"/>
      <c r="F360" s="2118"/>
      <c r="G360" s="2118"/>
      <c r="H360" s="2506"/>
      <c r="I360" s="2506"/>
      <c r="J360" s="2506"/>
      <c r="K360" s="2122"/>
      <c r="L360" s="2506"/>
      <c r="M360" s="2122"/>
      <c r="N360" s="2120"/>
      <c r="O360" s="2119"/>
      <c r="P360" s="2119"/>
      <c r="Q360" s="2119"/>
      <c r="R360" s="2119"/>
    </row>
    <row r="361" spans="1:18" ht="27.6">
      <c r="A361" s="2117" t="s">
        <v>2713</v>
      </c>
      <c r="B361" s="2118"/>
      <c r="C361" s="2117" t="s">
        <v>1069</v>
      </c>
      <c r="D361" s="2118"/>
      <c r="E361" s="2117" t="s">
        <v>2714</v>
      </c>
      <c r="F361" s="2118"/>
      <c r="G361" s="2119"/>
      <c r="H361" s="2119"/>
      <c r="I361" s="2119"/>
      <c r="J361" s="2119"/>
      <c r="K361" s="2119"/>
      <c r="L361" s="2119"/>
      <c r="M361" s="2119"/>
      <c r="N361" s="2120"/>
      <c r="O361" s="2119"/>
      <c r="P361" s="2119"/>
      <c r="Q361" s="2119"/>
      <c r="R361" s="2119"/>
    </row>
    <row r="362" spans="1:18">
      <c r="A362" s="2122"/>
      <c r="B362" s="2122"/>
      <c r="C362" s="2122"/>
      <c r="D362" s="2122"/>
      <c r="E362" s="2122"/>
      <c r="F362" s="2122"/>
      <c r="G362" s="2122"/>
      <c r="H362" s="2122"/>
      <c r="I362" s="2122"/>
      <c r="J362" s="2122"/>
      <c r="K362" s="2122"/>
      <c r="L362" s="2122"/>
      <c r="M362" s="2122"/>
      <c r="N362" s="2120"/>
      <c r="O362" s="2119"/>
      <c r="P362" s="2119"/>
      <c r="Q362" s="2119"/>
      <c r="R362" s="2119"/>
    </row>
    <row r="363" spans="1:18" ht="14.4">
      <c r="A363" s="2118"/>
      <c r="B363" s="2119"/>
      <c r="C363" s="2119"/>
      <c r="D363" s="2119"/>
      <c r="E363" s="2119"/>
      <c r="F363" s="2119"/>
      <c r="G363" s="2119"/>
      <c r="H363" s="2505" t="s">
        <v>2715</v>
      </c>
      <c r="I363" s="2505"/>
      <c r="J363" s="2122"/>
      <c r="K363" s="2506">
        <v>0</v>
      </c>
      <c r="L363" s="2506"/>
      <c r="M363" s="2122"/>
      <c r="N363" s="2507"/>
      <c r="O363" s="2122"/>
      <c r="P363" s="2119"/>
      <c r="Q363" s="2119"/>
      <c r="R363" s="2119"/>
    </row>
    <row r="364" spans="1:18" ht="14.4">
      <c r="A364" s="2119"/>
      <c r="B364" s="2119"/>
      <c r="C364" s="2119"/>
      <c r="D364" s="2119"/>
      <c r="E364" s="2119"/>
      <c r="F364" s="2119"/>
      <c r="G364" s="2119"/>
      <c r="H364" s="2122"/>
      <c r="I364" s="2122"/>
      <c r="J364" s="2122"/>
      <c r="K364" s="2506"/>
      <c r="L364" s="2506"/>
      <c r="M364" s="2119"/>
      <c r="N364" s="2507"/>
      <c r="O364" s="2119"/>
      <c r="P364" s="2119"/>
      <c r="Q364" s="2119"/>
      <c r="R364" s="2119"/>
    </row>
    <row r="365" spans="1:18">
      <c r="A365" s="2117">
        <v>76847</v>
      </c>
      <c r="B365" s="2122"/>
      <c r="C365" s="2508" t="s">
        <v>2733</v>
      </c>
      <c r="D365" s="2508"/>
      <c r="E365" s="2508"/>
      <c r="F365" s="2508"/>
      <c r="G365" s="2508"/>
      <c r="H365" s="2508"/>
      <c r="I365" s="2508"/>
      <c r="J365" s="2122"/>
      <c r="K365" s="2122"/>
      <c r="L365" s="2122"/>
      <c r="M365" s="2122"/>
      <c r="N365" s="2120"/>
      <c r="O365" s="2119"/>
      <c r="P365" s="2119"/>
      <c r="Q365" s="2119"/>
      <c r="R365" s="2119"/>
    </row>
    <row r="366" spans="1:18">
      <c r="A366" s="2122"/>
      <c r="B366" s="2122"/>
      <c r="C366" s="2122"/>
      <c r="D366" s="2122"/>
      <c r="E366" s="2122"/>
      <c r="F366" s="2122"/>
      <c r="G366" s="2122"/>
      <c r="H366" s="2122"/>
      <c r="I366" s="2122"/>
      <c r="J366" s="2122"/>
      <c r="K366" s="2122"/>
      <c r="L366" s="2122"/>
      <c r="M366" s="2122"/>
      <c r="N366" s="2120"/>
      <c r="O366" s="2119"/>
      <c r="P366" s="2119"/>
      <c r="Q366" s="2119"/>
      <c r="R366" s="2119"/>
    </row>
    <row r="367" spans="1:18">
      <c r="A367" s="2511" t="s">
        <v>2723</v>
      </c>
      <c r="B367" s="2511"/>
      <c r="C367" s="2511"/>
      <c r="D367" s="2125"/>
      <c r="E367" s="2125"/>
      <c r="F367" s="2125"/>
      <c r="G367" s="2125"/>
      <c r="H367" s="2512">
        <v>-13806.39</v>
      </c>
      <c r="I367" s="2512"/>
      <c r="J367" s="2512"/>
      <c r="K367" s="2125"/>
      <c r="L367" s="2126">
        <v>-1262361.02</v>
      </c>
      <c r="M367" s="2125"/>
      <c r="N367" s="2120"/>
      <c r="O367" s="2119"/>
      <c r="P367" s="2119"/>
      <c r="Q367" s="2119"/>
      <c r="R367" s="2119"/>
    </row>
    <row r="368" spans="1:18">
      <c r="A368" s="2511" t="s">
        <v>2725</v>
      </c>
      <c r="B368" s="2511"/>
      <c r="C368" s="2511"/>
      <c r="D368" s="2125"/>
      <c r="E368" s="2125"/>
      <c r="F368" s="2125"/>
      <c r="G368" s="2125"/>
      <c r="H368" s="2512">
        <v>13806.39</v>
      </c>
      <c r="I368" s="2512"/>
      <c r="J368" s="2512"/>
      <c r="K368" s="2125"/>
      <c r="L368" s="2126">
        <v>1300000</v>
      </c>
      <c r="M368" s="2125"/>
      <c r="N368" s="2120"/>
      <c r="O368" s="2119"/>
      <c r="P368" s="2119"/>
      <c r="Q368" s="2119"/>
      <c r="R368" s="2119"/>
    </row>
    <row r="369" spans="1:18">
      <c r="A369" s="2118"/>
      <c r="B369" s="2118"/>
      <c r="C369" s="2118"/>
      <c r="D369" s="2118"/>
      <c r="E369" s="2505" t="s">
        <v>2718</v>
      </c>
      <c r="F369" s="2505"/>
      <c r="G369" s="2118"/>
      <c r="H369" s="2506">
        <v>0</v>
      </c>
      <c r="I369" s="2506"/>
      <c r="J369" s="2506"/>
      <c r="K369" s="2122"/>
      <c r="L369" s="2506">
        <v>0</v>
      </c>
      <c r="M369" s="2122"/>
      <c r="N369" s="2120"/>
      <c r="O369" s="2119"/>
      <c r="P369" s="2119"/>
      <c r="Q369" s="2119"/>
      <c r="R369" s="2119"/>
    </row>
    <row r="370" spans="1:18">
      <c r="A370" s="2118"/>
      <c r="B370" s="2118"/>
      <c r="C370" s="2118"/>
      <c r="D370" s="2118"/>
      <c r="E370" s="2118"/>
      <c r="F370" s="2118"/>
      <c r="G370" s="2118"/>
      <c r="H370" s="2506"/>
      <c r="I370" s="2506"/>
      <c r="J370" s="2506"/>
      <c r="K370" s="2122"/>
      <c r="L370" s="2506"/>
      <c r="M370" s="2122"/>
      <c r="N370" s="2120"/>
      <c r="O370" s="2119"/>
      <c r="P370" s="2119"/>
      <c r="Q370" s="2119"/>
      <c r="R370" s="2119"/>
    </row>
    <row r="371" spans="1:18" ht="27.6">
      <c r="A371" s="2117" t="s">
        <v>2713</v>
      </c>
      <c r="B371" s="2118"/>
      <c r="C371" s="2117" t="s">
        <v>1069</v>
      </c>
      <c r="D371" s="2118"/>
      <c r="E371" s="2117" t="s">
        <v>2714</v>
      </c>
      <c r="F371" s="2118"/>
      <c r="G371" s="2119"/>
      <c r="H371" s="2119"/>
      <c r="I371" s="2119"/>
      <c r="J371" s="2119"/>
      <c r="K371" s="2119"/>
      <c r="L371" s="2119"/>
      <c r="M371" s="2119"/>
      <c r="N371" s="2120"/>
      <c r="O371" s="2119"/>
      <c r="P371" s="2119"/>
      <c r="Q371" s="2119"/>
      <c r="R371" s="2119"/>
    </row>
    <row r="372" spans="1:18">
      <c r="A372" s="2122"/>
      <c r="B372" s="2122"/>
      <c r="C372" s="2122"/>
      <c r="D372" s="2122"/>
      <c r="E372" s="2122"/>
      <c r="F372" s="2122"/>
      <c r="G372" s="2122"/>
      <c r="H372" s="2122"/>
      <c r="I372" s="2122"/>
      <c r="J372" s="2122"/>
      <c r="K372" s="2122"/>
      <c r="L372" s="2122"/>
      <c r="M372" s="2122"/>
      <c r="N372" s="2120"/>
      <c r="O372" s="2119"/>
      <c r="P372" s="2119"/>
      <c r="Q372" s="2119"/>
      <c r="R372" s="2119"/>
    </row>
    <row r="373" spans="1:18" ht="14.4">
      <c r="A373" s="2118"/>
      <c r="B373" s="2119"/>
      <c r="C373" s="2119"/>
      <c r="D373" s="2119"/>
      <c r="E373" s="2119"/>
      <c r="F373" s="2119"/>
      <c r="G373" s="2119"/>
      <c r="H373" s="2505" t="s">
        <v>2715</v>
      </c>
      <c r="I373" s="2505"/>
      <c r="J373" s="2122"/>
      <c r="K373" s="2506">
        <v>1E-4</v>
      </c>
      <c r="L373" s="2506"/>
      <c r="M373" s="2122"/>
      <c r="N373" s="2507"/>
      <c r="O373" s="2122"/>
      <c r="P373" s="2119"/>
      <c r="Q373" s="2119"/>
      <c r="R373" s="2119"/>
    </row>
    <row r="374" spans="1:18" ht="14.4">
      <c r="A374" s="2119"/>
      <c r="B374" s="2119"/>
      <c r="C374" s="2119"/>
      <c r="D374" s="2119"/>
      <c r="E374" s="2119"/>
      <c r="F374" s="2119"/>
      <c r="G374" s="2119"/>
      <c r="H374" s="2122"/>
      <c r="I374" s="2122"/>
      <c r="J374" s="2122"/>
      <c r="K374" s="2506"/>
      <c r="L374" s="2506"/>
      <c r="M374" s="2119"/>
      <c r="N374" s="2507"/>
      <c r="O374" s="2119"/>
      <c r="P374" s="2119"/>
      <c r="Q374" s="2119"/>
      <c r="R374" s="2119"/>
    </row>
    <row r="375" spans="1:18">
      <c r="A375" s="2117">
        <v>85972</v>
      </c>
      <c r="B375" s="2122"/>
      <c r="C375" s="2508" t="s">
        <v>2732</v>
      </c>
      <c r="D375" s="2508"/>
      <c r="E375" s="2508"/>
      <c r="F375" s="2508"/>
      <c r="G375" s="2508"/>
      <c r="H375" s="2508"/>
      <c r="I375" s="2508"/>
      <c r="J375" s="2122"/>
      <c r="K375" s="2122"/>
      <c r="L375" s="2122"/>
      <c r="M375" s="2122"/>
      <c r="N375" s="2120"/>
      <c r="O375" s="2119"/>
      <c r="P375" s="2119"/>
      <c r="Q375" s="2119"/>
      <c r="R375" s="2119"/>
    </row>
    <row r="376" spans="1:18">
      <c r="A376" s="2122"/>
      <c r="B376" s="2122"/>
      <c r="C376" s="2122"/>
      <c r="D376" s="2122"/>
      <c r="E376" s="2122"/>
      <c r="F376" s="2122"/>
      <c r="G376" s="2122"/>
      <c r="H376" s="2122"/>
      <c r="I376" s="2122"/>
      <c r="J376" s="2122"/>
      <c r="K376" s="2122"/>
      <c r="L376" s="2122"/>
      <c r="M376" s="2122"/>
      <c r="N376" s="2120"/>
      <c r="O376" s="2119"/>
      <c r="P376" s="2119"/>
      <c r="Q376" s="2119"/>
      <c r="R376" s="2119"/>
    </row>
    <row r="377" spans="1:18">
      <c r="A377" s="2509"/>
      <c r="B377" s="2509"/>
      <c r="C377" s="2509"/>
      <c r="D377" s="2125"/>
      <c r="E377" s="2125"/>
      <c r="F377" s="2125"/>
      <c r="G377" s="2125"/>
      <c r="H377" s="2510"/>
      <c r="I377" s="2510"/>
      <c r="J377" s="2510"/>
      <c r="K377" s="2125"/>
      <c r="L377" s="2129"/>
      <c r="M377" s="2125"/>
      <c r="N377" s="2120"/>
      <c r="O377" s="2119"/>
      <c r="P377" s="2119"/>
      <c r="Q377" s="2119"/>
      <c r="R377" s="2119"/>
    </row>
    <row r="378" spans="1:18">
      <c r="A378" s="2118"/>
      <c r="B378" s="2118"/>
      <c r="C378" s="2118"/>
      <c r="D378" s="2118"/>
      <c r="E378" s="2505" t="s">
        <v>2718</v>
      </c>
      <c r="F378" s="2505"/>
      <c r="G378" s="2118"/>
      <c r="H378" s="2506">
        <v>1E-4</v>
      </c>
      <c r="I378" s="2506"/>
      <c r="J378" s="2506"/>
      <c r="K378" s="2122"/>
      <c r="L378" s="2506">
        <v>0.01</v>
      </c>
      <c r="M378" s="2122"/>
      <c r="N378" s="2120"/>
      <c r="O378" s="2119"/>
      <c r="P378" s="2119"/>
      <c r="Q378" s="2119"/>
      <c r="R378" s="2119"/>
    </row>
    <row r="379" spans="1:18">
      <c r="A379" s="2118"/>
      <c r="B379" s="2118"/>
      <c r="C379" s="2118"/>
      <c r="D379" s="2118"/>
      <c r="E379" s="2118"/>
      <c r="F379" s="2118"/>
      <c r="G379" s="2118"/>
      <c r="H379" s="2506"/>
      <c r="I379" s="2506"/>
      <c r="J379" s="2506"/>
      <c r="K379" s="2122"/>
      <c r="L379" s="2506"/>
      <c r="M379" s="2122"/>
      <c r="N379" s="2120"/>
      <c r="O379" s="2119"/>
      <c r="P379" s="2119"/>
      <c r="Q379" s="2119"/>
      <c r="R379" s="2119"/>
    </row>
  </sheetData>
  <mergeCells count="398">
    <mergeCell ref="N12:N13"/>
    <mergeCell ref="H3:I3"/>
    <mergeCell ref="K3:L4"/>
    <mergeCell ref="N3:N4"/>
    <mergeCell ref="C5:I5"/>
    <mergeCell ref="A7:C7"/>
    <mergeCell ref="H7:J7"/>
    <mergeCell ref="C14:I14"/>
    <mergeCell ref="A16:C16"/>
    <mergeCell ref="H16:J16"/>
    <mergeCell ref="E17:F17"/>
    <mergeCell ref="H17:J18"/>
    <mergeCell ref="L17:L18"/>
    <mergeCell ref="E8:F8"/>
    <mergeCell ref="H8:J9"/>
    <mergeCell ref="L8:L9"/>
    <mergeCell ref="H12:I12"/>
    <mergeCell ref="K12:L13"/>
    <mergeCell ref="E26:F26"/>
    <mergeCell ref="H26:J27"/>
    <mergeCell ref="L26:L27"/>
    <mergeCell ref="H30:I30"/>
    <mergeCell ref="K30:L31"/>
    <mergeCell ref="N30:N31"/>
    <mergeCell ref="H21:I21"/>
    <mergeCell ref="K21:L22"/>
    <mergeCell ref="N21:N22"/>
    <mergeCell ref="C23:I23"/>
    <mergeCell ref="A25:C25"/>
    <mergeCell ref="H25:J25"/>
    <mergeCell ref="N48:N49"/>
    <mergeCell ref="H39:I39"/>
    <mergeCell ref="K39:L40"/>
    <mergeCell ref="N39:N40"/>
    <mergeCell ref="C41:I41"/>
    <mergeCell ref="A43:C43"/>
    <mergeCell ref="H43:J43"/>
    <mergeCell ref="C32:I32"/>
    <mergeCell ref="A34:C34"/>
    <mergeCell ref="H34:J34"/>
    <mergeCell ref="E35:F35"/>
    <mergeCell ref="H35:J36"/>
    <mergeCell ref="L35:L36"/>
    <mergeCell ref="C50:I50"/>
    <mergeCell ref="A52:C52"/>
    <mergeCell ref="H52:J52"/>
    <mergeCell ref="E53:F53"/>
    <mergeCell ref="H53:J54"/>
    <mergeCell ref="L53:L54"/>
    <mergeCell ref="E44:F44"/>
    <mergeCell ref="H44:J45"/>
    <mergeCell ref="L44:L45"/>
    <mergeCell ref="H48:I48"/>
    <mergeCell ref="K48:L49"/>
    <mergeCell ref="E62:F62"/>
    <mergeCell ref="H62:J63"/>
    <mergeCell ref="L62:L63"/>
    <mergeCell ref="H66:I66"/>
    <mergeCell ref="K66:L67"/>
    <mergeCell ref="N66:N67"/>
    <mergeCell ref="H57:I57"/>
    <mergeCell ref="K57:L58"/>
    <mergeCell ref="N57:N58"/>
    <mergeCell ref="C59:I59"/>
    <mergeCell ref="A61:C61"/>
    <mergeCell ref="H61:J61"/>
    <mergeCell ref="L72:L73"/>
    <mergeCell ref="H76:I76"/>
    <mergeCell ref="K76:L77"/>
    <mergeCell ref="N76:N77"/>
    <mergeCell ref="C78:I78"/>
    <mergeCell ref="A80:C80"/>
    <mergeCell ref="H80:J80"/>
    <mergeCell ref="C68:I68"/>
    <mergeCell ref="A70:C70"/>
    <mergeCell ref="H70:J70"/>
    <mergeCell ref="A71:C71"/>
    <mergeCell ref="H71:J71"/>
    <mergeCell ref="E72:F72"/>
    <mergeCell ref="H72:J73"/>
    <mergeCell ref="N96:N97"/>
    <mergeCell ref="C87:I87"/>
    <mergeCell ref="A89:C89"/>
    <mergeCell ref="H89:J89"/>
    <mergeCell ref="A90:C90"/>
    <mergeCell ref="H90:J90"/>
    <mergeCell ref="A91:C91"/>
    <mergeCell ref="H91:J91"/>
    <mergeCell ref="E81:F81"/>
    <mergeCell ref="H81:J82"/>
    <mergeCell ref="L81:L82"/>
    <mergeCell ref="H85:I85"/>
    <mergeCell ref="K85:L86"/>
    <mergeCell ref="N85:N86"/>
    <mergeCell ref="C98:I98"/>
    <mergeCell ref="A100:C100"/>
    <mergeCell ref="H100:J100"/>
    <mergeCell ref="E101:F101"/>
    <mergeCell ref="H101:J102"/>
    <mergeCell ref="L101:L102"/>
    <mergeCell ref="E92:F92"/>
    <mergeCell ref="H92:J93"/>
    <mergeCell ref="L92:L93"/>
    <mergeCell ref="H96:I96"/>
    <mergeCell ref="K96:L97"/>
    <mergeCell ref="E110:F110"/>
    <mergeCell ref="H110:J111"/>
    <mergeCell ref="L110:L111"/>
    <mergeCell ref="H114:I114"/>
    <mergeCell ref="K114:L115"/>
    <mergeCell ref="N114:N115"/>
    <mergeCell ref="H105:I105"/>
    <mergeCell ref="K105:L106"/>
    <mergeCell ref="N105:N106"/>
    <mergeCell ref="C107:I107"/>
    <mergeCell ref="A109:C109"/>
    <mergeCell ref="H109:J109"/>
    <mergeCell ref="N132:N133"/>
    <mergeCell ref="H123:I123"/>
    <mergeCell ref="K123:L124"/>
    <mergeCell ref="N123:N124"/>
    <mergeCell ref="C125:I125"/>
    <mergeCell ref="A127:C127"/>
    <mergeCell ref="H127:J127"/>
    <mergeCell ref="C116:I116"/>
    <mergeCell ref="A118:C118"/>
    <mergeCell ref="H118:J118"/>
    <mergeCell ref="E119:F119"/>
    <mergeCell ref="H119:J120"/>
    <mergeCell ref="L119:L120"/>
    <mergeCell ref="C134:I134"/>
    <mergeCell ref="A136:C136"/>
    <mergeCell ref="H136:J136"/>
    <mergeCell ref="E137:F137"/>
    <mergeCell ref="H137:J138"/>
    <mergeCell ref="L137:L138"/>
    <mergeCell ref="E128:F128"/>
    <mergeCell ref="H128:J129"/>
    <mergeCell ref="L128:L129"/>
    <mergeCell ref="H132:I132"/>
    <mergeCell ref="K132:L133"/>
    <mergeCell ref="E146:F146"/>
    <mergeCell ref="H146:J147"/>
    <mergeCell ref="L146:L147"/>
    <mergeCell ref="H150:I150"/>
    <mergeCell ref="K150:L151"/>
    <mergeCell ref="N150:N151"/>
    <mergeCell ref="H141:I141"/>
    <mergeCell ref="K141:L142"/>
    <mergeCell ref="N141:N142"/>
    <mergeCell ref="C143:I143"/>
    <mergeCell ref="A145:C145"/>
    <mergeCell ref="H145:J145"/>
    <mergeCell ref="H159:I159"/>
    <mergeCell ref="K159:L160"/>
    <mergeCell ref="N159:N160"/>
    <mergeCell ref="C161:I161"/>
    <mergeCell ref="A163:C163"/>
    <mergeCell ref="H163:J163"/>
    <mergeCell ref="C152:I152"/>
    <mergeCell ref="A154:C154"/>
    <mergeCell ref="H154:J154"/>
    <mergeCell ref="E155:F155"/>
    <mergeCell ref="H155:J156"/>
    <mergeCell ref="L155:L156"/>
    <mergeCell ref="N179:N180"/>
    <mergeCell ref="N169:N170"/>
    <mergeCell ref="C171:I171"/>
    <mergeCell ref="A173:C173"/>
    <mergeCell ref="H173:J173"/>
    <mergeCell ref="A174:C174"/>
    <mergeCell ref="H174:J174"/>
    <mergeCell ref="A164:C164"/>
    <mergeCell ref="H164:J164"/>
    <mergeCell ref="E165:F165"/>
    <mergeCell ref="H165:J166"/>
    <mergeCell ref="L165:L166"/>
    <mergeCell ref="H169:I169"/>
    <mergeCell ref="K169:L170"/>
    <mergeCell ref="C181:I181"/>
    <mergeCell ref="A183:C183"/>
    <mergeCell ref="H183:J183"/>
    <mergeCell ref="E184:F184"/>
    <mergeCell ref="H184:J185"/>
    <mergeCell ref="L184:L185"/>
    <mergeCell ref="E175:F175"/>
    <mergeCell ref="H175:J176"/>
    <mergeCell ref="L175:L176"/>
    <mergeCell ref="H179:I179"/>
    <mergeCell ref="K179:L180"/>
    <mergeCell ref="E193:F193"/>
    <mergeCell ref="H193:J194"/>
    <mergeCell ref="L193:L194"/>
    <mergeCell ref="H197:I197"/>
    <mergeCell ref="K197:L198"/>
    <mergeCell ref="N197:N198"/>
    <mergeCell ref="H188:I188"/>
    <mergeCell ref="K188:L189"/>
    <mergeCell ref="N188:N189"/>
    <mergeCell ref="C190:I190"/>
    <mergeCell ref="A192:C192"/>
    <mergeCell ref="H192:J192"/>
    <mergeCell ref="N206:N207"/>
    <mergeCell ref="C208:I208"/>
    <mergeCell ref="A210:C210"/>
    <mergeCell ref="H210:J210"/>
    <mergeCell ref="C199:I199"/>
    <mergeCell ref="A201:C201"/>
    <mergeCell ref="H201:J201"/>
    <mergeCell ref="E202:F202"/>
    <mergeCell ref="H202:J203"/>
    <mergeCell ref="L202:L203"/>
    <mergeCell ref="A211:C211"/>
    <mergeCell ref="H211:J211"/>
    <mergeCell ref="E212:F212"/>
    <mergeCell ref="H212:J213"/>
    <mergeCell ref="L212:L213"/>
    <mergeCell ref="H216:I216"/>
    <mergeCell ref="K216:L217"/>
    <mergeCell ref="H206:I206"/>
    <mergeCell ref="K206:L207"/>
    <mergeCell ref="H225:I225"/>
    <mergeCell ref="K225:L226"/>
    <mergeCell ref="N225:N226"/>
    <mergeCell ref="C227:I227"/>
    <mergeCell ref="A229:C229"/>
    <mergeCell ref="H229:J229"/>
    <mergeCell ref="N216:N217"/>
    <mergeCell ref="C218:I218"/>
    <mergeCell ref="A220:C220"/>
    <mergeCell ref="H220:J220"/>
    <mergeCell ref="E221:F221"/>
    <mergeCell ref="H221:J222"/>
    <mergeCell ref="L221:L222"/>
    <mergeCell ref="N235:N236"/>
    <mergeCell ref="C237:I237"/>
    <mergeCell ref="A239:C239"/>
    <mergeCell ref="H239:J239"/>
    <mergeCell ref="A240:C240"/>
    <mergeCell ref="H240:J240"/>
    <mergeCell ref="A230:C230"/>
    <mergeCell ref="H230:J230"/>
    <mergeCell ref="E231:F231"/>
    <mergeCell ref="H231:J232"/>
    <mergeCell ref="L231:L232"/>
    <mergeCell ref="H235:I235"/>
    <mergeCell ref="K235:L236"/>
    <mergeCell ref="N247:N248"/>
    <mergeCell ref="C249:I249"/>
    <mergeCell ref="A251:C251"/>
    <mergeCell ref="H251:J251"/>
    <mergeCell ref="A241:C241"/>
    <mergeCell ref="H241:J241"/>
    <mergeCell ref="A242:C242"/>
    <mergeCell ref="H242:J242"/>
    <mergeCell ref="E243:F243"/>
    <mergeCell ref="H243:J244"/>
    <mergeCell ref="A252:C252"/>
    <mergeCell ref="H252:J252"/>
    <mergeCell ref="A253:C253"/>
    <mergeCell ref="H253:J253"/>
    <mergeCell ref="E254:F254"/>
    <mergeCell ref="H254:J255"/>
    <mergeCell ref="L243:L244"/>
    <mergeCell ref="H247:I247"/>
    <mergeCell ref="K247:L248"/>
    <mergeCell ref="E263:F263"/>
    <mergeCell ref="H263:J264"/>
    <mergeCell ref="L263:L264"/>
    <mergeCell ref="H267:I267"/>
    <mergeCell ref="K267:L268"/>
    <mergeCell ref="N267:N268"/>
    <mergeCell ref="L254:L255"/>
    <mergeCell ref="H258:I258"/>
    <mergeCell ref="K258:L259"/>
    <mergeCell ref="N258:N259"/>
    <mergeCell ref="C260:I260"/>
    <mergeCell ref="A262:C262"/>
    <mergeCell ref="H262:J262"/>
    <mergeCell ref="N286:N287"/>
    <mergeCell ref="L273:L274"/>
    <mergeCell ref="H277:I277"/>
    <mergeCell ref="K277:L278"/>
    <mergeCell ref="N277:N278"/>
    <mergeCell ref="C279:I279"/>
    <mergeCell ref="A281:C281"/>
    <mergeCell ref="H281:J281"/>
    <mergeCell ref="C269:I269"/>
    <mergeCell ref="A271:C271"/>
    <mergeCell ref="H271:J271"/>
    <mergeCell ref="A272:C272"/>
    <mergeCell ref="H272:J272"/>
    <mergeCell ref="E273:F273"/>
    <mergeCell ref="H273:J274"/>
    <mergeCell ref="C288:I288"/>
    <mergeCell ref="A290:C290"/>
    <mergeCell ref="H290:J290"/>
    <mergeCell ref="E291:F291"/>
    <mergeCell ref="H291:J292"/>
    <mergeCell ref="L291:L292"/>
    <mergeCell ref="E282:F282"/>
    <mergeCell ref="H282:J283"/>
    <mergeCell ref="L282:L283"/>
    <mergeCell ref="H286:I286"/>
    <mergeCell ref="K286:L287"/>
    <mergeCell ref="E300:F300"/>
    <mergeCell ref="H300:J301"/>
    <mergeCell ref="L300:L301"/>
    <mergeCell ref="H304:I304"/>
    <mergeCell ref="K304:L305"/>
    <mergeCell ref="N304:N305"/>
    <mergeCell ref="H295:I295"/>
    <mergeCell ref="K295:L296"/>
    <mergeCell ref="N295:N296"/>
    <mergeCell ref="C297:I297"/>
    <mergeCell ref="A299:C299"/>
    <mergeCell ref="H299:J299"/>
    <mergeCell ref="A311:C311"/>
    <mergeCell ref="H311:J311"/>
    <mergeCell ref="E312:F312"/>
    <mergeCell ref="H312:J313"/>
    <mergeCell ref="L312:L313"/>
    <mergeCell ref="H316:I316"/>
    <mergeCell ref="K316:L317"/>
    <mergeCell ref="C306:I306"/>
    <mergeCell ref="A308:C308"/>
    <mergeCell ref="H308:J308"/>
    <mergeCell ref="A309:C309"/>
    <mergeCell ref="H309:J309"/>
    <mergeCell ref="A310:C310"/>
    <mergeCell ref="H310:J310"/>
    <mergeCell ref="A322:C322"/>
    <mergeCell ref="H322:J322"/>
    <mergeCell ref="E323:F323"/>
    <mergeCell ref="H323:J324"/>
    <mergeCell ref="L323:L324"/>
    <mergeCell ref="H327:I327"/>
    <mergeCell ref="K327:L328"/>
    <mergeCell ref="N316:N317"/>
    <mergeCell ref="C318:I318"/>
    <mergeCell ref="A320:C320"/>
    <mergeCell ref="H320:J320"/>
    <mergeCell ref="A321:C321"/>
    <mergeCell ref="H321:J321"/>
    <mergeCell ref="N345:N346"/>
    <mergeCell ref="H336:I336"/>
    <mergeCell ref="K336:L337"/>
    <mergeCell ref="N336:N337"/>
    <mergeCell ref="C338:I338"/>
    <mergeCell ref="A340:C340"/>
    <mergeCell ref="H340:J340"/>
    <mergeCell ref="N327:N328"/>
    <mergeCell ref="C329:I329"/>
    <mergeCell ref="A331:C331"/>
    <mergeCell ref="H331:J331"/>
    <mergeCell ref="E332:F332"/>
    <mergeCell ref="H332:J333"/>
    <mergeCell ref="L332:L333"/>
    <mergeCell ref="C347:I347"/>
    <mergeCell ref="A349:C349"/>
    <mergeCell ref="H349:J349"/>
    <mergeCell ref="E350:F350"/>
    <mergeCell ref="H350:J351"/>
    <mergeCell ref="L350:L351"/>
    <mergeCell ref="E341:F341"/>
    <mergeCell ref="H341:J342"/>
    <mergeCell ref="L341:L342"/>
    <mergeCell ref="H345:I345"/>
    <mergeCell ref="K345:L346"/>
    <mergeCell ref="L359:L360"/>
    <mergeCell ref="H363:I363"/>
    <mergeCell ref="K363:L364"/>
    <mergeCell ref="N363:N364"/>
    <mergeCell ref="H354:I354"/>
    <mergeCell ref="K354:L355"/>
    <mergeCell ref="N354:N355"/>
    <mergeCell ref="C356:I356"/>
    <mergeCell ref="A358:C358"/>
    <mergeCell ref="H358:J358"/>
    <mergeCell ref="C365:I365"/>
    <mergeCell ref="A367:C367"/>
    <mergeCell ref="H367:J367"/>
    <mergeCell ref="A368:C368"/>
    <mergeCell ref="H368:J368"/>
    <mergeCell ref="E369:F369"/>
    <mergeCell ref="H369:J370"/>
    <mergeCell ref="E359:F359"/>
    <mergeCell ref="H359:J360"/>
    <mergeCell ref="E378:F378"/>
    <mergeCell ref="H378:J379"/>
    <mergeCell ref="L378:L379"/>
    <mergeCell ref="L369:L370"/>
    <mergeCell ref="H373:I373"/>
    <mergeCell ref="K373:L374"/>
    <mergeCell ref="N373:N374"/>
    <mergeCell ref="C375:I375"/>
    <mergeCell ref="A377:C377"/>
    <mergeCell ref="H377:J37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12"/>
  <sheetViews>
    <sheetView topLeftCell="B17" workbookViewId="0">
      <selection activeCell="B6" sqref="B6:K7"/>
    </sheetView>
  </sheetViews>
  <sheetFormatPr defaultColWidth="8.59765625" defaultRowHeight="14.4"/>
  <cols>
    <col min="1" max="2" width="8.59765625" style="2119"/>
    <col min="3" max="3" width="12.09765625" style="2119" customWidth="1"/>
    <col min="4" max="9" width="8.59765625" style="2119"/>
    <col min="10" max="10" width="9.5" style="2119" customWidth="1"/>
    <col min="11" max="11" width="8.59765625" style="2119"/>
    <col min="12" max="12" width="11.59765625" style="2119" customWidth="1"/>
    <col min="13" max="13" width="8.59765625" style="2119"/>
    <col min="14" max="14" width="11.59765625" style="2119" customWidth="1"/>
    <col min="15" max="15" width="11.3984375" style="2119" bestFit="1" customWidth="1"/>
    <col min="16" max="16" width="2.3984375" style="2119" customWidth="1"/>
    <col min="17" max="17" width="2.59765625" style="2119" customWidth="1"/>
    <col min="18" max="18" width="2.09765625" style="2119" customWidth="1"/>
    <col min="19" max="19" width="13.09765625" style="2119" customWidth="1"/>
    <col min="20" max="22" width="8.59765625" style="2119"/>
    <col min="23" max="23" width="9.8984375" style="2119" bestFit="1" customWidth="1"/>
    <col min="24" max="16384" width="8.59765625" style="2119"/>
  </cols>
  <sheetData>
    <row r="1" spans="1:15" ht="55.2">
      <c r="A1" s="2117" t="s">
        <v>2713</v>
      </c>
      <c r="B1" s="2118"/>
      <c r="C1" s="2117" t="s">
        <v>1069</v>
      </c>
      <c r="D1" s="2118"/>
      <c r="E1" s="2117" t="s">
        <v>2714</v>
      </c>
      <c r="F1" s="2118"/>
    </row>
    <row r="2" spans="1:15">
      <c r="A2" s="2122"/>
      <c r="B2" s="2122"/>
      <c r="C2" s="2122"/>
      <c r="D2" s="2122"/>
      <c r="E2" s="2122"/>
      <c r="F2" s="2122"/>
      <c r="G2" s="2122"/>
      <c r="H2" s="2122"/>
      <c r="I2" s="2122"/>
      <c r="J2" s="2122"/>
      <c r="K2" s="2122"/>
      <c r="L2" s="2122"/>
      <c r="M2" s="2122"/>
    </row>
    <row r="3" spans="1:15">
      <c r="A3" s="2118"/>
      <c r="H3" s="2505" t="s">
        <v>2715</v>
      </c>
      <c r="I3" s="2505"/>
      <c r="J3" s="2122"/>
      <c r="K3" s="2506">
        <v>0</v>
      </c>
      <c r="L3" s="2506"/>
      <c r="M3" s="2122"/>
      <c r="N3" s="2514"/>
      <c r="O3" s="2122"/>
    </row>
    <row r="4" spans="1:15">
      <c r="H4" s="2122"/>
      <c r="I4" s="2122"/>
      <c r="J4" s="2122"/>
      <c r="K4" s="2506"/>
      <c r="L4" s="2506"/>
      <c r="N4" s="2514"/>
    </row>
    <row r="5" spans="1:15">
      <c r="A5" s="2117">
        <v>336</v>
      </c>
      <c r="B5" s="2122"/>
      <c r="C5" s="2508" t="s">
        <v>2741</v>
      </c>
      <c r="D5" s="2508"/>
      <c r="E5" s="2508"/>
      <c r="F5" s="2508"/>
      <c r="G5" s="2508"/>
      <c r="H5" s="2508"/>
      <c r="I5" s="2508"/>
      <c r="J5" s="2122"/>
      <c r="K5" s="2122"/>
      <c r="L5" s="2122"/>
      <c r="M5" s="2122"/>
    </row>
    <row r="6" spans="1:15">
      <c r="A6" s="2122"/>
      <c r="B6" s="2122"/>
      <c r="C6" s="2122"/>
      <c r="D6" s="2122"/>
      <c r="E6" s="2122"/>
      <c r="F6" s="2122"/>
      <c r="G6" s="2122"/>
      <c r="H6" s="2122"/>
      <c r="I6" s="2122"/>
      <c r="J6" s="2122"/>
      <c r="K6" s="2122"/>
      <c r="L6" s="2122"/>
      <c r="M6" s="2122"/>
    </row>
    <row r="7" spans="1:15">
      <c r="A7" s="2509"/>
      <c r="B7" s="2509"/>
      <c r="C7" s="2509"/>
      <c r="D7" s="2125"/>
      <c r="E7" s="2125"/>
      <c r="F7" s="2125"/>
      <c r="G7" s="2125"/>
      <c r="H7" s="2510"/>
      <c r="I7" s="2510"/>
      <c r="J7" s="2510"/>
      <c r="K7" s="2125"/>
      <c r="L7" s="2129"/>
      <c r="M7" s="2125"/>
    </row>
    <row r="8" spans="1:15">
      <c r="A8" s="2118"/>
      <c r="B8" s="2118"/>
      <c r="C8" s="2118"/>
      <c r="D8" s="2118"/>
      <c r="E8" s="2505" t="s">
        <v>2718</v>
      </c>
      <c r="F8" s="2505"/>
      <c r="G8" s="2118"/>
      <c r="H8" s="2506">
        <v>0</v>
      </c>
      <c r="I8" s="2506"/>
      <c r="J8" s="2506"/>
      <c r="K8" s="2122"/>
      <c r="L8" s="2506">
        <v>0</v>
      </c>
      <c r="M8" s="2122"/>
    </row>
    <row r="9" spans="1:15">
      <c r="A9" s="2118"/>
      <c r="B9" s="2118"/>
      <c r="C9" s="2118"/>
      <c r="D9" s="2118"/>
      <c r="E9" s="2118"/>
      <c r="F9" s="2118"/>
      <c r="G9" s="2118"/>
      <c r="H9" s="2506"/>
      <c r="I9" s="2506"/>
      <c r="J9" s="2506"/>
      <c r="K9" s="2122"/>
      <c r="L9" s="2506"/>
      <c r="M9" s="2122"/>
    </row>
    <row r="10" spans="1:15" ht="55.2">
      <c r="A10" s="2117" t="s">
        <v>2713</v>
      </c>
      <c r="B10" s="2118"/>
      <c r="C10" s="2117" t="s">
        <v>1069</v>
      </c>
      <c r="D10" s="2118"/>
      <c r="E10" s="2117" t="s">
        <v>2714</v>
      </c>
      <c r="F10" s="2118"/>
    </row>
    <row r="11" spans="1:15">
      <c r="A11" s="2122"/>
      <c r="B11" s="2122"/>
      <c r="C11" s="2122"/>
      <c r="D11" s="2122"/>
      <c r="E11" s="2122"/>
      <c r="F11" s="2122"/>
      <c r="G11" s="2122"/>
      <c r="H11" s="2122"/>
      <c r="I11" s="2122"/>
      <c r="J11" s="2122"/>
      <c r="K11" s="2122"/>
      <c r="L11" s="2122"/>
      <c r="M11" s="2122"/>
    </row>
    <row r="12" spans="1:15">
      <c r="A12" s="2118"/>
      <c r="H12" s="2505" t="s">
        <v>2715</v>
      </c>
      <c r="I12" s="2505"/>
      <c r="J12" s="2122"/>
      <c r="K12" s="2506">
        <v>0</v>
      </c>
      <c r="L12" s="2506"/>
      <c r="M12" s="2122"/>
      <c r="N12" s="2514"/>
      <c r="O12" s="2122"/>
    </row>
    <row r="13" spans="1:15">
      <c r="H13" s="2122"/>
      <c r="I13" s="2122"/>
      <c r="J13" s="2122"/>
      <c r="K13" s="2506"/>
      <c r="L13" s="2506"/>
      <c r="N13" s="2514"/>
    </row>
    <row r="14" spans="1:15">
      <c r="A14" s="2117">
        <v>23</v>
      </c>
      <c r="B14" s="2122"/>
      <c r="C14" s="2508" t="s">
        <v>2741</v>
      </c>
      <c r="D14" s="2508"/>
      <c r="E14" s="2508"/>
      <c r="F14" s="2508"/>
      <c r="G14" s="2508"/>
      <c r="H14" s="2508"/>
      <c r="I14" s="2508"/>
      <c r="J14" s="2122"/>
      <c r="K14" s="2122"/>
      <c r="L14" s="2122"/>
      <c r="M14" s="2122"/>
    </row>
    <row r="15" spans="1:15">
      <c r="A15" s="2122"/>
      <c r="B15" s="2122"/>
      <c r="C15" s="2122"/>
      <c r="D15" s="2122"/>
      <c r="E15" s="2122"/>
      <c r="F15" s="2122"/>
      <c r="G15" s="2122"/>
      <c r="H15" s="2122"/>
      <c r="I15" s="2122"/>
      <c r="J15" s="2122"/>
      <c r="K15" s="2122"/>
      <c r="L15" s="2122"/>
      <c r="M15" s="2122"/>
    </row>
    <row r="16" spans="1:15">
      <c r="A16" s="2509"/>
      <c r="B16" s="2509"/>
      <c r="C16" s="2509"/>
      <c r="D16" s="2125"/>
      <c r="E16" s="2125"/>
      <c r="F16" s="2125"/>
      <c r="G16" s="2125"/>
      <c r="H16" s="2510"/>
      <c r="I16" s="2510"/>
      <c r="J16" s="2510"/>
      <c r="K16" s="2125"/>
      <c r="L16" s="2129"/>
      <c r="M16" s="2125"/>
    </row>
    <row r="17" spans="1:23">
      <c r="A17" s="2118"/>
      <c r="B17" s="2118"/>
      <c r="C17" s="2118"/>
      <c r="D17" s="2118"/>
      <c r="E17" s="2505" t="s">
        <v>2718</v>
      </c>
      <c r="F17" s="2505"/>
      <c r="G17" s="2118"/>
      <c r="H17" s="2506">
        <v>0</v>
      </c>
      <c r="I17" s="2506"/>
      <c r="J17" s="2506"/>
      <c r="K17" s="2122"/>
      <c r="L17" s="2506">
        <v>0</v>
      </c>
      <c r="M17" s="2122"/>
    </row>
    <row r="18" spans="1:23">
      <c r="A18" s="2118"/>
      <c r="B18" s="2118"/>
      <c r="C18" s="2118"/>
      <c r="D18" s="2118"/>
      <c r="E18" s="2118"/>
      <c r="F18" s="2118"/>
      <c r="G18" s="2118"/>
      <c r="H18" s="2506"/>
      <c r="I18" s="2506"/>
      <c r="J18" s="2506"/>
      <c r="K18" s="2122"/>
      <c r="L18" s="2506"/>
      <c r="M18" s="2122"/>
    </row>
    <row r="19" spans="1:23" ht="55.2">
      <c r="A19" s="2117" t="s">
        <v>2713</v>
      </c>
      <c r="B19" s="2118"/>
      <c r="C19" s="2117" t="s">
        <v>1069</v>
      </c>
      <c r="D19" s="2118"/>
      <c r="E19" s="2117" t="s">
        <v>2714</v>
      </c>
      <c r="F19" s="2118"/>
    </row>
    <row r="20" spans="1:23">
      <c r="A20" s="2122"/>
      <c r="B20" s="2122"/>
      <c r="C20" s="2122"/>
      <c r="D20" s="2122"/>
      <c r="E20" s="2122"/>
      <c r="F20" s="2122"/>
      <c r="G20" s="2122"/>
      <c r="H20" s="2122"/>
      <c r="I20" s="2122"/>
      <c r="J20" s="2122"/>
      <c r="K20" s="2122"/>
      <c r="L20" s="2122"/>
      <c r="M20" s="2122"/>
    </row>
    <row r="21" spans="1:23">
      <c r="A21" s="2118"/>
      <c r="H21" s="2505" t="s">
        <v>2715</v>
      </c>
      <c r="I21" s="2505"/>
      <c r="J21" s="2122"/>
      <c r="K21" s="2506">
        <v>1.5599999999999999E-2</v>
      </c>
      <c r="L21" s="2506"/>
      <c r="M21" s="2122"/>
      <c r="N21" s="2514">
        <v>2</v>
      </c>
      <c r="O21" s="2122"/>
      <c r="S21" s="2132">
        <f>+K21+K112+K121</f>
        <v>96942.331699999995</v>
      </c>
      <c r="W21" s="2132"/>
    </row>
    <row r="22" spans="1:23">
      <c r="H22" s="2122"/>
      <c r="I22" s="2122"/>
      <c r="J22" s="2122"/>
      <c r="K22" s="2506"/>
      <c r="L22" s="2506"/>
      <c r="N22" s="2514"/>
      <c r="O22" s="2123">
        <f>K21+H25+H26</f>
        <v>864.95360000000073</v>
      </c>
      <c r="W22" s="2132">
        <f>+O22+O113+O122</f>
        <v>97807.269700000004</v>
      </c>
    </row>
    <row r="23" spans="1:23">
      <c r="A23" s="2117">
        <v>26</v>
      </c>
      <c r="B23" s="2122"/>
      <c r="C23" s="2508" t="s">
        <v>2742</v>
      </c>
      <c r="D23" s="2508"/>
      <c r="E23" s="2508"/>
      <c r="F23" s="2508"/>
      <c r="G23" s="2508"/>
      <c r="H23" s="2508"/>
      <c r="I23" s="2508"/>
      <c r="J23" s="2122"/>
      <c r="K23" s="2122"/>
      <c r="L23" s="2122"/>
      <c r="M23" s="2122"/>
      <c r="S23" s="2123">
        <f>+H26+H116</f>
        <v>13597.096</v>
      </c>
      <c r="V23" s="2123"/>
      <c r="W23" s="2123">
        <f>+L26+L116</f>
        <v>1174219.81</v>
      </c>
    </row>
    <row r="24" spans="1:23">
      <c r="A24" s="2122"/>
      <c r="B24" s="2122"/>
      <c r="C24" s="2122"/>
      <c r="D24" s="2122"/>
      <c r="E24" s="2122"/>
      <c r="F24" s="2122"/>
      <c r="G24" s="2122"/>
      <c r="H24" s="2122"/>
      <c r="I24" s="2122"/>
      <c r="J24" s="2122"/>
      <c r="K24" s="2122"/>
      <c r="L24" s="2122"/>
      <c r="M24" s="2122"/>
    </row>
    <row r="25" spans="1:23">
      <c r="A25" s="2511" t="s">
        <v>2717</v>
      </c>
      <c r="B25" s="2511"/>
      <c r="C25" s="2511"/>
      <c r="D25" s="2125"/>
      <c r="E25" s="2125"/>
      <c r="F25" s="2125"/>
      <c r="G25" s="2125"/>
      <c r="H25" s="2512">
        <v>-10930.436</v>
      </c>
      <c r="I25" s="2512"/>
      <c r="J25" s="2512"/>
      <c r="K25" s="2125"/>
      <c r="L25" s="2126">
        <v>-1050000</v>
      </c>
      <c r="M25" s="2125"/>
      <c r="S25" s="2123">
        <f>+H25+H125</f>
        <v>-12212.035</v>
      </c>
      <c r="W25" s="2123">
        <f>+L25+L125</f>
        <v>-1172219.72</v>
      </c>
    </row>
    <row r="26" spans="1:23">
      <c r="A26" s="2511" t="s">
        <v>2725</v>
      </c>
      <c r="B26" s="2511"/>
      <c r="C26" s="2511"/>
      <c r="D26" s="2125"/>
      <c r="E26" s="2125"/>
      <c r="F26" s="2125"/>
      <c r="G26" s="2125"/>
      <c r="H26" s="2512">
        <v>11795.374</v>
      </c>
      <c r="I26" s="2512"/>
      <c r="J26" s="2512"/>
      <c r="K26" s="2125"/>
      <c r="L26" s="2126">
        <v>1002398.6</v>
      </c>
      <c r="M26" s="2125"/>
    </row>
    <row r="27" spans="1:23">
      <c r="A27" s="2118"/>
      <c r="B27" s="2118"/>
      <c r="C27" s="2118"/>
      <c r="D27" s="2118"/>
      <c r="E27" s="2505" t="s">
        <v>2718</v>
      </c>
      <c r="F27" s="2505"/>
      <c r="G27" s="2118"/>
      <c r="H27" s="2506">
        <v>864.9538</v>
      </c>
      <c r="I27" s="2506"/>
      <c r="J27" s="2506"/>
      <c r="K27" s="2122"/>
      <c r="L27" s="2513">
        <v>85959.37</v>
      </c>
      <c r="M27" s="2122"/>
    </row>
    <row r="28" spans="1:23">
      <c r="A28" s="2118"/>
      <c r="B28" s="2118"/>
      <c r="C28" s="2118"/>
      <c r="D28" s="2118"/>
      <c r="E28" s="2118"/>
      <c r="F28" s="2118"/>
      <c r="G28" s="2118"/>
      <c r="H28" s="2506"/>
      <c r="I28" s="2506"/>
      <c r="J28" s="2506"/>
      <c r="K28" s="2122"/>
      <c r="L28" s="2513"/>
      <c r="M28" s="2122"/>
      <c r="S28" s="2123">
        <f>+H27+H117+H126</f>
        <v>98327.392500000002</v>
      </c>
    </row>
    <row r="29" spans="1:23" ht="55.2">
      <c r="A29" s="2117" t="s">
        <v>2713</v>
      </c>
      <c r="B29" s="2118"/>
      <c r="C29" s="2117" t="s">
        <v>1069</v>
      </c>
      <c r="D29" s="2118"/>
      <c r="E29" s="2117" t="s">
        <v>2714</v>
      </c>
      <c r="F29" s="2118"/>
    </row>
    <row r="30" spans="1:23">
      <c r="A30" s="2122"/>
      <c r="B30" s="2122"/>
      <c r="C30" s="2122"/>
      <c r="D30" s="2122"/>
      <c r="E30" s="2122"/>
      <c r="F30" s="2122"/>
      <c r="G30" s="2122"/>
      <c r="H30" s="2122"/>
      <c r="I30" s="2122"/>
      <c r="J30" s="2122"/>
      <c r="K30" s="2122"/>
      <c r="L30" s="2122"/>
      <c r="M30" s="2122"/>
    </row>
    <row r="31" spans="1:23">
      <c r="A31" s="2118"/>
      <c r="H31" s="2505" t="s">
        <v>2715</v>
      </c>
      <c r="I31" s="2505"/>
      <c r="J31" s="2122"/>
      <c r="K31" s="2506">
        <v>6.6400000000000001E-2</v>
      </c>
      <c r="L31" s="2506"/>
      <c r="M31" s="2122"/>
      <c r="N31" s="2514">
        <v>7</v>
      </c>
      <c r="O31" s="2122"/>
    </row>
    <row r="32" spans="1:23">
      <c r="H32" s="2122"/>
      <c r="I32" s="2122"/>
      <c r="J32" s="2122"/>
      <c r="K32" s="2506"/>
      <c r="L32" s="2506"/>
      <c r="N32" s="2514"/>
      <c r="O32" s="2119">
        <f>K31</f>
        <v>6.6400000000000001E-2</v>
      </c>
      <c r="S32" s="2123">
        <f>+K31+K220</f>
        <v>1422539.1724999999</v>
      </c>
    </row>
    <row r="33" spans="1:15">
      <c r="A33" s="2117">
        <v>425</v>
      </c>
      <c r="B33" s="2122"/>
      <c r="C33" s="2508" t="s">
        <v>2743</v>
      </c>
      <c r="D33" s="2508"/>
      <c r="E33" s="2508"/>
      <c r="F33" s="2508"/>
      <c r="G33" s="2508"/>
      <c r="H33" s="2508"/>
      <c r="I33" s="2508"/>
      <c r="J33" s="2122"/>
      <c r="K33" s="2122"/>
      <c r="L33" s="2122"/>
      <c r="M33" s="2122"/>
    </row>
    <row r="34" spans="1:15">
      <c r="A34" s="2122"/>
      <c r="B34" s="2122"/>
      <c r="C34" s="2122"/>
      <c r="D34" s="2122"/>
      <c r="E34" s="2122"/>
      <c r="F34" s="2122"/>
      <c r="G34" s="2122"/>
      <c r="H34" s="2122"/>
      <c r="I34" s="2122"/>
      <c r="J34" s="2122"/>
      <c r="K34" s="2122"/>
      <c r="L34" s="2122"/>
      <c r="M34" s="2122"/>
    </row>
    <row r="35" spans="1:15">
      <c r="A35" s="2509"/>
      <c r="B35" s="2509"/>
      <c r="C35" s="2509"/>
      <c r="D35" s="2125"/>
      <c r="E35" s="2125"/>
      <c r="F35" s="2125"/>
      <c r="G35" s="2125"/>
      <c r="H35" s="2510"/>
      <c r="I35" s="2510"/>
      <c r="J35" s="2510"/>
      <c r="K35" s="2125"/>
      <c r="L35" s="2129"/>
      <c r="M35" s="2125"/>
    </row>
    <row r="36" spans="1:15">
      <c r="A36" s="2118"/>
      <c r="B36" s="2118"/>
      <c r="C36" s="2118"/>
      <c r="D36" s="2118"/>
      <c r="E36" s="2505" t="s">
        <v>2718</v>
      </c>
      <c r="F36" s="2505"/>
      <c r="G36" s="2118"/>
      <c r="H36" s="2506">
        <v>6.6400000000000001E-2</v>
      </c>
      <c r="I36" s="2506"/>
      <c r="J36" s="2506"/>
      <c r="K36" s="2122"/>
      <c r="L36" s="2506">
        <v>6.6</v>
      </c>
      <c r="M36" s="2122"/>
    </row>
    <row r="37" spans="1:15">
      <c r="A37" s="2118"/>
      <c r="B37" s="2118"/>
      <c r="C37" s="2118"/>
      <c r="D37" s="2118"/>
      <c r="E37" s="2118"/>
      <c r="F37" s="2118"/>
      <c r="G37" s="2118"/>
      <c r="H37" s="2506"/>
      <c r="I37" s="2506"/>
      <c r="J37" s="2506"/>
      <c r="K37" s="2122"/>
      <c r="L37" s="2506"/>
      <c r="M37" s="2122"/>
    </row>
    <row r="38" spans="1:15" ht="55.2">
      <c r="A38" s="2117" t="s">
        <v>2713</v>
      </c>
      <c r="B38" s="2118"/>
      <c r="C38" s="2117" t="s">
        <v>1069</v>
      </c>
      <c r="D38" s="2118"/>
      <c r="E38" s="2117" t="s">
        <v>2714</v>
      </c>
      <c r="F38" s="2118"/>
    </row>
    <row r="39" spans="1:15">
      <c r="A39" s="2122"/>
      <c r="B39" s="2122"/>
      <c r="C39" s="2122"/>
      <c r="D39" s="2122"/>
      <c r="E39" s="2122"/>
      <c r="F39" s="2122"/>
      <c r="G39" s="2122"/>
      <c r="H39" s="2122"/>
      <c r="I39" s="2122"/>
      <c r="J39" s="2122"/>
      <c r="K39" s="2122"/>
      <c r="L39" s="2122"/>
      <c r="M39" s="2122"/>
    </row>
    <row r="40" spans="1:15">
      <c r="A40" s="2118"/>
      <c r="H40" s="2505" t="s">
        <v>2715</v>
      </c>
      <c r="I40" s="2505"/>
      <c r="J40" s="2122"/>
      <c r="K40" s="2506">
        <v>0</v>
      </c>
      <c r="L40" s="2506"/>
      <c r="M40" s="2122"/>
      <c r="N40" s="2514"/>
      <c r="O40" s="2122"/>
    </row>
    <row r="41" spans="1:15">
      <c r="H41" s="2122"/>
      <c r="I41" s="2122"/>
      <c r="J41" s="2122"/>
      <c r="K41" s="2506"/>
      <c r="L41" s="2506"/>
      <c r="N41" s="2514"/>
    </row>
    <row r="42" spans="1:15">
      <c r="A42" s="2117">
        <v>125</v>
      </c>
      <c r="B42" s="2122"/>
      <c r="C42" s="2508" t="s">
        <v>2744</v>
      </c>
      <c r="D42" s="2508"/>
      <c r="E42" s="2508"/>
      <c r="F42" s="2508"/>
      <c r="G42" s="2508"/>
      <c r="H42" s="2508"/>
      <c r="I42" s="2508"/>
      <c r="J42" s="2122"/>
      <c r="K42" s="2122"/>
      <c r="L42" s="2122"/>
      <c r="M42" s="2122"/>
    </row>
    <row r="43" spans="1:15">
      <c r="A43" s="2122"/>
      <c r="B43" s="2122"/>
      <c r="C43" s="2122"/>
      <c r="D43" s="2122"/>
      <c r="E43" s="2122"/>
      <c r="F43" s="2122"/>
      <c r="G43" s="2122"/>
      <c r="H43" s="2122"/>
      <c r="I43" s="2122"/>
      <c r="J43" s="2122"/>
      <c r="K43" s="2122"/>
      <c r="L43" s="2122"/>
      <c r="M43" s="2122"/>
    </row>
    <row r="44" spans="1:15">
      <c r="A44" s="2509"/>
      <c r="B44" s="2509"/>
      <c r="C44" s="2509"/>
      <c r="D44" s="2125"/>
      <c r="E44" s="2125"/>
      <c r="F44" s="2125"/>
      <c r="G44" s="2125"/>
      <c r="H44" s="2510"/>
      <c r="I44" s="2510"/>
      <c r="J44" s="2510"/>
      <c r="K44" s="2125"/>
      <c r="L44" s="2129"/>
      <c r="M44" s="2125"/>
    </row>
    <row r="45" spans="1:15">
      <c r="A45" s="2118"/>
      <c r="B45" s="2118"/>
      <c r="C45" s="2118"/>
      <c r="D45" s="2118"/>
      <c r="E45" s="2505" t="s">
        <v>2718</v>
      </c>
      <c r="F45" s="2505"/>
      <c r="G45" s="2118"/>
      <c r="H45" s="2506">
        <v>0</v>
      </c>
      <c r="I45" s="2506"/>
      <c r="J45" s="2506"/>
      <c r="K45" s="2122"/>
      <c r="L45" s="2506">
        <v>0</v>
      </c>
      <c r="M45" s="2122"/>
    </row>
    <row r="46" spans="1:15">
      <c r="A46" s="2118"/>
      <c r="B46" s="2118"/>
      <c r="C46" s="2118"/>
      <c r="D46" s="2118"/>
      <c r="E46" s="2118"/>
      <c r="F46" s="2118"/>
      <c r="G46" s="2118"/>
      <c r="H46" s="2506"/>
      <c r="I46" s="2506"/>
      <c r="J46" s="2506"/>
      <c r="K46" s="2122"/>
      <c r="L46" s="2506"/>
      <c r="M46" s="2122"/>
    </row>
    <row r="47" spans="1:15" ht="55.2">
      <c r="A47" s="2117" t="s">
        <v>2713</v>
      </c>
      <c r="B47" s="2118"/>
      <c r="C47" s="2117" t="s">
        <v>1069</v>
      </c>
      <c r="D47" s="2118"/>
      <c r="E47" s="2117" t="s">
        <v>2714</v>
      </c>
      <c r="F47" s="2118"/>
    </row>
    <row r="48" spans="1:15">
      <c r="A48" s="2122"/>
      <c r="B48" s="2122"/>
      <c r="C48" s="2122"/>
      <c r="D48" s="2122"/>
      <c r="E48" s="2122"/>
      <c r="F48" s="2122"/>
      <c r="G48" s="2122"/>
      <c r="H48" s="2122"/>
      <c r="I48" s="2122"/>
      <c r="J48" s="2122"/>
      <c r="K48" s="2122"/>
      <c r="L48" s="2122"/>
      <c r="M48" s="2122"/>
    </row>
    <row r="49" spans="1:15">
      <c r="A49" s="2118"/>
      <c r="H49" s="2505" t="s">
        <v>2715</v>
      </c>
      <c r="I49" s="2505"/>
      <c r="J49" s="2122"/>
      <c r="K49" s="2506">
        <v>0</v>
      </c>
      <c r="L49" s="2506"/>
      <c r="M49" s="2122"/>
      <c r="N49" s="2514"/>
      <c r="O49" s="2122"/>
    </row>
    <row r="50" spans="1:15">
      <c r="H50" s="2122"/>
      <c r="I50" s="2122"/>
      <c r="J50" s="2122"/>
      <c r="K50" s="2506"/>
      <c r="L50" s="2506"/>
      <c r="N50" s="2514"/>
    </row>
    <row r="51" spans="1:15">
      <c r="A51" s="2117">
        <v>125</v>
      </c>
      <c r="B51" s="2122"/>
      <c r="C51" s="2508" t="s">
        <v>2744</v>
      </c>
      <c r="D51" s="2508"/>
      <c r="E51" s="2508"/>
      <c r="F51" s="2508"/>
      <c r="G51" s="2508"/>
      <c r="H51" s="2508"/>
      <c r="I51" s="2508"/>
      <c r="J51" s="2122"/>
      <c r="K51" s="2122"/>
      <c r="L51" s="2122"/>
      <c r="M51" s="2122"/>
    </row>
    <row r="52" spans="1:15">
      <c r="A52" s="2122"/>
      <c r="B52" s="2122"/>
      <c r="C52" s="2122"/>
      <c r="D52" s="2122"/>
      <c r="E52" s="2122"/>
      <c r="F52" s="2122"/>
      <c r="G52" s="2122"/>
      <c r="H52" s="2122"/>
      <c r="I52" s="2122"/>
      <c r="J52" s="2122"/>
      <c r="K52" s="2122"/>
      <c r="L52" s="2122"/>
      <c r="M52" s="2122"/>
    </row>
    <row r="53" spans="1:15">
      <c r="A53" s="2509"/>
      <c r="B53" s="2509"/>
      <c r="C53" s="2509"/>
      <c r="D53" s="2125"/>
      <c r="E53" s="2125"/>
      <c r="F53" s="2125"/>
      <c r="G53" s="2125"/>
      <c r="H53" s="2510"/>
      <c r="I53" s="2510"/>
      <c r="J53" s="2510"/>
      <c r="K53" s="2125"/>
      <c r="L53" s="2129"/>
      <c r="M53" s="2125"/>
    </row>
    <row r="54" spans="1:15">
      <c r="A54" s="2118"/>
      <c r="B54" s="2118"/>
      <c r="C54" s="2118"/>
      <c r="D54" s="2118"/>
      <c r="E54" s="2505" t="s">
        <v>2718</v>
      </c>
      <c r="F54" s="2505"/>
      <c r="G54" s="2118"/>
      <c r="H54" s="2506">
        <v>0</v>
      </c>
      <c r="I54" s="2506"/>
      <c r="J54" s="2506"/>
      <c r="K54" s="2122"/>
      <c r="L54" s="2506">
        <v>0</v>
      </c>
      <c r="M54" s="2122"/>
    </row>
    <row r="55" spans="1:15">
      <c r="A55" s="2118"/>
      <c r="B55" s="2118"/>
      <c r="C55" s="2118"/>
      <c r="D55" s="2118"/>
      <c r="E55" s="2118"/>
      <c r="F55" s="2118"/>
      <c r="G55" s="2118"/>
      <c r="H55" s="2506"/>
      <c r="I55" s="2506"/>
      <c r="J55" s="2506"/>
      <c r="K55" s="2122"/>
      <c r="L55" s="2506"/>
      <c r="M55" s="2122"/>
    </row>
    <row r="56" spans="1:15" ht="55.2">
      <c r="A56" s="2117" t="s">
        <v>2713</v>
      </c>
      <c r="B56" s="2118"/>
      <c r="C56" s="2117" t="s">
        <v>1069</v>
      </c>
      <c r="D56" s="2118"/>
      <c r="E56" s="2117" t="s">
        <v>2714</v>
      </c>
      <c r="F56" s="2118"/>
    </row>
    <row r="57" spans="1:15">
      <c r="A57" s="2122"/>
      <c r="B57" s="2122"/>
      <c r="C57" s="2122"/>
      <c r="D57" s="2122"/>
      <c r="E57" s="2122"/>
      <c r="F57" s="2122"/>
      <c r="G57" s="2122"/>
      <c r="H57" s="2122"/>
      <c r="I57" s="2122"/>
      <c r="J57" s="2122"/>
      <c r="K57" s="2122"/>
      <c r="L57" s="2122"/>
      <c r="M57" s="2122"/>
    </row>
    <row r="58" spans="1:15">
      <c r="A58" s="2118"/>
      <c r="H58" s="2505" t="s">
        <v>2715</v>
      </c>
      <c r="I58" s="2505"/>
      <c r="J58" s="2122"/>
      <c r="K58" s="2506">
        <v>0</v>
      </c>
      <c r="L58" s="2506"/>
      <c r="M58" s="2122"/>
      <c r="N58" s="2514"/>
      <c r="O58" s="2122"/>
    </row>
    <row r="59" spans="1:15">
      <c r="H59" s="2122"/>
      <c r="I59" s="2122"/>
      <c r="J59" s="2122"/>
      <c r="K59" s="2506"/>
      <c r="L59" s="2506"/>
      <c r="N59" s="2514"/>
    </row>
    <row r="60" spans="1:15">
      <c r="A60" s="2117">
        <v>446</v>
      </c>
      <c r="B60" s="2122"/>
      <c r="C60" s="2508" t="s">
        <v>2742</v>
      </c>
      <c r="D60" s="2508"/>
      <c r="E60" s="2508"/>
      <c r="F60" s="2508"/>
      <c r="G60" s="2508"/>
      <c r="H60" s="2508"/>
      <c r="I60" s="2508"/>
      <c r="J60" s="2122"/>
      <c r="K60" s="2122"/>
      <c r="L60" s="2122"/>
      <c r="M60" s="2122"/>
    </row>
    <row r="61" spans="1:15">
      <c r="A61" s="2122"/>
      <c r="B61" s="2122"/>
      <c r="C61" s="2122"/>
      <c r="D61" s="2122"/>
      <c r="E61" s="2122"/>
      <c r="F61" s="2122"/>
      <c r="G61" s="2122"/>
      <c r="H61" s="2122"/>
      <c r="I61" s="2122"/>
      <c r="J61" s="2122"/>
      <c r="K61" s="2122"/>
      <c r="L61" s="2122"/>
      <c r="M61" s="2122"/>
    </row>
    <row r="62" spans="1:15">
      <c r="A62" s="2509"/>
      <c r="B62" s="2509"/>
      <c r="C62" s="2509"/>
      <c r="D62" s="2125"/>
      <c r="E62" s="2125"/>
      <c r="F62" s="2125"/>
      <c r="G62" s="2125"/>
      <c r="H62" s="2510"/>
      <c r="I62" s="2510"/>
      <c r="J62" s="2510"/>
      <c r="K62" s="2125"/>
      <c r="L62" s="2129"/>
      <c r="M62" s="2125"/>
    </row>
    <row r="63" spans="1:15">
      <c r="A63" s="2118"/>
      <c r="B63" s="2118"/>
      <c r="C63" s="2118"/>
      <c r="D63" s="2118"/>
      <c r="E63" s="2505" t="s">
        <v>2718</v>
      </c>
      <c r="F63" s="2505"/>
      <c r="G63" s="2118"/>
      <c r="H63" s="2506">
        <v>0</v>
      </c>
      <c r="I63" s="2506"/>
      <c r="J63" s="2506"/>
      <c r="K63" s="2122"/>
      <c r="L63" s="2506">
        <v>0</v>
      </c>
      <c r="M63" s="2122"/>
    </row>
    <row r="64" spans="1:15">
      <c r="A64" s="2118"/>
      <c r="B64" s="2118"/>
      <c r="C64" s="2118"/>
      <c r="D64" s="2118"/>
      <c r="E64" s="2118"/>
      <c r="F64" s="2118"/>
      <c r="G64" s="2118"/>
      <c r="H64" s="2506"/>
      <c r="I64" s="2506"/>
      <c r="J64" s="2506"/>
      <c r="K64" s="2122"/>
      <c r="L64" s="2506"/>
      <c r="M64" s="2122"/>
    </row>
    <row r="65" spans="1:15" ht="55.2">
      <c r="A65" s="2117" t="s">
        <v>2713</v>
      </c>
      <c r="B65" s="2118"/>
      <c r="C65" s="2117" t="s">
        <v>1069</v>
      </c>
      <c r="D65" s="2118"/>
      <c r="E65" s="2117" t="s">
        <v>2714</v>
      </c>
      <c r="F65" s="2118"/>
    </row>
    <row r="66" spans="1:15">
      <c r="A66" s="2122"/>
      <c r="B66" s="2122"/>
      <c r="C66" s="2122"/>
      <c r="D66" s="2122"/>
      <c r="E66" s="2122"/>
      <c r="F66" s="2122"/>
      <c r="G66" s="2122"/>
      <c r="H66" s="2122"/>
      <c r="I66" s="2122"/>
      <c r="J66" s="2122"/>
      <c r="K66" s="2122"/>
      <c r="L66" s="2122"/>
      <c r="M66" s="2122"/>
    </row>
    <row r="67" spans="1:15">
      <c r="A67" s="2118"/>
      <c r="H67" s="2505" t="s">
        <v>2715</v>
      </c>
      <c r="I67" s="2505"/>
      <c r="J67" s="2122"/>
      <c r="K67" s="2506">
        <v>0</v>
      </c>
      <c r="L67" s="2506"/>
      <c r="M67" s="2122"/>
      <c r="N67" s="2514"/>
      <c r="O67" s="2122"/>
    </row>
    <row r="68" spans="1:15">
      <c r="H68" s="2122"/>
      <c r="I68" s="2122"/>
      <c r="J68" s="2122"/>
      <c r="K68" s="2506"/>
      <c r="L68" s="2506"/>
      <c r="N68" s="2514"/>
    </row>
    <row r="69" spans="1:15">
      <c r="A69" s="2117">
        <v>446</v>
      </c>
      <c r="B69" s="2122"/>
      <c r="C69" s="2508" t="s">
        <v>2742</v>
      </c>
      <c r="D69" s="2508"/>
      <c r="E69" s="2508"/>
      <c r="F69" s="2508"/>
      <c r="G69" s="2508"/>
      <c r="H69" s="2508"/>
      <c r="I69" s="2508"/>
      <c r="J69" s="2122"/>
      <c r="K69" s="2122"/>
      <c r="L69" s="2122"/>
      <c r="M69" s="2122"/>
    </row>
    <row r="70" spans="1:15">
      <c r="A70" s="2122"/>
      <c r="B70" s="2122"/>
      <c r="C70" s="2122"/>
      <c r="D70" s="2122"/>
      <c r="E70" s="2122"/>
      <c r="F70" s="2122"/>
      <c r="G70" s="2122"/>
      <c r="H70" s="2122"/>
      <c r="I70" s="2122"/>
      <c r="J70" s="2122"/>
      <c r="K70" s="2122"/>
      <c r="L70" s="2122"/>
      <c r="M70" s="2122"/>
    </row>
    <row r="71" spans="1:15">
      <c r="A71" s="2509"/>
      <c r="B71" s="2509"/>
      <c r="C71" s="2509"/>
      <c r="D71" s="2125"/>
      <c r="E71" s="2125"/>
      <c r="F71" s="2125"/>
      <c r="G71" s="2125"/>
      <c r="H71" s="2510"/>
      <c r="I71" s="2510"/>
      <c r="J71" s="2510"/>
      <c r="K71" s="2125"/>
      <c r="L71" s="2129"/>
      <c r="M71" s="2125"/>
    </row>
    <row r="72" spans="1:15">
      <c r="A72" s="2118"/>
      <c r="B72" s="2118"/>
      <c r="C72" s="2118"/>
      <c r="D72" s="2118"/>
      <c r="E72" s="2505" t="s">
        <v>2718</v>
      </c>
      <c r="F72" s="2505"/>
      <c r="G72" s="2118"/>
      <c r="H72" s="2506">
        <v>0</v>
      </c>
      <c r="I72" s="2506"/>
      <c r="J72" s="2506"/>
      <c r="K72" s="2122"/>
      <c r="L72" s="2506">
        <v>0</v>
      </c>
      <c r="M72" s="2122"/>
    </row>
    <row r="73" spans="1:15">
      <c r="A73" s="2118"/>
      <c r="B73" s="2118"/>
      <c r="C73" s="2118"/>
      <c r="D73" s="2118"/>
      <c r="E73" s="2118"/>
      <c r="F73" s="2118"/>
      <c r="G73" s="2118"/>
      <c r="H73" s="2506"/>
      <c r="I73" s="2506"/>
      <c r="J73" s="2506"/>
      <c r="K73" s="2122"/>
      <c r="L73" s="2506"/>
      <c r="M73" s="2122"/>
    </row>
    <row r="74" spans="1:15" ht="55.2">
      <c r="A74" s="2117" t="s">
        <v>2713</v>
      </c>
      <c r="B74" s="2118"/>
      <c r="C74" s="2117" t="s">
        <v>1069</v>
      </c>
      <c r="D74" s="2118"/>
      <c r="E74" s="2117" t="s">
        <v>2714</v>
      </c>
      <c r="F74" s="2118"/>
    </row>
    <row r="75" spans="1:15">
      <c r="A75" s="2122"/>
      <c r="B75" s="2122"/>
      <c r="C75" s="2122"/>
      <c r="D75" s="2122"/>
      <c r="E75" s="2122"/>
      <c r="F75" s="2122"/>
      <c r="G75" s="2122"/>
      <c r="H75" s="2122"/>
      <c r="I75" s="2122"/>
      <c r="J75" s="2122"/>
      <c r="K75" s="2122"/>
      <c r="L75" s="2122"/>
      <c r="M75" s="2122"/>
    </row>
    <row r="76" spans="1:15">
      <c r="A76" s="2118"/>
      <c r="H76" s="2505" t="s">
        <v>2715</v>
      </c>
      <c r="I76" s="2505"/>
      <c r="J76" s="2122"/>
      <c r="K76" s="2506">
        <v>0</v>
      </c>
      <c r="L76" s="2506"/>
      <c r="M76" s="2122"/>
      <c r="N76" s="2514"/>
      <c r="O76" s="2122"/>
    </row>
    <row r="77" spans="1:15">
      <c r="H77" s="2122"/>
      <c r="I77" s="2122"/>
      <c r="J77" s="2122"/>
      <c r="K77" s="2506"/>
      <c r="L77" s="2506"/>
      <c r="N77" s="2514"/>
    </row>
    <row r="78" spans="1:15">
      <c r="A78" s="2117">
        <v>447</v>
      </c>
      <c r="B78" s="2122"/>
      <c r="C78" s="2508" t="s">
        <v>2742</v>
      </c>
      <c r="D78" s="2508"/>
      <c r="E78" s="2508"/>
      <c r="F78" s="2508"/>
      <c r="G78" s="2508"/>
      <c r="H78" s="2508"/>
      <c r="I78" s="2508"/>
      <c r="J78" s="2122"/>
      <c r="K78" s="2122"/>
      <c r="L78" s="2122"/>
      <c r="M78" s="2122"/>
    </row>
    <row r="79" spans="1:15">
      <c r="A79" s="2122"/>
      <c r="B79" s="2122"/>
      <c r="C79" s="2122"/>
      <c r="D79" s="2122"/>
      <c r="E79" s="2122"/>
      <c r="F79" s="2122"/>
      <c r="G79" s="2122"/>
      <c r="H79" s="2122"/>
      <c r="I79" s="2122"/>
      <c r="J79" s="2122"/>
      <c r="K79" s="2122"/>
      <c r="L79" s="2122"/>
      <c r="M79" s="2122"/>
    </row>
    <row r="80" spans="1:15">
      <c r="A80" s="2509"/>
      <c r="B80" s="2509"/>
      <c r="C80" s="2509"/>
      <c r="D80" s="2125"/>
      <c r="E80" s="2125"/>
      <c r="F80" s="2125"/>
      <c r="G80" s="2125"/>
      <c r="H80" s="2510"/>
      <c r="I80" s="2510"/>
      <c r="J80" s="2510"/>
      <c r="K80" s="2125"/>
      <c r="L80" s="2129"/>
      <c r="M80" s="2125"/>
    </row>
    <row r="81" spans="1:15">
      <c r="A81" s="2118"/>
      <c r="B81" s="2118"/>
      <c r="C81" s="2118"/>
      <c r="D81" s="2118"/>
      <c r="E81" s="2505" t="s">
        <v>2718</v>
      </c>
      <c r="F81" s="2505"/>
      <c r="G81" s="2118"/>
      <c r="H81" s="2506">
        <v>0</v>
      </c>
      <c r="I81" s="2506"/>
      <c r="J81" s="2506"/>
      <c r="K81" s="2122"/>
      <c r="L81" s="2506">
        <v>0</v>
      </c>
      <c r="M81" s="2122"/>
    </row>
    <row r="82" spans="1:15">
      <c r="A82" s="2118"/>
      <c r="B82" s="2118"/>
      <c r="C82" s="2118"/>
      <c r="D82" s="2118"/>
      <c r="E82" s="2118"/>
      <c r="F82" s="2118"/>
      <c r="G82" s="2118"/>
      <c r="H82" s="2506"/>
      <c r="I82" s="2506"/>
      <c r="J82" s="2506"/>
      <c r="K82" s="2122"/>
      <c r="L82" s="2506"/>
      <c r="M82" s="2122"/>
    </row>
    <row r="83" spans="1:15" ht="55.2">
      <c r="A83" s="2117" t="s">
        <v>2713</v>
      </c>
      <c r="B83" s="2118"/>
      <c r="C83" s="2117" t="s">
        <v>1069</v>
      </c>
      <c r="D83" s="2118"/>
      <c r="E83" s="2117" t="s">
        <v>2714</v>
      </c>
      <c r="F83" s="2118"/>
    </row>
    <row r="84" spans="1:15">
      <c r="A84" s="2122"/>
      <c r="B84" s="2122"/>
      <c r="C84" s="2122"/>
      <c r="D84" s="2122"/>
      <c r="E84" s="2122"/>
      <c r="F84" s="2122"/>
      <c r="G84" s="2122"/>
      <c r="H84" s="2122"/>
      <c r="I84" s="2122"/>
      <c r="J84" s="2122"/>
      <c r="K84" s="2122"/>
      <c r="L84" s="2122"/>
      <c r="M84" s="2122"/>
    </row>
    <row r="85" spans="1:15">
      <c r="A85" s="2118"/>
      <c r="H85" s="2505" t="s">
        <v>2715</v>
      </c>
      <c r="I85" s="2505"/>
      <c r="J85" s="2122"/>
      <c r="K85" s="2506">
        <v>0</v>
      </c>
      <c r="L85" s="2506"/>
      <c r="M85" s="2122"/>
      <c r="N85" s="2514"/>
      <c r="O85" s="2122"/>
    </row>
    <row r="86" spans="1:15">
      <c r="H86" s="2122"/>
      <c r="I86" s="2122"/>
      <c r="J86" s="2122"/>
      <c r="K86" s="2506"/>
      <c r="L86" s="2506"/>
      <c r="N86" s="2514"/>
    </row>
    <row r="87" spans="1:15">
      <c r="A87" s="2117">
        <v>447</v>
      </c>
      <c r="B87" s="2122"/>
      <c r="C87" s="2508" t="s">
        <v>2742</v>
      </c>
      <c r="D87" s="2508"/>
      <c r="E87" s="2508"/>
      <c r="F87" s="2508"/>
      <c r="G87" s="2508"/>
      <c r="H87" s="2508"/>
      <c r="I87" s="2508"/>
      <c r="J87" s="2122"/>
      <c r="K87" s="2122"/>
      <c r="L87" s="2122"/>
      <c r="M87" s="2122"/>
    </row>
    <row r="88" spans="1:15">
      <c r="A88" s="2122"/>
      <c r="B88" s="2122"/>
      <c r="C88" s="2122"/>
      <c r="D88" s="2122"/>
      <c r="E88" s="2122"/>
      <c r="F88" s="2122"/>
      <c r="G88" s="2122"/>
      <c r="H88" s="2122"/>
      <c r="I88" s="2122"/>
      <c r="J88" s="2122"/>
      <c r="K88" s="2122"/>
      <c r="L88" s="2122"/>
      <c r="M88" s="2122"/>
    </row>
    <row r="89" spans="1:15">
      <c r="A89" s="2509"/>
      <c r="B89" s="2509"/>
      <c r="C89" s="2509"/>
      <c r="D89" s="2125"/>
      <c r="E89" s="2125"/>
      <c r="F89" s="2125"/>
      <c r="G89" s="2125"/>
      <c r="H89" s="2510"/>
      <c r="I89" s="2510"/>
      <c r="J89" s="2510"/>
      <c r="K89" s="2125"/>
      <c r="L89" s="2129"/>
      <c r="M89" s="2125"/>
    </row>
    <row r="90" spans="1:15">
      <c r="A90" s="2118"/>
      <c r="B90" s="2118"/>
      <c r="C90" s="2118"/>
      <c r="D90" s="2118"/>
      <c r="E90" s="2505" t="s">
        <v>2718</v>
      </c>
      <c r="F90" s="2505"/>
      <c r="G90" s="2118"/>
      <c r="H90" s="2506">
        <v>0</v>
      </c>
      <c r="I90" s="2506"/>
      <c r="J90" s="2506"/>
      <c r="K90" s="2122"/>
      <c r="L90" s="2506">
        <v>0</v>
      </c>
      <c r="M90" s="2122"/>
    </row>
    <row r="91" spans="1:15">
      <c r="A91" s="2118"/>
      <c r="B91" s="2118"/>
      <c r="C91" s="2118"/>
      <c r="D91" s="2118"/>
      <c r="E91" s="2118"/>
      <c r="F91" s="2118"/>
      <c r="G91" s="2118"/>
      <c r="H91" s="2506"/>
      <c r="I91" s="2506"/>
      <c r="J91" s="2506"/>
      <c r="K91" s="2122"/>
      <c r="L91" s="2506"/>
      <c r="M91" s="2122"/>
    </row>
    <row r="92" spans="1:15" ht="55.2">
      <c r="A92" s="2117" t="s">
        <v>2713</v>
      </c>
      <c r="B92" s="2118"/>
      <c r="C92" s="2117" t="s">
        <v>1069</v>
      </c>
      <c r="D92" s="2118"/>
      <c r="E92" s="2117" t="s">
        <v>2714</v>
      </c>
      <c r="F92" s="2118"/>
    </row>
    <row r="93" spans="1:15">
      <c r="A93" s="2122"/>
      <c r="B93" s="2122"/>
      <c r="C93" s="2122"/>
      <c r="D93" s="2122"/>
      <c r="E93" s="2122"/>
      <c r="F93" s="2122"/>
      <c r="G93" s="2122"/>
      <c r="H93" s="2122"/>
      <c r="I93" s="2122"/>
      <c r="J93" s="2122"/>
      <c r="K93" s="2122"/>
      <c r="L93" s="2122"/>
      <c r="M93" s="2122"/>
    </row>
    <row r="94" spans="1:15">
      <c r="A94" s="2118"/>
      <c r="H94" s="2505" t="s">
        <v>2715</v>
      </c>
      <c r="I94" s="2505"/>
      <c r="J94" s="2122"/>
      <c r="K94" s="2506">
        <v>0</v>
      </c>
      <c r="L94" s="2506"/>
      <c r="M94" s="2122"/>
      <c r="N94" s="2514"/>
      <c r="O94" s="2122"/>
    </row>
    <row r="95" spans="1:15">
      <c r="H95" s="2122"/>
      <c r="I95" s="2122"/>
      <c r="J95" s="2122"/>
      <c r="K95" s="2506"/>
      <c r="L95" s="2506"/>
      <c r="N95" s="2514"/>
    </row>
    <row r="96" spans="1:15">
      <c r="A96" s="2117">
        <v>1720</v>
      </c>
      <c r="B96" s="2122"/>
      <c r="C96" s="2508" t="s">
        <v>2745</v>
      </c>
      <c r="D96" s="2508"/>
      <c r="E96" s="2508"/>
      <c r="F96" s="2508"/>
      <c r="G96" s="2508"/>
      <c r="H96" s="2508"/>
      <c r="I96" s="2508"/>
      <c r="J96" s="2122"/>
      <c r="K96" s="2122"/>
      <c r="L96" s="2122"/>
      <c r="M96" s="2122"/>
    </row>
    <row r="97" spans="1:15">
      <c r="A97" s="2122"/>
      <c r="B97" s="2122"/>
      <c r="C97" s="2122"/>
      <c r="D97" s="2122"/>
      <c r="E97" s="2122"/>
      <c r="F97" s="2122"/>
      <c r="G97" s="2122"/>
      <c r="H97" s="2122"/>
      <c r="I97" s="2122"/>
      <c r="J97" s="2122"/>
      <c r="K97" s="2122"/>
      <c r="L97" s="2122"/>
      <c r="M97" s="2122"/>
    </row>
    <row r="98" spans="1:15">
      <c r="A98" s="2509"/>
      <c r="B98" s="2509"/>
      <c r="C98" s="2509"/>
      <c r="D98" s="2125"/>
      <c r="E98" s="2125"/>
      <c r="F98" s="2125"/>
      <c r="G98" s="2125"/>
      <c r="H98" s="2510"/>
      <c r="I98" s="2510"/>
      <c r="J98" s="2510"/>
      <c r="K98" s="2125"/>
      <c r="L98" s="2129"/>
      <c r="M98" s="2125"/>
    </row>
    <row r="99" spans="1:15">
      <c r="A99" s="2118"/>
      <c r="B99" s="2118"/>
      <c r="C99" s="2118"/>
      <c r="D99" s="2118"/>
      <c r="E99" s="2505" t="s">
        <v>2718</v>
      </c>
      <c r="F99" s="2505"/>
      <c r="G99" s="2118"/>
      <c r="H99" s="2506">
        <v>0</v>
      </c>
      <c r="I99" s="2506"/>
      <c r="J99" s="2506"/>
      <c r="K99" s="2122"/>
      <c r="L99" s="2506">
        <v>0</v>
      </c>
      <c r="M99" s="2122"/>
    </row>
    <row r="100" spans="1:15">
      <c r="A100" s="2118"/>
      <c r="B100" s="2118"/>
      <c r="C100" s="2118"/>
      <c r="D100" s="2118"/>
      <c r="E100" s="2118"/>
      <c r="F100" s="2118"/>
      <c r="G100" s="2118"/>
      <c r="H100" s="2506"/>
      <c r="I100" s="2506"/>
      <c r="J100" s="2506"/>
      <c r="K100" s="2122"/>
      <c r="L100" s="2506"/>
      <c r="M100" s="2122"/>
    </row>
    <row r="101" spans="1:15" ht="55.2">
      <c r="A101" s="2117" t="s">
        <v>2713</v>
      </c>
      <c r="B101" s="2118"/>
      <c r="C101" s="2117" t="s">
        <v>1069</v>
      </c>
      <c r="D101" s="2118"/>
      <c r="E101" s="2117" t="s">
        <v>2714</v>
      </c>
      <c r="F101" s="2118"/>
    </row>
    <row r="102" spans="1:15">
      <c r="A102" s="2122"/>
      <c r="B102" s="2122"/>
      <c r="C102" s="2122"/>
      <c r="D102" s="2122"/>
      <c r="E102" s="2122"/>
      <c r="F102" s="2122"/>
      <c r="G102" s="2122"/>
      <c r="H102" s="2122"/>
      <c r="I102" s="2122"/>
      <c r="J102" s="2122"/>
      <c r="K102" s="2122"/>
      <c r="L102" s="2122"/>
      <c r="M102" s="2122"/>
    </row>
    <row r="103" spans="1:15">
      <c r="A103" s="2118"/>
      <c r="H103" s="2505" t="s">
        <v>2715</v>
      </c>
      <c r="I103" s="2505"/>
      <c r="J103" s="2122"/>
      <c r="K103" s="2506">
        <v>0</v>
      </c>
      <c r="L103" s="2506"/>
      <c r="M103" s="2122"/>
      <c r="N103" s="2514"/>
      <c r="O103" s="2122"/>
    </row>
    <row r="104" spans="1:15">
      <c r="H104" s="2122"/>
      <c r="I104" s="2122"/>
      <c r="J104" s="2122"/>
      <c r="K104" s="2506"/>
      <c r="L104" s="2506"/>
      <c r="N104" s="2514"/>
    </row>
    <row r="105" spans="1:15">
      <c r="A105" s="2117">
        <v>2315</v>
      </c>
      <c r="B105" s="2122"/>
      <c r="C105" s="2508" t="s">
        <v>2746</v>
      </c>
      <c r="D105" s="2508"/>
      <c r="E105" s="2508"/>
      <c r="F105" s="2508"/>
      <c r="G105" s="2508"/>
      <c r="H105" s="2508"/>
      <c r="I105" s="2508"/>
      <c r="J105" s="2122"/>
      <c r="K105" s="2122"/>
      <c r="L105" s="2122"/>
      <c r="M105" s="2122"/>
    </row>
    <row r="106" spans="1:15">
      <c r="A106" s="2122"/>
      <c r="B106" s="2122"/>
      <c r="C106" s="2122"/>
      <c r="D106" s="2122"/>
      <c r="E106" s="2122"/>
      <c r="F106" s="2122"/>
      <c r="G106" s="2122"/>
      <c r="H106" s="2122"/>
      <c r="I106" s="2122"/>
      <c r="J106" s="2122"/>
      <c r="K106" s="2122"/>
      <c r="L106" s="2122"/>
      <c r="M106" s="2122"/>
    </row>
    <row r="107" spans="1:15">
      <c r="A107" s="2509"/>
      <c r="B107" s="2509"/>
      <c r="C107" s="2509"/>
      <c r="D107" s="2125"/>
      <c r="E107" s="2125"/>
      <c r="F107" s="2125"/>
      <c r="G107" s="2125"/>
      <c r="H107" s="2510"/>
      <c r="I107" s="2510"/>
      <c r="J107" s="2510"/>
      <c r="K107" s="2125"/>
      <c r="L107" s="2129"/>
      <c r="M107" s="2125"/>
    </row>
    <row r="108" spans="1:15">
      <c r="A108" s="2118"/>
      <c r="B108" s="2118"/>
      <c r="C108" s="2118"/>
      <c r="D108" s="2118"/>
      <c r="E108" s="2505" t="s">
        <v>2718</v>
      </c>
      <c r="F108" s="2505"/>
      <c r="G108" s="2118"/>
      <c r="H108" s="2506">
        <v>0</v>
      </c>
      <c r="I108" s="2506"/>
      <c r="J108" s="2506"/>
      <c r="K108" s="2122"/>
      <c r="L108" s="2506">
        <v>0</v>
      </c>
      <c r="M108" s="2122"/>
    </row>
    <row r="109" spans="1:15">
      <c r="A109" s="2118"/>
      <c r="B109" s="2118"/>
      <c r="C109" s="2118"/>
      <c r="D109" s="2118"/>
      <c r="E109" s="2118"/>
      <c r="F109" s="2118"/>
      <c r="G109" s="2118"/>
      <c r="H109" s="2506"/>
      <c r="I109" s="2506"/>
      <c r="J109" s="2506"/>
      <c r="K109" s="2122"/>
      <c r="L109" s="2506"/>
      <c r="M109" s="2122"/>
    </row>
    <row r="110" spans="1:15" ht="55.2">
      <c r="A110" s="2117" t="s">
        <v>2713</v>
      </c>
      <c r="B110" s="2118"/>
      <c r="C110" s="2117" t="s">
        <v>1069</v>
      </c>
      <c r="D110" s="2118"/>
      <c r="E110" s="2117" t="s">
        <v>2714</v>
      </c>
      <c r="F110" s="2118"/>
    </row>
    <row r="111" spans="1:15">
      <c r="A111" s="2122"/>
      <c r="B111" s="2122"/>
      <c r="C111" s="2122"/>
      <c r="D111" s="2122"/>
      <c r="E111" s="2122"/>
      <c r="F111" s="2122"/>
      <c r="G111" s="2122"/>
      <c r="H111" s="2122"/>
      <c r="I111" s="2122"/>
      <c r="J111" s="2122"/>
      <c r="K111" s="2122"/>
      <c r="L111" s="2122"/>
      <c r="M111" s="2122"/>
    </row>
    <row r="112" spans="1:15">
      <c r="A112" s="2118"/>
      <c r="H112" s="2505" t="s">
        <v>2715</v>
      </c>
      <c r="I112" s="2505"/>
      <c r="J112" s="2122"/>
      <c r="K112" s="2513">
        <v>95660.716799999995</v>
      </c>
      <c r="L112" s="2513"/>
      <c r="M112" s="2122"/>
      <c r="N112" s="2514" t="s">
        <v>2747</v>
      </c>
      <c r="O112" s="2122"/>
    </row>
    <row r="113" spans="1:15">
      <c r="H113" s="2122"/>
      <c r="I113" s="2122"/>
      <c r="J113" s="2122"/>
      <c r="K113" s="2513"/>
      <c r="L113" s="2513"/>
      <c r="N113" s="2514"/>
      <c r="O113" s="2123">
        <f>K112+K121</f>
        <v>96942.316099999996</v>
      </c>
    </row>
    <row r="114" spans="1:15">
      <c r="A114" s="2117">
        <v>5327</v>
      </c>
      <c r="B114" s="2122"/>
      <c r="C114" s="2508" t="s">
        <v>2748</v>
      </c>
      <c r="D114" s="2508"/>
      <c r="E114" s="2508"/>
      <c r="F114" s="2508"/>
      <c r="G114" s="2508"/>
      <c r="H114" s="2508"/>
      <c r="I114" s="2508"/>
      <c r="J114" s="2122"/>
      <c r="K114" s="2122"/>
      <c r="L114" s="2122"/>
      <c r="M114" s="2122"/>
    </row>
    <row r="115" spans="1:15">
      <c r="A115" s="2122"/>
      <c r="B115" s="2122"/>
      <c r="C115" s="2122"/>
      <c r="D115" s="2122"/>
      <c r="E115" s="2122"/>
      <c r="F115" s="2122"/>
      <c r="G115" s="2122"/>
      <c r="H115" s="2122"/>
      <c r="I115" s="2122"/>
      <c r="J115" s="2122"/>
      <c r="K115" s="2122"/>
      <c r="L115" s="2122"/>
      <c r="M115" s="2122"/>
    </row>
    <row r="116" spans="1:15">
      <c r="A116" s="2511" t="s">
        <v>2722</v>
      </c>
      <c r="B116" s="2511"/>
      <c r="C116" s="2511"/>
      <c r="D116" s="2125"/>
      <c r="E116" s="2125"/>
      <c r="F116" s="2125"/>
      <c r="G116" s="2125"/>
      <c r="H116" s="2512">
        <v>1801.722</v>
      </c>
      <c r="I116" s="2512"/>
      <c r="J116" s="2512"/>
      <c r="K116" s="2125"/>
      <c r="L116" s="2126">
        <v>171821.21</v>
      </c>
      <c r="M116" s="2125"/>
      <c r="O116" s="2123">
        <f>H116</f>
        <v>1801.722</v>
      </c>
    </row>
    <row r="117" spans="1:15">
      <c r="A117" s="2118"/>
      <c r="B117" s="2118"/>
      <c r="C117" s="2118"/>
      <c r="D117" s="2118"/>
      <c r="E117" s="2505" t="s">
        <v>2718</v>
      </c>
      <c r="F117" s="2505"/>
      <c r="G117" s="2118"/>
      <c r="H117" s="2513">
        <v>97462.438699999999</v>
      </c>
      <c r="I117" s="2513"/>
      <c r="J117" s="2513"/>
      <c r="K117" s="2122"/>
      <c r="L117" s="2513">
        <v>9685846.4000000004</v>
      </c>
      <c r="M117" s="2122"/>
    </row>
    <row r="118" spans="1:15">
      <c r="A118" s="2118"/>
      <c r="B118" s="2118"/>
      <c r="C118" s="2118"/>
      <c r="D118" s="2118"/>
      <c r="E118" s="2118"/>
      <c r="F118" s="2118"/>
      <c r="G118" s="2118"/>
      <c r="H118" s="2513"/>
      <c r="I118" s="2513"/>
      <c r="J118" s="2513"/>
      <c r="K118" s="2122"/>
      <c r="L118" s="2513"/>
      <c r="M118" s="2122"/>
      <c r="O118" s="2123">
        <f>-H125</f>
        <v>1281.5989999999999</v>
      </c>
    </row>
    <row r="119" spans="1:15" ht="55.2">
      <c r="A119" s="2117" t="s">
        <v>2713</v>
      </c>
      <c r="B119" s="2118"/>
      <c r="C119" s="2117" t="s">
        <v>1069</v>
      </c>
      <c r="D119" s="2118"/>
      <c r="E119" s="2117" t="s">
        <v>2714</v>
      </c>
      <c r="F119" s="2118"/>
    </row>
    <row r="120" spans="1:15">
      <c r="A120" s="2122"/>
      <c r="B120" s="2122"/>
      <c r="C120" s="2122"/>
      <c r="D120" s="2122"/>
      <c r="E120" s="2122"/>
      <c r="F120" s="2122"/>
      <c r="G120" s="2122"/>
      <c r="H120" s="2122"/>
      <c r="I120" s="2122"/>
      <c r="J120" s="2122"/>
      <c r="K120" s="2122"/>
      <c r="L120" s="2122"/>
      <c r="M120" s="2122"/>
      <c r="O120" s="2123">
        <f>O113+O116-O118-H117</f>
        <v>3.9999998989515007E-4</v>
      </c>
    </row>
    <row r="121" spans="1:15">
      <c r="A121" s="2118"/>
      <c r="H121" s="2505" t="s">
        <v>2715</v>
      </c>
      <c r="I121" s="2505"/>
      <c r="J121" s="2122"/>
      <c r="K121" s="2513">
        <v>1281.5993000000001</v>
      </c>
      <c r="L121" s="2513"/>
      <c r="M121" s="2122"/>
      <c r="N121" s="2514" t="s">
        <v>2749</v>
      </c>
      <c r="O121" s="2122"/>
    </row>
    <row r="122" spans="1:15">
      <c r="H122" s="2122"/>
      <c r="I122" s="2122"/>
      <c r="J122" s="2122"/>
      <c r="K122" s="2513"/>
      <c r="L122" s="2513"/>
      <c r="N122" s="2514"/>
    </row>
    <row r="123" spans="1:15">
      <c r="A123" s="2117">
        <v>5327</v>
      </c>
      <c r="B123" s="2122"/>
      <c r="C123" s="2508" t="s">
        <v>2748</v>
      </c>
      <c r="D123" s="2508"/>
      <c r="E123" s="2508"/>
      <c r="F123" s="2508"/>
      <c r="G123" s="2508"/>
      <c r="H123" s="2508"/>
      <c r="I123" s="2508"/>
      <c r="J123" s="2122"/>
      <c r="K123" s="2122"/>
      <c r="L123" s="2122"/>
      <c r="M123" s="2122"/>
    </row>
    <row r="124" spans="1:15">
      <c r="A124" s="2122"/>
      <c r="B124" s="2122"/>
      <c r="C124" s="2122"/>
      <c r="D124" s="2122"/>
      <c r="E124" s="2122"/>
      <c r="F124" s="2122"/>
      <c r="G124" s="2122"/>
      <c r="H124" s="2122"/>
      <c r="I124" s="2122"/>
      <c r="J124" s="2122"/>
      <c r="K124" s="2122"/>
      <c r="L124" s="2122"/>
      <c r="M124" s="2122"/>
    </row>
    <row r="125" spans="1:15">
      <c r="A125" s="2511" t="s">
        <v>2723</v>
      </c>
      <c r="B125" s="2511"/>
      <c r="C125" s="2511"/>
      <c r="D125" s="2125"/>
      <c r="E125" s="2125"/>
      <c r="F125" s="2125"/>
      <c r="G125" s="2125"/>
      <c r="H125" s="2512">
        <v>-1281.5989999999999</v>
      </c>
      <c r="I125" s="2512"/>
      <c r="J125" s="2512"/>
      <c r="K125" s="2125"/>
      <c r="L125" s="2126">
        <v>-122219.72</v>
      </c>
      <c r="M125" s="2125"/>
    </row>
    <row r="126" spans="1:15">
      <c r="A126" s="2118"/>
      <c r="B126" s="2118"/>
      <c r="C126" s="2118"/>
      <c r="D126" s="2118"/>
      <c r="E126" s="2505" t="s">
        <v>2718</v>
      </c>
      <c r="F126" s="2505"/>
      <c r="G126" s="2118"/>
      <c r="H126" s="2506">
        <v>0</v>
      </c>
      <c r="I126" s="2506"/>
      <c r="J126" s="2506"/>
      <c r="K126" s="2122"/>
      <c r="L126" s="2506">
        <v>0</v>
      </c>
      <c r="M126" s="2122"/>
    </row>
    <row r="127" spans="1:15">
      <c r="A127" s="2118"/>
      <c r="B127" s="2118"/>
      <c r="C127" s="2118"/>
      <c r="D127" s="2118"/>
      <c r="E127" s="2118"/>
      <c r="F127" s="2118"/>
      <c r="G127" s="2118"/>
      <c r="H127" s="2506"/>
      <c r="I127" s="2506"/>
      <c r="J127" s="2506"/>
      <c r="K127" s="2122"/>
      <c r="L127" s="2506"/>
      <c r="M127" s="2122"/>
    </row>
    <row r="128" spans="1:15" ht="55.2">
      <c r="A128" s="2117" t="s">
        <v>2713</v>
      </c>
      <c r="B128" s="2118"/>
      <c r="C128" s="2117" t="s">
        <v>1069</v>
      </c>
      <c r="D128" s="2118"/>
      <c r="E128" s="2117" t="s">
        <v>2714</v>
      </c>
      <c r="F128" s="2118"/>
    </row>
    <row r="129" spans="1:15">
      <c r="A129" s="2122"/>
      <c r="B129" s="2122"/>
      <c r="C129" s="2122"/>
      <c r="D129" s="2122"/>
      <c r="E129" s="2122"/>
      <c r="F129" s="2122"/>
      <c r="G129" s="2122"/>
      <c r="H129" s="2122"/>
      <c r="I129" s="2122"/>
      <c r="J129" s="2122"/>
      <c r="K129" s="2122"/>
      <c r="L129" s="2122"/>
      <c r="M129" s="2122"/>
    </row>
    <row r="130" spans="1:15">
      <c r="A130" s="2118"/>
      <c r="H130" s="2505" t="s">
        <v>2715</v>
      </c>
      <c r="I130" s="2505"/>
      <c r="J130" s="2122"/>
      <c r="K130" s="2506">
        <v>0</v>
      </c>
      <c r="L130" s="2506"/>
      <c r="M130" s="2122"/>
      <c r="N130" s="2514"/>
      <c r="O130" s="2122"/>
    </row>
    <row r="131" spans="1:15">
      <c r="H131" s="2122"/>
      <c r="I131" s="2122"/>
      <c r="J131" s="2122"/>
      <c r="K131" s="2506"/>
      <c r="L131" s="2506"/>
      <c r="N131" s="2514"/>
    </row>
    <row r="132" spans="1:15">
      <c r="A132" s="2117">
        <v>17791</v>
      </c>
      <c r="B132" s="2122"/>
      <c r="C132" s="2508" t="s">
        <v>2742</v>
      </c>
      <c r="D132" s="2508"/>
      <c r="E132" s="2508"/>
      <c r="F132" s="2508"/>
      <c r="G132" s="2508"/>
      <c r="H132" s="2508"/>
      <c r="I132" s="2508"/>
      <c r="J132" s="2122"/>
      <c r="K132" s="2122"/>
      <c r="L132" s="2122"/>
      <c r="M132" s="2122"/>
    </row>
    <row r="133" spans="1:15">
      <c r="A133" s="2122"/>
      <c r="B133" s="2122"/>
      <c r="C133" s="2122"/>
      <c r="D133" s="2122"/>
      <c r="E133" s="2122"/>
      <c r="F133" s="2122"/>
      <c r="G133" s="2122"/>
      <c r="H133" s="2122"/>
      <c r="I133" s="2122"/>
      <c r="J133" s="2122"/>
      <c r="K133" s="2122"/>
      <c r="L133" s="2122"/>
      <c r="M133" s="2122"/>
    </row>
    <row r="134" spans="1:15">
      <c r="A134" s="2509"/>
      <c r="B134" s="2509"/>
      <c r="C134" s="2509"/>
      <c r="D134" s="2125"/>
      <c r="E134" s="2125"/>
      <c r="F134" s="2125"/>
      <c r="G134" s="2125"/>
      <c r="H134" s="2510"/>
      <c r="I134" s="2510"/>
      <c r="J134" s="2510"/>
      <c r="K134" s="2125"/>
      <c r="L134" s="2129"/>
      <c r="M134" s="2125"/>
    </row>
    <row r="135" spans="1:15">
      <c r="A135" s="2118"/>
      <c r="B135" s="2118"/>
      <c r="C135" s="2118"/>
      <c r="D135" s="2118"/>
      <c r="E135" s="2505" t="s">
        <v>2718</v>
      </c>
      <c r="F135" s="2505"/>
      <c r="G135" s="2118"/>
      <c r="H135" s="2506">
        <v>0</v>
      </c>
      <c r="I135" s="2506"/>
      <c r="J135" s="2506"/>
      <c r="K135" s="2122"/>
      <c r="L135" s="2506">
        <v>0</v>
      </c>
      <c r="M135" s="2122"/>
    </row>
    <row r="136" spans="1:15">
      <c r="A136" s="2118"/>
      <c r="B136" s="2118"/>
      <c r="C136" s="2118"/>
      <c r="D136" s="2118"/>
      <c r="E136" s="2118"/>
      <c r="F136" s="2118"/>
      <c r="G136" s="2118"/>
      <c r="H136" s="2506"/>
      <c r="I136" s="2506"/>
      <c r="J136" s="2506"/>
      <c r="K136" s="2122"/>
      <c r="L136" s="2506"/>
      <c r="M136" s="2122"/>
    </row>
    <row r="137" spans="1:15" ht="55.2">
      <c r="A137" s="2117" t="s">
        <v>2713</v>
      </c>
      <c r="B137" s="2118"/>
      <c r="C137" s="2117" t="s">
        <v>1069</v>
      </c>
      <c r="D137" s="2118"/>
      <c r="E137" s="2117" t="s">
        <v>2714</v>
      </c>
      <c r="F137" s="2118"/>
    </row>
    <row r="138" spans="1:15">
      <c r="A138" s="2122"/>
      <c r="B138" s="2122"/>
      <c r="C138" s="2122"/>
      <c r="D138" s="2122"/>
      <c r="E138" s="2122"/>
      <c r="F138" s="2122"/>
      <c r="G138" s="2122"/>
      <c r="H138" s="2122"/>
      <c r="I138" s="2122"/>
      <c r="J138" s="2122"/>
      <c r="K138" s="2122"/>
      <c r="L138" s="2122"/>
      <c r="M138" s="2122"/>
    </row>
    <row r="139" spans="1:15">
      <c r="A139" s="2118"/>
      <c r="H139" s="2505" t="s">
        <v>2715</v>
      </c>
      <c r="I139" s="2505"/>
      <c r="J139" s="2122"/>
      <c r="K139" s="2506">
        <v>0</v>
      </c>
      <c r="L139" s="2506"/>
      <c r="M139" s="2122"/>
      <c r="N139" s="2514"/>
      <c r="O139" s="2122"/>
    </row>
    <row r="140" spans="1:15">
      <c r="H140" s="2122"/>
      <c r="I140" s="2122"/>
      <c r="J140" s="2122"/>
      <c r="K140" s="2506"/>
      <c r="L140" s="2506"/>
      <c r="N140" s="2514"/>
    </row>
    <row r="141" spans="1:15">
      <c r="A141" s="2117">
        <v>20413</v>
      </c>
      <c r="B141" s="2122"/>
      <c r="C141" s="2508" t="s">
        <v>2750</v>
      </c>
      <c r="D141" s="2508"/>
      <c r="E141" s="2508"/>
      <c r="F141" s="2508"/>
      <c r="G141" s="2508"/>
      <c r="H141" s="2508"/>
      <c r="I141" s="2508"/>
      <c r="J141" s="2122"/>
      <c r="K141" s="2122"/>
      <c r="L141" s="2122"/>
      <c r="M141" s="2122"/>
    </row>
    <row r="142" spans="1:15">
      <c r="A142" s="2122"/>
      <c r="B142" s="2122"/>
      <c r="C142" s="2122"/>
      <c r="D142" s="2122"/>
      <c r="E142" s="2122"/>
      <c r="F142" s="2122"/>
      <c r="G142" s="2122"/>
      <c r="H142" s="2122"/>
      <c r="I142" s="2122"/>
      <c r="J142" s="2122"/>
      <c r="K142" s="2122"/>
      <c r="L142" s="2122"/>
      <c r="M142" s="2122"/>
    </row>
    <row r="143" spans="1:15">
      <c r="A143" s="2509"/>
      <c r="B143" s="2509"/>
      <c r="C143" s="2509"/>
      <c r="D143" s="2125"/>
      <c r="E143" s="2125"/>
      <c r="F143" s="2125"/>
      <c r="G143" s="2125"/>
      <c r="H143" s="2510"/>
      <c r="I143" s="2510"/>
      <c r="J143" s="2510"/>
      <c r="K143" s="2125"/>
      <c r="L143" s="2129"/>
      <c r="M143" s="2125"/>
    </row>
    <row r="144" spans="1:15">
      <c r="A144" s="2118"/>
      <c r="B144" s="2118"/>
      <c r="C144" s="2118"/>
      <c r="D144" s="2118"/>
      <c r="E144" s="2505" t="s">
        <v>2718</v>
      </c>
      <c r="F144" s="2505"/>
      <c r="G144" s="2118"/>
      <c r="H144" s="2506">
        <v>0</v>
      </c>
      <c r="I144" s="2506"/>
      <c r="J144" s="2506"/>
      <c r="K144" s="2122"/>
      <c r="L144" s="2506">
        <v>0</v>
      </c>
      <c r="M144" s="2122"/>
    </row>
    <row r="145" spans="1:19">
      <c r="A145" s="2118"/>
      <c r="B145" s="2118"/>
      <c r="C145" s="2118"/>
      <c r="D145" s="2118"/>
      <c r="E145" s="2118"/>
      <c r="F145" s="2118"/>
      <c r="G145" s="2118"/>
      <c r="H145" s="2506"/>
      <c r="I145" s="2506"/>
      <c r="J145" s="2506"/>
      <c r="K145" s="2122"/>
      <c r="L145" s="2506"/>
      <c r="M145" s="2122"/>
    </row>
    <row r="146" spans="1:19" ht="55.2">
      <c r="A146" s="2117" t="s">
        <v>2713</v>
      </c>
      <c r="B146" s="2118"/>
      <c r="C146" s="2117" t="s">
        <v>1069</v>
      </c>
      <c r="D146" s="2118"/>
      <c r="E146" s="2117" t="s">
        <v>2714</v>
      </c>
      <c r="F146" s="2118"/>
    </row>
    <row r="147" spans="1:19">
      <c r="A147" s="2122"/>
      <c r="B147" s="2122"/>
      <c r="C147" s="2122"/>
      <c r="D147" s="2122"/>
      <c r="E147" s="2122"/>
      <c r="F147" s="2122"/>
      <c r="G147" s="2122"/>
      <c r="H147" s="2122"/>
      <c r="I147" s="2122"/>
      <c r="J147" s="2122"/>
      <c r="K147" s="2122"/>
      <c r="L147" s="2122"/>
      <c r="M147" s="2122"/>
    </row>
    <row r="148" spans="1:19">
      <c r="A148" s="2118"/>
      <c r="H148" s="2505" t="s">
        <v>2715</v>
      </c>
      <c r="I148" s="2505"/>
      <c r="J148" s="2122"/>
      <c r="K148" s="2513">
        <v>26330.327600000001</v>
      </c>
      <c r="L148" s="2513"/>
      <c r="M148" s="2122"/>
      <c r="N148" s="2514" t="s">
        <v>2751</v>
      </c>
      <c r="O148" s="2122"/>
    </row>
    <row r="149" spans="1:19">
      <c r="H149" s="2122"/>
      <c r="I149" s="2122"/>
      <c r="J149" s="2122"/>
      <c r="K149" s="2513"/>
      <c r="L149" s="2513"/>
      <c r="N149" s="2514"/>
      <c r="O149" s="2123">
        <f>K148+K157+K193</f>
        <v>41813.397599999997</v>
      </c>
    </row>
    <row r="150" spans="1:19">
      <c r="A150" s="2117">
        <v>24543</v>
      </c>
      <c r="B150" s="2122"/>
      <c r="C150" s="2508" t="s">
        <v>2752</v>
      </c>
      <c r="D150" s="2508"/>
      <c r="E150" s="2508"/>
      <c r="F150" s="2508"/>
      <c r="G150" s="2508"/>
      <c r="H150" s="2508"/>
      <c r="I150" s="2508"/>
      <c r="J150" s="2122"/>
      <c r="K150" s="2122"/>
      <c r="L150" s="2122"/>
      <c r="M150" s="2122"/>
    </row>
    <row r="151" spans="1:19">
      <c r="A151" s="2122"/>
      <c r="B151" s="2122"/>
      <c r="C151" s="2122"/>
      <c r="D151" s="2122"/>
      <c r="E151" s="2122"/>
      <c r="F151" s="2122"/>
      <c r="G151" s="2122"/>
      <c r="H151" s="2122"/>
      <c r="I151" s="2122"/>
      <c r="J151" s="2122"/>
      <c r="K151" s="2122"/>
      <c r="L151" s="2122"/>
      <c r="M151" s="2122"/>
    </row>
    <row r="152" spans="1:19">
      <c r="A152" s="2511" t="s">
        <v>2717</v>
      </c>
      <c r="B152" s="2511"/>
      <c r="C152" s="2511"/>
      <c r="D152" s="2125"/>
      <c r="E152" s="2125"/>
      <c r="F152" s="2125"/>
      <c r="G152" s="2125"/>
      <c r="H152" s="2512">
        <v>-1087.2909999999999</v>
      </c>
      <c r="I152" s="2512"/>
      <c r="J152" s="2512"/>
      <c r="K152" s="2125"/>
      <c r="L152" s="2126">
        <v>-100000</v>
      </c>
      <c r="M152" s="2125"/>
      <c r="O152" s="2123">
        <f>-H152</f>
        <v>1087.2909999999999</v>
      </c>
      <c r="Q152" s="2123"/>
      <c r="R152" s="2123"/>
      <c r="S152" s="2123">
        <f>-L152</f>
        <v>100000</v>
      </c>
    </row>
    <row r="153" spans="1:19">
      <c r="A153" s="2118"/>
      <c r="B153" s="2118"/>
      <c r="C153" s="2118"/>
      <c r="D153" s="2118"/>
      <c r="E153" s="2505" t="s">
        <v>2718</v>
      </c>
      <c r="F153" s="2505"/>
      <c r="G153" s="2118"/>
      <c r="H153" s="2513">
        <v>25243.036599999999</v>
      </c>
      <c r="I153" s="2513"/>
      <c r="J153" s="2513"/>
      <c r="K153" s="2122"/>
      <c r="L153" s="2513">
        <v>2508660.5499999998</v>
      </c>
      <c r="M153" s="2122"/>
    </row>
    <row r="154" spans="1:19">
      <c r="A154" s="2118"/>
      <c r="B154" s="2118"/>
      <c r="C154" s="2118"/>
      <c r="D154" s="2118"/>
      <c r="E154" s="2118"/>
      <c r="F154" s="2118"/>
      <c r="G154" s="2118"/>
      <c r="H154" s="2513"/>
      <c r="I154" s="2513"/>
      <c r="J154" s="2513"/>
      <c r="K154" s="2122"/>
      <c r="L154" s="2513"/>
      <c r="M154" s="2122"/>
    </row>
    <row r="155" spans="1:19" ht="55.2">
      <c r="A155" s="2117" t="s">
        <v>2713</v>
      </c>
      <c r="B155" s="2118"/>
      <c r="C155" s="2117" t="s">
        <v>1069</v>
      </c>
      <c r="D155" s="2118"/>
      <c r="E155" s="2117" t="s">
        <v>2714</v>
      </c>
      <c r="F155" s="2118"/>
      <c r="O155" s="2123">
        <f>O149-O152-H153-H162-H198</f>
        <v>0</v>
      </c>
    </row>
    <row r="156" spans="1:19">
      <c r="A156" s="2122"/>
      <c r="B156" s="2122"/>
      <c r="C156" s="2122"/>
      <c r="D156" s="2122"/>
      <c r="E156" s="2122"/>
      <c r="F156" s="2122"/>
      <c r="G156" s="2122"/>
      <c r="H156" s="2122"/>
      <c r="I156" s="2122"/>
      <c r="J156" s="2122"/>
      <c r="K156" s="2122"/>
      <c r="L156" s="2122"/>
      <c r="M156" s="2122"/>
    </row>
    <row r="157" spans="1:19">
      <c r="A157" s="2118"/>
      <c r="H157" s="2505" t="s">
        <v>2715</v>
      </c>
      <c r="I157" s="2505"/>
      <c r="J157" s="2122"/>
      <c r="K157" s="2513">
        <v>7347.3227999999999</v>
      </c>
      <c r="L157" s="2513"/>
      <c r="M157" s="2122"/>
      <c r="N157" s="2514" t="s">
        <v>2753</v>
      </c>
      <c r="O157" s="2122"/>
    </row>
    <row r="158" spans="1:19">
      <c r="H158" s="2122"/>
      <c r="I158" s="2122"/>
      <c r="J158" s="2122"/>
      <c r="K158" s="2513"/>
      <c r="L158" s="2513"/>
      <c r="N158" s="2514"/>
    </row>
    <row r="159" spans="1:19">
      <c r="A159" s="2117">
        <v>24543</v>
      </c>
      <c r="B159" s="2122"/>
      <c r="C159" s="2508" t="s">
        <v>2752</v>
      </c>
      <c r="D159" s="2508"/>
      <c r="E159" s="2508"/>
      <c r="F159" s="2508"/>
      <c r="G159" s="2508"/>
      <c r="H159" s="2508"/>
      <c r="I159" s="2508"/>
      <c r="J159" s="2122"/>
      <c r="K159" s="2122"/>
      <c r="L159" s="2122"/>
      <c r="M159" s="2122"/>
    </row>
    <row r="160" spans="1:19">
      <c r="A160" s="2122"/>
      <c r="B160" s="2122"/>
      <c r="C160" s="2122"/>
      <c r="D160" s="2122"/>
      <c r="E160" s="2122"/>
      <c r="F160" s="2122"/>
      <c r="G160" s="2122"/>
      <c r="H160" s="2122"/>
      <c r="I160" s="2122"/>
      <c r="J160" s="2122"/>
      <c r="K160" s="2122"/>
      <c r="L160" s="2122"/>
      <c r="M160" s="2122"/>
    </row>
    <row r="161" spans="1:15">
      <c r="A161" s="2509"/>
      <c r="B161" s="2509"/>
      <c r="C161" s="2509"/>
      <c r="D161" s="2125"/>
      <c r="E161" s="2125"/>
      <c r="F161" s="2125"/>
      <c r="G161" s="2125"/>
      <c r="H161" s="2510"/>
      <c r="I161" s="2510"/>
      <c r="J161" s="2510"/>
      <c r="K161" s="2125"/>
      <c r="L161" s="2129"/>
      <c r="M161" s="2125"/>
    </row>
    <row r="162" spans="1:15">
      <c r="A162" s="2118"/>
      <c r="B162" s="2118"/>
      <c r="C162" s="2118"/>
      <c r="D162" s="2118"/>
      <c r="E162" s="2505" t="s">
        <v>2718</v>
      </c>
      <c r="F162" s="2505"/>
      <c r="G162" s="2118"/>
      <c r="H162" s="2513">
        <v>7347.3227999999999</v>
      </c>
      <c r="I162" s="2513"/>
      <c r="J162" s="2513"/>
      <c r="K162" s="2122"/>
      <c r="L162" s="2513">
        <v>730179.14</v>
      </c>
      <c r="M162" s="2122"/>
    </row>
    <row r="163" spans="1:15">
      <c r="A163" s="2118"/>
      <c r="B163" s="2118"/>
      <c r="C163" s="2118"/>
      <c r="D163" s="2118"/>
      <c r="E163" s="2118"/>
      <c r="F163" s="2118"/>
      <c r="G163" s="2118"/>
      <c r="H163" s="2513"/>
      <c r="I163" s="2513"/>
      <c r="J163" s="2513"/>
      <c r="K163" s="2122"/>
      <c r="L163" s="2513"/>
      <c r="M163" s="2122"/>
    </row>
    <row r="164" spans="1:15" ht="55.2">
      <c r="A164" s="2117" t="s">
        <v>2713</v>
      </c>
      <c r="B164" s="2118"/>
      <c r="C164" s="2117" t="s">
        <v>1069</v>
      </c>
      <c r="D164" s="2118"/>
      <c r="E164" s="2117" t="s">
        <v>2714</v>
      </c>
      <c r="F164" s="2118"/>
    </row>
    <row r="165" spans="1:15">
      <c r="A165" s="2122"/>
      <c r="B165" s="2122"/>
      <c r="C165" s="2122"/>
      <c r="D165" s="2122"/>
      <c r="E165" s="2122"/>
      <c r="F165" s="2122"/>
      <c r="G165" s="2122"/>
      <c r="H165" s="2122"/>
      <c r="I165" s="2122"/>
      <c r="J165" s="2122"/>
      <c r="K165" s="2122"/>
      <c r="L165" s="2122"/>
      <c r="M165" s="2122"/>
    </row>
    <row r="166" spans="1:15">
      <c r="A166" s="2118"/>
      <c r="H166" s="2505" t="s">
        <v>2715</v>
      </c>
      <c r="I166" s="2505"/>
      <c r="J166" s="2122"/>
      <c r="K166" s="2506">
        <v>0</v>
      </c>
      <c r="L166" s="2506"/>
      <c r="M166" s="2122"/>
      <c r="N166" s="2514"/>
      <c r="O166" s="2122"/>
    </row>
    <row r="167" spans="1:15">
      <c r="H167" s="2122"/>
      <c r="I167" s="2122"/>
      <c r="J167" s="2122"/>
      <c r="K167" s="2506"/>
      <c r="L167" s="2506"/>
      <c r="N167" s="2514"/>
    </row>
    <row r="168" spans="1:15">
      <c r="A168" s="2117">
        <v>24543</v>
      </c>
      <c r="B168" s="2122"/>
      <c r="C168" s="2508" t="s">
        <v>2752</v>
      </c>
      <c r="D168" s="2508"/>
      <c r="E168" s="2508"/>
      <c r="F168" s="2508"/>
      <c r="G168" s="2508"/>
      <c r="H168" s="2508"/>
      <c r="I168" s="2508"/>
      <c r="J168" s="2122"/>
      <c r="K168" s="2122"/>
      <c r="L168" s="2122"/>
      <c r="M168" s="2122"/>
    </row>
    <row r="169" spans="1:15">
      <c r="A169" s="2122"/>
      <c r="B169" s="2122"/>
      <c r="C169" s="2122"/>
      <c r="D169" s="2122"/>
      <c r="E169" s="2122"/>
      <c r="F169" s="2122"/>
      <c r="G169" s="2122"/>
      <c r="H169" s="2122"/>
      <c r="I169" s="2122"/>
      <c r="J169" s="2122"/>
      <c r="K169" s="2122"/>
      <c r="L169" s="2122"/>
      <c r="M169" s="2122"/>
    </row>
    <row r="170" spans="1:15">
      <c r="A170" s="2509"/>
      <c r="B170" s="2509"/>
      <c r="C170" s="2509"/>
      <c r="D170" s="2125"/>
      <c r="E170" s="2125"/>
      <c r="F170" s="2125"/>
      <c r="G170" s="2125"/>
      <c r="H170" s="2510"/>
      <c r="I170" s="2510"/>
      <c r="J170" s="2510"/>
      <c r="K170" s="2125"/>
      <c r="L170" s="2129"/>
      <c r="M170" s="2125"/>
    </row>
    <row r="171" spans="1:15">
      <c r="A171" s="2118"/>
      <c r="B171" s="2118"/>
      <c r="C171" s="2118"/>
      <c r="D171" s="2118"/>
      <c r="E171" s="2505" t="s">
        <v>2718</v>
      </c>
      <c r="F171" s="2505"/>
      <c r="G171" s="2118"/>
      <c r="H171" s="2506">
        <v>0</v>
      </c>
      <c r="I171" s="2506"/>
      <c r="J171" s="2506"/>
      <c r="K171" s="2122"/>
      <c r="L171" s="2506">
        <v>0</v>
      </c>
      <c r="M171" s="2122"/>
    </row>
    <row r="172" spans="1:15">
      <c r="A172" s="2118"/>
      <c r="B172" s="2118"/>
      <c r="C172" s="2118"/>
      <c r="D172" s="2118"/>
      <c r="E172" s="2118"/>
      <c r="F172" s="2118"/>
      <c r="G172" s="2118"/>
      <c r="H172" s="2506"/>
      <c r="I172" s="2506"/>
      <c r="J172" s="2506"/>
      <c r="K172" s="2122"/>
      <c r="L172" s="2506"/>
      <c r="M172" s="2122"/>
    </row>
    <row r="173" spans="1:15" ht="55.2">
      <c r="A173" s="2117" t="s">
        <v>2713</v>
      </c>
      <c r="B173" s="2118"/>
      <c r="C173" s="2117" t="s">
        <v>1069</v>
      </c>
      <c r="D173" s="2118"/>
      <c r="E173" s="2117" t="s">
        <v>2714</v>
      </c>
      <c r="F173" s="2118"/>
    </row>
    <row r="174" spans="1:15">
      <c r="A174" s="2122"/>
      <c r="B174" s="2122"/>
      <c r="C174" s="2122"/>
      <c r="D174" s="2122"/>
      <c r="E174" s="2122"/>
      <c r="F174" s="2122"/>
      <c r="G174" s="2122"/>
      <c r="H174" s="2122"/>
      <c r="I174" s="2122"/>
      <c r="J174" s="2122"/>
      <c r="K174" s="2122"/>
      <c r="L174" s="2122"/>
      <c r="M174" s="2122"/>
    </row>
    <row r="175" spans="1:15">
      <c r="A175" s="2118"/>
      <c r="H175" s="2505" t="s">
        <v>2715</v>
      </c>
      <c r="I175" s="2505"/>
      <c r="J175" s="2122"/>
      <c r="K175" s="2506">
        <v>0</v>
      </c>
      <c r="L175" s="2506"/>
      <c r="M175" s="2122"/>
      <c r="N175" s="2514"/>
      <c r="O175" s="2122"/>
    </row>
    <row r="176" spans="1:15">
      <c r="H176" s="2122"/>
      <c r="I176" s="2122"/>
      <c r="J176" s="2122"/>
      <c r="K176" s="2506"/>
      <c r="L176" s="2506"/>
      <c r="N176" s="2514"/>
    </row>
    <row r="177" spans="1:15">
      <c r="A177" s="2117">
        <v>27401</v>
      </c>
      <c r="B177" s="2122"/>
      <c r="C177" s="2508" t="s">
        <v>2754</v>
      </c>
      <c r="D177" s="2508"/>
      <c r="E177" s="2508"/>
      <c r="F177" s="2508"/>
      <c r="G177" s="2508"/>
      <c r="H177" s="2508"/>
      <c r="I177" s="2508"/>
      <c r="J177" s="2122"/>
      <c r="K177" s="2122"/>
      <c r="L177" s="2122"/>
      <c r="M177" s="2122"/>
    </row>
    <row r="178" spans="1:15">
      <c r="A178" s="2122"/>
      <c r="B178" s="2122"/>
      <c r="C178" s="2122"/>
      <c r="D178" s="2122"/>
      <c r="E178" s="2122"/>
      <c r="F178" s="2122"/>
      <c r="G178" s="2122"/>
      <c r="H178" s="2122"/>
      <c r="I178" s="2122"/>
      <c r="J178" s="2122"/>
      <c r="K178" s="2122"/>
      <c r="L178" s="2122"/>
      <c r="M178" s="2122"/>
    </row>
    <row r="179" spans="1:15">
      <c r="A179" s="2509"/>
      <c r="B179" s="2509"/>
      <c r="C179" s="2509"/>
      <c r="D179" s="2125"/>
      <c r="E179" s="2125"/>
      <c r="F179" s="2125"/>
      <c r="G179" s="2125"/>
      <c r="H179" s="2510"/>
      <c r="I179" s="2510"/>
      <c r="J179" s="2510"/>
      <c r="K179" s="2125"/>
      <c r="L179" s="2129"/>
      <c r="M179" s="2125"/>
    </row>
    <row r="180" spans="1:15">
      <c r="A180" s="2118"/>
      <c r="B180" s="2118"/>
      <c r="C180" s="2118"/>
      <c r="D180" s="2118"/>
      <c r="E180" s="2505" t="s">
        <v>2718</v>
      </c>
      <c r="F180" s="2505"/>
      <c r="G180" s="2118"/>
      <c r="H180" s="2506">
        <v>0</v>
      </c>
      <c r="I180" s="2506"/>
      <c r="J180" s="2506"/>
      <c r="K180" s="2122"/>
      <c r="L180" s="2506">
        <v>0</v>
      </c>
      <c r="M180" s="2122"/>
    </row>
    <row r="181" spans="1:15">
      <c r="A181" s="2118"/>
      <c r="B181" s="2118"/>
      <c r="C181" s="2118"/>
      <c r="D181" s="2118"/>
      <c r="E181" s="2118"/>
      <c r="F181" s="2118"/>
      <c r="G181" s="2118"/>
      <c r="H181" s="2506"/>
      <c r="I181" s="2506"/>
      <c r="J181" s="2506"/>
      <c r="K181" s="2122"/>
      <c r="L181" s="2506"/>
      <c r="M181" s="2122"/>
    </row>
    <row r="182" spans="1:15" ht="55.2">
      <c r="A182" s="2117" t="s">
        <v>2713</v>
      </c>
      <c r="B182" s="2118"/>
      <c r="C182" s="2117" t="s">
        <v>1069</v>
      </c>
      <c r="D182" s="2118"/>
      <c r="E182" s="2117" t="s">
        <v>2714</v>
      </c>
      <c r="F182" s="2118"/>
    </row>
    <row r="183" spans="1:15">
      <c r="A183" s="2122"/>
      <c r="B183" s="2122"/>
      <c r="C183" s="2122"/>
      <c r="D183" s="2122"/>
      <c r="E183" s="2122"/>
      <c r="F183" s="2122"/>
      <c r="G183" s="2122"/>
      <c r="H183" s="2122"/>
      <c r="I183" s="2122"/>
      <c r="J183" s="2122"/>
      <c r="K183" s="2122"/>
      <c r="L183" s="2122"/>
      <c r="M183" s="2122"/>
    </row>
    <row r="184" spans="1:15">
      <c r="A184" s="2118"/>
      <c r="H184" s="2505" t="s">
        <v>2715</v>
      </c>
      <c r="I184" s="2505"/>
      <c r="J184" s="2122"/>
      <c r="K184" s="2506">
        <v>0</v>
      </c>
      <c r="L184" s="2506"/>
      <c r="M184" s="2122"/>
      <c r="N184" s="2514"/>
      <c r="O184" s="2122"/>
    </row>
    <row r="185" spans="1:15">
      <c r="H185" s="2122"/>
      <c r="I185" s="2122"/>
      <c r="J185" s="2122"/>
      <c r="K185" s="2506"/>
      <c r="L185" s="2506"/>
      <c r="N185" s="2514"/>
    </row>
    <row r="186" spans="1:15">
      <c r="A186" s="2117">
        <v>29545</v>
      </c>
      <c r="B186" s="2122"/>
      <c r="C186" s="2508" t="s">
        <v>2755</v>
      </c>
      <c r="D186" s="2508"/>
      <c r="E186" s="2508"/>
      <c r="F186" s="2508"/>
      <c r="G186" s="2508"/>
      <c r="H186" s="2508"/>
      <c r="I186" s="2508"/>
      <c r="J186" s="2122"/>
      <c r="K186" s="2122"/>
      <c r="L186" s="2122"/>
      <c r="M186" s="2122"/>
    </row>
    <row r="187" spans="1:15">
      <c r="A187" s="2122"/>
      <c r="B187" s="2122"/>
      <c r="C187" s="2122"/>
      <c r="D187" s="2122"/>
      <c r="E187" s="2122"/>
      <c r="F187" s="2122"/>
      <c r="G187" s="2122"/>
      <c r="H187" s="2122"/>
      <c r="I187" s="2122"/>
      <c r="J187" s="2122"/>
      <c r="K187" s="2122"/>
      <c r="L187" s="2122"/>
      <c r="M187" s="2122"/>
    </row>
    <row r="188" spans="1:15">
      <c r="A188" s="2509"/>
      <c r="B188" s="2509"/>
      <c r="C188" s="2509"/>
      <c r="D188" s="2125"/>
      <c r="E188" s="2125"/>
      <c r="F188" s="2125"/>
      <c r="G188" s="2125"/>
      <c r="H188" s="2510"/>
      <c r="I188" s="2510"/>
      <c r="J188" s="2510"/>
      <c r="K188" s="2125"/>
      <c r="L188" s="2129"/>
      <c r="M188" s="2125"/>
    </row>
    <row r="189" spans="1:15">
      <c r="A189" s="2118"/>
      <c r="B189" s="2118"/>
      <c r="C189" s="2118"/>
      <c r="D189" s="2118"/>
      <c r="E189" s="2505" t="s">
        <v>2718</v>
      </c>
      <c r="F189" s="2505"/>
      <c r="G189" s="2118"/>
      <c r="H189" s="2506">
        <v>0</v>
      </c>
      <c r="I189" s="2506"/>
      <c r="J189" s="2506"/>
      <c r="K189" s="2122"/>
      <c r="L189" s="2506">
        <v>0</v>
      </c>
      <c r="M189" s="2122"/>
    </row>
    <row r="190" spans="1:15">
      <c r="A190" s="2118"/>
      <c r="B190" s="2118"/>
      <c r="C190" s="2118"/>
      <c r="D190" s="2118"/>
      <c r="E190" s="2118"/>
      <c r="F190" s="2118"/>
      <c r="G190" s="2118"/>
      <c r="H190" s="2506"/>
      <c r="I190" s="2506"/>
      <c r="J190" s="2506"/>
      <c r="K190" s="2122"/>
      <c r="L190" s="2506"/>
      <c r="M190" s="2122"/>
    </row>
    <row r="191" spans="1:15" ht="55.2">
      <c r="A191" s="2117" t="s">
        <v>2713</v>
      </c>
      <c r="B191" s="2118"/>
      <c r="C191" s="2117" t="s">
        <v>1069</v>
      </c>
      <c r="D191" s="2118"/>
      <c r="E191" s="2117" t="s">
        <v>2714</v>
      </c>
      <c r="F191" s="2118"/>
    </row>
    <row r="192" spans="1:15">
      <c r="A192" s="2122"/>
      <c r="B192" s="2122"/>
      <c r="C192" s="2122"/>
      <c r="D192" s="2122"/>
      <c r="E192" s="2122"/>
      <c r="F192" s="2122"/>
      <c r="G192" s="2122"/>
      <c r="H192" s="2122"/>
      <c r="I192" s="2122"/>
      <c r="J192" s="2122"/>
      <c r="K192" s="2122"/>
      <c r="L192" s="2122"/>
      <c r="M192" s="2122"/>
    </row>
    <row r="193" spans="1:15">
      <c r="A193" s="2118"/>
      <c r="H193" s="2505" t="s">
        <v>2715</v>
      </c>
      <c r="I193" s="2505"/>
      <c r="J193" s="2122"/>
      <c r="K193" s="2513">
        <v>8135.7471999999998</v>
      </c>
      <c r="L193" s="2513"/>
      <c r="M193" s="2122"/>
      <c r="N193" s="2514" t="s">
        <v>2756</v>
      </c>
      <c r="O193" s="2122"/>
    </row>
    <row r="194" spans="1:15">
      <c r="H194" s="2122"/>
      <c r="I194" s="2122"/>
      <c r="J194" s="2122"/>
      <c r="K194" s="2513"/>
      <c r="L194" s="2513"/>
      <c r="N194" s="2514"/>
    </row>
    <row r="195" spans="1:15">
      <c r="A195" s="2117">
        <v>30823</v>
      </c>
      <c r="B195" s="2122"/>
      <c r="C195" s="2508" t="s">
        <v>2752</v>
      </c>
      <c r="D195" s="2508"/>
      <c r="E195" s="2508"/>
      <c r="F195" s="2508"/>
      <c r="G195" s="2508"/>
      <c r="H195" s="2508"/>
      <c r="I195" s="2508"/>
      <c r="J195" s="2122"/>
      <c r="K195" s="2122"/>
      <c r="L195" s="2122"/>
      <c r="M195" s="2122"/>
    </row>
    <row r="196" spans="1:15">
      <c r="A196" s="2122"/>
      <c r="B196" s="2122"/>
      <c r="C196" s="2122"/>
      <c r="D196" s="2122"/>
      <c r="E196" s="2122"/>
      <c r="F196" s="2122"/>
      <c r="G196" s="2122"/>
      <c r="H196" s="2122"/>
      <c r="I196" s="2122"/>
      <c r="J196" s="2122"/>
      <c r="K196" s="2122"/>
      <c r="L196" s="2122"/>
      <c r="M196" s="2122"/>
    </row>
    <row r="197" spans="1:15">
      <c r="A197" s="2509"/>
      <c r="B197" s="2509"/>
      <c r="C197" s="2509"/>
      <c r="D197" s="2125"/>
      <c r="E197" s="2125"/>
      <c r="F197" s="2125"/>
      <c r="G197" s="2125"/>
      <c r="H197" s="2510"/>
      <c r="I197" s="2510"/>
      <c r="J197" s="2510"/>
      <c r="K197" s="2125"/>
      <c r="L197" s="2129"/>
      <c r="M197" s="2125"/>
    </row>
    <row r="198" spans="1:15">
      <c r="A198" s="2118"/>
      <c r="B198" s="2118"/>
      <c r="C198" s="2118"/>
      <c r="D198" s="2118"/>
      <c r="E198" s="2505" t="s">
        <v>2718</v>
      </c>
      <c r="F198" s="2505"/>
      <c r="G198" s="2118"/>
      <c r="H198" s="2513">
        <v>8135.7471999999998</v>
      </c>
      <c r="I198" s="2513"/>
      <c r="J198" s="2513"/>
      <c r="K198" s="2122"/>
      <c r="L198" s="2513">
        <v>808533</v>
      </c>
      <c r="M198" s="2122"/>
    </row>
    <row r="199" spans="1:15">
      <c r="A199" s="2118"/>
      <c r="B199" s="2118"/>
      <c r="C199" s="2118"/>
      <c r="D199" s="2118"/>
      <c r="E199" s="2118"/>
      <c r="F199" s="2118"/>
      <c r="G199" s="2118"/>
      <c r="H199" s="2513"/>
      <c r="I199" s="2513"/>
      <c r="J199" s="2513"/>
      <c r="K199" s="2122"/>
      <c r="L199" s="2513"/>
      <c r="M199" s="2122"/>
    </row>
    <row r="200" spans="1:15" ht="55.2">
      <c r="A200" s="2117" t="s">
        <v>2713</v>
      </c>
      <c r="B200" s="2118"/>
      <c r="C200" s="2117" t="s">
        <v>1069</v>
      </c>
      <c r="D200" s="2118"/>
      <c r="E200" s="2117" t="s">
        <v>2714</v>
      </c>
      <c r="F200" s="2118"/>
    </row>
    <row r="201" spans="1:15">
      <c r="A201" s="2122"/>
      <c r="B201" s="2122"/>
      <c r="C201" s="2122"/>
      <c r="D201" s="2122"/>
      <c r="E201" s="2122"/>
      <c r="F201" s="2122"/>
      <c r="G201" s="2122"/>
      <c r="H201" s="2122"/>
      <c r="I201" s="2122"/>
      <c r="J201" s="2122"/>
      <c r="K201" s="2122"/>
      <c r="L201" s="2122"/>
      <c r="M201" s="2122"/>
    </row>
    <row r="202" spans="1:15">
      <c r="A202" s="2118"/>
      <c r="H202" s="2505" t="s">
        <v>2715</v>
      </c>
      <c r="I202" s="2505"/>
      <c r="J202" s="2122"/>
      <c r="K202" s="2506">
        <v>0</v>
      </c>
      <c r="L202" s="2506"/>
      <c r="M202" s="2122"/>
      <c r="N202" s="2514"/>
      <c r="O202" s="2122"/>
    </row>
    <row r="203" spans="1:15">
      <c r="H203" s="2122"/>
      <c r="I203" s="2122"/>
      <c r="J203" s="2122"/>
      <c r="K203" s="2506"/>
      <c r="L203" s="2506"/>
      <c r="N203" s="2514"/>
    </row>
    <row r="204" spans="1:15">
      <c r="A204" s="2117">
        <v>32148</v>
      </c>
      <c r="B204" s="2122"/>
      <c r="C204" s="2508" t="s">
        <v>2757</v>
      </c>
      <c r="D204" s="2508"/>
      <c r="E204" s="2508"/>
      <c r="F204" s="2508"/>
      <c r="G204" s="2508"/>
      <c r="H204" s="2508"/>
      <c r="I204" s="2508"/>
      <c r="J204" s="2122"/>
      <c r="K204" s="2122"/>
      <c r="L204" s="2122"/>
      <c r="M204" s="2122"/>
    </row>
    <row r="205" spans="1:15">
      <c r="A205" s="2122"/>
      <c r="B205" s="2122"/>
      <c r="C205" s="2122"/>
      <c r="D205" s="2122"/>
      <c r="E205" s="2122"/>
      <c r="F205" s="2122"/>
      <c r="G205" s="2122"/>
      <c r="H205" s="2122"/>
      <c r="I205" s="2122"/>
      <c r="J205" s="2122"/>
      <c r="K205" s="2122"/>
      <c r="L205" s="2122"/>
      <c r="M205" s="2122"/>
    </row>
    <row r="206" spans="1:15">
      <c r="A206" s="2509"/>
      <c r="B206" s="2509"/>
      <c r="C206" s="2509"/>
      <c r="D206" s="2125"/>
      <c r="E206" s="2125"/>
      <c r="F206" s="2125"/>
      <c r="G206" s="2125"/>
      <c r="H206" s="2510"/>
      <c r="I206" s="2510"/>
      <c r="J206" s="2510"/>
      <c r="K206" s="2125"/>
      <c r="L206" s="2129"/>
      <c r="M206" s="2125"/>
    </row>
    <row r="207" spans="1:15">
      <c r="A207" s="2118"/>
      <c r="B207" s="2118"/>
      <c r="C207" s="2118"/>
      <c r="D207" s="2118"/>
      <c r="E207" s="2505" t="s">
        <v>2718</v>
      </c>
      <c r="F207" s="2505"/>
      <c r="G207" s="2118"/>
      <c r="H207" s="2506">
        <v>0</v>
      </c>
      <c r="I207" s="2506"/>
      <c r="J207" s="2506"/>
      <c r="K207" s="2122"/>
      <c r="L207" s="2506">
        <v>0</v>
      </c>
      <c r="M207" s="2122"/>
    </row>
    <row r="208" spans="1:15">
      <c r="A208" s="2118"/>
      <c r="B208" s="2118"/>
      <c r="C208" s="2118"/>
      <c r="D208" s="2118"/>
      <c r="E208" s="2118"/>
      <c r="F208" s="2118"/>
      <c r="G208" s="2118"/>
      <c r="H208" s="2506"/>
      <c r="I208" s="2506"/>
      <c r="J208" s="2506"/>
      <c r="K208" s="2122"/>
      <c r="L208" s="2506"/>
      <c r="M208" s="2122"/>
    </row>
    <row r="209" spans="1:19" ht="55.2">
      <c r="A209" s="2117" t="s">
        <v>2713</v>
      </c>
      <c r="B209" s="2118"/>
      <c r="C209" s="2117" t="s">
        <v>1069</v>
      </c>
      <c r="D209" s="2118"/>
      <c r="E209" s="2117" t="s">
        <v>2714</v>
      </c>
      <c r="F209" s="2118"/>
    </row>
    <row r="210" spans="1:19">
      <c r="A210" s="2122"/>
      <c r="B210" s="2122"/>
      <c r="C210" s="2122"/>
      <c r="D210" s="2122"/>
      <c r="E210" s="2122"/>
      <c r="F210" s="2122"/>
      <c r="G210" s="2122"/>
      <c r="H210" s="2122"/>
      <c r="I210" s="2122"/>
      <c r="J210" s="2122"/>
      <c r="K210" s="2122"/>
      <c r="L210" s="2122"/>
      <c r="M210" s="2122"/>
    </row>
    <row r="211" spans="1:19">
      <c r="A211" s="2118"/>
      <c r="H211" s="2505" t="s">
        <v>2715</v>
      </c>
      <c r="I211" s="2505"/>
      <c r="J211" s="2122"/>
      <c r="K211" s="2506">
        <v>0</v>
      </c>
      <c r="L211" s="2506"/>
      <c r="M211" s="2122"/>
      <c r="N211" s="2514"/>
      <c r="O211" s="2122"/>
    </row>
    <row r="212" spans="1:19">
      <c r="H212" s="2122"/>
      <c r="I212" s="2122"/>
      <c r="J212" s="2122"/>
      <c r="K212" s="2506"/>
      <c r="L212" s="2506"/>
      <c r="N212" s="2514"/>
    </row>
    <row r="213" spans="1:19">
      <c r="A213" s="2117">
        <v>32149</v>
      </c>
      <c r="B213" s="2122"/>
      <c r="C213" s="2508" t="s">
        <v>2758</v>
      </c>
      <c r="D213" s="2508"/>
      <c r="E213" s="2508"/>
      <c r="F213" s="2508"/>
      <c r="G213" s="2508"/>
      <c r="H213" s="2508"/>
      <c r="I213" s="2508"/>
      <c r="J213" s="2122"/>
      <c r="K213" s="2122"/>
      <c r="L213" s="2122"/>
      <c r="M213" s="2122"/>
    </row>
    <row r="214" spans="1:19">
      <c r="A214" s="2122"/>
      <c r="B214" s="2122"/>
      <c r="C214" s="2122"/>
      <c r="D214" s="2122"/>
      <c r="E214" s="2122"/>
      <c r="F214" s="2122"/>
      <c r="G214" s="2122"/>
      <c r="H214" s="2122"/>
      <c r="I214" s="2122"/>
      <c r="J214" s="2122"/>
      <c r="K214" s="2122"/>
      <c r="L214" s="2122"/>
      <c r="M214" s="2122"/>
    </row>
    <row r="215" spans="1:19">
      <c r="A215" s="2509"/>
      <c r="B215" s="2509"/>
      <c r="C215" s="2509"/>
      <c r="D215" s="2125"/>
      <c r="E215" s="2125"/>
      <c r="F215" s="2125"/>
      <c r="G215" s="2125"/>
      <c r="H215" s="2510"/>
      <c r="I215" s="2510"/>
      <c r="J215" s="2510"/>
      <c r="K215" s="2125"/>
      <c r="L215" s="2129"/>
      <c r="M215" s="2125"/>
    </row>
    <row r="216" spans="1:19">
      <c r="A216" s="2118"/>
      <c r="B216" s="2118"/>
      <c r="C216" s="2118"/>
      <c r="D216" s="2118"/>
      <c r="E216" s="2505" t="s">
        <v>2718</v>
      </c>
      <c r="F216" s="2505"/>
      <c r="G216" s="2118"/>
      <c r="H216" s="2506">
        <v>0</v>
      </c>
      <c r="I216" s="2506"/>
      <c r="J216" s="2506"/>
      <c r="K216" s="2122"/>
      <c r="L216" s="2506">
        <v>0</v>
      </c>
      <c r="M216" s="2122"/>
    </row>
    <row r="217" spans="1:19">
      <c r="A217" s="2118"/>
      <c r="B217" s="2118"/>
      <c r="C217" s="2118"/>
      <c r="D217" s="2118"/>
      <c r="E217" s="2118"/>
      <c r="F217" s="2118"/>
      <c r="G217" s="2118"/>
      <c r="H217" s="2506"/>
      <c r="I217" s="2506"/>
      <c r="J217" s="2506"/>
      <c r="K217" s="2122"/>
      <c r="L217" s="2506"/>
      <c r="M217" s="2122"/>
    </row>
    <row r="218" spans="1:19" ht="55.2">
      <c r="A218" s="2117" t="s">
        <v>2713</v>
      </c>
      <c r="B218" s="2118"/>
      <c r="C218" s="2117" t="s">
        <v>1069</v>
      </c>
      <c r="D218" s="2118"/>
      <c r="E218" s="2117" t="s">
        <v>2714</v>
      </c>
      <c r="F218" s="2118"/>
    </row>
    <row r="219" spans="1:19">
      <c r="A219" s="2122"/>
      <c r="B219" s="2122"/>
      <c r="C219" s="2122"/>
      <c r="D219" s="2122"/>
      <c r="E219" s="2122"/>
      <c r="F219" s="2122"/>
      <c r="G219" s="2122"/>
      <c r="H219" s="2122"/>
      <c r="I219" s="2122"/>
      <c r="J219" s="2122"/>
      <c r="K219" s="2122"/>
      <c r="L219" s="2122"/>
      <c r="M219" s="2122"/>
    </row>
    <row r="220" spans="1:19">
      <c r="A220" s="2118"/>
      <c r="H220" s="2505" t="s">
        <v>2715</v>
      </c>
      <c r="I220" s="2505"/>
      <c r="J220" s="2122"/>
      <c r="K220" s="2513">
        <v>1422539.1061</v>
      </c>
      <c r="L220" s="2513"/>
      <c r="M220" s="2122"/>
      <c r="N220" s="2514" t="s">
        <v>2759</v>
      </c>
      <c r="O220" s="2122"/>
    </row>
    <row r="221" spans="1:19">
      <c r="H221" s="2122"/>
      <c r="I221" s="2122"/>
      <c r="J221" s="2122"/>
      <c r="K221" s="2513"/>
      <c r="L221" s="2513"/>
      <c r="N221" s="2514"/>
      <c r="O221" s="2123">
        <f>K220+K240+K31</f>
        <v>1621803.9049</v>
      </c>
    </row>
    <row r="222" spans="1:19">
      <c r="A222" s="2117">
        <v>32636</v>
      </c>
      <c r="B222" s="2122"/>
      <c r="C222" s="2508" t="s">
        <v>2743</v>
      </c>
      <c r="D222" s="2508"/>
      <c r="E222" s="2508"/>
      <c r="F222" s="2508"/>
      <c r="G222" s="2508"/>
      <c r="H222" s="2508"/>
      <c r="I222" s="2508"/>
      <c r="J222" s="2122"/>
      <c r="K222" s="2122"/>
      <c r="L222" s="2122"/>
      <c r="M222" s="2122"/>
    </row>
    <row r="223" spans="1:19">
      <c r="A223" s="2122"/>
      <c r="B223" s="2122"/>
      <c r="C223" s="2122"/>
      <c r="D223" s="2122"/>
      <c r="E223" s="2122"/>
      <c r="F223" s="2122"/>
      <c r="G223" s="2122"/>
      <c r="H223" s="2122"/>
      <c r="I223" s="2122"/>
      <c r="J223" s="2122"/>
      <c r="K223" s="2122"/>
      <c r="L223" s="2122"/>
      <c r="M223" s="2122"/>
      <c r="S223" s="2119">
        <v>397420886</v>
      </c>
    </row>
    <row r="224" spans="1:19">
      <c r="A224" s="2511" t="s">
        <v>2722</v>
      </c>
      <c r="B224" s="2511"/>
      <c r="C224" s="2511"/>
      <c r="D224" s="2125"/>
      <c r="E224" s="2125"/>
      <c r="F224" s="2125"/>
      <c r="G224" s="2125"/>
      <c r="H224" s="2512">
        <v>4177147.3810000001</v>
      </c>
      <c r="I224" s="2512"/>
      <c r="J224" s="2512"/>
      <c r="K224" s="2125"/>
      <c r="L224" s="2126">
        <v>395000000</v>
      </c>
      <c r="M224" s="2125"/>
      <c r="O224" s="2123">
        <f>H224+H226</f>
        <v>4202831.43</v>
      </c>
      <c r="S224" s="2123">
        <f>L224+L226</f>
        <v>397420886</v>
      </c>
    </row>
    <row r="225" spans="1:19">
      <c r="A225" s="2511" t="s">
        <v>2723</v>
      </c>
      <c r="B225" s="2511"/>
      <c r="C225" s="2511"/>
      <c r="D225" s="2125"/>
      <c r="E225" s="2125"/>
      <c r="F225" s="2125"/>
      <c r="G225" s="2125"/>
      <c r="H225" s="2512">
        <v>-2452130.9890000001</v>
      </c>
      <c r="I225" s="2512"/>
      <c r="J225" s="2512"/>
      <c r="K225" s="2125"/>
      <c r="L225" s="2126">
        <v>-235000000</v>
      </c>
      <c r="M225" s="2125"/>
    </row>
    <row r="226" spans="1:19">
      <c r="A226" s="2511" t="s">
        <v>2725</v>
      </c>
      <c r="B226" s="2511"/>
      <c r="C226" s="2511"/>
      <c r="D226" s="2125"/>
      <c r="E226" s="2125"/>
      <c r="F226" s="2125"/>
      <c r="G226" s="2125"/>
      <c r="H226" s="2512">
        <v>25684.048999999999</v>
      </c>
      <c r="I226" s="2512"/>
      <c r="J226" s="2512"/>
      <c r="K226" s="2125"/>
      <c r="L226" s="2126">
        <v>2420886</v>
      </c>
      <c r="M226" s="2125"/>
    </row>
    <row r="227" spans="1:19">
      <c r="A227" s="2118"/>
      <c r="B227" s="2118"/>
      <c r="C227" s="2118"/>
      <c r="D227" s="2118"/>
      <c r="E227" s="2505" t="s">
        <v>2718</v>
      </c>
      <c r="F227" s="2505"/>
      <c r="G227" s="2118"/>
      <c r="H227" s="2513">
        <v>3173239.5471000001</v>
      </c>
      <c r="I227" s="2513"/>
      <c r="J227" s="2513"/>
      <c r="K227" s="2122"/>
      <c r="L227" s="2513">
        <v>315357498.16000003</v>
      </c>
      <c r="M227" s="2122"/>
      <c r="O227" s="2123">
        <f>-H225</f>
        <v>2452130.9890000001</v>
      </c>
      <c r="S227" s="2123">
        <f>-L225</f>
        <v>235000000</v>
      </c>
    </row>
    <row r="228" spans="1:19">
      <c r="A228" s="2118"/>
      <c r="B228" s="2118"/>
      <c r="C228" s="2118"/>
      <c r="D228" s="2118"/>
      <c r="E228" s="2118"/>
      <c r="F228" s="2118"/>
      <c r="G228" s="2118"/>
      <c r="H228" s="2513"/>
      <c r="I228" s="2513"/>
      <c r="J228" s="2513"/>
      <c r="K228" s="2122"/>
      <c r="L228" s="2513"/>
      <c r="M228" s="2122"/>
      <c r="S228" s="2119">
        <v>235000000</v>
      </c>
    </row>
    <row r="229" spans="1:19" ht="55.2">
      <c r="A229" s="2117" t="s">
        <v>2713</v>
      </c>
      <c r="B229" s="2118"/>
      <c r="C229" s="2117" t="s">
        <v>1069</v>
      </c>
      <c r="D229" s="2118"/>
      <c r="E229" s="2117" t="s">
        <v>2714</v>
      </c>
      <c r="F229" s="2118"/>
      <c r="O229" s="2128"/>
    </row>
    <row r="230" spans="1:19" ht="15.6">
      <c r="A230" s="2122"/>
      <c r="B230" s="2122"/>
      <c r="C230" s="2122"/>
      <c r="D230" s="2122"/>
      <c r="E230" s="2122"/>
      <c r="F230" s="2122"/>
      <c r="G230" s="2122"/>
      <c r="H230" s="2122"/>
      <c r="I230" s="2122"/>
      <c r="J230" s="2122"/>
      <c r="K230" s="2122"/>
      <c r="L230" s="2128">
        <f>H227+H245+H36</f>
        <v>3372504.3459000001</v>
      </c>
      <c r="M230" s="2122"/>
      <c r="N230" s="2120">
        <f>L227+L245+L36</f>
        <v>335160493.65000004</v>
      </c>
      <c r="O230" s="2123">
        <f>O221+O224-O227-H245-H227-H36</f>
        <v>-1.0371208197801352E-9</v>
      </c>
      <c r="S230" s="2128">
        <f>O227+O245+O36</f>
        <v>2452130.9890000001</v>
      </c>
    </row>
    <row r="231" spans="1:19">
      <c r="A231" s="2118"/>
      <c r="H231" s="2505" t="s">
        <v>2715</v>
      </c>
      <c r="I231" s="2505"/>
      <c r="J231" s="2122"/>
      <c r="K231" s="2506">
        <v>0</v>
      </c>
      <c r="L231" s="2506"/>
      <c r="M231" s="2122"/>
      <c r="N231" s="2514"/>
      <c r="O231" s="2122"/>
    </row>
    <row r="232" spans="1:19">
      <c r="H232" s="2122"/>
      <c r="I232" s="2122"/>
      <c r="J232" s="2122"/>
      <c r="K232" s="2506"/>
      <c r="L232" s="2506"/>
      <c r="N232" s="2514"/>
    </row>
    <row r="233" spans="1:19">
      <c r="A233" s="2117">
        <v>32358</v>
      </c>
      <c r="B233" s="2122"/>
      <c r="C233" s="2508" t="s">
        <v>2760</v>
      </c>
      <c r="D233" s="2508"/>
      <c r="E233" s="2508"/>
      <c r="F233" s="2508"/>
      <c r="G233" s="2508"/>
      <c r="H233" s="2508"/>
      <c r="I233" s="2508"/>
      <c r="J233" s="2122"/>
      <c r="K233" s="2122"/>
      <c r="L233" s="2122"/>
      <c r="M233" s="2122"/>
    </row>
    <row r="234" spans="1:19">
      <c r="A234" s="2122"/>
      <c r="B234" s="2122"/>
      <c r="C234" s="2122"/>
      <c r="D234" s="2122"/>
      <c r="E234" s="2122"/>
      <c r="F234" s="2122"/>
      <c r="G234" s="2122"/>
      <c r="H234" s="2122"/>
      <c r="I234" s="2122"/>
      <c r="J234" s="2122"/>
      <c r="K234" s="2122"/>
      <c r="L234" s="2122"/>
      <c r="M234" s="2122"/>
    </row>
    <row r="235" spans="1:19">
      <c r="A235" s="2509"/>
      <c r="B235" s="2509"/>
      <c r="C235" s="2509"/>
      <c r="D235" s="2125"/>
      <c r="E235" s="2125"/>
      <c r="F235" s="2125"/>
      <c r="G235" s="2125"/>
      <c r="H235" s="2510"/>
      <c r="I235" s="2510"/>
      <c r="J235" s="2510"/>
      <c r="K235" s="2125"/>
      <c r="L235" s="2129"/>
      <c r="M235" s="2125"/>
    </row>
    <row r="236" spans="1:19">
      <c r="A236" s="2118"/>
      <c r="B236" s="2118"/>
      <c r="C236" s="2118"/>
      <c r="D236" s="2118"/>
      <c r="E236" s="2505" t="s">
        <v>2718</v>
      </c>
      <c r="F236" s="2505"/>
      <c r="G236" s="2118"/>
      <c r="H236" s="2506">
        <v>0</v>
      </c>
      <c r="I236" s="2506"/>
      <c r="J236" s="2506"/>
      <c r="K236" s="2122"/>
      <c r="L236" s="2506">
        <v>0</v>
      </c>
      <c r="M236" s="2122"/>
    </row>
    <row r="237" spans="1:19">
      <c r="A237" s="2118"/>
      <c r="B237" s="2118"/>
      <c r="C237" s="2118"/>
      <c r="D237" s="2118"/>
      <c r="E237" s="2118"/>
      <c r="F237" s="2118"/>
      <c r="G237" s="2118"/>
      <c r="H237" s="2506"/>
      <c r="I237" s="2506"/>
      <c r="J237" s="2506"/>
      <c r="K237" s="2122"/>
      <c r="L237" s="2506"/>
      <c r="M237" s="2122"/>
    </row>
    <row r="238" spans="1:19" ht="55.2">
      <c r="A238" s="2117" t="s">
        <v>2713</v>
      </c>
      <c r="B238" s="2118"/>
      <c r="C238" s="2117" t="s">
        <v>1069</v>
      </c>
      <c r="D238" s="2118"/>
      <c r="E238" s="2117" t="s">
        <v>2714</v>
      </c>
      <c r="F238" s="2118"/>
    </row>
    <row r="239" spans="1:19">
      <c r="A239" s="2122"/>
      <c r="B239" s="2122"/>
      <c r="C239" s="2122"/>
      <c r="D239" s="2122"/>
      <c r="E239" s="2122"/>
      <c r="F239" s="2122"/>
      <c r="G239" s="2122"/>
      <c r="H239" s="2122"/>
      <c r="I239" s="2122"/>
      <c r="J239" s="2122"/>
      <c r="K239" s="2122"/>
      <c r="L239" s="2122"/>
      <c r="M239" s="2122"/>
    </row>
    <row r="240" spans="1:19">
      <c r="A240" s="2118"/>
      <c r="H240" s="2505" t="s">
        <v>2715</v>
      </c>
      <c r="I240" s="2505"/>
      <c r="J240" s="2122"/>
      <c r="K240" s="2513">
        <v>199264.73240000001</v>
      </c>
      <c r="L240" s="2513"/>
      <c r="M240" s="2122"/>
      <c r="N240" s="2514" t="s">
        <v>2761</v>
      </c>
      <c r="O240" s="2122"/>
    </row>
    <row r="241" spans="1:19">
      <c r="H241" s="2122"/>
      <c r="I241" s="2122"/>
      <c r="J241" s="2122"/>
      <c r="K241" s="2513"/>
      <c r="L241" s="2513"/>
      <c r="N241" s="2514"/>
    </row>
    <row r="242" spans="1:19">
      <c r="A242" s="2117">
        <v>32346</v>
      </c>
      <c r="B242" s="2122"/>
      <c r="C242" s="2508" t="s">
        <v>2762</v>
      </c>
      <c r="D242" s="2508"/>
      <c r="E242" s="2508"/>
      <c r="F242" s="2508"/>
      <c r="G242" s="2508"/>
      <c r="H242" s="2508"/>
      <c r="I242" s="2508"/>
      <c r="J242" s="2122"/>
      <c r="K242" s="2122"/>
      <c r="L242" s="2122"/>
      <c r="M242" s="2122"/>
    </row>
    <row r="243" spans="1:19">
      <c r="A243" s="2122"/>
      <c r="B243" s="2122"/>
      <c r="C243" s="2122"/>
      <c r="D243" s="2122"/>
      <c r="E243" s="2122"/>
      <c r="F243" s="2122"/>
      <c r="G243" s="2122"/>
      <c r="H243" s="2122"/>
      <c r="I243" s="2122"/>
      <c r="J243" s="2122"/>
      <c r="K243" s="2122"/>
      <c r="L243" s="2122"/>
      <c r="M243" s="2122"/>
    </row>
    <row r="244" spans="1:19">
      <c r="A244" s="2509"/>
      <c r="B244" s="2509"/>
      <c r="C244" s="2509"/>
      <c r="D244" s="2125"/>
      <c r="E244" s="2125"/>
      <c r="F244" s="2125"/>
      <c r="G244" s="2125"/>
      <c r="H244" s="2510"/>
      <c r="I244" s="2510"/>
      <c r="J244" s="2510"/>
      <c r="K244" s="2125"/>
      <c r="L244" s="2129"/>
      <c r="M244" s="2125"/>
    </row>
    <row r="245" spans="1:19">
      <c r="A245" s="2118"/>
      <c r="B245" s="2118"/>
      <c r="C245" s="2118"/>
      <c r="D245" s="2118"/>
      <c r="E245" s="2505" t="s">
        <v>2718</v>
      </c>
      <c r="F245" s="2505"/>
      <c r="G245" s="2118"/>
      <c r="H245" s="2513">
        <v>199264.73240000001</v>
      </c>
      <c r="I245" s="2513"/>
      <c r="J245" s="2513"/>
      <c r="K245" s="2122"/>
      <c r="L245" s="2513">
        <v>19802988.890000001</v>
      </c>
      <c r="M245" s="2122"/>
    </row>
    <row r="246" spans="1:19">
      <c r="A246" s="2118"/>
      <c r="B246" s="2118"/>
      <c r="C246" s="2118"/>
      <c r="D246" s="2118"/>
      <c r="E246" s="2118"/>
      <c r="F246" s="2118"/>
      <c r="G246" s="2118"/>
      <c r="H246" s="2513"/>
      <c r="I246" s="2513"/>
      <c r="J246" s="2513"/>
      <c r="K246" s="2122"/>
      <c r="L246" s="2513"/>
      <c r="M246" s="2122"/>
    </row>
    <row r="247" spans="1:19" ht="55.2">
      <c r="A247" s="2117" t="s">
        <v>2713</v>
      </c>
      <c r="B247" s="2118"/>
      <c r="C247" s="2117" t="s">
        <v>1069</v>
      </c>
      <c r="D247" s="2118"/>
      <c r="E247" s="2117" t="s">
        <v>2714</v>
      </c>
      <c r="F247" s="2118"/>
    </row>
    <row r="248" spans="1:19">
      <c r="A248" s="2122"/>
      <c r="B248" s="2122"/>
      <c r="C248" s="2122"/>
      <c r="D248" s="2122"/>
      <c r="E248" s="2122"/>
      <c r="F248" s="2122"/>
      <c r="G248" s="2122"/>
      <c r="H248" s="2122"/>
      <c r="I248" s="2122"/>
      <c r="J248" s="2122"/>
      <c r="K248" s="2122"/>
      <c r="L248" s="2122"/>
      <c r="M248" s="2122"/>
    </row>
    <row r="249" spans="1:19">
      <c r="A249" s="2118"/>
      <c r="H249" s="2505" t="s">
        <v>2715</v>
      </c>
      <c r="I249" s="2505"/>
      <c r="J249" s="2122"/>
      <c r="K249" s="2513">
        <v>3502317.2928999998</v>
      </c>
      <c r="L249" s="2513"/>
      <c r="M249" s="2122"/>
      <c r="N249" s="2514" t="s">
        <v>2763</v>
      </c>
      <c r="O249" s="2128">
        <f>K249</f>
        <v>3502317.2928999998</v>
      </c>
    </row>
    <row r="250" spans="1:19">
      <c r="H250" s="2122"/>
      <c r="I250" s="2122"/>
      <c r="J250" s="2122"/>
      <c r="K250" s="2513"/>
      <c r="L250" s="2513"/>
      <c r="N250" s="2514"/>
    </row>
    <row r="251" spans="1:19">
      <c r="A251" s="2117">
        <v>44234</v>
      </c>
      <c r="B251" s="2122"/>
      <c r="C251" s="2508" t="s">
        <v>2764</v>
      </c>
      <c r="D251" s="2508"/>
      <c r="E251" s="2508"/>
      <c r="F251" s="2508"/>
      <c r="G251" s="2508"/>
      <c r="H251" s="2508"/>
      <c r="I251" s="2508"/>
      <c r="J251" s="2122"/>
      <c r="K251" s="2122"/>
      <c r="L251" s="2122"/>
      <c r="M251" s="2122"/>
    </row>
    <row r="252" spans="1:19">
      <c r="A252" s="2122"/>
      <c r="B252" s="2122"/>
      <c r="C252" s="2122"/>
      <c r="D252" s="2122"/>
      <c r="E252" s="2122"/>
      <c r="F252" s="2122"/>
      <c r="G252" s="2122"/>
      <c r="H252" s="2122"/>
      <c r="I252" s="2122"/>
      <c r="J252" s="2122"/>
      <c r="K252" s="2122"/>
      <c r="L252" s="2122"/>
      <c r="M252" s="2122"/>
      <c r="O252" s="2123">
        <f>H255</f>
        <v>54040.733999999997</v>
      </c>
      <c r="S252" s="2123">
        <f>L255</f>
        <v>5000000</v>
      </c>
    </row>
    <row r="253" spans="1:19">
      <c r="A253" s="2511" t="s">
        <v>2723</v>
      </c>
      <c r="B253" s="2511"/>
      <c r="C253" s="2511"/>
      <c r="D253" s="2125"/>
      <c r="E253" s="2125"/>
      <c r="F253" s="2125"/>
      <c r="G253" s="2125"/>
      <c r="H253" s="2512">
        <v>-151598.66200000001</v>
      </c>
      <c r="I253" s="2512"/>
      <c r="J253" s="2512"/>
      <c r="K253" s="2125"/>
      <c r="L253" s="2126">
        <v>-14000000</v>
      </c>
      <c r="M253" s="2125"/>
    </row>
    <row r="254" spans="1:19">
      <c r="A254" s="2511" t="s">
        <v>2717</v>
      </c>
      <c r="B254" s="2511"/>
      <c r="C254" s="2511"/>
      <c r="D254" s="2125"/>
      <c r="E254" s="2125"/>
      <c r="F254" s="2125"/>
      <c r="G254" s="2125"/>
      <c r="H254" s="2512">
        <v>-1650555.426</v>
      </c>
      <c r="I254" s="2512"/>
      <c r="J254" s="2512"/>
      <c r="K254" s="2125"/>
      <c r="L254" s="2126">
        <v>-158300000</v>
      </c>
      <c r="M254" s="2125"/>
      <c r="O254" s="2123">
        <f>-H254-H253</f>
        <v>1802154.088</v>
      </c>
      <c r="S254" s="2123">
        <f>-L254-L253</f>
        <v>172300000</v>
      </c>
    </row>
    <row r="255" spans="1:19">
      <c r="A255" s="2511" t="s">
        <v>2725</v>
      </c>
      <c r="B255" s="2511"/>
      <c r="C255" s="2511"/>
      <c r="D255" s="2125"/>
      <c r="E255" s="2125"/>
      <c r="F255" s="2125"/>
      <c r="G255" s="2125"/>
      <c r="H255" s="2512">
        <v>54040.733999999997</v>
      </c>
      <c r="I255" s="2512"/>
      <c r="J255" s="2512"/>
      <c r="K255" s="2125"/>
      <c r="L255" s="2126">
        <v>5000000</v>
      </c>
      <c r="M255" s="2125"/>
      <c r="O255" s="2123"/>
    </row>
    <row r="256" spans="1:19">
      <c r="A256" s="2118"/>
      <c r="B256" s="2118"/>
      <c r="C256" s="2118"/>
      <c r="D256" s="2118"/>
      <c r="E256" s="2505" t="s">
        <v>2718</v>
      </c>
      <c r="F256" s="2505"/>
      <c r="G256" s="2118"/>
      <c r="H256" s="2513">
        <v>1754203.9389</v>
      </c>
      <c r="I256" s="2513"/>
      <c r="J256" s="2513"/>
      <c r="K256" s="2122"/>
      <c r="L256" s="2513">
        <v>174333313.71000001</v>
      </c>
      <c r="M256" s="2122"/>
      <c r="O256" s="2123">
        <f>O249+O252-O254-H256</f>
        <v>0</v>
      </c>
    </row>
    <row r="257" spans="1:19">
      <c r="A257" s="2118"/>
      <c r="B257" s="2118"/>
      <c r="C257" s="2118"/>
      <c r="D257" s="2118"/>
      <c r="E257" s="2118"/>
      <c r="F257" s="2118"/>
      <c r="G257" s="2118"/>
      <c r="H257" s="2513"/>
      <c r="I257" s="2513"/>
      <c r="J257" s="2513"/>
      <c r="K257" s="2122"/>
      <c r="L257" s="2513"/>
      <c r="M257" s="2122"/>
    </row>
    <row r="258" spans="1:19" ht="55.2">
      <c r="A258" s="2117" t="s">
        <v>2713</v>
      </c>
      <c r="B258" s="2118"/>
      <c r="C258" s="2117" t="s">
        <v>1069</v>
      </c>
      <c r="D258" s="2118"/>
      <c r="E258" s="2117" t="s">
        <v>2714</v>
      </c>
      <c r="F258" s="2118"/>
    </row>
    <row r="259" spans="1:19">
      <c r="A259" s="2122"/>
      <c r="B259" s="2122"/>
      <c r="C259" s="2122"/>
      <c r="D259" s="2122"/>
      <c r="E259" s="2122"/>
      <c r="F259" s="2122"/>
      <c r="G259" s="2122"/>
      <c r="H259" s="2122"/>
      <c r="I259" s="2122"/>
      <c r="J259" s="2122"/>
      <c r="K259" s="2122"/>
      <c r="L259" s="2122"/>
      <c r="M259" s="2122"/>
    </row>
    <row r="260" spans="1:19">
      <c r="A260" s="2118"/>
      <c r="H260" s="2505" t="s">
        <v>2715</v>
      </c>
      <c r="I260" s="2505"/>
      <c r="J260" s="2122"/>
      <c r="K260" s="2513">
        <v>34698987.839599997</v>
      </c>
      <c r="L260" s="2513"/>
      <c r="M260" s="2122"/>
      <c r="N260" s="2514" t="s">
        <v>2765</v>
      </c>
      <c r="O260" s="2128">
        <f>K260</f>
        <v>34698987.839599997</v>
      </c>
    </row>
    <row r="261" spans="1:19">
      <c r="H261" s="2122"/>
      <c r="I261" s="2122"/>
      <c r="J261" s="2122"/>
      <c r="K261" s="2513"/>
      <c r="L261" s="2513"/>
      <c r="N261" s="2514"/>
    </row>
    <row r="262" spans="1:19">
      <c r="A262" s="2117">
        <v>46553</v>
      </c>
      <c r="B262" s="2122"/>
      <c r="C262" s="2508" t="s">
        <v>2766</v>
      </c>
      <c r="D262" s="2508"/>
      <c r="E262" s="2508"/>
      <c r="F262" s="2508"/>
      <c r="G262" s="2508"/>
      <c r="H262" s="2508"/>
      <c r="I262" s="2508"/>
      <c r="J262" s="2122"/>
      <c r="K262" s="2122"/>
      <c r="L262" s="2122"/>
      <c r="M262" s="2122"/>
    </row>
    <row r="263" spans="1:19">
      <c r="A263" s="2122"/>
      <c r="B263" s="2122"/>
      <c r="C263" s="2122"/>
      <c r="D263" s="2122"/>
      <c r="E263" s="2122"/>
      <c r="F263" s="2122"/>
      <c r="G263" s="2122"/>
      <c r="H263" s="2122"/>
      <c r="I263" s="2122"/>
      <c r="J263" s="2122"/>
      <c r="K263" s="2122"/>
      <c r="L263" s="2122"/>
      <c r="M263" s="2122"/>
      <c r="O263" s="2123">
        <f>H264</f>
        <v>1623338.335</v>
      </c>
      <c r="S263" s="2123">
        <f>L264</f>
        <v>157500000.00999999</v>
      </c>
    </row>
    <row r="264" spans="1:19">
      <c r="A264" s="2511" t="s">
        <v>2725</v>
      </c>
      <c r="B264" s="2511"/>
      <c r="C264" s="2511"/>
      <c r="D264" s="2125"/>
      <c r="E264" s="2125"/>
      <c r="F264" s="2125"/>
      <c r="G264" s="2125"/>
      <c r="H264" s="2512">
        <v>1623338.335</v>
      </c>
      <c r="I264" s="2512"/>
      <c r="J264" s="2512"/>
      <c r="K264" s="2125"/>
      <c r="L264" s="2126">
        <v>157500000.00999999</v>
      </c>
      <c r="M264" s="2125"/>
    </row>
    <row r="265" spans="1:19">
      <c r="A265" s="2118"/>
      <c r="B265" s="2118"/>
      <c r="C265" s="2118"/>
      <c r="D265" s="2118"/>
      <c r="E265" s="2505" t="s">
        <v>2718</v>
      </c>
      <c r="F265" s="2505"/>
      <c r="G265" s="2118"/>
      <c r="H265" s="2513">
        <v>36322326.174099997</v>
      </c>
      <c r="I265" s="2513"/>
      <c r="J265" s="2513"/>
      <c r="K265" s="2122"/>
      <c r="L265" s="2513">
        <v>3609723671.8800001</v>
      </c>
      <c r="M265" s="2122"/>
    </row>
    <row r="266" spans="1:19">
      <c r="A266" s="2118"/>
      <c r="B266" s="2118"/>
      <c r="C266" s="2118"/>
      <c r="D266" s="2118"/>
      <c r="E266" s="2118"/>
      <c r="F266" s="2118"/>
      <c r="G266" s="2118"/>
      <c r="H266" s="2513"/>
      <c r="I266" s="2513"/>
      <c r="J266" s="2513"/>
      <c r="K266" s="2122"/>
      <c r="L266" s="2513"/>
      <c r="M266" s="2122"/>
      <c r="O266" s="2123">
        <f>O260+O263-H265</f>
        <v>5.0000101327896118E-4</v>
      </c>
    </row>
    <row r="267" spans="1:19" ht="55.2">
      <c r="A267" s="2117" t="s">
        <v>2713</v>
      </c>
      <c r="B267" s="2118"/>
      <c r="C267" s="2117" t="s">
        <v>1069</v>
      </c>
      <c r="D267" s="2118"/>
      <c r="E267" s="2117" t="s">
        <v>2714</v>
      </c>
      <c r="F267" s="2118"/>
    </row>
    <row r="268" spans="1:19">
      <c r="A268" s="2122"/>
      <c r="B268" s="2122"/>
      <c r="C268" s="2122"/>
      <c r="D268" s="2122"/>
      <c r="E268" s="2122"/>
      <c r="F268" s="2122"/>
      <c r="G268" s="2122"/>
      <c r="H268" s="2122"/>
      <c r="I268" s="2122"/>
      <c r="J268" s="2122"/>
      <c r="K268" s="2122"/>
      <c r="L268" s="2122"/>
      <c r="M268" s="2122"/>
    </row>
    <row r="269" spans="1:19">
      <c r="A269" s="2118"/>
      <c r="H269" s="2505" t="s">
        <v>2715</v>
      </c>
      <c r="I269" s="2505"/>
      <c r="J269" s="2122"/>
      <c r="K269" s="2506">
        <v>0</v>
      </c>
      <c r="L269" s="2506"/>
      <c r="M269" s="2122"/>
      <c r="N269" s="2514"/>
      <c r="O269" s="2122"/>
    </row>
    <row r="270" spans="1:19">
      <c r="H270" s="2122"/>
      <c r="I270" s="2122"/>
      <c r="J270" s="2122"/>
      <c r="K270" s="2506"/>
      <c r="L270" s="2506"/>
      <c r="N270" s="2514"/>
    </row>
    <row r="271" spans="1:19">
      <c r="A271" s="2117">
        <v>48483</v>
      </c>
      <c r="B271" s="2122"/>
      <c r="C271" s="2508" t="s">
        <v>2767</v>
      </c>
      <c r="D271" s="2508"/>
      <c r="E271" s="2508"/>
      <c r="F271" s="2508"/>
      <c r="G271" s="2508"/>
      <c r="H271" s="2508"/>
      <c r="I271" s="2508"/>
      <c r="J271" s="2122"/>
      <c r="K271" s="2122"/>
      <c r="L271" s="2122"/>
      <c r="M271" s="2122"/>
    </row>
    <row r="272" spans="1:19">
      <c r="A272" s="2122"/>
      <c r="B272" s="2122"/>
      <c r="C272" s="2122"/>
      <c r="D272" s="2122"/>
      <c r="E272" s="2122"/>
      <c r="F272" s="2122"/>
      <c r="G272" s="2122"/>
      <c r="H272" s="2122"/>
      <c r="I272" s="2122"/>
      <c r="J272" s="2122"/>
      <c r="K272" s="2122"/>
      <c r="L272" s="2122"/>
      <c r="M272" s="2122"/>
    </row>
    <row r="273" spans="1:15">
      <c r="A273" s="2509"/>
      <c r="B273" s="2509"/>
      <c r="C273" s="2509"/>
      <c r="D273" s="2125"/>
      <c r="E273" s="2125"/>
      <c r="F273" s="2125"/>
      <c r="G273" s="2125"/>
      <c r="H273" s="2510"/>
      <c r="I273" s="2510"/>
      <c r="J273" s="2510"/>
      <c r="K273" s="2125"/>
      <c r="L273" s="2129"/>
      <c r="M273" s="2125"/>
    </row>
    <row r="274" spans="1:15">
      <c r="A274" s="2118"/>
      <c r="B274" s="2118"/>
      <c r="C274" s="2118"/>
      <c r="D274" s="2118"/>
      <c r="E274" s="2505" t="s">
        <v>2718</v>
      </c>
      <c r="F274" s="2505"/>
      <c r="G274" s="2118"/>
      <c r="H274" s="2506">
        <v>0</v>
      </c>
      <c r="I274" s="2506"/>
      <c r="J274" s="2506"/>
      <c r="K274" s="2122"/>
      <c r="L274" s="2506">
        <v>0</v>
      </c>
      <c r="M274" s="2122"/>
    </row>
    <row r="275" spans="1:15">
      <c r="A275" s="2118"/>
      <c r="B275" s="2118"/>
      <c r="C275" s="2118"/>
      <c r="D275" s="2118"/>
      <c r="E275" s="2118"/>
      <c r="F275" s="2118"/>
      <c r="G275" s="2118"/>
      <c r="H275" s="2506"/>
      <c r="I275" s="2506"/>
      <c r="J275" s="2506"/>
      <c r="K275" s="2122"/>
      <c r="L275" s="2506"/>
      <c r="M275" s="2122"/>
    </row>
    <row r="276" spans="1:15" ht="55.2">
      <c r="A276" s="2117" t="s">
        <v>2713</v>
      </c>
      <c r="B276" s="2118"/>
      <c r="C276" s="2117" t="s">
        <v>1069</v>
      </c>
      <c r="D276" s="2118"/>
      <c r="E276" s="2117" t="s">
        <v>2714</v>
      </c>
      <c r="F276" s="2118"/>
    </row>
    <row r="277" spans="1:15">
      <c r="A277" s="2122"/>
      <c r="B277" s="2122"/>
      <c r="C277" s="2122"/>
      <c r="D277" s="2122"/>
      <c r="E277" s="2122"/>
      <c r="F277" s="2122"/>
      <c r="G277" s="2122"/>
      <c r="H277" s="2122"/>
      <c r="I277" s="2122"/>
      <c r="J277" s="2122"/>
      <c r="K277" s="2122"/>
      <c r="L277" s="2122"/>
      <c r="M277" s="2122"/>
    </row>
    <row r="278" spans="1:15">
      <c r="A278" s="2118"/>
      <c r="H278" s="2505" t="s">
        <v>2715</v>
      </c>
      <c r="I278" s="2505"/>
      <c r="J278" s="2122"/>
      <c r="K278" s="2506">
        <v>0</v>
      </c>
      <c r="L278" s="2506"/>
      <c r="M278" s="2122"/>
      <c r="N278" s="2514"/>
      <c r="O278" s="2122"/>
    </row>
    <row r="279" spans="1:15">
      <c r="H279" s="2122"/>
      <c r="I279" s="2122"/>
      <c r="J279" s="2122"/>
      <c r="K279" s="2506"/>
      <c r="L279" s="2506"/>
      <c r="N279" s="2514"/>
    </row>
    <row r="280" spans="1:15">
      <c r="A280" s="2117">
        <v>48589</v>
      </c>
      <c r="B280" s="2122"/>
      <c r="C280" s="2508" t="s">
        <v>2768</v>
      </c>
      <c r="D280" s="2508"/>
      <c r="E280" s="2508"/>
      <c r="F280" s="2508"/>
      <c r="G280" s="2508"/>
      <c r="H280" s="2508"/>
      <c r="I280" s="2508"/>
      <c r="J280" s="2122"/>
      <c r="K280" s="2122"/>
      <c r="L280" s="2122"/>
      <c r="M280" s="2122"/>
    </row>
    <row r="281" spans="1:15">
      <c r="A281" s="2122"/>
      <c r="B281" s="2122"/>
      <c r="C281" s="2122"/>
      <c r="D281" s="2122"/>
      <c r="E281" s="2122"/>
      <c r="F281" s="2122"/>
      <c r="G281" s="2122"/>
      <c r="H281" s="2122"/>
      <c r="I281" s="2122"/>
      <c r="J281" s="2122"/>
      <c r="K281" s="2122"/>
      <c r="L281" s="2122"/>
      <c r="M281" s="2122"/>
    </row>
    <row r="282" spans="1:15">
      <c r="A282" s="2509"/>
      <c r="B282" s="2509"/>
      <c r="C282" s="2509"/>
      <c r="D282" s="2125"/>
      <c r="E282" s="2125"/>
      <c r="F282" s="2125"/>
      <c r="G282" s="2125"/>
      <c r="H282" s="2510"/>
      <c r="I282" s="2510"/>
      <c r="J282" s="2510"/>
      <c r="K282" s="2125"/>
      <c r="L282" s="2129"/>
      <c r="M282" s="2125"/>
    </row>
    <row r="283" spans="1:15">
      <c r="A283" s="2118"/>
      <c r="B283" s="2118"/>
      <c r="C283" s="2118"/>
      <c r="D283" s="2118"/>
      <c r="E283" s="2505" t="s">
        <v>2718</v>
      </c>
      <c r="F283" s="2505"/>
      <c r="G283" s="2118"/>
      <c r="H283" s="2506">
        <v>0</v>
      </c>
      <c r="I283" s="2506"/>
      <c r="J283" s="2506"/>
      <c r="K283" s="2122"/>
      <c r="L283" s="2506">
        <v>0</v>
      </c>
      <c r="M283" s="2122"/>
    </row>
    <row r="284" spans="1:15">
      <c r="A284" s="2118"/>
      <c r="B284" s="2118"/>
      <c r="C284" s="2118"/>
      <c r="D284" s="2118"/>
      <c r="E284" s="2118"/>
      <c r="F284" s="2118"/>
      <c r="G284" s="2118"/>
      <c r="H284" s="2506"/>
      <c r="I284" s="2506"/>
      <c r="J284" s="2506"/>
      <c r="K284" s="2122"/>
      <c r="L284" s="2506"/>
      <c r="M284" s="2122"/>
    </row>
    <row r="285" spans="1:15" ht="55.2">
      <c r="A285" s="2117" t="s">
        <v>2713</v>
      </c>
      <c r="B285" s="2118"/>
      <c r="C285" s="2117" t="s">
        <v>1069</v>
      </c>
      <c r="D285" s="2118"/>
      <c r="E285" s="2117" t="s">
        <v>2714</v>
      </c>
      <c r="F285" s="2118"/>
    </row>
    <row r="286" spans="1:15">
      <c r="A286" s="2122"/>
      <c r="B286" s="2122"/>
      <c r="C286" s="2122"/>
      <c r="D286" s="2122"/>
      <c r="E286" s="2122"/>
      <c r="F286" s="2122"/>
      <c r="G286" s="2122"/>
      <c r="H286" s="2122"/>
      <c r="I286" s="2122"/>
      <c r="J286" s="2122"/>
      <c r="K286" s="2122"/>
      <c r="L286" s="2122"/>
      <c r="M286" s="2122"/>
    </row>
    <row r="287" spans="1:15">
      <c r="A287" s="2118"/>
      <c r="H287" s="2505" t="s">
        <v>2715</v>
      </c>
      <c r="I287" s="2505"/>
      <c r="J287" s="2122"/>
      <c r="K287" s="2506">
        <v>0</v>
      </c>
      <c r="L287" s="2506"/>
      <c r="M287" s="2122"/>
      <c r="N287" s="2514"/>
      <c r="O287" s="2122"/>
    </row>
    <row r="288" spans="1:15">
      <c r="H288" s="2122"/>
      <c r="I288" s="2122"/>
      <c r="J288" s="2122"/>
      <c r="K288" s="2506"/>
      <c r="L288" s="2506"/>
      <c r="N288" s="2514"/>
    </row>
    <row r="289" spans="1:19">
      <c r="A289" s="2117">
        <v>56386</v>
      </c>
      <c r="B289" s="2122"/>
      <c r="C289" s="2508" t="s">
        <v>2769</v>
      </c>
      <c r="D289" s="2508"/>
      <c r="E289" s="2508"/>
      <c r="F289" s="2508"/>
      <c r="G289" s="2508"/>
      <c r="H289" s="2508"/>
      <c r="I289" s="2508"/>
      <c r="J289" s="2122"/>
      <c r="K289" s="2122"/>
      <c r="L289" s="2122"/>
      <c r="M289" s="2122"/>
    </row>
    <row r="290" spans="1:19">
      <c r="A290" s="2122"/>
      <c r="B290" s="2122"/>
      <c r="C290" s="2122"/>
      <c r="D290" s="2122"/>
      <c r="E290" s="2122"/>
      <c r="F290" s="2122"/>
      <c r="G290" s="2122"/>
      <c r="H290" s="2122"/>
      <c r="I290" s="2122"/>
      <c r="J290" s="2122"/>
      <c r="K290" s="2122"/>
      <c r="L290" s="2122"/>
      <c r="M290" s="2122"/>
    </row>
    <row r="291" spans="1:19">
      <c r="A291" s="2509"/>
      <c r="B291" s="2509"/>
      <c r="C291" s="2509"/>
      <c r="D291" s="2125"/>
      <c r="E291" s="2125"/>
      <c r="F291" s="2125"/>
      <c r="G291" s="2125"/>
      <c r="H291" s="2510"/>
      <c r="I291" s="2510"/>
      <c r="J291" s="2510"/>
      <c r="K291" s="2125"/>
      <c r="L291" s="2129"/>
      <c r="M291" s="2125"/>
    </row>
    <row r="292" spans="1:19">
      <c r="A292" s="2118"/>
      <c r="B292" s="2118"/>
      <c r="C292" s="2118"/>
      <c r="D292" s="2118"/>
      <c r="E292" s="2505" t="s">
        <v>2718</v>
      </c>
      <c r="F292" s="2505"/>
      <c r="G292" s="2118"/>
      <c r="H292" s="2506">
        <v>0</v>
      </c>
      <c r="I292" s="2506"/>
      <c r="J292" s="2506"/>
      <c r="K292" s="2122"/>
      <c r="L292" s="2506">
        <v>0</v>
      </c>
      <c r="M292" s="2122"/>
    </row>
    <row r="293" spans="1:19">
      <c r="A293" s="2118"/>
      <c r="B293" s="2118"/>
      <c r="C293" s="2118"/>
      <c r="D293" s="2118"/>
      <c r="E293" s="2118"/>
      <c r="F293" s="2118"/>
      <c r="G293" s="2118"/>
      <c r="H293" s="2506"/>
      <c r="I293" s="2506"/>
      <c r="J293" s="2506"/>
      <c r="K293" s="2122"/>
      <c r="L293" s="2506"/>
      <c r="M293" s="2122"/>
    </row>
    <row r="294" spans="1:19" ht="55.2">
      <c r="A294" s="2117" t="s">
        <v>2713</v>
      </c>
      <c r="B294" s="2118"/>
      <c r="C294" s="2117" t="s">
        <v>1069</v>
      </c>
      <c r="D294" s="2118"/>
      <c r="E294" s="2117" t="s">
        <v>2714</v>
      </c>
      <c r="F294" s="2118"/>
    </row>
    <row r="295" spans="1:19">
      <c r="A295" s="2122"/>
      <c r="B295" s="2122"/>
      <c r="C295" s="2122"/>
      <c r="D295" s="2122"/>
      <c r="E295" s="2122"/>
      <c r="F295" s="2122"/>
      <c r="G295" s="2122"/>
      <c r="H295" s="2122"/>
      <c r="I295" s="2122"/>
      <c r="J295" s="2122"/>
      <c r="K295" s="2122"/>
      <c r="L295" s="2122"/>
      <c r="M295" s="2122"/>
    </row>
    <row r="296" spans="1:19">
      <c r="A296" s="2118"/>
      <c r="H296" s="2505" t="s">
        <v>2715</v>
      </c>
      <c r="I296" s="2505"/>
      <c r="J296" s="2122"/>
      <c r="K296" s="2513">
        <v>24724.9074</v>
      </c>
      <c r="L296" s="2513"/>
      <c r="M296" s="2122"/>
      <c r="N296" s="2514" t="s">
        <v>2770</v>
      </c>
      <c r="O296" s="2122"/>
    </row>
    <row r="297" spans="1:19">
      <c r="H297" s="2122"/>
      <c r="I297" s="2122"/>
      <c r="J297" s="2122"/>
      <c r="K297" s="2513"/>
      <c r="L297" s="2513"/>
      <c r="N297" s="2514"/>
      <c r="O297" s="2123">
        <f>K296</f>
        <v>24724.9074</v>
      </c>
    </row>
    <row r="298" spans="1:19">
      <c r="A298" s="2117">
        <v>66113</v>
      </c>
      <c r="B298" s="2122"/>
      <c r="C298" s="2508" t="s">
        <v>2771</v>
      </c>
      <c r="D298" s="2508"/>
      <c r="E298" s="2508"/>
      <c r="F298" s="2508"/>
      <c r="G298" s="2508"/>
      <c r="H298" s="2508"/>
      <c r="I298" s="2508"/>
      <c r="J298" s="2122"/>
      <c r="K298" s="2122"/>
      <c r="L298" s="2122"/>
      <c r="M298" s="2122"/>
    </row>
    <row r="299" spans="1:19">
      <c r="A299" s="2122"/>
      <c r="B299" s="2122"/>
      <c r="C299" s="2122"/>
      <c r="D299" s="2122"/>
      <c r="E299" s="2122"/>
      <c r="F299" s="2122"/>
      <c r="G299" s="2122"/>
      <c r="H299" s="2122"/>
      <c r="I299" s="2122"/>
      <c r="J299" s="2122"/>
      <c r="K299" s="2122"/>
      <c r="L299" s="2122"/>
      <c r="M299" s="2122"/>
    </row>
    <row r="300" spans="1:19">
      <c r="A300" s="2511" t="s">
        <v>2722</v>
      </c>
      <c r="B300" s="2511"/>
      <c r="C300" s="2511"/>
      <c r="D300" s="2125"/>
      <c r="E300" s="2125"/>
      <c r="F300" s="2125"/>
      <c r="G300" s="2125"/>
      <c r="H300" s="2512">
        <v>128677.285</v>
      </c>
      <c r="I300" s="2512"/>
      <c r="J300" s="2512"/>
      <c r="K300" s="2125"/>
      <c r="L300" s="2126">
        <v>12153712.25</v>
      </c>
      <c r="M300" s="2125"/>
      <c r="O300" s="2123">
        <f>H300</f>
        <v>128677.285</v>
      </c>
      <c r="S300" s="2123">
        <f>L300</f>
        <v>12153712.25</v>
      </c>
    </row>
    <row r="301" spans="1:19">
      <c r="A301" s="2511" t="s">
        <v>2723</v>
      </c>
      <c r="B301" s="2511"/>
      <c r="C301" s="2511"/>
      <c r="D301" s="2125"/>
      <c r="E301" s="2125"/>
      <c r="F301" s="2125"/>
      <c r="G301" s="2125"/>
      <c r="H301" s="2510">
        <v>-922.97299999999996</v>
      </c>
      <c r="I301" s="2510"/>
      <c r="J301" s="2510"/>
      <c r="K301" s="2125"/>
      <c r="L301" s="2126">
        <v>-95000</v>
      </c>
      <c r="M301" s="2125"/>
    </row>
    <row r="302" spans="1:19">
      <c r="A302" s="2118"/>
      <c r="B302" s="2118"/>
      <c r="C302" s="2118"/>
      <c r="D302" s="2118"/>
      <c r="E302" s="2505" t="s">
        <v>2718</v>
      </c>
      <c r="F302" s="2505"/>
      <c r="G302" s="2118"/>
      <c r="H302" s="2513">
        <v>152479.21960000001</v>
      </c>
      <c r="I302" s="2513"/>
      <c r="J302" s="2513"/>
      <c r="K302" s="2122"/>
      <c r="L302" s="2513">
        <v>15153430.59</v>
      </c>
      <c r="M302" s="2122"/>
    </row>
    <row r="303" spans="1:19">
      <c r="A303" s="2118"/>
      <c r="B303" s="2118"/>
      <c r="C303" s="2118"/>
      <c r="D303" s="2118"/>
      <c r="E303" s="2118"/>
      <c r="F303" s="2118"/>
      <c r="G303" s="2118"/>
      <c r="H303" s="2513"/>
      <c r="I303" s="2513"/>
      <c r="J303" s="2513"/>
      <c r="K303" s="2122"/>
      <c r="L303" s="2513"/>
      <c r="M303" s="2122"/>
      <c r="O303" s="2119">
        <f>-H301</f>
        <v>922.97299999999996</v>
      </c>
      <c r="S303" s="2119">
        <f>-L301</f>
        <v>95000</v>
      </c>
    </row>
    <row r="304" spans="1:19" ht="55.2">
      <c r="A304" s="2117" t="s">
        <v>2713</v>
      </c>
      <c r="B304" s="2118"/>
      <c r="C304" s="2117" t="s">
        <v>1069</v>
      </c>
      <c r="D304" s="2118"/>
      <c r="E304" s="2117" t="s">
        <v>2714</v>
      </c>
      <c r="F304" s="2118"/>
    </row>
    <row r="305" spans="1:15">
      <c r="A305" s="2122"/>
      <c r="B305" s="2122"/>
      <c r="C305" s="2122"/>
      <c r="D305" s="2122"/>
      <c r="E305" s="2122"/>
      <c r="F305" s="2122"/>
      <c r="G305" s="2122"/>
      <c r="H305" s="2122"/>
      <c r="I305" s="2122"/>
      <c r="J305" s="2122"/>
      <c r="K305" s="2122"/>
      <c r="L305" s="2122"/>
      <c r="M305" s="2122"/>
      <c r="O305" s="2123">
        <f>O297+O300-O303-H302</f>
        <v>-2.0000000949949026E-4</v>
      </c>
    </row>
    <row r="306" spans="1:15">
      <c r="A306" s="2118"/>
      <c r="H306" s="2505" t="s">
        <v>2715</v>
      </c>
      <c r="I306" s="2505"/>
      <c r="J306" s="2122"/>
      <c r="K306" s="2513">
        <v>48977.904600000002</v>
      </c>
      <c r="L306" s="2513"/>
      <c r="M306" s="2122"/>
      <c r="N306" s="2514" t="s">
        <v>2772</v>
      </c>
      <c r="O306" s="2128">
        <f>K306</f>
        <v>48977.904600000002</v>
      </c>
    </row>
    <row r="307" spans="1:15">
      <c r="H307" s="2122"/>
      <c r="I307" s="2122"/>
      <c r="J307" s="2122"/>
      <c r="K307" s="2513"/>
      <c r="L307" s="2513"/>
      <c r="N307" s="2514"/>
    </row>
    <row r="308" spans="1:15">
      <c r="A308" s="2117">
        <v>66112</v>
      </c>
      <c r="B308" s="2122"/>
      <c r="C308" s="2508" t="s">
        <v>2773</v>
      </c>
      <c r="D308" s="2508"/>
      <c r="E308" s="2508"/>
      <c r="F308" s="2508"/>
      <c r="G308" s="2508"/>
      <c r="H308" s="2508"/>
      <c r="I308" s="2508"/>
      <c r="J308" s="2122"/>
      <c r="K308" s="2122"/>
      <c r="L308" s="2122"/>
      <c r="M308" s="2122"/>
    </row>
    <row r="309" spans="1:15">
      <c r="A309" s="2122"/>
      <c r="B309" s="2122"/>
      <c r="C309" s="2122"/>
      <c r="D309" s="2122"/>
      <c r="E309" s="2122"/>
      <c r="F309" s="2122"/>
      <c r="G309" s="2122"/>
      <c r="H309" s="2122"/>
      <c r="I309" s="2122"/>
      <c r="J309" s="2122"/>
      <c r="K309" s="2122"/>
      <c r="L309" s="2122"/>
      <c r="M309" s="2122"/>
      <c r="O309" s="2123">
        <f>H310</f>
        <v>561314.74800000002</v>
      </c>
    </row>
    <row r="310" spans="1:15">
      <c r="A310" s="2511" t="s">
        <v>2722</v>
      </c>
      <c r="B310" s="2511"/>
      <c r="C310" s="2511"/>
      <c r="D310" s="2125"/>
      <c r="E310" s="2125"/>
      <c r="F310" s="2125"/>
      <c r="G310" s="2125"/>
      <c r="H310" s="2512">
        <v>561314.74800000002</v>
      </c>
      <c r="I310" s="2512"/>
      <c r="J310" s="2512"/>
      <c r="K310" s="2125"/>
      <c r="L310" s="2126">
        <v>55687794.520000003</v>
      </c>
      <c r="M310" s="2125"/>
    </row>
    <row r="311" spans="1:15">
      <c r="A311" s="2118"/>
      <c r="B311" s="2118"/>
      <c r="C311" s="2118"/>
      <c r="D311" s="2118"/>
      <c r="E311" s="2505" t="s">
        <v>2718</v>
      </c>
      <c r="F311" s="2505"/>
      <c r="G311" s="2118"/>
      <c r="H311" s="2513">
        <v>610292.65269999998</v>
      </c>
      <c r="I311" s="2513"/>
      <c r="J311" s="2513"/>
      <c r="K311" s="2122"/>
      <c r="L311" s="2513">
        <v>60651066.909999996</v>
      </c>
      <c r="M311" s="2122"/>
    </row>
    <row r="312" spans="1:15">
      <c r="A312" s="2118"/>
      <c r="B312" s="2118"/>
      <c r="C312" s="2118"/>
      <c r="D312" s="2118"/>
      <c r="E312" s="2118"/>
      <c r="F312" s="2118"/>
      <c r="G312" s="2118"/>
      <c r="H312" s="2513"/>
      <c r="I312" s="2513"/>
      <c r="J312" s="2513"/>
      <c r="K312" s="2122"/>
      <c r="L312" s="2513"/>
      <c r="M312" s="2122"/>
      <c r="O312" s="2123">
        <f>O306+O309-H311</f>
        <v>-9.9999946542084217E-5</v>
      </c>
    </row>
  </sheetData>
  <mergeCells count="318">
    <mergeCell ref="E8:F8"/>
    <mergeCell ref="H8:J9"/>
    <mergeCell ref="L8:L9"/>
    <mergeCell ref="H12:I12"/>
    <mergeCell ref="K12:L13"/>
    <mergeCell ref="N12:N13"/>
    <mergeCell ref="H3:I3"/>
    <mergeCell ref="K3:L4"/>
    <mergeCell ref="N3:N4"/>
    <mergeCell ref="C5:I5"/>
    <mergeCell ref="A7:C7"/>
    <mergeCell ref="H7:J7"/>
    <mergeCell ref="H21:I21"/>
    <mergeCell ref="K21:L22"/>
    <mergeCell ref="N21:N22"/>
    <mergeCell ref="C23:I23"/>
    <mergeCell ref="A25:C25"/>
    <mergeCell ref="H25:J25"/>
    <mergeCell ref="C14:I14"/>
    <mergeCell ref="A16:C16"/>
    <mergeCell ref="H16:J16"/>
    <mergeCell ref="E17:F17"/>
    <mergeCell ref="H17:J18"/>
    <mergeCell ref="L17:L18"/>
    <mergeCell ref="N31:N32"/>
    <mergeCell ref="C33:I33"/>
    <mergeCell ref="A35:C35"/>
    <mergeCell ref="H35:J35"/>
    <mergeCell ref="E36:F36"/>
    <mergeCell ref="H36:J37"/>
    <mergeCell ref="L36:L37"/>
    <mergeCell ref="A26:C26"/>
    <mergeCell ref="H26:J26"/>
    <mergeCell ref="E27:F27"/>
    <mergeCell ref="H27:J28"/>
    <mergeCell ref="L27:L28"/>
    <mergeCell ref="H31:I31"/>
    <mergeCell ref="K31:L32"/>
    <mergeCell ref="E45:F45"/>
    <mergeCell ref="H45:J46"/>
    <mergeCell ref="L45:L46"/>
    <mergeCell ref="H49:I49"/>
    <mergeCell ref="K49:L50"/>
    <mergeCell ref="N49:N50"/>
    <mergeCell ref="H40:I40"/>
    <mergeCell ref="K40:L41"/>
    <mergeCell ref="N40:N41"/>
    <mergeCell ref="C42:I42"/>
    <mergeCell ref="A44:C44"/>
    <mergeCell ref="H44:J44"/>
    <mergeCell ref="N67:N68"/>
    <mergeCell ref="H58:I58"/>
    <mergeCell ref="K58:L59"/>
    <mergeCell ref="N58:N59"/>
    <mergeCell ref="C60:I60"/>
    <mergeCell ref="A62:C62"/>
    <mergeCell ref="H62:J62"/>
    <mergeCell ref="C51:I51"/>
    <mergeCell ref="A53:C53"/>
    <mergeCell ref="H53:J53"/>
    <mergeCell ref="E54:F54"/>
    <mergeCell ref="H54:J55"/>
    <mergeCell ref="L54:L55"/>
    <mergeCell ref="C69:I69"/>
    <mergeCell ref="A71:C71"/>
    <mergeCell ref="H71:J71"/>
    <mergeCell ref="E72:F72"/>
    <mergeCell ref="H72:J73"/>
    <mergeCell ref="L72:L73"/>
    <mergeCell ref="E63:F63"/>
    <mergeCell ref="H63:J64"/>
    <mergeCell ref="L63:L64"/>
    <mergeCell ref="H67:I67"/>
    <mergeCell ref="K67:L68"/>
    <mergeCell ref="E81:F81"/>
    <mergeCell ref="H81:J82"/>
    <mergeCell ref="L81:L82"/>
    <mergeCell ref="H85:I85"/>
    <mergeCell ref="K85:L86"/>
    <mergeCell ref="N85:N86"/>
    <mergeCell ref="H76:I76"/>
    <mergeCell ref="K76:L77"/>
    <mergeCell ref="N76:N77"/>
    <mergeCell ref="C78:I78"/>
    <mergeCell ref="A80:C80"/>
    <mergeCell ref="H80:J80"/>
    <mergeCell ref="N103:N104"/>
    <mergeCell ref="H94:I94"/>
    <mergeCell ref="K94:L95"/>
    <mergeCell ref="N94:N95"/>
    <mergeCell ref="C96:I96"/>
    <mergeCell ref="A98:C98"/>
    <mergeCell ref="H98:J98"/>
    <mergeCell ref="C87:I87"/>
    <mergeCell ref="A89:C89"/>
    <mergeCell ref="H89:J89"/>
    <mergeCell ref="E90:F90"/>
    <mergeCell ref="H90:J91"/>
    <mergeCell ref="L90:L91"/>
    <mergeCell ref="C105:I105"/>
    <mergeCell ref="A107:C107"/>
    <mergeCell ref="H107:J107"/>
    <mergeCell ref="E108:F108"/>
    <mergeCell ref="H108:J109"/>
    <mergeCell ref="L108:L109"/>
    <mergeCell ref="E99:F99"/>
    <mergeCell ref="H99:J100"/>
    <mergeCell ref="L99:L100"/>
    <mergeCell ref="H103:I103"/>
    <mergeCell ref="K103:L104"/>
    <mergeCell ref="E117:F117"/>
    <mergeCell ref="H117:J118"/>
    <mergeCell ref="L117:L118"/>
    <mergeCell ref="H121:I121"/>
    <mergeCell ref="K121:L122"/>
    <mergeCell ref="N121:N122"/>
    <mergeCell ref="H112:I112"/>
    <mergeCell ref="K112:L113"/>
    <mergeCell ref="N112:N113"/>
    <mergeCell ref="C114:I114"/>
    <mergeCell ref="A116:C116"/>
    <mergeCell ref="H116:J116"/>
    <mergeCell ref="N139:N140"/>
    <mergeCell ref="H130:I130"/>
    <mergeCell ref="K130:L131"/>
    <mergeCell ref="N130:N131"/>
    <mergeCell ref="C132:I132"/>
    <mergeCell ref="A134:C134"/>
    <mergeCell ref="H134:J134"/>
    <mergeCell ref="C123:I123"/>
    <mergeCell ref="A125:C125"/>
    <mergeCell ref="H125:J125"/>
    <mergeCell ref="E126:F126"/>
    <mergeCell ref="H126:J127"/>
    <mergeCell ref="L126:L127"/>
    <mergeCell ref="C141:I141"/>
    <mergeCell ref="A143:C143"/>
    <mergeCell ref="H143:J143"/>
    <mergeCell ref="E144:F144"/>
    <mergeCell ref="H144:J145"/>
    <mergeCell ref="L144:L145"/>
    <mergeCell ref="E135:F135"/>
    <mergeCell ref="H135:J136"/>
    <mergeCell ref="L135:L136"/>
    <mergeCell ref="H139:I139"/>
    <mergeCell ref="K139:L140"/>
    <mergeCell ref="E153:F153"/>
    <mergeCell ref="H153:J154"/>
    <mergeCell ref="L153:L154"/>
    <mergeCell ref="H157:I157"/>
    <mergeCell ref="K157:L158"/>
    <mergeCell ref="N157:N158"/>
    <mergeCell ref="H148:I148"/>
    <mergeCell ref="K148:L149"/>
    <mergeCell ref="N148:N149"/>
    <mergeCell ref="C150:I150"/>
    <mergeCell ref="A152:C152"/>
    <mergeCell ref="H152:J152"/>
    <mergeCell ref="N175:N176"/>
    <mergeCell ref="H166:I166"/>
    <mergeCell ref="K166:L167"/>
    <mergeCell ref="N166:N167"/>
    <mergeCell ref="C168:I168"/>
    <mergeCell ref="A170:C170"/>
    <mergeCell ref="H170:J170"/>
    <mergeCell ref="C159:I159"/>
    <mergeCell ref="A161:C161"/>
    <mergeCell ref="H161:J161"/>
    <mergeCell ref="E162:F162"/>
    <mergeCell ref="H162:J163"/>
    <mergeCell ref="L162:L163"/>
    <mergeCell ref="C177:I177"/>
    <mergeCell ref="A179:C179"/>
    <mergeCell ref="H179:J179"/>
    <mergeCell ref="E180:F180"/>
    <mergeCell ref="H180:J181"/>
    <mergeCell ref="L180:L181"/>
    <mergeCell ref="E171:F171"/>
    <mergeCell ref="H171:J172"/>
    <mergeCell ref="L171:L172"/>
    <mergeCell ref="H175:I175"/>
    <mergeCell ref="K175:L176"/>
    <mergeCell ref="E189:F189"/>
    <mergeCell ref="H189:J190"/>
    <mergeCell ref="L189:L190"/>
    <mergeCell ref="H193:I193"/>
    <mergeCell ref="K193:L194"/>
    <mergeCell ref="N193:N194"/>
    <mergeCell ref="H184:I184"/>
    <mergeCell ref="K184:L185"/>
    <mergeCell ref="N184:N185"/>
    <mergeCell ref="C186:I186"/>
    <mergeCell ref="A188:C188"/>
    <mergeCell ref="H188:J188"/>
    <mergeCell ref="N211:N212"/>
    <mergeCell ref="H202:I202"/>
    <mergeCell ref="K202:L203"/>
    <mergeCell ref="N202:N203"/>
    <mergeCell ref="C204:I204"/>
    <mergeCell ref="A206:C206"/>
    <mergeCell ref="H206:J206"/>
    <mergeCell ref="C195:I195"/>
    <mergeCell ref="A197:C197"/>
    <mergeCell ref="H197:J197"/>
    <mergeCell ref="E198:F198"/>
    <mergeCell ref="H198:J199"/>
    <mergeCell ref="L198:L199"/>
    <mergeCell ref="C213:I213"/>
    <mergeCell ref="A215:C215"/>
    <mergeCell ref="H215:J215"/>
    <mergeCell ref="E216:F216"/>
    <mergeCell ref="H216:J217"/>
    <mergeCell ref="L216:L217"/>
    <mergeCell ref="E207:F207"/>
    <mergeCell ref="H207:J208"/>
    <mergeCell ref="L207:L208"/>
    <mergeCell ref="H211:I211"/>
    <mergeCell ref="K211:L212"/>
    <mergeCell ref="A225:C225"/>
    <mergeCell ref="H225:J225"/>
    <mergeCell ref="A226:C226"/>
    <mergeCell ref="H226:J226"/>
    <mergeCell ref="E227:F227"/>
    <mergeCell ref="H227:J228"/>
    <mergeCell ref="H220:I220"/>
    <mergeCell ref="K220:L221"/>
    <mergeCell ref="N220:N221"/>
    <mergeCell ref="C222:I222"/>
    <mergeCell ref="A224:C224"/>
    <mergeCell ref="H224:J224"/>
    <mergeCell ref="E236:F236"/>
    <mergeCell ref="H236:J237"/>
    <mergeCell ref="L236:L237"/>
    <mergeCell ref="H240:I240"/>
    <mergeCell ref="K240:L241"/>
    <mergeCell ref="N240:N241"/>
    <mergeCell ref="L227:L228"/>
    <mergeCell ref="H231:I231"/>
    <mergeCell ref="K231:L232"/>
    <mergeCell ref="N231:N232"/>
    <mergeCell ref="C233:I233"/>
    <mergeCell ref="A235:C235"/>
    <mergeCell ref="H235:J235"/>
    <mergeCell ref="H249:I249"/>
    <mergeCell ref="K249:L250"/>
    <mergeCell ref="N249:N250"/>
    <mergeCell ref="C251:I251"/>
    <mergeCell ref="A253:C253"/>
    <mergeCell ref="H253:J253"/>
    <mergeCell ref="C242:I242"/>
    <mergeCell ref="A244:C244"/>
    <mergeCell ref="H244:J244"/>
    <mergeCell ref="E245:F245"/>
    <mergeCell ref="H245:J246"/>
    <mergeCell ref="L245:L246"/>
    <mergeCell ref="N269:N270"/>
    <mergeCell ref="L256:L257"/>
    <mergeCell ref="H260:I260"/>
    <mergeCell ref="K260:L261"/>
    <mergeCell ref="N260:N261"/>
    <mergeCell ref="C262:I262"/>
    <mergeCell ref="A264:C264"/>
    <mergeCell ref="H264:J264"/>
    <mergeCell ref="A254:C254"/>
    <mergeCell ref="H254:J254"/>
    <mergeCell ref="A255:C255"/>
    <mergeCell ref="H255:J255"/>
    <mergeCell ref="E256:F256"/>
    <mergeCell ref="H256:J257"/>
    <mergeCell ref="C271:I271"/>
    <mergeCell ref="A273:C273"/>
    <mergeCell ref="H273:J273"/>
    <mergeCell ref="E274:F274"/>
    <mergeCell ref="H274:J275"/>
    <mergeCell ref="L274:L275"/>
    <mergeCell ref="E265:F265"/>
    <mergeCell ref="H265:J266"/>
    <mergeCell ref="L265:L266"/>
    <mergeCell ref="H269:I269"/>
    <mergeCell ref="K269:L270"/>
    <mergeCell ref="E283:F283"/>
    <mergeCell ref="H283:J284"/>
    <mergeCell ref="L283:L284"/>
    <mergeCell ref="H287:I287"/>
    <mergeCell ref="K287:L288"/>
    <mergeCell ref="N287:N288"/>
    <mergeCell ref="H278:I278"/>
    <mergeCell ref="K278:L279"/>
    <mergeCell ref="N278:N279"/>
    <mergeCell ref="C280:I280"/>
    <mergeCell ref="A282:C282"/>
    <mergeCell ref="H282:J282"/>
    <mergeCell ref="H296:I296"/>
    <mergeCell ref="K296:L297"/>
    <mergeCell ref="N296:N297"/>
    <mergeCell ref="C298:I298"/>
    <mergeCell ref="A300:C300"/>
    <mergeCell ref="H300:J300"/>
    <mergeCell ref="C289:I289"/>
    <mergeCell ref="A291:C291"/>
    <mergeCell ref="H291:J291"/>
    <mergeCell ref="E292:F292"/>
    <mergeCell ref="H292:J293"/>
    <mergeCell ref="L292:L293"/>
    <mergeCell ref="N306:N307"/>
    <mergeCell ref="C308:I308"/>
    <mergeCell ref="A310:C310"/>
    <mergeCell ref="H310:J310"/>
    <mergeCell ref="E311:F311"/>
    <mergeCell ref="H311:J312"/>
    <mergeCell ref="L311:L312"/>
    <mergeCell ref="A301:C301"/>
    <mergeCell ref="H301:J301"/>
    <mergeCell ref="E302:F302"/>
    <mergeCell ref="H302:J303"/>
    <mergeCell ref="L302:L303"/>
    <mergeCell ref="H306:I306"/>
    <mergeCell ref="K306:L30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topLeftCell="C139" workbookViewId="0">
      <selection activeCell="D156" sqref="D156"/>
    </sheetView>
  </sheetViews>
  <sheetFormatPr defaultRowHeight="15.6"/>
  <cols>
    <col min="1" max="1" width="20.09765625" customWidth="1"/>
    <col min="2" max="2" width="97.59765625" bestFit="1" customWidth="1"/>
    <col min="3" max="3" width="16.09765625" customWidth="1"/>
    <col min="4" max="4" width="17" customWidth="1"/>
  </cols>
  <sheetData>
    <row r="1" spans="1:4" s="383" customFormat="1">
      <c r="A1" s="383" t="s">
        <v>1152</v>
      </c>
      <c r="B1" s="383" t="s">
        <v>110</v>
      </c>
      <c r="C1" s="383" t="s">
        <v>109</v>
      </c>
      <c r="D1" s="383" t="s">
        <v>108</v>
      </c>
    </row>
    <row r="2" spans="1:4">
      <c r="A2" s="1018" t="s">
        <v>908</v>
      </c>
      <c r="B2" s="383" t="s">
        <v>909</v>
      </c>
      <c r="C2" s="903">
        <v>974450918.89999998</v>
      </c>
      <c r="D2" s="903">
        <v>0</v>
      </c>
    </row>
    <row r="3" spans="1:4">
      <c r="A3" s="1018" t="s">
        <v>1108</v>
      </c>
      <c r="B3" s="383" t="s">
        <v>1125</v>
      </c>
      <c r="C3" s="903">
        <v>1235073.1299999999</v>
      </c>
      <c r="D3" s="903">
        <v>0</v>
      </c>
    </row>
    <row r="4" spans="1:4">
      <c r="A4" s="1018" t="s">
        <v>910</v>
      </c>
      <c r="B4" s="383" t="s">
        <v>911</v>
      </c>
      <c r="C4" s="903">
        <v>1280814.71</v>
      </c>
      <c r="D4" s="903">
        <v>0</v>
      </c>
    </row>
    <row r="5" spans="1:4">
      <c r="A5" s="1018" t="s">
        <v>912</v>
      </c>
      <c r="B5" s="383" t="s">
        <v>913</v>
      </c>
      <c r="C5" s="903">
        <v>2888830.5300000003</v>
      </c>
      <c r="D5" s="903">
        <v>0</v>
      </c>
    </row>
    <row r="6" spans="1:4">
      <c r="A6" s="1018" t="s">
        <v>1109</v>
      </c>
      <c r="B6" s="383" t="s">
        <v>1126</v>
      </c>
      <c r="C6" s="903">
        <v>38638794</v>
      </c>
      <c r="D6" s="903">
        <v>0</v>
      </c>
    </row>
    <row r="7" spans="1:4">
      <c r="A7" s="1018" t="s">
        <v>914</v>
      </c>
      <c r="B7" s="383" t="s">
        <v>915</v>
      </c>
      <c r="C7" s="903">
        <v>40446</v>
      </c>
      <c r="D7" s="903">
        <v>0</v>
      </c>
    </row>
    <row r="8" spans="1:4">
      <c r="A8" s="1018" t="s">
        <v>916</v>
      </c>
      <c r="B8" s="383" t="s">
        <v>917</v>
      </c>
      <c r="C8" s="903">
        <v>6075.81</v>
      </c>
      <c r="D8" s="903">
        <v>0</v>
      </c>
    </row>
    <row r="9" spans="1:4">
      <c r="A9" s="1018" t="s">
        <v>918</v>
      </c>
      <c r="B9" s="383" t="s">
        <v>919</v>
      </c>
      <c r="C9" s="903">
        <v>1495053</v>
      </c>
      <c r="D9" s="903">
        <v>0</v>
      </c>
    </row>
    <row r="10" spans="1:4">
      <c r="A10" s="1018" t="s">
        <v>920</v>
      </c>
      <c r="B10" s="383" t="s">
        <v>921</v>
      </c>
      <c r="C10" s="903">
        <v>2250518</v>
      </c>
      <c r="D10" s="903">
        <v>0</v>
      </c>
    </row>
    <row r="11" spans="1:4">
      <c r="A11" s="1018" t="s">
        <v>922</v>
      </c>
      <c r="B11" s="383" t="s">
        <v>923</v>
      </c>
      <c r="C11" s="903">
        <v>1368463</v>
      </c>
      <c r="D11" s="903">
        <v>0</v>
      </c>
    </row>
    <row r="12" spans="1:4">
      <c r="A12" s="1018" t="s">
        <v>924</v>
      </c>
      <c r="B12" s="383" t="s">
        <v>925</v>
      </c>
      <c r="C12" s="903">
        <v>1695204</v>
      </c>
      <c r="D12" s="903">
        <v>0</v>
      </c>
    </row>
    <row r="13" spans="1:4">
      <c r="A13" s="1018" t="s">
        <v>926</v>
      </c>
      <c r="B13" s="383" t="s">
        <v>927</v>
      </c>
      <c r="C13" s="903">
        <v>869007.49</v>
      </c>
      <c r="D13" s="903">
        <v>0</v>
      </c>
    </row>
    <row r="14" spans="1:4">
      <c r="A14" s="1018" t="s">
        <v>928</v>
      </c>
      <c r="B14" s="383" t="s">
        <v>929</v>
      </c>
      <c r="C14" s="903">
        <v>325430</v>
      </c>
      <c r="D14" s="903">
        <v>0</v>
      </c>
    </row>
    <row r="15" spans="1:4">
      <c r="A15" s="1018" t="s">
        <v>930</v>
      </c>
      <c r="B15" s="383" t="s">
        <v>931</v>
      </c>
      <c r="C15" s="903">
        <v>568666</v>
      </c>
      <c r="D15" s="903">
        <v>0</v>
      </c>
    </row>
    <row r="16" spans="1:4">
      <c r="A16" s="1018" t="s">
        <v>932</v>
      </c>
      <c r="B16" s="383" t="s">
        <v>933</v>
      </c>
      <c r="C16" s="903">
        <v>132770</v>
      </c>
      <c r="D16" s="903">
        <v>0</v>
      </c>
    </row>
    <row r="17" spans="1:4">
      <c r="A17" s="1018" t="s">
        <v>934</v>
      </c>
      <c r="B17" s="383" t="s">
        <v>935</v>
      </c>
      <c r="C17" s="903">
        <v>138632</v>
      </c>
      <c r="D17" s="903">
        <v>0</v>
      </c>
    </row>
    <row r="18" spans="1:4">
      <c r="A18" s="1018" t="s">
        <v>936</v>
      </c>
      <c r="B18" s="383" t="s">
        <v>937</v>
      </c>
      <c r="C18" s="903">
        <v>1413294</v>
      </c>
      <c r="D18" s="903">
        <v>0</v>
      </c>
    </row>
    <row r="19" spans="1:4">
      <c r="A19" s="1018" t="s">
        <v>938</v>
      </c>
      <c r="B19" s="383" t="s">
        <v>939</v>
      </c>
      <c r="C19" s="903">
        <v>405467</v>
      </c>
      <c r="D19" s="903">
        <v>0</v>
      </c>
    </row>
    <row r="20" spans="1:4">
      <c r="A20" s="1018" t="s">
        <v>1110</v>
      </c>
      <c r="B20" s="383" t="s">
        <v>1127</v>
      </c>
      <c r="C20" s="903">
        <v>4998558.3899999997</v>
      </c>
      <c r="D20" s="903">
        <v>0</v>
      </c>
    </row>
    <row r="21" spans="1:4">
      <c r="A21" s="1018" t="s">
        <v>1097</v>
      </c>
      <c r="B21" s="383" t="s">
        <v>1096</v>
      </c>
      <c r="C21" s="903">
        <v>1432536.6600000001</v>
      </c>
      <c r="D21" s="903">
        <v>0</v>
      </c>
    </row>
    <row r="22" spans="1:4">
      <c r="A22" s="1018" t="s">
        <v>1111</v>
      </c>
      <c r="B22" s="383" t="s">
        <v>1128</v>
      </c>
      <c r="C22" s="903">
        <v>3300057.06</v>
      </c>
      <c r="D22" s="903">
        <v>0</v>
      </c>
    </row>
    <row r="23" spans="1:4">
      <c r="A23" s="1018" t="s">
        <v>1112</v>
      </c>
      <c r="B23" s="383" t="s">
        <v>1129</v>
      </c>
      <c r="C23" s="903">
        <v>23626.959999999999</v>
      </c>
      <c r="D23" s="903">
        <v>0</v>
      </c>
    </row>
    <row r="24" spans="1:4">
      <c r="A24" s="1004" t="s">
        <v>1142</v>
      </c>
      <c r="B24" s="383" t="s">
        <v>1143</v>
      </c>
      <c r="C24" s="903">
        <v>12500</v>
      </c>
      <c r="D24" s="903">
        <v>0</v>
      </c>
    </row>
    <row r="25" spans="1:4">
      <c r="A25" s="1018" t="s">
        <v>836</v>
      </c>
      <c r="B25" s="383" t="s">
        <v>837</v>
      </c>
      <c r="C25" s="903">
        <v>8208797471.8000002</v>
      </c>
      <c r="D25" s="903">
        <v>0</v>
      </c>
    </row>
    <row r="26" spans="1:4">
      <c r="A26" s="1018" t="s">
        <v>838</v>
      </c>
      <c r="B26" s="383" t="s">
        <v>839</v>
      </c>
      <c r="C26" s="903">
        <v>0</v>
      </c>
      <c r="D26" s="903">
        <v>536318462.25999999</v>
      </c>
    </row>
    <row r="27" spans="1:4">
      <c r="A27" s="1018" t="s">
        <v>850</v>
      </c>
      <c r="B27" s="383" t="s">
        <v>851</v>
      </c>
      <c r="C27" s="903">
        <v>0</v>
      </c>
      <c r="D27" s="903">
        <v>5815</v>
      </c>
    </row>
    <row r="28" spans="1:4">
      <c r="A28" s="1018" t="s">
        <v>852</v>
      </c>
      <c r="B28" s="383" t="s">
        <v>853</v>
      </c>
      <c r="C28" s="903">
        <v>0</v>
      </c>
      <c r="D28" s="903">
        <v>69</v>
      </c>
    </row>
    <row r="29" spans="1:4">
      <c r="A29" s="1018" t="s">
        <v>854</v>
      </c>
      <c r="B29" s="383" t="s">
        <v>855</v>
      </c>
      <c r="C29" s="903">
        <v>5965.59</v>
      </c>
      <c r="D29" s="903">
        <v>0</v>
      </c>
    </row>
    <row r="30" spans="1:4">
      <c r="A30" s="1018" t="s">
        <v>840</v>
      </c>
      <c r="B30" s="383" t="s">
        <v>841</v>
      </c>
      <c r="C30" s="903">
        <v>1154883238.3199999</v>
      </c>
      <c r="D30" s="903">
        <v>0</v>
      </c>
    </row>
    <row r="31" spans="1:4">
      <c r="A31" s="1018" t="s">
        <v>842</v>
      </c>
      <c r="B31" s="383" t="s">
        <v>843</v>
      </c>
      <c r="C31" s="903">
        <v>202683840.31999999</v>
      </c>
      <c r="D31" s="903">
        <v>0</v>
      </c>
    </row>
    <row r="32" spans="1:4">
      <c r="A32" s="1018" t="s">
        <v>940</v>
      </c>
      <c r="B32" s="383" t="s">
        <v>941</v>
      </c>
      <c r="C32" s="903">
        <v>0</v>
      </c>
      <c r="D32" s="903">
        <v>0.01</v>
      </c>
    </row>
    <row r="33" spans="1:4">
      <c r="A33" s="1018" t="s">
        <v>731</v>
      </c>
      <c r="B33" s="383" t="s">
        <v>732</v>
      </c>
      <c r="C33" s="903">
        <v>2.7800000000000002</v>
      </c>
      <c r="D33" s="903">
        <v>0</v>
      </c>
    </row>
    <row r="34" spans="1:4">
      <c r="A34" s="1018" t="s">
        <v>733</v>
      </c>
      <c r="B34" s="383" t="s">
        <v>734</v>
      </c>
      <c r="C34" s="903">
        <v>114088951.66</v>
      </c>
      <c r="D34" s="903">
        <v>0</v>
      </c>
    </row>
    <row r="35" spans="1:4">
      <c r="A35" s="1018" t="s">
        <v>879</v>
      </c>
      <c r="B35" s="383" t="s">
        <v>1150</v>
      </c>
      <c r="C35" s="903">
        <v>3213035.84</v>
      </c>
      <c r="D35" s="903">
        <v>0</v>
      </c>
    </row>
    <row r="36" spans="1:4">
      <c r="A36" s="1018" t="s">
        <v>1113</v>
      </c>
      <c r="B36" s="383" t="s">
        <v>880</v>
      </c>
      <c r="C36" s="903">
        <v>7232.64</v>
      </c>
      <c r="D36" s="903">
        <v>0</v>
      </c>
    </row>
    <row r="37" spans="1:4">
      <c r="A37" s="1018" t="s">
        <v>881</v>
      </c>
      <c r="B37" s="383" t="s">
        <v>882</v>
      </c>
      <c r="C37" s="903">
        <v>205011.43</v>
      </c>
      <c r="D37" s="903">
        <v>0</v>
      </c>
    </row>
    <row r="38" spans="1:4">
      <c r="A38" s="1018" t="s">
        <v>883</v>
      </c>
      <c r="B38" s="383" t="s">
        <v>884</v>
      </c>
      <c r="C38" s="903">
        <v>18038.68</v>
      </c>
      <c r="D38" s="903">
        <v>0</v>
      </c>
    </row>
    <row r="39" spans="1:4">
      <c r="A39" s="1004" t="s">
        <v>1144</v>
      </c>
      <c r="B39" s="383" t="s">
        <v>1145</v>
      </c>
      <c r="C39" s="903">
        <v>25262</v>
      </c>
      <c r="D39" s="903">
        <v>0</v>
      </c>
    </row>
    <row r="40" spans="1:4">
      <c r="A40" s="1018" t="s">
        <v>885</v>
      </c>
      <c r="B40" s="383" t="s">
        <v>886</v>
      </c>
      <c r="C40" s="903">
        <v>3456.08</v>
      </c>
      <c r="D40" s="903">
        <v>0</v>
      </c>
    </row>
    <row r="41" spans="1:4">
      <c r="A41" s="1018" t="s">
        <v>1114</v>
      </c>
      <c r="B41" s="383" t="s">
        <v>1130</v>
      </c>
      <c r="C41" s="903">
        <v>50948.66</v>
      </c>
      <c r="D41" s="903">
        <v>0</v>
      </c>
    </row>
    <row r="42" spans="1:4">
      <c r="A42" s="1018" t="s">
        <v>903</v>
      </c>
      <c r="B42" s="383" t="s">
        <v>904</v>
      </c>
      <c r="C42" s="903">
        <v>36240919.350000001</v>
      </c>
      <c r="D42" s="903">
        <v>0</v>
      </c>
    </row>
    <row r="43" spans="1:4">
      <c r="A43" s="1018" t="s">
        <v>735</v>
      </c>
      <c r="B43" s="383" t="s">
        <v>736</v>
      </c>
      <c r="C43" s="903">
        <v>5000</v>
      </c>
      <c r="D43" s="903">
        <v>0</v>
      </c>
    </row>
    <row r="44" spans="1:4">
      <c r="A44" s="1018" t="s">
        <v>887</v>
      </c>
      <c r="B44" s="383" t="s">
        <v>888</v>
      </c>
      <c r="C44" s="903">
        <v>317363.48</v>
      </c>
      <c r="D44" s="903">
        <v>0</v>
      </c>
    </row>
    <row r="45" spans="1:4">
      <c r="A45" s="1018" t="s">
        <v>905</v>
      </c>
      <c r="B45" s="383" t="s">
        <v>906</v>
      </c>
      <c r="C45" s="903">
        <v>631922</v>
      </c>
      <c r="D45" s="903">
        <v>0</v>
      </c>
    </row>
    <row r="46" spans="1:4">
      <c r="A46" s="1018" t="s">
        <v>831</v>
      </c>
      <c r="B46" s="383" t="s">
        <v>832</v>
      </c>
      <c r="C46" s="903">
        <v>2500000</v>
      </c>
      <c r="D46" s="903">
        <v>0</v>
      </c>
    </row>
    <row r="47" spans="1:4">
      <c r="A47" s="1018" t="s">
        <v>833</v>
      </c>
      <c r="B47" s="383" t="s">
        <v>834</v>
      </c>
      <c r="C47" s="903">
        <v>250636</v>
      </c>
      <c r="D47" s="903">
        <v>0</v>
      </c>
    </row>
    <row r="48" spans="1:4">
      <c r="A48" s="1018" t="s">
        <v>835</v>
      </c>
      <c r="B48" s="383" t="s">
        <v>1151</v>
      </c>
      <c r="C48" s="903">
        <v>500000</v>
      </c>
      <c r="D48" s="903">
        <v>0</v>
      </c>
    </row>
    <row r="49" spans="1:4">
      <c r="A49" s="1018" t="s">
        <v>1115</v>
      </c>
      <c r="B49" s="383" t="s">
        <v>1131</v>
      </c>
      <c r="C49" s="903">
        <v>724</v>
      </c>
      <c r="D49" s="903">
        <v>0</v>
      </c>
    </row>
    <row r="50" spans="1:4">
      <c r="A50" s="1018" t="s">
        <v>825</v>
      </c>
      <c r="B50" s="383" t="s">
        <v>826</v>
      </c>
      <c r="C50" s="903">
        <v>0</v>
      </c>
      <c r="D50" s="903">
        <v>5.04</v>
      </c>
    </row>
    <row r="51" spans="1:4">
      <c r="A51" s="1018" t="s">
        <v>827</v>
      </c>
      <c r="B51" s="383" t="s">
        <v>828</v>
      </c>
      <c r="C51" s="903">
        <v>0</v>
      </c>
      <c r="D51" s="903">
        <v>27824.33</v>
      </c>
    </row>
    <row r="52" spans="1:4">
      <c r="A52" s="1018" t="s">
        <v>829</v>
      </c>
      <c r="B52" s="383" t="s">
        <v>830</v>
      </c>
      <c r="C52" s="903">
        <v>318373</v>
      </c>
      <c r="D52" s="903">
        <v>0</v>
      </c>
    </row>
    <row r="53" spans="1:4">
      <c r="A53" s="1018" t="s">
        <v>942</v>
      </c>
      <c r="B53" s="383" t="s">
        <v>943</v>
      </c>
      <c r="C53" s="903">
        <v>436769</v>
      </c>
      <c r="D53" s="903">
        <v>0</v>
      </c>
    </row>
    <row r="54" spans="1:4">
      <c r="A54" s="1018" t="s">
        <v>944</v>
      </c>
      <c r="B54" s="383" t="s">
        <v>945</v>
      </c>
      <c r="C54" s="903">
        <v>156790</v>
      </c>
      <c r="D54" s="903">
        <v>0</v>
      </c>
    </row>
    <row r="55" spans="1:4">
      <c r="A55" s="1018" t="s">
        <v>946</v>
      </c>
      <c r="B55" s="383" t="s">
        <v>947</v>
      </c>
      <c r="C55" s="903">
        <v>597477</v>
      </c>
      <c r="D55" s="903">
        <v>0</v>
      </c>
    </row>
    <row r="56" spans="1:4">
      <c r="A56" s="1018" t="s">
        <v>948</v>
      </c>
      <c r="B56" s="383" t="s">
        <v>949</v>
      </c>
      <c r="C56" s="903">
        <v>403493</v>
      </c>
      <c r="D56" s="903">
        <v>0</v>
      </c>
    </row>
    <row r="57" spans="1:4">
      <c r="A57" s="1018" t="s">
        <v>950</v>
      </c>
      <c r="B57" s="383" t="s">
        <v>951</v>
      </c>
      <c r="C57" s="903">
        <v>0</v>
      </c>
      <c r="D57" s="903">
        <v>90907</v>
      </c>
    </row>
    <row r="58" spans="1:4">
      <c r="A58" s="1018" t="s">
        <v>952</v>
      </c>
      <c r="B58" s="383" t="s">
        <v>953</v>
      </c>
      <c r="C58" s="903">
        <v>688501</v>
      </c>
      <c r="D58" s="903">
        <v>0</v>
      </c>
    </row>
    <row r="59" spans="1:4">
      <c r="A59" s="1018" t="s">
        <v>954</v>
      </c>
      <c r="B59" s="383" t="s">
        <v>955</v>
      </c>
      <c r="C59" s="903">
        <v>108815</v>
      </c>
      <c r="D59" s="903">
        <v>0</v>
      </c>
    </row>
    <row r="60" spans="1:4">
      <c r="A60" s="1018" t="s">
        <v>956</v>
      </c>
      <c r="B60" s="383" t="s">
        <v>957</v>
      </c>
      <c r="C60" s="903">
        <v>297661</v>
      </c>
      <c r="D60" s="903">
        <v>0</v>
      </c>
    </row>
    <row r="61" spans="1:4">
      <c r="A61" s="1018" t="s">
        <v>958</v>
      </c>
      <c r="B61" s="383" t="s">
        <v>959</v>
      </c>
      <c r="C61" s="903">
        <v>56516</v>
      </c>
      <c r="D61" s="903">
        <v>0</v>
      </c>
    </row>
    <row r="62" spans="1:4">
      <c r="A62" s="1018" t="s">
        <v>960</v>
      </c>
      <c r="B62" s="383" t="s">
        <v>961</v>
      </c>
      <c r="C62" s="903">
        <v>204392.49</v>
      </c>
      <c r="D62" s="903">
        <v>0</v>
      </c>
    </row>
    <row r="63" spans="1:4">
      <c r="A63" s="1018" t="s">
        <v>962</v>
      </c>
      <c r="B63" s="383" t="s">
        <v>107</v>
      </c>
      <c r="C63" s="903">
        <v>3188690</v>
      </c>
      <c r="D63" s="903">
        <v>0</v>
      </c>
    </row>
    <row r="64" spans="1:4">
      <c r="A64" s="1018" t="s">
        <v>963</v>
      </c>
      <c r="B64" s="383" t="s">
        <v>964</v>
      </c>
      <c r="C64" s="903">
        <v>0</v>
      </c>
      <c r="D64" s="903">
        <v>3188691</v>
      </c>
    </row>
    <row r="65" spans="1:4">
      <c r="A65" s="1018" t="s">
        <v>737</v>
      </c>
      <c r="B65" s="383" t="s">
        <v>103</v>
      </c>
      <c r="C65" s="903">
        <v>116238</v>
      </c>
      <c r="D65" s="903">
        <v>0</v>
      </c>
    </row>
    <row r="66" spans="1:4">
      <c r="A66" s="1018" t="s">
        <v>965</v>
      </c>
      <c r="B66" s="383" t="s">
        <v>966</v>
      </c>
      <c r="C66" s="903">
        <v>0</v>
      </c>
      <c r="D66" s="903">
        <v>895726329.97000003</v>
      </c>
    </row>
    <row r="67" spans="1:4">
      <c r="A67" s="1018" t="s">
        <v>967</v>
      </c>
      <c r="B67" s="383" t="s">
        <v>968</v>
      </c>
      <c r="C67" s="903">
        <v>1035600326</v>
      </c>
      <c r="D67" s="903">
        <v>0</v>
      </c>
    </row>
    <row r="68" spans="1:4">
      <c r="A68" s="1018" t="s">
        <v>969</v>
      </c>
      <c r="B68" s="383" t="s">
        <v>970</v>
      </c>
      <c r="C68" s="903">
        <v>0</v>
      </c>
      <c r="D68" s="903">
        <v>2778136387.7399998</v>
      </c>
    </row>
    <row r="69" spans="1:4">
      <c r="A69" s="1018" t="s">
        <v>971</v>
      </c>
      <c r="B69" s="383" t="s">
        <v>972</v>
      </c>
      <c r="C69" s="903">
        <v>2970505853.8400002</v>
      </c>
      <c r="D69" s="903">
        <v>0</v>
      </c>
    </row>
    <row r="70" spans="1:4">
      <c r="A70" s="1018" t="s">
        <v>973</v>
      </c>
      <c r="B70" s="383" t="s">
        <v>974</v>
      </c>
      <c r="C70" s="903">
        <v>53795219.079999998</v>
      </c>
      <c r="D70" s="903">
        <v>0</v>
      </c>
    </row>
    <row r="71" spans="1:4">
      <c r="A71" s="1018" t="s">
        <v>975</v>
      </c>
      <c r="B71" s="383" t="s">
        <v>976</v>
      </c>
      <c r="C71" s="903">
        <v>0</v>
      </c>
      <c r="D71" s="903">
        <v>197268744.49000001</v>
      </c>
    </row>
    <row r="72" spans="1:4">
      <c r="A72" s="1018" t="s">
        <v>844</v>
      </c>
      <c r="B72" s="383" t="s">
        <v>845</v>
      </c>
      <c r="C72" s="903">
        <v>332236852.69</v>
      </c>
      <c r="D72" s="903">
        <v>0</v>
      </c>
    </row>
    <row r="73" spans="1:4">
      <c r="A73" s="1018" t="s">
        <v>977</v>
      </c>
      <c r="B73" s="383" t="s">
        <v>978</v>
      </c>
      <c r="C73" s="903">
        <v>0</v>
      </c>
      <c r="D73" s="903">
        <v>11629170369.559999</v>
      </c>
    </row>
    <row r="74" spans="1:4">
      <c r="A74" s="1018" t="s">
        <v>761</v>
      </c>
      <c r="B74" s="383" t="s">
        <v>762</v>
      </c>
      <c r="C74" s="903">
        <v>0</v>
      </c>
      <c r="D74" s="903">
        <v>15967564.98</v>
      </c>
    </row>
    <row r="75" spans="1:4">
      <c r="A75" s="1018" t="s">
        <v>781</v>
      </c>
      <c r="B75" s="383" t="s">
        <v>782</v>
      </c>
      <c r="C75" s="903">
        <v>0</v>
      </c>
      <c r="D75" s="903">
        <v>328996.45</v>
      </c>
    </row>
    <row r="76" spans="1:4">
      <c r="A76" s="1018" t="s">
        <v>763</v>
      </c>
      <c r="B76" s="383" t="s">
        <v>764</v>
      </c>
      <c r="C76" s="903">
        <v>0</v>
      </c>
      <c r="D76" s="903">
        <v>2075777.54</v>
      </c>
    </row>
    <row r="77" spans="1:4">
      <c r="A77" s="1018" t="s">
        <v>765</v>
      </c>
      <c r="B77" s="383" t="s">
        <v>766</v>
      </c>
      <c r="C77" s="903">
        <v>0</v>
      </c>
      <c r="D77" s="903">
        <v>54773935.009999998</v>
      </c>
    </row>
    <row r="78" spans="1:4">
      <c r="A78" s="1018" t="s">
        <v>767</v>
      </c>
      <c r="B78" s="383" t="s">
        <v>768</v>
      </c>
      <c r="C78" s="903">
        <v>0</v>
      </c>
      <c r="D78" s="903">
        <v>115092</v>
      </c>
    </row>
    <row r="79" spans="1:4">
      <c r="A79" s="1018" t="s">
        <v>783</v>
      </c>
      <c r="B79" s="383" t="s">
        <v>784</v>
      </c>
      <c r="C79" s="903">
        <v>0</v>
      </c>
      <c r="D79" s="903">
        <v>3932683</v>
      </c>
    </row>
    <row r="80" spans="1:4">
      <c r="A80" s="1018" t="s">
        <v>769</v>
      </c>
      <c r="B80" s="383" t="s">
        <v>770</v>
      </c>
      <c r="C80" s="903">
        <v>0</v>
      </c>
      <c r="D80" s="903">
        <v>885233</v>
      </c>
    </row>
    <row r="81" spans="1:4">
      <c r="A81" s="1018" t="s">
        <v>771</v>
      </c>
      <c r="B81" s="383" t="s">
        <v>772</v>
      </c>
      <c r="C81" s="903">
        <v>0</v>
      </c>
      <c r="D81" s="903">
        <v>4667</v>
      </c>
    </row>
    <row r="82" spans="1:4">
      <c r="A82" s="1018" t="s">
        <v>773</v>
      </c>
      <c r="B82" s="383" t="s">
        <v>774</v>
      </c>
      <c r="C82" s="903">
        <v>0</v>
      </c>
      <c r="D82" s="903">
        <v>4873535</v>
      </c>
    </row>
    <row r="83" spans="1:4">
      <c r="A83" s="1018" t="s">
        <v>822</v>
      </c>
      <c r="B83" s="383" t="s">
        <v>823</v>
      </c>
      <c r="C83" s="903">
        <v>0</v>
      </c>
      <c r="D83" s="903">
        <v>75828942.650000006</v>
      </c>
    </row>
    <row r="84" spans="1:4">
      <c r="A84" s="1018" t="s">
        <v>785</v>
      </c>
      <c r="B84" s="383" t="s">
        <v>166</v>
      </c>
      <c r="C84" s="903">
        <v>0</v>
      </c>
      <c r="D84" s="903">
        <v>385570</v>
      </c>
    </row>
    <row r="85" spans="1:4">
      <c r="A85" s="1018" t="s">
        <v>786</v>
      </c>
      <c r="B85" s="383" t="s">
        <v>787</v>
      </c>
      <c r="C85" s="903">
        <v>0</v>
      </c>
      <c r="D85" s="903">
        <v>41388.300000000003</v>
      </c>
    </row>
    <row r="86" spans="1:4">
      <c r="A86" s="1018" t="s">
        <v>788</v>
      </c>
      <c r="B86" s="383" t="s">
        <v>789</v>
      </c>
      <c r="C86" s="903">
        <v>0</v>
      </c>
      <c r="D86" s="903">
        <v>132770</v>
      </c>
    </row>
    <row r="87" spans="1:4">
      <c r="A87" s="1018" t="s">
        <v>790</v>
      </c>
      <c r="B87" s="383" t="s">
        <v>791</v>
      </c>
      <c r="C87" s="903">
        <v>0</v>
      </c>
      <c r="D87" s="903">
        <v>138632</v>
      </c>
    </row>
    <row r="88" spans="1:4">
      <c r="A88" s="1018" t="s">
        <v>792</v>
      </c>
      <c r="B88" s="383" t="s">
        <v>793</v>
      </c>
      <c r="C88" s="903">
        <v>0</v>
      </c>
      <c r="D88" s="903">
        <v>326711</v>
      </c>
    </row>
    <row r="89" spans="1:4">
      <c r="A89" s="1018" t="s">
        <v>794</v>
      </c>
      <c r="B89" s="383" t="s">
        <v>795</v>
      </c>
      <c r="C89" s="903">
        <v>0</v>
      </c>
      <c r="D89" s="903">
        <v>569947</v>
      </c>
    </row>
    <row r="90" spans="1:4">
      <c r="A90" s="1018" t="s">
        <v>796</v>
      </c>
      <c r="B90" s="383" t="s">
        <v>797</v>
      </c>
      <c r="C90" s="903">
        <v>0</v>
      </c>
      <c r="D90" s="903">
        <v>1495257</v>
      </c>
    </row>
    <row r="91" spans="1:4">
      <c r="A91" s="1018" t="s">
        <v>798</v>
      </c>
      <c r="B91" s="383" t="s">
        <v>799</v>
      </c>
      <c r="C91" s="903">
        <v>0</v>
      </c>
      <c r="D91" s="903">
        <v>2250622</v>
      </c>
    </row>
    <row r="92" spans="1:4">
      <c r="A92" s="1018" t="s">
        <v>800</v>
      </c>
      <c r="B92" s="383" t="s">
        <v>801</v>
      </c>
      <c r="C92" s="903">
        <v>0</v>
      </c>
      <c r="D92" s="903">
        <v>1695204</v>
      </c>
    </row>
    <row r="93" spans="1:4">
      <c r="A93" s="1018" t="s">
        <v>802</v>
      </c>
      <c r="B93" s="383" t="s">
        <v>803</v>
      </c>
      <c r="C93" s="903">
        <v>0</v>
      </c>
      <c r="D93" s="903">
        <v>1413295</v>
      </c>
    </row>
    <row r="94" spans="1:4">
      <c r="A94" s="1018" t="s">
        <v>804</v>
      </c>
      <c r="B94" s="383" t="s">
        <v>805</v>
      </c>
      <c r="C94" s="903">
        <v>0</v>
      </c>
      <c r="D94" s="903">
        <v>1773960</v>
      </c>
    </row>
    <row r="95" spans="1:4">
      <c r="A95" s="1018" t="s">
        <v>806</v>
      </c>
      <c r="B95" s="383" t="s">
        <v>807</v>
      </c>
      <c r="C95" s="903">
        <v>0</v>
      </c>
      <c r="D95" s="903">
        <v>6824313.29</v>
      </c>
    </row>
    <row r="96" spans="1:4">
      <c r="A96" s="1018" t="s">
        <v>808</v>
      </c>
      <c r="B96" s="383" t="s">
        <v>809</v>
      </c>
      <c r="C96" s="903">
        <v>0</v>
      </c>
      <c r="D96" s="903">
        <v>26874</v>
      </c>
    </row>
    <row r="97" spans="1:4">
      <c r="A97" s="1018" t="s">
        <v>810</v>
      </c>
      <c r="B97" s="383" t="s">
        <v>811</v>
      </c>
      <c r="C97" s="903">
        <v>1807</v>
      </c>
      <c r="D97" s="903">
        <v>0</v>
      </c>
    </row>
    <row r="98" spans="1:4">
      <c r="A98" s="1018" t="s">
        <v>775</v>
      </c>
      <c r="B98" s="383" t="s">
        <v>776</v>
      </c>
      <c r="C98" s="903">
        <v>0</v>
      </c>
      <c r="D98" s="903">
        <v>57875077.630000003</v>
      </c>
    </row>
    <row r="99" spans="1:4">
      <c r="A99" s="1018" t="s">
        <v>824</v>
      </c>
      <c r="B99" s="383" t="s">
        <v>101</v>
      </c>
      <c r="C99" s="903">
        <v>0</v>
      </c>
      <c r="D99" s="903">
        <v>460184.92</v>
      </c>
    </row>
    <row r="100" spans="1:4">
      <c r="A100" s="1018" t="s">
        <v>812</v>
      </c>
      <c r="B100" s="383" t="s">
        <v>813</v>
      </c>
      <c r="C100" s="903">
        <v>0</v>
      </c>
      <c r="D100" s="903">
        <v>1200794.3799999999</v>
      </c>
    </row>
    <row r="101" spans="1:4">
      <c r="A101" s="1018" t="s">
        <v>814</v>
      </c>
      <c r="B101" s="383" t="s">
        <v>815</v>
      </c>
      <c r="C101" s="903">
        <v>1044293</v>
      </c>
      <c r="D101" s="903">
        <v>0</v>
      </c>
    </row>
    <row r="102" spans="1:4">
      <c r="A102" s="1018" t="s">
        <v>816</v>
      </c>
      <c r="B102" s="383" t="s">
        <v>817</v>
      </c>
      <c r="C102" s="903">
        <v>0</v>
      </c>
      <c r="D102" s="903">
        <v>1044293</v>
      </c>
    </row>
    <row r="103" spans="1:4">
      <c r="A103" s="1018" t="s">
        <v>818</v>
      </c>
      <c r="B103" s="383" t="s">
        <v>819</v>
      </c>
      <c r="C103" s="903">
        <v>0</v>
      </c>
      <c r="D103" s="903">
        <v>189313.5</v>
      </c>
    </row>
    <row r="104" spans="1:4">
      <c r="A104" s="1018" t="s">
        <v>820</v>
      </c>
      <c r="B104" s="383" t="s">
        <v>821</v>
      </c>
      <c r="C104" s="903">
        <v>0</v>
      </c>
      <c r="D104" s="903">
        <v>921.78</v>
      </c>
    </row>
    <row r="105" spans="1:4">
      <c r="A105" s="1018" t="s">
        <v>777</v>
      </c>
      <c r="B105" s="383" t="s">
        <v>778</v>
      </c>
      <c r="C105" s="903">
        <v>0</v>
      </c>
      <c r="D105" s="903">
        <v>90347.58</v>
      </c>
    </row>
    <row r="106" spans="1:4">
      <c r="A106" s="1018" t="s">
        <v>779</v>
      </c>
      <c r="B106" s="383" t="s">
        <v>780</v>
      </c>
      <c r="C106" s="903">
        <v>0</v>
      </c>
      <c r="D106" s="903">
        <v>3441972.5</v>
      </c>
    </row>
    <row r="107" spans="1:4">
      <c r="A107" s="1018" t="s">
        <v>1116</v>
      </c>
      <c r="B107" s="383" t="s">
        <v>1132</v>
      </c>
      <c r="C107" s="903">
        <v>0</v>
      </c>
      <c r="D107" s="903">
        <v>9687819.9800000004</v>
      </c>
    </row>
    <row r="108" spans="1:4">
      <c r="A108" s="1018" t="s">
        <v>846</v>
      </c>
      <c r="B108" s="383" t="s">
        <v>847</v>
      </c>
      <c r="C108" s="903">
        <v>619700189.84000003</v>
      </c>
      <c r="D108" s="903">
        <v>0</v>
      </c>
    </row>
    <row r="109" spans="1:4">
      <c r="A109" s="1018" t="s">
        <v>856</v>
      </c>
      <c r="B109" s="383" t="s">
        <v>857</v>
      </c>
      <c r="C109" s="903">
        <v>0</v>
      </c>
      <c r="D109" s="903">
        <v>551564.89</v>
      </c>
    </row>
    <row r="110" spans="1:4">
      <c r="A110" s="1018" t="s">
        <v>907</v>
      </c>
      <c r="B110" s="383" t="s">
        <v>143</v>
      </c>
      <c r="C110" s="903">
        <v>0</v>
      </c>
      <c r="D110" s="903">
        <v>220086486</v>
      </c>
    </row>
    <row r="111" spans="1:4">
      <c r="A111" s="1018" t="s">
        <v>848</v>
      </c>
      <c r="B111" s="383" t="s">
        <v>849</v>
      </c>
      <c r="C111" s="903">
        <v>373092427.95999998</v>
      </c>
      <c r="D111" s="903">
        <v>0</v>
      </c>
    </row>
    <row r="112" spans="1:4">
      <c r="A112" s="1018" t="s">
        <v>858</v>
      </c>
      <c r="B112" s="383" t="s">
        <v>859</v>
      </c>
      <c r="C112" s="903">
        <v>0</v>
      </c>
      <c r="D112" s="903">
        <v>22</v>
      </c>
    </row>
    <row r="113" spans="1:4">
      <c r="A113" s="1018" t="s">
        <v>889</v>
      </c>
      <c r="B113" s="383" t="s">
        <v>890</v>
      </c>
      <c r="C113" s="903">
        <v>0</v>
      </c>
      <c r="D113" s="903">
        <v>13567301</v>
      </c>
    </row>
    <row r="114" spans="1:4">
      <c r="A114" s="1018" t="s">
        <v>891</v>
      </c>
      <c r="B114" s="383" t="s">
        <v>892</v>
      </c>
      <c r="C114" s="903">
        <v>0</v>
      </c>
      <c r="D114" s="903">
        <v>160802</v>
      </c>
    </row>
    <row r="115" spans="1:4">
      <c r="A115" s="1018" t="s">
        <v>893</v>
      </c>
      <c r="B115" s="383" t="s">
        <v>894</v>
      </c>
      <c r="C115" s="903">
        <v>0</v>
      </c>
      <c r="D115" s="903">
        <v>5635785</v>
      </c>
    </row>
    <row r="116" spans="1:4">
      <c r="A116" s="1018" t="s">
        <v>895</v>
      </c>
      <c r="B116" s="383" t="s">
        <v>896</v>
      </c>
      <c r="C116" s="903">
        <v>0</v>
      </c>
      <c r="D116" s="903">
        <v>315952</v>
      </c>
    </row>
    <row r="117" spans="1:4">
      <c r="A117" s="1004" t="s">
        <v>1146</v>
      </c>
      <c r="B117" s="383" t="s">
        <v>1147</v>
      </c>
      <c r="C117" s="903">
        <v>0</v>
      </c>
      <c r="D117" s="903">
        <v>25262</v>
      </c>
    </row>
    <row r="118" spans="1:4">
      <c r="A118" s="1018" t="s">
        <v>897</v>
      </c>
      <c r="B118" s="383" t="s">
        <v>898</v>
      </c>
      <c r="C118" s="903">
        <v>0</v>
      </c>
      <c r="D118" s="903">
        <v>53</v>
      </c>
    </row>
    <row r="119" spans="1:4">
      <c r="A119" s="1018" t="s">
        <v>1117</v>
      </c>
      <c r="B119" s="383" t="s">
        <v>1133</v>
      </c>
      <c r="C119" s="903">
        <v>0</v>
      </c>
      <c r="D119" s="903">
        <v>17.28</v>
      </c>
    </row>
    <row r="120" spans="1:4">
      <c r="A120" s="1018" t="s">
        <v>899</v>
      </c>
      <c r="B120" s="383" t="s">
        <v>900</v>
      </c>
      <c r="C120" s="903">
        <v>0</v>
      </c>
      <c r="D120" s="903">
        <v>33791</v>
      </c>
    </row>
    <row r="121" spans="1:4">
      <c r="A121" s="1018" t="s">
        <v>901</v>
      </c>
      <c r="B121" s="383" t="s">
        <v>902</v>
      </c>
      <c r="C121" s="903">
        <v>0</v>
      </c>
      <c r="D121" s="903">
        <v>73266</v>
      </c>
    </row>
    <row r="122" spans="1:4">
      <c r="A122" s="1018" t="s">
        <v>1118</v>
      </c>
      <c r="B122" s="383" t="s">
        <v>1134</v>
      </c>
      <c r="C122" s="903">
        <v>0</v>
      </c>
      <c r="D122" s="903">
        <v>7263671</v>
      </c>
    </row>
    <row r="123" spans="1:4">
      <c r="A123" s="1018" t="s">
        <v>1119</v>
      </c>
      <c r="B123" s="383" t="s">
        <v>1135</v>
      </c>
      <c r="C123" s="903">
        <v>0</v>
      </c>
      <c r="D123" s="903">
        <v>466.29</v>
      </c>
    </row>
    <row r="124" spans="1:4">
      <c r="A124" s="1018" t="s">
        <v>860</v>
      </c>
      <c r="B124" s="383" t="s">
        <v>861</v>
      </c>
      <c r="C124" s="903">
        <v>0</v>
      </c>
      <c r="D124" s="903">
        <v>18106040.77</v>
      </c>
    </row>
    <row r="125" spans="1:4">
      <c r="A125" s="1018" t="s">
        <v>1120</v>
      </c>
      <c r="B125" s="383" t="s">
        <v>1136</v>
      </c>
      <c r="C125" s="903">
        <v>0</v>
      </c>
      <c r="D125" s="903">
        <v>618.66</v>
      </c>
    </row>
    <row r="126" spans="1:4">
      <c r="A126" s="1018" t="s">
        <v>979</v>
      </c>
      <c r="B126" s="383" t="s">
        <v>980</v>
      </c>
      <c r="C126" s="903">
        <v>0</v>
      </c>
      <c r="D126" s="903">
        <v>53795219.060000002</v>
      </c>
    </row>
    <row r="127" spans="1:4">
      <c r="A127" s="1018" t="s">
        <v>981</v>
      </c>
      <c r="B127" s="383" t="s">
        <v>982</v>
      </c>
      <c r="C127" s="903">
        <v>197268744.49000001</v>
      </c>
      <c r="D127" s="903">
        <v>0</v>
      </c>
    </row>
    <row r="128" spans="1:4">
      <c r="A128" s="1004" t="s">
        <v>1148</v>
      </c>
      <c r="B128" s="383" t="s">
        <v>1149</v>
      </c>
      <c r="C128" s="903">
        <v>75068730</v>
      </c>
      <c r="D128" s="903">
        <v>0</v>
      </c>
    </row>
    <row r="129" spans="1:4">
      <c r="A129" s="1018" t="s">
        <v>866</v>
      </c>
      <c r="B129" s="383" t="s">
        <v>92</v>
      </c>
      <c r="C129" s="903">
        <v>102598161</v>
      </c>
      <c r="D129" s="903">
        <v>0</v>
      </c>
    </row>
    <row r="130" spans="1:4">
      <c r="A130" s="1018" t="s">
        <v>867</v>
      </c>
      <c r="B130" s="383" t="s">
        <v>868</v>
      </c>
      <c r="C130" s="903">
        <v>13337750.93</v>
      </c>
      <c r="D130" s="903">
        <v>0</v>
      </c>
    </row>
    <row r="131" spans="1:4">
      <c r="A131" s="1018" t="s">
        <v>869</v>
      </c>
      <c r="B131" s="383" t="s">
        <v>91</v>
      </c>
      <c r="C131" s="903">
        <v>5634435</v>
      </c>
      <c r="D131" s="903">
        <v>0</v>
      </c>
    </row>
    <row r="132" spans="1:4">
      <c r="A132" s="1018" t="s">
        <v>870</v>
      </c>
      <c r="B132" s="383" t="s">
        <v>871</v>
      </c>
      <c r="C132" s="903">
        <v>732477</v>
      </c>
      <c r="D132" s="903">
        <v>0</v>
      </c>
    </row>
    <row r="133" spans="1:4">
      <c r="A133" s="1018" t="s">
        <v>872</v>
      </c>
      <c r="B133" s="383" t="s">
        <v>87</v>
      </c>
      <c r="C133" s="903">
        <v>4873560</v>
      </c>
      <c r="D133" s="903">
        <v>0</v>
      </c>
    </row>
    <row r="134" spans="1:4">
      <c r="A134" s="1018" t="s">
        <v>873</v>
      </c>
      <c r="B134" s="383" t="s">
        <v>874</v>
      </c>
      <c r="C134" s="903">
        <v>5129713.32</v>
      </c>
      <c r="D134" s="903">
        <v>0</v>
      </c>
    </row>
    <row r="135" spans="1:4">
      <c r="A135" s="1018" t="s">
        <v>875</v>
      </c>
      <c r="B135" s="383" t="s">
        <v>876</v>
      </c>
      <c r="C135" s="903">
        <v>666862</v>
      </c>
      <c r="D135" s="903">
        <v>0</v>
      </c>
    </row>
    <row r="136" spans="1:4">
      <c r="A136" s="1018" t="s">
        <v>1121</v>
      </c>
      <c r="B136" s="383" t="s">
        <v>1137</v>
      </c>
      <c r="C136" s="903">
        <v>20519171.98</v>
      </c>
      <c r="D136" s="903">
        <v>0</v>
      </c>
    </row>
    <row r="137" spans="1:4">
      <c r="A137" s="1018" t="s">
        <v>755</v>
      </c>
      <c r="B137" s="383" t="s">
        <v>756</v>
      </c>
      <c r="C137" s="903">
        <v>24721642.890000001</v>
      </c>
      <c r="D137" s="903">
        <v>0</v>
      </c>
    </row>
    <row r="138" spans="1:4">
      <c r="A138" s="1018" t="s">
        <v>757</v>
      </c>
      <c r="B138" s="383" t="s">
        <v>758</v>
      </c>
      <c r="C138" s="903">
        <v>106176</v>
      </c>
      <c r="D138" s="903">
        <v>0</v>
      </c>
    </row>
    <row r="139" spans="1:4">
      <c r="A139" s="1018" t="s">
        <v>877</v>
      </c>
      <c r="B139" s="383" t="s">
        <v>878</v>
      </c>
      <c r="C139" s="903">
        <v>1118570</v>
      </c>
      <c r="D139" s="903">
        <v>0</v>
      </c>
    </row>
    <row r="140" spans="1:4">
      <c r="A140" s="1018" t="s">
        <v>759</v>
      </c>
      <c r="B140" s="383" t="s">
        <v>760</v>
      </c>
      <c r="C140" s="903">
        <v>793308</v>
      </c>
      <c r="D140" s="903">
        <v>0</v>
      </c>
    </row>
    <row r="141" spans="1:4">
      <c r="A141" s="1018" t="s">
        <v>862</v>
      </c>
      <c r="B141" s="383" t="s">
        <v>863</v>
      </c>
      <c r="C141" s="903">
        <v>530652.27</v>
      </c>
      <c r="D141" s="903">
        <v>0</v>
      </c>
    </row>
    <row r="142" spans="1:4">
      <c r="A142" s="1018" t="s">
        <v>864</v>
      </c>
      <c r="B142" s="383" t="s">
        <v>865</v>
      </c>
      <c r="C142" s="903">
        <v>9272.0400000000009</v>
      </c>
      <c r="D142" s="903">
        <v>0</v>
      </c>
    </row>
    <row r="143" spans="1:4">
      <c r="A143" s="1018" t="s">
        <v>738</v>
      </c>
      <c r="B143" s="383" t="s">
        <v>145</v>
      </c>
      <c r="C143" s="903">
        <v>234521.02000000002</v>
      </c>
      <c r="D143" s="903">
        <v>0</v>
      </c>
    </row>
    <row r="144" spans="1:4">
      <c r="A144" s="1018" t="s">
        <v>739</v>
      </c>
      <c r="B144" s="383" t="s">
        <v>740</v>
      </c>
      <c r="C144" s="903">
        <v>112276</v>
      </c>
      <c r="D144" s="903">
        <v>0</v>
      </c>
    </row>
    <row r="145" spans="1:4">
      <c r="A145" s="1018" t="s">
        <v>741</v>
      </c>
      <c r="B145" s="383" t="s">
        <v>742</v>
      </c>
      <c r="C145" s="903">
        <v>34258</v>
      </c>
      <c r="D145" s="903">
        <v>0</v>
      </c>
    </row>
    <row r="146" spans="1:4">
      <c r="A146" s="1018" t="s">
        <v>743</v>
      </c>
      <c r="B146" s="383" t="s">
        <v>744</v>
      </c>
      <c r="C146" s="903">
        <v>0</v>
      </c>
      <c r="D146" s="903">
        <v>205918.6</v>
      </c>
    </row>
    <row r="147" spans="1:4">
      <c r="A147" s="1018" t="s">
        <v>1122</v>
      </c>
      <c r="B147" s="383" t="s">
        <v>1138</v>
      </c>
      <c r="C147" s="903">
        <v>47985</v>
      </c>
      <c r="D147" s="903">
        <v>0</v>
      </c>
    </row>
    <row r="148" spans="1:4">
      <c r="A148" s="1018" t="s">
        <v>745</v>
      </c>
      <c r="B148" s="383" t="s">
        <v>746</v>
      </c>
      <c r="C148" s="903">
        <v>1579</v>
      </c>
      <c r="D148" s="903">
        <v>0</v>
      </c>
    </row>
    <row r="149" spans="1:4">
      <c r="A149" s="1018" t="s">
        <v>1123</v>
      </c>
      <c r="B149" s="383" t="s">
        <v>1139</v>
      </c>
      <c r="C149" s="903">
        <v>1839.33</v>
      </c>
      <c r="D149" s="903">
        <v>0</v>
      </c>
    </row>
    <row r="150" spans="1:4">
      <c r="A150" s="1018" t="s">
        <v>747</v>
      </c>
      <c r="B150" s="383" t="s">
        <v>748</v>
      </c>
      <c r="C150" s="903">
        <v>42214</v>
      </c>
      <c r="D150" s="903">
        <v>0</v>
      </c>
    </row>
    <row r="151" spans="1:4">
      <c r="A151" s="1018" t="s">
        <v>749</v>
      </c>
      <c r="B151" s="383" t="s">
        <v>750</v>
      </c>
      <c r="C151" s="903">
        <v>46163.03</v>
      </c>
      <c r="D151" s="903">
        <v>0</v>
      </c>
    </row>
    <row r="152" spans="1:4">
      <c r="A152" s="1018" t="s">
        <v>751</v>
      </c>
      <c r="B152" s="383" t="s">
        <v>752</v>
      </c>
      <c r="C152" s="903">
        <v>4421.5</v>
      </c>
      <c r="D152" s="903">
        <v>0</v>
      </c>
    </row>
    <row r="153" spans="1:4">
      <c r="A153" s="1018" t="s">
        <v>753</v>
      </c>
      <c r="B153" s="383" t="s">
        <v>754</v>
      </c>
      <c r="C153" s="903">
        <v>14683.550000000001</v>
      </c>
      <c r="D153" s="903">
        <v>0</v>
      </c>
    </row>
    <row r="154" spans="1:4">
      <c r="A154" s="1018" t="s">
        <v>1124</v>
      </c>
      <c r="B154" s="383" t="s">
        <v>1140</v>
      </c>
      <c r="C154" s="903">
        <v>8105</v>
      </c>
      <c r="D154" s="903">
        <v>0</v>
      </c>
    </row>
    <row r="156" spans="1:4">
      <c r="C156" s="903">
        <f>SUM(C1:C154)</f>
        <v>16609607714.52</v>
      </c>
      <c r="D156" s="903">
        <f>SUM(D1:D154)</f>
        <v>16609607537.440001</v>
      </c>
    </row>
  </sheetData>
  <pageMargins left="0.7" right="0.7" top="0.75" bottom="0.75" header="0.3" footer="0.3"/>
  <pageSetup paperSize="9" orientation="portrait" horizontalDpi="30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30"/>
  <sheetViews>
    <sheetView view="pageBreakPreview" zoomScaleNormal="100" zoomScaleSheetLayoutView="100" workbookViewId="0">
      <selection activeCell="M2" sqref="M2"/>
    </sheetView>
  </sheetViews>
  <sheetFormatPr defaultColWidth="9" defaultRowHeight="13.8"/>
  <cols>
    <col min="1" max="1" width="5.09765625" style="1526" customWidth="1"/>
    <col min="2" max="2" width="2.09765625" style="1526" customWidth="1"/>
    <col min="3" max="3" width="22.09765625" style="1526" customWidth="1"/>
    <col min="4" max="4" width="8" style="1526" customWidth="1"/>
    <col min="5" max="5" width="8.59765625" style="1526" customWidth="1"/>
    <col min="6" max="6" width="12.09765625" style="1526" customWidth="1"/>
    <col min="7" max="7" width="0.59765625" style="1526" customWidth="1"/>
    <col min="8" max="8" width="12.09765625" style="1526" customWidth="1"/>
    <col min="9" max="9" width="0.59765625" style="1526" customWidth="1"/>
    <col min="10" max="10" width="12.09765625" style="1526" customWidth="1"/>
    <col min="11" max="11" width="0.5" style="1526" customWidth="1"/>
    <col min="12" max="12" width="12.09765625" style="1526" customWidth="1"/>
    <col min="13" max="13" width="12.59765625" style="1520" customWidth="1"/>
    <col min="14" max="14" width="9.09765625" style="1520" bestFit="1" customWidth="1"/>
    <col min="15" max="15" width="10.59765625" style="1520" bestFit="1" customWidth="1"/>
    <col min="16" max="16384" width="9" style="1520"/>
  </cols>
  <sheetData>
    <row r="1" spans="1:15" s="1513" customFormat="1" ht="18.75" customHeight="1">
      <c r="A1" s="2326" t="str">
        <f>IS!$A$1</f>
        <v>MCB PAKISTAN STOCK MARKET FUND</v>
      </c>
      <c r="B1" s="2326"/>
      <c r="C1" s="2326"/>
      <c r="D1" s="2326"/>
      <c r="E1" s="2326"/>
      <c r="F1" s="2326"/>
      <c r="G1" s="2326"/>
      <c r="H1" s="2326"/>
      <c r="I1" s="2326"/>
      <c r="J1" s="2326"/>
      <c r="K1" s="2326"/>
      <c r="L1" s="2326"/>
    </row>
    <row r="2" spans="1:15" s="1513" customFormat="1" ht="18.75" customHeight="1">
      <c r="A2" s="2326" t="s">
        <v>1105</v>
      </c>
      <c r="B2" s="2326"/>
      <c r="C2" s="2326"/>
      <c r="D2" s="2326"/>
      <c r="E2" s="2326"/>
      <c r="F2" s="2326"/>
      <c r="G2" s="2326"/>
      <c r="H2" s="2326"/>
      <c r="I2" s="2326"/>
      <c r="J2" s="2326"/>
      <c r="K2" s="2326"/>
      <c r="L2" s="2326"/>
    </row>
    <row r="3" spans="1:15" s="1804" customFormat="1" ht="18.75" customHeight="1">
      <c r="A3" s="2326" t="str">
        <f>IS!$A$3</f>
        <v>FOR THE NINE MONTHS AND QUARTER ENDED MARCH 31, 2022</v>
      </c>
      <c r="B3" s="2326"/>
      <c r="C3" s="2326"/>
      <c r="D3" s="2326"/>
      <c r="E3" s="2326"/>
      <c r="F3" s="2326"/>
      <c r="G3" s="2326"/>
      <c r="H3" s="2326"/>
      <c r="I3" s="2326"/>
      <c r="J3" s="2326"/>
      <c r="K3" s="2326"/>
      <c r="L3" s="2326"/>
    </row>
    <row r="4" spans="1:15" s="1513" customFormat="1">
      <c r="A4" s="1519"/>
      <c r="B4" s="1514"/>
      <c r="C4" s="1514"/>
      <c r="D4" s="1514"/>
      <c r="E4" s="1514"/>
      <c r="F4" s="1515"/>
      <c r="G4" s="1516"/>
      <c r="H4" s="1515"/>
    </row>
    <row r="5" spans="1:15" s="1513" customFormat="1">
      <c r="A5" s="1519"/>
      <c r="B5" s="1514"/>
      <c r="C5" s="1514"/>
      <c r="D5" s="1514"/>
      <c r="E5" s="1514"/>
      <c r="F5" s="1515"/>
      <c r="G5" s="1516"/>
      <c r="H5" s="1515"/>
    </row>
    <row r="6" spans="1:15" s="1513" customFormat="1">
      <c r="A6" s="1519"/>
      <c r="B6" s="1514"/>
      <c r="C6" s="1514"/>
      <c r="D6" s="1517"/>
      <c r="E6" s="1517"/>
      <c r="F6" s="2328" t="s">
        <v>2677</v>
      </c>
      <c r="G6" s="2328"/>
      <c r="H6" s="2328"/>
      <c r="I6" s="1731"/>
      <c r="J6" s="2328" t="s">
        <v>706</v>
      </c>
      <c r="K6" s="2328"/>
      <c r="L6" s="2328"/>
      <c r="M6" s="1518"/>
      <c r="N6" s="1518"/>
      <c r="O6" s="1518"/>
    </row>
    <row r="7" spans="1:15" s="1513" customFormat="1">
      <c r="A7" s="1519"/>
      <c r="B7" s="1514"/>
      <c r="C7" s="1514"/>
      <c r="D7" s="1514"/>
      <c r="E7" s="1514"/>
      <c r="F7" s="2329" t="s">
        <v>2676</v>
      </c>
      <c r="G7" s="2329"/>
      <c r="H7" s="2329"/>
      <c r="I7" s="1731"/>
      <c r="J7" s="2329" t="s">
        <v>2676</v>
      </c>
      <c r="K7" s="2329"/>
      <c r="L7" s="2329"/>
      <c r="M7" s="1518"/>
      <c r="N7" s="1518"/>
      <c r="O7" s="1518"/>
    </row>
    <row r="8" spans="1:15" s="1513" customFormat="1">
      <c r="A8" s="1519"/>
      <c r="F8" s="2312" t="s">
        <v>2795</v>
      </c>
      <c r="G8" s="2312"/>
      <c r="H8" s="2312" t="s">
        <v>2678</v>
      </c>
      <c r="I8" s="1475"/>
      <c r="J8" s="2312" t="s">
        <v>2795</v>
      </c>
      <c r="K8" s="2312"/>
      <c r="L8" s="2312" t="s">
        <v>2678</v>
      </c>
      <c r="M8" s="1401"/>
      <c r="N8" s="1518"/>
      <c r="O8" s="1518"/>
    </row>
    <row r="9" spans="1:15" s="1526" customFormat="1">
      <c r="D9" s="1474"/>
      <c r="E9" s="1474"/>
      <c r="F9" s="2320" t="s">
        <v>2485</v>
      </c>
      <c r="G9" s="2320"/>
      <c r="H9" s="2320"/>
      <c r="I9" s="2320"/>
      <c r="J9" s="2320"/>
      <c r="K9" s="2320"/>
      <c r="L9" s="2320"/>
      <c r="M9" s="1885"/>
      <c r="N9" s="1835"/>
      <c r="O9" s="1835"/>
    </row>
    <row r="10" spans="1:15" s="1526" customFormat="1">
      <c r="F10" s="1866"/>
      <c r="G10" s="1866"/>
      <c r="H10" s="1866"/>
      <c r="I10" s="1866"/>
      <c r="J10" s="1835"/>
      <c r="K10" s="1835"/>
      <c r="L10" s="1835"/>
      <c r="M10" s="1835"/>
      <c r="N10" s="1835"/>
      <c r="O10" s="1835"/>
    </row>
    <row r="11" spans="1:15" s="1513" customFormat="1">
      <c r="A11" s="1521" t="str">
        <f>IS!A43</f>
        <v>Net (loss) / income for the period</v>
      </c>
      <c r="B11" s="1518"/>
      <c r="C11" s="1518"/>
      <c r="D11" s="1518"/>
      <c r="E11" s="1518"/>
      <c r="F11" s="1629">
        <f>IS!F43</f>
        <v>-565080</v>
      </c>
      <c r="G11" s="1629"/>
      <c r="H11" s="1522">
        <f>IS!H43</f>
        <v>2594535.35</v>
      </c>
      <c r="I11" s="1630"/>
      <c r="J11" s="1630">
        <f>IS!J43</f>
        <v>-41718.681999999739</v>
      </c>
      <c r="K11" s="1630"/>
      <c r="L11" s="1518">
        <f>IS!L43</f>
        <v>182710.45999999996</v>
      </c>
      <c r="M11" s="1518"/>
      <c r="N11" s="1518"/>
      <c r="O11" s="1518"/>
    </row>
    <row r="12" spans="1:15" s="1513" customFormat="1">
      <c r="A12" s="1523"/>
      <c r="B12" s="1518"/>
      <c r="C12" s="1518"/>
      <c r="D12" s="1518"/>
      <c r="E12" s="1518"/>
      <c r="F12" s="1522"/>
      <c r="G12" s="1522"/>
      <c r="H12" s="1522"/>
      <c r="I12" s="1518"/>
      <c r="J12" s="1518"/>
      <c r="K12" s="1518"/>
      <c r="L12" s="1518"/>
      <c r="M12" s="1518"/>
      <c r="N12" s="1518"/>
      <c r="O12" s="1518"/>
    </row>
    <row r="13" spans="1:15" s="1513" customFormat="1">
      <c r="A13" s="1886" t="s">
        <v>2598</v>
      </c>
      <c r="B13" s="1518"/>
      <c r="C13" s="1518"/>
      <c r="D13" s="1518"/>
      <c r="E13" s="1518"/>
      <c r="F13" s="1629">
        <v>0</v>
      </c>
      <c r="G13" s="1522"/>
      <c r="H13" s="1522">
        <v>0</v>
      </c>
      <c r="J13" s="1629">
        <v>0</v>
      </c>
      <c r="K13" s="1518"/>
      <c r="L13" s="1522">
        <v>0</v>
      </c>
      <c r="M13" s="1518"/>
      <c r="N13" s="1518"/>
      <c r="O13" s="1518"/>
    </row>
    <row r="14" spans="1:15" s="1513" customFormat="1">
      <c r="A14" s="1887"/>
      <c r="B14" s="1888"/>
      <c r="C14" s="1888"/>
      <c r="D14" s="1889"/>
      <c r="E14" s="1889"/>
      <c r="F14" s="1522"/>
      <c r="G14" s="1890"/>
      <c r="H14" s="1522"/>
      <c r="I14" s="1518"/>
      <c r="J14" s="1518"/>
      <c r="K14" s="1518"/>
      <c r="L14" s="1518"/>
      <c r="M14" s="1518"/>
      <c r="N14" s="1518"/>
      <c r="O14" s="1518"/>
    </row>
    <row r="15" spans="1:15" s="1513" customFormat="1" ht="14.4" thickBot="1">
      <c r="A15" s="1891" t="s">
        <v>2363</v>
      </c>
      <c r="B15" s="1888"/>
      <c r="C15" s="1888"/>
      <c r="F15" s="1892">
        <f>F11+F13</f>
        <v>-565080</v>
      </c>
      <c r="G15" s="1893"/>
      <c r="H15" s="1984">
        <f>H11+H13</f>
        <v>2594535.35</v>
      </c>
      <c r="I15" s="1894"/>
      <c r="J15" s="1892">
        <f>J11+J13</f>
        <v>-41718.681999999739</v>
      </c>
      <c r="K15" s="1895"/>
      <c r="L15" s="1984">
        <f>L11+L13</f>
        <v>182710.45999999996</v>
      </c>
      <c r="M15" s="1518"/>
      <c r="N15" s="1518"/>
      <c r="O15" s="1518"/>
    </row>
    <row r="16" spans="1:15" s="1526" customFormat="1" ht="14.4" thickTop="1">
      <c r="J16" s="1896"/>
      <c r="K16" s="1896"/>
      <c r="L16" s="1896"/>
      <c r="M16" s="1835"/>
      <c r="N16" s="1835"/>
      <c r="O16" s="1835"/>
    </row>
    <row r="17" spans="1:15" s="1526" customFormat="1">
      <c r="J17" s="1897"/>
      <c r="K17" s="1897"/>
      <c r="L17" s="1897"/>
      <c r="M17" s="1835"/>
      <c r="N17" s="1835"/>
      <c r="O17" s="1835"/>
    </row>
    <row r="18" spans="1:15" s="1526" customFormat="1">
      <c r="A18" s="1898" t="str">
        <f>IS!$A$56</f>
        <v>The annexed notes 1 to 15 form an integral part of these interim financial statements.</v>
      </c>
      <c r="B18" s="1518"/>
      <c r="C18" s="1518"/>
      <c r="D18" s="1518"/>
      <c r="E18" s="1518"/>
      <c r="F18" s="1522"/>
      <c r="G18" s="1522"/>
      <c r="H18" s="1522"/>
      <c r="J18" s="1897"/>
      <c r="K18" s="1897"/>
      <c r="L18" s="1897"/>
      <c r="M18" s="1835"/>
      <c r="N18" s="1835"/>
      <c r="O18" s="1835"/>
    </row>
    <row r="19" spans="1:15" s="1526" customFormat="1">
      <c r="A19" s="1523"/>
      <c r="B19" s="1518"/>
      <c r="C19" s="1518"/>
      <c r="D19" s="1518"/>
      <c r="E19" s="1518"/>
      <c r="F19" s="1522"/>
      <c r="G19" s="1522"/>
      <c r="H19" s="1522"/>
      <c r="J19" s="1897"/>
      <c r="K19" s="1897"/>
      <c r="L19" s="1897"/>
      <c r="M19" s="1835"/>
      <c r="N19" s="1835"/>
      <c r="O19" s="1835"/>
    </row>
    <row r="20" spans="1:15" s="1526" customFormat="1">
      <c r="A20" s="1523"/>
      <c r="B20" s="1518"/>
      <c r="C20" s="1518"/>
      <c r="D20" s="1518"/>
      <c r="E20" s="1518"/>
      <c r="F20" s="1522"/>
      <c r="G20" s="1522"/>
      <c r="H20" s="1522"/>
      <c r="J20" s="1897"/>
      <c r="K20" s="1897"/>
      <c r="L20" s="1897"/>
      <c r="M20" s="1835"/>
      <c r="N20" s="1835"/>
      <c r="O20" s="1835"/>
    </row>
    <row r="21" spans="1:15" s="1526" customFormat="1">
      <c r="A21" s="2327" t="s">
        <v>2488</v>
      </c>
      <c r="B21" s="2327"/>
      <c r="C21" s="2327"/>
      <c r="D21" s="2327"/>
      <c r="E21" s="2327"/>
      <c r="F21" s="2327"/>
      <c r="G21" s="2327"/>
      <c r="H21" s="2327"/>
      <c r="I21" s="2327"/>
      <c r="J21" s="2327"/>
      <c r="K21" s="2327"/>
      <c r="L21" s="2327"/>
      <c r="M21" s="1835"/>
      <c r="N21" s="1835"/>
      <c r="O21" s="1835"/>
    </row>
    <row r="22" spans="1:15" s="1454" customFormat="1">
      <c r="A22" s="2327" t="s">
        <v>149</v>
      </c>
      <c r="B22" s="2327"/>
      <c r="C22" s="2327"/>
      <c r="D22" s="2327"/>
      <c r="E22" s="2327"/>
      <c r="F22" s="2327"/>
      <c r="G22" s="2327"/>
      <c r="H22" s="2327"/>
      <c r="I22" s="2327"/>
      <c r="J22" s="2327"/>
      <c r="K22" s="2327"/>
      <c r="L22" s="2327"/>
    </row>
    <row r="23" spans="1:15" s="1454" customFormat="1">
      <c r="A23" s="1455"/>
      <c r="B23" s="1455"/>
      <c r="C23" s="1455"/>
      <c r="D23" s="1455"/>
      <c r="E23" s="1455"/>
      <c r="F23" s="1455"/>
      <c r="G23" s="1455"/>
      <c r="H23" s="1483"/>
      <c r="I23" s="1455"/>
    </row>
    <row r="24" spans="1:15" s="1461" customFormat="1">
      <c r="A24" s="1456"/>
      <c r="B24" s="1865"/>
      <c r="C24" s="1865"/>
      <c r="D24" s="1865"/>
      <c r="E24" s="1865"/>
      <c r="F24" s="1458"/>
      <c r="G24" s="1865"/>
      <c r="H24" s="1459"/>
      <c r="I24" s="1460"/>
    </row>
    <row r="25" spans="1:15" s="1461" customFormat="1">
      <c r="B25" s="1865"/>
      <c r="C25" s="1865"/>
      <c r="D25" s="1865"/>
      <c r="E25" s="1865"/>
      <c r="F25" s="1458"/>
      <c r="G25" s="1865"/>
      <c r="H25" s="1459"/>
      <c r="I25" s="1460"/>
    </row>
    <row r="26" spans="1:15" s="1461" customFormat="1">
      <c r="A26" s="1462"/>
      <c r="B26" s="1463"/>
      <c r="C26" s="1865"/>
      <c r="D26" s="1865"/>
      <c r="E26" s="1865"/>
      <c r="F26" s="1458"/>
      <c r="G26" s="1865"/>
      <c r="H26" s="1464"/>
      <c r="I26" s="1460"/>
    </row>
    <row r="27" spans="1:15" s="1461" customFormat="1">
      <c r="A27" s="1460" t="s">
        <v>2490</v>
      </c>
      <c r="B27" s="1881"/>
      <c r="C27" s="1882"/>
      <c r="E27" s="1883" t="s">
        <v>2490</v>
      </c>
      <c r="F27" s="1884"/>
      <c r="G27" s="1882"/>
      <c r="H27" s="1466"/>
      <c r="I27" s="1460"/>
      <c r="K27" s="1626" t="s">
        <v>2490</v>
      </c>
      <c r="M27" s="1626"/>
    </row>
    <row r="28" spans="1:15">
      <c r="A28" s="2004" t="s">
        <v>2489</v>
      </c>
      <c r="B28" s="1524"/>
      <c r="C28" s="1513"/>
      <c r="E28" s="1628" t="s">
        <v>2493</v>
      </c>
      <c r="F28" s="1525"/>
      <c r="G28" s="1515"/>
      <c r="H28" s="1518"/>
      <c r="K28" s="1730" t="s">
        <v>2491</v>
      </c>
    </row>
    <row r="29" spans="1:15">
      <c r="A29" s="1513"/>
      <c r="B29" s="1513"/>
      <c r="C29" s="1513"/>
      <c r="D29" s="1513"/>
      <c r="E29" s="1513"/>
      <c r="F29" s="1525"/>
      <c r="G29" s="1522"/>
      <c r="H29" s="1525"/>
    </row>
    <row r="30" spans="1:15">
      <c r="A30" s="1513"/>
      <c r="B30" s="1513"/>
      <c r="C30" s="1513"/>
      <c r="D30" s="1513"/>
      <c r="E30" s="1513"/>
      <c r="F30" s="1525"/>
      <c r="G30" s="1522"/>
      <c r="H30" s="1525"/>
    </row>
  </sheetData>
  <mergeCells count="10">
    <mergeCell ref="A1:L1"/>
    <mergeCell ref="A2:L2"/>
    <mergeCell ref="A3:L3"/>
    <mergeCell ref="F9:L9"/>
    <mergeCell ref="A21:L21"/>
    <mergeCell ref="A22:L22"/>
    <mergeCell ref="J6:L6"/>
    <mergeCell ref="J7:L7"/>
    <mergeCell ref="F6:H6"/>
    <mergeCell ref="F7:H7"/>
  </mergeCells>
  <pageMargins left="0.75" right="0.25" top="0.75" bottom="0" header="0.25" footer="0"/>
  <pageSetup paperSize="9" scale="90" firstPageNumber="3" fitToHeight="0" orientation="portrait" useFirstPageNumber="1" r:id="rId1"/>
  <headerFooter>
    <oddHeader>&amp;C&amp;"Arial Black,Regular"&amp;11&amp;P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fitToPage="1"/>
  </sheetPr>
  <dimension ref="A1:AG157"/>
  <sheetViews>
    <sheetView topLeftCell="A65" zoomScaleNormal="100" zoomScaleSheetLayoutView="100" workbookViewId="0">
      <selection activeCell="A65" sqref="A65:H65"/>
    </sheetView>
  </sheetViews>
  <sheetFormatPr defaultColWidth="10.09765625" defaultRowHeight="11.4"/>
  <cols>
    <col min="1" max="1" width="5.09765625" style="22" customWidth="1"/>
    <col min="2" max="2" width="3.59765625" style="21" customWidth="1"/>
    <col min="3" max="3" width="36.09765625" style="21" customWidth="1"/>
    <col min="4" max="4" width="5.59765625" style="21" customWidth="1"/>
    <col min="5" max="5" width="4.09765625" style="23" customWidth="1"/>
    <col min="6" max="6" width="10.09765625" style="21" customWidth="1"/>
    <col min="7" max="7" width="4.09765625" style="21" customWidth="1"/>
    <col min="8" max="8" width="15.59765625" style="21" customWidth="1"/>
    <col min="9" max="9" width="14.09765625" style="21" hidden="1" customWidth="1"/>
    <col min="10" max="10" width="0" style="21" hidden="1" customWidth="1"/>
    <col min="11" max="11" width="10.5" style="21" hidden="1" customWidth="1"/>
    <col min="12" max="29" width="0" style="21" hidden="1" customWidth="1"/>
    <col min="30" max="30" width="0.59765625" style="21" customWidth="1"/>
    <col min="31" max="31" width="12.09765625" style="21" customWidth="1"/>
    <col min="32" max="16384" width="10.09765625" style="21"/>
  </cols>
  <sheetData>
    <row r="1" spans="1:30" ht="12">
      <c r="A1" s="18" t="str">
        <f>+UHF!A1</f>
        <v>MCB PAKISTAN STOCK MARKET FUND</v>
      </c>
      <c r="B1" s="19"/>
      <c r="C1" s="19"/>
      <c r="D1" s="19"/>
      <c r="E1" s="20"/>
    </row>
    <row r="2" spans="1:30" ht="12">
      <c r="A2" s="18" t="s">
        <v>629</v>
      </c>
      <c r="B2" s="19"/>
      <c r="C2" s="19"/>
      <c r="D2" s="19"/>
      <c r="E2" s="20"/>
    </row>
    <row r="3" spans="1:30" ht="12">
      <c r="A3" s="19" t="str">
        <f>+UHF!A3</f>
        <v>FOR THE NINE MONTHS AND QUARTER ENDED MARCH 31, 2022</v>
      </c>
      <c r="B3" s="19"/>
      <c r="C3" s="19"/>
      <c r="D3" s="19"/>
      <c r="E3" s="20"/>
    </row>
    <row r="4" spans="1:30" ht="12">
      <c r="A4" s="19"/>
      <c r="B4" s="19"/>
      <c r="C4" s="19"/>
      <c r="D4" s="19"/>
      <c r="E4" s="20"/>
    </row>
    <row r="5" spans="1:30" ht="12">
      <c r="A5" s="24">
        <v>1</v>
      </c>
      <c r="B5" s="19" t="s">
        <v>67</v>
      </c>
      <c r="C5" s="19"/>
      <c r="D5" s="19"/>
      <c r="E5" s="25"/>
    </row>
    <row r="6" spans="1:30" ht="10.35" customHeight="1">
      <c r="A6" s="18"/>
    </row>
    <row r="7" spans="1:30" s="61" customFormat="1" ht="12">
      <c r="A7" s="437"/>
      <c r="B7" s="2518" t="s">
        <v>466</v>
      </c>
      <c r="C7" s="2518"/>
      <c r="D7" s="2518"/>
      <c r="E7" s="2518"/>
      <c r="F7" s="2518"/>
      <c r="G7" s="2518"/>
      <c r="H7" s="2518"/>
      <c r="I7" s="2519"/>
      <c r="J7" s="2519"/>
      <c r="K7" s="2519"/>
      <c r="L7" s="2519"/>
      <c r="M7" s="2519"/>
      <c r="N7" s="2519"/>
      <c r="O7" s="2519"/>
      <c r="P7" s="2519"/>
      <c r="Q7" s="2519"/>
      <c r="R7" s="2519"/>
      <c r="W7" s="2515" t="s">
        <v>159</v>
      </c>
      <c r="X7" s="2515"/>
      <c r="Y7" s="2515"/>
      <c r="Z7" s="2515"/>
      <c r="AA7" s="2515"/>
      <c r="AB7" s="2515"/>
      <c r="AC7" s="2515"/>
      <c r="AD7" s="2515"/>
    </row>
    <row r="8" spans="1:30" s="61" customFormat="1" ht="12">
      <c r="A8" s="437"/>
      <c r="B8" s="2518"/>
      <c r="C8" s="2518"/>
      <c r="D8" s="2518"/>
      <c r="E8" s="2518"/>
      <c r="F8" s="2518"/>
      <c r="G8" s="2518"/>
      <c r="H8" s="2518"/>
      <c r="I8" s="2519"/>
      <c r="J8" s="2519"/>
      <c r="K8" s="2519"/>
      <c r="L8" s="2519"/>
      <c r="M8" s="2519"/>
      <c r="N8" s="2519"/>
      <c r="O8" s="2519"/>
      <c r="P8" s="2519"/>
      <c r="Q8" s="2519"/>
      <c r="R8" s="2519"/>
      <c r="W8" s="2515"/>
      <c r="X8" s="2515"/>
      <c r="Y8" s="2515"/>
      <c r="Z8" s="2515"/>
      <c r="AA8" s="2515"/>
      <c r="AB8" s="2515"/>
      <c r="AC8" s="2515"/>
      <c r="AD8" s="2515"/>
    </row>
    <row r="9" spans="1:30" s="61" customFormat="1" ht="12">
      <c r="A9" s="437"/>
      <c r="B9" s="2518"/>
      <c r="C9" s="2518"/>
      <c r="D9" s="2518"/>
      <c r="E9" s="2518"/>
      <c r="F9" s="2518"/>
      <c r="G9" s="2518"/>
      <c r="H9" s="2518"/>
      <c r="I9" s="717"/>
      <c r="J9" s="717"/>
      <c r="K9" s="717"/>
      <c r="L9" s="717"/>
      <c r="M9" s="717"/>
      <c r="N9" s="717"/>
      <c r="O9" s="717"/>
      <c r="P9" s="717"/>
      <c r="Q9" s="717"/>
      <c r="R9" s="717"/>
      <c r="W9" s="2515"/>
      <c r="X9" s="2515"/>
      <c r="Y9" s="2515"/>
      <c r="Z9" s="2515"/>
      <c r="AA9" s="2515"/>
      <c r="AB9" s="2515"/>
      <c r="AC9" s="2515"/>
      <c r="AD9" s="2515"/>
    </row>
    <row r="10" spans="1:30" s="61" customFormat="1" ht="12">
      <c r="A10" s="437"/>
      <c r="B10" s="2518"/>
      <c r="C10" s="2518"/>
      <c r="D10" s="2518"/>
      <c r="E10" s="2518"/>
      <c r="F10" s="2518"/>
      <c r="G10" s="2518"/>
      <c r="H10" s="2518"/>
      <c r="I10" s="717"/>
      <c r="J10" s="717"/>
      <c r="K10" s="717"/>
      <c r="L10" s="717"/>
      <c r="M10" s="717"/>
      <c r="N10" s="717"/>
      <c r="O10" s="717"/>
      <c r="P10" s="717"/>
      <c r="Q10" s="717"/>
      <c r="R10" s="717"/>
      <c r="W10" s="2515"/>
      <c r="X10" s="2515"/>
      <c r="Y10" s="2515"/>
      <c r="Z10" s="2515"/>
      <c r="AA10" s="2515"/>
      <c r="AB10" s="2515"/>
      <c r="AC10" s="2515"/>
      <c r="AD10" s="2515"/>
    </row>
    <row r="11" spans="1:30" s="61" customFormat="1" ht="12">
      <c r="A11" s="437"/>
      <c r="B11" s="2518"/>
      <c r="C11" s="2518"/>
      <c r="D11" s="2518"/>
      <c r="E11" s="2518"/>
      <c r="F11" s="2518"/>
      <c r="G11" s="2518"/>
      <c r="H11" s="2518"/>
      <c r="I11" s="717"/>
      <c r="J11" s="717"/>
      <c r="K11" s="717"/>
      <c r="L11" s="717"/>
      <c r="M11" s="717"/>
      <c r="N11" s="717"/>
      <c r="O11" s="717"/>
      <c r="P11" s="717"/>
      <c r="Q11" s="717"/>
      <c r="R11" s="717"/>
      <c r="W11" s="2515"/>
      <c r="X11" s="2515"/>
      <c r="Y11" s="2515"/>
      <c r="Z11" s="2515"/>
      <c r="AA11" s="2515"/>
      <c r="AB11" s="2515"/>
      <c r="AC11" s="2515"/>
      <c r="AD11" s="2515"/>
    </row>
    <row r="12" spans="1:30" s="61" customFormat="1" ht="9" customHeight="1">
      <c r="A12" s="437"/>
      <c r="B12" s="438"/>
      <c r="C12" s="438"/>
      <c r="D12" s="438"/>
      <c r="E12" s="438"/>
      <c r="F12" s="438"/>
      <c r="G12" s="438"/>
      <c r="H12" s="438"/>
    </row>
    <row r="13" spans="1:30" s="61" customFormat="1" ht="12">
      <c r="A13" s="437"/>
      <c r="B13" s="2515" t="s">
        <v>467</v>
      </c>
      <c r="C13" s="2515"/>
      <c r="D13" s="2515"/>
      <c r="E13" s="2515"/>
      <c r="F13" s="2515"/>
      <c r="G13" s="2515"/>
      <c r="H13" s="2515"/>
      <c r="J13" s="2515"/>
      <c r="K13" s="2515"/>
      <c r="L13" s="2515"/>
      <c r="M13" s="2515"/>
      <c r="N13" s="2515"/>
      <c r="O13" s="2515"/>
      <c r="P13" s="2515"/>
    </row>
    <row r="14" spans="1:30" s="61" customFormat="1" ht="12">
      <c r="A14" s="437"/>
      <c r="B14" s="2515"/>
      <c r="C14" s="2515"/>
      <c r="D14" s="2515"/>
      <c r="E14" s="2515"/>
      <c r="F14" s="2515"/>
      <c r="G14" s="2515"/>
      <c r="H14" s="2515"/>
      <c r="J14" s="2515"/>
      <c r="K14" s="2515"/>
      <c r="L14" s="2515"/>
      <c r="M14" s="2515"/>
      <c r="N14" s="2515"/>
      <c r="O14" s="2515"/>
      <c r="P14" s="2515"/>
    </row>
    <row r="15" spans="1:30" s="61" customFormat="1" ht="12">
      <c r="A15" s="437"/>
      <c r="B15" s="2515"/>
      <c r="C15" s="2515"/>
      <c r="D15" s="2515"/>
      <c r="E15" s="2515"/>
      <c r="F15" s="2515"/>
      <c r="G15" s="2515"/>
      <c r="H15" s="2515"/>
      <c r="J15" s="2515"/>
      <c r="K15" s="2515"/>
      <c r="L15" s="2515"/>
      <c r="M15" s="2515"/>
      <c r="N15" s="2515"/>
      <c r="O15" s="2515"/>
      <c r="P15" s="2515"/>
    </row>
    <row r="16" spans="1:30" s="61" customFormat="1" ht="12">
      <c r="A16" s="437"/>
      <c r="B16" s="2515"/>
      <c r="C16" s="2515"/>
      <c r="D16" s="2515"/>
      <c r="E16" s="2515"/>
      <c r="F16" s="2515"/>
      <c r="G16" s="2515"/>
      <c r="H16" s="2515"/>
      <c r="J16" s="2515"/>
      <c r="K16" s="2515"/>
      <c r="L16" s="2515"/>
      <c r="M16" s="2515"/>
      <c r="N16" s="2515"/>
      <c r="O16" s="2515"/>
      <c r="P16" s="2515"/>
    </row>
    <row r="17" spans="1:30" s="61" customFormat="1" ht="9" customHeight="1">
      <c r="A17" s="437"/>
      <c r="B17" s="439"/>
      <c r="C17" s="439"/>
      <c r="D17" s="440"/>
      <c r="E17" s="440"/>
      <c r="F17" s="440"/>
      <c r="G17" s="440"/>
      <c r="H17" s="440"/>
    </row>
    <row r="18" spans="1:30" s="61" customFormat="1" ht="12">
      <c r="A18" s="437"/>
      <c r="B18" s="2515" t="s">
        <v>530</v>
      </c>
      <c r="C18" s="2515"/>
      <c r="D18" s="2515"/>
      <c r="E18" s="2515"/>
      <c r="F18" s="2515"/>
      <c r="G18" s="2515"/>
      <c r="H18" s="2515"/>
    </row>
    <row r="19" spans="1:30" s="61" customFormat="1" ht="12">
      <c r="A19" s="437"/>
      <c r="B19" s="2515"/>
      <c r="C19" s="2515"/>
      <c r="D19" s="2515"/>
      <c r="E19" s="2515"/>
      <c r="F19" s="2515"/>
      <c r="G19" s="2515"/>
      <c r="H19" s="2515"/>
    </row>
    <row r="20" spans="1:30" s="61" customFormat="1" ht="12">
      <c r="A20" s="437"/>
      <c r="B20" s="2515"/>
      <c r="C20" s="2515"/>
      <c r="D20" s="2515"/>
      <c r="E20" s="2515"/>
      <c r="F20" s="2515"/>
      <c r="G20" s="2515"/>
      <c r="H20" s="2515"/>
    </row>
    <row r="21" spans="1:30" s="61" customFormat="1" ht="12">
      <c r="A21" s="437"/>
      <c r="B21" s="2515"/>
      <c r="C21" s="2515"/>
      <c r="D21" s="2515"/>
      <c r="E21" s="2515"/>
      <c r="F21" s="2515"/>
      <c r="G21" s="2515"/>
      <c r="H21" s="2515"/>
    </row>
    <row r="22" spans="1:30" s="61" customFormat="1" ht="12">
      <c r="A22" s="437"/>
      <c r="B22" s="2515"/>
      <c r="C22" s="2515"/>
      <c r="D22" s="2515"/>
      <c r="E22" s="2515"/>
      <c r="F22" s="2515"/>
      <c r="G22" s="2515"/>
      <c r="H22" s="2515"/>
    </row>
    <row r="23" spans="1:30" s="61" customFormat="1" ht="9" customHeight="1">
      <c r="A23" s="437"/>
      <c r="B23" s="439"/>
      <c r="C23" s="439"/>
      <c r="D23" s="440"/>
      <c r="E23" s="440"/>
      <c r="F23" s="440"/>
      <c r="G23" s="440"/>
      <c r="H23" s="440"/>
    </row>
    <row r="24" spans="1:30" s="61" customFormat="1" ht="12">
      <c r="A24" s="437"/>
      <c r="B24" s="2520" t="s">
        <v>468</v>
      </c>
      <c r="C24" s="2520" t="s">
        <v>381</v>
      </c>
      <c r="D24" s="2520" t="s">
        <v>381</v>
      </c>
      <c r="E24" s="2520" t="s">
        <v>381</v>
      </c>
      <c r="F24" s="2520" t="s">
        <v>381</v>
      </c>
      <c r="G24" s="2520" t="s">
        <v>381</v>
      </c>
      <c r="H24" s="2520" t="s">
        <v>381</v>
      </c>
      <c r="W24" s="2515"/>
      <c r="X24" s="2515"/>
      <c r="Y24" s="2515"/>
      <c r="Z24" s="2515"/>
      <c r="AA24" s="2515"/>
      <c r="AB24" s="2515"/>
      <c r="AC24" s="2515"/>
      <c r="AD24" s="2515"/>
    </row>
    <row r="25" spans="1:30" s="61" customFormat="1" ht="12">
      <c r="A25" s="437"/>
      <c r="B25" s="2520" t="s">
        <v>381</v>
      </c>
      <c r="C25" s="2520" t="s">
        <v>381</v>
      </c>
      <c r="D25" s="2520" t="s">
        <v>381</v>
      </c>
      <c r="E25" s="2520" t="s">
        <v>381</v>
      </c>
      <c r="F25" s="2520" t="s">
        <v>381</v>
      </c>
      <c r="G25" s="2520" t="s">
        <v>381</v>
      </c>
      <c r="H25" s="2520" t="s">
        <v>381</v>
      </c>
      <c r="W25" s="2515"/>
      <c r="X25" s="2515"/>
      <c r="Y25" s="2515"/>
      <c r="Z25" s="2515"/>
      <c r="AA25" s="2515"/>
      <c r="AB25" s="2515"/>
      <c r="AC25" s="2515"/>
      <c r="AD25" s="2515"/>
    </row>
    <row r="26" spans="1:30" s="61" customFormat="1" ht="9" customHeight="1">
      <c r="A26" s="437"/>
      <c r="B26" s="370"/>
      <c r="C26" s="370"/>
      <c r="D26" s="370"/>
      <c r="E26" s="370"/>
      <c r="F26" s="370"/>
      <c r="G26" s="370"/>
      <c r="H26" s="370"/>
      <c r="W26" s="2515"/>
      <c r="X26" s="2515"/>
      <c r="Y26" s="2515"/>
      <c r="Z26" s="2515"/>
      <c r="AA26" s="2515"/>
      <c r="AB26" s="2515"/>
      <c r="AC26" s="2515"/>
      <c r="AD26" s="2515"/>
    </row>
    <row r="27" spans="1:30" s="61" customFormat="1" ht="12">
      <c r="A27" s="437"/>
      <c r="B27" s="2515" t="s">
        <v>469</v>
      </c>
      <c r="C27" s="2515"/>
      <c r="D27" s="2515"/>
      <c r="E27" s="2515"/>
      <c r="F27" s="2515"/>
      <c r="G27" s="2515"/>
      <c r="H27" s="2515"/>
    </row>
    <row r="28" spans="1:30" s="61" customFormat="1" ht="12">
      <c r="A28" s="437"/>
      <c r="B28" s="2515"/>
      <c r="C28" s="2515"/>
      <c r="D28" s="2515"/>
      <c r="E28" s="2515"/>
      <c r="F28" s="2515"/>
      <c r="G28" s="2515"/>
      <c r="H28" s="2515"/>
    </row>
    <row r="29" spans="1:30" s="61" customFormat="1" ht="9" customHeight="1">
      <c r="A29" s="441"/>
      <c r="B29" s="442"/>
      <c r="C29" s="442"/>
      <c r="D29" s="442"/>
      <c r="E29" s="442"/>
      <c r="F29" s="229"/>
      <c r="G29" s="229"/>
      <c r="H29" s="229"/>
    </row>
    <row r="30" spans="1:30" s="26" customFormat="1" ht="12">
      <c r="A30" s="441"/>
      <c r="B30" s="2515" t="s">
        <v>470</v>
      </c>
      <c r="C30" s="2515"/>
      <c r="D30" s="2515"/>
      <c r="E30" s="2515"/>
      <c r="F30" s="2515"/>
      <c r="G30" s="2515"/>
      <c r="H30" s="2515"/>
    </row>
    <row r="31" spans="1:30" s="26" customFormat="1" ht="12">
      <c r="A31" s="441"/>
      <c r="B31" s="2515"/>
      <c r="C31" s="2515"/>
      <c r="D31" s="2515"/>
      <c r="E31" s="2515"/>
      <c r="F31" s="2515"/>
      <c r="G31" s="2515"/>
      <c r="H31" s="2515"/>
    </row>
    <row r="32" spans="1:30" s="26" customFormat="1" ht="9" customHeight="1">
      <c r="A32" s="441"/>
      <c r="B32" s="716"/>
      <c r="C32" s="716"/>
      <c r="D32" s="716"/>
      <c r="E32" s="716"/>
      <c r="F32" s="716"/>
      <c r="G32" s="716"/>
      <c r="H32" s="716"/>
    </row>
    <row r="33" spans="1:33" s="26" customFormat="1" ht="12">
      <c r="A33" s="441"/>
      <c r="B33" s="2515" t="s">
        <v>586</v>
      </c>
      <c r="C33" s="2515"/>
      <c r="D33" s="2515"/>
      <c r="E33" s="2515"/>
      <c r="F33" s="2515"/>
      <c r="G33" s="2515"/>
      <c r="H33" s="2515"/>
    </row>
    <row r="34" spans="1:33" s="26" customFormat="1" ht="12">
      <c r="A34" s="441"/>
      <c r="B34" s="2515"/>
      <c r="C34" s="2515"/>
      <c r="D34" s="2515"/>
      <c r="E34" s="2515"/>
      <c r="F34" s="2515"/>
      <c r="G34" s="2515"/>
      <c r="H34" s="2515"/>
    </row>
    <row r="35" spans="1:33" s="26" customFormat="1" ht="9" customHeight="1">
      <c r="A35" s="441"/>
      <c r="B35" s="718"/>
      <c r="C35" s="718"/>
      <c r="D35" s="718"/>
      <c r="E35" s="718"/>
      <c r="F35" s="718"/>
      <c r="G35" s="718"/>
      <c r="H35" s="718"/>
    </row>
    <row r="36" spans="1:33" s="26" customFormat="1" ht="12">
      <c r="A36" s="441"/>
      <c r="B36" s="431" t="s">
        <v>553</v>
      </c>
      <c r="C36" s="718"/>
      <c r="D36" s="718"/>
      <c r="E36" s="718"/>
      <c r="F36" s="718"/>
      <c r="G36" s="718"/>
      <c r="H36" s="718"/>
    </row>
    <row r="37" spans="1:33" s="61" customFormat="1" ht="9" customHeight="1">
      <c r="A37" s="437"/>
      <c r="B37" s="440"/>
      <c r="C37" s="440"/>
      <c r="D37" s="440"/>
      <c r="E37" s="440"/>
      <c r="F37" s="440"/>
      <c r="G37" s="440"/>
      <c r="H37" s="440"/>
    </row>
    <row r="38" spans="1:33" ht="12">
      <c r="A38" s="24">
        <f>+A5+1</f>
        <v>2</v>
      </c>
      <c r="B38" s="27" t="s">
        <v>68</v>
      </c>
      <c r="C38" s="27"/>
      <c r="F38" s="23"/>
      <c r="G38" s="23"/>
      <c r="H38" s="23"/>
    </row>
    <row r="39" spans="1:33" ht="9" customHeight="1">
      <c r="A39" s="18"/>
      <c r="F39" s="23"/>
      <c r="G39" s="23"/>
      <c r="H39" s="23"/>
    </row>
    <row r="40" spans="1:33" ht="12">
      <c r="A40" s="18">
        <f>+A38+0.1</f>
        <v>2.1</v>
      </c>
      <c r="B40" s="19" t="s">
        <v>69</v>
      </c>
      <c r="C40" s="19"/>
      <c r="F40" s="23"/>
      <c r="G40" s="23"/>
      <c r="H40" s="23"/>
    </row>
    <row r="41" spans="1:33" ht="9" customHeight="1">
      <c r="A41" s="18"/>
      <c r="F41" s="23"/>
      <c r="G41" s="23"/>
      <c r="H41" s="23"/>
    </row>
    <row r="42" spans="1:33" ht="12">
      <c r="A42" s="19"/>
      <c r="B42" s="2516" t="s">
        <v>599</v>
      </c>
      <c r="C42" s="2516"/>
      <c r="D42" s="2516"/>
      <c r="E42" s="2516"/>
      <c r="F42" s="2516"/>
      <c r="G42" s="2516"/>
      <c r="H42" s="2516"/>
      <c r="I42" s="2517"/>
    </row>
    <row r="43" spans="1:33" ht="12">
      <c r="A43" s="18"/>
      <c r="B43" s="2516"/>
      <c r="C43" s="2516"/>
      <c r="D43" s="2516"/>
      <c r="E43" s="2516"/>
      <c r="F43" s="2516"/>
      <c r="G43" s="2516"/>
      <c r="H43" s="2516"/>
      <c r="I43" s="2517"/>
    </row>
    <row r="44" spans="1:33" ht="12">
      <c r="A44" s="18"/>
      <c r="B44" s="2516"/>
      <c r="C44" s="2516"/>
      <c r="D44" s="2516"/>
      <c r="E44" s="2516"/>
      <c r="F44" s="2516"/>
      <c r="G44" s="2516"/>
      <c r="H44" s="2516"/>
      <c r="I44" s="2517"/>
    </row>
    <row r="45" spans="1:33" ht="12">
      <c r="A45" s="18"/>
      <c r="B45" s="2516"/>
      <c r="C45" s="2516"/>
      <c r="D45" s="2516"/>
      <c r="E45" s="2516"/>
      <c r="F45" s="2516"/>
      <c r="G45" s="2516"/>
      <c r="H45" s="2516"/>
      <c r="I45" s="2517"/>
      <c r="AG45" s="21" t="s">
        <v>651</v>
      </c>
    </row>
    <row r="46" spans="1:33" ht="12">
      <c r="A46" s="18"/>
      <c r="B46" s="2516"/>
      <c r="C46" s="2516"/>
      <c r="D46" s="2516"/>
      <c r="E46" s="2516"/>
      <c r="F46" s="2516"/>
      <c r="G46" s="2516"/>
      <c r="H46" s="2516"/>
      <c r="I46" s="2517"/>
    </row>
    <row r="47" spans="1:33" ht="12">
      <c r="A47" s="18"/>
      <c r="B47" s="2516"/>
      <c r="C47" s="2516"/>
      <c r="D47" s="2516"/>
      <c r="E47" s="2516"/>
      <c r="F47" s="2516"/>
      <c r="G47" s="2516"/>
      <c r="H47" s="2516"/>
      <c r="I47" s="2517"/>
    </row>
    <row r="48" spans="1:33" ht="12">
      <c r="A48" s="18"/>
      <c r="B48" s="2516"/>
      <c r="C48" s="2516"/>
      <c r="D48" s="2516"/>
      <c r="E48" s="2516"/>
      <c r="F48" s="2516"/>
      <c r="G48" s="2516"/>
      <c r="H48" s="2516"/>
      <c r="I48" s="718"/>
    </row>
    <row r="49" spans="1:14" ht="12">
      <c r="A49" s="18"/>
      <c r="B49" s="2516"/>
      <c r="C49" s="2516"/>
      <c r="D49" s="2516"/>
      <c r="E49" s="2516"/>
      <c r="F49" s="2516"/>
      <c r="G49" s="2516"/>
      <c r="H49" s="2516"/>
      <c r="I49" s="718"/>
    </row>
    <row r="50" spans="1:14" ht="12">
      <c r="A50" s="18"/>
      <c r="B50" s="2516"/>
      <c r="C50" s="2516"/>
      <c r="D50" s="2516"/>
      <c r="E50" s="2516"/>
      <c r="F50" s="2516"/>
      <c r="G50" s="2516"/>
      <c r="H50" s="2516"/>
      <c r="I50" s="718"/>
    </row>
    <row r="51" spans="1:14" ht="9" customHeight="1">
      <c r="A51" s="18"/>
      <c r="B51" s="720"/>
      <c r="C51" s="720"/>
      <c r="D51" s="720"/>
      <c r="E51" s="720"/>
      <c r="F51" s="720"/>
      <c r="G51" s="720"/>
      <c r="H51" s="720"/>
      <c r="I51" s="718"/>
    </row>
    <row r="52" spans="1:14" ht="9" customHeight="1">
      <c r="A52" s="18"/>
      <c r="B52" s="2522" t="s">
        <v>653</v>
      </c>
      <c r="C52" s="2522"/>
      <c r="D52" s="2522"/>
      <c r="E52" s="2522"/>
      <c r="F52" s="2522"/>
      <c r="G52" s="2522"/>
      <c r="H52" s="2522"/>
      <c r="I52" s="2522"/>
      <c r="J52" s="2522"/>
      <c r="K52" s="2522"/>
      <c r="L52" s="2522"/>
      <c r="M52" s="2522"/>
      <c r="N52" s="2522"/>
    </row>
    <row r="53" spans="1:14" ht="18.75" customHeight="1">
      <c r="A53" s="18"/>
      <c r="B53" s="2522"/>
      <c r="C53" s="2522"/>
      <c r="D53" s="2522"/>
      <c r="E53" s="2522"/>
      <c r="F53" s="2522"/>
      <c r="G53" s="2522"/>
      <c r="H53" s="2522"/>
      <c r="I53" s="2522"/>
      <c r="J53" s="2522"/>
      <c r="K53" s="2522"/>
      <c r="L53" s="2522"/>
      <c r="M53" s="2522"/>
      <c r="N53" s="2522"/>
    </row>
    <row r="54" spans="1:14" ht="9" customHeight="1">
      <c r="A54" s="18"/>
      <c r="B54" s="2522"/>
      <c r="C54" s="2522"/>
      <c r="D54" s="2522"/>
      <c r="E54" s="2522"/>
      <c r="F54" s="2522"/>
      <c r="G54" s="2522"/>
      <c r="H54" s="2522"/>
      <c r="I54" s="2522"/>
      <c r="J54" s="2522"/>
      <c r="K54" s="2522"/>
      <c r="L54" s="2522"/>
      <c r="M54" s="2522"/>
      <c r="N54" s="2522"/>
    </row>
    <row r="55" spans="1:14" ht="14.25" customHeight="1">
      <c r="A55" s="18"/>
      <c r="B55" s="2522"/>
      <c r="C55" s="2522"/>
      <c r="D55" s="2522"/>
      <c r="E55" s="2522"/>
      <c r="F55" s="2522"/>
      <c r="G55" s="2522"/>
      <c r="H55" s="2522"/>
      <c r="I55" s="2522"/>
      <c r="J55" s="2522"/>
      <c r="K55" s="2522"/>
      <c r="L55" s="2522"/>
      <c r="M55" s="2522"/>
      <c r="N55" s="2522"/>
    </row>
    <row r="56" spans="1:14" ht="9" customHeight="1">
      <c r="A56" s="18"/>
      <c r="B56" s="2522"/>
      <c r="C56" s="2522"/>
      <c r="D56" s="2522"/>
      <c r="E56" s="2522"/>
      <c r="F56" s="2522"/>
      <c r="G56" s="2522"/>
      <c r="H56" s="2522"/>
      <c r="I56" s="2522"/>
      <c r="J56" s="2522"/>
      <c r="K56" s="2522"/>
      <c r="L56" s="2522"/>
      <c r="M56" s="2522"/>
      <c r="N56" s="2522"/>
    </row>
    <row r="57" spans="1:14" ht="9" customHeight="1">
      <c r="A57" s="24"/>
      <c r="E57" s="21"/>
    </row>
    <row r="58" spans="1:14" ht="12">
      <c r="A58" s="18">
        <v>3</v>
      </c>
      <c r="B58" s="2523" t="s">
        <v>654</v>
      </c>
      <c r="C58" s="2523"/>
      <c r="D58" s="2523"/>
      <c r="E58" s="2523"/>
      <c r="F58" s="2523"/>
      <c r="G58" s="2523"/>
      <c r="H58" s="2523"/>
      <c r="I58" s="2523"/>
      <c r="J58" s="2523"/>
      <c r="K58" s="2523"/>
      <c r="L58" s="2523"/>
      <c r="M58" s="2523"/>
      <c r="N58" s="2523"/>
    </row>
    <row r="59" spans="1:14" ht="9" customHeight="1">
      <c r="A59" s="18"/>
      <c r="B59" s="2523"/>
      <c r="C59" s="2523"/>
      <c r="D59" s="2523"/>
      <c r="E59" s="2523"/>
      <c r="F59" s="2523"/>
      <c r="G59" s="2523"/>
      <c r="H59" s="2523"/>
      <c r="I59" s="2523"/>
      <c r="J59" s="2523"/>
      <c r="K59" s="2523"/>
      <c r="L59" s="2523"/>
      <c r="M59" s="2523"/>
      <c r="N59" s="2523"/>
    </row>
    <row r="60" spans="1:14" ht="21" customHeight="1">
      <c r="A60" s="18"/>
      <c r="B60" s="2524" t="s">
        <v>655</v>
      </c>
      <c r="C60" s="2524"/>
      <c r="D60" s="2524"/>
      <c r="E60" s="2524"/>
      <c r="F60" s="2524"/>
      <c r="G60" s="2524"/>
      <c r="H60" s="2524"/>
      <c r="I60" s="722"/>
      <c r="J60" s="722"/>
      <c r="K60" s="722"/>
      <c r="L60" s="722"/>
      <c r="M60" s="722"/>
      <c r="N60" s="722"/>
    </row>
    <row r="61" spans="1:14" ht="9" customHeight="1">
      <c r="A61" s="18"/>
      <c r="B61" s="2524"/>
      <c r="C61" s="2524"/>
      <c r="D61" s="2524"/>
      <c r="E61" s="2524"/>
      <c r="F61" s="2524"/>
      <c r="G61" s="2524"/>
      <c r="H61" s="2524"/>
      <c r="I61" s="722"/>
      <c r="J61" s="722"/>
      <c r="K61" s="722"/>
      <c r="L61" s="722"/>
      <c r="M61" s="722"/>
      <c r="N61" s="722"/>
    </row>
    <row r="62" spans="1:14" ht="9" customHeight="1">
      <c r="A62" s="18"/>
      <c r="B62" s="2524"/>
      <c r="C62" s="2524"/>
      <c r="D62" s="2524"/>
      <c r="E62" s="2524"/>
      <c r="F62" s="2524"/>
      <c r="G62" s="2524"/>
      <c r="H62" s="2524"/>
      <c r="I62" s="722"/>
      <c r="J62" s="722"/>
      <c r="K62" s="722"/>
      <c r="L62" s="722"/>
      <c r="M62" s="722"/>
      <c r="N62" s="722"/>
    </row>
    <row r="63" spans="1:14" ht="9" customHeight="1">
      <c r="A63" s="18"/>
      <c r="B63" s="723"/>
      <c r="C63" s="723"/>
      <c r="D63" s="723"/>
      <c r="E63" s="723"/>
      <c r="F63" s="723"/>
      <c r="G63" s="723"/>
      <c r="H63" s="723"/>
      <c r="I63" s="722"/>
      <c r="J63" s="722"/>
      <c r="K63" s="722"/>
      <c r="L63" s="722"/>
      <c r="M63" s="722"/>
      <c r="N63" s="722"/>
    </row>
    <row r="64" spans="1:14" ht="9" customHeight="1">
      <c r="A64" s="18"/>
      <c r="B64" s="723"/>
      <c r="C64" s="723"/>
      <c r="D64" s="723"/>
      <c r="E64" s="723"/>
      <c r="F64" s="723"/>
      <c r="G64" s="723"/>
      <c r="H64" s="723"/>
      <c r="I64" s="722"/>
      <c r="J64" s="722"/>
      <c r="K64" s="722"/>
      <c r="L64" s="722"/>
      <c r="M64" s="722"/>
      <c r="N64" s="722"/>
    </row>
    <row r="65" spans="1:31" ht="12" customHeight="1">
      <c r="A65" s="2525">
        <v>2</v>
      </c>
      <c r="B65" s="2525"/>
      <c r="C65" s="2525"/>
      <c r="D65" s="2525"/>
      <c r="E65" s="2525"/>
      <c r="F65" s="2525"/>
      <c r="G65" s="2525"/>
      <c r="H65" s="2525"/>
      <c r="I65" s="19"/>
      <c r="J65" s="19"/>
      <c r="K65" s="19"/>
      <c r="L65" s="19"/>
      <c r="M65" s="19"/>
      <c r="N65" s="19"/>
      <c r="O65" s="19"/>
      <c r="P65" s="19"/>
      <c r="Q65" s="19"/>
      <c r="R65" s="19"/>
      <c r="S65" s="19"/>
      <c r="T65" s="19"/>
      <c r="U65" s="19"/>
      <c r="V65" s="19"/>
      <c r="W65" s="19"/>
      <c r="X65" s="19"/>
      <c r="Y65" s="19"/>
      <c r="Z65" s="19"/>
      <c r="AA65" s="19"/>
      <c r="AB65" s="19"/>
      <c r="AC65" s="19"/>
      <c r="AD65" s="19"/>
      <c r="AE65" s="19"/>
    </row>
    <row r="66" spans="1:31" ht="9" customHeight="1">
      <c r="A66" s="18"/>
      <c r="B66" s="722"/>
      <c r="C66" s="722"/>
      <c r="D66" s="722"/>
      <c r="E66" s="722"/>
      <c r="F66" s="722"/>
      <c r="G66" s="722"/>
      <c r="H66" s="722"/>
      <c r="I66" s="722"/>
      <c r="J66" s="722"/>
      <c r="K66" s="722"/>
      <c r="L66" s="722"/>
      <c r="M66" s="722"/>
      <c r="N66" s="722"/>
    </row>
    <row r="67" spans="1:31" ht="9" customHeight="1">
      <c r="A67" s="18"/>
      <c r="B67" s="2526" t="s">
        <v>656</v>
      </c>
      <c r="C67" s="2526"/>
      <c r="D67" s="2526"/>
      <c r="E67" s="2526"/>
      <c r="F67" s="2526"/>
      <c r="G67" s="2526"/>
      <c r="H67" s="2526"/>
      <c r="I67" s="2526"/>
      <c r="J67" s="2526"/>
      <c r="K67" s="2526"/>
      <c r="L67" s="2526"/>
      <c r="M67" s="722"/>
      <c r="N67" s="722"/>
    </row>
    <row r="68" spans="1:31" ht="18" customHeight="1">
      <c r="A68" s="18"/>
      <c r="B68" s="2526"/>
      <c r="C68" s="2526"/>
      <c r="D68" s="2526"/>
      <c r="E68" s="2526"/>
      <c r="F68" s="2526"/>
      <c r="G68" s="2526"/>
      <c r="H68" s="2526"/>
      <c r="I68" s="2526"/>
      <c r="J68" s="2526"/>
      <c r="K68" s="2526"/>
      <c r="L68" s="2526"/>
      <c r="M68" s="722"/>
      <c r="N68" s="722"/>
    </row>
    <row r="69" spans="1:31" ht="9" customHeight="1">
      <c r="A69" s="18"/>
      <c r="B69" s="2526"/>
      <c r="C69" s="2526"/>
      <c r="D69" s="2526"/>
      <c r="E69" s="2526"/>
      <c r="F69" s="2526"/>
      <c r="G69" s="2526"/>
      <c r="H69" s="2526"/>
      <c r="I69" s="2526"/>
      <c r="J69" s="2526"/>
      <c r="K69" s="2526"/>
      <c r="L69" s="2526"/>
      <c r="M69" s="722"/>
      <c r="N69" s="722"/>
    </row>
    <row r="70" spans="1:31" ht="9" customHeight="1">
      <c r="A70" s="18"/>
      <c r="B70" s="2526"/>
      <c r="C70" s="2526"/>
      <c r="D70" s="2526"/>
      <c r="E70" s="2526"/>
      <c r="F70" s="2526"/>
      <c r="G70" s="2526"/>
      <c r="H70" s="2526"/>
      <c r="I70" s="2526"/>
      <c r="J70" s="2526"/>
      <c r="K70" s="2526"/>
      <c r="L70" s="2526"/>
      <c r="M70" s="722"/>
      <c r="N70" s="722"/>
    </row>
    <row r="71" spans="1:31" ht="9" customHeight="1">
      <c r="A71" s="18"/>
      <c r="B71" s="2526"/>
      <c r="C71" s="2526"/>
      <c r="D71" s="2526"/>
      <c r="E71" s="2526"/>
      <c r="F71" s="2526"/>
      <c r="G71" s="2526"/>
      <c r="H71" s="2526"/>
      <c r="I71" s="2526"/>
      <c r="J71" s="2526"/>
      <c r="K71" s="2526"/>
      <c r="L71" s="2526"/>
      <c r="M71" s="722"/>
      <c r="N71" s="722"/>
    </row>
    <row r="72" spans="1:31" ht="36" customHeight="1">
      <c r="A72" s="18"/>
      <c r="B72" s="2526"/>
      <c r="C72" s="2526"/>
      <c r="D72" s="2526"/>
      <c r="E72" s="2526"/>
      <c r="F72" s="2526"/>
      <c r="G72" s="2526"/>
      <c r="H72" s="2526"/>
      <c r="I72" s="2526"/>
      <c r="J72" s="2526"/>
      <c r="K72" s="2526"/>
      <c r="L72" s="2526"/>
      <c r="M72" s="722"/>
      <c r="N72" s="722"/>
    </row>
    <row r="73" spans="1:31" ht="9" customHeight="1">
      <c r="A73" s="18"/>
      <c r="B73" s="2526"/>
      <c r="C73" s="2526"/>
      <c r="D73" s="2526"/>
      <c r="E73" s="2526"/>
      <c r="F73" s="2526"/>
      <c r="G73" s="2526"/>
      <c r="H73" s="2526"/>
      <c r="I73" s="2526"/>
      <c r="J73" s="2526"/>
      <c r="K73" s="2526"/>
      <c r="L73" s="2526"/>
      <c r="M73" s="722"/>
      <c r="N73" s="722"/>
    </row>
    <row r="74" spans="1:31" ht="9" customHeight="1">
      <c r="A74" s="18"/>
      <c r="B74" s="722"/>
      <c r="C74" s="722"/>
      <c r="D74" s="722"/>
      <c r="E74" s="722"/>
      <c r="F74" s="722"/>
      <c r="G74" s="722"/>
      <c r="H74" s="722"/>
      <c r="I74" s="722"/>
      <c r="J74" s="722"/>
      <c r="K74" s="722"/>
      <c r="L74" s="722"/>
      <c r="M74" s="722"/>
      <c r="N74" s="722"/>
    </row>
    <row r="75" spans="1:31" ht="15.75" customHeight="1">
      <c r="A75" s="18"/>
      <c r="B75" s="2527" t="s">
        <v>657</v>
      </c>
      <c r="C75" s="2527"/>
      <c r="D75" s="2527"/>
      <c r="E75" s="2527"/>
      <c r="F75" s="2527"/>
      <c r="G75" s="2527"/>
      <c r="H75" s="2527"/>
      <c r="I75" s="2527"/>
      <c r="J75" s="2527"/>
      <c r="K75" s="2527"/>
      <c r="L75" s="2527"/>
      <c r="M75" s="722"/>
      <c r="N75" s="722"/>
    </row>
    <row r="76" spans="1:31" ht="13.5" customHeight="1">
      <c r="A76" s="18"/>
      <c r="B76" s="2527"/>
      <c r="C76" s="2527"/>
      <c r="D76" s="2527"/>
      <c r="E76" s="2527"/>
      <c r="F76" s="2527"/>
      <c r="G76" s="2527"/>
      <c r="H76" s="2527"/>
      <c r="I76" s="2527"/>
      <c r="J76" s="2527"/>
      <c r="K76" s="2527"/>
      <c r="L76" s="2527"/>
      <c r="M76" s="722"/>
      <c r="N76" s="722"/>
    </row>
    <row r="77" spans="1:31" ht="9" customHeight="1">
      <c r="A77" s="18"/>
      <c r="B77" s="2527"/>
      <c r="C77" s="2527"/>
      <c r="D77" s="2527"/>
      <c r="E77" s="2527"/>
      <c r="F77" s="2527"/>
      <c r="G77" s="2527"/>
      <c r="H77" s="2527"/>
      <c r="I77" s="2527"/>
      <c r="J77" s="2527"/>
      <c r="K77" s="2527"/>
      <c r="L77" s="2527"/>
      <c r="M77" s="722"/>
      <c r="N77" s="722"/>
    </row>
    <row r="78" spans="1:31" ht="9" customHeight="1">
      <c r="A78" s="18"/>
      <c r="B78" s="722"/>
      <c r="C78" s="722"/>
      <c r="D78" s="722"/>
      <c r="E78" s="722"/>
      <c r="F78" s="722"/>
      <c r="G78" s="722"/>
      <c r="H78" s="722"/>
      <c r="I78" s="722"/>
      <c r="J78" s="722"/>
      <c r="K78" s="722"/>
      <c r="L78" s="722"/>
      <c r="M78" s="722"/>
      <c r="N78" s="722"/>
    </row>
    <row r="79" spans="1:31" ht="18" customHeight="1">
      <c r="A79" s="18"/>
      <c r="B79" s="2527" t="s">
        <v>658</v>
      </c>
      <c r="C79" s="2527"/>
      <c r="D79" s="2527"/>
      <c r="E79" s="2527"/>
      <c r="F79" s="2527"/>
      <c r="G79" s="2527"/>
      <c r="H79" s="2527"/>
      <c r="I79" s="2527"/>
      <c r="J79" s="2527"/>
      <c r="K79" s="2527"/>
      <c r="L79" s="2527"/>
      <c r="M79" s="722"/>
      <c r="N79" s="722"/>
    </row>
    <row r="80" spans="1:31" ht="9" customHeight="1">
      <c r="A80" s="18"/>
      <c r="B80" s="2527"/>
      <c r="C80" s="2527"/>
      <c r="D80" s="2527"/>
      <c r="E80" s="2527"/>
      <c r="F80" s="2527"/>
      <c r="G80" s="2527"/>
      <c r="H80" s="2527"/>
      <c r="I80" s="2527"/>
      <c r="J80" s="2527"/>
      <c r="K80" s="2527"/>
      <c r="L80" s="2527"/>
      <c r="M80" s="722"/>
      <c r="N80" s="722"/>
    </row>
    <row r="81" spans="1:32" ht="9" customHeight="1">
      <c r="A81" s="18"/>
      <c r="B81" s="722"/>
      <c r="C81" s="722"/>
      <c r="D81" s="722"/>
      <c r="E81" s="722"/>
      <c r="F81" s="722"/>
      <c r="G81" s="722"/>
      <c r="H81" s="722"/>
      <c r="I81" s="722"/>
      <c r="J81" s="722"/>
      <c r="K81" s="722"/>
      <c r="L81" s="722"/>
      <c r="M81" s="722"/>
      <c r="N81" s="722"/>
    </row>
    <row r="82" spans="1:32" ht="14.25" customHeight="1">
      <c r="A82" s="18"/>
      <c r="B82" s="2527" t="s">
        <v>659</v>
      </c>
      <c r="C82" s="2527"/>
      <c r="D82" s="2527"/>
      <c r="E82" s="2527"/>
      <c r="F82" s="2527"/>
      <c r="G82" s="2527"/>
      <c r="H82" s="2527"/>
      <c r="I82" s="2527"/>
      <c r="J82" s="2527"/>
      <c r="K82" s="2527"/>
      <c r="L82" s="2527"/>
      <c r="M82" s="722"/>
      <c r="N82" s="722"/>
    </row>
    <row r="83" spans="1:32" ht="9" customHeight="1">
      <c r="A83" s="18"/>
      <c r="B83" s="2527"/>
      <c r="C83" s="2527"/>
      <c r="D83" s="2527"/>
      <c r="E83" s="2527"/>
      <c r="F83" s="2527"/>
      <c r="G83" s="2527"/>
      <c r="H83" s="2527"/>
      <c r="I83" s="2527"/>
      <c r="J83" s="2527"/>
      <c r="K83" s="2527"/>
      <c r="L83" s="2527"/>
      <c r="M83" s="722"/>
      <c r="N83" s="722"/>
    </row>
    <row r="84" spans="1:32" ht="12.75" customHeight="1">
      <c r="A84" s="18"/>
      <c r="B84" s="2527"/>
      <c r="C84" s="2527"/>
      <c r="D84" s="2527"/>
      <c r="E84" s="2527"/>
      <c r="F84" s="2527"/>
      <c r="G84" s="2527"/>
      <c r="H84" s="2527"/>
      <c r="I84" s="2527"/>
      <c r="J84" s="2527"/>
      <c r="K84" s="2527"/>
      <c r="L84" s="2527"/>
      <c r="M84" s="722"/>
      <c r="N84" s="722"/>
    </row>
    <row r="85" spans="1:32" ht="12">
      <c r="A85" s="28"/>
      <c r="B85" s="458"/>
      <c r="C85" s="458"/>
      <c r="D85" s="458"/>
      <c r="E85" s="458"/>
      <c r="F85" s="458"/>
      <c r="G85" s="2528" t="s">
        <v>633</v>
      </c>
      <c r="H85" s="2528"/>
      <c r="I85" s="458"/>
      <c r="J85" s="458"/>
      <c r="K85" s="458"/>
      <c r="L85" s="458"/>
      <c r="M85" s="458"/>
      <c r="AE85" s="461" t="s">
        <v>632</v>
      </c>
    </row>
    <row r="86" spans="1:32" s="30" customFormat="1" ht="12">
      <c r="A86" s="462"/>
      <c r="B86" s="35"/>
      <c r="C86" s="35"/>
      <c r="F86" s="463" t="s">
        <v>51</v>
      </c>
      <c r="G86" s="355"/>
      <c r="H86" s="464" t="s">
        <v>630</v>
      </c>
      <c r="I86" s="355"/>
      <c r="AE86" s="464" t="s">
        <v>393</v>
      </c>
    </row>
    <row r="87" spans="1:32" s="30" customFormat="1" ht="15.75" customHeight="1">
      <c r="A87" s="465">
        <f>[110]Statement!F9</f>
        <v>4</v>
      </c>
      <c r="B87" s="466" t="s">
        <v>36</v>
      </c>
      <c r="C87" s="466"/>
      <c r="G87" s="2529" t="s">
        <v>52</v>
      </c>
      <c r="H87" s="2529"/>
      <c r="I87" s="2529"/>
      <c r="J87" s="2529"/>
      <c r="K87" s="2529"/>
      <c r="L87" s="2529"/>
      <c r="M87" s="2529"/>
      <c r="N87" s="2529"/>
      <c r="O87" s="2529"/>
      <c r="P87" s="2529"/>
      <c r="Q87" s="2529"/>
      <c r="R87" s="2529"/>
      <c r="S87" s="2529"/>
      <c r="T87" s="2529"/>
      <c r="U87" s="2529"/>
      <c r="V87" s="2529"/>
      <c r="W87" s="2529"/>
      <c r="X87" s="2529"/>
      <c r="Y87" s="2529"/>
      <c r="Z87" s="2529"/>
      <c r="AA87" s="2529"/>
      <c r="AB87" s="2529"/>
      <c r="AC87" s="2529"/>
      <c r="AD87" s="2529"/>
      <c r="AE87" s="2529"/>
    </row>
    <row r="88" spans="1:32" s="30" customFormat="1" ht="10.35" customHeight="1">
      <c r="A88" s="462"/>
      <c r="B88" s="37"/>
      <c r="C88" s="37"/>
      <c r="F88" s="37"/>
      <c r="G88" s="38"/>
      <c r="H88" s="38"/>
      <c r="I88" s="38"/>
    </row>
    <row r="89" spans="1:32" s="30" customFormat="1" ht="15.75" customHeight="1">
      <c r="A89" s="462"/>
      <c r="B89" s="37" t="s">
        <v>551</v>
      </c>
      <c r="C89" s="37"/>
      <c r="F89" s="35">
        <f>A93</f>
        <v>4.0999999999999996</v>
      </c>
      <c r="G89" s="2521" t="e">
        <f>#REF!</f>
        <v>#REF!</v>
      </c>
      <c r="H89" s="2521"/>
      <c r="I89" s="39"/>
      <c r="AE89" s="52">
        <v>120875</v>
      </c>
    </row>
    <row r="90" spans="1:32" s="30" customFormat="1" ht="15.75" customHeight="1">
      <c r="A90" s="462"/>
      <c r="B90" s="37" t="s">
        <v>229</v>
      </c>
      <c r="C90" s="37"/>
      <c r="F90" s="35">
        <f>$A$95</f>
        <v>4.1999999999999993</v>
      </c>
      <c r="G90" s="2521" t="e">
        <f>#REF!</f>
        <v>#REF!</v>
      </c>
      <c r="H90" s="2521"/>
      <c r="I90" s="39"/>
      <c r="AE90" s="52">
        <v>12946</v>
      </c>
    </row>
    <row r="91" spans="1:32" s="30" customFormat="1" ht="15.75" customHeight="1" thickBot="1">
      <c r="A91" s="462"/>
      <c r="B91" s="37"/>
      <c r="C91" s="37"/>
      <c r="F91" s="35"/>
      <c r="G91" s="2530" t="e">
        <f>SUM(G89:H90)</f>
        <v>#REF!</v>
      </c>
      <c r="H91" s="2530"/>
      <c r="I91" s="39"/>
      <c r="AE91" s="40">
        <f>SUM(AE89:AF90)</f>
        <v>133821</v>
      </c>
      <c r="AF91" s="42"/>
    </row>
    <row r="92" spans="1:32" s="30" customFormat="1" ht="10.35" customHeight="1" thickTop="1">
      <c r="A92" s="462"/>
      <c r="B92" s="37"/>
      <c r="C92" s="37"/>
      <c r="F92" s="35"/>
      <c r="G92" s="42"/>
      <c r="H92" s="42"/>
      <c r="I92" s="39"/>
    </row>
    <row r="93" spans="1:32" s="30" customFormat="1" ht="12">
      <c r="A93" s="462">
        <f>A87+0.1</f>
        <v>4.0999999999999996</v>
      </c>
      <c r="B93" s="37" t="s">
        <v>660</v>
      </c>
      <c r="C93" s="37"/>
      <c r="F93" s="35"/>
      <c r="G93" s="42"/>
      <c r="H93" s="42"/>
      <c r="I93" s="39"/>
    </row>
    <row r="94" spans="1:32" s="30" customFormat="1" ht="10.35" customHeight="1">
      <c r="A94" s="462"/>
      <c r="B94" s="37"/>
      <c r="C94" s="37"/>
      <c r="F94" s="35"/>
      <c r="G94" s="42"/>
      <c r="H94" s="42"/>
      <c r="I94" s="39"/>
    </row>
    <row r="95" spans="1:32" s="30" customFormat="1" ht="12">
      <c r="A95" s="462">
        <f>A93+0.1</f>
        <v>4.1999999999999993</v>
      </c>
      <c r="B95" s="2522" t="s">
        <v>661</v>
      </c>
      <c r="C95" s="2522"/>
      <c r="D95" s="2522"/>
      <c r="E95" s="2522"/>
      <c r="F95" s="2522"/>
      <c r="G95" s="2522"/>
      <c r="H95" s="2522"/>
      <c r="I95" s="39"/>
    </row>
    <row r="96" spans="1:32" s="30" customFormat="1" ht="12">
      <c r="A96" s="462"/>
      <c r="B96" s="2522"/>
      <c r="C96" s="2522"/>
      <c r="D96" s="2522"/>
      <c r="E96" s="2522"/>
      <c r="F96" s="2522"/>
      <c r="G96" s="2522"/>
      <c r="H96" s="2522"/>
      <c r="I96" s="39"/>
    </row>
    <row r="97" spans="1:31" s="30" customFormat="1" ht="8.25" customHeight="1">
      <c r="A97" s="462"/>
      <c r="B97" s="719"/>
      <c r="C97" s="719"/>
      <c r="D97" s="719"/>
      <c r="E97" s="719"/>
      <c r="F97" s="719"/>
      <c r="G97" s="719"/>
      <c r="H97" s="719"/>
      <c r="I97" s="39"/>
    </row>
    <row r="98" spans="1:31" s="30" customFormat="1" ht="15" customHeight="1">
      <c r="A98" s="462"/>
      <c r="B98" s="719"/>
      <c r="C98" s="719"/>
      <c r="D98" s="719"/>
      <c r="E98" s="719"/>
      <c r="F98" s="719"/>
      <c r="G98" s="2528" t="s">
        <v>631</v>
      </c>
      <c r="H98" s="2528"/>
      <c r="I98" s="2528"/>
      <c r="AE98" s="461" t="s">
        <v>632</v>
      </c>
    </row>
    <row r="99" spans="1:31" s="30" customFormat="1" ht="15.75" customHeight="1">
      <c r="A99" s="462"/>
      <c r="B99" s="719"/>
      <c r="C99" s="719"/>
      <c r="D99" s="719"/>
      <c r="E99" s="719"/>
      <c r="F99" s="463" t="s">
        <v>51</v>
      </c>
      <c r="G99" s="355"/>
      <c r="H99" s="464" t="s">
        <v>630</v>
      </c>
      <c r="I99" s="39"/>
      <c r="AE99" s="464" t="s">
        <v>393</v>
      </c>
    </row>
    <row r="100" spans="1:31" s="43" customFormat="1" ht="12">
      <c r="A100" s="465">
        <f>'Note 1-5 (2)'!A87+1</f>
        <v>5</v>
      </c>
      <c r="B100" s="466" t="s">
        <v>235</v>
      </c>
      <c r="C100" s="466"/>
      <c r="F100" s="30"/>
      <c r="G100" s="467"/>
      <c r="H100" s="2529" t="s">
        <v>52</v>
      </c>
      <c r="I100" s="2529"/>
      <c r="J100" s="2529"/>
      <c r="K100" s="2529"/>
      <c r="L100" s="2529"/>
      <c r="M100" s="2529"/>
      <c r="N100" s="2529"/>
      <c r="O100" s="2529"/>
      <c r="P100" s="2529"/>
      <c r="Q100" s="2529"/>
      <c r="R100" s="2529"/>
      <c r="S100" s="2529"/>
      <c r="T100" s="2529"/>
      <c r="U100" s="2529"/>
      <c r="V100" s="2529"/>
      <c r="W100" s="2529"/>
      <c r="X100" s="2529"/>
      <c r="Y100" s="2529"/>
      <c r="Z100" s="2529"/>
      <c r="AA100" s="2529"/>
      <c r="AB100" s="2529"/>
      <c r="AC100" s="2529"/>
      <c r="AD100" s="2529"/>
      <c r="AE100" s="2529"/>
    </row>
    <row r="101" spans="1:31" s="43" customFormat="1" ht="10.35" customHeight="1"/>
    <row r="102" spans="1:31" s="43" customFormat="1" ht="12">
      <c r="B102" s="468" t="s">
        <v>531</v>
      </c>
      <c r="C102" s="468"/>
    </row>
    <row r="103" spans="1:31" s="43" customFormat="1">
      <c r="B103" s="469" t="s">
        <v>471</v>
      </c>
      <c r="C103" s="469"/>
      <c r="F103" s="35">
        <f>'5.1-5.3'!A3</f>
        <v>5.0999999999999996</v>
      </c>
      <c r="G103" s="42"/>
      <c r="H103" s="42">
        <f>'5.1-5.3'!I124</f>
        <v>1763907</v>
      </c>
      <c r="AE103" s="42">
        <v>1060929</v>
      </c>
    </row>
    <row r="104" spans="1:31" s="43" customFormat="1" ht="10.35" customHeight="1">
      <c r="B104" s="469"/>
      <c r="C104" s="469"/>
      <c r="F104" s="35"/>
      <c r="G104" s="42"/>
      <c r="H104" s="42"/>
      <c r="AE104" s="42"/>
    </row>
    <row r="105" spans="1:31" s="43" customFormat="1" ht="12">
      <c r="B105" s="468" t="s">
        <v>72</v>
      </c>
      <c r="C105" s="469"/>
      <c r="F105" s="35"/>
      <c r="G105" s="42"/>
      <c r="H105" s="42"/>
      <c r="AE105" s="42"/>
    </row>
    <row r="106" spans="1:31" s="43" customFormat="1">
      <c r="B106" s="469" t="s">
        <v>532</v>
      </c>
      <c r="C106" s="469"/>
      <c r="F106" s="35" t="e">
        <f>#REF!</f>
        <v>#REF!</v>
      </c>
      <c r="G106" s="42"/>
      <c r="H106" s="42">
        <v>0</v>
      </c>
      <c r="AE106" s="42">
        <v>877</v>
      </c>
    </row>
    <row r="107" spans="1:31" s="43" customFormat="1" ht="12" thickBot="1">
      <c r="B107" s="469"/>
      <c r="C107" s="469"/>
      <c r="F107" s="35"/>
      <c r="G107" s="42"/>
      <c r="H107" s="40">
        <f>SUM(H103:H106)</f>
        <v>1763907</v>
      </c>
      <c r="AE107" s="40">
        <f>SUM(AE103:AE106)</f>
        <v>1061806</v>
      </c>
    </row>
    <row r="108" spans="1:31" ht="10.35" customHeight="1" thickTop="1">
      <c r="A108" s="28"/>
      <c r="B108" s="720"/>
      <c r="C108" s="720"/>
      <c r="E108" s="21"/>
    </row>
    <row r="152" spans="1:8" hidden="1">
      <c r="A152" s="21"/>
      <c r="B152" s="2522" t="s">
        <v>230</v>
      </c>
      <c r="C152" s="2522"/>
      <c r="D152" s="2522"/>
      <c r="E152" s="2522"/>
      <c r="F152" s="2522"/>
      <c r="G152" s="2522"/>
      <c r="H152" s="2522"/>
    </row>
    <row r="153" spans="1:8" hidden="1">
      <c r="A153" s="21"/>
      <c r="B153" s="2522"/>
      <c r="C153" s="2522"/>
      <c r="D153" s="2522"/>
      <c r="E153" s="2522"/>
      <c r="F153" s="2522"/>
      <c r="G153" s="2522"/>
      <c r="H153" s="2522"/>
    </row>
    <row r="154" spans="1:8" hidden="1">
      <c r="A154" s="21"/>
      <c r="B154" s="2522"/>
      <c r="C154" s="2522"/>
      <c r="D154" s="2522"/>
      <c r="E154" s="2522"/>
      <c r="F154" s="2522"/>
      <c r="G154" s="2522"/>
      <c r="H154" s="2522"/>
    </row>
    <row r="155" spans="1:8" hidden="1">
      <c r="A155" s="21"/>
      <c r="B155" s="2522"/>
      <c r="C155" s="2522"/>
      <c r="D155" s="2522"/>
      <c r="E155" s="2522"/>
      <c r="F155" s="2522"/>
      <c r="G155" s="2522"/>
      <c r="H155" s="2522"/>
    </row>
    <row r="156" spans="1:8" hidden="1">
      <c r="A156" s="21"/>
      <c r="B156" s="2522"/>
      <c r="C156" s="2522"/>
      <c r="D156" s="2522"/>
      <c r="E156" s="2522"/>
      <c r="F156" s="2522"/>
      <c r="G156" s="2522"/>
      <c r="H156" s="2522"/>
    </row>
    <row r="157" spans="1:8" hidden="1">
      <c r="A157" s="21"/>
      <c r="B157" s="2522"/>
      <c r="C157" s="2522"/>
      <c r="D157" s="2522"/>
      <c r="E157" s="2522"/>
      <c r="F157" s="2522"/>
      <c r="G157" s="2522"/>
      <c r="H157" s="2522"/>
    </row>
  </sheetData>
  <mergeCells count="32">
    <mergeCell ref="G91:H91"/>
    <mergeCell ref="B95:H96"/>
    <mergeCell ref="G98:I98"/>
    <mergeCell ref="H100:AE100"/>
    <mergeCell ref="B152:H157"/>
    <mergeCell ref="G90:H90"/>
    <mergeCell ref="B52:N56"/>
    <mergeCell ref="B58:N59"/>
    <mergeCell ref="B60:H62"/>
    <mergeCell ref="A65:H65"/>
    <mergeCell ref="B67:L73"/>
    <mergeCell ref="B75:L77"/>
    <mergeCell ref="B79:L80"/>
    <mergeCell ref="B82:L84"/>
    <mergeCell ref="G85:H85"/>
    <mergeCell ref="G87:AE87"/>
    <mergeCell ref="G89:H89"/>
    <mergeCell ref="W7:AD11"/>
    <mergeCell ref="B13:H16"/>
    <mergeCell ref="J13:P16"/>
    <mergeCell ref="B18:H22"/>
    <mergeCell ref="B42:H50"/>
    <mergeCell ref="I42:I43"/>
    <mergeCell ref="I44:I45"/>
    <mergeCell ref="I46:I47"/>
    <mergeCell ref="B7:H11"/>
    <mergeCell ref="I7:R8"/>
    <mergeCell ref="B24:H25"/>
    <mergeCell ref="W24:AD26"/>
    <mergeCell ref="B27:H28"/>
    <mergeCell ref="B30:H31"/>
    <mergeCell ref="B33:H34"/>
  </mergeCells>
  <printOptions horizontalCentered="1"/>
  <pageMargins left="0.75" right="0.5" top="0.5" bottom="0.4" header="0.28999999999999998" footer="0.5"/>
  <pageSetup paperSize="9" scale="63" orientation="portrait" r:id="rId1"/>
  <headerFooter alignWithMargins="0"/>
  <rowBreaks count="2" manualBreakCount="2">
    <brk id="63" max="25" man="1"/>
    <brk id="6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2060"/>
  </sheetPr>
  <dimension ref="A1:R131"/>
  <sheetViews>
    <sheetView view="pageBreakPreview" topLeftCell="A25" zoomScale="108" zoomScaleNormal="100" zoomScaleSheetLayoutView="108" workbookViewId="0">
      <selection activeCell="B145" sqref="B145"/>
    </sheetView>
  </sheetViews>
  <sheetFormatPr defaultColWidth="10.09765625" defaultRowHeight="10.199999999999999"/>
  <cols>
    <col min="1" max="1" width="5.09765625" style="317" customWidth="1"/>
    <col min="2" max="2" width="4.09765625" style="317" customWidth="1"/>
    <col min="3" max="3" width="15.59765625" style="317" customWidth="1"/>
    <col min="4" max="7" width="6.09765625" style="317" customWidth="1"/>
    <col min="8" max="8" width="6.59765625" style="317" customWidth="1"/>
    <col min="9" max="10" width="6.09765625" style="317" customWidth="1"/>
    <col min="11" max="11" width="6.5" style="317" customWidth="1"/>
    <col min="12" max="12" width="7.09765625" style="317" customWidth="1"/>
    <col min="13" max="13" width="13" style="317" customWidth="1"/>
    <col min="14" max="14" width="11.09765625" style="317" customWidth="1"/>
    <col min="15" max="15" width="9.09765625" style="317" customWidth="1"/>
    <col min="16" max="16" width="10.09765625" style="230" customWidth="1"/>
    <col min="17" max="39" width="10.09765625" style="317" customWidth="1"/>
    <col min="40" max="16384" width="10.09765625" style="317"/>
  </cols>
  <sheetData>
    <row r="1" spans="1:17" s="845" customFormat="1" ht="11.4">
      <c r="A1" s="471" t="e">
        <f>#REF!+1</f>
        <v>#REF!</v>
      </c>
      <c r="B1" s="471"/>
      <c r="C1" s="471"/>
      <c r="D1" s="471"/>
      <c r="E1" s="471"/>
      <c r="F1" s="471"/>
      <c r="G1" s="471"/>
      <c r="H1" s="471"/>
      <c r="I1" s="471"/>
      <c r="J1" s="471"/>
      <c r="K1" s="471"/>
      <c r="L1" s="471"/>
    </row>
    <row r="2" spans="1:17" s="845" customFormat="1" ht="11.4">
      <c r="A2" s="721"/>
      <c r="B2" s="721"/>
      <c r="C2" s="721"/>
      <c r="D2" s="721"/>
      <c r="E2" s="721"/>
      <c r="F2" s="721"/>
      <c r="J2" s="721"/>
      <c r="L2" s="63"/>
    </row>
    <row r="3" spans="1:17" s="845" customFormat="1" ht="12">
      <c r="A3" s="470">
        <v>5.0999999999999996</v>
      </c>
      <c r="B3" s="472" t="s">
        <v>309</v>
      </c>
      <c r="C3" s="472"/>
      <c r="D3" s="472"/>
      <c r="E3" s="473"/>
      <c r="F3" s="473"/>
      <c r="G3" s="473"/>
      <c r="H3" s="473"/>
      <c r="I3" s="474"/>
      <c r="J3" s="475"/>
      <c r="K3" s="475"/>
      <c r="L3" s="473"/>
      <c r="P3" s="17"/>
    </row>
    <row r="4" spans="1:17" s="845" customFormat="1" ht="12">
      <c r="A4" s="470"/>
      <c r="B4" s="472"/>
      <c r="C4" s="472"/>
      <c r="D4" s="472"/>
      <c r="E4" s="473"/>
      <c r="F4" s="473"/>
      <c r="G4" s="473"/>
      <c r="H4" s="473"/>
      <c r="I4" s="474"/>
      <c r="J4" s="475"/>
      <c r="K4" s="475"/>
      <c r="L4" s="473"/>
      <c r="P4" s="17"/>
    </row>
    <row r="5" spans="1:17" s="845" customFormat="1" ht="12">
      <c r="A5" s="470"/>
      <c r="B5" s="2535" t="s">
        <v>536</v>
      </c>
      <c r="C5" s="2535"/>
      <c r="D5" s="2535"/>
      <c r="E5" s="2535"/>
      <c r="F5" s="2535"/>
      <c r="G5" s="2535"/>
      <c r="H5" s="2535"/>
      <c r="I5" s="2535"/>
      <c r="J5" s="2535"/>
      <c r="K5" s="2535"/>
      <c r="L5" s="2535"/>
      <c r="P5" s="17"/>
    </row>
    <row r="6" spans="1:17" s="845" customFormat="1" ht="12">
      <c r="A6" s="470"/>
      <c r="B6" s="2535"/>
      <c r="C6" s="2535"/>
      <c r="D6" s="2535"/>
      <c r="E6" s="2535"/>
      <c r="F6" s="2535"/>
      <c r="G6" s="2535"/>
      <c r="H6" s="2535"/>
      <c r="I6" s="2535"/>
      <c r="J6" s="2535"/>
      <c r="K6" s="2535"/>
      <c r="L6" s="2535"/>
      <c r="P6" s="17"/>
    </row>
    <row r="7" spans="1:17" s="845" customFormat="1" ht="11.4">
      <c r="A7" s="721"/>
      <c r="E7" s="473"/>
      <c r="F7" s="473"/>
      <c r="G7" s="473"/>
      <c r="H7" s="473"/>
      <c r="I7" s="476"/>
      <c r="J7" s="475"/>
      <c r="K7" s="475"/>
      <c r="L7" s="473"/>
      <c r="P7" s="17"/>
    </row>
    <row r="8" spans="1:17" s="503" customFormat="1">
      <c r="A8" s="314"/>
      <c r="B8" s="2540" t="s">
        <v>116</v>
      </c>
      <c r="C8" s="2541"/>
      <c r="D8" s="2536" t="s">
        <v>635</v>
      </c>
      <c r="E8" s="2536" t="s">
        <v>130</v>
      </c>
      <c r="F8" s="2536" t="s">
        <v>119</v>
      </c>
      <c r="G8" s="2536" t="s">
        <v>120</v>
      </c>
      <c r="H8" s="2536" t="s">
        <v>636</v>
      </c>
      <c r="I8" s="2536" t="s">
        <v>637</v>
      </c>
      <c r="J8" s="2546" t="s">
        <v>310</v>
      </c>
      <c r="K8" s="2547"/>
      <c r="L8" s="2532" t="s">
        <v>709</v>
      </c>
      <c r="N8" s="866"/>
      <c r="O8" s="867" t="s">
        <v>167</v>
      </c>
      <c r="P8" s="868">
        <f>BS!F28</f>
        <v>10683676.016000001</v>
      </c>
      <c r="Q8" s="866"/>
    </row>
    <row r="9" spans="1:17" s="503" customFormat="1">
      <c r="A9" s="314"/>
      <c r="B9" s="2542"/>
      <c r="C9" s="2543"/>
      <c r="D9" s="2537"/>
      <c r="E9" s="2537"/>
      <c r="F9" s="2537"/>
      <c r="G9" s="2537"/>
      <c r="H9" s="2537"/>
      <c r="I9" s="2537"/>
      <c r="J9" s="2548"/>
      <c r="K9" s="2549"/>
      <c r="L9" s="2533"/>
      <c r="N9" s="866"/>
      <c r="O9" s="867"/>
      <c r="P9" s="868"/>
      <c r="Q9" s="866"/>
    </row>
    <row r="10" spans="1:17" s="503" customFormat="1">
      <c r="A10" s="314"/>
      <c r="B10" s="2542"/>
      <c r="C10" s="2543"/>
      <c r="D10" s="2538"/>
      <c r="E10" s="2538"/>
      <c r="F10" s="2538"/>
      <c r="G10" s="2538"/>
      <c r="H10" s="2538"/>
      <c r="I10" s="2538"/>
      <c r="J10" s="2533" t="s">
        <v>121</v>
      </c>
      <c r="K10" s="2533" t="s">
        <v>296</v>
      </c>
      <c r="L10" s="2533"/>
      <c r="N10" s="866"/>
      <c r="O10" s="867"/>
      <c r="P10" s="868"/>
      <c r="Q10" s="866"/>
    </row>
    <row r="11" spans="1:17" s="503" customFormat="1">
      <c r="A11" s="314"/>
      <c r="B11" s="2542"/>
      <c r="C11" s="2543"/>
      <c r="D11" s="2538"/>
      <c r="E11" s="2538"/>
      <c r="F11" s="2538"/>
      <c r="G11" s="2538"/>
      <c r="H11" s="2538"/>
      <c r="I11" s="2538"/>
      <c r="J11" s="2533"/>
      <c r="K11" s="2533"/>
      <c r="L11" s="2533"/>
      <c r="O11" s="503" t="s">
        <v>168</v>
      </c>
      <c r="P11" s="493">
        <f>BS!F12</f>
        <v>10122239.016000001</v>
      </c>
    </row>
    <row r="12" spans="1:17" s="503" customFormat="1">
      <c r="A12" s="314"/>
      <c r="B12" s="2542"/>
      <c r="C12" s="2543"/>
      <c r="D12" s="2538"/>
      <c r="E12" s="2538"/>
      <c r="F12" s="2538"/>
      <c r="G12" s="2538"/>
      <c r="H12" s="2538"/>
      <c r="I12" s="2538"/>
      <c r="J12" s="2533"/>
      <c r="K12" s="2533"/>
      <c r="L12" s="2533"/>
      <c r="P12" s="493"/>
    </row>
    <row r="13" spans="1:17" s="503" customFormat="1">
      <c r="A13" s="314"/>
      <c r="B13" s="2542"/>
      <c r="C13" s="2543"/>
      <c r="D13" s="2538"/>
      <c r="E13" s="2538"/>
      <c r="F13" s="2538"/>
      <c r="G13" s="2538"/>
      <c r="H13" s="2538"/>
      <c r="I13" s="2538"/>
      <c r="J13" s="2533"/>
      <c r="K13" s="2533"/>
      <c r="L13" s="2533"/>
      <c r="P13" s="493"/>
    </row>
    <row r="14" spans="1:17" s="503" customFormat="1">
      <c r="A14" s="314"/>
      <c r="B14" s="2544"/>
      <c r="C14" s="2545"/>
      <c r="D14" s="2539"/>
      <c r="E14" s="2539"/>
      <c r="F14" s="2539"/>
      <c r="G14" s="2539"/>
      <c r="H14" s="2539"/>
      <c r="I14" s="2539"/>
      <c r="J14" s="2534"/>
      <c r="K14" s="2534"/>
      <c r="L14" s="2534"/>
      <c r="P14" s="493"/>
    </row>
    <row r="15" spans="1:17" s="503" customFormat="1" ht="20.399999999999999">
      <c r="A15" s="314"/>
      <c r="B15" s="478"/>
      <c r="C15" s="478"/>
      <c r="D15" s="2550" t="s">
        <v>708</v>
      </c>
      <c r="E15" s="2550"/>
      <c r="F15" s="2550"/>
      <c r="G15" s="2550"/>
      <c r="H15" s="2550"/>
      <c r="I15" s="479" t="s">
        <v>52</v>
      </c>
      <c r="J15" s="2551" t="s">
        <v>2</v>
      </c>
      <c r="K15" s="2552"/>
      <c r="L15" s="2552"/>
      <c r="P15" s="493"/>
    </row>
    <row r="16" spans="1:17" s="503" customFormat="1">
      <c r="A16" s="314"/>
      <c r="B16" s="876" t="s">
        <v>472</v>
      </c>
      <c r="C16" s="877"/>
      <c r="D16" s="877"/>
      <c r="E16" s="878"/>
      <c r="F16" s="879"/>
      <c r="G16" s="879"/>
      <c r="H16" s="880"/>
      <c r="I16" s="879"/>
      <c r="J16" s="881"/>
      <c r="K16" s="881"/>
      <c r="L16" s="881"/>
      <c r="M16" s="868"/>
      <c r="N16" s="868"/>
      <c r="O16" s="869"/>
      <c r="P16" s="493"/>
    </row>
    <row r="17" spans="1:17" s="503" customFormat="1">
      <c r="A17" s="314"/>
      <c r="B17" s="877" t="s">
        <v>473</v>
      </c>
      <c r="C17" s="877"/>
      <c r="D17" s="882">
        <v>69400</v>
      </c>
      <c r="E17" s="879">
        <v>276300</v>
      </c>
      <c r="F17" s="879"/>
      <c r="G17" s="879">
        <v>225300</v>
      </c>
      <c r="H17" s="880">
        <f t="shared" ref="H17:H25" si="0">D17+E17+F17-G17</f>
        <v>120400</v>
      </c>
      <c r="I17" s="883">
        <v>25510</v>
      </c>
      <c r="J17" s="884">
        <f t="shared" ref="J17:J25" si="1">ROUND(I17/$P$8*100,4)</f>
        <v>0.23880000000000001</v>
      </c>
      <c r="K17" s="884">
        <f>ROUND(I17/$P$11*100,4)</f>
        <v>0.252</v>
      </c>
      <c r="L17" s="885">
        <v>0.14116047037857737</v>
      </c>
      <c r="M17" s="870">
        <v>829440000</v>
      </c>
      <c r="N17" s="868">
        <v>1.2667999999999999</v>
      </c>
      <c r="O17" s="869">
        <v>1.4931164450003107</v>
      </c>
      <c r="P17" s="493"/>
      <c r="Q17" s="503">
        <v>8.1366583424196601E-2</v>
      </c>
    </row>
    <row r="18" spans="1:17" s="503" customFormat="1">
      <c r="A18" s="314"/>
      <c r="B18" s="877" t="s">
        <v>474</v>
      </c>
      <c r="C18" s="877"/>
      <c r="D18" s="882">
        <v>59700</v>
      </c>
      <c r="E18" s="879">
        <v>0</v>
      </c>
      <c r="F18" s="879">
        <v>0</v>
      </c>
      <c r="G18" s="879">
        <v>59700</v>
      </c>
      <c r="H18" s="880">
        <f t="shared" si="0"/>
        <v>0</v>
      </c>
      <c r="I18" s="886">
        <v>0</v>
      </c>
      <c r="J18" s="887">
        <f t="shared" si="1"/>
        <v>0</v>
      </c>
      <c r="K18" s="887">
        <f t="shared" ref="K18:K25" si="2">ROUND(I18/$P$11*100,4)</f>
        <v>0</v>
      </c>
      <c r="L18" s="885">
        <f>H18/M18*100</f>
        <v>0</v>
      </c>
      <c r="M18" s="870">
        <v>799666000</v>
      </c>
      <c r="N18" s="868">
        <v>1.107</v>
      </c>
      <c r="O18" s="869">
        <v>1.3047581196565099</v>
      </c>
      <c r="P18" s="493"/>
      <c r="Q18" s="503">
        <v>7.4656168950536853E-2</v>
      </c>
    </row>
    <row r="19" spans="1:17" s="503" customFormat="1">
      <c r="A19" s="314"/>
      <c r="B19" s="877" t="s">
        <v>331</v>
      </c>
      <c r="C19" s="877"/>
      <c r="D19" s="882">
        <v>67600</v>
      </c>
      <c r="E19" s="879">
        <v>0</v>
      </c>
      <c r="F19" s="879">
        <v>0</v>
      </c>
      <c r="G19" s="879">
        <v>26100</v>
      </c>
      <c r="H19" s="880">
        <f t="shared" si="0"/>
        <v>41500</v>
      </c>
      <c r="I19" s="886">
        <v>20963</v>
      </c>
      <c r="J19" s="887">
        <f t="shared" si="1"/>
        <v>0.19620000000000001</v>
      </c>
      <c r="K19" s="887">
        <f t="shared" si="2"/>
        <v>0.20710000000000001</v>
      </c>
      <c r="L19" s="885">
        <v>5.0033757716049385E-2</v>
      </c>
      <c r="M19" s="870">
        <v>829440000</v>
      </c>
      <c r="N19" s="868">
        <v>3.0638000000000001</v>
      </c>
      <c r="O19" s="869">
        <v>3.6112058134913534</v>
      </c>
      <c r="P19" s="493"/>
      <c r="Q19" s="503">
        <v>8.150077160493828E-2</v>
      </c>
    </row>
    <row r="20" spans="1:17" s="503" customFormat="1">
      <c r="A20" s="314"/>
      <c r="B20" s="888" t="s">
        <v>475</v>
      </c>
      <c r="C20" s="888"/>
      <c r="D20" s="882">
        <v>148640</v>
      </c>
      <c r="E20" s="879">
        <v>0</v>
      </c>
      <c r="F20" s="889">
        <v>208</v>
      </c>
      <c r="G20" s="889">
        <v>147600</v>
      </c>
      <c r="H20" s="880">
        <f t="shared" si="0"/>
        <v>1248</v>
      </c>
      <c r="I20" s="886">
        <v>180</v>
      </c>
      <c r="J20" s="887">
        <f t="shared" si="1"/>
        <v>1.6999999999999999E-3</v>
      </c>
      <c r="K20" s="887">
        <f t="shared" si="2"/>
        <v>1.8E-3</v>
      </c>
      <c r="L20" s="885">
        <f>H20/M20*100</f>
        <v>1.2409760754131615E-4</v>
      </c>
      <c r="M20" s="870">
        <v>1005660000</v>
      </c>
      <c r="N20" s="503">
        <v>1.36</v>
      </c>
      <c r="O20" s="503">
        <v>1.6030235278384188</v>
      </c>
      <c r="P20" s="493"/>
      <c r="Q20" s="503">
        <v>0.14780343257164449</v>
      </c>
    </row>
    <row r="21" spans="1:17" s="503" customFormat="1">
      <c r="A21" s="314"/>
      <c r="B21" s="890" t="s">
        <v>123</v>
      </c>
      <c r="C21" s="891"/>
      <c r="D21" s="882">
        <v>118200</v>
      </c>
      <c r="E21" s="889">
        <v>239400</v>
      </c>
      <c r="F21" s="879">
        <v>0</v>
      </c>
      <c r="G21" s="879">
        <v>146500</v>
      </c>
      <c r="H21" s="880">
        <f t="shared" si="0"/>
        <v>211100</v>
      </c>
      <c r="I21" s="886">
        <v>56579</v>
      </c>
      <c r="J21" s="887">
        <f t="shared" si="1"/>
        <v>0.52959999999999996</v>
      </c>
      <c r="K21" s="887">
        <f t="shared" si="2"/>
        <v>0.55900000000000005</v>
      </c>
      <c r="L21" s="885">
        <v>8.9242722025619559E-2</v>
      </c>
      <c r="M21" s="870">
        <v>2365459000</v>
      </c>
      <c r="N21" s="868">
        <v>3.8140000000000001</v>
      </c>
      <c r="O21" s="869">
        <v>4.4953597926551554</v>
      </c>
      <c r="P21" s="493"/>
      <c r="Q21" s="503">
        <v>4.9967259185922597E-2</v>
      </c>
    </row>
    <row r="22" spans="1:17" s="503" customFormat="1">
      <c r="A22" s="314"/>
      <c r="B22" s="888" t="s">
        <v>124</v>
      </c>
      <c r="C22" s="888"/>
      <c r="D22" s="882">
        <v>167400</v>
      </c>
      <c r="E22" s="879">
        <v>649300</v>
      </c>
      <c r="F22" s="879">
        <v>0</v>
      </c>
      <c r="G22" s="879">
        <v>85800</v>
      </c>
      <c r="H22" s="880">
        <f t="shared" si="0"/>
        <v>730900</v>
      </c>
      <c r="I22" s="886">
        <v>89031</v>
      </c>
      <c r="J22" s="887">
        <f t="shared" si="1"/>
        <v>0.83330000000000004</v>
      </c>
      <c r="K22" s="887">
        <f t="shared" si="2"/>
        <v>0.87960000000000005</v>
      </c>
      <c r="L22" s="885">
        <v>3.706924061462008E-2</v>
      </c>
      <c r="M22" s="870">
        <v>19717156000</v>
      </c>
      <c r="N22" s="868">
        <v>2.1970999999999998</v>
      </c>
      <c r="O22" s="869">
        <v>2.5896444359892485</v>
      </c>
      <c r="P22" s="493"/>
      <c r="Q22" s="503">
        <v>8.490068243107678E-3</v>
      </c>
    </row>
    <row r="23" spans="1:17" s="503" customFormat="1">
      <c r="A23" s="314"/>
      <c r="B23" s="888" t="s">
        <v>170</v>
      </c>
      <c r="C23" s="888"/>
      <c r="D23" s="882">
        <v>150600</v>
      </c>
      <c r="E23" s="879">
        <v>172300</v>
      </c>
      <c r="F23" s="879">
        <v>0</v>
      </c>
      <c r="G23" s="879">
        <v>72000</v>
      </c>
      <c r="H23" s="880">
        <f t="shared" si="0"/>
        <v>250900</v>
      </c>
      <c r="I23" s="886">
        <v>81736</v>
      </c>
      <c r="J23" s="887">
        <f t="shared" si="1"/>
        <v>0.7651</v>
      </c>
      <c r="K23" s="887">
        <f t="shared" si="2"/>
        <v>0.8075</v>
      </c>
      <c r="L23" s="885">
        <v>9.234929011774258E-2</v>
      </c>
      <c r="M23" s="870">
        <v>2716859000</v>
      </c>
      <c r="N23" s="868">
        <v>4.6424000000000003</v>
      </c>
      <c r="O23" s="869">
        <v>5.47180935123742</v>
      </c>
      <c r="P23" s="493"/>
      <c r="Q23" s="503">
        <v>6.0106174078227839E-2</v>
      </c>
    </row>
    <row r="24" spans="1:17" s="503" customFormat="1">
      <c r="A24" s="314"/>
      <c r="B24" s="888" t="s">
        <v>332</v>
      </c>
      <c r="C24" s="888"/>
      <c r="D24" s="882">
        <v>139200</v>
      </c>
      <c r="E24" s="879">
        <v>76300</v>
      </c>
      <c r="F24" s="879">
        <v>0</v>
      </c>
      <c r="G24" s="879">
        <v>47900</v>
      </c>
      <c r="H24" s="880">
        <f t="shared" si="0"/>
        <v>167600</v>
      </c>
      <c r="I24" s="886">
        <v>38253</v>
      </c>
      <c r="J24" s="887">
        <f t="shared" si="1"/>
        <v>0.35809999999999997</v>
      </c>
      <c r="K24" s="887">
        <f t="shared" si="2"/>
        <v>0.37790000000000001</v>
      </c>
      <c r="L24" s="885">
        <v>0.15661751032357962</v>
      </c>
      <c r="M24" s="870">
        <v>1070123000</v>
      </c>
      <c r="N24" s="868">
        <v>2.8136000000000001</v>
      </c>
      <c r="O24" s="869">
        <v>3.3162366760029607</v>
      </c>
      <c r="P24" s="493"/>
      <c r="Q24" s="503">
        <v>0.13007850499428569</v>
      </c>
    </row>
    <row r="25" spans="1:17" s="503" customFormat="1">
      <c r="A25" s="314"/>
      <c r="B25" s="888" t="s">
        <v>529</v>
      </c>
      <c r="C25" s="888"/>
      <c r="D25" s="882">
        <v>4000</v>
      </c>
      <c r="E25" s="879">
        <v>159800</v>
      </c>
      <c r="F25" s="879">
        <v>0</v>
      </c>
      <c r="G25" s="879">
        <v>0</v>
      </c>
      <c r="H25" s="880">
        <f t="shared" si="0"/>
        <v>163800</v>
      </c>
      <c r="I25" s="892">
        <v>114192</v>
      </c>
      <c r="J25" s="893">
        <f t="shared" si="1"/>
        <v>1.0688</v>
      </c>
      <c r="K25" s="893">
        <f t="shared" si="2"/>
        <v>1.1281000000000001</v>
      </c>
      <c r="L25" s="885">
        <v>0.14857142857142858</v>
      </c>
      <c r="M25" s="870">
        <v>1102500000</v>
      </c>
      <c r="N25" s="868">
        <v>0.2198</v>
      </c>
      <c r="O25" s="869">
        <v>0.2590868765103983</v>
      </c>
      <c r="P25" s="493"/>
      <c r="Q25" s="503">
        <v>8.3174603174603179E-2</v>
      </c>
    </row>
    <row r="26" spans="1:17" s="503" customFormat="1">
      <c r="A26" s="314"/>
      <c r="B26" s="894"/>
      <c r="C26" s="894"/>
      <c r="D26" s="894"/>
      <c r="E26" s="879"/>
      <c r="F26" s="879"/>
      <c r="G26" s="879"/>
      <c r="H26" s="879"/>
      <c r="I26" s="879">
        <f>SUM(I17:I25)</f>
        <v>426444</v>
      </c>
      <c r="J26" s="895">
        <f>SUM(J17:J25)</f>
        <v>3.9915999999999996</v>
      </c>
      <c r="K26" s="895">
        <f>SUM(K17:K25)</f>
        <v>4.2130000000000001</v>
      </c>
      <c r="L26" s="896"/>
      <c r="M26" s="868"/>
      <c r="N26" s="868"/>
      <c r="O26" s="868"/>
      <c r="P26" s="493"/>
    </row>
    <row r="27" spans="1:17" s="503" customFormat="1">
      <c r="A27" s="314"/>
      <c r="B27" s="480" t="s">
        <v>476</v>
      </c>
      <c r="C27" s="480"/>
      <c r="D27" s="480"/>
      <c r="E27" s="493"/>
      <c r="F27" s="493"/>
      <c r="G27" s="493"/>
      <c r="H27" s="493"/>
      <c r="I27" s="493"/>
      <c r="J27" s="1"/>
      <c r="K27" s="1"/>
      <c r="L27" s="492"/>
      <c r="M27" s="868"/>
      <c r="N27" s="868"/>
      <c r="O27" s="868"/>
      <c r="P27" s="493"/>
    </row>
    <row r="28" spans="1:17" s="503" customFormat="1">
      <c r="A28" s="314"/>
      <c r="B28" s="488" t="s">
        <v>477</v>
      </c>
      <c r="C28" s="488"/>
      <c r="D28" s="494">
        <v>408000</v>
      </c>
      <c r="E28" s="482">
        <v>0</v>
      </c>
      <c r="F28" s="482">
        <v>121500</v>
      </c>
      <c r="G28" s="482">
        <v>60000</v>
      </c>
      <c r="H28" s="483">
        <f>D28+E28+F28-G28</f>
        <v>469500</v>
      </c>
      <c r="I28" s="482">
        <v>14775</v>
      </c>
      <c r="J28" s="502">
        <f>ROUND(I28/$P$8*100,4)</f>
        <v>0.13830000000000001</v>
      </c>
      <c r="K28" s="502">
        <f>ROUND(I28/$P$11*100,4)</f>
        <v>0.14599999999999999</v>
      </c>
      <c r="L28" s="829">
        <v>0.93900000000000006</v>
      </c>
      <c r="M28" s="317">
        <v>500000000</v>
      </c>
      <c r="N28" s="868">
        <v>1.5254000000000001</v>
      </c>
      <c r="O28" s="869">
        <v>1.7978802154065807</v>
      </c>
      <c r="P28" s="493"/>
      <c r="Q28" s="503">
        <v>0.81600000000000006</v>
      </c>
    </row>
    <row r="29" spans="1:17" s="503" customFormat="1">
      <c r="A29" s="314"/>
      <c r="B29" s="488"/>
      <c r="C29" s="488"/>
      <c r="D29" s="488"/>
      <c r="E29" s="482"/>
      <c r="F29" s="482"/>
      <c r="G29" s="482"/>
      <c r="H29" s="482"/>
      <c r="I29" s="482"/>
      <c r="J29" s="502"/>
      <c r="K29" s="502"/>
      <c r="L29" s="492"/>
      <c r="M29" s="868"/>
      <c r="N29" s="868"/>
      <c r="O29" s="869"/>
      <c r="P29" s="493"/>
    </row>
    <row r="30" spans="1:17" s="503" customFormat="1">
      <c r="A30" s="314"/>
      <c r="B30" s="480" t="s">
        <v>478</v>
      </c>
      <c r="C30" s="481"/>
      <c r="D30" s="481"/>
      <c r="E30" s="482"/>
      <c r="F30" s="482"/>
      <c r="G30" s="482"/>
      <c r="H30" s="482"/>
      <c r="I30" s="482"/>
      <c r="J30" s="502"/>
      <c r="K30" s="502"/>
      <c r="L30" s="492"/>
      <c r="M30" s="868"/>
      <c r="N30" s="868"/>
      <c r="O30" s="869"/>
      <c r="P30" s="493"/>
    </row>
    <row r="31" spans="1:17" s="503" customFormat="1">
      <c r="A31" s="314"/>
      <c r="B31" s="481" t="s">
        <v>479</v>
      </c>
      <c r="C31" s="481"/>
      <c r="D31" s="494">
        <v>291500</v>
      </c>
      <c r="E31" s="482">
        <v>1287000</v>
      </c>
      <c r="F31" s="482">
        <v>0</v>
      </c>
      <c r="G31" s="482">
        <v>448000</v>
      </c>
      <c r="H31" s="483">
        <f>D31+E31+F31-G31</f>
        <v>1130500</v>
      </c>
      <c r="I31" s="852">
        <v>95109</v>
      </c>
      <c r="J31" s="854">
        <f>ROUND(I31/$P$8*100,4)</f>
        <v>0.89019999999999999</v>
      </c>
      <c r="K31" s="854">
        <f>ROUND(I31/$P$11*100,4)</f>
        <v>0.93959999999999999</v>
      </c>
      <c r="L31" s="829">
        <v>8.4940458654433434E-2</v>
      </c>
      <c r="M31" s="870">
        <v>13309323000</v>
      </c>
      <c r="N31" s="868">
        <v>2.0657999999999999</v>
      </c>
      <c r="O31" s="869">
        <v>2.4348138925566443</v>
      </c>
      <c r="P31" s="493"/>
      <c r="Q31" s="503">
        <v>2.190194046684418E-2</v>
      </c>
    </row>
    <row r="32" spans="1:17" s="503" customFormat="1">
      <c r="A32" s="314"/>
      <c r="B32" s="488" t="s">
        <v>334</v>
      </c>
      <c r="C32" s="488"/>
      <c r="D32" s="494">
        <v>342500</v>
      </c>
      <c r="E32" s="482">
        <v>283600</v>
      </c>
      <c r="F32" s="482">
        <v>0</v>
      </c>
      <c r="G32" s="482">
        <v>214400</v>
      </c>
      <c r="H32" s="483">
        <f>D32+E32+F32-G32</f>
        <v>411700</v>
      </c>
      <c r="I32" s="850">
        <v>115025</v>
      </c>
      <c r="J32" s="3">
        <f>ROUND(I32/$P$8*100,4)</f>
        <v>1.0766</v>
      </c>
      <c r="K32" s="3">
        <f>ROUND(I32/$P$11*100,4)</f>
        <v>1.1364000000000001</v>
      </c>
      <c r="L32" s="829">
        <v>7.8600997700009181E-2</v>
      </c>
      <c r="M32" s="870">
        <v>21000000000</v>
      </c>
      <c r="N32" s="868">
        <v>8.1225000000000005</v>
      </c>
      <c r="O32" s="869">
        <v>9.5736886022493746</v>
      </c>
      <c r="P32" s="493"/>
      <c r="Q32" s="503">
        <v>6.5389462502436602E-2</v>
      </c>
    </row>
    <row r="33" spans="1:17" s="503" customFormat="1">
      <c r="A33" s="314"/>
      <c r="B33" s="488" t="s">
        <v>335</v>
      </c>
      <c r="C33" s="488"/>
      <c r="D33" s="494">
        <v>348000</v>
      </c>
      <c r="E33" s="482">
        <v>400000</v>
      </c>
      <c r="F33" s="482">
        <v>0</v>
      </c>
      <c r="G33" s="482">
        <v>0</v>
      </c>
      <c r="H33" s="483">
        <f>D33+E33+F33-G33</f>
        <v>748000</v>
      </c>
      <c r="I33" s="850">
        <v>33458</v>
      </c>
      <c r="J33" s="3">
        <f>ROUND(I33/$P$8*100,4)</f>
        <v>0.31319999999999998</v>
      </c>
      <c r="K33" s="3">
        <f>ROUND(I33/$P$11*100,4)</f>
        <v>0.33050000000000002</v>
      </c>
      <c r="L33" s="829">
        <v>3.561904761904762E-2</v>
      </c>
      <c r="M33" s="870">
        <v>21000000000</v>
      </c>
      <c r="N33" s="868">
        <v>1.0864</v>
      </c>
      <c r="O33" s="869">
        <v>1.2804598956871593</v>
      </c>
      <c r="P33" s="493"/>
      <c r="Q33" s="503">
        <v>1.657142857142857E-2</v>
      </c>
    </row>
    <row r="34" spans="1:17" s="503" customFormat="1">
      <c r="A34" s="314"/>
      <c r="B34" s="488" t="s">
        <v>480</v>
      </c>
      <c r="C34" s="488"/>
      <c r="D34" s="494">
        <v>71500</v>
      </c>
      <c r="E34" s="482">
        <v>0</v>
      </c>
      <c r="F34" s="482">
        <v>0</v>
      </c>
      <c r="G34" s="482">
        <v>37200</v>
      </c>
      <c r="H34" s="483">
        <f>D34+E34+F34-G34</f>
        <v>34300</v>
      </c>
      <c r="I34" s="850">
        <v>4087</v>
      </c>
      <c r="J34" s="3">
        <f>ROUND(I34/$P$8*100,4)</f>
        <v>3.8300000000000001E-2</v>
      </c>
      <c r="K34" s="3">
        <f>ROUND(I34/$P$11*100,4)</f>
        <v>4.0399999999999998E-2</v>
      </c>
      <c r="L34" s="829">
        <v>7.1267233216930192E-3</v>
      </c>
      <c r="M34" s="870">
        <v>4812871000</v>
      </c>
      <c r="N34" s="868">
        <v>0.66710000000000003</v>
      </c>
      <c r="O34" s="869">
        <v>0.78630182914769742</v>
      </c>
      <c r="P34" s="493"/>
      <c r="Q34" s="503">
        <v>1.4855997594782823E-2</v>
      </c>
    </row>
    <row r="35" spans="1:17" s="503" customFormat="1">
      <c r="A35" s="314"/>
      <c r="B35" s="488" t="s">
        <v>481</v>
      </c>
      <c r="C35" s="488"/>
      <c r="D35" s="494">
        <v>0</v>
      </c>
      <c r="E35" s="482">
        <v>198400</v>
      </c>
      <c r="F35" s="482">
        <v>0</v>
      </c>
      <c r="G35" s="482">
        <v>198400</v>
      </c>
      <c r="H35" s="483">
        <f>D35+E35+F35-G35</f>
        <v>0</v>
      </c>
      <c r="I35" s="851">
        <v>0</v>
      </c>
      <c r="J35" s="2">
        <f>ROUND(I35/$P$8*100,4)</f>
        <v>0</v>
      </c>
      <c r="K35" s="2">
        <f>ROUND(I35/$P$11*100,4)</f>
        <v>0</v>
      </c>
      <c r="L35" s="829">
        <f>H35/M35*100</f>
        <v>0</v>
      </c>
      <c r="M35" s="870">
        <v>1272238200</v>
      </c>
      <c r="N35" s="868">
        <v>0</v>
      </c>
      <c r="O35" s="869">
        <v>0</v>
      </c>
      <c r="P35" s="493"/>
      <c r="Q35" s="503">
        <v>0</v>
      </c>
    </row>
    <row r="36" spans="1:17" s="503" customFormat="1">
      <c r="A36" s="314"/>
      <c r="B36" s="478"/>
      <c r="C36" s="478"/>
      <c r="D36" s="478"/>
      <c r="E36" s="482"/>
      <c r="F36" s="482"/>
      <c r="G36" s="489"/>
      <c r="H36" s="482"/>
      <c r="I36" s="482">
        <f>SUM(I31:I35)</f>
        <v>247679</v>
      </c>
      <c r="J36" s="502">
        <f>SUM(J31:J35)</f>
        <v>2.3183000000000002</v>
      </c>
      <c r="K36" s="502">
        <f>SUM(K31:K35)</f>
        <v>2.4469000000000003</v>
      </c>
      <c r="L36" s="492"/>
      <c r="M36" s="868"/>
      <c r="N36" s="868"/>
      <c r="O36" s="868"/>
      <c r="P36" s="493"/>
    </row>
    <row r="37" spans="1:17" s="503" customFormat="1">
      <c r="A37" s="314"/>
      <c r="B37" s="480" t="s">
        <v>482</v>
      </c>
      <c r="C37" s="480"/>
      <c r="D37" s="480"/>
      <c r="E37" s="489"/>
      <c r="F37" s="489"/>
      <c r="G37" s="489"/>
      <c r="H37" s="489"/>
      <c r="I37" s="489"/>
      <c r="J37" s="498"/>
      <c r="K37" s="498"/>
      <c r="L37" s="492"/>
      <c r="O37" s="868"/>
      <c r="P37" s="493"/>
    </row>
    <row r="38" spans="1:17" s="503" customFormat="1">
      <c r="A38" s="314"/>
      <c r="B38" s="481" t="s">
        <v>483</v>
      </c>
      <c r="C38" s="481"/>
      <c r="D38" s="485">
        <v>377500</v>
      </c>
      <c r="E38" s="482">
        <v>313900</v>
      </c>
      <c r="F38" s="482">
        <v>0</v>
      </c>
      <c r="G38" s="482">
        <v>95200</v>
      </c>
      <c r="H38" s="483">
        <f t="shared" ref="H38:H45" si="3">D38+E38+F38-G38</f>
        <v>596200</v>
      </c>
      <c r="I38" s="852">
        <v>87993</v>
      </c>
      <c r="J38" s="855">
        <f t="shared" ref="J38:J45" si="4">ROUND(I38/$P$8*100,4)</f>
        <v>0.8236</v>
      </c>
      <c r="K38" s="853">
        <f>ROUND(I38/$P$11*100,4)</f>
        <v>0.86929999999999996</v>
      </c>
      <c r="L38" s="829">
        <v>0.13608171841857614</v>
      </c>
      <c r="M38" s="870">
        <v>4381191000</v>
      </c>
      <c r="N38" s="868">
        <v>4.3064999999999998</v>
      </c>
      <c r="O38" s="869">
        <v>5.0758801513647507</v>
      </c>
      <c r="P38" s="493"/>
      <c r="Q38" s="503">
        <v>8.616378514426784E-2</v>
      </c>
    </row>
    <row r="39" spans="1:17" s="503" customFormat="1">
      <c r="A39" s="314"/>
      <c r="B39" s="481" t="s">
        <v>336</v>
      </c>
      <c r="C39" s="481"/>
      <c r="D39" s="485">
        <v>58300</v>
      </c>
      <c r="E39" s="482">
        <v>41200</v>
      </c>
      <c r="F39" s="482">
        <v>0</v>
      </c>
      <c r="G39" s="482">
        <v>98700</v>
      </c>
      <c r="H39" s="483">
        <f t="shared" si="3"/>
        <v>800</v>
      </c>
      <c r="I39" s="850">
        <v>193</v>
      </c>
      <c r="J39" s="856">
        <f t="shared" si="4"/>
        <v>1.8E-3</v>
      </c>
      <c r="K39" s="857">
        <f t="shared" ref="K39:K45" si="5">ROUND(I39/$P$11*100,4)</f>
        <v>1.9E-3</v>
      </c>
      <c r="L39" s="829">
        <f>H39/M39*100</f>
        <v>5.1777053186683467E-5</v>
      </c>
      <c r="M39" s="870">
        <v>1545086000</v>
      </c>
      <c r="N39" s="868">
        <v>0.93100000000000005</v>
      </c>
      <c r="O39" s="869">
        <v>1.0972814242903128</v>
      </c>
      <c r="P39" s="493"/>
      <c r="Q39" s="503">
        <v>3.7732527509795576E-2</v>
      </c>
    </row>
    <row r="40" spans="1:17" s="503" customFormat="1">
      <c r="A40" s="314"/>
      <c r="B40" s="488" t="s">
        <v>125</v>
      </c>
      <c r="C40" s="488"/>
      <c r="D40" s="485">
        <v>142600</v>
      </c>
      <c r="E40" s="482">
        <v>75400</v>
      </c>
      <c r="F40" s="482">
        <v>0</v>
      </c>
      <c r="G40" s="482">
        <v>114600</v>
      </c>
      <c r="H40" s="483">
        <f t="shared" si="3"/>
        <v>103400</v>
      </c>
      <c r="I40" s="850">
        <v>51187</v>
      </c>
      <c r="J40" s="856">
        <f t="shared" si="4"/>
        <v>0.47910000000000003</v>
      </c>
      <c r="K40" s="857">
        <f t="shared" si="5"/>
        <v>0.50570000000000004</v>
      </c>
      <c r="L40" s="829">
        <v>3.1975260919984538E-2</v>
      </c>
      <c r="M40" s="870">
        <v>3233750000</v>
      </c>
      <c r="N40" s="868">
        <v>5.9207000000000001</v>
      </c>
      <c r="O40" s="868">
        <v>6.9784875956624841</v>
      </c>
      <c r="P40" s="493"/>
      <c r="Q40" s="503">
        <v>4.4097410127560882E-2</v>
      </c>
    </row>
    <row r="41" spans="1:17" s="503" customFormat="1">
      <c r="A41" s="314"/>
      <c r="B41" s="481" t="s">
        <v>171</v>
      </c>
      <c r="C41" s="480"/>
      <c r="D41" s="485">
        <v>375500</v>
      </c>
      <c r="E41" s="489">
        <v>485000</v>
      </c>
      <c r="F41" s="489">
        <v>0</v>
      </c>
      <c r="G41" s="489">
        <v>358500</v>
      </c>
      <c r="H41" s="483">
        <f t="shared" si="3"/>
        <v>502000</v>
      </c>
      <c r="I41" s="850">
        <v>37439</v>
      </c>
      <c r="J41" s="856">
        <f t="shared" si="4"/>
        <v>0.35039999999999999</v>
      </c>
      <c r="K41" s="857">
        <f t="shared" si="5"/>
        <v>0.36990000000000001</v>
      </c>
      <c r="L41" s="829">
        <v>9.5123697757525147E-2</v>
      </c>
      <c r="M41" s="870">
        <v>5277339000</v>
      </c>
      <c r="N41" s="503">
        <v>2.3571</v>
      </c>
      <c r="O41" s="503">
        <v>2.778191119658393</v>
      </c>
      <c r="P41" s="493"/>
      <c r="Q41" s="503">
        <v>7.1153283880379864E-2</v>
      </c>
    </row>
    <row r="42" spans="1:17" s="503" customFormat="1">
      <c r="A42" s="314"/>
      <c r="B42" s="481" t="s">
        <v>484</v>
      </c>
      <c r="C42" s="481"/>
      <c r="D42" s="485">
        <v>47000</v>
      </c>
      <c r="E42" s="482">
        <v>393500</v>
      </c>
      <c r="F42" s="482">
        <v>0</v>
      </c>
      <c r="G42" s="482">
        <v>62500</v>
      </c>
      <c r="H42" s="483">
        <f t="shared" si="3"/>
        <v>378000</v>
      </c>
      <c r="I42" s="850">
        <v>34345</v>
      </c>
      <c r="J42" s="856">
        <f t="shared" si="4"/>
        <v>0.32150000000000001</v>
      </c>
      <c r="K42" s="857">
        <f t="shared" si="5"/>
        <v>0.33929999999999999</v>
      </c>
      <c r="L42" s="829">
        <v>0.16641074044855181</v>
      </c>
      <c r="M42" s="870">
        <v>2271488000</v>
      </c>
      <c r="N42" s="868">
        <v>0.32029999999999997</v>
      </c>
      <c r="O42" s="869">
        <v>0.37756426315164915</v>
      </c>
      <c r="P42" s="493"/>
      <c r="Q42" s="503">
        <v>2.0691282542544799E-2</v>
      </c>
    </row>
    <row r="43" spans="1:17" s="503" customFormat="1">
      <c r="A43" s="314"/>
      <c r="B43" s="481" t="s">
        <v>485</v>
      </c>
      <c r="C43" s="481"/>
      <c r="D43" s="485">
        <v>63900</v>
      </c>
      <c r="E43" s="482">
        <v>59000</v>
      </c>
      <c r="F43" s="482">
        <v>0</v>
      </c>
      <c r="G43" s="482">
        <v>1300</v>
      </c>
      <c r="H43" s="483">
        <f t="shared" si="3"/>
        <v>121600</v>
      </c>
      <c r="I43" s="850">
        <v>20398</v>
      </c>
      <c r="J43" s="856">
        <f t="shared" si="4"/>
        <v>0.19089999999999999</v>
      </c>
      <c r="K43" s="857">
        <f t="shared" si="5"/>
        <v>0.20150000000000001</v>
      </c>
      <c r="L43" s="829">
        <v>0.11</v>
      </c>
      <c r="M43" s="870">
        <v>1145225000</v>
      </c>
      <c r="N43" s="868">
        <v>0.97309999999999997</v>
      </c>
      <c r="O43" s="869">
        <v>1.1470080221810766</v>
      </c>
      <c r="P43" s="493"/>
      <c r="Q43" s="503">
        <v>5.5796895806500907E-2</v>
      </c>
    </row>
    <row r="44" spans="1:17" s="503" customFormat="1">
      <c r="A44" s="314"/>
      <c r="B44" s="481" t="s">
        <v>486</v>
      </c>
      <c r="C44" s="481"/>
      <c r="D44" s="485">
        <v>225000</v>
      </c>
      <c r="E44" s="482">
        <v>412500</v>
      </c>
      <c r="F44" s="482">
        <v>0</v>
      </c>
      <c r="G44" s="482">
        <v>0</v>
      </c>
      <c r="H44" s="483">
        <f t="shared" si="3"/>
        <v>637500</v>
      </c>
      <c r="I44" s="850">
        <v>49763</v>
      </c>
      <c r="J44" s="856">
        <f t="shared" si="4"/>
        <v>0.46579999999999999</v>
      </c>
      <c r="K44" s="857">
        <f t="shared" si="5"/>
        <v>0.49159999999999998</v>
      </c>
      <c r="L44" s="829">
        <v>1.2709330143540671</v>
      </c>
      <c r="M44" s="870">
        <v>501600000</v>
      </c>
      <c r="N44" s="868">
        <v>1.25</v>
      </c>
      <c r="O44" s="869">
        <v>1.4733388208392115</v>
      </c>
      <c r="P44" s="493"/>
      <c r="Q44" s="503">
        <v>0.44856459330143539</v>
      </c>
    </row>
    <row r="45" spans="1:17" s="503" customFormat="1">
      <c r="A45" s="314"/>
      <c r="B45" s="481" t="s">
        <v>642</v>
      </c>
      <c r="C45" s="481"/>
      <c r="D45" s="485">
        <v>0</v>
      </c>
      <c r="E45" s="482">
        <v>2165000</v>
      </c>
      <c r="F45" s="482">
        <v>0</v>
      </c>
      <c r="G45" s="482">
        <v>319500</v>
      </c>
      <c r="H45" s="483">
        <f t="shared" si="3"/>
        <v>1845500</v>
      </c>
      <c r="I45" s="851">
        <v>67951</v>
      </c>
      <c r="J45" s="858">
        <f t="shared" si="4"/>
        <v>0.63600000000000001</v>
      </c>
      <c r="K45" s="859">
        <f t="shared" si="5"/>
        <v>0.67130000000000001</v>
      </c>
      <c r="L45" s="829">
        <v>0.13864308424556301</v>
      </c>
      <c r="M45" s="870">
        <v>13311158000</v>
      </c>
      <c r="N45" s="868"/>
      <c r="O45" s="869"/>
      <c r="P45" s="493"/>
    </row>
    <row r="46" spans="1:17" s="503" customFormat="1">
      <c r="A46" s="314"/>
      <c r="B46" s="481"/>
      <c r="C46" s="481"/>
      <c r="D46" s="481"/>
      <c r="E46" s="482"/>
      <c r="F46" s="482"/>
      <c r="G46" s="482"/>
      <c r="H46" s="482"/>
      <c r="I46" s="482">
        <f>SUM(I38:I45)</f>
        <v>349269</v>
      </c>
      <c r="J46" s="502">
        <f>SUM(J38:J45)</f>
        <v>3.2690999999999999</v>
      </c>
      <c r="K46" s="502">
        <f>SUM(K38:K45)</f>
        <v>3.4505000000000003</v>
      </c>
      <c r="L46" s="492"/>
      <c r="M46" s="868"/>
      <c r="N46" s="868"/>
      <c r="O46" s="869"/>
      <c r="P46" s="493"/>
    </row>
    <row r="47" spans="1:17" s="503" customFormat="1">
      <c r="A47" s="314"/>
      <c r="B47" s="495" t="s">
        <v>487</v>
      </c>
      <c r="C47" s="488"/>
      <c r="D47" s="488"/>
      <c r="E47" s="482"/>
      <c r="F47" s="482"/>
      <c r="G47" s="489"/>
      <c r="H47" s="482"/>
      <c r="I47" s="482"/>
      <c r="J47" s="502"/>
      <c r="K47" s="502"/>
      <c r="L47" s="492"/>
      <c r="M47" s="868"/>
      <c r="N47" s="868"/>
      <c r="O47" s="868"/>
      <c r="P47" s="493"/>
    </row>
    <row r="48" spans="1:17" s="503" customFormat="1">
      <c r="A48" s="314"/>
      <c r="B48" s="481" t="s">
        <v>722</v>
      </c>
      <c r="C48" s="480"/>
      <c r="D48" s="485">
        <v>19400</v>
      </c>
      <c r="E48" s="482">
        <v>0</v>
      </c>
      <c r="F48" s="482">
        <v>0</v>
      </c>
      <c r="G48" s="489">
        <v>0</v>
      </c>
      <c r="H48" s="483">
        <f>D48+E48+F48-G48</f>
        <v>19400</v>
      </c>
      <c r="I48" s="482">
        <v>4915</v>
      </c>
      <c r="J48" s="502">
        <f>ROUND(I48/$P$8*100,4)</f>
        <v>4.5999999999999999E-2</v>
      </c>
      <c r="K48" s="502">
        <f>ROUND(I48/$P$11*100,4)</f>
        <v>4.8599999999999997E-2</v>
      </c>
      <c r="L48" s="829">
        <v>2.3941749969147229E-2</v>
      </c>
      <c r="M48" s="870">
        <v>405150000</v>
      </c>
      <c r="N48" s="868">
        <v>0.44240000000000002</v>
      </c>
      <c r="O48" s="868">
        <v>0.52147002371431317</v>
      </c>
      <c r="P48" s="493"/>
      <c r="Q48" s="503">
        <v>2.3941749969147229E-2</v>
      </c>
    </row>
    <row r="49" spans="1:17" s="503" customFormat="1">
      <c r="A49" s="314"/>
      <c r="B49" s="481" t="s">
        <v>641</v>
      </c>
      <c r="C49" s="480"/>
      <c r="D49" s="485">
        <v>0</v>
      </c>
      <c r="E49" s="482">
        <v>328500</v>
      </c>
      <c r="F49" s="482">
        <v>0</v>
      </c>
      <c r="G49" s="489">
        <v>0</v>
      </c>
      <c r="H49" s="483">
        <f>D49+E49+F49-G49</f>
        <v>328500</v>
      </c>
      <c r="I49" s="482">
        <v>4399</v>
      </c>
      <c r="J49" s="502">
        <f>ROUND(I49/$P$8*100,4)</f>
        <v>4.1200000000000001E-2</v>
      </c>
      <c r="K49" s="502">
        <f>ROUND(I49/$P$11*100,4)</f>
        <v>4.3499999999999997E-2</v>
      </c>
      <c r="L49" s="829">
        <v>1.4296905601253427</v>
      </c>
      <c r="M49" s="870">
        <v>229770000</v>
      </c>
      <c r="N49" s="868"/>
      <c r="O49" s="868"/>
      <c r="P49" s="493"/>
    </row>
    <row r="50" spans="1:17" s="503" customFormat="1">
      <c r="A50" s="314"/>
      <c r="B50" s="481"/>
      <c r="C50" s="481"/>
      <c r="D50" s="481"/>
      <c r="E50" s="482"/>
      <c r="F50" s="482"/>
      <c r="G50" s="489"/>
      <c r="H50" s="482"/>
      <c r="I50" s="482"/>
      <c r="J50" s="502"/>
      <c r="K50" s="502"/>
      <c r="L50" s="492"/>
      <c r="M50" s="868"/>
      <c r="N50" s="868"/>
      <c r="O50" s="869"/>
      <c r="P50" s="493"/>
    </row>
    <row r="51" spans="1:17" s="503" customFormat="1">
      <c r="A51" s="314"/>
      <c r="B51" s="495" t="s">
        <v>488</v>
      </c>
      <c r="C51" s="488"/>
      <c r="D51" s="488"/>
      <c r="E51" s="482"/>
      <c r="F51" s="482"/>
      <c r="G51" s="489"/>
      <c r="H51" s="482"/>
      <c r="I51" s="482"/>
      <c r="J51" s="502"/>
      <c r="K51" s="502"/>
      <c r="L51" s="492"/>
      <c r="M51" s="868"/>
      <c r="N51" s="868"/>
      <c r="O51" s="869"/>
      <c r="P51" s="493"/>
    </row>
    <row r="52" spans="1:17" s="503" customFormat="1">
      <c r="A52" s="314"/>
      <c r="B52" s="488" t="s">
        <v>489</v>
      </c>
      <c r="C52" s="488"/>
      <c r="D52" s="494">
        <v>9000</v>
      </c>
      <c r="E52" s="482">
        <v>1000</v>
      </c>
      <c r="F52" s="482">
        <v>0</v>
      </c>
      <c r="G52" s="489">
        <v>0</v>
      </c>
      <c r="H52" s="483">
        <f t="shared" ref="H52:H57" si="6">D52+E52+F52-G52</f>
        <v>10000</v>
      </c>
      <c r="I52" s="852">
        <v>612</v>
      </c>
      <c r="J52" s="855">
        <f t="shared" ref="J52:J57" si="7">ROUND(I52/$P$8*100,4)</f>
        <v>5.7000000000000002E-3</v>
      </c>
      <c r="K52" s="853">
        <f t="shared" ref="K52:K57" si="8">ROUND(I52/$P$11*100,4)</f>
        <v>6.0000000000000001E-3</v>
      </c>
      <c r="L52" s="829">
        <v>7.4994562894190181E-2</v>
      </c>
      <c r="M52" s="870">
        <v>133342999.99999999</v>
      </c>
      <c r="N52" s="868">
        <v>4.1799999999999997E-2</v>
      </c>
      <c r="O52" s="868">
        <v>4.9255702077403971E-2</v>
      </c>
      <c r="P52" s="493"/>
      <c r="Q52" s="503">
        <v>6.7495106604771163E-2</v>
      </c>
    </row>
    <row r="53" spans="1:17" s="503" customFormat="1">
      <c r="A53" s="314"/>
      <c r="B53" s="496" t="s">
        <v>337</v>
      </c>
      <c r="C53" s="497"/>
      <c r="D53" s="494">
        <v>49150</v>
      </c>
      <c r="E53" s="482">
        <v>6000</v>
      </c>
      <c r="F53" s="482">
        <v>0</v>
      </c>
      <c r="G53" s="489">
        <v>29500</v>
      </c>
      <c r="H53" s="483">
        <f t="shared" si="6"/>
        <v>25650</v>
      </c>
      <c r="I53" s="850">
        <v>25950</v>
      </c>
      <c r="J53" s="856">
        <f t="shared" si="7"/>
        <v>0.2429</v>
      </c>
      <c r="K53" s="857">
        <f t="shared" si="8"/>
        <v>0.25640000000000002</v>
      </c>
      <c r="L53" s="829">
        <v>3.2633587786259542E-2</v>
      </c>
      <c r="M53" s="870">
        <v>786000000</v>
      </c>
      <c r="N53" s="868">
        <v>4.9051</v>
      </c>
      <c r="O53" s="868">
        <v>5.7814704381026285</v>
      </c>
      <c r="P53" s="493"/>
      <c r="Q53" s="503">
        <v>6.2531806615776078E-2</v>
      </c>
    </row>
    <row r="54" spans="1:17" s="503" customFormat="1">
      <c r="A54" s="314"/>
      <c r="B54" s="488" t="s">
        <v>0</v>
      </c>
      <c r="C54" s="488"/>
      <c r="D54" s="494">
        <v>40300</v>
      </c>
      <c r="E54" s="482">
        <v>99800</v>
      </c>
      <c r="F54" s="482">
        <v>0</v>
      </c>
      <c r="G54" s="489">
        <v>34700</v>
      </c>
      <c r="H54" s="483">
        <f t="shared" si="6"/>
        <v>105400</v>
      </c>
      <c r="I54" s="850">
        <v>52205</v>
      </c>
      <c r="J54" s="856">
        <f t="shared" si="7"/>
        <v>0.48859999999999998</v>
      </c>
      <c r="K54" s="857">
        <f t="shared" si="8"/>
        <v>0.51570000000000005</v>
      </c>
      <c r="L54" s="829">
        <v>0.12806819935382668</v>
      </c>
      <c r="M54" s="870">
        <v>822999000</v>
      </c>
      <c r="N54" s="868">
        <v>1.4036999999999999</v>
      </c>
      <c r="O54" s="869">
        <v>1.6544453506572763</v>
      </c>
      <c r="P54" s="493"/>
      <c r="Q54" s="503">
        <v>4.8967252694110203E-2</v>
      </c>
    </row>
    <row r="55" spans="1:17" s="503" customFormat="1">
      <c r="A55" s="314"/>
      <c r="B55" s="488" t="s">
        <v>490</v>
      </c>
      <c r="C55" s="488"/>
      <c r="D55" s="494">
        <v>78500</v>
      </c>
      <c r="E55" s="482">
        <v>76000</v>
      </c>
      <c r="F55" s="482">
        <v>0</v>
      </c>
      <c r="G55" s="489">
        <v>154500</v>
      </c>
      <c r="H55" s="483">
        <f t="shared" si="6"/>
        <v>0</v>
      </c>
      <c r="I55" s="850">
        <v>0</v>
      </c>
      <c r="J55" s="856">
        <f t="shared" si="7"/>
        <v>0</v>
      </c>
      <c r="K55" s="857">
        <f t="shared" si="8"/>
        <v>0</v>
      </c>
      <c r="L55" s="829">
        <f>H55/M55*100</f>
        <v>0</v>
      </c>
      <c r="M55" s="870">
        <v>45002500</v>
      </c>
      <c r="N55" s="868">
        <v>0.62029999999999996</v>
      </c>
      <c r="O55" s="868">
        <v>0.73111283982196373</v>
      </c>
      <c r="P55" s="493"/>
      <c r="Q55" s="503">
        <v>0.17443475362479863</v>
      </c>
    </row>
    <row r="56" spans="1:17" s="503" customFormat="1">
      <c r="A56" s="314"/>
      <c r="B56" s="481" t="s">
        <v>491</v>
      </c>
      <c r="C56" s="480"/>
      <c r="D56" s="494">
        <v>83000</v>
      </c>
      <c r="E56" s="489">
        <v>0</v>
      </c>
      <c r="F56" s="489">
        <v>0</v>
      </c>
      <c r="G56" s="489">
        <v>0</v>
      </c>
      <c r="H56" s="483">
        <f t="shared" si="6"/>
        <v>83000</v>
      </c>
      <c r="I56" s="850">
        <v>2656</v>
      </c>
      <c r="J56" s="856">
        <f t="shared" si="7"/>
        <v>2.4899999999999999E-2</v>
      </c>
      <c r="K56" s="857">
        <f t="shared" si="8"/>
        <v>2.6200000000000001E-2</v>
      </c>
      <c r="L56" s="829">
        <v>0.46181923393648039</v>
      </c>
      <c r="M56" s="317">
        <v>179724000</v>
      </c>
      <c r="N56" s="503">
        <v>0.25540000000000002</v>
      </c>
      <c r="O56" s="503">
        <v>0.30099660389939409</v>
      </c>
      <c r="P56" s="493"/>
      <c r="Q56" s="503">
        <v>0.46181923393648039</v>
      </c>
    </row>
    <row r="57" spans="1:17" s="503" customFormat="1">
      <c r="A57" s="314"/>
      <c r="B57" s="481" t="s">
        <v>492</v>
      </c>
      <c r="C57" s="481"/>
      <c r="D57" s="494">
        <v>188900</v>
      </c>
      <c r="E57" s="489">
        <v>16000</v>
      </c>
      <c r="F57" s="489">
        <v>0</v>
      </c>
      <c r="G57" s="489">
        <v>204900</v>
      </c>
      <c r="H57" s="483">
        <f t="shared" si="6"/>
        <v>0</v>
      </c>
      <c r="I57" s="851">
        <v>0</v>
      </c>
      <c r="J57" s="858">
        <f t="shared" si="7"/>
        <v>0</v>
      </c>
      <c r="K57" s="859">
        <f t="shared" si="8"/>
        <v>0</v>
      </c>
      <c r="L57" s="829">
        <f>H57/M57*100</f>
        <v>0</v>
      </c>
      <c r="M57" s="870">
        <v>142800000</v>
      </c>
      <c r="N57" s="868">
        <v>3.3007</v>
      </c>
      <c r="O57" s="869">
        <v>3.8904470308135384</v>
      </c>
      <c r="P57" s="493"/>
      <c r="Q57" s="503">
        <v>0.13228291316526611</v>
      </c>
    </row>
    <row r="58" spans="1:17" s="503" customFormat="1">
      <c r="A58" s="314"/>
      <c r="B58" s="481"/>
      <c r="C58" s="481"/>
      <c r="D58" s="481"/>
      <c r="E58" s="489"/>
      <c r="F58" s="489"/>
      <c r="G58" s="489"/>
      <c r="H58" s="489"/>
      <c r="I58" s="482">
        <f>SUM(I52:I57)</f>
        <v>81423</v>
      </c>
      <c r="J58" s="502">
        <f>SUM(J52:J57)</f>
        <v>0.7621</v>
      </c>
      <c r="K58" s="502">
        <f>SUM(K52:K57)</f>
        <v>0.80430000000000001</v>
      </c>
      <c r="L58" s="492"/>
      <c r="M58" s="871"/>
      <c r="N58" s="868"/>
      <c r="O58" s="869"/>
      <c r="P58" s="493"/>
    </row>
    <row r="59" spans="1:17" s="503" customFormat="1">
      <c r="A59" s="314"/>
      <c r="B59" s="480" t="s">
        <v>493</v>
      </c>
      <c r="C59" s="481"/>
      <c r="D59" s="481"/>
      <c r="E59" s="482"/>
      <c r="F59" s="482"/>
      <c r="G59" s="482"/>
      <c r="H59" s="482"/>
      <c r="I59" s="489"/>
      <c r="J59" s="498"/>
      <c r="K59" s="498"/>
      <c r="L59" s="492"/>
      <c r="M59" s="868"/>
      <c r="N59" s="868"/>
      <c r="O59" s="493"/>
      <c r="P59" s="493"/>
    </row>
    <row r="60" spans="1:17" s="503" customFormat="1">
      <c r="A60" s="314"/>
      <c r="B60" s="481" t="s">
        <v>377</v>
      </c>
      <c r="C60" s="480"/>
      <c r="D60" s="494">
        <v>157500</v>
      </c>
      <c r="E60" s="482">
        <v>544000</v>
      </c>
      <c r="F60" s="482">
        <v>0</v>
      </c>
      <c r="G60" s="482">
        <v>24000</v>
      </c>
      <c r="H60" s="483">
        <f>D60+E60+F60-G60</f>
        <v>677500</v>
      </c>
      <c r="I60" s="489">
        <v>47323</v>
      </c>
      <c r="J60" s="502">
        <f>ROUND(I60/$P$8*100,4)</f>
        <v>0.44290000000000002</v>
      </c>
      <c r="K60" s="502">
        <f>ROUND(I60/$P$11*100,4)</f>
        <v>0.46750000000000003</v>
      </c>
      <c r="L60" s="829">
        <v>0.92229573361648831</v>
      </c>
      <c r="M60" s="317">
        <v>734580000</v>
      </c>
      <c r="N60" s="868">
        <v>0.73609999999999998</v>
      </c>
      <c r="O60" s="493">
        <v>0.86757844653354754</v>
      </c>
      <c r="P60" s="493"/>
      <c r="Q60" s="503">
        <v>0.21440823327615782</v>
      </c>
    </row>
    <row r="61" spans="1:17" s="503" customFormat="1">
      <c r="A61" s="314"/>
      <c r="B61" s="481"/>
      <c r="C61" s="480"/>
      <c r="D61" s="480"/>
      <c r="E61" s="482"/>
      <c r="F61" s="482"/>
      <c r="G61" s="482"/>
      <c r="H61" s="482"/>
      <c r="I61" s="489"/>
      <c r="J61" s="498"/>
      <c r="K61" s="498"/>
      <c r="L61" s="484"/>
      <c r="M61" s="868"/>
      <c r="N61" s="868"/>
      <c r="O61" s="493"/>
      <c r="P61" s="493"/>
    </row>
    <row r="62" spans="1:17" s="503" customFormat="1">
      <c r="A62" s="314"/>
      <c r="B62" s="480" t="s">
        <v>494</v>
      </c>
      <c r="C62" s="480"/>
      <c r="D62" s="480"/>
      <c r="E62" s="482"/>
      <c r="F62" s="482"/>
      <c r="G62" s="482"/>
      <c r="H62" s="482"/>
      <c r="I62" s="489"/>
      <c r="J62" s="498"/>
      <c r="K62" s="498"/>
      <c r="L62" s="484"/>
      <c r="M62" s="868"/>
      <c r="N62" s="868"/>
      <c r="O62" s="493"/>
      <c r="P62" s="493"/>
    </row>
    <row r="63" spans="1:17" s="503" customFormat="1">
      <c r="A63" s="314"/>
      <c r="B63" s="481" t="s">
        <v>495</v>
      </c>
      <c r="C63" s="481"/>
      <c r="D63" s="494">
        <v>345000</v>
      </c>
      <c r="E63" s="482">
        <v>1008000</v>
      </c>
      <c r="F63" s="482">
        <v>0</v>
      </c>
      <c r="G63" s="482">
        <v>541000</v>
      </c>
      <c r="H63" s="483">
        <f>D63+E63+F63-G63</f>
        <v>812000</v>
      </c>
      <c r="I63" s="489">
        <v>50783</v>
      </c>
      <c r="J63" s="502">
        <f>ROUND(I63/$P$8*100,4)</f>
        <v>0.4753</v>
      </c>
      <c r="K63" s="502">
        <f>ROUND(I63/$P$11*100,4)</f>
        <v>0.50170000000000003</v>
      </c>
      <c r="L63" s="829">
        <v>0.20394574741721044</v>
      </c>
      <c r="M63" s="317">
        <v>3981451000</v>
      </c>
      <c r="N63" s="868">
        <v>2.2808999999999999</v>
      </c>
      <c r="O63" s="869">
        <v>2.6883441984693999</v>
      </c>
      <c r="P63" s="493"/>
      <c r="Q63" s="503">
        <v>8.6651826180957639E-2</v>
      </c>
    </row>
    <row r="64" spans="1:17" s="503" customFormat="1">
      <c r="A64" s="314"/>
      <c r="B64" s="481"/>
      <c r="C64" s="481"/>
      <c r="D64" s="481"/>
      <c r="E64" s="482"/>
      <c r="F64" s="482"/>
      <c r="G64" s="482"/>
      <c r="H64" s="482"/>
      <c r="I64" s="489"/>
      <c r="J64" s="498"/>
      <c r="K64" s="498"/>
      <c r="L64" s="498"/>
      <c r="M64" s="868"/>
      <c r="N64" s="868"/>
      <c r="O64" s="869"/>
      <c r="P64" s="493"/>
    </row>
    <row r="65" spans="1:17" s="503" customFormat="1">
      <c r="A65" s="314"/>
      <c r="B65" s="499" t="s">
        <v>448</v>
      </c>
      <c r="C65" s="480"/>
      <c r="D65" s="480"/>
      <c r="E65" s="482"/>
      <c r="F65" s="482"/>
      <c r="G65" s="482"/>
      <c r="H65" s="500">
        <f>SUM(H17:H64)</f>
        <v>10727898</v>
      </c>
      <c r="I65" s="500">
        <f>I63+I60+I58+I49+I48+I46+I36+I28+I26</f>
        <v>1227010</v>
      </c>
      <c r="J65" s="501">
        <f>J63+J60+J58+J49+J48+J46+J36+J28+J26</f>
        <v>11.4848</v>
      </c>
      <c r="K65" s="501">
        <f>K63+K60+K58+K49+K48+K46+K36+K28+K26</f>
        <v>12.122</v>
      </c>
      <c r="L65" s="498"/>
      <c r="M65" s="868"/>
      <c r="N65" s="868"/>
      <c r="O65" s="493"/>
      <c r="P65" s="493"/>
    </row>
    <row r="66" spans="1:17" s="503" customFormat="1">
      <c r="A66" s="314"/>
      <c r="B66" s="499"/>
      <c r="C66" s="480"/>
      <c r="D66" s="480"/>
      <c r="E66" s="482"/>
      <c r="F66" s="482"/>
      <c r="G66" s="482"/>
      <c r="H66" s="482"/>
      <c r="I66" s="482"/>
      <c r="J66" s="502"/>
      <c r="K66" s="502"/>
      <c r="L66" s="498"/>
      <c r="M66" s="868"/>
      <c r="N66" s="868"/>
      <c r="O66" s="493"/>
      <c r="P66" s="493"/>
    </row>
    <row r="67" spans="1:17" s="503" customFormat="1">
      <c r="A67" s="314"/>
      <c r="C67" s="480"/>
      <c r="D67" s="480"/>
      <c r="E67" s="482"/>
      <c r="F67" s="482"/>
      <c r="G67" s="482"/>
      <c r="H67" s="482"/>
      <c r="I67" s="489"/>
      <c r="J67" s="498"/>
      <c r="K67" s="498"/>
      <c r="L67" s="498"/>
      <c r="M67" s="868"/>
      <c r="N67" s="868"/>
      <c r="O67" s="493"/>
      <c r="P67" s="493"/>
    </row>
    <row r="68" spans="1:17" s="845" customFormat="1" ht="11.4">
      <c r="A68" s="5" t="e">
        <f>A1+1</f>
        <v>#REF!</v>
      </c>
      <c r="B68" s="504"/>
      <c r="C68" s="504"/>
      <c r="D68" s="504"/>
      <c r="E68" s="505"/>
      <c r="F68" s="505"/>
      <c r="G68" s="505"/>
      <c r="H68" s="505"/>
      <c r="I68" s="505"/>
      <c r="J68" s="506"/>
      <c r="K68" s="506"/>
      <c r="L68" s="506"/>
      <c r="M68" s="52"/>
      <c r="N68" s="52"/>
      <c r="O68" s="872"/>
      <c r="P68" s="17"/>
    </row>
    <row r="69" spans="1:17" s="845" customFormat="1" ht="11.4">
      <c r="A69" s="314"/>
      <c r="B69" s="507"/>
      <c r="C69" s="507"/>
      <c r="D69" s="507"/>
      <c r="E69" s="508"/>
      <c r="F69" s="508"/>
      <c r="G69" s="508"/>
      <c r="H69" s="508"/>
      <c r="I69" s="508"/>
      <c r="J69" s="509"/>
      <c r="K69" s="509"/>
      <c r="L69" s="509"/>
      <c r="M69" s="52"/>
      <c r="N69" s="52"/>
      <c r="O69" s="872"/>
      <c r="P69" s="17"/>
    </row>
    <row r="70" spans="1:17" s="503" customFormat="1">
      <c r="A70" s="314"/>
      <c r="B70" s="2540" t="s">
        <v>116</v>
      </c>
      <c r="C70" s="2541"/>
      <c r="D70" s="2536" t="s">
        <v>635</v>
      </c>
      <c r="E70" s="2536" t="s">
        <v>130</v>
      </c>
      <c r="F70" s="2536" t="s">
        <v>119</v>
      </c>
      <c r="G70" s="2536" t="s">
        <v>120</v>
      </c>
      <c r="H70" s="2536" t="s">
        <v>636</v>
      </c>
      <c r="I70" s="2536" t="s">
        <v>637</v>
      </c>
      <c r="J70" s="2546" t="s">
        <v>310</v>
      </c>
      <c r="K70" s="2547"/>
      <c r="L70" s="2532" t="s">
        <v>709</v>
      </c>
      <c r="N70" s="866"/>
      <c r="O70" s="867" t="s">
        <v>167</v>
      </c>
      <c r="P70" s="868">
        <f>BS!F90</f>
        <v>0</v>
      </c>
      <c r="Q70" s="866"/>
    </row>
    <row r="71" spans="1:17" s="503" customFormat="1">
      <c r="A71" s="314"/>
      <c r="B71" s="2542"/>
      <c r="C71" s="2543"/>
      <c r="D71" s="2537"/>
      <c r="E71" s="2537"/>
      <c r="F71" s="2537"/>
      <c r="G71" s="2537"/>
      <c r="H71" s="2537"/>
      <c r="I71" s="2537"/>
      <c r="J71" s="2548"/>
      <c r="K71" s="2549"/>
      <c r="L71" s="2533"/>
      <c r="N71" s="866"/>
      <c r="O71" s="867"/>
      <c r="P71" s="868"/>
      <c r="Q71" s="866"/>
    </row>
    <row r="72" spans="1:17" s="503" customFormat="1">
      <c r="A72" s="314"/>
      <c r="B72" s="2542"/>
      <c r="C72" s="2543"/>
      <c r="D72" s="2538"/>
      <c r="E72" s="2538"/>
      <c r="F72" s="2538"/>
      <c r="G72" s="2538"/>
      <c r="H72" s="2538"/>
      <c r="I72" s="2538"/>
      <c r="J72" s="2533" t="s">
        <v>121</v>
      </c>
      <c r="K72" s="2533" t="s">
        <v>296</v>
      </c>
      <c r="L72" s="2533"/>
      <c r="N72" s="866"/>
      <c r="O72" s="867"/>
      <c r="P72" s="868"/>
      <c r="Q72" s="866"/>
    </row>
    <row r="73" spans="1:17" s="503" customFormat="1">
      <c r="A73" s="314"/>
      <c r="B73" s="2542"/>
      <c r="C73" s="2543"/>
      <c r="D73" s="2538"/>
      <c r="E73" s="2538"/>
      <c r="F73" s="2538"/>
      <c r="G73" s="2538"/>
      <c r="H73" s="2538"/>
      <c r="I73" s="2538"/>
      <c r="J73" s="2533"/>
      <c r="K73" s="2533"/>
      <c r="L73" s="2533"/>
      <c r="O73" s="503" t="s">
        <v>168</v>
      </c>
      <c r="P73" s="493">
        <f>BS!F75</f>
        <v>0</v>
      </c>
    </row>
    <row r="74" spans="1:17" s="503" customFormat="1">
      <c r="A74" s="314"/>
      <c r="B74" s="2542"/>
      <c r="C74" s="2543"/>
      <c r="D74" s="2538"/>
      <c r="E74" s="2538"/>
      <c r="F74" s="2538"/>
      <c r="G74" s="2538"/>
      <c r="H74" s="2538"/>
      <c r="I74" s="2538"/>
      <c r="J74" s="2533"/>
      <c r="K74" s="2533"/>
      <c r="L74" s="2533"/>
      <c r="P74" s="493"/>
    </row>
    <row r="75" spans="1:17" s="503" customFormat="1">
      <c r="A75" s="314"/>
      <c r="B75" s="2542"/>
      <c r="C75" s="2543"/>
      <c r="D75" s="2538"/>
      <c r="E75" s="2538"/>
      <c r="F75" s="2538"/>
      <c r="G75" s="2538"/>
      <c r="H75" s="2538"/>
      <c r="I75" s="2538"/>
      <c r="J75" s="2533"/>
      <c r="K75" s="2533"/>
      <c r="L75" s="2533"/>
      <c r="P75" s="493"/>
    </row>
    <row r="76" spans="1:17" s="503" customFormat="1">
      <c r="A76" s="314"/>
      <c r="B76" s="2544"/>
      <c r="C76" s="2545"/>
      <c r="D76" s="2539"/>
      <c r="E76" s="2539"/>
      <c r="F76" s="2539"/>
      <c r="G76" s="2539"/>
      <c r="H76" s="2539"/>
      <c r="I76" s="2539"/>
      <c r="J76" s="2534"/>
      <c r="K76" s="2534"/>
      <c r="L76" s="2534"/>
      <c r="P76" s="493"/>
    </row>
    <row r="77" spans="1:17" s="503" customFormat="1" ht="20.399999999999999">
      <c r="A77" s="314"/>
      <c r="B77" s="478"/>
      <c r="C77" s="478"/>
      <c r="D77" s="2550" t="s">
        <v>708</v>
      </c>
      <c r="E77" s="2550"/>
      <c r="F77" s="2550"/>
      <c r="G77" s="2550"/>
      <c r="H77" s="2550"/>
      <c r="I77" s="479" t="s">
        <v>52</v>
      </c>
      <c r="J77" s="2551" t="s">
        <v>2</v>
      </c>
      <c r="K77" s="2552"/>
      <c r="L77" s="2552"/>
      <c r="P77" s="493"/>
    </row>
    <row r="78" spans="1:17" s="503" customFormat="1">
      <c r="A78" s="314"/>
      <c r="B78" s="478"/>
      <c r="C78" s="478"/>
      <c r="D78" s="478"/>
      <c r="F78" s="510"/>
      <c r="G78" s="510"/>
      <c r="H78" s="510"/>
      <c r="I78" s="511"/>
      <c r="J78" s="864"/>
      <c r="K78" s="865"/>
      <c r="L78" s="865"/>
      <c r="P78" s="493"/>
    </row>
    <row r="79" spans="1:17" s="503" customFormat="1">
      <c r="A79" s="314"/>
      <c r="B79" s="499" t="s">
        <v>447</v>
      </c>
      <c r="C79" s="478"/>
      <c r="D79" s="478"/>
      <c r="F79" s="510"/>
      <c r="G79" s="510"/>
      <c r="H79" s="512">
        <f>H65</f>
        <v>10727898</v>
      </c>
      <c r="I79" s="512">
        <f>I65</f>
        <v>1227010</v>
      </c>
      <c r="J79" s="513">
        <f>J65</f>
        <v>11.4848</v>
      </c>
      <c r="K79" s="513">
        <f>K65</f>
        <v>12.122</v>
      </c>
      <c r="L79" s="865"/>
      <c r="M79" s="503">
        <v>80584</v>
      </c>
      <c r="N79" s="528">
        <f>D82+E82+M79-G82</f>
        <v>345084</v>
      </c>
      <c r="P79" s="493"/>
    </row>
    <row r="80" spans="1:17" s="503" customFormat="1">
      <c r="A80" s="314"/>
      <c r="B80" s="514"/>
      <c r="C80" s="478"/>
      <c r="D80" s="478"/>
      <c r="F80" s="510"/>
      <c r="G80" s="510"/>
      <c r="H80" s="482"/>
      <c r="I80" s="482"/>
      <c r="J80" s="502"/>
      <c r="K80" s="502"/>
      <c r="L80" s="865"/>
      <c r="M80" s="533"/>
      <c r="P80" s="493"/>
    </row>
    <row r="81" spans="1:18" s="503" customFormat="1">
      <c r="A81" s="314"/>
      <c r="B81" s="480" t="s">
        <v>496</v>
      </c>
      <c r="C81" s="481"/>
      <c r="D81" s="481"/>
      <c r="E81" s="482"/>
      <c r="F81" s="482"/>
      <c r="G81" s="482"/>
      <c r="H81" s="482"/>
      <c r="I81" s="489"/>
      <c r="J81" s="498"/>
      <c r="K81" s="498"/>
      <c r="L81" s="498"/>
      <c r="M81" s="522"/>
      <c r="N81" s="868"/>
      <c r="O81" s="493"/>
      <c r="P81" s="493"/>
    </row>
    <row r="82" spans="1:18" s="503" customFormat="1">
      <c r="A82" s="314"/>
      <c r="B82" s="496" t="s">
        <v>554</v>
      </c>
      <c r="C82" s="497"/>
      <c r="D82" s="515">
        <v>448500</v>
      </c>
      <c r="E82" s="489">
        <v>229000</v>
      </c>
      <c r="F82" s="489">
        <v>84825</v>
      </c>
      <c r="G82" s="489">
        <v>413000</v>
      </c>
      <c r="H82" s="483">
        <f>D82+E82+F82-G82</f>
        <v>349325</v>
      </c>
      <c r="I82" s="489">
        <v>24348</v>
      </c>
      <c r="J82" s="484">
        <f>ROUND(I82/$P$8*100,4)</f>
        <v>0.22789999999999999</v>
      </c>
      <c r="K82" s="502">
        <f>ROUND(I82/$P$11*100,4)</f>
        <v>0.24049999999999999</v>
      </c>
      <c r="L82" s="829">
        <v>0.27768327135655224</v>
      </c>
      <c r="M82" s="317">
        <v>1257998000</v>
      </c>
      <c r="N82" s="503">
        <v>2.0154999999999998</v>
      </c>
      <c r="O82" s="503">
        <v>2.3755751992360183</v>
      </c>
      <c r="P82" s="493"/>
      <c r="Q82" s="503">
        <v>0.40999679132945915</v>
      </c>
    </row>
    <row r="83" spans="1:18" s="503" customFormat="1">
      <c r="A83" s="314"/>
      <c r="B83" s="488"/>
      <c r="C83" s="488"/>
      <c r="D83" s="488"/>
      <c r="E83" s="489"/>
      <c r="F83" s="489"/>
      <c r="G83" s="489"/>
      <c r="H83" s="489"/>
      <c r="I83" s="489"/>
      <c r="J83" s="484"/>
      <c r="K83" s="484"/>
      <c r="L83" s="492"/>
      <c r="M83" s="533"/>
      <c r="P83" s="493"/>
    </row>
    <row r="84" spans="1:18" s="503" customFormat="1">
      <c r="A84" s="314"/>
      <c r="B84" s="516" t="s">
        <v>497</v>
      </c>
      <c r="C84" s="517"/>
      <c r="D84" s="517"/>
      <c r="E84" s="482"/>
      <c r="F84" s="482"/>
      <c r="G84" s="482"/>
      <c r="H84" s="482"/>
      <c r="I84" s="482"/>
      <c r="J84" s="484"/>
      <c r="K84" s="484"/>
      <c r="L84" s="492"/>
      <c r="M84" s="522"/>
      <c r="N84" s="868"/>
      <c r="O84" s="869"/>
      <c r="P84" s="493"/>
    </row>
    <row r="85" spans="1:18" s="503" customFormat="1">
      <c r="A85" s="314"/>
      <c r="B85" s="518" t="s">
        <v>338</v>
      </c>
      <c r="C85" s="518"/>
      <c r="D85" s="515">
        <v>816000</v>
      </c>
      <c r="E85" s="482">
        <v>77000</v>
      </c>
      <c r="F85" s="482">
        <v>0</v>
      </c>
      <c r="G85" s="482">
        <v>74000</v>
      </c>
      <c r="H85" s="483">
        <f>D85+E85+F85-G85</f>
        <v>819000</v>
      </c>
      <c r="I85" s="486">
        <v>58559</v>
      </c>
      <c r="J85" s="4">
        <f>ROUND(I85/$P$8*100,4)</f>
        <v>0.54810000000000003</v>
      </c>
      <c r="K85" s="854">
        <f>ROUND(I85/$P$11*100,4)</f>
        <v>0.57850000000000001</v>
      </c>
      <c r="L85" s="829">
        <v>0.3335692891430731</v>
      </c>
      <c r="M85" s="870">
        <v>2455262000</v>
      </c>
      <c r="N85" s="868">
        <v>4.2355</v>
      </c>
      <c r="O85" s="868">
        <v>4.9921548757494305</v>
      </c>
      <c r="P85" s="493"/>
      <c r="Q85" s="503">
        <v>0.33234742361507652</v>
      </c>
    </row>
    <row r="86" spans="1:18" s="503" customFormat="1">
      <c r="A86" s="314"/>
      <c r="B86" s="496" t="s">
        <v>578</v>
      </c>
      <c r="C86" s="497"/>
      <c r="D86" s="515">
        <v>60000</v>
      </c>
      <c r="E86" s="482">
        <v>562500</v>
      </c>
      <c r="F86" s="482">
        <v>0</v>
      </c>
      <c r="G86" s="482">
        <v>0</v>
      </c>
      <c r="H86" s="483">
        <f>D86+E86+F86-G86</f>
        <v>622500</v>
      </c>
      <c r="I86" s="487">
        <v>59057</v>
      </c>
      <c r="J86" s="3">
        <f>ROUND(I86/$P$8*100,4)</f>
        <v>0.55279999999999996</v>
      </c>
      <c r="K86" s="3">
        <f>ROUND(I86/$P$11*100,4)</f>
        <v>0.58340000000000003</v>
      </c>
      <c r="L86" s="829">
        <v>0.17704788227979651</v>
      </c>
      <c r="M86" s="870">
        <v>3515998000</v>
      </c>
      <c r="N86" s="868">
        <v>0.54769999999999996</v>
      </c>
      <c r="O86" s="868">
        <v>0.64550398095320616</v>
      </c>
      <c r="P86" s="493"/>
      <c r="Q86" s="503">
        <v>1.7064856123353879E-2</v>
      </c>
    </row>
    <row r="87" spans="1:18" s="503" customFormat="1">
      <c r="A87" s="314"/>
      <c r="B87" s="496" t="s">
        <v>648</v>
      </c>
      <c r="C87" s="497"/>
      <c r="D87" s="515">
        <v>0</v>
      </c>
      <c r="E87" s="482">
        <v>10150</v>
      </c>
      <c r="F87" s="482">
        <v>0</v>
      </c>
      <c r="G87" s="482">
        <v>0</v>
      </c>
      <c r="H87" s="483">
        <f>D87+E87+F87-G87</f>
        <v>10150</v>
      </c>
      <c r="I87" s="491">
        <v>8628</v>
      </c>
      <c r="J87" s="2">
        <f>ROUND(I87/$P$8*100,4)</f>
        <v>8.0799999999999997E-2</v>
      </c>
      <c r="K87" s="2">
        <f>ROUND(I87/$P$11*100,4)</f>
        <v>8.5199999999999998E-2</v>
      </c>
      <c r="L87" s="829">
        <v>8.4380819366852877E-2</v>
      </c>
      <c r="M87" s="870">
        <v>120288000</v>
      </c>
      <c r="N87" s="868"/>
      <c r="O87" s="868"/>
      <c r="P87" s="493"/>
    </row>
    <row r="88" spans="1:18" s="503" customFormat="1">
      <c r="A88" s="314"/>
      <c r="B88" s="488"/>
      <c r="C88" s="488"/>
      <c r="D88" s="488"/>
      <c r="E88" s="482"/>
      <c r="F88" s="482"/>
      <c r="G88" s="482"/>
      <c r="H88" s="482"/>
      <c r="I88" s="482">
        <f>SUM(I85:I87)</f>
        <v>126244</v>
      </c>
      <c r="J88" s="502">
        <f>SUM(J85:J87)</f>
        <v>1.1817</v>
      </c>
      <c r="K88" s="502">
        <f>SUM(K85:K87)</f>
        <v>1.2471000000000001</v>
      </c>
      <c r="L88" s="492"/>
      <c r="M88" s="522"/>
      <c r="N88" s="868"/>
      <c r="O88" s="869"/>
      <c r="P88" s="493"/>
    </row>
    <row r="89" spans="1:18" s="503" customFormat="1">
      <c r="A89" s="314"/>
      <c r="B89" s="519" t="s">
        <v>498</v>
      </c>
      <c r="C89" s="518"/>
      <c r="D89" s="518"/>
      <c r="E89" s="482"/>
      <c r="F89" s="482"/>
      <c r="G89" s="482"/>
      <c r="H89" s="482"/>
      <c r="I89" s="482"/>
      <c r="J89" s="502"/>
      <c r="K89" s="502"/>
      <c r="L89" s="492"/>
      <c r="M89" s="522"/>
      <c r="N89" s="868"/>
      <c r="O89" s="868"/>
      <c r="P89" s="493"/>
    </row>
    <row r="90" spans="1:18" s="503" customFormat="1">
      <c r="A90" s="314"/>
      <c r="B90" s="481" t="s">
        <v>339</v>
      </c>
      <c r="C90" s="480"/>
      <c r="D90" s="515">
        <v>15500</v>
      </c>
      <c r="E90" s="489">
        <v>14450</v>
      </c>
      <c r="F90" s="489">
        <v>0</v>
      </c>
      <c r="G90" s="489">
        <v>2000</v>
      </c>
      <c r="H90" s="483">
        <f>D90+E90+F90-G90</f>
        <v>27950</v>
      </c>
      <c r="I90" s="486">
        <v>30938</v>
      </c>
      <c r="J90" s="855">
        <f>ROUND(I90/$P$8*100,4)</f>
        <v>0.28960000000000002</v>
      </c>
      <c r="K90" s="854">
        <f>ROUND(I90/$P$11*100,4)</f>
        <v>0.30559999999999998</v>
      </c>
      <c r="L90" s="829">
        <v>9.2590138736136335E-2</v>
      </c>
      <c r="M90" s="870">
        <v>301868000</v>
      </c>
      <c r="N90" s="503">
        <v>0.79210000000000003</v>
      </c>
      <c r="O90" s="503">
        <v>0.93359803956654974</v>
      </c>
      <c r="P90" s="493"/>
      <c r="Q90" s="503">
        <v>5.1346946347410126E-2</v>
      </c>
      <c r="R90" s="503">
        <v>3.5</v>
      </c>
    </row>
    <row r="91" spans="1:18" s="503" customFormat="1">
      <c r="A91" s="314"/>
      <c r="B91" s="481" t="s">
        <v>499</v>
      </c>
      <c r="C91" s="481"/>
      <c r="D91" s="515">
        <v>6000</v>
      </c>
      <c r="E91" s="482">
        <v>0</v>
      </c>
      <c r="F91" s="482">
        <v>0</v>
      </c>
      <c r="G91" s="482">
        <v>0</v>
      </c>
      <c r="H91" s="483">
        <f>D91+E91+F91-G91</f>
        <v>6000</v>
      </c>
      <c r="I91" s="487">
        <v>3810</v>
      </c>
      <c r="J91" s="856">
        <f>ROUND(I91/$P$8*100,4)</f>
        <v>3.5700000000000003E-2</v>
      </c>
      <c r="K91" s="3">
        <f>ROUND(I91/$P$11*100,4)</f>
        <v>3.7600000000000001E-2</v>
      </c>
      <c r="L91" s="829">
        <v>6.1286839774750438E-3</v>
      </c>
      <c r="M91" s="870">
        <v>979003000</v>
      </c>
      <c r="N91" s="868">
        <v>0.31990000000000002</v>
      </c>
      <c r="O91" s="869">
        <v>0.37709336733828963</v>
      </c>
      <c r="P91" s="493"/>
      <c r="Q91" s="503">
        <v>6.1286839774750438E-3</v>
      </c>
    </row>
    <row r="92" spans="1:18" s="503" customFormat="1">
      <c r="A92" s="314"/>
      <c r="B92" s="488" t="s">
        <v>500</v>
      </c>
      <c r="C92" s="488"/>
      <c r="D92" s="515">
        <v>37000</v>
      </c>
      <c r="E92" s="482">
        <v>26000</v>
      </c>
      <c r="F92" s="482">
        <f>5640+2820</f>
        <v>8460</v>
      </c>
      <c r="G92" s="482">
        <v>16800</v>
      </c>
      <c r="H92" s="483">
        <f>D92+E92+F92-G92</f>
        <v>54660</v>
      </c>
      <c r="I92" s="491">
        <v>21631</v>
      </c>
      <c r="J92" s="858">
        <f>ROUND(I92/$P$8*100,4)</f>
        <v>0.20250000000000001</v>
      </c>
      <c r="K92" s="2">
        <f>ROUND(I92/$P$11*100,4)</f>
        <v>0.2137</v>
      </c>
      <c r="L92" s="829">
        <v>5.3063376077212746E-2</v>
      </c>
      <c r="M92" s="317">
        <v>1030089000</v>
      </c>
      <c r="N92" s="868">
        <v>0.94810000000000005</v>
      </c>
      <c r="O92" s="869">
        <v>1.1175299442647715</v>
      </c>
      <c r="P92" s="493"/>
      <c r="Q92" s="503">
        <v>4.3103096782761557E-2</v>
      </c>
    </row>
    <row r="93" spans="1:18" s="503" customFormat="1">
      <c r="A93" s="314"/>
      <c r="B93" s="488"/>
      <c r="C93" s="488"/>
      <c r="D93" s="488"/>
      <c r="E93" s="482"/>
      <c r="F93" s="482"/>
      <c r="G93" s="482"/>
      <c r="H93" s="482"/>
      <c r="I93" s="482">
        <f>SUM(I90:I92)</f>
        <v>56379</v>
      </c>
      <c r="J93" s="502">
        <f>SUM(J90:J92)</f>
        <v>0.52780000000000005</v>
      </c>
      <c r="K93" s="502">
        <f>SUM(K90:K92)</f>
        <v>0.55689999999999995</v>
      </c>
      <c r="L93" s="492"/>
      <c r="M93" s="522"/>
      <c r="N93" s="868"/>
      <c r="O93" s="869"/>
      <c r="P93" s="493"/>
    </row>
    <row r="94" spans="1:18" s="503" customFormat="1">
      <c r="A94" s="314"/>
      <c r="B94" s="495" t="s">
        <v>501</v>
      </c>
      <c r="C94" s="488"/>
      <c r="D94" s="488"/>
      <c r="E94" s="482"/>
      <c r="F94" s="482"/>
      <c r="G94" s="482"/>
      <c r="H94" s="482"/>
      <c r="I94" s="482"/>
      <c r="J94" s="502"/>
      <c r="K94" s="502"/>
      <c r="L94" s="492"/>
      <c r="M94" s="522"/>
      <c r="N94" s="868"/>
      <c r="O94" s="869"/>
      <c r="P94" s="493"/>
    </row>
    <row r="95" spans="1:18" s="503" customFormat="1">
      <c r="A95" s="314"/>
      <c r="B95" s="488" t="s">
        <v>340</v>
      </c>
      <c r="C95" s="488"/>
      <c r="D95" s="494">
        <v>386000</v>
      </c>
      <c r="E95" s="482">
        <v>823500</v>
      </c>
      <c r="F95" s="482">
        <v>0</v>
      </c>
      <c r="G95" s="482">
        <v>177500</v>
      </c>
      <c r="H95" s="483">
        <f>D95+E95+F95-G95</f>
        <v>1032000</v>
      </c>
      <c r="I95" s="482">
        <v>42106</v>
      </c>
      <c r="J95" s="502">
        <f>ROUND(I95/$P$8*100,4)</f>
        <v>0.39410000000000001</v>
      </c>
      <c r="K95" s="502">
        <f>ROUND(I95/$P$11*100,4)</f>
        <v>0.41599999999999998</v>
      </c>
      <c r="L95" s="829">
        <v>0.97635462108074522</v>
      </c>
      <c r="M95" s="870">
        <v>1056992999.9999999</v>
      </c>
      <c r="N95" s="868">
        <v>1.0311999999999999</v>
      </c>
      <c r="O95" s="869">
        <v>1.2153820942808762</v>
      </c>
      <c r="P95" s="493"/>
      <c r="Q95" s="503">
        <v>0.36518690284609268</v>
      </c>
    </row>
    <row r="96" spans="1:18" s="503" customFormat="1">
      <c r="A96" s="314"/>
      <c r="B96" s="488" t="s">
        <v>645</v>
      </c>
      <c r="C96" s="488"/>
      <c r="D96" s="494">
        <v>0</v>
      </c>
      <c r="E96" s="482">
        <v>2152000</v>
      </c>
      <c r="F96" s="482">
        <v>0</v>
      </c>
      <c r="G96" s="482">
        <v>652000</v>
      </c>
      <c r="H96" s="483">
        <f>D96+E96+F96-G96</f>
        <v>1500000</v>
      </c>
      <c r="I96" s="482">
        <v>24735</v>
      </c>
      <c r="J96" s="502">
        <f>ROUND(I96/$P$8*100,4)</f>
        <v>0.23150000000000001</v>
      </c>
      <c r="K96" s="502">
        <f>ROUND(I96/$P$11*100,4)</f>
        <v>0.24440000000000001</v>
      </c>
      <c r="L96" s="829">
        <v>3.9745627980922099E-2</v>
      </c>
      <c r="M96" s="870">
        <v>37740000000</v>
      </c>
      <c r="N96" s="868"/>
      <c r="O96" s="869"/>
      <c r="P96" s="493"/>
    </row>
    <row r="97" spans="1:17" s="503" customFormat="1">
      <c r="A97" s="314"/>
      <c r="B97" s="480"/>
      <c r="C97" s="480"/>
      <c r="D97" s="480"/>
      <c r="E97" s="482"/>
      <c r="F97" s="482"/>
      <c r="G97" s="482"/>
      <c r="H97" s="482"/>
      <c r="I97" s="482"/>
      <c r="J97" s="502"/>
      <c r="K97" s="502"/>
      <c r="L97" s="492"/>
      <c r="M97" s="522"/>
      <c r="N97" s="868"/>
      <c r="O97" s="869"/>
      <c r="P97" s="493"/>
    </row>
    <row r="98" spans="1:17" s="503" customFormat="1">
      <c r="A98" s="314"/>
      <c r="B98" s="480" t="s">
        <v>502</v>
      </c>
      <c r="C98" s="481"/>
      <c r="D98" s="481"/>
      <c r="E98" s="482"/>
      <c r="F98" s="482"/>
      <c r="G98" s="482"/>
      <c r="H98" s="482"/>
      <c r="I98" s="482"/>
      <c r="J98" s="502"/>
      <c r="K98" s="502"/>
      <c r="L98" s="492"/>
      <c r="M98" s="522"/>
      <c r="N98" s="868"/>
      <c r="O98" s="869"/>
      <c r="P98" s="493"/>
    </row>
    <row r="99" spans="1:17" s="503" customFormat="1">
      <c r="A99" s="314"/>
      <c r="B99" s="488" t="s">
        <v>126</v>
      </c>
      <c r="C99" s="488"/>
      <c r="D99" s="515">
        <v>644500</v>
      </c>
      <c r="E99" s="482">
        <v>318500</v>
      </c>
      <c r="F99" s="482">
        <v>0</v>
      </c>
      <c r="G99" s="482">
        <v>405000</v>
      </c>
      <c r="H99" s="483">
        <f>D99+E99+F99-G99</f>
        <v>558000</v>
      </c>
      <c r="I99" s="486">
        <v>57250</v>
      </c>
      <c r="J99" s="855">
        <f>ROUND(I99/$P$8*100,4)</f>
        <v>0.53590000000000004</v>
      </c>
      <c r="K99" s="854">
        <f>ROUND(I99/$P$11*100,4)</f>
        <v>0.56559999999999999</v>
      </c>
      <c r="L99" s="829">
        <v>4.8221741195470541E-2</v>
      </c>
      <c r="M99" s="870">
        <v>11571544000</v>
      </c>
      <c r="N99" s="868">
        <v>4.8186999999999998</v>
      </c>
      <c r="O99" s="869">
        <v>5.6795685840916326</v>
      </c>
      <c r="P99" s="493"/>
      <c r="Q99" s="503">
        <v>5.5696975269678789E-2</v>
      </c>
    </row>
    <row r="100" spans="1:17" s="503" customFormat="1">
      <c r="A100" s="314"/>
      <c r="B100" s="488" t="s">
        <v>182</v>
      </c>
      <c r="C100" s="488"/>
      <c r="D100" s="515">
        <v>556000</v>
      </c>
      <c r="E100" s="482">
        <v>75000</v>
      </c>
      <c r="F100" s="482">
        <v>0</v>
      </c>
      <c r="G100" s="482">
        <v>73500</v>
      </c>
      <c r="H100" s="483">
        <f>D100+E100+F100-G100</f>
        <v>557500</v>
      </c>
      <c r="I100" s="487">
        <v>45157</v>
      </c>
      <c r="J100" s="856">
        <f>ROUND(I100/$P$8*100,4)</f>
        <v>0.42270000000000002</v>
      </c>
      <c r="K100" s="3">
        <f>ROUND(I100/$P$11*100,4)</f>
        <v>0.4461</v>
      </c>
      <c r="L100" s="829">
        <v>6.3334049793854763E-2</v>
      </c>
      <c r="M100" s="870">
        <v>8802532000</v>
      </c>
      <c r="N100" s="868">
        <v>3.8224</v>
      </c>
      <c r="O100" s="869">
        <v>4.5053427838983771</v>
      </c>
      <c r="P100" s="493"/>
      <c r="Q100" s="503">
        <v>6.3163644278714348E-2</v>
      </c>
    </row>
    <row r="101" spans="1:17" s="503" customFormat="1">
      <c r="A101" s="314"/>
      <c r="B101" s="496" t="s">
        <v>710</v>
      </c>
      <c r="C101" s="496"/>
      <c r="D101" s="515">
        <v>500000</v>
      </c>
      <c r="E101" s="482">
        <v>2506500</v>
      </c>
      <c r="F101" s="512">
        <v>0</v>
      </c>
      <c r="G101" s="512">
        <v>0</v>
      </c>
      <c r="H101" s="483">
        <f>D101+E101+F101-G101</f>
        <v>3006500</v>
      </c>
      <c r="I101" s="520">
        <v>22367</v>
      </c>
      <c r="J101" s="860">
        <f>ROUND(I101/$P$8*100,4)</f>
        <v>0.2094</v>
      </c>
      <c r="K101" s="3">
        <f>ROUND(I101/$P$11*100,4)</f>
        <v>0.221</v>
      </c>
      <c r="L101" s="829">
        <v>1.0887122502199333E-2</v>
      </c>
      <c r="M101" s="870">
        <v>96653179000</v>
      </c>
      <c r="N101" s="868">
        <v>0.33639999999999998</v>
      </c>
      <c r="O101" s="868">
        <v>0.3964942748487012</v>
      </c>
      <c r="P101" s="493"/>
      <c r="Q101" s="503">
        <v>1.8105974558788179E-3</v>
      </c>
    </row>
    <row r="102" spans="1:17" s="503" customFormat="1">
      <c r="A102" s="314"/>
      <c r="B102" s="490" t="s">
        <v>341</v>
      </c>
      <c r="C102" s="521"/>
      <c r="D102" s="515">
        <v>281500</v>
      </c>
      <c r="E102" s="522">
        <v>0</v>
      </c>
      <c r="F102" s="522">
        <v>0</v>
      </c>
      <c r="G102" s="522">
        <v>281500</v>
      </c>
      <c r="H102" s="483">
        <f>D102+E102+F102-G102</f>
        <v>0</v>
      </c>
      <c r="I102" s="520">
        <v>0</v>
      </c>
      <c r="J102" s="860">
        <f>ROUND(I102/$P$8*100,4)</f>
        <v>0</v>
      </c>
      <c r="K102" s="3">
        <f>ROUND(I102/$P$11*100,4)</f>
        <v>0</v>
      </c>
      <c r="L102" s="829">
        <f>H102/M102*100</f>
        <v>0</v>
      </c>
      <c r="M102" s="870">
        <v>379838700</v>
      </c>
      <c r="N102" s="868">
        <v>0.68610000000000004</v>
      </c>
      <c r="O102" s="868">
        <v>0.80862229070093783</v>
      </c>
      <c r="P102" s="493"/>
      <c r="Q102" s="503">
        <v>7.4110405285190792E-2</v>
      </c>
    </row>
    <row r="103" spans="1:17" s="503" customFormat="1">
      <c r="A103" s="314"/>
      <c r="B103" s="490" t="s">
        <v>503</v>
      </c>
      <c r="C103" s="521"/>
      <c r="D103" s="515">
        <v>0</v>
      </c>
      <c r="E103" s="523">
        <v>956000</v>
      </c>
      <c r="F103" s="523">
        <v>0</v>
      </c>
      <c r="G103" s="493">
        <v>283500</v>
      </c>
      <c r="H103" s="483">
        <f>E103+F103-G103</f>
        <v>672500</v>
      </c>
      <c r="I103" s="524">
        <v>19792</v>
      </c>
      <c r="J103" s="861">
        <f>ROUND(I103/$P$8*100,4)</f>
        <v>0.18529999999999999</v>
      </c>
      <c r="K103" s="2">
        <f>ROUND(I103/$P$11*100,4)</f>
        <v>0.19550000000000001</v>
      </c>
      <c r="L103" s="829">
        <v>0.1807399722910169</v>
      </c>
      <c r="M103" s="870">
        <v>3720815000</v>
      </c>
      <c r="N103" s="503">
        <v>0</v>
      </c>
      <c r="O103" s="503">
        <v>0</v>
      </c>
      <c r="P103" s="493"/>
      <c r="Q103" s="503">
        <v>0</v>
      </c>
    </row>
    <row r="104" spans="1:17" s="503" customFormat="1">
      <c r="A104" s="317"/>
      <c r="B104" s="477"/>
      <c r="C104" s="477"/>
      <c r="D104" s="477"/>
      <c r="E104" s="493"/>
      <c r="F104" s="493"/>
      <c r="G104" s="493"/>
      <c r="H104" s="493"/>
      <c r="I104" s="493">
        <f>SUM(I99:I103)</f>
        <v>144566</v>
      </c>
      <c r="J104" s="525">
        <f>SUM(J99:J103)</f>
        <v>1.3533000000000002</v>
      </c>
      <c r="K104" s="526">
        <f>SUM(K99:K103)</f>
        <v>1.4282000000000001</v>
      </c>
      <c r="L104" s="526"/>
      <c r="M104" s="533"/>
      <c r="P104" s="493"/>
    </row>
    <row r="105" spans="1:17" s="503" customFormat="1">
      <c r="A105" s="317"/>
      <c r="B105" s="527" t="s">
        <v>504</v>
      </c>
      <c r="E105" s="493"/>
      <c r="F105" s="493"/>
      <c r="G105" s="493"/>
      <c r="H105" s="493"/>
      <c r="I105" s="493"/>
      <c r="J105" s="525"/>
      <c r="K105" s="526"/>
      <c r="L105" s="526"/>
      <c r="M105" s="533"/>
      <c r="P105" s="493"/>
    </row>
    <row r="106" spans="1:17" s="503" customFormat="1">
      <c r="A106" s="317"/>
      <c r="B106" s="503" t="s">
        <v>342</v>
      </c>
      <c r="D106" s="528">
        <v>69500</v>
      </c>
      <c r="E106" s="493">
        <v>240000</v>
      </c>
      <c r="F106" s="493">
        <v>0</v>
      </c>
      <c r="G106" s="493">
        <v>0</v>
      </c>
      <c r="H106" s="483">
        <f>D106+E106+F106-G106</f>
        <v>309500</v>
      </c>
      <c r="I106" s="493">
        <v>14159</v>
      </c>
      <c r="J106" s="484">
        <f>ROUND(I106/$P$8*100,4)</f>
        <v>0.13250000000000001</v>
      </c>
      <c r="K106" s="492" t="e">
        <f>I106/#REF!*100</f>
        <v>#REF!</v>
      </c>
      <c r="L106" s="829">
        <v>3.0865493365714008E-2</v>
      </c>
      <c r="M106" s="870">
        <v>10027379000</v>
      </c>
      <c r="N106" s="503">
        <v>0.22770000000000001</v>
      </c>
      <c r="O106" s="503">
        <v>0.26841061361491647</v>
      </c>
      <c r="P106" s="493"/>
      <c r="Q106" s="503">
        <v>6.9310235506207553E-3</v>
      </c>
    </row>
    <row r="107" spans="1:17" s="503" customFormat="1">
      <c r="A107" s="317"/>
      <c r="E107" s="493"/>
      <c r="F107" s="493"/>
      <c r="G107" s="493"/>
      <c r="H107" s="493"/>
      <c r="I107" s="493"/>
      <c r="J107" s="525"/>
      <c r="K107" s="526"/>
      <c r="L107" s="526"/>
      <c r="M107" s="533"/>
      <c r="P107" s="493"/>
    </row>
    <row r="108" spans="1:17" s="503" customFormat="1">
      <c r="A108" s="317"/>
      <c r="B108" s="527" t="s">
        <v>505</v>
      </c>
      <c r="E108" s="493"/>
      <c r="F108" s="493"/>
      <c r="G108" s="493"/>
      <c r="H108" s="493"/>
      <c r="I108" s="493"/>
      <c r="J108" s="525"/>
      <c r="K108" s="525"/>
      <c r="L108" s="526"/>
      <c r="M108" s="533"/>
      <c r="P108" s="493"/>
    </row>
    <row r="109" spans="1:17" s="503" customFormat="1">
      <c r="A109" s="317"/>
      <c r="B109" s="503" t="s">
        <v>577</v>
      </c>
      <c r="D109" s="528">
        <v>500000</v>
      </c>
      <c r="E109" s="493">
        <v>1300500</v>
      </c>
      <c r="F109" s="493">
        <v>0</v>
      </c>
      <c r="G109" s="493">
        <v>1800500</v>
      </c>
      <c r="H109" s="483">
        <f>D109+E109+F109-G109</f>
        <v>0</v>
      </c>
      <c r="I109" s="493">
        <v>0</v>
      </c>
      <c r="J109" s="484">
        <f>ROUND(I109/$P$8*100,4)</f>
        <v>0</v>
      </c>
      <c r="K109" s="492" t="e">
        <f>I109/#REF!*100</f>
        <v>#REF!</v>
      </c>
      <c r="L109" s="829">
        <f>H109/M109*100</f>
        <v>0</v>
      </c>
      <c r="M109" s="870">
        <v>634216600</v>
      </c>
      <c r="N109" s="503">
        <v>1.0643</v>
      </c>
      <c r="O109" s="503">
        <v>1.2544664467897149</v>
      </c>
      <c r="P109" s="493"/>
      <c r="Q109" s="503">
        <v>7.8837419266540809E-2</v>
      </c>
    </row>
    <row r="110" spans="1:17" s="503" customFormat="1">
      <c r="A110" s="317"/>
      <c r="E110" s="493"/>
      <c r="F110" s="493"/>
      <c r="G110" s="493"/>
      <c r="H110" s="493"/>
      <c r="I110" s="493"/>
      <c r="J110" s="525"/>
      <c r="K110" s="525"/>
      <c r="L110" s="526"/>
      <c r="M110" s="533"/>
      <c r="P110" s="493"/>
    </row>
    <row r="111" spans="1:17" s="503" customFormat="1">
      <c r="A111" s="317"/>
      <c r="B111" s="527" t="s">
        <v>506</v>
      </c>
      <c r="E111" s="493"/>
      <c r="F111" s="493"/>
      <c r="G111" s="493"/>
      <c r="H111" s="493"/>
      <c r="I111" s="493"/>
      <c r="J111" s="525"/>
      <c r="K111" s="525"/>
      <c r="L111" s="526"/>
      <c r="M111" s="533"/>
      <c r="P111" s="493"/>
    </row>
    <row r="112" spans="1:17" s="503" customFormat="1">
      <c r="A112" s="317"/>
      <c r="B112" s="503" t="s">
        <v>507</v>
      </c>
      <c r="D112" s="528">
        <v>0</v>
      </c>
      <c r="E112" s="493">
        <v>291500</v>
      </c>
      <c r="F112" s="493">
        <v>0</v>
      </c>
      <c r="G112" s="493">
        <v>29000</v>
      </c>
      <c r="H112" s="483">
        <f>D112+E112+F112-G112</f>
        <v>262500</v>
      </c>
      <c r="I112" s="493">
        <v>32646</v>
      </c>
      <c r="J112" s="484">
        <f>ROUND(I112/$P$8*100,4)</f>
        <v>0.30559999999999998</v>
      </c>
      <c r="K112" s="502">
        <f>ROUND(I112/$P$11*100,4)</f>
        <v>0.32250000000000001</v>
      </c>
      <c r="L112" s="829">
        <v>0.33813201704442991</v>
      </c>
      <c r="M112" s="870">
        <v>776324000</v>
      </c>
      <c r="N112" s="503">
        <v>0</v>
      </c>
      <c r="O112" s="503">
        <v>0</v>
      </c>
      <c r="P112" s="493"/>
      <c r="Q112" s="503">
        <v>0</v>
      </c>
    </row>
    <row r="113" spans="1:16" s="503" customFormat="1">
      <c r="A113" s="317"/>
      <c r="J113" s="525"/>
      <c r="K113" s="525"/>
      <c r="L113" s="526"/>
      <c r="M113" s="870"/>
      <c r="N113" s="528">
        <f>SUM(N17:N112)</f>
        <v>345168.84240000002</v>
      </c>
      <c r="O113" s="528">
        <f>SUM(O17:O112)</f>
        <v>99.999999999999972</v>
      </c>
      <c r="P113" s="493"/>
    </row>
    <row r="114" spans="1:16" s="503" customFormat="1">
      <c r="A114" s="317"/>
      <c r="B114" s="527" t="s">
        <v>639</v>
      </c>
      <c r="J114" s="525"/>
      <c r="K114" s="525"/>
      <c r="L114" s="526"/>
      <c r="M114" s="533"/>
      <c r="N114" s="528"/>
      <c r="O114" s="528"/>
      <c r="P114" s="493"/>
    </row>
    <row r="115" spans="1:16" s="503" customFormat="1">
      <c r="A115" s="317"/>
      <c r="B115" s="503" t="s">
        <v>640</v>
      </c>
      <c r="D115" s="493">
        <v>0</v>
      </c>
      <c r="E115" s="493">
        <v>485000</v>
      </c>
      <c r="F115" s="493">
        <v>169750</v>
      </c>
      <c r="G115" s="493">
        <v>0</v>
      </c>
      <c r="H115" s="483">
        <f>D115+E115+F115-G115</f>
        <v>654750</v>
      </c>
      <c r="I115" s="493">
        <v>40712</v>
      </c>
      <c r="J115" s="484">
        <f>ROUND(I115/$P$8*100,4)</f>
        <v>0.38109999999999999</v>
      </c>
      <c r="K115" s="502">
        <f>ROUND(I115/$P$11*100,4)</f>
        <v>0.4022</v>
      </c>
      <c r="L115" s="829">
        <v>0.52294902751569028</v>
      </c>
      <c r="M115" s="870">
        <v>1235804000</v>
      </c>
      <c r="N115" s="528"/>
      <c r="O115" s="873">
        <f>F115/100*95</f>
        <v>161262.5</v>
      </c>
      <c r="P115" s="493"/>
    </row>
    <row r="116" spans="1:16" s="503" customFormat="1">
      <c r="A116" s="317"/>
      <c r="D116" s="493"/>
      <c r="E116" s="493"/>
      <c r="F116" s="493"/>
      <c r="G116" s="493"/>
      <c r="H116" s="483"/>
      <c r="J116" s="525"/>
      <c r="K116" s="525"/>
      <c r="L116" s="526"/>
      <c r="M116" s="533"/>
      <c r="N116" s="528"/>
      <c r="O116" s="528">
        <f>O115+E115</f>
        <v>646262.5</v>
      </c>
      <c r="P116" s="493"/>
    </row>
    <row r="117" spans="1:16" s="503" customFormat="1">
      <c r="A117" s="317"/>
      <c r="B117" s="527" t="s">
        <v>643</v>
      </c>
      <c r="D117" s="493"/>
      <c r="E117" s="493"/>
      <c r="F117" s="493"/>
      <c r="G117" s="493"/>
      <c r="H117" s="483"/>
      <c r="J117" s="525"/>
      <c r="K117" s="492"/>
      <c r="L117" s="526"/>
      <c r="M117" s="533"/>
      <c r="N117" s="528"/>
      <c r="O117" s="528"/>
      <c r="P117" s="493"/>
    </row>
    <row r="118" spans="1:16" s="503" customFormat="1" ht="11.4">
      <c r="A118" s="317"/>
      <c r="B118" s="503" t="s">
        <v>644</v>
      </c>
      <c r="D118" s="493">
        <v>0</v>
      </c>
      <c r="E118" s="493">
        <v>206800</v>
      </c>
      <c r="F118" s="493">
        <v>0</v>
      </c>
      <c r="G118" s="493">
        <v>2800</v>
      </c>
      <c r="H118" s="483">
        <f>D118+E118+F118-G118</f>
        <v>204000</v>
      </c>
      <c r="I118" s="493">
        <v>18156</v>
      </c>
      <c r="J118" s="484">
        <f>ROUND(I118/$P$8*100,4)</f>
        <v>0.1699</v>
      </c>
      <c r="K118" s="502">
        <f>ROUND(I118/$P$11*100,4)</f>
        <v>0.1794</v>
      </c>
      <c r="L118" s="829">
        <v>0.15447126153044674</v>
      </c>
      <c r="M118" s="874">
        <v>1320634000</v>
      </c>
      <c r="N118" s="528"/>
      <c r="O118" s="528"/>
      <c r="P118" s="493"/>
    </row>
    <row r="119" spans="1:16" s="503" customFormat="1">
      <c r="A119" s="317"/>
      <c r="D119" s="493"/>
      <c r="E119" s="493"/>
      <c r="F119" s="493"/>
      <c r="G119" s="493"/>
      <c r="H119" s="483"/>
      <c r="J119" s="525"/>
      <c r="K119" s="525"/>
      <c r="L119" s="526"/>
      <c r="M119" s="533"/>
      <c r="N119" s="528"/>
      <c r="O119" s="528"/>
      <c r="P119" s="493"/>
    </row>
    <row r="120" spans="1:16" s="503" customFormat="1">
      <c r="A120" s="317"/>
      <c r="B120" s="527" t="s">
        <v>646</v>
      </c>
      <c r="D120" s="493"/>
      <c r="E120" s="493"/>
      <c r="F120" s="493"/>
      <c r="G120" s="493"/>
      <c r="H120" s="483"/>
      <c r="J120" s="525"/>
      <c r="K120" s="525"/>
      <c r="L120" s="526"/>
      <c r="M120" s="533"/>
      <c r="N120" s="528"/>
      <c r="O120" s="528"/>
      <c r="P120" s="493"/>
    </row>
    <row r="121" spans="1:16" s="503" customFormat="1" ht="11.4">
      <c r="A121" s="317"/>
      <c r="B121" s="503" t="s">
        <v>647</v>
      </c>
      <c r="D121" s="493">
        <v>0</v>
      </c>
      <c r="E121" s="493">
        <v>21000</v>
      </c>
      <c r="F121" s="493">
        <v>0</v>
      </c>
      <c r="G121" s="493">
        <v>0</v>
      </c>
      <c r="H121" s="483">
        <f>D121+E121+F121-G121</f>
        <v>21000</v>
      </c>
      <c r="I121" s="493">
        <v>12846</v>
      </c>
      <c r="J121" s="484">
        <f>ROUND(I121/$P$8*100,4)</f>
        <v>0.1202</v>
      </c>
      <c r="K121" s="502">
        <f>ROUND(I121/$P$11*100,4)</f>
        <v>0.12690000000000001</v>
      </c>
      <c r="L121" s="829">
        <v>0.26296018031555224</v>
      </c>
      <c r="M121" s="874">
        <v>79860000</v>
      </c>
      <c r="N121" s="528"/>
      <c r="O121" s="528"/>
      <c r="P121" s="493"/>
    </row>
    <row r="122" spans="1:16" s="503" customFormat="1">
      <c r="A122" s="317"/>
      <c r="D122" s="493"/>
      <c r="E122" s="493"/>
      <c r="F122" s="493"/>
      <c r="G122" s="493"/>
      <c r="H122" s="483"/>
      <c r="J122" s="525"/>
      <c r="K122" s="525"/>
      <c r="L122" s="526"/>
      <c r="M122" s="533"/>
      <c r="N122" s="528"/>
      <c r="O122" s="528"/>
      <c r="P122" s="493"/>
    </row>
    <row r="123" spans="1:16" s="503" customFormat="1">
      <c r="A123" s="317"/>
      <c r="J123" s="525"/>
      <c r="K123" s="525"/>
      <c r="L123" s="526"/>
      <c r="M123" s="533"/>
      <c r="N123" s="528"/>
      <c r="O123" s="528"/>
      <c r="P123" s="493"/>
    </row>
    <row r="124" spans="1:16" s="503" customFormat="1" ht="10.8" thickBot="1">
      <c r="A124" s="315"/>
      <c r="B124" s="521" t="s">
        <v>723</v>
      </c>
      <c r="H124" s="529">
        <f>SUM(H79:H122)</f>
        <v>21395733</v>
      </c>
      <c r="I124" s="862">
        <f>I121+I118+I115+I112+I106+I104+I96+I95+I93+I88+I82+I79</f>
        <v>1763907</v>
      </c>
      <c r="J124" s="530">
        <f>J121+J118+J115+J112+J106+J104+J96+J95+J93+J88+J82+J79</f>
        <v>16.510400000000001</v>
      </c>
      <c r="K124" s="530" t="e">
        <f>K121+K118+K115+K112+K106+K104+K96+K95+K93+K88+K82+K79</f>
        <v>#REF!</v>
      </c>
      <c r="L124" s="492"/>
      <c r="P124" s="493"/>
    </row>
    <row r="125" spans="1:16" s="503" customFormat="1" ht="10.8" thickTop="1">
      <c r="A125" s="315"/>
      <c r="B125" s="521"/>
      <c r="H125" s="531"/>
      <c r="I125" s="531"/>
      <c r="J125" s="532"/>
      <c r="K125" s="532"/>
      <c r="L125" s="533"/>
      <c r="N125" s="503">
        <v>1763907</v>
      </c>
      <c r="O125" s="528">
        <f>I124-N125</f>
        <v>0</v>
      </c>
      <c r="P125" s="493"/>
    </row>
    <row r="126" spans="1:16" s="503" customFormat="1" ht="10.8" thickBot="1">
      <c r="A126" s="315"/>
      <c r="B126" s="521" t="s">
        <v>724</v>
      </c>
      <c r="I126" s="534">
        <v>1772797</v>
      </c>
      <c r="J126" s="535"/>
      <c r="N126" s="528"/>
      <c r="P126" s="493"/>
    </row>
    <row r="127" spans="1:16" s="473" customFormat="1" ht="12.6" thickTop="1">
      <c r="A127" s="346"/>
      <c r="B127" s="57"/>
      <c r="C127" s="436"/>
      <c r="D127" s="436"/>
      <c r="E127" s="58"/>
      <c r="F127" s="58"/>
      <c r="G127" s="58"/>
      <c r="H127" s="59"/>
      <c r="I127" s="23"/>
    </row>
    <row r="128" spans="1:16" s="473" customFormat="1" ht="12">
      <c r="A128" s="842">
        <v>5.2</v>
      </c>
      <c r="B128" s="2531" t="s">
        <v>650</v>
      </c>
      <c r="C128" s="2531"/>
      <c r="D128" s="2531"/>
      <c r="E128" s="2531"/>
      <c r="F128" s="2531"/>
      <c r="G128" s="2531"/>
      <c r="H128" s="2531"/>
      <c r="I128" s="2531"/>
      <c r="J128" s="2531"/>
      <c r="K128" s="2531"/>
      <c r="L128" s="2531"/>
    </row>
    <row r="129" spans="1:12" s="473" customFormat="1" ht="11.4">
      <c r="A129" s="346"/>
      <c r="B129" s="2531"/>
      <c r="C129" s="2531"/>
      <c r="D129" s="2531"/>
      <c r="E129" s="2531"/>
      <c r="F129" s="2531"/>
      <c r="G129" s="2531"/>
      <c r="H129" s="2531"/>
      <c r="I129" s="2531"/>
      <c r="J129" s="2531"/>
      <c r="K129" s="2531"/>
      <c r="L129" s="2531"/>
    </row>
    <row r="130" spans="1:12" s="473" customFormat="1" ht="11.4">
      <c r="A130" s="346"/>
      <c r="B130" s="2531"/>
      <c r="C130" s="2531"/>
      <c r="D130" s="2531"/>
      <c r="E130" s="2531"/>
      <c r="F130" s="2531"/>
      <c r="G130" s="2531"/>
      <c r="H130" s="2531"/>
      <c r="I130" s="2531"/>
      <c r="J130" s="2531"/>
      <c r="K130" s="2531"/>
      <c r="L130" s="2531"/>
    </row>
    <row r="131" spans="1:12" s="473" customFormat="1" ht="11.4">
      <c r="A131" s="346"/>
      <c r="B131" s="863"/>
      <c r="C131" s="863"/>
      <c r="D131" s="863"/>
      <c r="E131" s="863"/>
      <c r="F131" s="863"/>
      <c r="G131" s="863"/>
      <c r="H131" s="863"/>
      <c r="I131" s="863"/>
      <c r="J131" s="863"/>
      <c r="K131" s="863"/>
      <c r="L131" s="863"/>
    </row>
  </sheetData>
  <mergeCells count="28">
    <mergeCell ref="D77:H77"/>
    <mergeCell ref="J77:L77"/>
    <mergeCell ref="J70:K71"/>
    <mergeCell ref="F8:F14"/>
    <mergeCell ref="G8:G14"/>
    <mergeCell ref="H8:H14"/>
    <mergeCell ref="D15:H15"/>
    <mergeCell ref="E8:E14"/>
    <mergeCell ref="J15:L15"/>
    <mergeCell ref="L70:L76"/>
    <mergeCell ref="J72:J76"/>
    <mergeCell ref="K72:K76"/>
    <mergeCell ref="B128:L130"/>
    <mergeCell ref="L8:L14"/>
    <mergeCell ref="B5:L6"/>
    <mergeCell ref="K10:K14"/>
    <mergeCell ref="J10:J14"/>
    <mergeCell ref="I8:I14"/>
    <mergeCell ref="B8:C14"/>
    <mergeCell ref="D8:D14"/>
    <mergeCell ref="J8:K9"/>
    <mergeCell ref="B70:C76"/>
    <mergeCell ref="D70:D76"/>
    <mergeCell ref="E70:E76"/>
    <mergeCell ref="F70:F76"/>
    <mergeCell ref="G70:G76"/>
    <mergeCell ref="H70:H76"/>
    <mergeCell ref="I70:I76"/>
  </mergeCells>
  <phoneticPr fontId="38" type="noConversion"/>
  <printOptions horizontalCentered="1"/>
  <pageMargins left="0.75" right="0.5" top="0.5" bottom="0.25" header="0.28999999999999998" footer="0.5"/>
  <pageSetup paperSize="9" fitToWidth="2" fitToHeight="2" orientation="portrait" r:id="rId1"/>
  <headerFooter alignWithMargins="0"/>
  <rowBreaks count="1" manualBreakCount="1">
    <brk id="67" max="11" man="1"/>
  </rowBreaks>
  <cellWatches>
    <cellWatch r="O125"/>
  </cellWatch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1"/>
  </sheetPr>
  <dimension ref="A1:Q67"/>
  <sheetViews>
    <sheetView view="pageBreakPreview" zoomScaleNormal="100" zoomScaleSheetLayoutView="100" workbookViewId="0">
      <selection activeCell="G39" sqref="G39"/>
    </sheetView>
  </sheetViews>
  <sheetFormatPr defaultColWidth="10.09765625" defaultRowHeight="11.4"/>
  <cols>
    <col min="1" max="1" width="5.09765625" style="7" customWidth="1"/>
    <col min="2" max="2" width="15.5" style="7" customWidth="1"/>
    <col min="3" max="8" width="8.09765625" style="7" customWidth="1"/>
    <col min="9" max="9" width="9.765625E-2" style="7" hidden="1" customWidth="1"/>
    <col min="10" max="10" width="11.09765625" style="7" customWidth="1"/>
    <col min="11" max="11" width="13" style="7" hidden="1" customWidth="1"/>
    <col min="12" max="12" width="11.09765625" style="7" hidden="1" customWidth="1"/>
    <col min="13" max="13" width="9.09765625" style="7" hidden="1" customWidth="1"/>
    <col min="14" max="15" width="10.09765625" style="7" hidden="1" customWidth="1"/>
    <col min="16" max="17" width="10.09765625" style="7" customWidth="1"/>
    <col min="18" max="16384" width="10.09765625" style="7"/>
  </cols>
  <sheetData>
    <row r="1" spans="1:17">
      <c r="A1" s="327" t="e">
        <f>'5.1-5.3'!A1+1</f>
        <v>#REF!</v>
      </c>
      <c r="B1" s="77"/>
      <c r="C1" s="77"/>
      <c r="D1" s="77"/>
      <c r="E1" s="77"/>
      <c r="F1" s="77"/>
      <c r="G1" s="77"/>
      <c r="H1" s="77"/>
      <c r="I1" s="77"/>
      <c r="J1" s="77"/>
    </row>
    <row r="3" spans="1:17" s="44" customFormat="1" ht="12">
      <c r="A3" s="324">
        <v>5.3</v>
      </c>
      <c r="B3" s="325" t="s">
        <v>37</v>
      </c>
      <c r="N3" s="39"/>
      <c r="O3" s="326"/>
      <c r="P3" s="326"/>
      <c r="Q3" s="326"/>
    </row>
    <row r="4" spans="1:17" s="44" customFormat="1">
      <c r="N4" s="39"/>
      <c r="O4" s="326"/>
      <c r="P4" s="326"/>
      <c r="Q4" s="326"/>
    </row>
    <row r="5" spans="1:17" s="334" customFormat="1" ht="9.6">
      <c r="B5" s="2553" t="s">
        <v>128</v>
      </c>
      <c r="C5" s="2553" t="s">
        <v>129</v>
      </c>
      <c r="D5" s="2557" t="s">
        <v>183</v>
      </c>
      <c r="E5" s="2558"/>
      <c r="F5" s="2558"/>
      <c r="G5" s="2553" t="s">
        <v>7</v>
      </c>
      <c r="H5" s="2560" t="s">
        <v>118</v>
      </c>
      <c r="I5" s="2561"/>
      <c r="J5" s="2562"/>
      <c r="K5" s="335"/>
      <c r="L5" s="335"/>
      <c r="M5" s="336" t="s">
        <v>167</v>
      </c>
      <c r="N5" s="337">
        <v>282721.80248000001</v>
      </c>
    </row>
    <row r="6" spans="1:17" s="334" customFormat="1" ht="9.6">
      <c r="B6" s="2553"/>
      <c r="C6" s="2553"/>
      <c r="D6" s="2553" t="s">
        <v>130</v>
      </c>
      <c r="E6" s="2553" t="s">
        <v>131</v>
      </c>
      <c r="F6" s="2553" t="s">
        <v>169</v>
      </c>
      <c r="G6" s="2553"/>
      <c r="H6" s="2553" t="s">
        <v>121</v>
      </c>
      <c r="I6" s="338"/>
      <c r="J6" s="2553" t="s">
        <v>38</v>
      </c>
      <c r="K6" s="339"/>
      <c r="L6" s="340"/>
      <c r="M6" s="340"/>
      <c r="N6" s="341"/>
    </row>
    <row r="7" spans="1:17" s="334" customFormat="1" ht="9.6">
      <c r="B7" s="2554"/>
      <c r="C7" s="2554"/>
      <c r="D7" s="2554"/>
      <c r="E7" s="2554"/>
      <c r="F7" s="2554"/>
      <c r="G7" s="2554"/>
      <c r="H7" s="2554"/>
      <c r="I7" s="338"/>
      <c r="J7" s="2554"/>
      <c r="K7" s="339"/>
      <c r="L7" s="340"/>
      <c r="M7" s="340"/>
      <c r="N7" s="341"/>
    </row>
    <row r="8" spans="1:17" s="334" customFormat="1" ht="9.6">
      <c r="B8" s="2554"/>
      <c r="C8" s="2554"/>
      <c r="D8" s="2554"/>
      <c r="E8" s="2554"/>
      <c r="F8" s="2554"/>
      <c r="G8" s="2554"/>
      <c r="H8" s="2554"/>
      <c r="I8" s="338"/>
      <c r="J8" s="2554"/>
      <c r="K8" s="339"/>
      <c r="L8" s="340"/>
      <c r="M8" s="340"/>
      <c r="N8" s="341"/>
    </row>
    <row r="9" spans="1:17" s="334" customFormat="1" ht="9.6">
      <c r="B9" s="2554"/>
      <c r="C9" s="2554"/>
      <c r="D9" s="2554"/>
      <c r="E9" s="2554"/>
      <c r="F9" s="2554"/>
      <c r="G9" s="2554"/>
      <c r="H9" s="2554"/>
      <c r="I9" s="338"/>
      <c r="J9" s="2554"/>
      <c r="K9" s="339"/>
      <c r="L9" s="340"/>
      <c r="M9" s="340"/>
      <c r="N9" s="341"/>
    </row>
    <row r="10" spans="1:17" s="334" customFormat="1" ht="9.6">
      <c r="D10" s="2556" t="s">
        <v>39</v>
      </c>
      <c r="E10" s="2556"/>
      <c r="F10" s="2556"/>
      <c r="G10" s="2556"/>
      <c r="H10" s="2559" t="s">
        <v>2</v>
      </c>
      <c r="I10" s="2559"/>
      <c r="J10" s="2559"/>
      <c r="N10" s="341"/>
      <c r="O10" s="340"/>
    </row>
    <row r="11" spans="1:17" s="301" customFormat="1" ht="10.199999999999999">
      <c r="B11" s="300" t="s">
        <v>236</v>
      </c>
      <c r="N11" s="303"/>
      <c r="O11" s="314"/>
    </row>
    <row r="12" spans="1:17" s="301" customFormat="1" ht="10.199999999999999">
      <c r="B12" s="300"/>
      <c r="N12" s="303"/>
      <c r="O12" s="314"/>
    </row>
    <row r="13" spans="1:17" s="301" customFormat="1" ht="10.199999999999999">
      <c r="B13" s="305">
        <v>40447</v>
      </c>
      <c r="C13" s="302" t="s">
        <v>184</v>
      </c>
      <c r="D13" s="303">
        <v>10000</v>
      </c>
      <c r="E13" s="303">
        <v>10000</v>
      </c>
      <c r="F13" s="303">
        <f t="shared" ref="F13:F32" si="0">D13-E13</f>
        <v>0</v>
      </c>
      <c r="G13" s="304">
        <v>0</v>
      </c>
      <c r="H13" s="304">
        <f t="shared" ref="H13:H32" si="1">G13/$N$5*100</f>
        <v>0</v>
      </c>
      <c r="I13" s="304"/>
      <c r="J13" s="304">
        <f>G13/'5.1-5.3'!$P$8*100</f>
        <v>0</v>
      </c>
      <c r="N13" s="303"/>
      <c r="O13" s="314"/>
    </row>
    <row r="14" spans="1:17" s="301" customFormat="1" ht="10.199999999999999">
      <c r="B14" s="305">
        <v>40290</v>
      </c>
      <c r="C14" s="302" t="s">
        <v>185</v>
      </c>
      <c r="D14" s="303">
        <v>65000</v>
      </c>
      <c r="E14" s="303">
        <v>65000</v>
      </c>
      <c r="F14" s="303">
        <f t="shared" si="0"/>
        <v>0</v>
      </c>
      <c r="G14" s="303">
        <v>0</v>
      </c>
      <c r="H14" s="304">
        <f t="shared" si="1"/>
        <v>0</v>
      </c>
      <c r="I14" s="304"/>
      <c r="J14" s="304">
        <f>G14/'5.1-5.3'!$P$8*100</f>
        <v>0</v>
      </c>
      <c r="N14" s="303"/>
      <c r="O14" s="314"/>
    </row>
    <row r="15" spans="1:17" s="301" customFormat="1" ht="10.199999999999999">
      <c r="B15" s="305">
        <v>40403</v>
      </c>
      <c r="C15" s="302" t="s">
        <v>132</v>
      </c>
      <c r="D15" s="303">
        <v>15000</v>
      </c>
      <c r="E15" s="303">
        <v>15000</v>
      </c>
      <c r="F15" s="303">
        <f t="shared" si="0"/>
        <v>0</v>
      </c>
      <c r="G15" s="303">
        <v>0</v>
      </c>
      <c r="H15" s="304">
        <f t="shared" si="1"/>
        <v>0</v>
      </c>
      <c r="I15" s="304"/>
      <c r="J15" s="304">
        <f>G15/'5.1-5.3'!$P$8*100</f>
        <v>0</v>
      </c>
      <c r="N15" s="303"/>
      <c r="O15" s="314"/>
    </row>
    <row r="16" spans="1:17" s="301" customFormat="1" ht="10.199999999999999">
      <c r="B16" s="305">
        <v>40472</v>
      </c>
      <c r="C16" s="302" t="s">
        <v>185</v>
      </c>
      <c r="D16" s="303">
        <v>25000</v>
      </c>
      <c r="E16" s="303">
        <v>25000</v>
      </c>
      <c r="F16" s="303">
        <f t="shared" si="0"/>
        <v>0</v>
      </c>
      <c r="G16" s="303">
        <v>0</v>
      </c>
      <c r="H16" s="304">
        <f t="shared" si="1"/>
        <v>0</v>
      </c>
      <c r="I16" s="304"/>
      <c r="J16" s="304">
        <f>G16/'5.1-5.3'!$P$8*100</f>
        <v>0</v>
      </c>
      <c r="N16" s="303"/>
      <c r="O16" s="314"/>
    </row>
    <row r="17" spans="2:15" s="301" customFormat="1" ht="10.199999999999999">
      <c r="B17" s="305">
        <v>40472</v>
      </c>
      <c r="C17" s="302" t="s">
        <v>132</v>
      </c>
      <c r="D17" s="303">
        <v>5000</v>
      </c>
      <c r="E17" s="303">
        <v>5000</v>
      </c>
      <c r="F17" s="303">
        <f t="shared" si="0"/>
        <v>0</v>
      </c>
      <c r="G17" s="303">
        <v>0</v>
      </c>
      <c r="H17" s="304">
        <f t="shared" si="1"/>
        <v>0</v>
      </c>
      <c r="I17" s="304"/>
      <c r="J17" s="304">
        <f>G17/'5.1-5.3'!$P$8*100</f>
        <v>0</v>
      </c>
      <c r="N17" s="303"/>
      <c r="O17" s="314"/>
    </row>
    <row r="18" spans="2:15" s="301" customFormat="1" ht="10.199999999999999">
      <c r="B18" s="305">
        <v>40393</v>
      </c>
      <c r="C18" s="302" t="s">
        <v>185</v>
      </c>
      <c r="D18" s="303">
        <v>20000</v>
      </c>
      <c r="E18" s="303">
        <v>20000</v>
      </c>
      <c r="F18" s="303">
        <f t="shared" si="0"/>
        <v>0</v>
      </c>
      <c r="G18" s="303"/>
      <c r="H18" s="304">
        <f t="shared" si="1"/>
        <v>0</v>
      </c>
      <c r="I18" s="304"/>
      <c r="J18" s="304"/>
      <c r="N18" s="303"/>
      <c r="O18" s="314"/>
    </row>
    <row r="19" spans="2:15" s="301" customFormat="1" ht="10.199999999999999">
      <c r="B19" s="305">
        <v>40403</v>
      </c>
      <c r="C19" s="302" t="s">
        <v>132</v>
      </c>
      <c r="D19" s="303">
        <f>20000+25000</f>
        <v>45000</v>
      </c>
      <c r="E19" s="303">
        <f>20000+25000</f>
        <v>45000</v>
      </c>
      <c r="F19" s="303">
        <f t="shared" si="0"/>
        <v>0</v>
      </c>
      <c r="G19" s="303">
        <v>0</v>
      </c>
      <c r="H19" s="304">
        <f t="shared" si="1"/>
        <v>0</v>
      </c>
      <c r="I19" s="304"/>
      <c r="J19" s="304">
        <f>G19/'5.1-5.3'!$P$8*100</f>
        <v>0</v>
      </c>
      <c r="N19" s="303"/>
      <c r="O19" s="314"/>
    </row>
    <row r="20" spans="2:15" s="301" customFormat="1" ht="10.199999999999999">
      <c r="B20" s="305">
        <v>40486</v>
      </c>
      <c r="C20" s="302" t="s">
        <v>132</v>
      </c>
      <c r="D20" s="303">
        <f>20000+15000</f>
        <v>35000</v>
      </c>
      <c r="E20" s="303">
        <v>35000</v>
      </c>
      <c r="F20" s="303">
        <f t="shared" si="0"/>
        <v>0</v>
      </c>
      <c r="G20" s="303">
        <v>0</v>
      </c>
      <c r="H20" s="304">
        <f t="shared" si="1"/>
        <v>0</v>
      </c>
      <c r="I20" s="304"/>
      <c r="J20" s="304">
        <f>G20/'5.1-5.3'!$P$8*100</f>
        <v>0</v>
      </c>
      <c r="N20" s="303"/>
      <c r="O20" s="314"/>
    </row>
    <row r="21" spans="2:15" s="301" customFormat="1" ht="10.199999999999999">
      <c r="B21" s="305">
        <v>40486</v>
      </c>
      <c r="C21" s="302" t="s">
        <v>185</v>
      </c>
      <c r="D21" s="303">
        <v>10000</v>
      </c>
      <c r="E21" s="303">
        <v>10000</v>
      </c>
      <c r="F21" s="303">
        <f t="shared" si="0"/>
        <v>0</v>
      </c>
      <c r="G21" s="303">
        <v>0</v>
      </c>
      <c r="H21" s="304">
        <f t="shared" si="1"/>
        <v>0</v>
      </c>
      <c r="I21" s="304"/>
      <c r="J21" s="304">
        <f>G21/'5.1-5.3'!$P$8*100</f>
        <v>0</v>
      </c>
      <c r="N21" s="303"/>
      <c r="O21" s="314"/>
    </row>
    <row r="22" spans="2:15" s="301" customFormat="1" ht="10.199999999999999">
      <c r="B22" s="305">
        <v>40498</v>
      </c>
      <c r="C22" s="302" t="s">
        <v>132</v>
      </c>
      <c r="D22" s="303">
        <v>5000</v>
      </c>
      <c r="E22" s="303">
        <v>5000</v>
      </c>
      <c r="F22" s="303">
        <f t="shared" si="0"/>
        <v>0</v>
      </c>
      <c r="G22" s="303">
        <v>0</v>
      </c>
      <c r="H22" s="304">
        <f t="shared" si="1"/>
        <v>0</v>
      </c>
      <c r="I22" s="304"/>
      <c r="J22" s="304">
        <f>G22/'5.1-5.3'!$P$8*100</f>
        <v>0</v>
      </c>
      <c r="N22" s="303"/>
      <c r="O22" s="314"/>
    </row>
    <row r="23" spans="2:15" s="301" customFormat="1" ht="10.199999999999999">
      <c r="B23" s="305">
        <v>40514</v>
      </c>
      <c r="C23" s="302" t="s">
        <v>132</v>
      </c>
      <c r="D23" s="303">
        <f>20000+50000</f>
        <v>70000</v>
      </c>
      <c r="E23" s="303">
        <f>20000+50000</f>
        <v>70000</v>
      </c>
      <c r="F23" s="303">
        <f t="shared" si="0"/>
        <v>0</v>
      </c>
      <c r="G23" s="303">
        <v>0</v>
      </c>
      <c r="H23" s="304">
        <f t="shared" si="1"/>
        <v>0</v>
      </c>
      <c r="I23" s="304"/>
      <c r="J23" s="304">
        <f>G23/'5.1-5.3'!$P$8*100</f>
        <v>0</v>
      </c>
      <c r="N23" s="303"/>
      <c r="O23" s="314"/>
    </row>
    <row r="24" spans="2:15" s="301" customFormat="1" ht="10.199999999999999">
      <c r="B24" s="305">
        <v>40530</v>
      </c>
      <c r="C24" s="302" t="s">
        <v>132</v>
      </c>
      <c r="D24" s="303">
        <v>70000</v>
      </c>
      <c r="E24" s="303">
        <v>70000</v>
      </c>
      <c r="F24" s="303">
        <f t="shared" si="0"/>
        <v>0</v>
      </c>
      <c r="G24" s="303">
        <v>0</v>
      </c>
      <c r="H24" s="304">
        <f t="shared" si="1"/>
        <v>0</v>
      </c>
      <c r="I24" s="304"/>
      <c r="J24" s="304">
        <f>G24/'5.1-5.3'!$P$8*100</f>
        <v>0</v>
      </c>
      <c r="N24" s="303"/>
      <c r="O24" s="314"/>
    </row>
    <row r="25" spans="2:15" s="301" customFormat="1" ht="10.199999999999999">
      <c r="B25" s="305">
        <v>40556</v>
      </c>
      <c r="C25" s="302" t="s">
        <v>132</v>
      </c>
      <c r="D25" s="303">
        <v>70000</v>
      </c>
      <c r="E25" s="303">
        <v>70000</v>
      </c>
      <c r="F25" s="303">
        <f t="shared" si="0"/>
        <v>0</v>
      </c>
      <c r="G25" s="303">
        <v>0</v>
      </c>
      <c r="H25" s="304">
        <f t="shared" si="1"/>
        <v>0</v>
      </c>
      <c r="I25" s="304"/>
      <c r="J25" s="304">
        <f>G25/'5.1-5.3'!$P$8*100</f>
        <v>0</v>
      </c>
      <c r="N25" s="303"/>
      <c r="O25" s="314"/>
    </row>
    <row r="26" spans="2:15" s="301" customFormat="1" ht="10.199999999999999">
      <c r="B26" s="305">
        <v>40570</v>
      </c>
      <c r="C26" s="302" t="s">
        <v>132</v>
      </c>
      <c r="D26" s="303">
        <v>70000</v>
      </c>
      <c r="E26" s="303">
        <v>70000</v>
      </c>
      <c r="F26" s="303">
        <f t="shared" si="0"/>
        <v>0</v>
      </c>
      <c r="G26" s="303">
        <v>0</v>
      </c>
      <c r="H26" s="304">
        <f t="shared" si="1"/>
        <v>0</v>
      </c>
      <c r="I26" s="304"/>
      <c r="J26" s="304">
        <f>G26/'5.1-5.3'!$P$8*100</f>
        <v>0</v>
      </c>
      <c r="N26" s="303"/>
      <c r="O26" s="314"/>
    </row>
    <row r="27" spans="2:15" s="301" customFormat="1" ht="10.199999999999999">
      <c r="B27" s="305">
        <v>40584</v>
      </c>
      <c r="C27" s="302" t="s">
        <v>132</v>
      </c>
      <c r="D27" s="303">
        <v>35000</v>
      </c>
      <c r="E27" s="303">
        <v>35000</v>
      </c>
      <c r="F27" s="303">
        <f t="shared" si="0"/>
        <v>0</v>
      </c>
      <c r="G27" s="303">
        <v>0</v>
      </c>
      <c r="H27" s="304">
        <f t="shared" si="1"/>
        <v>0</v>
      </c>
      <c r="I27" s="304"/>
      <c r="J27" s="306">
        <f>G27/'5.1-5.3'!$P$8*100</f>
        <v>0</v>
      </c>
      <c r="N27" s="303"/>
      <c r="O27" s="314"/>
    </row>
    <row r="28" spans="2:15" s="301" customFormat="1" ht="10.199999999999999">
      <c r="B28" s="305">
        <v>40570</v>
      </c>
      <c r="C28" s="302" t="s">
        <v>132</v>
      </c>
      <c r="D28" s="303">
        <v>70000</v>
      </c>
      <c r="E28" s="303">
        <v>70000</v>
      </c>
      <c r="F28" s="303">
        <f t="shared" si="0"/>
        <v>0</v>
      </c>
      <c r="G28" s="303">
        <v>0</v>
      </c>
      <c r="H28" s="304">
        <f t="shared" si="1"/>
        <v>0</v>
      </c>
      <c r="I28" s="304"/>
      <c r="J28" s="306">
        <f>G28/'5.1-5.3'!$P$8*100</f>
        <v>0</v>
      </c>
      <c r="L28" s="301">
        <v>198352</v>
      </c>
      <c r="N28" s="303"/>
      <c r="O28" s="314"/>
    </row>
    <row r="29" spans="2:15" s="301" customFormat="1" ht="10.199999999999999">
      <c r="B29" s="305">
        <v>40598</v>
      </c>
      <c r="C29" s="302" t="s">
        <v>132</v>
      </c>
      <c r="D29" s="303">
        <v>45000</v>
      </c>
      <c r="E29" s="303">
        <v>45000</v>
      </c>
      <c r="F29" s="303">
        <f t="shared" si="0"/>
        <v>0</v>
      </c>
      <c r="G29" s="303">
        <v>0</v>
      </c>
      <c r="H29" s="304">
        <f t="shared" si="1"/>
        <v>0</v>
      </c>
      <c r="I29" s="304"/>
      <c r="J29" s="306">
        <f>G29/'5.1-5.3'!$P$8*100</f>
        <v>0</v>
      </c>
      <c r="N29" s="303"/>
      <c r="O29" s="314"/>
    </row>
    <row r="30" spans="2:15" s="301" customFormat="1" ht="10.199999999999999">
      <c r="B30" s="305">
        <v>40654</v>
      </c>
      <c r="C30" s="302" t="s">
        <v>132</v>
      </c>
      <c r="D30" s="303">
        <v>70000</v>
      </c>
      <c r="E30" s="303">
        <v>0</v>
      </c>
      <c r="F30" s="303">
        <f t="shared" si="0"/>
        <v>70000</v>
      </c>
      <c r="G30" s="303">
        <v>69645</v>
      </c>
      <c r="H30" s="304">
        <f t="shared" si="1"/>
        <v>24.633756360168491</v>
      </c>
      <c r="I30" s="304"/>
      <c r="J30" s="306">
        <f>G30/$L$28*100</f>
        <v>35.111821408405255</v>
      </c>
      <c r="N30" s="303"/>
      <c r="O30" s="314"/>
    </row>
    <row r="31" spans="2:15" s="301" customFormat="1" ht="10.199999999999999">
      <c r="B31" s="305">
        <v>40332</v>
      </c>
      <c r="C31" s="302" t="s">
        <v>184</v>
      </c>
      <c r="D31" s="303">
        <v>20000</v>
      </c>
      <c r="E31" s="303">
        <v>20000</v>
      </c>
      <c r="F31" s="303">
        <f t="shared" si="0"/>
        <v>0</v>
      </c>
      <c r="G31" s="303">
        <v>0</v>
      </c>
      <c r="H31" s="304">
        <f t="shared" si="1"/>
        <v>0</v>
      </c>
      <c r="I31" s="304"/>
      <c r="J31" s="306">
        <f>G31/'5.1-5.3'!$P$8*100</f>
        <v>0</v>
      </c>
      <c r="N31" s="303"/>
      <c r="O31" s="314"/>
    </row>
    <row r="32" spans="2:15" s="301" customFormat="1" ht="10.199999999999999">
      <c r="B32" s="305">
        <v>40612</v>
      </c>
      <c r="C32" s="302" t="s">
        <v>132</v>
      </c>
      <c r="D32" s="303">
        <v>25000</v>
      </c>
      <c r="E32" s="303">
        <v>25000</v>
      </c>
      <c r="F32" s="303">
        <f t="shared" si="0"/>
        <v>0</v>
      </c>
      <c r="G32" s="303">
        <v>0</v>
      </c>
      <c r="H32" s="304">
        <f t="shared" si="1"/>
        <v>0</v>
      </c>
      <c r="I32" s="304"/>
      <c r="J32" s="306">
        <f>G32/'5.1-5.3'!$P$8*100</f>
        <v>0</v>
      </c>
      <c r="N32" s="303"/>
      <c r="O32" s="314"/>
    </row>
    <row r="33" spans="1:17" s="301" customFormat="1" ht="10.199999999999999">
      <c r="B33" s="307"/>
      <c r="C33" s="302"/>
      <c r="D33" s="303"/>
      <c r="E33" s="303"/>
      <c r="F33" s="303"/>
      <c r="G33" s="308"/>
      <c r="H33" s="309"/>
      <c r="I33" s="309"/>
      <c r="J33" s="309"/>
      <c r="K33" s="309"/>
      <c r="N33" s="303"/>
    </row>
    <row r="34" spans="1:17" s="301" customFormat="1" ht="10.8" thickBot="1">
      <c r="B34" s="302"/>
      <c r="C34" s="310">
        <f>SUM(C11:C33)</f>
        <v>0</v>
      </c>
      <c r="D34" s="310">
        <f>SUM(D11:D33)</f>
        <v>780000</v>
      </c>
      <c r="E34" s="310">
        <f>SUM(E13:E33)</f>
        <v>710000</v>
      </c>
      <c r="F34" s="310">
        <f>SUM(F13:F33)</f>
        <v>70000</v>
      </c>
      <c r="G34" s="310">
        <f>SUM(G13:G33)</f>
        <v>69645</v>
      </c>
      <c r="H34" s="311">
        <f>SUM(H13:H33)</f>
        <v>24.633756360168491</v>
      </c>
      <c r="I34" s="312"/>
      <c r="J34" s="313">
        <f>SUM(J13:J33)</f>
        <v>35.111821408405255</v>
      </c>
      <c r="K34" s="321"/>
      <c r="N34" s="303"/>
    </row>
    <row r="35" spans="1:17" s="314" customFormat="1" ht="10.8" thickTop="1">
      <c r="N35" s="320"/>
    </row>
    <row r="36" spans="1:17" s="86" customFormat="1" ht="10.8" thickBot="1">
      <c r="A36" s="322"/>
      <c r="B36" s="315" t="s">
        <v>1</v>
      </c>
      <c r="C36" s="316"/>
      <c r="G36" s="333">
        <v>69679</v>
      </c>
      <c r="J36" s="317"/>
      <c r="K36" s="317"/>
      <c r="L36" s="317"/>
      <c r="M36" s="320"/>
      <c r="N36" s="303"/>
    </row>
    <row r="37" spans="1:17" ht="12" thickTop="1"/>
    <row r="38" spans="1:17">
      <c r="A38" s="43"/>
      <c r="B38" s="85"/>
      <c r="C38" s="85"/>
      <c r="D38" s="85"/>
      <c r="E38" s="85"/>
      <c r="F38" s="85"/>
      <c r="G38" s="85"/>
      <c r="H38" s="85"/>
      <c r="I38" s="85"/>
      <c r="J38" s="85"/>
      <c r="K38" s="85"/>
      <c r="L38" s="85"/>
      <c r="N38" s="16"/>
    </row>
    <row r="39" spans="1:17" s="30" customFormat="1" ht="12">
      <c r="A39" s="56"/>
      <c r="B39" s="57"/>
      <c r="C39" s="41"/>
      <c r="D39" s="58"/>
      <c r="E39" s="58"/>
      <c r="F39" s="58"/>
      <c r="G39" s="41"/>
      <c r="H39" s="83" t="s">
        <v>51</v>
      </c>
      <c r="I39" s="64"/>
      <c r="J39" s="323" t="s">
        <v>267</v>
      </c>
      <c r="K39" s="23"/>
    </row>
    <row r="40" spans="1:17" s="47" customFormat="1" ht="12">
      <c r="A40" s="65">
        <v>5.4</v>
      </c>
      <c r="B40" s="46" t="s">
        <v>84</v>
      </c>
      <c r="C40" s="64"/>
      <c r="D40" s="64"/>
      <c r="E40" s="64"/>
      <c r="F40" s="64"/>
      <c r="H40" s="328"/>
      <c r="I40" s="64"/>
      <c r="J40" s="71" t="s">
        <v>52</v>
      </c>
      <c r="K40" s="64"/>
      <c r="L40" s="64"/>
      <c r="O40" s="36"/>
    </row>
    <row r="41" spans="1:17" s="47" customFormat="1" ht="12">
      <c r="A41" s="43"/>
      <c r="B41" s="84" t="s">
        <v>234</v>
      </c>
      <c r="C41" s="64"/>
      <c r="D41" s="64"/>
      <c r="E41" s="64"/>
      <c r="F41" s="64"/>
      <c r="H41" s="83"/>
      <c r="I41" s="64"/>
      <c r="J41" s="71"/>
      <c r="K41" s="64"/>
      <c r="L41" s="64"/>
      <c r="O41" s="36"/>
    </row>
    <row r="42" spans="1:17" s="47" customFormat="1" ht="12">
      <c r="A42" s="43"/>
      <c r="B42" s="66"/>
      <c r="C42" s="64"/>
      <c r="D42" s="64"/>
      <c r="E42" s="64"/>
      <c r="F42" s="64"/>
      <c r="H42" s="83"/>
      <c r="I42" s="64"/>
      <c r="J42" s="71"/>
      <c r="K42" s="64"/>
      <c r="L42" s="64"/>
      <c r="O42" s="36"/>
    </row>
    <row r="43" spans="1:17" s="43" customFormat="1">
      <c r="B43" s="68" t="s">
        <v>160</v>
      </c>
      <c r="J43" s="63">
        <f>'5.1-5.3'!I124</f>
        <v>1763907</v>
      </c>
      <c r="O43" s="67"/>
    </row>
    <row r="44" spans="1:17" s="43" customFormat="1">
      <c r="B44" s="68" t="s">
        <v>133</v>
      </c>
      <c r="J44" s="63">
        <f>-'5.1-5.3'!I126</f>
        <v>-1772797</v>
      </c>
      <c r="O44" s="67"/>
    </row>
    <row r="45" spans="1:17" s="43" customFormat="1" ht="12" thickBot="1">
      <c r="J45" s="69">
        <f>J43+J44</f>
        <v>-8890</v>
      </c>
      <c r="O45" s="80"/>
    </row>
    <row r="46" spans="1:17" s="47" customFormat="1" ht="12.6" thickTop="1">
      <c r="A46" s="48" t="e">
        <f>+#REF!+1</f>
        <v>#REF!</v>
      </c>
      <c r="B46" s="70" t="s">
        <v>8</v>
      </c>
      <c r="C46" s="64"/>
      <c r="D46" s="64"/>
      <c r="E46" s="64"/>
      <c r="F46" s="64"/>
      <c r="H46" s="37"/>
      <c r="I46" s="64"/>
      <c r="J46" s="79"/>
      <c r="K46" s="64"/>
      <c r="L46" s="64"/>
      <c r="O46" s="36"/>
      <c r="P46" s="37"/>
      <c r="Q46" s="37"/>
    </row>
    <row r="47" spans="1:17" s="47" customFormat="1" ht="12">
      <c r="A47" s="48"/>
      <c r="B47" s="70"/>
      <c r="C47" s="64"/>
      <c r="D47" s="64"/>
      <c r="E47" s="64"/>
      <c r="F47" s="64"/>
      <c r="H47" s="37"/>
      <c r="I47" s="64"/>
      <c r="J47" s="79"/>
      <c r="K47" s="64"/>
      <c r="L47" s="64"/>
      <c r="O47" s="36"/>
      <c r="P47" s="37"/>
      <c r="Q47" s="37"/>
    </row>
    <row r="48" spans="1:17" s="47" customFormat="1" ht="12">
      <c r="A48" s="48"/>
      <c r="B48" s="72" t="s">
        <v>40</v>
      </c>
      <c r="C48" s="64"/>
      <c r="D48" s="64"/>
      <c r="E48" s="64"/>
      <c r="F48" s="64"/>
      <c r="H48" s="37"/>
      <c r="I48" s="64"/>
      <c r="J48" s="39">
        <v>3151</v>
      </c>
      <c r="K48" s="64"/>
      <c r="L48" s="64"/>
      <c r="O48" s="36"/>
      <c r="P48" s="37"/>
      <c r="Q48" s="37"/>
    </row>
    <row r="49" spans="1:17" s="47" customFormat="1">
      <c r="A49" s="49"/>
      <c r="B49" s="72" t="s">
        <v>41</v>
      </c>
      <c r="C49" s="17"/>
      <c r="D49" s="17"/>
      <c r="E49" s="17"/>
      <c r="F49" s="17"/>
      <c r="H49" s="37"/>
      <c r="I49" s="17"/>
      <c r="J49" s="39">
        <v>2297</v>
      </c>
      <c r="K49" s="17"/>
      <c r="L49" s="17"/>
      <c r="O49" s="36"/>
      <c r="P49" s="37"/>
      <c r="Q49" s="37"/>
    </row>
    <row r="50" spans="1:17" s="47" customFormat="1" ht="12" thickBot="1">
      <c r="A50" s="49"/>
      <c r="B50" s="73"/>
      <c r="C50" s="17"/>
      <c r="D50" s="17"/>
      <c r="E50" s="17"/>
      <c r="F50" s="17"/>
      <c r="H50" s="37"/>
      <c r="I50" s="17"/>
      <c r="J50" s="40">
        <f>SUM(J48:J49)</f>
        <v>5448</v>
      </c>
      <c r="K50" s="17"/>
      <c r="L50" s="17"/>
      <c r="O50" s="81"/>
      <c r="P50" s="37"/>
      <c r="Q50" s="37"/>
    </row>
    <row r="51" spans="1:17" s="47" customFormat="1" ht="12.6" thickTop="1">
      <c r="A51" s="51" t="e">
        <f>+'5.4-8'!A46+1</f>
        <v>#REF!</v>
      </c>
      <c r="B51" s="75" t="s">
        <v>237</v>
      </c>
      <c r="C51" s="64"/>
      <c r="D51" s="64"/>
      <c r="E51" s="64"/>
      <c r="F51" s="64"/>
      <c r="H51" s="37"/>
      <c r="I51" s="64"/>
      <c r="J51" s="38"/>
      <c r="K51" s="8"/>
      <c r="L51" s="64"/>
      <c r="O51" s="36"/>
      <c r="Q51" s="50"/>
    </row>
    <row r="52" spans="1:17" s="47" customFormat="1" ht="12">
      <c r="A52" s="51"/>
      <c r="B52" s="75"/>
      <c r="C52" s="64"/>
      <c r="D52" s="64"/>
      <c r="E52" s="64"/>
      <c r="F52" s="64"/>
      <c r="H52" s="37"/>
      <c r="I52" s="64"/>
      <c r="J52" s="38"/>
      <c r="K52" s="64"/>
      <c r="L52" s="64"/>
      <c r="O52" s="36"/>
      <c r="Q52" s="50"/>
    </row>
    <row r="53" spans="1:17" s="47" customFormat="1">
      <c r="A53" s="76"/>
      <c r="B53" s="49" t="s">
        <v>156</v>
      </c>
      <c r="C53" s="64"/>
      <c r="D53" s="64"/>
      <c r="E53" s="64"/>
      <c r="F53" s="64"/>
      <c r="H53" s="37"/>
      <c r="I53" s="64"/>
      <c r="J53" s="39">
        <v>2500</v>
      </c>
      <c r="K53" s="64"/>
      <c r="L53" s="64"/>
      <c r="O53" s="36"/>
    </row>
    <row r="54" spans="1:17" s="47" customFormat="1">
      <c r="A54" s="76"/>
      <c r="B54" s="49" t="s">
        <v>248</v>
      </c>
      <c r="C54" s="64"/>
      <c r="D54" s="64"/>
      <c r="E54" s="64"/>
      <c r="F54" s="64"/>
      <c r="H54" s="37"/>
      <c r="I54" s="64"/>
      <c r="J54" s="39" t="e">
        <f>ROUND(#REF!/1000,0)</f>
        <v>#REF!</v>
      </c>
      <c r="K54" s="64"/>
      <c r="L54" s="64"/>
      <c r="O54" s="36"/>
    </row>
    <row r="55" spans="1:17" s="47" customFormat="1">
      <c r="A55" s="76"/>
      <c r="B55" s="49" t="s">
        <v>268</v>
      </c>
      <c r="C55" s="64"/>
      <c r="D55" s="64"/>
      <c r="E55" s="64"/>
      <c r="F55" s="64"/>
      <c r="H55" s="37"/>
      <c r="I55" s="64"/>
      <c r="J55" s="39">
        <v>217</v>
      </c>
      <c r="K55" s="64"/>
      <c r="L55" s="64"/>
      <c r="O55" s="36"/>
    </row>
    <row r="56" spans="1:17" s="47" customFormat="1">
      <c r="A56" s="76"/>
      <c r="B56" s="49" t="s">
        <v>269</v>
      </c>
      <c r="C56" s="64"/>
      <c r="D56" s="64"/>
      <c r="E56" s="64"/>
      <c r="F56" s="64"/>
      <c r="H56" s="37"/>
      <c r="I56" s="64"/>
      <c r="J56" s="39">
        <v>8111</v>
      </c>
      <c r="K56" s="64"/>
      <c r="L56" s="64"/>
      <c r="O56" s="36"/>
    </row>
    <row r="57" spans="1:17" s="47" customFormat="1" ht="12" thickBot="1">
      <c r="A57" s="49"/>
      <c r="B57" s="37"/>
      <c r="C57" s="37"/>
      <c r="D57" s="37"/>
      <c r="E57" s="37"/>
      <c r="F57" s="37"/>
      <c r="H57" s="37"/>
      <c r="I57" s="37"/>
      <c r="J57" s="40" t="e">
        <f>SUM(J53:J56)</f>
        <v>#REF!</v>
      </c>
      <c r="K57" s="37"/>
      <c r="L57" s="37"/>
      <c r="O57" s="81"/>
    </row>
    <row r="58" spans="1:17" s="30" customFormat="1" ht="12.6" thickTop="1">
      <c r="A58" s="48" t="e">
        <f>'5.4-8'!A51+1</f>
        <v>#REF!</v>
      </c>
      <c r="B58" s="29" t="s">
        <v>134</v>
      </c>
      <c r="C58" s="17"/>
      <c r="D58" s="17"/>
      <c r="E58" s="17"/>
      <c r="F58" s="17"/>
      <c r="I58" s="17"/>
      <c r="K58" s="17"/>
      <c r="L58" s="17"/>
      <c r="O58" s="41"/>
    </row>
    <row r="59" spans="1:17" s="30" customFormat="1">
      <c r="A59" s="49"/>
      <c r="C59" s="17"/>
      <c r="D59" s="17"/>
      <c r="E59" s="17"/>
      <c r="F59" s="17"/>
      <c r="I59" s="17"/>
      <c r="K59" s="17"/>
      <c r="L59" s="17"/>
      <c r="O59" s="41"/>
    </row>
    <row r="60" spans="1:17" s="30" customFormat="1">
      <c r="A60" s="49"/>
      <c r="B60" s="30" t="s">
        <v>135</v>
      </c>
      <c r="C60" s="17"/>
      <c r="D60" s="17"/>
      <c r="E60" s="17"/>
      <c r="F60" s="17"/>
      <c r="H60" s="74" t="e">
        <f>'5.4-8'!A64</f>
        <v>#REF!</v>
      </c>
      <c r="I60" s="17"/>
      <c r="J60" s="52">
        <v>2322</v>
      </c>
      <c r="K60" s="17"/>
      <c r="L60" s="17"/>
      <c r="O60" s="41"/>
    </row>
    <row r="61" spans="1:17" s="30" customFormat="1">
      <c r="A61" s="49"/>
      <c r="B61" s="30" t="s">
        <v>136</v>
      </c>
      <c r="C61" s="17"/>
      <c r="D61" s="17"/>
      <c r="E61" s="17"/>
      <c r="F61" s="17"/>
      <c r="H61" s="17"/>
      <c r="I61" s="17"/>
      <c r="J61" s="52">
        <v>-372</v>
      </c>
      <c r="K61" s="17"/>
      <c r="L61" s="17"/>
      <c r="O61" s="41"/>
    </row>
    <row r="62" spans="1:17" s="30" customFormat="1" ht="12" thickBot="1">
      <c r="A62" s="49"/>
      <c r="B62" s="30" t="s">
        <v>75</v>
      </c>
      <c r="C62" s="17"/>
      <c r="D62" s="17"/>
      <c r="E62" s="17"/>
      <c r="F62" s="17"/>
      <c r="G62" s="17"/>
      <c r="H62" s="17"/>
      <c r="I62" s="17"/>
      <c r="J62" s="53">
        <f>J60+J61</f>
        <v>1950</v>
      </c>
      <c r="K62" s="17"/>
      <c r="L62" s="17"/>
      <c r="O62" s="82"/>
    </row>
    <row r="63" spans="1:17" s="30" customFormat="1" ht="12" thickTop="1">
      <c r="A63" s="49"/>
      <c r="C63" s="17"/>
      <c r="D63" s="17"/>
      <c r="E63" s="17"/>
      <c r="F63" s="17"/>
      <c r="G63" s="17"/>
      <c r="H63" s="17"/>
      <c r="I63" s="17"/>
      <c r="J63" s="62"/>
      <c r="K63" s="17"/>
      <c r="L63" s="17"/>
      <c r="O63" s="33"/>
    </row>
    <row r="64" spans="1:17" s="30" customFormat="1" ht="12">
      <c r="A64" s="54" t="e">
        <f>'5.4-8'!A58+0.1</f>
        <v>#REF!</v>
      </c>
      <c r="B64" s="2555" t="s">
        <v>42</v>
      </c>
      <c r="C64" s="2555"/>
      <c r="D64" s="2555"/>
      <c r="E64" s="2555"/>
      <c r="F64" s="2555"/>
      <c r="G64" s="2555"/>
      <c r="H64" s="2555"/>
      <c r="I64" s="2555"/>
      <c r="J64" s="2555"/>
      <c r="N64" s="45"/>
      <c r="O64" s="45"/>
      <c r="P64" s="45"/>
      <c r="Q64" s="45"/>
    </row>
    <row r="65" spans="1:17" s="30" customFormat="1" ht="12">
      <c r="A65" s="28"/>
      <c r="B65" s="2555"/>
      <c r="C65" s="2555"/>
      <c r="D65" s="2555"/>
      <c r="E65" s="2555"/>
      <c r="F65" s="2555"/>
      <c r="G65" s="2555"/>
      <c r="H65" s="2555"/>
      <c r="I65" s="2555"/>
      <c r="J65" s="2555"/>
      <c r="N65" s="45"/>
      <c r="O65" s="45"/>
      <c r="P65" s="45"/>
      <c r="Q65" s="45"/>
    </row>
    <row r="66" spans="1:17" s="30" customFormat="1" ht="12">
      <c r="A66" s="28"/>
      <c r="B66" s="2555"/>
      <c r="C66" s="2555"/>
      <c r="D66" s="2555"/>
      <c r="E66" s="2555"/>
      <c r="F66" s="2555"/>
      <c r="G66" s="2555"/>
      <c r="H66" s="2555"/>
      <c r="I66" s="2555"/>
      <c r="J66" s="2555"/>
      <c r="N66" s="45"/>
      <c r="O66" s="45"/>
      <c r="P66" s="45"/>
      <c r="Q66" s="45"/>
    </row>
    <row r="67" spans="1:17" ht="10.35" customHeight="1">
      <c r="N67" s="45"/>
      <c r="O67" s="45"/>
      <c r="P67" s="45"/>
      <c r="Q67" s="45"/>
    </row>
  </sheetData>
  <mergeCells count="13">
    <mergeCell ref="C5:C9"/>
    <mergeCell ref="D6:D9"/>
    <mergeCell ref="E6:E9"/>
    <mergeCell ref="B64:J66"/>
    <mergeCell ref="F6:F9"/>
    <mergeCell ref="G5:G9"/>
    <mergeCell ref="H6:H9"/>
    <mergeCell ref="J6:J9"/>
    <mergeCell ref="B5:B9"/>
    <mergeCell ref="D10:G10"/>
    <mergeCell ref="D5:F5"/>
    <mergeCell ref="H10:J10"/>
    <mergeCell ref="H5:J5"/>
  </mergeCells>
  <phoneticPr fontId="38" type="noConversion"/>
  <printOptions horizontalCentered="1"/>
  <pageMargins left="0.75" right="0.5" top="0.5" bottom="0.25" header="0.28999999999999998" footer="0.5"/>
  <pageSetup paperSize="9" scale="9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Q178"/>
  <sheetViews>
    <sheetView view="pageBreakPreview" zoomScale="108" zoomScaleNormal="100" zoomScaleSheetLayoutView="108" workbookViewId="0">
      <selection activeCell="A6" sqref="A6"/>
    </sheetView>
  </sheetViews>
  <sheetFormatPr defaultColWidth="10.09765625" defaultRowHeight="11.4"/>
  <cols>
    <col min="1" max="1" width="15.59765625" style="414" customWidth="1"/>
    <col min="2" max="2" width="23.59765625" style="414" customWidth="1"/>
    <col min="3" max="3" width="8.59765625" style="414" customWidth="1"/>
    <col min="4" max="4" width="10" style="414" customWidth="1"/>
    <col min="5" max="5" width="8.09765625" style="414" customWidth="1"/>
    <col min="6" max="6" width="10" style="414" customWidth="1"/>
    <col min="7" max="7" width="11.5" style="414" customWidth="1"/>
    <col min="8" max="8" width="10.5" style="414" customWidth="1"/>
    <col min="9" max="9" width="7.09765625" style="414" customWidth="1"/>
    <col min="10" max="10" width="7.5" style="414" customWidth="1"/>
    <col min="11" max="11" width="4.5" style="414" customWidth="1"/>
    <col min="12" max="12" width="13" style="414" customWidth="1"/>
    <col min="13" max="13" width="11.09765625" style="414" customWidth="1"/>
    <col min="14" max="14" width="9.09765625" style="414" customWidth="1"/>
    <col min="15" max="15" width="10.09765625" style="405" customWidth="1"/>
    <col min="16" max="38" width="10.09765625" style="414" customWidth="1"/>
    <col min="39" max="16384" width="10.09765625" style="414"/>
  </cols>
  <sheetData>
    <row r="1" spans="1:16">
      <c r="A1" s="815" t="s">
        <v>403</v>
      </c>
      <c r="B1" s="2588" t="s">
        <v>665</v>
      </c>
      <c r="C1" s="2589"/>
      <c r="D1" s="2589"/>
      <c r="E1" s="2589"/>
    </row>
    <row r="2" spans="1:16">
      <c r="A2" s="815" t="s">
        <v>404</v>
      </c>
      <c r="B2" s="2590">
        <v>42369</v>
      </c>
      <c r="C2" s="2591"/>
      <c r="D2" s="2591"/>
      <c r="E2" s="2592"/>
    </row>
    <row r="3" spans="1:16">
      <c r="A3" s="815" t="s">
        <v>405</v>
      </c>
      <c r="B3" s="2588" t="s">
        <v>666</v>
      </c>
      <c r="C3" s="2589"/>
      <c r="D3" s="2589"/>
      <c r="E3" s="2589"/>
    </row>
    <row r="4" spans="1:16">
      <c r="A4" s="815" t="s">
        <v>406</v>
      </c>
      <c r="B4" s="2588" t="s">
        <v>662</v>
      </c>
      <c r="C4" s="2589"/>
      <c r="D4" s="2589"/>
      <c r="E4" s="2589"/>
    </row>
    <row r="5" spans="1:16">
      <c r="A5" s="815" t="s">
        <v>408</v>
      </c>
      <c r="B5" s="2588" t="s">
        <v>663</v>
      </c>
      <c r="C5" s="2589"/>
      <c r="D5" s="2589"/>
      <c r="E5" s="2589"/>
    </row>
    <row r="6" spans="1:16">
      <c r="A6" s="815" t="s">
        <v>664</v>
      </c>
      <c r="B6" s="2588" t="s">
        <v>112</v>
      </c>
      <c r="C6" s="2589"/>
      <c r="D6" s="2589"/>
      <c r="E6" s="2589"/>
    </row>
    <row r="7" spans="1:16" s="724" customFormat="1">
      <c r="A7" s="725"/>
      <c r="B7" s="725"/>
      <c r="C7" s="725"/>
      <c r="D7" s="725"/>
      <c r="E7" s="725"/>
      <c r="F7" s="414"/>
      <c r="G7" s="414"/>
      <c r="H7" s="414"/>
      <c r="I7" s="725"/>
      <c r="J7" s="414"/>
      <c r="K7" s="726"/>
    </row>
    <row r="8" spans="1:16" s="724" customFormat="1">
      <c r="A8" s="727" t="s">
        <v>309</v>
      </c>
      <c r="B8" s="727"/>
      <c r="C8" s="727"/>
      <c r="D8" s="728"/>
      <c r="E8" s="728"/>
      <c r="F8" s="728"/>
      <c r="G8" s="728"/>
      <c r="H8" s="729"/>
      <c r="I8" s="730"/>
      <c r="J8" s="730"/>
      <c r="K8" s="728"/>
      <c r="O8" s="538"/>
    </row>
    <row r="9" spans="1:16" s="724" customFormat="1">
      <c r="A9" s="727"/>
      <c r="B9" s="727"/>
      <c r="C9" s="727"/>
      <c r="D9" s="728"/>
      <c r="E9" s="728"/>
      <c r="F9" s="728"/>
      <c r="G9" s="728"/>
      <c r="H9" s="729"/>
      <c r="I9" s="730"/>
      <c r="J9" s="730"/>
      <c r="K9" s="728"/>
      <c r="O9" s="538"/>
    </row>
    <row r="10" spans="1:16" s="724" customFormat="1">
      <c r="A10" s="2563" t="s">
        <v>536</v>
      </c>
      <c r="B10" s="2563"/>
      <c r="C10" s="2563"/>
      <c r="D10" s="2563"/>
      <c r="E10" s="2563"/>
      <c r="F10" s="2563"/>
      <c r="G10" s="2563"/>
      <c r="H10" s="2563"/>
      <c r="I10" s="2563"/>
      <c r="J10" s="2563"/>
      <c r="K10" s="2563"/>
      <c r="O10" s="538"/>
    </row>
    <row r="11" spans="1:16" s="724" customFormat="1">
      <c r="A11" s="2563"/>
      <c r="B11" s="2563"/>
      <c r="C11" s="2563"/>
      <c r="D11" s="2563"/>
      <c r="E11" s="2563"/>
      <c r="F11" s="2563"/>
      <c r="G11" s="2563"/>
      <c r="H11" s="2563"/>
      <c r="I11" s="2563"/>
      <c r="J11" s="2563"/>
      <c r="K11" s="2563"/>
      <c r="O11" s="538"/>
    </row>
    <row r="12" spans="1:16" s="724" customFormat="1">
      <c r="A12" s="414"/>
      <c r="B12" s="414"/>
      <c r="C12" s="414"/>
      <c r="D12" s="728"/>
      <c r="E12" s="728"/>
      <c r="F12" s="728"/>
      <c r="G12" s="728"/>
      <c r="H12" s="731"/>
      <c r="I12" s="730"/>
      <c r="J12" s="730"/>
      <c r="K12" s="728"/>
      <c r="O12" s="538"/>
    </row>
    <row r="13" spans="1:16" s="724" customFormat="1" ht="9.75" customHeight="1">
      <c r="A13" s="2564" t="s">
        <v>116</v>
      </c>
      <c r="B13" s="2565"/>
      <c r="C13" s="2570" t="s">
        <v>117</v>
      </c>
      <c r="D13" s="2571"/>
      <c r="E13" s="2571"/>
      <c r="F13" s="2571"/>
      <c r="G13" s="2572"/>
      <c r="H13" s="2573" t="s">
        <v>637</v>
      </c>
      <c r="I13" s="2576" t="s">
        <v>310</v>
      </c>
      <c r="J13" s="2577"/>
      <c r="K13" s="2578"/>
      <c r="M13" s="747"/>
      <c r="N13" s="748" t="s">
        <v>167</v>
      </c>
      <c r="O13" s="735">
        <v>1898793</v>
      </c>
      <c r="P13" s="747"/>
    </row>
    <row r="14" spans="1:16" s="724" customFormat="1" ht="12.75" customHeight="1">
      <c r="A14" s="2566"/>
      <c r="B14" s="2567"/>
      <c r="C14" s="2579" t="s">
        <v>635</v>
      </c>
      <c r="D14" s="2580" t="s">
        <v>130</v>
      </c>
      <c r="E14" s="2580" t="s">
        <v>119</v>
      </c>
      <c r="F14" s="2580" t="s">
        <v>120</v>
      </c>
      <c r="G14" s="2584" t="s">
        <v>636</v>
      </c>
      <c r="H14" s="2574"/>
      <c r="I14" s="2582" t="s">
        <v>121</v>
      </c>
      <c r="J14" s="2582" t="s">
        <v>296</v>
      </c>
      <c r="K14" s="2582" t="s">
        <v>122</v>
      </c>
      <c r="M14" s="747"/>
      <c r="N14" s="748"/>
      <c r="O14" s="735"/>
      <c r="P14" s="747"/>
    </row>
    <row r="15" spans="1:16" s="724" customFormat="1">
      <c r="A15" s="2566"/>
      <c r="B15" s="2567"/>
      <c r="C15" s="2580"/>
      <c r="D15" s="2580"/>
      <c r="E15" s="2580"/>
      <c r="F15" s="2580"/>
      <c r="G15" s="2584"/>
      <c r="H15" s="2574"/>
      <c r="I15" s="2582"/>
      <c r="J15" s="2582"/>
      <c r="K15" s="2582"/>
      <c r="N15" s="724" t="s">
        <v>168</v>
      </c>
      <c r="O15" s="538">
        <v>946823</v>
      </c>
    </row>
    <row r="16" spans="1:16" s="724" customFormat="1">
      <c r="A16" s="2566"/>
      <c r="B16" s="2567"/>
      <c r="C16" s="2580"/>
      <c r="D16" s="2580"/>
      <c r="E16" s="2580"/>
      <c r="F16" s="2580"/>
      <c r="G16" s="2584"/>
      <c r="H16" s="2574"/>
      <c r="I16" s="2582"/>
      <c r="J16" s="2582"/>
      <c r="K16" s="2582"/>
      <c r="O16" s="538"/>
    </row>
    <row r="17" spans="1:16" s="724" customFormat="1">
      <c r="A17" s="2566"/>
      <c r="B17" s="2567"/>
      <c r="C17" s="2580"/>
      <c r="D17" s="2580"/>
      <c r="E17" s="2580"/>
      <c r="F17" s="2580"/>
      <c r="G17" s="2584"/>
      <c r="H17" s="2574"/>
      <c r="I17" s="2582"/>
      <c r="J17" s="2582"/>
      <c r="K17" s="2582"/>
      <c r="O17" s="538"/>
    </row>
    <row r="18" spans="1:16" s="724" customFormat="1">
      <c r="A18" s="2566"/>
      <c r="B18" s="2567"/>
      <c r="C18" s="2580"/>
      <c r="D18" s="2580"/>
      <c r="E18" s="2580"/>
      <c r="F18" s="2580"/>
      <c r="G18" s="2584"/>
      <c r="H18" s="2574"/>
      <c r="I18" s="2582"/>
      <c r="J18" s="2582"/>
      <c r="K18" s="2582"/>
      <c r="O18" s="538"/>
    </row>
    <row r="19" spans="1:16" s="724" customFormat="1">
      <c r="A19" s="2568"/>
      <c r="B19" s="2569"/>
      <c r="C19" s="2581"/>
      <c r="D19" s="2581"/>
      <c r="E19" s="2581"/>
      <c r="F19" s="2581"/>
      <c r="G19" s="2585"/>
      <c r="H19" s="2575"/>
      <c r="I19" s="2583"/>
      <c r="J19" s="2583"/>
      <c r="K19" s="2583"/>
      <c r="O19" s="538"/>
    </row>
    <row r="20" spans="1:16" s="724" customFormat="1" ht="22.8">
      <c r="A20" s="749"/>
      <c r="B20" s="749"/>
      <c r="C20" s="749"/>
      <c r="D20" s="414"/>
      <c r="E20" s="750"/>
      <c r="F20" s="750"/>
      <c r="G20" s="750"/>
      <c r="H20" s="751" t="s">
        <v>52</v>
      </c>
      <c r="I20" s="2586" t="s">
        <v>2</v>
      </c>
      <c r="J20" s="2587"/>
      <c r="K20" s="2587"/>
      <c r="O20" s="538"/>
    </row>
    <row r="21" spans="1:16" s="724" customFormat="1" ht="12" customHeight="1">
      <c r="A21" s="752" t="s">
        <v>472</v>
      </c>
      <c r="B21" s="737"/>
      <c r="C21" s="737"/>
      <c r="D21" s="414"/>
      <c r="E21" s="738"/>
      <c r="F21" s="738"/>
      <c r="G21" s="753"/>
      <c r="H21" s="738"/>
      <c r="I21" s="754"/>
      <c r="J21" s="754"/>
      <c r="K21" s="754"/>
      <c r="L21" s="735"/>
      <c r="M21" s="735"/>
      <c r="N21" s="736"/>
      <c r="O21" s="538"/>
    </row>
    <row r="22" spans="1:16" s="724" customFormat="1" ht="12" customHeight="1">
      <c r="A22" s="737" t="s">
        <v>473</v>
      </c>
      <c r="B22" s="737"/>
      <c r="C22" s="755">
        <v>69400</v>
      </c>
      <c r="D22" s="738">
        <v>276300</v>
      </c>
      <c r="E22" s="738"/>
      <c r="F22" s="738">
        <v>225300</v>
      </c>
      <c r="G22" s="753">
        <f>C22+D22+E22-F22</f>
        <v>120400</v>
      </c>
      <c r="H22" s="756">
        <v>25510.400000000001</v>
      </c>
      <c r="I22" s="757">
        <f t="shared" ref="I22:I30" si="0">ROUND(H22/$O$13*100,4)</f>
        <v>1.3434999999999999</v>
      </c>
      <c r="J22" s="758" t="e">
        <f>H22/#REF!*100</f>
        <v>#REF!</v>
      </c>
      <c r="K22" s="759">
        <f>G22/L22*100</f>
        <v>0.14116047037857737</v>
      </c>
      <c r="L22" s="760">
        <v>85293000</v>
      </c>
      <c r="M22" s="735">
        <v>1.2667999999999999</v>
      </c>
      <c r="N22" s="736">
        <v>1.4931164450003107</v>
      </c>
      <c r="O22" s="538"/>
      <c r="P22" s="724">
        <v>8.1366583424196601E-2</v>
      </c>
    </row>
    <row r="23" spans="1:16" s="724" customFormat="1" ht="12" customHeight="1">
      <c r="A23" s="737" t="s">
        <v>474</v>
      </c>
      <c r="B23" s="737"/>
      <c r="C23" s="755">
        <v>59700</v>
      </c>
      <c r="D23" s="738">
        <v>0</v>
      </c>
      <c r="E23" s="738">
        <v>0</v>
      </c>
      <c r="F23" s="738">
        <v>59700</v>
      </c>
      <c r="G23" s="753">
        <f t="shared" ref="G23:G30" si="1">C23+D23+E23-F23</f>
        <v>0</v>
      </c>
      <c r="H23" s="761">
        <v>0</v>
      </c>
      <c r="I23" s="762">
        <f t="shared" si="0"/>
        <v>0</v>
      </c>
      <c r="J23" s="763" t="e">
        <f>H23/#REF!*100</f>
        <v>#REF!</v>
      </c>
      <c r="K23" s="759">
        <f t="shared" ref="K23:K30" si="2">G23/L23*100</f>
        <v>0</v>
      </c>
      <c r="L23" s="760">
        <v>79966600</v>
      </c>
      <c r="M23" s="735">
        <v>1.107</v>
      </c>
      <c r="N23" s="736">
        <v>1.3047581196565099</v>
      </c>
      <c r="O23" s="538"/>
      <c r="P23" s="724">
        <v>7.4656168950536853E-2</v>
      </c>
    </row>
    <row r="24" spans="1:16" s="724" customFormat="1" ht="12" customHeight="1">
      <c r="A24" s="737" t="s">
        <v>331</v>
      </c>
      <c r="B24" s="737"/>
      <c r="C24" s="755">
        <v>67600</v>
      </c>
      <c r="D24" s="738">
        <v>0</v>
      </c>
      <c r="E24" s="738">
        <v>0</v>
      </c>
      <c r="F24" s="738">
        <v>26100</v>
      </c>
      <c r="G24" s="753">
        <f t="shared" si="1"/>
        <v>41500</v>
      </c>
      <c r="H24" s="761">
        <v>20962.5</v>
      </c>
      <c r="I24" s="762">
        <f t="shared" si="0"/>
        <v>1.1040000000000001</v>
      </c>
      <c r="J24" s="763" t="e">
        <f>H24/#REF!*100</f>
        <v>#REF!</v>
      </c>
      <c r="K24" s="759">
        <f t="shared" si="2"/>
        <v>5.0033757716049385E-2</v>
      </c>
      <c r="L24" s="760">
        <v>82944000</v>
      </c>
      <c r="M24" s="735">
        <v>3.0638000000000001</v>
      </c>
      <c r="N24" s="736">
        <v>3.6112058134913534</v>
      </c>
      <c r="O24" s="538"/>
      <c r="P24" s="724">
        <v>8.150077160493828E-2</v>
      </c>
    </row>
    <row r="25" spans="1:16" s="724" customFormat="1" ht="12" customHeight="1">
      <c r="A25" s="764" t="s">
        <v>475</v>
      </c>
      <c r="B25" s="764"/>
      <c r="C25" s="755">
        <v>148640</v>
      </c>
      <c r="D25" s="738">
        <v>0</v>
      </c>
      <c r="E25" s="765">
        <v>208</v>
      </c>
      <c r="F25" s="765">
        <v>147600</v>
      </c>
      <c r="G25" s="753">
        <f t="shared" si="1"/>
        <v>1248</v>
      </c>
      <c r="H25" s="761">
        <v>180</v>
      </c>
      <c r="I25" s="762">
        <f t="shared" si="0"/>
        <v>9.4999999999999998E-3</v>
      </c>
      <c r="J25" s="763" t="e">
        <f>H25/#REF!*100</f>
        <v>#REF!</v>
      </c>
      <c r="K25" s="759">
        <f t="shared" si="2"/>
        <v>1.034146729510968E-3</v>
      </c>
      <c r="L25" s="760">
        <v>120679200</v>
      </c>
      <c r="M25" s="724">
        <v>1.36</v>
      </c>
      <c r="N25" s="724">
        <v>1.6030235278384188</v>
      </c>
      <c r="O25" s="538"/>
      <c r="P25" s="724">
        <v>0.14780343257164449</v>
      </c>
    </row>
    <row r="26" spans="1:16" s="724" customFormat="1" ht="12" customHeight="1">
      <c r="A26" s="766" t="s">
        <v>123</v>
      </c>
      <c r="B26" s="767"/>
      <c r="C26" s="755">
        <v>118200</v>
      </c>
      <c r="D26" s="765">
        <v>239400</v>
      </c>
      <c r="E26" s="738">
        <v>0</v>
      </c>
      <c r="F26" s="738">
        <v>146500</v>
      </c>
      <c r="G26" s="753">
        <f t="shared" si="1"/>
        <v>211100</v>
      </c>
      <c r="H26" s="761">
        <v>56579</v>
      </c>
      <c r="I26" s="762">
        <f t="shared" si="0"/>
        <v>2.9796999999999998</v>
      </c>
      <c r="J26" s="763" t="e">
        <f>H26/#REF!*100</f>
        <v>#REF!</v>
      </c>
      <c r="K26" s="759">
        <f t="shared" si="2"/>
        <v>8.9242722025619559E-2</v>
      </c>
      <c r="L26" s="760">
        <v>236545900</v>
      </c>
      <c r="M26" s="735">
        <v>3.8140000000000001</v>
      </c>
      <c r="N26" s="736">
        <v>4.4953597926551554</v>
      </c>
      <c r="O26" s="538"/>
      <c r="P26" s="724">
        <v>4.9967259185922597E-2</v>
      </c>
    </row>
    <row r="27" spans="1:16" s="724" customFormat="1" ht="12" customHeight="1">
      <c r="A27" s="764" t="s">
        <v>124</v>
      </c>
      <c r="B27" s="764"/>
      <c r="C27" s="755">
        <v>167400</v>
      </c>
      <c r="D27" s="738">
        <v>649300</v>
      </c>
      <c r="E27" s="738">
        <v>0</v>
      </c>
      <c r="F27" s="738">
        <v>85800</v>
      </c>
      <c r="G27" s="753">
        <f t="shared" si="1"/>
        <v>730900</v>
      </c>
      <c r="H27" s="761">
        <v>89030.900000000009</v>
      </c>
      <c r="I27" s="762">
        <f t="shared" si="0"/>
        <v>4.6887999999999996</v>
      </c>
      <c r="J27" s="763" t="e">
        <f>H27/#REF!*100</f>
        <v>#REF!</v>
      </c>
      <c r="K27" s="759">
        <f t="shared" si="2"/>
        <v>3.706924061462008E-2</v>
      </c>
      <c r="L27" s="760">
        <v>1971715600</v>
      </c>
      <c r="M27" s="735">
        <v>2.1970999999999998</v>
      </c>
      <c r="N27" s="736">
        <v>2.5896444359892485</v>
      </c>
      <c r="O27" s="538"/>
      <c r="P27" s="724">
        <v>8.490068243107678E-3</v>
      </c>
    </row>
    <row r="28" spans="1:16" s="724" customFormat="1" ht="12" customHeight="1">
      <c r="A28" s="764" t="s">
        <v>170</v>
      </c>
      <c r="B28" s="764"/>
      <c r="C28" s="755">
        <v>150600</v>
      </c>
      <c r="D28" s="738">
        <v>172300</v>
      </c>
      <c r="E28" s="738">
        <v>0</v>
      </c>
      <c r="F28" s="738">
        <v>72000</v>
      </c>
      <c r="G28" s="753">
        <f t="shared" si="1"/>
        <v>250900</v>
      </c>
      <c r="H28" s="761">
        <v>81735.7</v>
      </c>
      <c r="I28" s="762">
        <f t="shared" si="0"/>
        <v>4.3045999999999998</v>
      </c>
      <c r="J28" s="763" t="e">
        <f>H28/#REF!*100</f>
        <v>#REF!</v>
      </c>
      <c r="K28" s="759">
        <f t="shared" si="2"/>
        <v>9.234929011774258E-2</v>
      </c>
      <c r="L28" s="760">
        <v>271685900</v>
      </c>
      <c r="M28" s="735">
        <v>4.6424000000000003</v>
      </c>
      <c r="N28" s="736">
        <v>5.47180935123742</v>
      </c>
      <c r="O28" s="538"/>
      <c r="P28" s="724">
        <v>6.0106174078227839E-2</v>
      </c>
    </row>
    <row r="29" spans="1:16" s="724" customFormat="1" ht="12" customHeight="1">
      <c r="A29" s="764" t="s">
        <v>332</v>
      </c>
      <c r="B29" s="764"/>
      <c r="C29" s="755">
        <v>139200</v>
      </c>
      <c r="D29" s="738">
        <v>76300</v>
      </c>
      <c r="E29" s="738">
        <v>0</v>
      </c>
      <c r="F29" s="738">
        <v>47900</v>
      </c>
      <c r="G29" s="753">
        <f t="shared" si="1"/>
        <v>167600</v>
      </c>
      <c r="H29" s="761">
        <v>38253</v>
      </c>
      <c r="I29" s="762">
        <f t="shared" si="0"/>
        <v>2.0146000000000002</v>
      </c>
      <c r="J29" s="763" t="e">
        <f>H29/#REF!*100</f>
        <v>#REF!</v>
      </c>
      <c r="K29" s="759">
        <f t="shared" si="2"/>
        <v>0.15661746641718763</v>
      </c>
      <c r="L29" s="768">
        <v>107012330</v>
      </c>
      <c r="M29" s="735">
        <v>2.8136000000000001</v>
      </c>
      <c r="N29" s="736">
        <v>3.3162366760029607</v>
      </c>
      <c r="O29" s="538"/>
      <c r="P29" s="724">
        <v>0.13007850499428569</v>
      </c>
    </row>
    <row r="30" spans="1:16" s="724" customFormat="1" ht="12" customHeight="1">
      <c r="A30" s="764" t="s">
        <v>529</v>
      </c>
      <c r="B30" s="764"/>
      <c r="C30" s="755">
        <v>4000</v>
      </c>
      <c r="D30" s="738">
        <v>159800</v>
      </c>
      <c r="E30" s="738">
        <v>0</v>
      </c>
      <c r="F30" s="738">
        <v>0</v>
      </c>
      <c r="G30" s="753">
        <f t="shared" si="1"/>
        <v>163800</v>
      </c>
      <c r="H30" s="769">
        <v>114191.5</v>
      </c>
      <c r="I30" s="770">
        <f t="shared" si="0"/>
        <v>6.0138999999999996</v>
      </c>
      <c r="J30" s="771" t="e">
        <f>H30/#REF!*100</f>
        <v>#REF!</v>
      </c>
      <c r="K30" s="759">
        <f t="shared" si="2"/>
        <v>0.14857142857142858</v>
      </c>
      <c r="L30" s="768">
        <v>110250000</v>
      </c>
      <c r="M30" s="735">
        <v>0.2198</v>
      </c>
      <c r="N30" s="736">
        <v>0.2590868765103983</v>
      </c>
      <c r="O30" s="538"/>
      <c r="P30" s="724">
        <v>8.3174603174603179E-2</v>
      </c>
    </row>
    <row r="31" spans="1:16" s="724" customFormat="1" ht="12" customHeight="1">
      <c r="A31" s="749"/>
      <c r="B31" s="749"/>
      <c r="C31" s="749"/>
      <c r="D31" s="738"/>
      <c r="E31" s="738"/>
      <c r="F31" s="738"/>
      <c r="G31" s="738"/>
      <c r="H31" s="738">
        <f>SUM(H22:H30)</f>
        <v>426443</v>
      </c>
      <c r="I31" s="772">
        <f>SUM(I22:I30)</f>
        <v>22.458600000000001</v>
      </c>
      <c r="J31" s="772" t="e">
        <f>SUM(J22:J30)</f>
        <v>#REF!</v>
      </c>
      <c r="K31" s="772"/>
      <c r="L31" s="735"/>
      <c r="M31" s="735"/>
      <c r="N31" s="735"/>
      <c r="O31" s="538"/>
    </row>
    <row r="32" spans="1:16" s="724" customFormat="1" ht="12" customHeight="1">
      <c r="A32" s="752" t="s">
        <v>476</v>
      </c>
      <c r="B32" s="752"/>
      <c r="C32" s="752"/>
      <c r="D32" s="405"/>
      <c r="E32" s="405"/>
      <c r="F32" s="405"/>
      <c r="G32" s="405"/>
      <c r="H32" s="405"/>
      <c r="I32" s="754"/>
      <c r="J32" s="754"/>
      <c r="K32" s="772"/>
      <c r="L32" s="735"/>
      <c r="M32" s="735"/>
      <c r="N32" s="735"/>
      <c r="O32" s="538"/>
    </row>
    <row r="33" spans="1:16" s="724" customFormat="1" ht="12" customHeight="1">
      <c r="A33" s="764" t="s">
        <v>477</v>
      </c>
      <c r="B33" s="764"/>
      <c r="C33" s="773">
        <v>408000</v>
      </c>
      <c r="D33" s="738">
        <v>0</v>
      </c>
      <c r="E33" s="738">
        <v>121500</v>
      </c>
      <c r="F33" s="738">
        <v>60000</v>
      </c>
      <c r="G33" s="753">
        <f>C33+D33+E33-F33</f>
        <v>469500</v>
      </c>
      <c r="H33" s="738">
        <v>14775</v>
      </c>
      <c r="I33" s="754">
        <f>ROUND(H33/$O$13*100,4)</f>
        <v>0.77810000000000001</v>
      </c>
      <c r="J33" s="772" t="e">
        <f>H33/#REF!*100</f>
        <v>#REF!</v>
      </c>
      <c r="K33" s="759">
        <f>G33/L33*100</f>
        <v>0.93900000000000006</v>
      </c>
      <c r="L33" s="407">
        <v>50000000</v>
      </c>
      <c r="M33" s="735">
        <v>1.5254000000000001</v>
      </c>
      <c r="N33" s="736">
        <v>1.7978802154065807</v>
      </c>
      <c r="O33" s="538"/>
      <c r="P33" s="724">
        <v>0.81600000000000006</v>
      </c>
    </row>
    <row r="34" spans="1:16" s="724" customFormat="1" ht="12" customHeight="1">
      <c r="A34" s="764"/>
      <c r="B34" s="764"/>
      <c r="C34" s="764"/>
      <c r="D34" s="738"/>
      <c r="E34" s="738"/>
      <c r="F34" s="738"/>
      <c r="G34" s="738"/>
      <c r="H34" s="738"/>
      <c r="I34" s="754"/>
      <c r="J34" s="754"/>
      <c r="K34" s="772"/>
      <c r="L34" s="735"/>
      <c r="M34" s="735"/>
      <c r="N34" s="736"/>
      <c r="O34" s="538"/>
    </row>
    <row r="35" spans="1:16" s="724" customFormat="1" ht="12" customHeight="1">
      <c r="A35" s="752" t="s">
        <v>478</v>
      </c>
      <c r="B35" s="737"/>
      <c r="C35" s="737"/>
      <c r="D35" s="738"/>
      <c r="E35" s="738"/>
      <c r="F35" s="738"/>
      <c r="G35" s="738"/>
      <c r="H35" s="738"/>
      <c r="I35" s="754"/>
      <c r="J35" s="754"/>
      <c r="K35" s="772"/>
      <c r="L35" s="735"/>
      <c r="M35" s="735"/>
      <c r="N35" s="736"/>
      <c r="O35" s="538"/>
    </row>
    <row r="36" spans="1:16" s="724" customFormat="1" ht="12" customHeight="1">
      <c r="A36" s="737" t="s">
        <v>479</v>
      </c>
      <c r="B36" s="737"/>
      <c r="C36" s="773">
        <v>291500</v>
      </c>
      <c r="D36" s="738">
        <v>1287000</v>
      </c>
      <c r="E36" s="738">
        <v>0</v>
      </c>
      <c r="F36" s="738">
        <v>448000</v>
      </c>
      <c r="G36" s="753">
        <f>C36+D36+E36-F36</f>
        <v>1130500</v>
      </c>
      <c r="H36" s="756">
        <v>95109</v>
      </c>
      <c r="I36" s="757">
        <v>2.0699999999999998</v>
      </c>
      <c r="J36" s="758">
        <v>2.4300000000000002</v>
      </c>
      <c r="K36" s="759">
        <f>G36/L36*100</f>
        <v>8.4940459164995596E-2</v>
      </c>
      <c r="L36" s="760">
        <v>1330932292</v>
      </c>
      <c r="M36" s="735">
        <v>2.0657999999999999</v>
      </c>
      <c r="N36" s="736">
        <v>2.4348138925566443</v>
      </c>
      <c r="O36" s="538"/>
      <c r="P36" s="724">
        <v>2.190194046684418E-2</v>
      </c>
    </row>
    <row r="37" spans="1:16" s="724" customFormat="1" ht="12" customHeight="1">
      <c r="A37" s="764" t="s">
        <v>334</v>
      </c>
      <c r="B37" s="764"/>
      <c r="C37" s="773">
        <v>342500</v>
      </c>
      <c r="D37" s="738">
        <v>283600</v>
      </c>
      <c r="E37" s="738">
        <v>0</v>
      </c>
      <c r="F37" s="738">
        <v>214400</v>
      </c>
      <c r="G37" s="753">
        <f>C37+D37+E37-F37</f>
        <v>411700</v>
      </c>
      <c r="H37" s="761">
        <v>115024.90000000001</v>
      </c>
      <c r="I37" s="762">
        <v>8.1199999999999992</v>
      </c>
      <c r="J37" s="763">
        <v>9.57</v>
      </c>
      <c r="K37" s="759">
        <f>G37/L37*100</f>
        <v>7.8600997700009181E-2</v>
      </c>
      <c r="L37" s="760">
        <v>523784700</v>
      </c>
      <c r="M37" s="735">
        <v>8.1225000000000005</v>
      </c>
      <c r="N37" s="736">
        <v>9.5736886022493746</v>
      </c>
      <c r="O37" s="538"/>
      <c r="P37" s="724">
        <v>6.5389462502436602E-2</v>
      </c>
    </row>
    <row r="38" spans="1:16" s="724" customFormat="1" ht="12" customHeight="1">
      <c r="A38" s="764" t="s">
        <v>335</v>
      </c>
      <c r="B38" s="764"/>
      <c r="C38" s="773">
        <v>348000</v>
      </c>
      <c r="D38" s="738">
        <v>400000</v>
      </c>
      <c r="E38" s="738">
        <v>0</v>
      </c>
      <c r="F38" s="738">
        <v>0</v>
      </c>
      <c r="G38" s="753">
        <f>C38+D38+E38-F38</f>
        <v>748000</v>
      </c>
      <c r="H38" s="761">
        <v>33458</v>
      </c>
      <c r="I38" s="762">
        <v>1.0900000000000001</v>
      </c>
      <c r="J38" s="763">
        <v>1.28</v>
      </c>
      <c r="K38" s="759">
        <f>G38/L38*100</f>
        <v>3.561904761904762E-2</v>
      </c>
      <c r="L38" s="768">
        <v>2100000000</v>
      </c>
      <c r="M38" s="735">
        <v>1.0864</v>
      </c>
      <c r="N38" s="736">
        <v>1.2804598956871593</v>
      </c>
      <c r="O38" s="538"/>
      <c r="P38" s="724">
        <v>1.657142857142857E-2</v>
      </c>
    </row>
    <row r="39" spans="1:16" s="724" customFormat="1" ht="12" customHeight="1">
      <c r="A39" s="764" t="s">
        <v>480</v>
      </c>
      <c r="B39" s="764"/>
      <c r="C39" s="773">
        <v>71500</v>
      </c>
      <c r="D39" s="738">
        <v>0</v>
      </c>
      <c r="E39" s="738">
        <v>0</v>
      </c>
      <c r="F39" s="738">
        <v>37200</v>
      </c>
      <c r="G39" s="753">
        <f>C39+D39+E39-F39</f>
        <v>34300</v>
      </c>
      <c r="H39" s="761">
        <v>4086.5</v>
      </c>
      <c r="I39" s="762">
        <v>0.67</v>
      </c>
      <c r="J39" s="763">
        <v>0.79</v>
      </c>
      <c r="K39" s="759">
        <f>G39/L39*100</f>
        <v>7.1267233216930192E-3</v>
      </c>
      <c r="L39" s="760">
        <v>481287100</v>
      </c>
      <c r="M39" s="735">
        <v>0.66710000000000003</v>
      </c>
      <c r="N39" s="736">
        <v>0.78630182914769742</v>
      </c>
      <c r="O39" s="538"/>
      <c r="P39" s="724">
        <v>1.4855997594782823E-2</v>
      </c>
    </row>
    <row r="40" spans="1:16" s="724" customFormat="1" ht="12" customHeight="1">
      <c r="A40" s="764" t="s">
        <v>481</v>
      </c>
      <c r="B40" s="764"/>
      <c r="C40" s="773">
        <v>0</v>
      </c>
      <c r="D40" s="738">
        <v>198400</v>
      </c>
      <c r="E40" s="738">
        <v>0</v>
      </c>
      <c r="F40" s="738">
        <v>198400</v>
      </c>
      <c r="G40" s="753">
        <f>C40+D40+E40-F40</f>
        <v>0</v>
      </c>
      <c r="H40" s="769">
        <v>0</v>
      </c>
      <c r="I40" s="770">
        <f>ROUND(H40/$O$13*100,4)</f>
        <v>0</v>
      </c>
      <c r="J40" s="771" t="e">
        <f>H40/#REF!*100</f>
        <v>#REF!</v>
      </c>
      <c r="K40" s="759">
        <f>G40/L40*100</f>
        <v>0</v>
      </c>
      <c r="L40" s="760">
        <v>1272238200</v>
      </c>
      <c r="M40" s="735">
        <v>0</v>
      </c>
      <c r="N40" s="736">
        <v>0</v>
      </c>
      <c r="O40" s="538"/>
      <c r="P40" s="724">
        <v>0</v>
      </c>
    </row>
    <row r="41" spans="1:16" s="724" customFormat="1" ht="12" customHeight="1">
      <c r="A41" s="749"/>
      <c r="B41" s="749"/>
      <c r="C41" s="749"/>
      <c r="D41" s="738"/>
      <c r="E41" s="738"/>
      <c r="F41" s="765"/>
      <c r="G41" s="738"/>
      <c r="H41" s="738">
        <f>SUM(H36:H40)</f>
        <v>247678.40000000002</v>
      </c>
      <c r="I41" s="772">
        <f>SUM(I36:I40)</f>
        <v>11.95</v>
      </c>
      <c r="J41" s="772" t="e">
        <f>SUM(J36:J40)</f>
        <v>#REF!</v>
      </c>
      <c r="K41" s="772"/>
      <c r="L41" s="735"/>
      <c r="M41" s="735"/>
      <c r="N41" s="735"/>
      <c r="O41" s="538"/>
    </row>
    <row r="42" spans="1:16" s="724" customFormat="1" ht="12" customHeight="1">
      <c r="A42" s="752" t="s">
        <v>482</v>
      </c>
      <c r="B42" s="752"/>
      <c r="C42" s="752"/>
      <c r="D42" s="765"/>
      <c r="E42" s="765"/>
      <c r="F42" s="765"/>
      <c r="G42" s="765"/>
      <c r="H42" s="765"/>
      <c r="I42" s="754"/>
      <c r="J42" s="754"/>
      <c r="K42" s="772"/>
      <c r="N42" s="735"/>
      <c r="O42" s="538"/>
    </row>
    <row r="43" spans="1:16" s="724" customFormat="1" ht="12" customHeight="1">
      <c r="A43" s="737" t="s">
        <v>483</v>
      </c>
      <c r="B43" s="737"/>
      <c r="C43" s="755">
        <v>377500</v>
      </c>
      <c r="D43" s="738">
        <v>313900</v>
      </c>
      <c r="E43" s="738">
        <v>0</v>
      </c>
      <c r="F43" s="738">
        <v>95200</v>
      </c>
      <c r="G43" s="753">
        <f t="shared" ref="G43:G50" si="3">C43+D43+E43-F43</f>
        <v>596200</v>
      </c>
      <c r="H43" s="756">
        <v>87993.2</v>
      </c>
      <c r="I43" s="757">
        <f t="shared" ref="I43:I50" si="4">ROUND(H43/$O$13*100,4)</f>
        <v>4.6341999999999999</v>
      </c>
      <c r="J43" s="758">
        <v>5.08</v>
      </c>
      <c r="K43" s="759">
        <f t="shared" ref="K43:K50" si="5">G43/L43*100</f>
        <v>0.13608171841857614</v>
      </c>
      <c r="L43" s="760">
        <v>438119100</v>
      </c>
      <c r="M43" s="735">
        <v>4.3064999999999998</v>
      </c>
      <c r="N43" s="736">
        <v>5.0758801513647507</v>
      </c>
      <c r="O43" s="538"/>
      <c r="P43" s="724">
        <v>8.616378514426784E-2</v>
      </c>
    </row>
    <row r="44" spans="1:16" s="724" customFormat="1" ht="12" customHeight="1">
      <c r="A44" s="737" t="s">
        <v>336</v>
      </c>
      <c r="B44" s="737"/>
      <c r="C44" s="755">
        <v>58300</v>
      </c>
      <c r="D44" s="738">
        <v>41200</v>
      </c>
      <c r="E44" s="738">
        <v>0</v>
      </c>
      <c r="F44" s="738">
        <v>98700</v>
      </c>
      <c r="G44" s="753">
        <f t="shared" si="3"/>
        <v>800</v>
      </c>
      <c r="H44" s="761">
        <v>192.70000000000002</v>
      </c>
      <c r="I44" s="762">
        <f t="shared" si="4"/>
        <v>1.01E-2</v>
      </c>
      <c r="J44" s="763">
        <v>1.1000000000000001</v>
      </c>
      <c r="K44" s="759">
        <f t="shared" si="5"/>
        <v>5.1777053186683462E-4</v>
      </c>
      <c r="L44" s="760">
        <v>154508600</v>
      </c>
      <c r="M44" s="735">
        <v>0.93100000000000005</v>
      </c>
      <c r="N44" s="736">
        <v>1.0972814242903128</v>
      </c>
      <c r="O44" s="538"/>
      <c r="P44" s="724">
        <v>3.7732527509795576E-2</v>
      </c>
    </row>
    <row r="45" spans="1:16" s="724" customFormat="1" ht="12" customHeight="1">
      <c r="A45" s="764" t="s">
        <v>125</v>
      </c>
      <c r="B45" s="764"/>
      <c r="C45" s="755">
        <v>142600</v>
      </c>
      <c r="D45" s="738">
        <v>75400</v>
      </c>
      <c r="E45" s="738">
        <v>0</v>
      </c>
      <c r="F45" s="738">
        <v>114600</v>
      </c>
      <c r="G45" s="753">
        <f t="shared" si="3"/>
        <v>103400</v>
      </c>
      <c r="H45" s="761">
        <v>51187.1</v>
      </c>
      <c r="I45" s="762">
        <f t="shared" si="4"/>
        <v>2.6958000000000002</v>
      </c>
      <c r="J45" s="763">
        <v>6.98</v>
      </c>
      <c r="K45" s="759">
        <f t="shared" si="5"/>
        <v>3.1975260919984538E-2</v>
      </c>
      <c r="L45" s="760">
        <v>323375000</v>
      </c>
      <c r="M45" s="735">
        <v>5.9207000000000001</v>
      </c>
      <c r="N45" s="735">
        <v>6.9784875956624841</v>
      </c>
      <c r="O45" s="538"/>
      <c r="P45" s="724">
        <v>4.4097410127560882E-2</v>
      </c>
    </row>
    <row r="46" spans="1:16" s="724" customFormat="1" ht="12" customHeight="1">
      <c r="A46" s="737" t="s">
        <v>171</v>
      </c>
      <c r="B46" s="752"/>
      <c r="C46" s="755">
        <v>375500</v>
      </c>
      <c r="D46" s="765">
        <v>485000</v>
      </c>
      <c r="E46" s="765">
        <v>0</v>
      </c>
      <c r="F46" s="765">
        <v>358500</v>
      </c>
      <c r="G46" s="753">
        <f t="shared" si="3"/>
        <v>502000</v>
      </c>
      <c r="H46" s="761">
        <v>37439.199999999997</v>
      </c>
      <c r="I46" s="762">
        <f t="shared" si="4"/>
        <v>1.9717</v>
      </c>
      <c r="J46" s="763">
        <v>2.78</v>
      </c>
      <c r="K46" s="759">
        <f t="shared" si="5"/>
        <v>9.5123697757525147E-2</v>
      </c>
      <c r="L46" s="760">
        <v>527733900</v>
      </c>
      <c r="M46" s="724">
        <v>2.3571</v>
      </c>
      <c r="N46" s="724">
        <v>2.778191119658393</v>
      </c>
      <c r="O46" s="538"/>
      <c r="P46" s="724">
        <v>7.1153283880379864E-2</v>
      </c>
    </row>
    <row r="47" spans="1:16" s="724" customFormat="1" ht="12" customHeight="1">
      <c r="A47" s="737" t="s">
        <v>484</v>
      </c>
      <c r="B47" s="737"/>
      <c r="C47" s="755">
        <v>47000</v>
      </c>
      <c r="D47" s="738">
        <v>393500</v>
      </c>
      <c r="E47" s="738">
        <v>0</v>
      </c>
      <c r="F47" s="738">
        <v>62500</v>
      </c>
      <c r="G47" s="753">
        <f t="shared" si="3"/>
        <v>378000</v>
      </c>
      <c r="H47" s="761">
        <v>34345.100000000006</v>
      </c>
      <c r="I47" s="762">
        <f t="shared" si="4"/>
        <v>1.8088</v>
      </c>
      <c r="J47" s="763">
        <v>0.38</v>
      </c>
      <c r="K47" s="759">
        <f t="shared" si="5"/>
        <v>0.16641074044855181</v>
      </c>
      <c r="L47" s="760">
        <v>227148800</v>
      </c>
      <c r="M47" s="735">
        <v>0.32029999999999997</v>
      </c>
      <c r="N47" s="736">
        <v>0.37756426315164915</v>
      </c>
      <c r="O47" s="538"/>
      <c r="P47" s="724">
        <v>2.0691282542544799E-2</v>
      </c>
    </row>
    <row r="48" spans="1:16" s="724" customFormat="1" ht="12" customHeight="1">
      <c r="A48" s="737" t="s">
        <v>485</v>
      </c>
      <c r="B48" s="737"/>
      <c r="C48" s="755">
        <v>63900</v>
      </c>
      <c r="D48" s="738">
        <v>59000</v>
      </c>
      <c r="E48" s="738">
        <v>0</v>
      </c>
      <c r="F48" s="738">
        <v>1300</v>
      </c>
      <c r="G48" s="753">
        <f t="shared" si="3"/>
        <v>121600</v>
      </c>
      <c r="H48" s="761">
        <v>20398.399999999998</v>
      </c>
      <c r="I48" s="762">
        <f t="shared" si="4"/>
        <v>1.0743</v>
      </c>
      <c r="J48" s="763">
        <v>1.1499999999999999</v>
      </c>
      <c r="K48" s="759">
        <f t="shared" si="5"/>
        <v>0.10618000829531314</v>
      </c>
      <c r="L48" s="760">
        <v>114522500</v>
      </c>
      <c r="M48" s="735">
        <v>0.97309999999999997</v>
      </c>
      <c r="N48" s="736">
        <v>1.1470080221810766</v>
      </c>
      <c r="O48" s="538"/>
      <c r="P48" s="724">
        <v>5.5796895806500907E-2</v>
      </c>
    </row>
    <row r="49" spans="1:16" s="724" customFormat="1" ht="12" customHeight="1">
      <c r="A49" s="737" t="s">
        <v>486</v>
      </c>
      <c r="B49" s="737"/>
      <c r="C49" s="755">
        <v>225000</v>
      </c>
      <c r="D49" s="738">
        <v>412500</v>
      </c>
      <c r="E49" s="738">
        <v>0</v>
      </c>
      <c r="F49" s="738">
        <v>0</v>
      </c>
      <c r="G49" s="753">
        <f t="shared" si="3"/>
        <v>637500</v>
      </c>
      <c r="H49" s="761">
        <v>49763.3</v>
      </c>
      <c r="I49" s="762">
        <f t="shared" si="4"/>
        <v>2.6208</v>
      </c>
      <c r="J49" s="763">
        <v>1.47</v>
      </c>
      <c r="K49" s="759">
        <f t="shared" si="5"/>
        <v>1.2709330143540671</v>
      </c>
      <c r="L49" s="760">
        <v>50160000</v>
      </c>
      <c r="M49" s="735">
        <v>1.25</v>
      </c>
      <c r="N49" s="736">
        <v>1.4733388208392115</v>
      </c>
      <c r="O49" s="538"/>
      <c r="P49" s="724">
        <v>0.44856459330143539</v>
      </c>
    </row>
    <row r="50" spans="1:16" s="724" customFormat="1" ht="12" customHeight="1">
      <c r="A50" s="737" t="s">
        <v>642</v>
      </c>
      <c r="B50" s="737"/>
      <c r="C50" s="755">
        <v>0</v>
      </c>
      <c r="D50" s="738">
        <v>2165000</v>
      </c>
      <c r="E50" s="738">
        <v>0</v>
      </c>
      <c r="F50" s="738">
        <v>319500</v>
      </c>
      <c r="G50" s="753">
        <f t="shared" si="3"/>
        <v>1845500</v>
      </c>
      <c r="H50" s="769">
        <v>67951.3</v>
      </c>
      <c r="I50" s="770">
        <f t="shared" si="4"/>
        <v>3.5787</v>
      </c>
      <c r="J50" s="771">
        <v>1.47</v>
      </c>
      <c r="K50" s="759">
        <f t="shared" si="5"/>
        <v>0.13864308018349708</v>
      </c>
      <c r="L50" s="760">
        <v>1331115839</v>
      </c>
      <c r="M50" s="735"/>
      <c r="N50" s="736"/>
      <c r="O50" s="538"/>
    </row>
    <row r="51" spans="1:16" s="724" customFormat="1" ht="12" customHeight="1">
      <c r="A51" s="737"/>
      <c r="B51" s="737"/>
      <c r="C51" s="737"/>
      <c r="D51" s="738"/>
      <c r="E51" s="738"/>
      <c r="F51" s="738"/>
      <c r="G51" s="738"/>
      <c r="H51" s="738">
        <f>SUM(H43:H50)</f>
        <v>349270.3</v>
      </c>
      <c r="I51" s="738">
        <f>SUM(I43:I50)</f>
        <v>18.394400000000001</v>
      </c>
      <c r="J51" s="738">
        <f>SUM(J43:J50)</f>
        <v>20.409999999999997</v>
      </c>
      <c r="K51" s="772"/>
      <c r="L51" s="735"/>
      <c r="M51" s="735"/>
      <c r="N51" s="736"/>
      <c r="O51" s="538"/>
    </row>
    <row r="52" spans="1:16" s="724" customFormat="1" ht="12" customHeight="1">
      <c r="A52" s="774" t="s">
        <v>487</v>
      </c>
      <c r="B52" s="764"/>
      <c r="C52" s="764"/>
      <c r="D52" s="738"/>
      <c r="E52" s="738"/>
      <c r="F52" s="765"/>
      <c r="G52" s="738"/>
      <c r="H52" s="738"/>
      <c r="I52" s="754"/>
      <c r="J52" s="754"/>
      <c r="K52" s="772"/>
      <c r="L52" s="735"/>
      <c r="M52" s="735"/>
      <c r="N52" s="735"/>
      <c r="O52" s="538"/>
    </row>
    <row r="53" spans="1:16" s="724" customFormat="1" ht="12" customHeight="1">
      <c r="A53" s="737" t="s">
        <v>520</v>
      </c>
      <c r="B53" s="752"/>
      <c r="C53" s="755">
        <v>19400</v>
      </c>
      <c r="D53" s="738">
        <v>0</v>
      </c>
      <c r="E53" s="738">
        <v>0</v>
      </c>
      <c r="F53" s="765">
        <v>0</v>
      </c>
      <c r="G53" s="753">
        <f>C53+D53+E53-F53</f>
        <v>19400</v>
      </c>
      <c r="H53" s="738">
        <v>4914.6000000000004</v>
      </c>
      <c r="I53" s="754">
        <f>ROUND(H53/$O$13*100,4)</f>
        <v>0.25879999999999997</v>
      </c>
      <c r="J53" s="772" t="e">
        <f>H53/#REF!*100</f>
        <v>#REF!</v>
      </c>
      <c r="K53" s="759">
        <f>G53/L53*100</f>
        <v>2.3941749969147229E-2</v>
      </c>
      <c r="L53" s="760">
        <v>81030000</v>
      </c>
      <c r="M53" s="735">
        <v>0.44240000000000002</v>
      </c>
      <c r="N53" s="735">
        <v>0.52147002371431317</v>
      </c>
      <c r="O53" s="538"/>
      <c r="P53" s="724">
        <v>2.3941749969147229E-2</v>
      </c>
    </row>
    <row r="54" spans="1:16" s="724" customFormat="1" ht="12" customHeight="1">
      <c r="A54" s="737" t="s">
        <v>641</v>
      </c>
      <c r="B54" s="752"/>
      <c r="C54" s="755">
        <v>0</v>
      </c>
      <c r="D54" s="738">
        <v>328500</v>
      </c>
      <c r="E54" s="738">
        <v>0</v>
      </c>
      <c r="F54" s="765">
        <v>0</v>
      </c>
      <c r="G54" s="753">
        <f>C54+D54+E54-F54</f>
        <v>328500</v>
      </c>
      <c r="H54" s="738">
        <v>4398.6000000000004</v>
      </c>
      <c r="I54" s="754">
        <f>ROUND(H54/$O$13*100,4)</f>
        <v>0.23169999999999999</v>
      </c>
      <c r="J54" s="772" t="e">
        <f>H54/#REF!*100</f>
        <v>#REF!</v>
      </c>
      <c r="K54" s="759">
        <f>G54/L54*100</f>
        <v>1.4296924268082345</v>
      </c>
      <c r="L54" s="760">
        <v>22976970</v>
      </c>
      <c r="M54" s="735"/>
      <c r="N54" s="735"/>
      <c r="O54" s="538"/>
    </row>
    <row r="55" spans="1:16" s="724" customFormat="1" ht="12" customHeight="1">
      <c r="A55" s="737"/>
      <c r="B55" s="737"/>
      <c r="C55" s="737"/>
      <c r="D55" s="738"/>
      <c r="E55" s="738"/>
      <c r="F55" s="765"/>
      <c r="G55" s="738"/>
      <c r="H55" s="738"/>
      <c r="I55" s="754"/>
      <c r="J55" s="754"/>
      <c r="K55" s="772"/>
      <c r="L55" s="735"/>
      <c r="M55" s="735"/>
      <c r="N55" s="736"/>
      <c r="O55" s="538"/>
    </row>
    <row r="56" spans="1:16" s="724" customFormat="1" ht="12" customHeight="1">
      <c r="A56" s="774" t="s">
        <v>488</v>
      </c>
      <c r="B56" s="764"/>
      <c r="C56" s="764"/>
      <c r="D56" s="738"/>
      <c r="E56" s="738"/>
      <c r="F56" s="765"/>
      <c r="G56" s="738"/>
      <c r="H56" s="738"/>
      <c r="I56" s="754"/>
      <c r="J56" s="754"/>
      <c r="K56" s="772"/>
      <c r="L56" s="735"/>
      <c r="M56" s="735"/>
      <c r="N56" s="736"/>
      <c r="O56" s="538"/>
    </row>
    <row r="57" spans="1:16" s="724" customFormat="1" ht="12" customHeight="1">
      <c r="A57" s="764" t="s">
        <v>489</v>
      </c>
      <c r="B57" s="764"/>
      <c r="C57" s="773">
        <v>9000</v>
      </c>
      <c r="D57" s="738">
        <v>1000</v>
      </c>
      <c r="E57" s="738">
        <v>0</v>
      </c>
      <c r="F57" s="765">
        <v>0</v>
      </c>
      <c r="G57" s="753">
        <f t="shared" ref="G57:G62" si="6">C57+D57+E57-F57</f>
        <v>10000</v>
      </c>
      <c r="H57" s="756">
        <v>612.40000000000009</v>
      </c>
      <c r="I57" s="757">
        <f t="shared" ref="I57:I62" si="7">ROUND(H57/$O$13*100,4)</f>
        <v>3.2300000000000002E-2</v>
      </c>
      <c r="J57" s="758">
        <v>0.05</v>
      </c>
      <c r="K57" s="759">
        <f t="shared" ref="K57:K62" si="8">G57/L57*100</f>
        <v>7.4994562894190195E-2</v>
      </c>
      <c r="L57" s="760">
        <v>13334299.999999996</v>
      </c>
      <c r="M57" s="735">
        <v>4.1799999999999997E-2</v>
      </c>
      <c r="N57" s="735">
        <v>4.9255702077403971E-2</v>
      </c>
      <c r="O57" s="538"/>
      <c r="P57" s="724">
        <v>6.7495106604771163E-2</v>
      </c>
    </row>
    <row r="58" spans="1:16" s="724" customFormat="1" ht="12" customHeight="1">
      <c r="A58" s="775" t="s">
        <v>337</v>
      </c>
      <c r="B58" s="776"/>
      <c r="C58" s="773">
        <v>49150</v>
      </c>
      <c r="D58" s="738">
        <v>6000</v>
      </c>
      <c r="E58" s="738">
        <v>0</v>
      </c>
      <c r="F58" s="765">
        <v>29500</v>
      </c>
      <c r="G58" s="753">
        <f t="shared" si="6"/>
        <v>25650</v>
      </c>
      <c r="H58" s="761">
        <v>25949.599999999999</v>
      </c>
      <c r="I58" s="762">
        <f t="shared" si="7"/>
        <v>1.3666</v>
      </c>
      <c r="J58" s="763">
        <v>5.78</v>
      </c>
      <c r="K58" s="759">
        <f t="shared" si="8"/>
        <v>3.2633587786259542E-2</v>
      </c>
      <c r="L58" s="760">
        <v>78600000</v>
      </c>
      <c r="M58" s="735">
        <v>4.9051</v>
      </c>
      <c r="N58" s="735">
        <v>5.7814704381026285</v>
      </c>
      <c r="O58" s="538"/>
      <c r="P58" s="724">
        <v>6.2531806615776078E-2</v>
      </c>
    </row>
    <row r="59" spans="1:16" s="724" customFormat="1" ht="12" customHeight="1">
      <c r="A59" s="764" t="s">
        <v>0</v>
      </c>
      <c r="B59" s="764"/>
      <c r="C59" s="773">
        <v>40300</v>
      </c>
      <c r="D59" s="738">
        <v>99800</v>
      </c>
      <c r="E59" s="738">
        <v>0</v>
      </c>
      <c r="F59" s="765">
        <v>34700</v>
      </c>
      <c r="G59" s="753">
        <f t="shared" si="6"/>
        <v>105400</v>
      </c>
      <c r="H59" s="761">
        <v>52204.6</v>
      </c>
      <c r="I59" s="762">
        <f t="shared" si="7"/>
        <v>2.7494000000000001</v>
      </c>
      <c r="J59" s="763">
        <v>1.65</v>
      </c>
      <c r="K59" s="759">
        <f t="shared" si="8"/>
        <v>0.12806819935382668</v>
      </c>
      <c r="L59" s="760">
        <v>82299900</v>
      </c>
      <c r="M59" s="735">
        <v>1.4036999999999999</v>
      </c>
      <c r="N59" s="736">
        <v>1.6544453506572763</v>
      </c>
      <c r="O59" s="538"/>
      <c r="P59" s="724">
        <v>4.8967252694110203E-2</v>
      </c>
    </row>
    <row r="60" spans="1:16" s="724" customFormat="1" ht="12" customHeight="1">
      <c r="A60" s="764" t="s">
        <v>490</v>
      </c>
      <c r="B60" s="764"/>
      <c r="C60" s="773">
        <v>78500</v>
      </c>
      <c r="D60" s="738">
        <v>76000</v>
      </c>
      <c r="E60" s="738">
        <v>0</v>
      </c>
      <c r="F60" s="765">
        <v>154500</v>
      </c>
      <c r="G60" s="753">
        <f t="shared" si="6"/>
        <v>0</v>
      </c>
      <c r="H60" s="761">
        <v>0</v>
      </c>
      <c r="I60" s="762">
        <f t="shared" si="7"/>
        <v>0</v>
      </c>
      <c r="J60" s="763">
        <v>0.73</v>
      </c>
      <c r="K60" s="759">
        <f t="shared" si="8"/>
        <v>0</v>
      </c>
      <c r="L60" s="760">
        <v>45002500</v>
      </c>
      <c r="M60" s="735">
        <v>0.62029999999999996</v>
      </c>
      <c r="N60" s="735">
        <v>0.73111283982196373</v>
      </c>
      <c r="O60" s="538"/>
      <c r="P60" s="724">
        <v>0.17443475362479863</v>
      </c>
    </row>
    <row r="61" spans="1:16" s="724" customFormat="1" ht="12" customHeight="1">
      <c r="A61" s="737" t="s">
        <v>491</v>
      </c>
      <c r="B61" s="752"/>
      <c r="C61" s="773">
        <v>83000</v>
      </c>
      <c r="D61" s="765">
        <v>0</v>
      </c>
      <c r="E61" s="765">
        <v>0</v>
      </c>
      <c r="F61" s="765">
        <v>0</v>
      </c>
      <c r="G61" s="753">
        <f t="shared" si="6"/>
        <v>83000</v>
      </c>
      <c r="H61" s="761">
        <v>2656</v>
      </c>
      <c r="I61" s="762">
        <f t="shared" si="7"/>
        <v>0.1399</v>
      </c>
      <c r="J61" s="763">
        <v>0.3</v>
      </c>
      <c r="K61" s="759">
        <f t="shared" si="8"/>
        <v>0.46181923393648039</v>
      </c>
      <c r="L61" s="407">
        <v>17972400</v>
      </c>
      <c r="M61" s="724">
        <v>0.25540000000000002</v>
      </c>
      <c r="N61" s="724">
        <v>0.30099660389939409</v>
      </c>
      <c r="O61" s="538"/>
      <c r="P61" s="724">
        <v>0.46181923393648039</v>
      </c>
    </row>
    <row r="62" spans="1:16" s="724" customFormat="1" ht="12" customHeight="1">
      <c r="A62" s="737" t="s">
        <v>492</v>
      </c>
      <c r="B62" s="737"/>
      <c r="C62" s="773">
        <v>188900</v>
      </c>
      <c r="D62" s="765">
        <v>16000</v>
      </c>
      <c r="E62" s="765">
        <v>0</v>
      </c>
      <c r="F62" s="765">
        <v>204900</v>
      </c>
      <c r="G62" s="753">
        <f t="shared" si="6"/>
        <v>0</v>
      </c>
      <c r="H62" s="769">
        <v>0</v>
      </c>
      <c r="I62" s="770">
        <f t="shared" si="7"/>
        <v>0</v>
      </c>
      <c r="J62" s="771">
        <v>3.89</v>
      </c>
      <c r="K62" s="759">
        <f t="shared" si="8"/>
        <v>0</v>
      </c>
      <c r="L62" s="760">
        <v>142800000</v>
      </c>
      <c r="M62" s="735">
        <v>3.3007</v>
      </c>
      <c r="N62" s="736">
        <v>3.8904470308135384</v>
      </c>
      <c r="O62" s="538"/>
      <c r="P62" s="724">
        <v>0.13228291316526611</v>
      </c>
    </row>
    <row r="63" spans="1:16" s="724" customFormat="1" ht="12" customHeight="1">
      <c r="A63" s="737"/>
      <c r="B63" s="737"/>
      <c r="C63" s="737"/>
      <c r="D63" s="765"/>
      <c r="E63" s="765"/>
      <c r="F63" s="765"/>
      <c r="G63" s="765"/>
      <c r="H63" s="738">
        <f>SUM(H57:H62)</f>
        <v>81422.600000000006</v>
      </c>
      <c r="I63" s="772">
        <f>SUM(I57:I62)</f>
        <v>4.2881999999999998</v>
      </c>
      <c r="J63" s="772">
        <f>SUM(J57:J62)</f>
        <v>12.400000000000002</v>
      </c>
      <c r="K63" s="772"/>
      <c r="L63" s="777"/>
      <c r="M63" s="735"/>
      <c r="N63" s="736"/>
      <c r="O63" s="538"/>
    </row>
    <row r="64" spans="1:16" s="724" customFormat="1" ht="12" customHeight="1">
      <c r="A64" s="752" t="s">
        <v>493</v>
      </c>
      <c r="B64" s="737"/>
      <c r="C64" s="737"/>
      <c r="D64" s="738"/>
      <c r="E64" s="738"/>
      <c r="F64" s="738"/>
      <c r="G64" s="738"/>
      <c r="H64" s="765"/>
      <c r="I64" s="754"/>
      <c r="J64" s="754"/>
      <c r="K64" s="772"/>
      <c r="L64" s="735"/>
      <c r="M64" s="735"/>
      <c r="N64" s="538"/>
      <c r="O64" s="538"/>
    </row>
    <row r="65" spans="1:16" s="724" customFormat="1" ht="12" customHeight="1">
      <c r="A65" s="737" t="s">
        <v>377</v>
      </c>
      <c r="B65" s="752"/>
      <c r="C65" s="773">
        <v>157500</v>
      </c>
      <c r="D65" s="738">
        <v>544000</v>
      </c>
      <c r="E65" s="738">
        <v>0</v>
      </c>
      <c r="F65" s="738">
        <v>24000</v>
      </c>
      <c r="G65" s="753">
        <f>C65+D65+E65-F65</f>
        <v>677500</v>
      </c>
      <c r="H65" s="765">
        <v>47323.4</v>
      </c>
      <c r="I65" s="754">
        <f>ROUND(H65/$O$13*100,4)</f>
        <v>2.4923000000000002</v>
      </c>
      <c r="J65" s="772" t="e">
        <f>H65/#REF!*100</f>
        <v>#REF!</v>
      </c>
      <c r="K65" s="759">
        <f>G65/L65*100</f>
        <v>0.92229573361648831</v>
      </c>
      <c r="L65" s="407">
        <v>73458000</v>
      </c>
      <c r="M65" s="735">
        <v>0.73609999999999998</v>
      </c>
      <c r="N65" s="538">
        <v>0.86757844653354754</v>
      </c>
      <c r="O65" s="538"/>
      <c r="P65" s="724">
        <v>0.21440823327615782</v>
      </c>
    </row>
    <row r="66" spans="1:16" s="724" customFormat="1" ht="12" customHeight="1">
      <c r="A66" s="737"/>
      <c r="B66" s="752"/>
      <c r="C66" s="752"/>
      <c r="D66" s="738"/>
      <c r="E66" s="738"/>
      <c r="F66" s="738"/>
      <c r="G66" s="738"/>
      <c r="H66" s="765"/>
      <c r="I66" s="754"/>
      <c r="J66" s="754"/>
      <c r="K66" s="754"/>
      <c r="L66" s="735"/>
      <c r="M66" s="735"/>
      <c r="N66" s="538"/>
      <c r="O66" s="538"/>
    </row>
    <row r="67" spans="1:16" s="724" customFormat="1" ht="12" customHeight="1">
      <c r="A67" s="752" t="s">
        <v>494</v>
      </c>
      <c r="B67" s="752"/>
      <c r="C67" s="752"/>
      <c r="D67" s="738"/>
      <c r="E67" s="738"/>
      <c r="F67" s="738"/>
      <c r="G67" s="738"/>
      <c r="H67" s="765"/>
      <c r="I67" s="754"/>
      <c r="J67" s="754"/>
      <c r="K67" s="754"/>
      <c r="L67" s="735"/>
      <c r="M67" s="735"/>
      <c r="N67" s="538"/>
      <c r="O67" s="538"/>
    </row>
    <row r="68" spans="1:16" s="724" customFormat="1" ht="12" customHeight="1">
      <c r="A68" s="737" t="s">
        <v>495</v>
      </c>
      <c r="B68" s="737"/>
      <c r="C68" s="773">
        <v>345000</v>
      </c>
      <c r="D68" s="738">
        <v>1008000</v>
      </c>
      <c r="E68" s="738">
        <v>0</v>
      </c>
      <c r="F68" s="738">
        <v>541000</v>
      </c>
      <c r="G68" s="753">
        <f>C68+D68+E68-F68</f>
        <v>812000</v>
      </c>
      <c r="H68" s="765">
        <v>50782.5</v>
      </c>
      <c r="I68" s="754">
        <f>ROUND(H68/$O$13*100,4)</f>
        <v>2.6745000000000001</v>
      </c>
      <c r="J68" s="772" t="e">
        <f>H68/#REF!*100</f>
        <v>#REF!</v>
      </c>
      <c r="K68" s="759">
        <f>G68/L68*100</f>
        <v>0.20394579864119858</v>
      </c>
      <c r="L68" s="407">
        <v>398145000</v>
      </c>
      <c r="M68" s="735">
        <v>2.2808999999999999</v>
      </c>
      <c r="N68" s="736">
        <v>2.6883441984693999</v>
      </c>
      <c r="O68" s="538"/>
      <c r="P68" s="724">
        <v>8.6651826180957639E-2</v>
      </c>
    </row>
    <row r="69" spans="1:16" s="724" customFormat="1" ht="12" customHeight="1">
      <c r="A69" s="737"/>
      <c r="B69" s="737"/>
      <c r="C69" s="737"/>
      <c r="D69" s="738"/>
      <c r="E69" s="738"/>
      <c r="F69" s="738"/>
      <c r="G69" s="738"/>
      <c r="H69" s="765"/>
      <c r="I69" s="739"/>
      <c r="J69" s="739"/>
      <c r="K69" s="739"/>
      <c r="L69" s="735"/>
      <c r="M69" s="735"/>
      <c r="N69" s="736"/>
      <c r="O69" s="538"/>
    </row>
    <row r="70" spans="1:16" s="724" customFormat="1" ht="12" customHeight="1">
      <c r="A70" s="778" t="s">
        <v>448</v>
      </c>
      <c r="B70" s="752"/>
      <c r="C70" s="752"/>
      <c r="D70" s="738"/>
      <c r="E70" s="738"/>
      <c r="F70" s="738"/>
      <c r="G70" s="779">
        <f>SUM(G22:G69)</f>
        <v>10727898</v>
      </c>
      <c r="H70" s="779">
        <f>H31+H33+H41+H51+H53+H63+H65+H68+H54</f>
        <v>1227008.3999999999</v>
      </c>
      <c r="I70" s="780">
        <f>I31+I33+I41+I51+I53+I63+I65+I68</f>
        <v>63.294900000000005</v>
      </c>
      <c r="J70" s="780" t="e">
        <f>J31+J33+J41+J51+J53+J63+J65+J68</f>
        <v>#REF!</v>
      </c>
      <c r="K70" s="739"/>
      <c r="L70" s="735"/>
      <c r="M70" s="735"/>
      <c r="N70" s="538"/>
      <c r="O70" s="538"/>
    </row>
    <row r="71" spans="1:16" s="724" customFormat="1" ht="12" customHeight="1">
      <c r="A71" s="778"/>
      <c r="B71" s="752"/>
      <c r="C71" s="752"/>
      <c r="D71" s="738"/>
      <c r="E71" s="738"/>
      <c r="F71" s="738"/>
      <c r="G71" s="738"/>
      <c r="H71" s="738"/>
      <c r="I71" s="781"/>
      <c r="J71" s="781"/>
      <c r="K71" s="739"/>
      <c r="L71" s="735"/>
      <c r="M71" s="735"/>
      <c r="N71" s="538"/>
      <c r="O71" s="538"/>
    </row>
    <row r="72" spans="1:16" s="724" customFormat="1" ht="12" customHeight="1">
      <c r="A72" s="782" t="s">
        <v>552</v>
      </c>
      <c r="B72" s="752"/>
      <c r="C72" s="752"/>
      <c r="D72" s="738"/>
      <c r="E72" s="738"/>
      <c r="F72" s="738"/>
      <c r="G72" s="738"/>
      <c r="H72" s="765"/>
      <c r="I72" s="739"/>
      <c r="J72" s="739"/>
      <c r="K72" s="739"/>
      <c r="L72" s="735"/>
      <c r="M72" s="735"/>
      <c r="N72" s="538"/>
      <c r="O72" s="538"/>
    </row>
    <row r="73" spans="1:16" s="724" customFormat="1">
      <c r="A73" s="732"/>
      <c r="B73" s="732"/>
      <c r="C73" s="732"/>
      <c r="D73" s="733"/>
      <c r="E73" s="733"/>
      <c r="F73" s="733"/>
      <c r="G73" s="733"/>
      <c r="H73" s="733"/>
      <c r="I73" s="734"/>
      <c r="J73" s="734"/>
      <c r="K73" s="734"/>
      <c r="L73" s="735"/>
      <c r="M73" s="735"/>
      <c r="N73" s="736"/>
      <c r="O73" s="538"/>
    </row>
    <row r="74" spans="1:16" s="724" customFormat="1">
      <c r="A74" s="737"/>
      <c r="B74" s="737"/>
      <c r="C74" s="737"/>
      <c r="D74" s="738"/>
      <c r="E74" s="738"/>
      <c r="F74" s="738"/>
      <c r="G74" s="738"/>
      <c r="H74" s="738"/>
      <c r="I74" s="739"/>
      <c r="J74" s="739"/>
      <c r="K74" s="739"/>
      <c r="L74" s="735"/>
      <c r="M74" s="735"/>
      <c r="N74" s="736"/>
      <c r="O74" s="538"/>
    </row>
    <row r="75" spans="1:16" s="724" customFormat="1" ht="9.75" customHeight="1">
      <c r="A75" s="2564" t="s">
        <v>116</v>
      </c>
      <c r="B75" s="2565"/>
      <c r="C75" s="2570" t="s">
        <v>117</v>
      </c>
      <c r="D75" s="2571"/>
      <c r="E75" s="2571"/>
      <c r="F75" s="2571"/>
      <c r="G75" s="2572"/>
      <c r="H75" s="2573" t="s">
        <v>637</v>
      </c>
      <c r="I75" s="2576" t="s">
        <v>310</v>
      </c>
      <c r="J75" s="2577"/>
      <c r="K75" s="2578"/>
      <c r="M75" s="747"/>
      <c r="N75" s="748" t="s">
        <v>167</v>
      </c>
      <c r="O75" s="735">
        <v>1251504</v>
      </c>
      <c r="P75" s="747"/>
    </row>
    <row r="76" spans="1:16" s="724" customFormat="1" ht="12.75" customHeight="1">
      <c r="A76" s="2566"/>
      <c r="B76" s="2567"/>
      <c r="C76" s="2584" t="s">
        <v>638</v>
      </c>
      <c r="D76" s="2580" t="s">
        <v>130</v>
      </c>
      <c r="E76" s="2580" t="s">
        <v>119</v>
      </c>
      <c r="F76" s="2580" t="s">
        <v>120</v>
      </c>
      <c r="G76" s="2584" t="s">
        <v>636</v>
      </c>
      <c r="H76" s="2574"/>
      <c r="I76" s="2582" t="s">
        <v>121</v>
      </c>
      <c r="J76" s="2582" t="s">
        <v>296</v>
      </c>
      <c r="K76" s="2582" t="s">
        <v>122</v>
      </c>
      <c r="M76" s="747"/>
      <c r="N76" s="748"/>
      <c r="O76" s="735"/>
      <c r="P76" s="747"/>
    </row>
    <row r="77" spans="1:16" s="724" customFormat="1">
      <c r="A77" s="2566"/>
      <c r="B77" s="2567"/>
      <c r="C77" s="2584"/>
      <c r="D77" s="2580"/>
      <c r="E77" s="2580"/>
      <c r="F77" s="2580"/>
      <c r="G77" s="2584"/>
      <c r="H77" s="2574"/>
      <c r="I77" s="2582"/>
      <c r="J77" s="2582"/>
      <c r="K77" s="2582"/>
      <c r="N77" s="724" t="s">
        <v>168</v>
      </c>
      <c r="O77" s="538">
        <v>946823</v>
      </c>
    </row>
    <row r="78" spans="1:16" s="724" customFormat="1">
      <c r="A78" s="2566"/>
      <c r="B78" s="2567"/>
      <c r="C78" s="2584"/>
      <c r="D78" s="2580"/>
      <c r="E78" s="2580"/>
      <c r="F78" s="2580"/>
      <c r="G78" s="2584"/>
      <c r="H78" s="2574"/>
      <c r="I78" s="2582"/>
      <c r="J78" s="2582"/>
      <c r="K78" s="2582"/>
      <c r="O78" s="538"/>
    </row>
    <row r="79" spans="1:16" s="724" customFormat="1">
      <c r="A79" s="2566"/>
      <c r="B79" s="2567"/>
      <c r="C79" s="2584"/>
      <c r="D79" s="2580"/>
      <c r="E79" s="2580"/>
      <c r="F79" s="2580"/>
      <c r="G79" s="2584"/>
      <c r="H79" s="2574"/>
      <c r="I79" s="2582"/>
      <c r="J79" s="2582"/>
      <c r="K79" s="2582"/>
      <c r="O79" s="538"/>
    </row>
    <row r="80" spans="1:16" s="724" customFormat="1">
      <c r="A80" s="2566"/>
      <c r="B80" s="2567"/>
      <c r="C80" s="2584"/>
      <c r="D80" s="2580"/>
      <c r="E80" s="2580"/>
      <c r="F80" s="2580"/>
      <c r="G80" s="2584"/>
      <c r="H80" s="2574"/>
      <c r="I80" s="2582"/>
      <c r="J80" s="2582"/>
      <c r="K80" s="2582"/>
      <c r="O80" s="538"/>
    </row>
    <row r="81" spans="1:17" s="724" customFormat="1">
      <c r="A81" s="2568"/>
      <c r="B81" s="2569"/>
      <c r="C81" s="2585"/>
      <c r="D81" s="2581"/>
      <c r="E81" s="2581"/>
      <c r="F81" s="2581"/>
      <c r="G81" s="2585"/>
      <c r="H81" s="2575"/>
      <c r="I81" s="2583"/>
      <c r="J81" s="2583"/>
      <c r="K81" s="2583"/>
      <c r="O81" s="538"/>
    </row>
    <row r="82" spans="1:17" s="724" customFormat="1" ht="22.8">
      <c r="A82" s="749"/>
      <c r="B82" s="749"/>
      <c r="C82" s="749"/>
      <c r="D82" s="414"/>
      <c r="E82" s="750"/>
      <c r="F82" s="750"/>
      <c r="G82" s="750"/>
      <c r="H82" s="751" t="s">
        <v>52</v>
      </c>
      <c r="I82" s="2586" t="s">
        <v>2</v>
      </c>
      <c r="J82" s="2587"/>
      <c r="K82" s="2587"/>
      <c r="L82" s="783">
        <f>345083-C87-D87+F87</f>
        <v>80583</v>
      </c>
      <c r="O82" s="538"/>
    </row>
    <row r="83" spans="1:17" s="724" customFormat="1" ht="11.1" customHeight="1">
      <c r="A83" s="749"/>
      <c r="B83" s="749"/>
      <c r="C83" s="749"/>
      <c r="D83" s="414"/>
      <c r="E83" s="784"/>
      <c r="F83" s="784"/>
      <c r="G83" s="784"/>
      <c r="H83" s="785"/>
      <c r="I83" s="786"/>
      <c r="J83" s="787"/>
      <c r="K83" s="787"/>
      <c r="O83" s="538"/>
    </row>
    <row r="84" spans="1:17" s="724" customFormat="1" ht="12" customHeight="1">
      <c r="A84" s="778" t="s">
        <v>447</v>
      </c>
      <c r="B84" s="749"/>
      <c r="C84" s="749"/>
      <c r="D84" s="414"/>
      <c r="E84" s="784"/>
      <c r="F84" s="784"/>
      <c r="G84" s="788">
        <f>G70</f>
        <v>10727898</v>
      </c>
      <c r="H84" s="788">
        <f>H70</f>
        <v>1227008.3999999999</v>
      </c>
      <c r="I84" s="789">
        <f>I70</f>
        <v>63.294900000000005</v>
      </c>
      <c r="J84" s="789" t="e">
        <f>J70</f>
        <v>#REF!</v>
      </c>
      <c r="K84" s="787"/>
      <c r="L84" s="724">
        <v>80584</v>
      </c>
      <c r="M84" s="783">
        <f>C87+D87+L84-F87</f>
        <v>345084</v>
      </c>
      <c r="O84" s="538"/>
    </row>
    <row r="85" spans="1:17" s="724" customFormat="1" ht="12" customHeight="1">
      <c r="A85" s="790"/>
      <c r="B85" s="749"/>
      <c r="C85" s="749"/>
      <c r="D85" s="414"/>
      <c r="E85" s="784"/>
      <c r="F85" s="784"/>
      <c r="G85" s="738"/>
      <c r="H85" s="738"/>
      <c r="I85" s="781"/>
      <c r="J85" s="781"/>
      <c r="K85" s="787"/>
      <c r="L85" s="791"/>
      <c r="O85" s="538"/>
    </row>
    <row r="86" spans="1:17" s="724" customFormat="1" ht="12" customHeight="1">
      <c r="A86" s="752" t="s">
        <v>496</v>
      </c>
      <c r="B86" s="737"/>
      <c r="C86" s="737"/>
      <c r="D86" s="738"/>
      <c r="E86" s="738"/>
      <c r="F86" s="738"/>
      <c r="G86" s="738"/>
      <c r="H86" s="765"/>
      <c r="I86" s="739"/>
      <c r="J86" s="739"/>
      <c r="K86" s="739"/>
      <c r="L86" s="792"/>
      <c r="M86" s="735"/>
      <c r="N86" s="538"/>
      <c r="O86" s="538"/>
    </row>
    <row r="87" spans="1:17" s="724" customFormat="1" ht="12" customHeight="1">
      <c r="A87" s="775" t="s">
        <v>554</v>
      </c>
      <c r="B87" s="776"/>
      <c r="C87" s="793">
        <v>448500</v>
      </c>
      <c r="D87" s="765">
        <v>229000</v>
      </c>
      <c r="E87" s="765">
        <v>80583</v>
      </c>
      <c r="F87" s="765">
        <v>413000</v>
      </c>
      <c r="G87" s="753">
        <f>C87+D87+E87-F87</f>
        <v>345083</v>
      </c>
      <c r="H87" s="765">
        <v>24348</v>
      </c>
      <c r="I87" s="754">
        <f>ROUND(H87/$O$13*100,4)</f>
        <v>1.2823</v>
      </c>
      <c r="J87" s="772" t="e">
        <f>H87/#REF!*100</f>
        <v>#REF!</v>
      </c>
      <c r="K87" s="759">
        <f>G87/L87*100</f>
        <v>0.31545831009863701</v>
      </c>
      <c r="L87" s="407">
        <v>109391000</v>
      </c>
      <c r="M87" s="724">
        <v>2.0154999999999998</v>
      </c>
      <c r="N87" s="724">
        <v>2.3755751992360183</v>
      </c>
      <c r="O87" s="538"/>
      <c r="P87" s="724">
        <v>0.40999679132945915</v>
      </c>
    </row>
    <row r="88" spans="1:17" s="724" customFormat="1" ht="12" customHeight="1">
      <c r="A88" s="764"/>
      <c r="B88" s="764"/>
      <c r="C88" s="764"/>
      <c r="D88" s="765"/>
      <c r="E88" s="765"/>
      <c r="F88" s="765"/>
      <c r="G88" s="765"/>
      <c r="H88" s="765"/>
      <c r="I88" s="754"/>
      <c r="J88" s="754"/>
      <c r="K88" s="772"/>
      <c r="L88" s="791"/>
      <c r="O88" s="538"/>
    </row>
    <row r="89" spans="1:17" s="724" customFormat="1" ht="12" customHeight="1">
      <c r="A89" s="794" t="s">
        <v>497</v>
      </c>
      <c r="B89" s="795"/>
      <c r="C89" s="795"/>
      <c r="D89" s="738"/>
      <c r="E89" s="738"/>
      <c r="F89" s="738"/>
      <c r="G89" s="738"/>
      <c r="H89" s="738"/>
      <c r="I89" s="754"/>
      <c r="J89" s="754"/>
      <c r="K89" s="772"/>
      <c r="L89" s="792"/>
      <c r="M89" s="735"/>
      <c r="N89" s="736"/>
      <c r="O89" s="538"/>
    </row>
    <row r="90" spans="1:17" s="724" customFormat="1" ht="12" customHeight="1">
      <c r="A90" s="796" t="s">
        <v>338</v>
      </c>
      <c r="B90" s="796"/>
      <c r="C90" s="793">
        <v>816000</v>
      </c>
      <c r="D90" s="738">
        <v>77000</v>
      </c>
      <c r="E90" s="738">
        <v>0</v>
      </c>
      <c r="F90" s="738">
        <v>74000</v>
      </c>
      <c r="G90" s="753">
        <f>C90+D90+E90-F90</f>
        <v>819000</v>
      </c>
      <c r="H90" s="756">
        <v>58558.5</v>
      </c>
      <c r="I90" s="758">
        <v>4.24</v>
      </c>
      <c r="J90" s="758" t="e">
        <f>H90/#REF!*100</f>
        <v>#REF!</v>
      </c>
      <c r="K90" s="759">
        <f>G90/L90*100</f>
        <v>0.33356926740564441</v>
      </c>
      <c r="L90" s="760">
        <v>245526216</v>
      </c>
      <c r="M90" s="735">
        <v>4.2355</v>
      </c>
      <c r="N90" s="735">
        <v>4.9921548757494305</v>
      </c>
      <c r="O90" s="538"/>
      <c r="P90" s="724">
        <v>0.33234742361507652</v>
      </c>
    </row>
    <row r="91" spans="1:17" s="724" customFormat="1" ht="12" customHeight="1">
      <c r="A91" s="775" t="s">
        <v>578</v>
      </c>
      <c r="B91" s="776"/>
      <c r="C91" s="793">
        <v>60000</v>
      </c>
      <c r="D91" s="738">
        <v>562500</v>
      </c>
      <c r="E91" s="738">
        <v>0</v>
      </c>
      <c r="F91" s="738">
        <v>0</v>
      </c>
      <c r="G91" s="753">
        <f>C91+D91+E91-F91</f>
        <v>622500</v>
      </c>
      <c r="H91" s="761">
        <v>59056.600000000006</v>
      </c>
      <c r="I91" s="763">
        <f>ROUND(H91/$O$13*100,4)</f>
        <v>3.1101999999999999</v>
      </c>
      <c r="J91" s="763" t="e">
        <f>H91/#REF!*100</f>
        <v>#REF!</v>
      </c>
      <c r="K91" s="759">
        <f>G91/L91*100</f>
        <v>0.17704788227979651</v>
      </c>
      <c r="L91" s="760">
        <v>351599800</v>
      </c>
      <c r="M91" s="735">
        <v>0.54769999999999996</v>
      </c>
      <c r="N91" s="735">
        <v>0.64550398095320616</v>
      </c>
      <c r="O91" s="538"/>
      <c r="P91" s="724">
        <v>1.7064856123353879E-2</v>
      </c>
    </row>
    <row r="92" spans="1:17" s="724" customFormat="1" ht="12" customHeight="1">
      <c r="A92" s="775" t="s">
        <v>648</v>
      </c>
      <c r="B92" s="776"/>
      <c r="C92" s="793">
        <v>0</v>
      </c>
      <c r="D92" s="738">
        <v>10150</v>
      </c>
      <c r="E92" s="738">
        <v>0</v>
      </c>
      <c r="F92" s="738">
        <v>0</v>
      </c>
      <c r="G92" s="753">
        <f>C92+D92+E92-F92</f>
        <v>10150</v>
      </c>
      <c r="H92" s="769">
        <v>8627.5</v>
      </c>
      <c r="I92" s="771">
        <f>ROUND(H92/$O$13*100,4)</f>
        <v>0.45440000000000003</v>
      </c>
      <c r="J92" s="771" t="e">
        <f>H92/#REF!*100</f>
        <v>#REF!</v>
      </c>
      <c r="K92" s="759">
        <f>G92/L92*100</f>
        <v>8.4380819366852877E-2</v>
      </c>
      <c r="L92" s="760">
        <v>12028800</v>
      </c>
      <c r="M92" s="735"/>
      <c r="N92" s="735"/>
      <c r="O92" s="538"/>
    </row>
    <row r="93" spans="1:17" s="724" customFormat="1" ht="12" customHeight="1">
      <c r="A93" s="764"/>
      <c r="B93" s="764"/>
      <c r="C93" s="764"/>
      <c r="D93" s="738"/>
      <c r="E93" s="738"/>
      <c r="F93" s="738"/>
      <c r="G93" s="738"/>
      <c r="H93" s="738">
        <f>SUM(H90:H92)</f>
        <v>126242.6</v>
      </c>
      <c r="I93" s="738">
        <f>SUM(I90:I92)</f>
        <v>7.8045999999999998</v>
      </c>
      <c r="J93" s="738" t="e">
        <f>SUM(J90:J92)</f>
        <v>#REF!</v>
      </c>
      <c r="K93" s="772"/>
      <c r="L93" s="792"/>
      <c r="M93" s="735"/>
      <c r="N93" s="736"/>
      <c r="O93" s="538"/>
    </row>
    <row r="94" spans="1:17" s="724" customFormat="1" ht="12" customHeight="1">
      <c r="A94" s="797" t="s">
        <v>498</v>
      </c>
      <c r="B94" s="796"/>
      <c r="C94" s="796"/>
      <c r="D94" s="738"/>
      <c r="E94" s="738"/>
      <c r="F94" s="738"/>
      <c r="G94" s="738"/>
      <c r="H94" s="738"/>
      <c r="I94" s="754"/>
      <c r="J94" s="754"/>
      <c r="K94" s="772"/>
      <c r="L94" s="792"/>
      <c r="M94" s="735"/>
      <c r="N94" s="735"/>
      <c r="O94" s="538"/>
    </row>
    <row r="95" spans="1:17" s="724" customFormat="1" ht="12" customHeight="1">
      <c r="A95" s="737" t="s">
        <v>339</v>
      </c>
      <c r="B95" s="752"/>
      <c r="C95" s="793">
        <v>15500</v>
      </c>
      <c r="D95" s="765">
        <v>14450</v>
      </c>
      <c r="E95" s="765">
        <v>0</v>
      </c>
      <c r="F95" s="765">
        <v>2000</v>
      </c>
      <c r="G95" s="753">
        <f>C95+D95+E95-F95</f>
        <v>27950</v>
      </c>
      <c r="H95" s="756">
        <v>30937.899999999998</v>
      </c>
      <c r="I95" s="758">
        <f>ROUND(H95/$O$13*100,4)</f>
        <v>1.6293</v>
      </c>
      <c r="J95" s="758" t="e">
        <f>H95/#REF!*100</f>
        <v>#REF!</v>
      </c>
      <c r="K95" s="759">
        <f>G95/L95*100</f>
        <v>9.2590138736136335E-2</v>
      </c>
      <c r="L95" s="760">
        <v>30186800</v>
      </c>
      <c r="M95" s="724">
        <v>0.79210000000000003</v>
      </c>
      <c r="N95" s="724">
        <v>0.93359803956654974</v>
      </c>
      <c r="O95" s="538"/>
      <c r="P95" s="724">
        <v>5.1346946347410126E-2</v>
      </c>
      <c r="Q95" s="724">
        <v>3.5</v>
      </c>
    </row>
    <row r="96" spans="1:17" s="724" customFormat="1" ht="12" customHeight="1">
      <c r="A96" s="737" t="s">
        <v>499</v>
      </c>
      <c r="B96" s="737"/>
      <c r="C96" s="793">
        <v>6000</v>
      </c>
      <c r="D96" s="738">
        <v>0</v>
      </c>
      <c r="E96" s="738">
        <v>0</v>
      </c>
      <c r="F96" s="738">
        <v>0</v>
      </c>
      <c r="G96" s="753">
        <f>C96+D96+E96-F96</f>
        <v>6000</v>
      </c>
      <c r="H96" s="761">
        <v>3810</v>
      </c>
      <c r="I96" s="763">
        <f>ROUND(H96/$O$13*100,4)</f>
        <v>0.20069999999999999</v>
      </c>
      <c r="J96" s="763" t="e">
        <f>H96/#REF!*100</f>
        <v>#REF!</v>
      </c>
      <c r="K96" s="759">
        <f>G96/L96*100</f>
        <v>6.1286839774750438E-3</v>
      </c>
      <c r="L96" s="760">
        <v>97900300</v>
      </c>
      <c r="M96" s="735">
        <v>0.31990000000000002</v>
      </c>
      <c r="N96" s="736">
        <v>0.37709336733828963</v>
      </c>
      <c r="O96" s="538"/>
      <c r="P96" s="724">
        <v>6.1286839774750438E-3</v>
      </c>
    </row>
    <row r="97" spans="1:16" s="724" customFormat="1" ht="12" customHeight="1">
      <c r="A97" s="764" t="s">
        <v>500</v>
      </c>
      <c r="B97" s="764"/>
      <c r="C97" s="793">
        <v>37000</v>
      </c>
      <c r="D97" s="738">
        <v>26000</v>
      </c>
      <c r="E97" s="738">
        <v>5640</v>
      </c>
      <c r="F97" s="738">
        <v>16800</v>
      </c>
      <c r="G97" s="753">
        <f>C97+D97+E97-F97</f>
        <v>51840</v>
      </c>
      <c r="H97" s="769">
        <v>21631</v>
      </c>
      <c r="I97" s="771">
        <f>ROUND(H97/$O$13*100,4)</f>
        <v>1.1392</v>
      </c>
      <c r="J97" s="771" t="e">
        <f>H97/#REF!*100</f>
        <v>#REF!</v>
      </c>
      <c r="K97" s="759">
        <f>G97/L97*100</f>
        <v>6.039093343833403E-2</v>
      </c>
      <c r="L97" s="407">
        <v>85840700</v>
      </c>
      <c r="M97" s="735">
        <v>0.94810000000000005</v>
      </c>
      <c r="N97" s="736">
        <v>1.1175299442647715</v>
      </c>
      <c r="O97" s="538"/>
      <c r="P97" s="724">
        <v>4.3103096782761557E-2</v>
      </c>
    </row>
    <row r="98" spans="1:16" s="724" customFormat="1" ht="12" customHeight="1">
      <c r="A98" s="764"/>
      <c r="B98" s="764"/>
      <c r="C98" s="764"/>
      <c r="D98" s="738"/>
      <c r="E98" s="738"/>
      <c r="F98" s="738"/>
      <c r="G98" s="738"/>
      <c r="H98" s="738">
        <f>SUM(H95:H97)</f>
        <v>56378.899999999994</v>
      </c>
      <c r="I98" s="772">
        <f>SUM(I95:I97)</f>
        <v>2.9691999999999998</v>
      </c>
      <c r="J98" s="772" t="e">
        <f>SUM(J95:J97)</f>
        <v>#REF!</v>
      </c>
      <c r="K98" s="772"/>
      <c r="L98" s="792"/>
      <c r="M98" s="735"/>
      <c r="N98" s="736"/>
      <c r="O98" s="538"/>
    </row>
    <row r="99" spans="1:16" s="724" customFormat="1" ht="12" customHeight="1">
      <c r="A99" s="774" t="s">
        <v>501</v>
      </c>
      <c r="B99" s="764"/>
      <c r="C99" s="764"/>
      <c r="D99" s="738"/>
      <c r="E99" s="738"/>
      <c r="F99" s="738"/>
      <c r="G99" s="738"/>
      <c r="H99" s="738"/>
      <c r="I99" s="754"/>
      <c r="J99" s="754"/>
      <c r="K99" s="772"/>
      <c r="L99" s="792"/>
      <c r="M99" s="735"/>
      <c r="N99" s="736"/>
      <c r="O99" s="538"/>
    </row>
    <row r="100" spans="1:16" s="724" customFormat="1" ht="12" customHeight="1">
      <c r="A100" s="764" t="s">
        <v>340</v>
      </c>
      <c r="B100" s="764"/>
      <c r="C100" s="773">
        <v>386000</v>
      </c>
      <c r="D100" s="738">
        <v>823500</v>
      </c>
      <c r="E100" s="738">
        <v>0</v>
      </c>
      <c r="F100" s="738">
        <v>177500</v>
      </c>
      <c r="G100" s="753">
        <f>C100+D100+E100-F100</f>
        <v>1032000</v>
      </c>
      <c r="H100" s="738">
        <v>42105.600000000006</v>
      </c>
      <c r="I100" s="754">
        <f>ROUND(H100/$O$13*100,4)</f>
        <v>2.2174999999999998</v>
      </c>
      <c r="J100" s="772" t="e">
        <f>H100/#REF!*100</f>
        <v>#REF!</v>
      </c>
      <c r="K100" s="759">
        <f>G100/L100*100</f>
        <v>0.97635462108074544</v>
      </c>
      <c r="L100" s="760">
        <v>105699299.99999997</v>
      </c>
      <c r="M100" s="735">
        <v>1.0311999999999999</v>
      </c>
      <c r="N100" s="736">
        <v>1.2153820942808762</v>
      </c>
      <c r="O100" s="538"/>
      <c r="P100" s="724">
        <v>0.36518690284609268</v>
      </c>
    </row>
    <row r="101" spans="1:16" s="724" customFormat="1" ht="12" customHeight="1">
      <c r="A101" s="764" t="s">
        <v>645</v>
      </c>
      <c r="B101" s="764"/>
      <c r="C101" s="773">
        <v>0</v>
      </c>
      <c r="D101" s="738">
        <v>2152000</v>
      </c>
      <c r="E101" s="738">
        <v>0</v>
      </c>
      <c r="F101" s="738">
        <v>652000</v>
      </c>
      <c r="G101" s="753">
        <f>C101+D101+E101-F101</f>
        <v>1500000</v>
      </c>
      <c r="H101" s="738">
        <v>24735</v>
      </c>
      <c r="I101" s="754">
        <f>ROUND(H101/$O$13*100,4)</f>
        <v>1.3027</v>
      </c>
      <c r="J101" s="772" t="e">
        <f>H101/#REF!*100</f>
        <v>#REF!</v>
      </c>
      <c r="K101" s="759">
        <f>G101/L101*100</f>
        <v>3.9745627980922099E-2</v>
      </c>
      <c r="L101" s="760">
        <v>3774000000</v>
      </c>
      <c r="M101" s="735"/>
      <c r="N101" s="736"/>
      <c r="O101" s="538"/>
    </row>
    <row r="102" spans="1:16" s="724" customFormat="1" ht="12" customHeight="1">
      <c r="A102" s="752"/>
      <c r="B102" s="752"/>
      <c r="C102" s="752"/>
      <c r="D102" s="738"/>
      <c r="E102" s="738"/>
      <c r="F102" s="738"/>
      <c r="G102" s="738"/>
      <c r="H102" s="738"/>
      <c r="I102" s="754"/>
      <c r="J102" s="754"/>
      <c r="K102" s="772"/>
      <c r="L102" s="792"/>
      <c r="M102" s="735"/>
      <c r="N102" s="736"/>
      <c r="O102" s="538"/>
    </row>
    <row r="103" spans="1:16" s="724" customFormat="1" ht="12" customHeight="1">
      <c r="A103" s="752" t="s">
        <v>502</v>
      </c>
      <c r="B103" s="737"/>
      <c r="C103" s="737"/>
      <c r="D103" s="738"/>
      <c r="E103" s="738"/>
      <c r="F103" s="738"/>
      <c r="G103" s="738"/>
      <c r="H103" s="738"/>
      <c r="I103" s="754"/>
      <c r="J103" s="754"/>
      <c r="K103" s="772"/>
      <c r="L103" s="792"/>
      <c r="M103" s="735"/>
      <c r="N103" s="736"/>
      <c r="O103" s="538"/>
    </row>
    <row r="104" spans="1:16" s="724" customFormat="1" ht="12" customHeight="1">
      <c r="A104" s="764" t="s">
        <v>126</v>
      </c>
      <c r="B104" s="764"/>
      <c r="C104" s="793">
        <v>644500</v>
      </c>
      <c r="D104" s="738">
        <v>318500</v>
      </c>
      <c r="E104" s="738">
        <v>0</v>
      </c>
      <c r="F104" s="738">
        <v>405000</v>
      </c>
      <c r="G104" s="753">
        <f>C104+D104+E104-F104</f>
        <v>558000</v>
      </c>
      <c r="H104" s="756">
        <v>57250.799999999996</v>
      </c>
      <c r="I104" s="758">
        <v>4.82</v>
      </c>
      <c r="J104" s="758">
        <v>5.68</v>
      </c>
      <c r="K104" s="759">
        <f>G104/L104*100</f>
        <v>4.8221741195470541E-2</v>
      </c>
      <c r="L104" s="760">
        <v>1157154400</v>
      </c>
      <c r="M104" s="735">
        <v>4.8186999999999998</v>
      </c>
      <c r="N104" s="736">
        <v>5.6795685840916326</v>
      </c>
      <c r="O104" s="538"/>
      <c r="P104" s="724">
        <v>5.5696975269678789E-2</v>
      </c>
    </row>
    <row r="105" spans="1:16" s="724" customFormat="1" ht="12" customHeight="1">
      <c r="A105" s="764" t="s">
        <v>182</v>
      </c>
      <c r="B105" s="764"/>
      <c r="C105" s="793">
        <v>556000</v>
      </c>
      <c r="D105" s="738">
        <v>75000</v>
      </c>
      <c r="E105" s="738">
        <v>0</v>
      </c>
      <c r="F105" s="738">
        <v>73500</v>
      </c>
      <c r="G105" s="753">
        <f>C105+D105+E105-F105</f>
        <v>557500</v>
      </c>
      <c r="H105" s="761">
        <v>45157.5</v>
      </c>
      <c r="I105" s="763">
        <v>3.82</v>
      </c>
      <c r="J105" s="763">
        <v>4.51</v>
      </c>
      <c r="K105" s="759">
        <f>G105/L105*100</f>
        <v>6.3334049793854763E-2</v>
      </c>
      <c r="L105" s="760">
        <v>880253200</v>
      </c>
      <c r="M105" s="735">
        <v>3.8224</v>
      </c>
      <c r="N105" s="736">
        <v>4.5053427838983771</v>
      </c>
      <c r="O105" s="538"/>
      <c r="P105" s="724">
        <v>6.3163644278714348E-2</v>
      </c>
    </row>
    <row r="106" spans="1:16" s="724" customFormat="1" ht="12" customHeight="1">
      <c r="A106" s="775" t="s">
        <v>521</v>
      </c>
      <c r="B106" s="775"/>
      <c r="C106" s="793">
        <v>500000</v>
      </c>
      <c r="D106" s="738">
        <v>2506500</v>
      </c>
      <c r="E106" s="788">
        <v>0</v>
      </c>
      <c r="F106" s="788">
        <v>0</v>
      </c>
      <c r="G106" s="753">
        <f>C106+D106+E106-F106</f>
        <v>3006500</v>
      </c>
      <c r="H106" s="798">
        <v>22368.400000000001</v>
      </c>
      <c r="I106" s="763">
        <v>0.34</v>
      </c>
      <c r="J106" s="763">
        <v>0.4</v>
      </c>
      <c r="K106" s="759">
        <f>G106/L106*100</f>
        <v>0.13266612399978059</v>
      </c>
      <c r="L106" s="760">
        <v>2266215300</v>
      </c>
      <c r="M106" s="735">
        <v>0.33639999999999998</v>
      </c>
      <c r="N106" s="735">
        <v>0.3964942748487012</v>
      </c>
      <c r="O106" s="538"/>
      <c r="P106" s="724">
        <v>1.8105974558788179E-3</v>
      </c>
    </row>
    <row r="107" spans="1:16" s="724" customFormat="1" ht="12" customHeight="1">
      <c r="A107" s="766" t="s">
        <v>341</v>
      </c>
      <c r="B107" s="799"/>
      <c r="C107" s="793">
        <v>281500</v>
      </c>
      <c r="D107" s="800">
        <v>0</v>
      </c>
      <c r="E107" s="800">
        <v>0</v>
      </c>
      <c r="F107" s="800">
        <v>281500</v>
      </c>
      <c r="G107" s="753">
        <f>C107+D107+E107-F107</f>
        <v>0</v>
      </c>
      <c r="H107" s="798">
        <v>0</v>
      </c>
      <c r="I107" s="763">
        <v>0.69</v>
      </c>
      <c r="J107" s="763">
        <v>0.81</v>
      </c>
      <c r="K107" s="759">
        <f>G107/L107*100</f>
        <v>0</v>
      </c>
      <c r="L107" s="760">
        <v>379838700</v>
      </c>
      <c r="M107" s="735">
        <v>0.68610000000000004</v>
      </c>
      <c r="N107" s="735">
        <v>0.80862229070093783</v>
      </c>
      <c r="O107" s="538"/>
      <c r="P107" s="724">
        <v>7.4110405285190792E-2</v>
      </c>
    </row>
    <row r="108" spans="1:16" s="724" customFormat="1" ht="12" customHeight="1">
      <c r="A108" s="766" t="s">
        <v>503</v>
      </c>
      <c r="B108" s="799"/>
      <c r="C108" s="793">
        <v>0</v>
      </c>
      <c r="D108" s="801">
        <v>956000</v>
      </c>
      <c r="E108" s="801">
        <v>0</v>
      </c>
      <c r="F108" s="405">
        <v>283500</v>
      </c>
      <c r="G108" s="753">
        <f>D108+E108-F108</f>
        <v>672500</v>
      </c>
      <c r="H108" s="802">
        <v>19791.699999999997</v>
      </c>
      <c r="I108" s="771">
        <f>ROUND(H108/$O$13*100,4)</f>
        <v>1.0423</v>
      </c>
      <c r="J108" s="771" t="e">
        <f>H108/#REF!*100</f>
        <v>#REF!</v>
      </c>
      <c r="K108" s="759">
        <f>G108/L108*100</f>
        <v>0.1807399722910169</v>
      </c>
      <c r="L108" s="768">
        <v>372081500</v>
      </c>
      <c r="M108" s="724">
        <v>0</v>
      </c>
      <c r="N108" s="724">
        <v>0</v>
      </c>
      <c r="O108" s="538"/>
      <c r="P108" s="724">
        <v>0</v>
      </c>
    </row>
    <row r="109" spans="1:16" s="724" customFormat="1" ht="12" customHeight="1">
      <c r="A109" s="725"/>
      <c r="B109" s="725"/>
      <c r="C109" s="725"/>
      <c r="D109" s="405"/>
      <c r="E109" s="405"/>
      <c r="F109" s="405"/>
      <c r="G109" s="405"/>
      <c r="H109" s="405">
        <f>SUM(H104:H108)</f>
        <v>144568.39999999997</v>
      </c>
      <c r="I109" s="413">
        <f>SUM(I104:I108)</f>
        <v>10.712299999999999</v>
      </c>
      <c r="J109" s="413" t="e">
        <f>SUM(J104:J108)</f>
        <v>#REF!</v>
      </c>
      <c r="K109" s="803"/>
      <c r="L109" s="791"/>
      <c r="O109" s="538"/>
    </row>
    <row r="110" spans="1:16" s="724" customFormat="1" ht="12" customHeight="1">
      <c r="A110" s="804" t="s">
        <v>504</v>
      </c>
      <c r="B110" s="414"/>
      <c r="C110" s="414"/>
      <c r="D110" s="405"/>
      <c r="E110" s="405"/>
      <c r="F110" s="405"/>
      <c r="G110" s="405"/>
      <c r="H110" s="405"/>
      <c r="I110" s="413"/>
      <c r="J110" s="413"/>
      <c r="K110" s="803"/>
      <c r="L110" s="791"/>
      <c r="O110" s="538"/>
    </row>
    <row r="111" spans="1:16" s="724" customFormat="1" ht="12" customHeight="1">
      <c r="A111" s="414" t="s">
        <v>342</v>
      </c>
      <c r="B111" s="414"/>
      <c r="C111" s="805">
        <v>69500</v>
      </c>
      <c r="D111" s="405">
        <v>240000</v>
      </c>
      <c r="E111" s="405">
        <v>0</v>
      </c>
      <c r="F111" s="405">
        <v>0</v>
      </c>
      <c r="G111" s="753">
        <f>C111+D111+E111-F111</f>
        <v>309500</v>
      </c>
      <c r="H111" s="405">
        <v>14159.599999999999</v>
      </c>
      <c r="I111" s="754">
        <f>ROUND(H111/$O$13*100,4)</f>
        <v>0.74570000000000003</v>
      </c>
      <c r="J111" s="772" t="e">
        <f>H111/#REF!*100</f>
        <v>#REF!</v>
      </c>
      <c r="K111" s="759">
        <f>G111/L111*100</f>
        <v>3.0865493365714008E-2</v>
      </c>
      <c r="L111" s="760">
        <v>1002737900</v>
      </c>
      <c r="M111" s="724">
        <v>0.22770000000000001</v>
      </c>
      <c r="N111" s="724">
        <v>0.26841061361491647</v>
      </c>
      <c r="O111" s="538"/>
      <c r="P111" s="724">
        <v>6.9310235506207553E-3</v>
      </c>
    </row>
    <row r="112" spans="1:16" s="724" customFormat="1" ht="12" customHeight="1">
      <c r="A112" s="414"/>
      <c r="B112" s="414"/>
      <c r="C112" s="414"/>
      <c r="D112" s="405"/>
      <c r="E112" s="405"/>
      <c r="F112" s="405"/>
      <c r="G112" s="405"/>
      <c r="H112" s="405"/>
      <c r="I112" s="413"/>
      <c r="J112" s="413"/>
      <c r="K112" s="803"/>
      <c r="L112" s="791"/>
      <c r="O112" s="538"/>
    </row>
    <row r="113" spans="1:16" s="724" customFormat="1" ht="12" customHeight="1">
      <c r="A113" s="804" t="s">
        <v>505</v>
      </c>
      <c r="B113" s="414"/>
      <c r="C113" s="414"/>
      <c r="D113" s="405"/>
      <c r="E113" s="405"/>
      <c r="F113" s="405"/>
      <c r="G113" s="405"/>
      <c r="H113" s="405"/>
      <c r="I113" s="413"/>
      <c r="J113" s="413"/>
      <c r="K113" s="803"/>
      <c r="L113" s="791"/>
      <c r="O113" s="538"/>
    </row>
    <row r="114" spans="1:16" s="724" customFormat="1" ht="12" customHeight="1">
      <c r="A114" s="414" t="s">
        <v>577</v>
      </c>
      <c r="B114" s="414"/>
      <c r="C114" s="805">
        <v>500000</v>
      </c>
      <c r="D114" s="405">
        <v>1300500</v>
      </c>
      <c r="E114" s="405">
        <v>0</v>
      </c>
      <c r="F114" s="405">
        <v>1800500</v>
      </c>
      <c r="G114" s="753">
        <f>C114+D114+E114-F114</f>
        <v>0</v>
      </c>
      <c r="H114" s="405">
        <v>0</v>
      </c>
      <c r="I114" s="754">
        <f>ROUND(H114/$O$13*100,4)</f>
        <v>0</v>
      </c>
      <c r="J114" s="772" t="e">
        <f>H114/#REF!*100</f>
        <v>#REF!</v>
      </c>
      <c r="K114" s="759">
        <f>G114/L114*100</f>
        <v>0</v>
      </c>
      <c r="L114" s="760">
        <v>634216600</v>
      </c>
      <c r="M114" s="724">
        <v>1.0643</v>
      </c>
      <c r="N114" s="724">
        <v>1.2544664467897149</v>
      </c>
      <c r="O114" s="538"/>
      <c r="P114" s="724">
        <v>7.8837419266540809E-2</v>
      </c>
    </row>
    <row r="115" spans="1:16" s="724" customFormat="1" ht="12" customHeight="1">
      <c r="A115" s="414"/>
      <c r="B115" s="414"/>
      <c r="C115" s="414"/>
      <c r="D115" s="405"/>
      <c r="E115" s="405"/>
      <c r="F115" s="405"/>
      <c r="G115" s="405"/>
      <c r="H115" s="405"/>
      <c r="I115" s="413"/>
      <c r="J115" s="413"/>
      <c r="K115" s="803"/>
      <c r="L115" s="791"/>
      <c r="O115" s="538"/>
    </row>
    <row r="116" spans="1:16" s="724" customFormat="1" ht="12" customHeight="1">
      <c r="A116" s="804" t="s">
        <v>506</v>
      </c>
      <c r="B116" s="414"/>
      <c r="C116" s="414"/>
      <c r="D116" s="405"/>
      <c r="E116" s="405"/>
      <c r="F116" s="405"/>
      <c r="G116" s="405"/>
      <c r="H116" s="405"/>
      <c r="I116" s="413"/>
      <c r="J116" s="413"/>
      <c r="K116" s="803"/>
      <c r="L116" s="791"/>
      <c r="O116" s="538"/>
    </row>
    <row r="117" spans="1:16" s="724" customFormat="1" ht="12" customHeight="1">
      <c r="A117" s="414" t="s">
        <v>507</v>
      </c>
      <c r="B117" s="414"/>
      <c r="C117" s="805">
        <v>0</v>
      </c>
      <c r="D117" s="405">
        <v>291500</v>
      </c>
      <c r="E117" s="405">
        <v>0</v>
      </c>
      <c r="F117" s="405">
        <v>29000</v>
      </c>
      <c r="G117" s="753">
        <f>C117+D117+E117-F117</f>
        <v>262500</v>
      </c>
      <c r="H117" s="405">
        <v>32647.100000000002</v>
      </c>
      <c r="I117" s="754">
        <f>ROUND(H117/$O$13*100,4)</f>
        <v>1.7194</v>
      </c>
      <c r="J117" s="772" t="e">
        <f>H117/#REF!*100</f>
        <v>#REF!</v>
      </c>
      <c r="K117" s="759">
        <f>G117/L117*100</f>
        <v>0.33813162068958991</v>
      </c>
      <c r="L117" s="760">
        <v>77632491</v>
      </c>
      <c r="M117" s="724">
        <v>0</v>
      </c>
      <c r="N117" s="724">
        <v>0</v>
      </c>
      <c r="O117" s="538"/>
      <c r="P117" s="724">
        <v>0</v>
      </c>
    </row>
    <row r="118" spans="1:16" s="724" customFormat="1" ht="12" customHeight="1">
      <c r="A118" s="414"/>
      <c r="B118" s="414"/>
      <c r="C118" s="414"/>
      <c r="D118" s="414"/>
      <c r="E118" s="414"/>
      <c r="F118" s="414"/>
      <c r="G118" s="414"/>
      <c r="H118" s="414"/>
      <c r="I118" s="413"/>
      <c r="J118" s="413"/>
      <c r="K118" s="803"/>
      <c r="L118" s="760"/>
      <c r="M118" s="783">
        <f>SUM(M22:M117)</f>
        <v>345168.84240000002</v>
      </c>
      <c r="N118" s="783">
        <f>SUM(N22:N117)</f>
        <v>99.999999999999972</v>
      </c>
      <c r="O118" s="538"/>
    </row>
    <row r="119" spans="1:16" s="724" customFormat="1" ht="12" customHeight="1">
      <c r="A119" s="804" t="s">
        <v>639</v>
      </c>
      <c r="B119" s="414"/>
      <c r="C119" s="414"/>
      <c r="D119" s="414"/>
      <c r="E119" s="414"/>
      <c r="F119" s="414"/>
      <c r="G119" s="414"/>
      <c r="H119" s="414"/>
      <c r="I119" s="413"/>
      <c r="J119" s="413"/>
      <c r="K119" s="803"/>
      <c r="L119" s="791"/>
      <c r="M119" s="783"/>
      <c r="N119" s="783"/>
      <c r="O119" s="538"/>
    </row>
    <row r="120" spans="1:16" s="724" customFormat="1" ht="12" customHeight="1">
      <c r="A120" s="414" t="s">
        <v>640</v>
      </c>
      <c r="B120" s="414"/>
      <c r="C120" s="405">
        <v>0</v>
      </c>
      <c r="D120" s="405">
        <v>485000</v>
      </c>
      <c r="E120" s="405">
        <v>169750</v>
      </c>
      <c r="F120" s="405">
        <v>0</v>
      </c>
      <c r="G120" s="753">
        <f>C120+D120+E120-F120</f>
        <v>654750</v>
      </c>
      <c r="H120" s="405">
        <v>40712.400000000001</v>
      </c>
      <c r="I120" s="754">
        <f>ROUND(H120/$O$13*100,4)</f>
        <v>2.1440999999999999</v>
      </c>
      <c r="J120" s="772" t="e">
        <f>H120/#REF!*100</f>
        <v>#REF!</v>
      </c>
      <c r="K120" s="759">
        <f>G120/L120*100</f>
        <v>0.52981715033045174</v>
      </c>
      <c r="L120" s="760">
        <v>123580371</v>
      </c>
      <c r="M120" s="783"/>
      <c r="N120" s="783"/>
      <c r="O120" s="538"/>
    </row>
    <row r="121" spans="1:16" s="724" customFormat="1" ht="12" customHeight="1">
      <c r="A121" s="414"/>
      <c r="B121" s="414"/>
      <c r="C121" s="405"/>
      <c r="D121" s="405"/>
      <c r="E121" s="405"/>
      <c r="F121" s="405"/>
      <c r="G121" s="753"/>
      <c r="H121" s="414"/>
      <c r="I121" s="413"/>
      <c r="J121" s="413"/>
      <c r="K121" s="803"/>
      <c r="L121" s="791"/>
      <c r="M121" s="783"/>
      <c r="N121" s="783"/>
      <c r="O121" s="538"/>
    </row>
    <row r="122" spans="1:16" s="724" customFormat="1" ht="12" customHeight="1">
      <c r="A122" s="804" t="s">
        <v>643</v>
      </c>
      <c r="B122" s="414"/>
      <c r="C122" s="405"/>
      <c r="D122" s="405"/>
      <c r="E122" s="405"/>
      <c r="F122" s="405"/>
      <c r="G122" s="753"/>
      <c r="H122" s="414"/>
      <c r="I122" s="413"/>
      <c r="J122" s="772" t="e">
        <f>H122/#REF!*100</f>
        <v>#REF!</v>
      </c>
      <c r="K122" s="803"/>
      <c r="L122" s="791"/>
      <c r="M122" s="783"/>
      <c r="N122" s="783"/>
      <c r="O122" s="538"/>
    </row>
    <row r="123" spans="1:16" s="724" customFormat="1" ht="12" customHeight="1">
      <c r="A123" s="414" t="s">
        <v>644</v>
      </c>
      <c r="B123" s="414"/>
      <c r="C123" s="405">
        <v>0</v>
      </c>
      <c r="D123" s="405">
        <v>206800</v>
      </c>
      <c r="E123" s="405">
        <v>0</v>
      </c>
      <c r="F123" s="405">
        <v>2800</v>
      </c>
      <c r="G123" s="753">
        <f>C123+D123+E123-F123</f>
        <v>204000</v>
      </c>
      <c r="H123" s="405">
        <v>18156</v>
      </c>
      <c r="I123" s="754">
        <f>ROUND(H123/$O$13*100,4)</f>
        <v>0.95620000000000005</v>
      </c>
      <c r="J123" s="413"/>
      <c r="K123" s="759">
        <f>G123/L123*100</f>
        <v>0.15447130831746217</v>
      </c>
      <c r="L123" s="740">
        <v>132063360</v>
      </c>
      <c r="M123" s="783"/>
      <c r="N123" s="783"/>
      <c r="O123" s="538"/>
    </row>
    <row r="124" spans="1:16" s="724" customFormat="1" ht="12" customHeight="1">
      <c r="A124" s="414"/>
      <c r="B124" s="414"/>
      <c r="C124" s="405"/>
      <c r="D124" s="405"/>
      <c r="E124" s="405"/>
      <c r="F124" s="405"/>
      <c r="G124" s="753"/>
      <c r="H124" s="414"/>
      <c r="I124" s="413"/>
      <c r="J124" s="413"/>
      <c r="K124" s="803"/>
      <c r="L124" s="791"/>
      <c r="M124" s="783"/>
      <c r="N124" s="783"/>
      <c r="O124" s="538"/>
    </row>
    <row r="125" spans="1:16" s="724" customFormat="1" ht="12" customHeight="1">
      <c r="A125" s="804" t="s">
        <v>646</v>
      </c>
      <c r="B125" s="414"/>
      <c r="C125" s="405"/>
      <c r="D125" s="405"/>
      <c r="E125" s="405"/>
      <c r="F125" s="405"/>
      <c r="G125" s="753"/>
      <c r="H125" s="414"/>
      <c r="I125" s="413"/>
      <c r="J125" s="413"/>
      <c r="K125" s="803"/>
      <c r="L125" s="791"/>
      <c r="M125" s="783"/>
      <c r="N125" s="783"/>
      <c r="O125" s="538"/>
    </row>
    <row r="126" spans="1:16" s="724" customFormat="1" ht="12" customHeight="1">
      <c r="A126" s="414" t="s">
        <v>647</v>
      </c>
      <c r="B126" s="414"/>
      <c r="C126" s="405">
        <v>0</v>
      </c>
      <c r="D126" s="405">
        <v>21000</v>
      </c>
      <c r="E126" s="405">
        <v>0</v>
      </c>
      <c r="F126" s="405">
        <v>0</v>
      </c>
      <c r="G126" s="753">
        <f>C126+D126+E126-F126</f>
        <v>21000</v>
      </c>
      <c r="H126" s="405">
        <v>12845.9</v>
      </c>
      <c r="I126" s="754">
        <f>ROUND(H126/$O$13*100,4)</f>
        <v>0.67649999999999999</v>
      </c>
      <c r="J126" s="772" t="e">
        <f>H126/#REF!*100</f>
        <v>#REF!</v>
      </c>
      <c r="K126" s="759">
        <f>G126/L126*100</f>
        <v>0.26296018031555224</v>
      </c>
      <c r="L126" s="740">
        <v>7986000</v>
      </c>
      <c r="M126" s="783"/>
      <c r="N126" s="783"/>
      <c r="O126" s="538"/>
    </row>
    <row r="127" spans="1:16" s="724" customFormat="1" ht="12" customHeight="1">
      <c r="A127" s="414"/>
      <c r="B127" s="414"/>
      <c r="C127" s="405"/>
      <c r="D127" s="405"/>
      <c r="E127" s="405"/>
      <c r="F127" s="405"/>
      <c r="G127" s="753"/>
      <c r="H127" s="414"/>
      <c r="I127" s="413"/>
      <c r="J127" s="413"/>
      <c r="K127" s="803"/>
      <c r="L127" s="791"/>
      <c r="M127" s="783"/>
      <c r="N127" s="783"/>
      <c r="O127" s="538"/>
    </row>
    <row r="128" spans="1:16" s="724" customFormat="1" ht="12" customHeight="1">
      <c r="A128" s="414"/>
      <c r="B128" s="414"/>
      <c r="C128" s="414"/>
      <c r="D128" s="414"/>
      <c r="E128" s="414"/>
      <c r="F128" s="414"/>
      <c r="G128" s="414"/>
      <c r="H128" s="414"/>
      <c r="I128" s="413"/>
      <c r="J128" s="413"/>
      <c r="K128" s="803"/>
      <c r="L128" s="791"/>
      <c r="M128" s="783"/>
      <c r="N128" s="783"/>
      <c r="O128" s="538"/>
    </row>
    <row r="129" spans="1:15" s="724" customFormat="1" ht="12" customHeight="1" thickBot="1">
      <c r="A129" s="799" t="s">
        <v>378</v>
      </c>
      <c r="B129" s="414"/>
      <c r="C129" s="414"/>
      <c r="D129" s="414"/>
      <c r="E129" s="414"/>
      <c r="F129" s="414"/>
      <c r="G129" s="806">
        <f>SUM(G84:G127)</f>
        <v>21388671</v>
      </c>
      <c r="H129" s="806">
        <f>H84+H87+H93+H98+H100+H109+H111+H114+H117+H120+H123+H126+H101-1</f>
        <v>1763906.9</v>
      </c>
      <c r="I129" s="807">
        <f>I84+I87+I93+I98+I100+I109+I111+I114+I117</f>
        <v>90.745899999999992</v>
      </c>
      <c r="J129" s="807" t="e">
        <f>J84+J87+J93+J98+J100+J109+J111+J114+J117</f>
        <v>#REF!</v>
      </c>
      <c r="K129" s="772"/>
      <c r="O129" s="538"/>
    </row>
    <row r="130" spans="1:15" s="724" customFormat="1" ht="12" customHeight="1" thickTop="1">
      <c r="A130" s="799"/>
      <c r="B130" s="414"/>
      <c r="C130" s="414"/>
      <c r="D130" s="414"/>
      <c r="E130" s="414"/>
      <c r="F130" s="414"/>
      <c r="G130" s="808"/>
      <c r="H130" s="808"/>
      <c r="I130" s="730"/>
      <c r="J130" s="730"/>
      <c r="K130" s="809"/>
      <c r="O130" s="538"/>
    </row>
    <row r="131" spans="1:15" s="724" customFormat="1" ht="12" customHeight="1" thickBot="1">
      <c r="A131" s="799" t="s">
        <v>343</v>
      </c>
      <c r="B131" s="414"/>
      <c r="C131" s="414"/>
      <c r="D131" s="414"/>
      <c r="E131" s="414"/>
      <c r="F131" s="414"/>
      <c r="G131" s="414"/>
      <c r="H131" s="810">
        <v>1772797.3</v>
      </c>
      <c r="I131" s="811"/>
      <c r="J131" s="414"/>
      <c r="K131" s="414"/>
      <c r="M131" s="783"/>
      <c r="O131" s="538"/>
    </row>
    <row r="132" spans="1:15" s="747" customFormat="1" ht="12" thickTop="1">
      <c r="A132" s="741"/>
      <c r="B132" s="742"/>
      <c r="C132" s="742"/>
      <c r="D132" s="743"/>
      <c r="E132" s="743"/>
      <c r="F132" s="743"/>
      <c r="G132" s="744"/>
      <c r="H132" s="745"/>
      <c r="I132" s="746"/>
      <c r="J132" s="746"/>
      <c r="K132" s="746"/>
    </row>
    <row r="176" spans="1:15" s="746" customFormat="1">
      <c r="A176" s="414"/>
      <c r="B176" s="414"/>
      <c r="C176" s="414"/>
      <c r="E176" s="812"/>
      <c r="K176" s="813"/>
      <c r="L176" s="414"/>
      <c r="O176" s="814"/>
    </row>
    <row r="177" spans="1:15" s="746" customFormat="1">
      <c r="E177" s="812"/>
      <c r="K177" s="813"/>
      <c r="O177" s="814"/>
    </row>
    <row r="178" spans="1:15">
      <c r="A178" s="746"/>
      <c r="B178" s="746"/>
      <c r="C178" s="746"/>
      <c r="L178" s="746"/>
    </row>
  </sheetData>
  <mergeCells count="33">
    <mergeCell ref="I82:K82"/>
    <mergeCell ref="B1:E1"/>
    <mergeCell ref="B2:E2"/>
    <mergeCell ref="B3:E3"/>
    <mergeCell ref="B4:E4"/>
    <mergeCell ref="B5:E5"/>
    <mergeCell ref="B6:E6"/>
    <mergeCell ref="D76:D81"/>
    <mergeCell ref="E76:E81"/>
    <mergeCell ref="F76:F81"/>
    <mergeCell ref="G76:G81"/>
    <mergeCell ref="I76:I81"/>
    <mergeCell ref="J76:J81"/>
    <mergeCell ref="G14:G19"/>
    <mergeCell ref="I14:I19"/>
    <mergeCell ref="I20:K20"/>
    <mergeCell ref="A75:B81"/>
    <mergeCell ref="C75:G75"/>
    <mergeCell ref="H75:H81"/>
    <mergeCell ref="I75:K75"/>
    <mergeCell ref="C76:C81"/>
    <mergeCell ref="K76:K81"/>
    <mergeCell ref="A10:K11"/>
    <mergeCell ref="A13:B19"/>
    <mergeCell ref="C13:G13"/>
    <mergeCell ref="H13:H19"/>
    <mergeCell ref="I13:K13"/>
    <mergeCell ref="C14:C19"/>
    <mergeCell ref="D14:D19"/>
    <mergeCell ref="E14:E19"/>
    <mergeCell ref="F14:F19"/>
    <mergeCell ref="J14:J19"/>
    <mergeCell ref="K14:K19"/>
  </mergeCells>
  <printOptions horizontalCentered="1"/>
  <pageMargins left="0.75" right="0.5" top="0.5" bottom="0.4" header="0.28999999999999998" footer="0.5"/>
  <pageSetup paperSize="9" scale="68" fitToWidth="2" fitToHeight="2" orientation="portrait" r:id="rId1"/>
  <headerFooter alignWithMargins="0"/>
  <rowBreaks count="1" manualBreakCount="1">
    <brk id="73" max="1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37"/>
  <sheetViews>
    <sheetView view="pageBreakPreview" topLeftCell="A72" zoomScaleNormal="100" zoomScaleSheetLayoutView="100" workbookViewId="0">
      <selection activeCell="I98" sqref="I98"/>
    </sheetView>
  </sheetViews>
  <sheetFormatPr defaultColWidth="10.09765625" defaultRowHeight="11.4"/>
  <cols>
    <col min="1" max="1" width="5.09765625" style="8" customWidth="1"/>
    <col min="2" max="2" width="3.59765625" style="8" customWidth="1"/>
    <col min="3" max="3" width="19.59765625" style="8" customWidth="1"/>
    <col min="4" max="5" width="10.09765625" style="8" customWidth="1"/>
    <col min="6" max="6" width="1.59765625" style="8" customWidth="1"/>
    <col min="7" max="7" width="10.09765625" style="8" customWidth="1"/>
    <col min="8" max="8" width="0.59765625" style="8" customWidth="1"/>
    <col min="9" max="9" width="10.09765625" style="8" customWidth="1"/>
    <col min="10" max="10" width="0.59765625" style="8" customWidth="1"/>
    <col min="11" max="11" width="10.09765625" style="8" customWidth="1"/>
    <col min="12" max="12" width="15.59765625" style="8" customWidth="1"/>
    <col min="13" max="23" width="10.09765625" style="8" customWidth="1"/>
    <col min="24" max="24" width="10.09765625" style="8"/>
    <col min="25" max="45" width="0" style="8" hidden="1" customWidth="1"/>
    <col min="46" max="16384" width="10.09765625" style="8"/>
  </cols>
  <sheetData>
    <row r="1" spans="1:13">
      <c r="A1" s="435" t="e">
        <f>#REF!+1</f>
        <v>#REF!</v>
      </c>
      <c r="B1" s="12"/>
      <c r="C1" s="12"/>
      <c r="D1" s="12"/>
      <c r="E1" s="12"/>
      <c r="F1" s="12"/>
      <c r="G1" s="12"/>
      <c r="H1" s="12"/>
      <c r="I1" s="12"/>
      <c r="J1" s="12"/>
      <c r="K1" s="12"/>
    </row>
    <row r="2" spans="1:13" s="32" customFormat="1">
      <c r="A2" s="448"/>
      <c r="K2" s="206"/>
    </row>
    <row r="3" spans="1:13" s="32" customFormat="1" ht="12">
      <c r="A3" s="347">
        <f>'7-12'!A71+1</f>
        <v>13</v>
      </c>
      <c r="B3" s="551" t="s">
        <v>600</v>
      </c>
      <c r="C3" s="552"/>
      <c r="D3" s="552"/>
      <c r="E3" s="552"/>
      <c r="F3" s="552"/>
      <c r="G3" s="552"/>
      <c r="H3" s="552"/>
      <c r="I3" s="552"/>
      <c r="J3" s="552"/>
      <c r="K3" s="552"/>
      <c r="L3" s="348"/>
      <c r="M3" s="348"/>
    </row>
    <row r="4" spans="1:13" s="32" customFormat="1">
      <c r="A4" s="348"/>
      <c r="B4" s="552"/>
      <c r="C4" s="552"/>
      <c r="D4" s="552"/>
      <c r="E4" s="552"/>
      <c r="F4" s="552"/>
      <c r="G4" s="552"/>
      <c r="H4" s="552"/>
      <c r="I4" s="552"/>
      <c r="J4" s="552"/>
      <c r="K4" s="552"/>
      <c r="L4" s="348"/>
      <c r="M4" s="348"/>
    </row>
    <row r="5" spans="1:13" s="32" customFormat="1">
      <c r="A5" s="348"/>
      <c r="B5" s="553" t="s">
        <v>601</v>
      </c>
      <c r="C5" s="553"/>
      <c r="D5" s="553"/>
      <c r="E5" s="553"/>
      <c r="F5" s="553"/>
      <c r="G5" s="552"/>
      <c r="H5" s="552"/>
      <c r="I5" s="552"/>
      <c r="J5" s="552"/>
      <c r="K5" s="552"/>
      <c r="L5" s="348"/>
      <c r="M5" s="348"/>
    </row>
    <row r="6" spans="1:13" s="232" customFormat="1" ht="9" customHeight="1">
      <c r="A6" s="349"/>
      <c r="B6" s="554"/>
      <c r="C6" s="554"/>
      <c r="D6" s="554"/>
      <c r="E6" s="555"/>
      <c r="F6" s="555"/>
      <c r="G6" s="555"/>
      <c r="H6" s="555"/>
      <c r="I6" s="555"/>
      <c r="J6" s="555"/>
      <c r="K6" s="555"/>
    </row>
    <row r="7" spans="1:13" s="329" customFormat="1" ht="10.199999999999999">
      <c r="A7" s="350"/>
      <c r="B7" s="556"/>
      <c r="C7" s="557"/>
      <c r="D7" s="557"/>
      <c r="E7" s="2600" t="s">
        <v>347</v>
      </c>
      <c r="F7" s="2601"/>
      <c r="G7" s="2601"/>
      <c r="H7" s="2601"/>
      <c r="I7" s="2601"/>
      <c r="J7" s="2601"/>
      <c r="K7" s="2601"/>
    </row>
    <row r="8" spans="1:13" s="232" customFormat="1" ht="20.399999999999999">
      <c r="A8" s="356"/>
      <c r="B8" s="558" t="s">
        <v>151</v>
      </c>
      <c r="C8" s="2602" t="s">
        <v>152</v>
      </c>
      <c r="D8" s="2603"/>
      <c r="E8" s="2602" t="s">
        <v>186</v>
      </c>
      <c r="F8" s="2604"/>
      <c r="G8" s="2604"/>
      <c r="H8" s="2604"/>
      <c r="I8" s="2604"/>
      <c r="J8" s="2605"/>
      <c r="K8" s="558" t="s">
        <v>187</v>
      </c>
    </row>
    <row r="9" spans="1:13" s="232" customFormat="1" ht="9" customHeight="1">
      <c r="A9" s="349"/>
      <c r="B9" s="555"/>
      <c r="C9" s="555"/>
      <c r="D9" s="555"/>
      <c r="E9" s="555"/>
      <c r="F9" s="555"/>
      <c r="G9" s="559"/>
      <c r="H9" s="559"/>
      <c r="I9" s="560"/>
      <c r="J9" s="559"/>
      <c r="K9" s="559"/>
    </row>
    <row r="10" spans="1:13" s="232" customFormat="1" ht="10.199999999999999">
      <c r="A10" s="349"/>
      <c r="B10" s="561">
        <v>1</v>
      </c>
      <c r="C10" s="560" t="s">
        <v>188</v>
      </c>
      <c r="D10" s="560"/>
      <c r="E10" s="562" t="s">
        <v>153</v>
      </c>
      <c r="F10" s="562"/>
      <c r="G10" s="562"/>
      <c r="H10" s="562"/>
      <c r="I10" s="562"/>
      <c r="J10" s="559"/>
      <c r="K10" s="563">
        <v>27</v>
      </c>
    </row>
    <row r="11" spans="1:13" s="232" customFormat="1" ht="10.199999999999999">
      <c r="A11" s="349"/>
      <c r="B11" s="561">
        <v>2</v>
      </c>
      <c r="C11" s="560" t="s">
        <v>559</v>
      </c>
      <c r="D11" s="560"/>
      <c r="E11" s="562" t="s">
        <v>312</v>
      </c>
      <c r="F11" s="562"/>
      <c r="G11" s="562"/>
      <c r="H11" s="562"/>
      <c r="I11" s="562"/>
      <c r="J11" s="559"/>
      <c r="K11" s="563">
        <v>15</v>
      </c>
    </row>
    <row r="12" spans="1:13" s="232" customFormat="1" ht="10.199999999999999">
      <c r="A12" s="349"/>
      <c r="B12" s="561">
        <v>3</v>
      </c>
      <c r="C12" s="560" t="s">
        <v>560</v>
      </c>
      <c r="D12" s="564"/>
      <c r="E12" s="562" t="s">
        <v>312</v>
      </c>
      <c r="F12" s="565"/>
      <c r="G12" s="565"/>
      <c r="H12" s="562"/>
      <c r="I12" s="562"/>
      <c r="J12" s="559"/>
      <c r="K12" s="563">
        <v>15</v>
      </c>
    </row>
    <row r="13" spans="1:13" s="232" customFormat="1" ht="10.199999999999999">
      <c r="A13" s="349"/>
      <c r="B13" s="561">
        <v>4</v>
      </c>
      <c r="C13" s="560" t="s">
        <v>561</v>
      </c>
      <c r="D13" s="564"/>
      <c r="E13" s="562" t="s">
        <v>272</v>
      </c>
      <c r="F13" s="565"/>
      <c r="G13" s="565"/>
      <c r="H13" s="562"/>
      <c r="I13" s="562"/>
      <c r="J13" s="559"/>
      <c r="K13" s="563">
        <v>9</v>
      </c>
    </row>
    <row r="14" spans="1:13" s="232" customFormat="1" ht="10.199999999999999">
      <c r="A14" s="349"/>
      <c r="B14" s="561">
        <v>5</v>
      </c>
      <c r="C14" s="560" t="s">
        <v>562</v>
      </c>
      <c r="D14" s="564"/>
      <c r="E14" s="562" t="s">
        <v>273</v>
      </c>
      <c r="F14" s="565"/>
      <c r="G14" s="565"/>
      <c r="H14" s="562"/>
      <c r="I14" s="562"/>
      <c r="J14" s="559"/>
      <c r="K14" s="563">
        <v>9</v>
      </c>
    </row>
    <row r="15" spans="1:13" s="232" customFormat="1" ht="10.199999999999999">
      <c r="A15" s="349"/>
      <c r="B15" s="566"/>
      <c r="C15" s="564"/>
      <c r="D15" s="564"/>
      <c r="E15" s="565"/>
      <c r="F15" s="565"/>
      <c r="G15" s="565"/>
      <c r="H15" s="562"/>
      <c r="I15" s="562"/>
      <c r="J15" s="559"/>
      <c r="K15" s="563"/>
    </row>
    <row r="16" spans="1:13" s="232" customFormat="1" ht="10.199999999999999">
      <c r="A16" s="377"/>
      <c r="B16" s="2619" t="s">
        <v>611</v>
      </c>
      <c r="C16" s="2619"/>
      <c r="D16" s="2619"/>
      <c r="E16" s="2619"/>
      <c r="F16" s="2619"/>
      <c r="G16" s="2619"/>
      <c r="H16" s="2619"/>
      <c r="I16" s="2619"/>
      <c r="J16" s="2619"/>
      <c r="K16" s="2619"/>
    </row>
    <row r="17" spans="1:11" s="232" customFormat="1" ht="10.199999999999999">
      <c r="A17" s="377"/>
      <c r="B17" s="2619"/>
      <c r="C17" s="2619"/>
      <c r="D17" s="2619"/>
      <c r="E17" s="2619"/>
      <c r="F17" s="2619"/>
      <c r="G17" s="2619"/>
      <c r="H17" s="2619"/>
      <c r="I17" s="2619"/>
      <c r="J17" s="2619"/>
      <c r="K17" s="2619"/>
    </row>
    <row r="18" spans="1:11" s="32" customFormat="1" ht="12">
      <c r="A18" s="351"/>
      <c r="B18" s="567"/>
      <c r="C18" s="567"/>
      <c r="D18" s="567"/>
      <c r="E18" s="567"/>
      <c r="F18" s="567"/>
      <c r="G18" s="567"/>
      <c r="H18" s="567"/>
      <c r="I18" s="567"/>
      <c r="J18" s="567"/>
      <c r="K18" s="567"/>
    </row>
    <row r="19" spans="1:11" s="32" customFormat="1" ht="12">
      <c r="A19" s="347">
        <f>+'20-25.1.2'!A3+1</f>
        <v>14</v>
      </c>
      <c r="B19" s="540" t="s">
        <v>189</v>
      </c>
      <c r="C19" s="567"/>
      <c r="D19" s="567"/>
      <c r="E19" s="567"/>
      <c r="F19" s="567"/>
      <c r="G19" s="567"/>
      <c r="H19" s="567"/>
      <c r="I19" s="567"/>
      <c r="J19" s="567"/>
      <c r="K19" s="568" t="s">
        <v>393</v>
      </c>
    </row>
    <row r="20" spans="1:11" s="32" customFormat="1" ht="9" customHeight="1">
      <c r="A20" s="347"/>
      <c r="B20" s="540"/>
      <c r="C20" s="567"/>
      <c r="D20" s="567"/>
      <c r="E20" s="567"/>
      <c r="F20" s="567"/>
      <c r="G20" s="567"/>
      <c r="H20" s="567"/>
      <c r="I20" s="567"/>
      <c r="J20" s="567"/>
      <c r="K20" s="567"/>
    </row>
    <row r="21" spans="1:11" s="32" customFormat="1" ht="12">
      <c r="A21" s="347"/>
      <c r="B21" s="569">
        <v>1</v>
      </c>
      <c r="C21" s="555" t="s">
        <v>509</v>
      </c>
      <c r="D21" s="570"/>
      <c r="E21" s="570"/>
      <c r="F21" s="570"/>
      <c r="G21" s="570"/>
      <c r="H21" s="570"/>
      <c r="I21" s="570"/>
      <c r="J21" s="570"/>
      <c r="K21" s="571">
        <v>8.1199999999999994E-2</v>
      </c>
    </row>
    <row r="22" spans="1:11" s="32" customFormat="1" ht="12">
      <c r="A22" s="347"/>
      <c r="B22" s="569">
        <v>2</v>
      </c>
      <c r="C22" s="555" t="s">
        <v>348</v>
      </c>
      <c r="D22" s="570"/>
      <c r="E22" s="570"/>
      <c r="F22" s="570"/>
      <c r="G22" s="570"/>
      <c r="H22" s="570"/>
      <c r="I22" s="570"/>
      <c r="J22" s="570"/>
      <c r="K22" s="571">
        <v>6.7500000000000004E-2</v>
      </c>
    </row>
    <row r="23" spans="1:11" s="32" customFormat="1" ht="12">
      <c r="A23" s="347"/>
      <c r="B23" s="569">
        <v>3</v>
      </c>
      <c r="C23" s="555" t="s">
        <v>349</v>
      </c>
      <c r="D23" s="570"/>
      <c r="E23" s="570"/>
      <c r="F23" s="570"/>
      <c r="G23" s="570"/>
      <c r="H23" s="570"/>
      <c r="I23" s="570"/>
      <c r="J23" s="570"/>
      <c r="K23" s="571">
        <v>6.3600000000000004E-2</v>
      </c>
    </row>
    <row r="24" spans="1:11" s="32" customFormat="1" ht="12">
      <c r="A24" s="347"/>
      <c r="B24" s="569">
        <v>4</v>
      </c>
      <c r="C24" s="555" t="s">
        <v>570</v>
      </c>
      <c r="D24" s="570"/>
      <c r="E24" s="570"/>
      <c r="F24" s="570"/>
      <c r="G24" s="570"/>
      <c r="H24" s="570"/>
      <c r="I24" s="570"/>
      <c r="J24" s="570"/>
      <c r="K24" s="571">
        <v>5.6399999999999999E-2</v>
      </c>
    </row>
    <row r="25" spans="1:11" s="32" customFormat="1" ht="12">
      <c r="A25" s="347"/>
      <c r="B25" s="569">
        <v>5</v>
      </c>
      <c r="C25" s="555" t="s">
        <v>574</v>
      </c>
      <c r="D25" s="570"/>
      <c r="E25" s="570"/>
      <c r="F25" s="570"/>
      <c r="G25" s="570"/>
      <c r="H25" s="570"/>
      <c r="I25" s="570"/>
      <c r="J25" s="570"/>
      <c r="K25" s="571">
        <v>4.9599999999999998E-2</v>
      </c>
    </row>
    <row r="26" spans="1:11" s="32" customFormat="1" ht="12">
      <c r="A26" s="347"/>
      <c r="B26" s="569">
        <v>6</v>
      </c>
      <c r="C26" s="555" t="s">
        <v>510</v>
      </c>
      <c r="D26" s="570"/>
      <c r="E26" s="570"/>
      <c r="F26" s="570"/>
      <c r="G26" s="570"/>
      <c r="H26" s="570"/>
      <c r="I26" s="570"/>
      <c r="J26" s="570"/>
      <c r="K26" s="571">
        <v>4.82E-2</v>
      </c>
    </row>
    <row r="27" spans="1:11" s="32" customFormat="1" ht="12">
      <c r="A27" s="347"/>
      <c r="B27" s="569">
        <v>7</v>
      </c>
      <c r="C27" s="555" t="s">
        <v>511</v>
      </c>
      <c r="D27" s="570"/>
      <c r="E27" s="570"/>
      <c r="F27" s="570"/>
      <c r="G27" s="570"/>
      <c r="H27" s="570"/>
      <c r="I27" s="570"/>
      <c r="J27" s="570"/>
      <c r="K27" s="571">
        <v>4.1300000000000003E-2</v>
      </c>
    </row>
    <row r="28" spans="1:11" s="32" customFormat="1" ht="12">
      <c r="A28" s="347"/>
      <c r="B28" s="569">
        <v>8</v>
      </c>
      <c r="C28" s="555" t="s">
        <v>392</v>
      </c>
      <c r="D28" s="570"/>
      <c r="E28" s="570"/>
      <c r="F28" s="570"/>
      <c r="G28" s="570"/>
      <c r="H28" s="570"/>
      <c r="I28" s="570"/>
      <c r="J28" s="570"/>
      <c r="K28" s="571">
        <v>4.0899999999999999E-2</v>
      </c>
    </row>
    <row r="29" spans="1:11" s="32" customFormat="1" ht="12">
      <c r="A29" s="347"/>
      <c r="B29" s="569">
        <v>9</v>
      </c>
      <c r="C29" s="555" t="s">
        <v>533</v>
      </c>
      <c r="D29" s="570"/>
      <c r="E29" s="570"/>
      <c r="F29" s="570"/>
      <c r="G29" s="570"/>
      <c r="H29" s="570"/>
      <c r="I29" s="570"/>
      <c r="J29" s="570"/>
      <c r="K29" s="571">
        <v>4.0099999999999997E-2</v>
      </c>
    </row>
    <row r="30" spans="1:11" s="32" customFormat="1" ht="12">
      <c r="A30" s="347"/>
      <c r="B30" s="569">
        <v>10</v>
      </c>
      <c r="C30" s="555" t="s">
        <v>446</v>
      </c>
      <c r="D30" s="570"/>
      <c r="E30" s="570"/>
      <c r="F30" s="570"/>
      <c r="G30" s="570"/>
      <c r="H30" s="570"/>
      <c r="I30" s="570"/>
      <c r="J30" s="570"/>
      <c r="K30" s="571">
        <v>0.04</v>
      </c>
    </row>
    <row r="31" spans="1:11" s="32" customFormat="1" ht="12">
      <c r="A31" s="347"/>
      <c r="B31" s="542"/>
      <c r="C31" s="555"/>
      <c r="D31" s="570"/>
      <c r="E31" s="570"/>
      <c r="F31" s="570"/>
      <c r="G31" s="570"/>
      <c r="H31" s="570"/>
      <c r="I31" s="570"/>
      <c r="J31" s="570"/>
      <c r="K31" s="572"/>
    </row>
    <row r="32" spans="1:11" s="32" customFormat="1" ht="12">
      <c r="A32" s="352"/>
      <c r="B32" s="573"/>
      <c r="C32" s="553"/>
      <c r="D32" s="553"/>
      <c r="E32" s="553"/>
      <c r="F32" s="553"/>
      <c r="G32" s="574"/>
      <c r="H32" s="553"/>
      <c r="I32" s="574"/>
      <c r="J32" s="552"/>
      <c r="K32" s="542"/>
    </row>
    <row r="33" spans="1:13" s="32" customFormat="1" ht="12">
      <c r="A33" s="207">
        <f>+A19+1</f>
        <v>15</v>
      </c>
      <c r="B33" s="551" t="s">
        <v>190</v>
      </c>
      <c r="C33" s="551"/>
      <c r="D33" s="542"/>
      <c r="E33" s="542"/>
      <c r="F33" s="542"/>
      <c r="G33" s="542"/>
      <c r="H33" s="548"/>
      <c r="I33" s="575"/>
      <c r="J33" s="542"/>
      <c r="K33" s="542"/>
    </row>
    <row r="34" spans="1:13" s="232" customFormat="1" ht="10.199999999999999">
      <c r="A34" s="363"/>
      <c r="B34" s="560"/>
      <c r="C34" s="560"/>
      <c r="D34" s="560"/>
      <c r="E34" s="560"/>
      <c r="F34" s="560"/>
      <c r="G34" s="2594" t="s">
        <v>320</v>
      </c>
      <c r="H34" s="2594"/>
      <c r="I34" s="2594"/>
      <c r="J34" s="2594"/>
      <c r="K34" s="2594"/>
    </row>
    <row r="35" spans="1:13" s="232" customFormat="1" ht="10.199999999999999">
      <c r="A35" s="363"/>
      <c r="B35" s="2606" t="s">
        <v>191</v>
      </c>
      <c r="C35" s="2607"/>
      <c r="D35" s="2608"/>
      <c r="E35" s="2609"/>
      <c r="F35" s="576"/>
      <c r="G35" s="2614" t="s">
        <v>192</v>
      </c>
      <c r="H35" s="577"/>
      <c r="I35" s="2614" t="s">
        <v>193</v>
      </c>
      <c r="J35" s="578"/>
      <c r="K35" s="2617" t="s">
        <v>194</v>
      </c>
    </row>
    <row r="36" spans="1:13" s="232" customFormat="1" ht="10.199999999999999">
      <c r="A36" s="363"/>
      <c r="B36" s="2610"/>
      <c r="C36" s="2611"/>
      <c r="D36" s="2612"/>
      <c r="E36" s="2613"/>
      <c r="F36" s="579"/>
      <c r="G36" s="2615"/>
      <c r="H36" s="580"/>
      <c r="I36" s="2616"/>
      <c r="J36" s="581"/>
      <c r="K36" s="2618"/>
    </row>
    <row r="37" spans="1:13" s="232" customFormat="1" ht="10.199999999999999">
      <c r="A37" s="363"/>
      <c r="B37" s="560"/>
      <c r="C37" s="560"/>
      <c r="D37" s="560"/>
      <c r="E37" s="560"/>
      <c r="F37" s="560"/>
      <c r="G37" s="2620" t="s">
        <v>595</v>
      </c>
      <c r="H37" s="2594"/>
      <c r="I37" s="2594"/>
      <c r="J37" s="2594"/>
      <c r="K37" s="2594"/>
    </row>
    <row r="38" spans="1:13" s="232" customFormat="1" ht="9" customHeight="1">
      <c r="A38" s="363"/>
      <c r="B38" s="560"/>
      <c r="C38" s="560"/>
      <c r="D38" s="560"/>
      <c r="E38" s="560"/>
      <c r="F38" s="560"/>
      <c r="G38" s="582"/>
      <c r="H38" s="582"/>
      <c r="I38" s="583"/>
      <c r="J38" s="584"/>
      <c r="K38" s="582"/>
    </row>
    <row r="39" spans="1:13" s="232" customFormat="1" ht="10.199999999999999">
      <c r="A39" s="363"/>
      <c r="B39" s="585" t="s">
        <v>512</v>
      </c>
      <c r="C39" s="560"/>
      <c r="D39" s="560"/>
      <c r="E39" s="560"/>
      <c r="F39" s="560"/>
      <c r="G39" s="586">
        <v>4</v>
      </c>
      <c r="H39" s="560"/>
      <c r="I39" s="587">
        <v>535637</v>
      </c>
      <c r="J39" s="588"/>
      <c r="K39" s="589">
        <f t="shared" ref="K39:K44" si="0">I39/$I$45</f>
        <v>0.42799429486897778</v>
      </c>
      <c r="L39" s="232">
        <f t="shared" ref="L39:L44" si="1">ROUND(I39/1000,0)</f>
        <v>536</v>
      </c>
      <c r="M39" s="232">
        <v>1000</v>
      </c>
    </row>
    <row r="40" spans="1:13" s="232" customFormat="1" ht="10.199999999999999">
      <c r="A40" s="363"/>
      <c r="B40" s="585" t="s">
        <v>585</v>
      </c>
      <c r="C40" s="560"/>
      <c r="D40" s="560"/>
      <c r="E40" s="560"/>
      <c r="F40" s="560"/>
      <c r="G40" s="586">
        <v>472</v>
      </c>
      <c r="H40" s="560"/>
      <c r="I40" s="587">
        <v>429413</v>
      </c>
      <c r="J40" s="588"/>
      <c r="K40" s="589">
        <f t="shared" si="0"/>
        <v>0.34311728678670878</v>
      </c>
      <c r="L40" s="232">
        <f t="shared" si="1"/>
        <v>429</v>
      </c>
    </row>
    <row r="41" spans="1:13" s="232" customFormat="1" ht="10.199999999999999">
      <c r="A41" s="363"/>
      <c r="B41" s="585" t="s">
        <v>382</v>
      </c>
      <c r="C41" s="560"/>
      <c r="D41" s="560"/>
      <c r="E41" s="560"/>
      <c r="F41" s="560"/>
      <c r="G41" s="586">
        <v>3</v>
      </c>
      <c r="H41" s="560"/>
      <c r="I41" s="587">
        <v>25395</v>
      </c>
      <c r="J41" s="588"/>
      <c r="K41" s="589">
        <f t="shared" si="0"/>
        <v>2.0291568950983017E-2</v>
      </c>
      <c r="L41" s="232">
        <f t="shared" si="1"/>
        <v>25</v>
      </c>
    </row>
    <row r="42" spans="1:13" s="232" customFormat="1" ht="10.199999999999999">
      <c r="A42" s="363"/>
      <c r="B42" s="585" t="s">
        <v>581</v>
      </c>
      <c r="C42" s="560"/>
      <c r="D42" s="560"/>
      <c r="E42" s="560"/>
      <c r="F42" s="560"/>
      <c r="G42" s="586">
        <v>1</v>
      </c>
      <c r="H42" s="560"/>
      <c r="I42" s="587">
        <v>59342</v>
      </c>
      <c r="J42" s="588"/>
      <c r="K42" s="589">
        <f t="shared" si="0"/>
        <v>4.7416510521332313E-2</v>
      </c>
      <c r="L42" s="232">
        <f t="shared" si="1"/>
        <v>59</v>
      </c>
    </row>
    <row r="43" spans="1:13" s="232" customFormat="1" ht="10.199999999999999">
      <c r="A43" s="363"/>
      <c r="B43" s="585" t="s">
        <v>383</v>
      </c>
      <c r="C43" s="560"/>
      <c r="D43" s="560"/>
      <c r="E43" s="560"/>
      <c r="F43" s="560"/>
      <c r="G43" s="586">
        <v>7</v>
      </c>
      <c r="H43" s="560"/>
      <c r="I43" s="587">
        <v>126280</v>
      </c>
      <c r="J43" s="588"/>
      <c r="K43" s="589">
        <f t="shared" si="0"/>
        <v>0.10090251337389783</v>
      </c>
      <c r="L43" s="232">
        <f t="shared" si="1"/>
        <v>126</v>
      </c>
    </row>
    <row r="44" spans="1:13" s="232" customFormat="1" ht="10.199999999999999">
      <c r="A44" s="363"/>
      <c r="B44" s="585" t="s">
        <v>270</v>
      </c>
      <c r="C44" s="560"/>
      <c r="D44" s="560"/>
      <c r="E44" s="560"/>
      <c r="F44" s="560"/>
      <c r="G44" s="586">
        <v>6</v>
      </c>
      <c r="H44" s="560"/>
      <c r="I44" s="587">
        <v>75438</v>
      </c>
      <c r="J44" s="588"/>
      <c r="K44" s="589">
        <f t="shared" si="0"/>
        <v>6.027782549810029E-2</v>
      </c>
      <c r="L44" s="232">
        <f t="shared" si="1"/>
        <v>75</v>
      </c>
    </row>
    <row r="45" spans="1:13" s="232" customFormat="1" ht="10.8" thickBot="1">
      <c r="A45" s="363"/>
      <c r="B45" s="560"/>
      <c r="C45" s="560"/>
      <c r="D45" s="560"/>
      <c r="E45" s="560"/>
      <c r="F45" s="560"/>
      <c r="G45" s="590">
        <f>SUM(G39:G44)</f>
        <v>493</v>
      </c>
      <c r="H45" s="560"/>
      <c r="I45" s="590">
        <f>SUM(I39:I44)</f>
        <v>1251505</v>
      </c>
      <c r="J45" s="585"/>
      <c r="K45" s="591">
        <f>SUM(K39:K44)</f>
        <v>1</v>
      </c>
    </row>
    <row r="46" spans="1:13" s="232" customFormat="1" ht="10.8" thickTop="1">
      <c r="A46" s="363"/>
      <c r="B46" s="560"/>
      <c r="C46" s="560"/>
      <c r="D46" s="560"/>
      <c r="E46" s="560"/>
      <c r="F46" s="560"/>
      <c r="G46" s="592"/>
      <c r="H46" s="560"/>
      <c r="I46" s="592"/>
      <c r="J46" s="585"/>
      <c r="K46" s="593"/>
    </row>
    <row r="47" spans="1:13" s="232" customFormat="1">
      <c r="A47" s="363"/>
      <c r="B47" s="560" t="s">
        <v>584</v>
      </c>
      <c r="C47" s="560"/>
      <c r="D47" s="560"/>
      <c r="E47" s="560"/>
      <c r="F47" s="560"/>
      <c r="G47" s="592"/>
      <c r="H47" s="560"/>
      <c r="I47" s="592"/>
      <c r="J47" s="585"/>
      <c r="K47" s="593"/>
      <c r="M47" s="52">
        <f>38204892+10394856+958513</f>
        <v>49558261</v>
      </c>
    </row>
    <row r="48" spans="1:13" s="232" customFormat="1" ht="10.199999999999999">
      <c r="A48" s="363"/>
      <c r="B48" s="560"/>
      <c r="C48" s="560"/>
      <c r="D48" s="560"/>
      <c r="E48" s="560"/>
      <c r="F48" s="560"/>
      <c r="G48" s="592"/>
      <c r="H48" s="560"/>
      <c r="I48" s="592"/>
      <c r="J48" s="585"/>
      <c r="K48" s="593"/>
    </row>
    <row r="49" spans="1:14" s="232" customFormat="1" ht="12">
      <c r="A49" s="372">
        <f>A33+1</f>
        <v>16</v>
      </c>
      <c r="B49" s="594" t="s">
        <v>602</v>
      </c>
      <c r="C49" s="595"/>
      <c r="D49" s="595"/>
      <c r="E49" s="595"/>
      <c r="F49" s="595"/>
      <c r="G49" s="595"/>
      <c r="H49" s="595"/>
      <c r="I49" s="595"/>
      <c r="J49" s="595"/>
      <c r="K49" s="595"/>
      <c r="L49" s="357"/>
      <c r="M49" s="357"/>
    </row>
    <row r="50" spans="1:14" s="232" customFormat="1" ht="12">
      <c r="A50" s="372"/>
      <c r="B50" s="594"/>
      <c r="C50" s="595"/>
      <c r="D50" s="595"/>
      <c r="E50" s="595"/>
      <c r="F50" s="595"/>
      <c r="G50" s="595"/>
      <c r="H50" s="595"/>
      <c r="I50" s="595"/>
      <c r="J50" s="595"/>
      <c r="K50" s="595"/>
      <c r="L50" s="357"/>
      <c r="M50" s="357"/>
    </row>
    <row r="51" spans="1:14" s="232" customFormat="1" ht="12" customHeight="1">
      <c r="A51" s="55"/>
      <c r="B51" s="2630" t="s">
        <v>603</v>
      </c>
      <c r="C51" s="2630"/>
      <c r="D51" s="2630"/>
      <c r="E51" s="2630"/>
      <c r="F51" s="2630"/>
      <c r="G51" s="2630"/>
      <c r="H51" s="2630"/>
      <c r="I51" s="2630"/>
      <c r="J51" s="2630"/>
      <c r="K51" s="2630"/>
      <c r="L51" s="371"/>
      <c r="M51" s="371"/>
      <c r="N51" s="371"/>
    </row>
    <row r="52" spans="1:14" s="232" customFormat="1" ht="12">
      <c r="A52" s="55"/>
      <c r="B52" s="2630"/>
      <c r="C52" s="2630"/>
      <c r="D52" s="2630"/>
      <c r="E52" s="2630"/>
      <c r="F52" s="2630"/>
      <c r="G52" s="2630"/>
      <c r="H52" s="2630"/>
      <c r="I52" s="2630"/>
      <c r="J52" s="2630"/>
      <c r="K52" s="2630"/>
      <c r="L52" s="371"/>
      <c r="M52" s="371"/>
      <c r="N52" s="371"/>
    </row>
    <row r="53" spans="1:14" s="232" customFormat="1" ht="12">
      <c r="A53" s="55"/>
      <c r="B53" s="2630"/>
      <c r="C53" s="2630"/>
      <c r="D53" s="2630"/>
      <c r="E53" s="2630"/>
      <c r="F53" s="2630"/>
      <c r="G53" s="2630"/>
      <c r="H53" s="2630"/>
      <c r="I53" s="2630"/>
      <c r="J53" s="2630"/>
      <c r="K53" s="2630"/>
      <c r="L53" s="371"/>
      <c r="M53" s="371"/>
      <c r="N53" s="371"/>
    </row>
    <row r="54" spans="1:14" s="232" customFormat="1" ht="12">
      <c r="A54" s="372"/>
      <c r="B54" s="594"/>
      <c r="C54" s="595"/>
      <c r="D54" s="595"/>
      <c r="E54" s="595"/>
      <c r="F54" s="595"/>
      <c r="G54" s="595"/>
      <c r="H54" s="595"/>
      <c r="I54" s="595"/>
      <c r="J54" s="595"/>
      <c r="K54" s="595"/>
      <c r="L54" s="357"/>
      <c r="M54" s="357"/>
    </row>
    <row r="55" spans="1:14" s="232" customFormat="1" ht="10.199999999999999">
      <c r="A55" s="373"/>
      <c r="B55" s="2631" t="s">
        <v>513</v>
      </c>
      <c r="C55" s="2632"/>
      <c r="D55" s="2621" t="s">
        <v>350</v>
      </c>
      <c r="E55" s="2622"/>
      <c r="F55" s="2622"/>
      <c r="G55" s="2622"/>
      <c r="H55" s="596"/>
      <c r="I55" s="2623" t="s">
        <v>351</v>
      </c>
      <c r="J55" s="2624"/>
      <c r="K55" s="2625"/>
      <c r="L55" s="360"/>
      <c r="M55" s="360"/>
    </row>
    <row r="56" spans="1:14" s="232" customFormat="1" ht="10.199999999999999">
      <c r="A56" s="373"/>
      <c r="B56" s="2633"/>
      <c r="C56" s="2634"/>
      <c r="D56" s="597" t="s">
        <v>352</v>
      </c>
      <c r="E56" s="2621" t="s">
        <v>353</v>
      </c>
      <c r="F56" s="2629"/>
      <c r="G56" s="2621" t="s">
        <v>354</v>
      </c>
      <c r="H56" s="2629"/>
      <c r="I56" s="2626"/>
      <c r="J56" s="2627"/>
      <c r="K56" s="2628"/>
      <c r="L56" s="360"/>
      <c r="M56" s="360"/>
    </row>
    <row r="57" spans="1:14" s="232" customFormat="1" ht="9" customHeight="1">
      <c r="A57" s="373"/>
      <c r="B57" s="598"/>
      <c r="C57" s="599"/>
      <c r="D57" s="599"/>
      <c r="E57" s="599"/>
      <c r="F57" s="599"/>
      <c r="G57" s="599"/>
      <c r="H57" s="599"/>
      <c r="I57" s="599"/>
      <c r="J57" s="599"/>
      <c r="K57" s="599"/>
      <c r="L57" s="358"/>
      <c r="M57" s="358"/>
    </row>
    <row r="58" spans="1:14" s="232" customFormat="1" ht="10.199999999999999">
      <c r="A58" s="374"/>
      <c r="B58" s="560" t="s">
        <v>384</v>
      </c>
      <c r="C58" s="600"/>
      <c r="D58" s="601">
        <v>6</v>
      </c>
      <c r="E58" s="601">
        <v>3</v>
      </c>
      <c r="F58" s="602"/>
      <c r="G58" s="2593">
        <f>D58-E58</f>
        <v>3</v>
      </c>
      <c r="H58" s="2593"/>
      <c r="I58" s="603" t="s">
        <v>563</v>
      </c>
      <c r="J58" s="604"/>
      <c r="K58" s="562"/>
      <c r="L58" s="218"/>
      <c r="M58" s="218"/>
    </row>
    <row r="59" spans="1:14" s="232" customFormat="1" ht="10.199999999999999">
      <c r="A59" s="374"/>
      <c r="B59" s="560" t="s">
        <v>385</v>
      </c>
      <c r="C59" s="600"/>
      <c r="D59" s="601">
        <v>6</v>
      </c>
      <c r="E59" s="601">
        <v>5</v>
      </c>
      <c r="F59" s="602"/>
      <c r="G59" s="2593">
        <f t="shared" ref="G59:G66" si="2">D59-E59</f>
        <v>1</v>
      </c>
      <c r="H59" s="2593"/>
      <c r="I59" s="603" t="s">
        <v>564</v>
      </c>
      <c r="J59" s="604"/>
      <c r="K59" s="562"/>
      <c r="L59" s="218"/>
      <c r="M59" s="218"/>
    </row>
    <row r="60" spans="1:14" s="232" customFormat="1" ht="10.199999999999999">
      <c r="A60" s="374"/>
      <c r="B60" s="560" t="s">
        <v>386</v>
      </c>
      <c r="C60" s="600"/>
      <c r="D60" s="601">
        <v>6</v>
      </c>
      <c r="E60" s="601">
        <v>5</v>
      </c>
      <c r="F60" s="602"/>
      <c r="G60" s="2593">
        <f t="shared" si="2"/>
        <v>1</v>
      </c>
      <c r="H60" s="2593"/>
      <c r="I60" s="603" t="s">
        <v>565</v>
      </c>
      <c r="J60" s="604"/>
      <c r="K60" s="562"/>
      <c r="L60" s="218"/>
      <c r="M60" s="218"/>
    </row>
    <row r="61" spans="1:14" s="232" customFormat="1" ht="10.199999999999999">
      <c r="A61" s="374"/>
      <c r="B61" s="560" t="s">
        <v>387</v>
      </c>
      <c r="C61" s="605"/>
      <c r="D61" s="601">
        <v>3</v>
      </c>
      <c r="E61" s="601">
        <v>0</v>
      </c>
      <c r="F61" s="602"/>
      <c r="G61" s="2593">
        <f t="shared" si="2"/>
        <v>3</v>
      </c>
      <c r="H61" s="2593"/>
      <c r="I61" s="603" t="s">
        <v>566</v>
      </c>
      <c r="J61" s="604"/>
      <c r="K61" s="562"/>
      <c r="L61" s="218"/>
      <c r="M61" s="218"/>
    </row>
    <row r="62" spans="1:14" s="232" customFormat="1" ht="10.199999999999999">
      <c r="A62" s="374"/>
      <c r="B62" s="606" t="s">
        <v>355</v>
      </c>
      <c r="C62" s="605"/>
      <c r="D62" s="601">
        <v>6</v>
      </c>
      <c r="E62" s="601">
        <v>4</v>
      </c>
      <c r="F62" s="602"/>
      <c r="G62" s="2593">
        <f t="shared" si="2"/>
        <v>2</v>
      </c>
      <c r="H62" s="2593"/>
      <c r="I62" s="603" t="s">
        <v>567</v>
      </c>
      <c r="J62" s="604"/>
      <c r="K62" s="562"/>
      <c r="L62" s="218"/>
      <c r="M62" s="218"/>
    </row>
    <row r="63" spans="1:14" s="232" customFormat="1" ht="10.199999999999999">
      <c r="A63" s="374"/>
      <c r="B63" s="606" t="s">
        <v>388</v>
      </c>
      <c r="C63" s="605"/>
      <c r="D63" s="601">
        <v>2</v>
      </c>
      <c r="E63" s="601">
        <v>2</v>
      </c>
      <c r="F63" s="602"/>
      <c r="G63" s="2593">
        <f t="shared" si="2"/>
        <v>0</v>
      </c>
      <c r="H63" s="2593"/>
      <c r="I63" s="603" t="s">
        <v>127</v>
      </c>
      <c r="J63" s="604"/>
      <c r="K63" s="562"/>
      <c r="L63" s="218"/>
      <c r="M63" s="218"/>
    </row>
    <row r="64" spans="1:14" s="232" customFormat="1" ht="10.199999999999999">
      <c r="A64" s="374"/>
      <c r="B64" s="560" t="s">
        <v>356</v>
      </c>
      <c r="C64" s="605"/>
      <c r="D64" s="601">
        <v>6</v>
      </c>
      <c r="E64" s="601">
        <v>5</v>
      </c>
      <c r="F64" s="602"/>
      <c r="G64" s="2593">
        <f t="shared" si="2"/>
        <v>1</v>
      </c>
      <c r="H64" s="2593"/>
      <c r="I64" s="603" t="s">
        <v>568</v>
      </c>
      <c r="J64" s="604"/>
      <c r="K64" s="562"/>
      <c r="L64" s="218"/>
      <c r="M64" s="218"/>
    </row>
    <row r="65" spans="1:13" s="232" customFormat="1" ht="10.199999999999999">
      <c r="A65" s="374"/>
      <c r="B65" s="560" t="s">
        <v>389</v>
      </c>
      <c r="C65" s="605"/>
      <c r="D65" s="601">
        <v>6</v>
      </c>
      <c r="E65" s="601">
        <v>4</v>
      </c>
      <c r="F65" s="602"/>
      <c r="G65" s="2593">
        <f t="shared" si="2"/>
        <v>2</v>
      </c>
      <c r="H65" s="2593"/>
      <c r="I65" s="603" t="s">
        <v>569</v>
      </c>
      <c r="J65" s="604"/>
      <c r="K65" s="562"/>
      <c r="L65" s="218"/>
      <c r="M65" s="218"/>
    </row>
    <row r="66" spans="1:13" s="232" customFormat="1" ht="10.199999999999999">
      <c r="A66" s="374"/>
      <c r="B66" s="560" t="s">
        <v>390</v>
      </c>
      <c r="C66" s="605"/>
      <c r="D66" s="601">
        <v>6</v>
      </c>
      <c r="E66" s="601">
        <v>6</v>
      </c>
      <c r="F66" s="602"/>
      <c r="G66" s="2593">
        <f t="shared" si="2"/>
        <v>0</v>
      </c>
      <c r="H66" s="2593"/>
      <c r="I66" s="607" t="s">
        <v>127</v>
      </c>
      <c r="J66" s="604"/>
      <c r="K66" s="562"/>
      <c r="L66" s="218"/>
      <c r="M66" s="218"/>
    </row>
    <row r="67" spans="1:13" s="232" customFormat="1" ht="6" customHeight="1">
      <c r="A67" s="374"/>
      <c r="B67" s="600"/>
      <c r="C67" s="605"/>
      <c r="D67" s="608"/>
      <c r="E67" s="2641"/>
      <c r="F67" s="2641"/>
      <c r="G67" s="2599"/>
      <c r="H67" s="2599"/>
      <c r="I67" s="560"/>
      <c r="J67" s="609"/>
      <c r="K67" s="609"/>
      <c r="L67" s="218"/>
      <c r="M67" s="218"/>
    </row>
    <row r="68" spans="1:13" s="232" customFormat="1" ht="10.199999999999999">
      <c r="A68" s="375"/>
      <c r="B68" s="610" t="s">
        <v>604</v>
      </c>
      <c r="C68" s="611"/>
      <c r="D68" s="606"/>
      <c r="E68" s="606"/>
      <c r="F68" s="606"/>
      <c r="G68" s="606"/>
      <c r="H68" s="612"/>
      <c r="I68" s="613"/>
      <c r="J68" s="614"/>
      <c r="K68" s="614"/>
      <c r="L68" s="359"/>
      <c r="M68" s="359"/>
    </row>
    <row r="69" spans="1:13" s="232" customFormat="1" ht="10.199999999999999">
      <c r="A69" s="375"/>
      <c r="B69" s="610" t="s">
        <v>623</v>
      </c>
      <c r="C69" s="611"/>
      <c r="D69" s="606"/>
      <c r="E69" s="606"/>
      <c r="F69" s="606"/>
      <c r="G69" s="606"/>
      <c r="H69" s="615"/>
      <c r="I69" s="613"/>
      <c r="J69" s="614"/>
      <c r="K69" s="614"/>
      <c r="L69" s="359"/>
      <c r="M69" s="359"/>
    </row>
    <row r="70" spans="1:13" s="232" customFormat="1" ht="10.199999999999999">
      <c r="A70" s="375"/>
      <c r="B70" s="610"/>
      <c r="C70" s="611"/>
      <c r="D70" s="606"/>
      <c r="E70" s="606"/>
      <c r="F70" s="606"/>
      <c r="G70" s="606"/>
      <c r="H70" s="615"/>
      <c r="I70" s="613"/>
      <c r="J70" s="614"/>
      <c r="K70" s="614"/>
      <c r="L70" s="359"/>
      <c r="M70" s="359"/>
    </row>
    <row r="71" spans="1:13" s="32" customFormat="1">
      <c r="A71" s="346" t="e">
        <f>A1+1</f>
        <v>#REF!</v>
      </c>
      <c r="B71" s="547"/>
      <c r="C71" s="547"/>
      <c r="D71" s="547"/>
      <c r="E71" s="547"/>
      <c r="F71" s="547"/>
      <c r="G71" s="547"/>
      <c r="H71" s="547"/>
      <c r="I71" s="547"/>
      <c r="J71" s="547"/>
      <c r="K71" s="547"/>
    </row>
    <row r="72" spans="1:13" s="32" customFormat="1">
      <c r="B72" s="542"/>
      <c r="C72" s="542"/>
      <c r="D72" s="542"/>
      <c r="E72" s="542"/>
      <c r="F72" s="542"/>
      <c r="G72" s="542"/>
      <c r="H72" s="542"/>
      <c r="I72" s="542"/>
      <c r="J72" s="542"/>
      <c r="K72" s="542"/>
    </row>
    <row r="73" spans="1:13" s="232" customFormat="1" ht="12">
      <c r="A73" s="60">
        <f>A49+1</f>
        <v>17</v>
      </c>
      <c r="B73" s="616" t="s">
        <v>195</v>
      </c>
      <c r="C73" s="617"/>
      <c r="D73" s="617"/>
      <c r="E73" s="617"/>
      <c r="F73" s="617"/>
      <c r="G73" s="617"/>
      <c r="H73" s="617"/>
      <c r="I73" s="617"/>
      <c r="J73" s="617"/>
      <c r="K73" s="617"/>
      <c r="L73" s="359"/>
      <c r="M73" s="359"/>
    </row>
    <row r="74" spans="1:13" s="232" customFormat="1" ht="12">
      <c r="A74" s="60"/>
      <c r="B74" s="616"/>
      <c r="C74" s="617"/>
      <c r="D74" s="617"/>
      <c r="E74" s="617"/>
      <c r="F74" s="617"/>
      <c r="G74" s="617"/>
      <c r="H74" s="617"/>
      <c r="I74" s="617"/>
      <c r="J74" s="617"/>
      <c r="K74" s="617"/>
      <c r="L74" s="359"/>
      <c r="M74" s="359"/>
    </row>
    <row r="75" spans="1:13" s="232" customFormat="1" ht="10.199999999999999">
      <c r="B75" s="618"/>
      <c r="C75" s="562"/>
      <c r="D75" s="562"/>
      <c r="E75" s="562"/>
      <c r="F75" s="562"/>
      <c r="G75" s="2594" t="s">
        <v>333</v>
      </c>
      <c r="H75" s="2594"/>
      <c r="I75" s="2594"/>
      <c r="J75" s="2594"/>
      <c r="K75" s="2595"/>
      <c r="L75" s="359"/>
      <c r="M75" s="359"/>
    </row>
    <row r="76" spans="1:13" s="232" customFormat="1" ht="10.199999999999999">
      <c r="A76" s="353"/>
      <c r="B76" s="2644" t="s">
        <v>262</v>
      </c>
      <c r="C76" s="2645"/>
      <c r="D76" s="2646"/>
      <c r="E76" s="2596" t="s">
        <v>72</v>
      </c>
      <c r="F76" s="619"/>
      <c r="G76" s="2596" t="s">
        <v>73</v>
      </c>
      <c r="H76" s="619"/>
      <c r="I76" s="2638" t="s">
        <v>514</v>
      </c>
      <c r="J76" s="620"/>
      <c r="K76" s="2639" t="s">
        <v>44</v>
      </c>
      <c r="L76" s="359"/>
      <c r="M76" s="359"/>
    </row>
    <row r="77" spans="1:13" s="232" customFormat="1" ht="10.199999999999999">
      <c r="A77" s="353"/>
      <c r="B77" s="2647"/>
      <c r="C77" s="2648"/>
      <c r="D77" s="2649"/>
      <c r="E77" s="2597"/>
      <c r="F77" s="621"/>
      <c r="G77" s="2597"/>
      <c r="H77" s="621"/>
      <c r="I77" s="2597"/>
      <c r="J77" s="622"/>
      <c r="K77" s="2640"/>
      <c r="L77" s="359"/>
      <c r="M77" s="359"/>
    </row>
    <row r="78" spans="1:13" s="232" customFormat="1" ht="10.199999999999999">
      <c r="A78" s="353"/>
      <c r="B78" s="2647"/>
      <c r="C78" s="2648"/>
      <c r="D78" s="2649"/>
      <c r="E78" s="2597"/>
      <c r="F78" s="621"/>
      <c r="G78" s="2597"/>
      <c r="H78" s="621"/>
      <c r="I78" s="2597"/>
      <c r="J78" s="622"/>
      <c r="K78" s="2640"/>
      <c r="L78" s="359"/>
      <c r="M78" s="359"/>
    </row>
    <row r="79" spans="1:13" s="232" customFormat="1" ht="10.199999999999999">
      <c r="A79" s="353"/>
      <c r="B79" s="2650"/>
      <c r="C79" s="2651"/>
      <c r="D79" s="2652"/>
      <c r="E79" s="2598"/>
      <c r="F79" s="623"/>
      <c r="G79" s="2598"/>
      <c r="H79" s="623"/>
      <c r="I79" s="2598"/>
      <c r="J79" s="624"/>
      <c r="K79" s="2640"/>
      <c r="L79" s="359"/>
      <c r="M79" s="359"/>
    </row>
    <row r="80" spans="1:13" s="232" customFormat="1" ht="10.199999999999999">
      <c r="A80" s="345"/>
      <c r="B80" s="618"/>
      <c r="C80" s="562"/>
      <c r="D80" s="562"/>
      <c r="E80" s="2653" t="s">
        <v>300</v>
      </c>
      <c r="F80" s="2653"/>
      <c r="G80" s="2653"/>
      <c r="H80" s="2653"/>
      <c r="I80" s="2653"/>
      <c r="J80" s="2653"/>
      <c r="K80" s="2653"/>
      <c r="L80" s="359"/>
      <c r="M80" s="359"/>
    </row>
    <row r="81" spans="1:13" s="232" customFormat="1" ht="11.25" customHeight="1">
      <c r="A81" s="345"/>
      <c r="B81" s="625" t="s">
        <v>440</v>
      </c>
      <c r="C81" s="562"/>
      <c r="D81" s="562"/>
      <c r="E81" s="562"/>
      <c r="F81" s="562"/>
      <c r="G81" s="626"/>
      <c r="H81" s="626"/>
      <c r="I81" s="626"/>
      <c r="J81" s="626"/>
      <c r="K81" s="626"/>
      <c r="L81" s="359"/>
      <c r="M81" s="359"/>
    </row>
    <row r="82" spans="1:13" s="232" customFormat="1" ht="10.199999999999999">
      <c r="A82" s="345"/>
      <c r="B82" s="627" t="s">
        <v>196</v>
      </c>
      <c r="C82" s="562"/>
      <c r="D82" s="562"/>
      <c r="E82" s="628">
        <v>0</v>
      </c>
      <c r="F82" s="562"/>
      <c r="G82" s="629">
        <f>BS!F11</f>
        <v>522936</v>
      </c>
      <c r="H82" s="629"/>
      <c r="I82" s="629">
        <v>0</v>
      </c>
      <c r="J82" s="629"/>
      <c r="K82" s="629">
        <f>SUM(E82:I82)</f>
        <v>522936</v>
      </c>
      <c r="L82" s="359"/>
      <c r="M82" s="359"/>
    </row>
    <row r="83" spans="1:13" s="232" customFormat="1" ht="10.199999999999999">
      <c r="A83" s="345"/>
      <c r="B83" s="630" t="s">
        <v>112</v>
      </c>
      <c r="C83" s="562"/>
      <c r="D83" s="562"/>
      <c r="E83" s="631" t="e">
        <f>#REF!</f>
        <v>#REF!</v>
      </c>
      <c r="F83" s="562"/>
      <c r="G83" s="629">
        <v>0</v>
      </c>
      <c r="H83" s="629"/>
      <c r="I83" s="629" t="e">
        <f>BS!F12-#REF!</f>
        <v>#REF!</v>
      </c>
      <c r="J83" s="629"/>
      <c r="K83" s="629" t="e">
        <f>SUM(E83:I83)</f>
        <v>#REF!</v>
      </c>
      <c r="L83" s="359"/>
      <c r="M83" s="359"/>
    </row>
    <row r="84" spans="1:13" s="232" customFormat="1" ht="10.199999999999999">
      <c r="A84" s="345"/>
      <c r="B84" s="630" t="s">
        <v>376</v>
      </c>
      <c r="C84" s="562"/>
      <c r="D84" s="562"/>
      <c r="E84" s="628">
        <v>0</v>
      </c>
      <c r="F84" s="562"/>
      <c r="G84" s="629">
        <f>BS!F13</f>
        <v>205018</v>
      </c>
      <c r="H84" s="629"/>
      <c r="I84" s="629"/>
      <c r="J84" s="629"/>
      <c r="K84" s="629">
        <f>SUM(E84:I84)</f>
        <v>205018</v>
      </c>
      <c r="L84" s="359"/>
      <c r="M84" s="359"/>
    </row>
    <row r="85" spans="1:13" s="232" customFormat="1" ht="10.199999999999999">
      <c r="A85" s="345"/>
      <c r="B85" s="630" t="s">
        <v>345</v>
      </c>
      <c r="C85" s="562"/>
      <c r="D85" s="562"/>
      <c r="E85" s="628">
        <v>0</v>
      </c>
      <c r="F85" s="562"/>
      <c r="G85" s="629">
        <f>BS!F14</f>
        <v>73053</v>
      </c>
      <c r="H85" s="629"/>
      <c r="I85" s="629">
        <v>0</v>
      </c>
      <c r="J85" s="629"/>
      <c r="K85" s="629">
        <f>SUM(E85:I85)</f>
        <v>73053</v>
      </c>
      <c r="L85" s="359"/>
      <c r="M85" s="359"/>
    </row>
    <row r="86" spans="1:13" s="232" customFormat="1" ht="10.199999999999999">
      <c r="A86" s="345"/>
      <c r="B86" s="630" t="s">
        <v>308</v>
      </c>
      <c r="C86" s="562"/>
      <c r="D86" s="562"/>
      <c r="E86" s="628">
        <v>0</v>
      </c>
      <c r="F86" s="562"/>
      <c r="G86" s="632">
        <f>BS!F15</f>
        <v>17713</v>
      </c>
      <c r="H86" s="629"/>
      <c r="I86" s="629">
        <v>0</v>
      </c>
      <c r="J86" s="629"/>
      <c r="K86" s="629">
        <f>SUM(E86:I86)</f>
        <v>17713</v>
      </c>
      <c r="L86" s="359"/>
      <c r="M86" s="359"/>
    </row>
    <row r="87" spans="1:13" s="232" customFormat="1" ht="10.8" thickBot="1">
      <c r="A87" s="345"/>
      <c r="B87" s="633"/>
      <c r="C87" s="562"/>
      <c r="D87" s="562"/>
      <c r="E87" s="634" t="e">
        <f>SUM(E82:E86)</f>
        <v>#REF!</v>
      </c>
      <c r="F87" s="562"/>
      <c r="G87" s="635">
        <f>SUM(G82:G86)</f>
        <v>818720</v>
      </c>
      <c r="H87" s="636"/>
      <c r="I87" s="635" t="e">
        <f>SUM(I82:I86)</f>
        <v>#REF!</v>
      </c>
      <c r="J87" s="636"/>
      <c r="K87" s="635" t="e">
        <f>SUM(K82:K86)</f>
        <v>#REF!</v>
      </c>
      <c r="L87" s="359"/>
      <c r="M87" s="359"/>
    </row>
    <row r="88" spans="1:13" s="232" customFormat="1" ht="10.8" thickTop="1">
      <c r="A88" s="345"/>
      <c r="B88" s="633"/>
      <c r="C88" s="562"/>
      <c r="D88" s="562"/>
      <c r="E88" s="562"/>
      <c r="F88" s="562"/>
      <c r="G88" s="636"/>
      <c r="H88" s="636"/>
      <c r="I88" s="636"/>
      <c r="J88" s="636"/>
      <c r="K88" s="636"/>
      <c r="L88" s="359"/>
      <c r="M88" s="359"/>
    </row>
    <row r="89" spans="1:13" s="232" customFormat="1" ht="10.199999999999999">
      <c r="A89" s="345"/>
      <c r="B89" s="633"/>
      <c r="C89" s="562"/>
      <c r="D89" s="562"/>
      <c r="E89" s="562"/>
      <c r="F89" s="562"/>
      <c r="G89" s="2594" t="s">
        <v>333</v>
      </c>
      <c r="H89" s="2594"/>
      <c r="I89" s="2594"/>
      <c r="J89" s="2594"/>
      <c r="K89" s="2595"/>
      <c r="L89" s="359"/>
      <c r="M89" s="359"/>
    </row>
    <row r="90" spans="1:13" s="232" customFormat="1" ht="10.199999999999999">
      <c r="A90" s="345"/>
      <c r="B90" s="2642" t="s">
        <v>262</v>
      </c>
      <c r="C90" s="2642"/>
      <c r="D90" s="2642"/>
      <c r="E90" s="2642"/>
      <c r="F90" s="2643"/>
      <c r="G90" s="2596" t="s">
        <v>313</v>
      </c>
      <c r="H90" s="619"/>
      <c r="I90" s="2596" t="s">
        <v>580</v>
      </c>
      <c r="J90" s="620"/>
      <c r="K90" s="2640" t="s">
        <v>44</v>
      </c>
      <c r="L90" s="359"/>
      <c r="M90" s="359"/>
    </row>
    <row r="91" spans="1:13" s="232" customFormat="1" ht="10.199999999999999">
      <c r="A91" s="345"/>
      <c r="B91" s="2642"/>
      <c r="C91" s="2642"/>
      <c r="D91" s="2642"/>
      <c r="E91" s="2642"/>
      <c r="F91" s="2643"/>
      <c r="G91" s="2597"/>
      <c r="H91" s="621"/>
      <c r="I91" s="2597"/>
      <c r="J91" s="622"/>
      <c r="K91" s="2640"/>
      <c r="L91" s="359"/>
      <c r="M91" s="359"/>
    </row>
    <row r="92" spans="1:13" s="232" customFormat="1" ht="35.25" customHeight="1">
      <c r="A92" s="345"/>
      <c r="B92" s="2642"/>
      <c r="C92" s="2642"/>
      <c r="D92" s="2642"/>
      <c r="E92" s="2642"/>
      <c r="F92" s="2643"/>
      <c r="G92" s="2598"/>
      <c r="H92" s="623"/>
      <c r="I92" s="2598"/>
      <c r="J92" s="624"/>
      <c r="K92" s="2640"/>
      <c r="L92" s="359"/>
      <c r="M92" s="359"/>
    </row>
    <row r="93" spans="1:13" s="232" customFormat="1" ht="10.199999999999999">
      <c r="A93" s="345"/>
      <c r="B93" s="637"/>
      <c r="C93" s="637"/>
      <c r="D93" s="637"/>
      <c r="E93" s="637"/>
      <c r="F93" s="637"/>
      <c r="G93" s="2600" t="s">
        <v>300</v>
      </c>
      <c r="H93" s="2600"/>
      <c r="I93" s="2600"/>
      <c r="J93" s="2600"/>
      <c r="K93" s="2600"/>
      <c r="L93" s="359"/>
      <c r="M93" s="359"/>
    </row>
    <row r="94" spans="1:13" s="232" customFormat="1" ht="10.199999999999999">
      <c r="A94" s="345"/>
      <c r="B94" s="638" t="s">
        <v>515</v>
      </c>
      <c r="C94" s="562"/>
      <c r="D94" s="562"/>
      <c r="E94" s="562"/>
      <c r="F94" s="562"/>
      <c r="G94" s="626"/>
      <c r="H94" s="626"/>
      <c r="I94" s="626"/>
      <c r="J94" s="626"/>
      <c r="K94" s="626"/>
      <c r="L94" s="359"/>
      <c r="M94" s="359"/>
    </row>
    <row r="95" spans="1:13" s="232" customFormat="1" ht="10.199999999999999">
      <c r="A95" s="345"/>
      <c r="B95" s="639" t="s">
        <v>575</v>
      </c>
      <c r="C95" s="562"/>
      <c r="D95" s="562"/>
      <c r="E95" s="562"/>
      <c r="F95" s="562"/>
      <c r="G95" s="626"/>
      <c r="H95" s="626"/>
      <c r="I95" s="626"/>
      <c r="J95" s="626"/>
      <c r="K95" s="626"/>
      <c r="L95" s="359"/>
      <c r="M95" s="359"/>
    </row>
    <row r="96" spans="1:13" s="232" customFormat="1" ht="10.199999999999999">
      <c r="A96" s="345"/>
      <c r="B96" s="640" t="s">
        <v>576</v>
      </c>
      <c r="C96" s="641"/>
      <c r="D96" s="562"/>
      <c r="E96" s="562"/>
      <c r="F96" s="562"/>
      <c r="G96" s="629">
        <v>0</v>
      </c>
      <c r="H96" s="629"/>
      <c r="I96" s="629">
        <f>BS!F19</f>
        <v>0</v>
      </c>
      <c r="J96" s="629"/>
      <c r="K96" s="629">
        <f>SUM(G96:I96)</f>
        <v>0</v>
      </c>
      <c r="L96" s="359"/>
      <c r="M96" s="359"/>
    </row>
    <row r="97" spans="1:13" s="232" customFormat="1" ht="10.199999999999999">
      <c r="A97" s="345"/>
      <c r="B97" s="639" t="s">
        <v>317</v>
      </c>
      <c r="C97" s="641"/>
      <c r="D97" s="562"/>
      <c r="E97" s="562"/>
      <c r="F97" s="562"/>
      <c r="G97" s="629">
        <v>0</v>
      </c>
      <c r="H97" s="629"/>
      <c r="I97" s="629">
        <f>BS!F21</f>
        <v>1085</v>
      </c>
      <c r="J97" s="629"/>
      <c r="K97" s="629">
        <f>SUM(G97:I97)</f>
        <v>1085</v>
      </c>
      <c r="L97" s="359"/>
      <c r="M97" s="359"/>
    </row>
    <row r="98" spans="1:13" s="232" customFormat="1" ht="10.199999999999999">
      <c r="A98" s="345"/>
      <c r="B98" s="639" t="s">
        <v>154</v>
      </c>
      <c r="C98" s="641"/>
      <c r="D98" s="562"/>
      <c r="E98" s="562"/>
      <c r="F98" s="562"/>
      <c r="G98" s="629">
        <v>0</v>
      </c>
      <c r="H98" s="629"/>
      <c r="I98" s="629">
        <f>BS!F25</f>
        <v>386</v>
      </c>
      <c r="J98" s="629"/>
      <c r="K98" s="629">
        <f>SUM(G98:I98)</f>
        <v>386</v>
      </c>
      <c r="L98" s="359"/>
      <c r="M98" s="359"/>
    </row>
    <row r="99" spans="1:13" s="232" customFormat="1" ht="10.199999999999999">
      <c r="A99" s="345"/>
      <c r="B99" s="639" t="s">
        <v>55</v>
      </c>
      <c r="C99" s="641"/>
      <c r="D99" s="562"/>
      <c r="E99" s="562"/>
      <c r="F99" s="562"/>
      <c r="G99" s="632">
        <v>0</v>
      </c>
      <c r="H99" s="629"/>
      <c r="I99" s="629" t="e">
        <f>#REF!-#REF!-#REF!</f>
        <v>#REF!</v>
      </c>
      <c r="J99" s="629"/>
      <c r="K99" s="629" t="e">
        <f>SUM(G99:I99)</f>
        <v>#REF!</v>
      </c>
      <c r="L99" s="359"/>
      <c r="M99" s="359"/>
    </row>
    <row r="100" spans="1:13" s="232" customFormat="1" ht="10.8" thickBot="1">
      <c r="A100" s="345"/>
      <c r="B100" s="633"/>
      <c r="C100" s="562"/>
      <c r="D100" s="562"/>
      <c r="E100" s="562"/>
      <c r="F100" s="562"/>
      <c r="G100" s="635">
        <f>SUM(G96:G99)</f>
        <v>0</v>
      </c>
      <c r="H100" s="636"/>
      <c r="I100" s="635" t="e">
        <f>SUM(I96:I99)</f>
        <v>#REF!</v>
      </c>
      <c r="J100" s="636"/>
      <c r="K100" s="635" t="e">
        <f>SUM(K96:K99)</f>
        <v>#REF!</v>
      </c>
      <c r="L100" s="359"/>
      <c r="M100" s="359"/>
    </row>
    <row r="101" spans="1:13" s="232" customFormat="1" ht="10.8" thickTop="1">
      <c r="A101" s="375"/>
      <c r="B101" s="610"/>
      <c r="C101" s="611"/>
      <c r="D101" s="606"/>
      <c r="E101" s="606"/>
      <c r="F101" s="606"/>
      <c r="G101" s="606"/>
      <c r="H101" s="615"/>
      <c r="I101" s="613"/>
      <c r="J101" s="614"/>
      <c r="K101" s="614"/>
      <c r="L101" s="359"/>
      <c r="M101" s="359"/>
    </row>
    <row r="102" spans="1:13" s="32" customFormat="1" ht="12">
      <c r="A102" s="207">
        <f>A73+1</f>
        <v>18</v>
      </c>
      <c r="B102" s="541" t="s">
        <v>198</v>
      </c>
      <c r="C102" s="541"/>
      <c r="D102" s="541"/>
      <c r="E102" s="542"/>
      <c r="F102" s="548"/>
      <c r="G102" s="542"/>
      <c r="H102" s="548"/>
      <c r="I102" s="548"/>
      <c r="J102" s="542"/>
      <c r="K102" s="542"/>
    </row>
    <row r="103" spans="1:13" s="32" customFormat="1" ht="12">
      <c r="A103" s="208"/>
      <c r="B103" s="542"/>
      <c r="C103" s="542"/>
      <c r="D103" s="542"/>
      <c r="E103" s="542"/>
      <c r="F103" s="548"/>
      <c r="G103" s="542"/>
      <c r="H103" s="548"/>
      <c r="I103" s="548"/>
      <c r="J103" s="542"/>
      <c r="K103" s="542"/>
    </row>
    <row r="104" spans="1:13" s="32" customFormat="1" ht="12">
      <c r="A104" s="208"/>
      <c r="B104" s="642" t="s">
        <v>199</v>
      </c>
      <c r="C104" s="642"/>
      <c r="D104" s="642"/>
      <c r="E104" s="642"/>
      <c r="F104" s="642"/>
      <c r="G104" s="642"/>
      <c r="H104" s="642"/>
      <c r="I104" s="642"/>
      <c r="J104" s="542"/>
      <c r="K104" s="542"/>
    </row>
    <row r="105" spans="1:13" s="32" customFormat="1" ht="12">
      <c r="A105" s="208"/>
      <c r="B105" s="642"/>
      <c r="C105" s="642"/>
      <c r="D105" s="642"/>
      <c r="E105" s="642"/>
      <c r="F105" s="642"/>
      <c r="G105" s="642"/>
      <c r="H105" s="642"/>
      <c r="I105" s="642"/>
      <c r="J105" s="542"/>
      <c r="K105" s="542"/>
    </row>
    <row r="106" spans="1:13" s="32" customFormat="1" ht="12">
      <c r="A106" s="215">
        <f>A102+0.1</f>
        <v>18.100000000000001</v>
      </c>
      <c r="B106" s="541" t="s">
        <v>200</v>
      </c>
      <c r="C106" s="541"/>
      <c r="D106" s="541"/>
      <c r="E106" s="541"/>
      <c r="F106" s="539"/>
      <c r="G106" s="539"/>
      <c r="H106" s="539"/>
      <c r="I106" s="539"/>
      <c r="J106" s="542"/>
      <c r="K106" s="542"/>
    </row>
    <row r="107" spans="1:13" s="32" customFormat="1" ht="12">
      <c r="A107" s="208"/>
      <c r="B107" s="542"/>
      <c r="C107" s="542"/>
      <c r="D107" s="542"/>
      <c r="E107" s="542"/>
      <c r="F107" s="539"/>
      <c r="G107" s="539"/>
      <c r="H107" s="539"/>
      <c r="I107" s="539"/>
      <c r="J107" s="542"/>
      <c r="K107" s="542"/>
    </row>
    <row r="108" spans="1:13" s="32" customFormat="1" ht="12">
      <c r="A108" s="208"/>
      <c r="B108" s="2636" t="s">
        <v>302</v>
      </c>
      <c r="C108" s="2636"/>
      <c r="D108" s="2636"/>
      <c r="E108" s="2636"/>
      <c r="F108" s="2636"/>
      <c r="G108" s="2636"/>
      <c r="H108" s="2636"/>
      <c r="I108" s="2636"/>
      <c r="J108" s="2636"/>
      <c r="K108" s="2636"/>
    </row>
    <row r="109" spans="1:13" s="32" customFormat="1" ht="12">
      <c r="A109" s="208"/>
      <c r="B109" s="2636"/>
      <c r="C109" s="2636"/>
      <c r="D109" s="2636"/>
      <c r="E109" s="2636"/>
      <c r="F109" s="2636"/>
      <c r="G109" s="2636"/>
      <c r="H109" s="2636"/>
      <c r="I109" s="2636"/>
      <c r="J109" s="2636"/>
      <c r="K109" s="2636"/>
    </row>
    <row r="110" spans="1:13" s="32" customFormat="1" ht="12">
      <c r="A110" s="208"/>
      <c r="B110" s="546"/>
      <c r="C110" s="546"/>
      <c r="D110" s="546"/>
      <c r="E110" s="546"/>
      <c r="F110" s="546"/>
      <c r="G110" s="546"/>
      <c r="H110" s="546"/>
      <c r="I110" s="546"/>
      <c r="J110" s="542"/>
      <c r="K110" s="542"/>
    </row>
    <row r="111" spans="1:13" s="32" customFormat="1" ht="12">
      <c r="A111" s="208"/>
      <c r="B111" s="2635" t="s">
        <v>605</v>
      </c>
      <c r="C111" s="2635"/>
      <c r="D111" s="2635"/>
      <c r="E111" s="2635"/>
      <c r="F111" s="2635"/>
      <c r="G111" s="2635"/>
      <c r="H111" s="2635"/>
      <c r="I111" s="2635"/>
      <c r="J111" s="2635"/>
      <c r="K111" s="2635"/>
    </row>
    <row r="112" spans="1:13" s="32" customFormat="1" ht="12">
      <c r="A112" s="208"/>
      <c r="B112" s="2635"/>
      <c r="C112" s="2635"/>
      <c r="D112" s="2635"/>
      <c r="E112" s="2635"/>
      <c r="F112" s="2635"/>
      <c r="G112" s="2635"/>
      <c r="H112" s="2635"/>
      <c r="I112" s="2635"/>
      <c r="J112" s="2635"/>
      <c r="K112" s="2635"/>
    </row>
    <row r="113" spans="1:11" s="32" customFormat="1" ht="12">
      <c r="A113" s="208"/>
      <c r="B113" s="2635"/>
      <c r="C113" s="2635"/>
      <c r="D113" s="2635"/>
      <c r="E113" s="2635"/>
      <c r="F113" s="2635"/>
      <c r="G113" s="2635"/>
      <c r="H113" s="2635"/>
      <c r="I113" s="2635"/>
      <c r="J113" s="2635"/>
      <c r="K113" s="2635"/>
    </row>
    <row r="114" spans="1:11" s="32" customFormat="1" ht="12">
      <c r="A114" s="208"/>
      <c r="B114" s="643"/>
      <c r="C114" s="643"/>
      <c r="D114" s="643"/>
      <c r="E114" s="643"/>
      <c r="F114" s="643"/>
      <c r="G114" s="643"/>
      <c r="H114" s="643"/>
      <c r="I114" s="643"/>
      <c r="J114" s="643"/>
      <c r="K114" s="643"/>
    </row>
    <row r="115" spans="1:11" s="32" customFormat="1" ht="12">
      <c r="A115" s="208"/>
      <c r="B115" s="542" t="s">
        <v>583</v>
      </c>
      <c r="C115" s="542"/>
      <c r="D115" s="542"/>
      <c r="E115" s="542"/>
      <c r="F115" s="542"/>
      <c r="G115" s="542"/>
      <c r="H115" s="542"/>
      <c r="I115" s="542"/>
      <c r="J115" s="542"/>
      <c r="K115" s="542"/>
    </row>
    <row r="116" spans="1:11" s="32" customFormat="1" ht="12">
      <c r="A116" s="208"/>
      <c r="B116" s="542"/>
      <c r="C116" s="542"/>
      <c r="D116" s="542"/>
      <c r="E116" s="542"/>
      <c r="F116" s="548"/>
      <c r="G116" s="542"/>
      <c r="H116" s="548"/>
      <c r="I116" s="548"/>
      <c r="J116" s="542"/>
      <c r="K116" s="542"/>
    </row>
    <row r="117" spans="1:11" s="32" customFormat="1" ht="12">
      <c r="A117" s="208" t="str">
        <f>A106&amp;".1"</f>
        <v>18.1.1</v>
      </c>
      <c r="B117" s="541" t="s">
        <v>201</v>
      </c>
      <c r="C117" s="542"/>
      <c r="D117" s="542"/>
      <c r="E117" s="542"/>
      <c r="F117" s="542"/>
      <c r="G117" s="542"/>
      <c r="H117" s="542"/>
      <c r="I117" s="542"/>
      <c r="J117" s="542"/>
      <c r="K117" s="542"/>
    </row>
    <row r="118" spans="1:11" s="32" customFormat="1" ht="12">
      <c r="A118" s="208"/>
      <c r="B118" s="542"/>
      <c r="C118" s="542"/>
      <c r="D118" s="542"/>
      <c r="E118" s="542"/>
      <c r="F118" s="542"/>
      <c r="G118" s="542"/>
      <c r="H118" s="542"/>
      <c r="I118" s="542"/>
      <c r="J118" s="542"/>
      <c r="K118" s="542"/>
    </row>
    <row r="119" spans="1:11" s="32" customFormat="1" ht="12">
      <c r="A119" s="208"/>
      <c r="B119" s="2635" t="s">
        <v>516</v>
      </c>
      <c r="C119" s="2635"/>
      <c r="D119" s="2635"/>
      <c r="E119" s="2635"/>
      <c r="F119" s="2635"/>
      <c r="G119" s="2635"/>
      <c r="H119" s="2635"/>
      <c r="I119" s="2635"/>
      <c r="J119" s="2635"/>
      <c r="K119" s="2635"/>
    </row>
    <row r="120" spans="1:11" s="32" customFormat="1" ht="12">
      <c r="A120" s="208"/>
      <c r="B120" s="2635"/>
      <c r="C120" s="2635"/>
      <c r="D120" s="2635"/>
      <c r="E120" s="2635"/>
      <c r="F120" s="2635"/>
      <c r="G120" s="2635"/>
      <c r="H120" s="2635"/>
      <c r="I120" s="2635"/>
      <c r="J120" s="2635"/>
      <c r="K120" s="2635"/>
    </row>
    <row r="121" spans="1:11" s="32" customFormat="1" ht="12">
      <c r="A121" s="208"/>
      <c r="B121" s="2635"/>
      <c r="C121" s="2635"/>
      <c r="D121" s="2635"/>
      <c r="E121" s="2635"/>
      <c r="F121" s="2635"/>
      <c r="G121" s="2635"/>
      <c r="H121" s="2635"/>
      <c r="I121" s="2635"/>
      <c r="J121" s="2635"/>
      <c r="K121" s="2635"/>
    </row>
    <row r="122" spans="1:11" s="32" customFormat="1" ht="12">
      <c r="A122" s="208"/>
      <c r="B122" s="539"/>
      <c r="C122" s="539"/>
      <c r="D122" s="539"/>
      <c r="E122" s="539"/>
      <c r="F122" s="539"/>
      <c r="G122" s="539"/>
      <c r="H122" s="539"/>
      <c r="I122" s="539"/>
      <c r="J122" s="539"/>
      <c r="K122" s="539"/>
    </row>
    <row r="123" spans="1:11" s="32" customFormat="1" ht="12">
      <c r="A123" s="208" t="s">
        <v>441</v>
      </c>
      <c r="B123" s="541" t="s">
        <v>587</v>
      </c>
      <c r="C123" s="541"/>
      <c r="D123" s="548"/>
      <c r="E123" s="542"/>
      <c r="F123" s="542"/>
      <c r="G123" s="548"/>
      <c r="H123" s="542"/>
      <c r="I123" s="542"/>
      <c r="J123" s="542"/>
      <c r="K123" s="542"/>
    </row>
    <row r="124" spans="1:11" s="32" customFormat="1" ht="12">
      <c r="A124" s="208"/>
      <c r="B124" s="542"/>
      <c r="C124" s="542"/>
      <c r="D124" s="548"/>
      <c r="E124" s="542"/>
      <c r="F124" s="542"/>
      <c r="G124" s="548"/>
      <c r="H124" s="542"/>
      <c r="I124" s="542"/>
      <c r="J124" s="542"/>
      <c r="K124" s="542"/>
    </row>
    <row r="125" spans="1:11" s="32" customFormat="1" ht="12">
      <c r="A125" s="208"/>
      <c r="B125" s="2635" t="s">
        <v>588</v>
      </c>
      <c r="C125" s="2635"/>
      <c r="D125" s="2635"/>
      <c r="E125" s="2635"/>
      <c r="F125" s="2635"/>
      <c r="G125" s="2635"/>
      <c r="H125" s="2635"/>
      <c r="I125" s="2635"/>
      <c r="J125" s="2635"/>
      <c r="K125" s="2635"/>
    </row>
    <row r="126" spans="1:11" s="32" customFormat="1" ht="12">
      <c r="A126" s="208"/>
      <c r="B126" s="2635"/>
      <c r="C126" s="2635"/>
      <c r="D126" s="2635"/>
      <c r="E126" s="2635"/>
      <c r="F126" s="2635"/>
      <c r="G126" s="2635"/>
      <c r="H126" s="2635"/>
      <c r="I126" s="2635"/>
      <c r="J126" s="2635"/>
      <c r="K126" s="2635"/>
    </row>
    <row r="127" spans="1:11" s="32" customFormat="1" ht="12">
      <c r="A127" s="208"/>
      <c r="B127" s="539"/>
      <c r="C127" s="539"/>
      <c r="D127" s="539"/>
      <c r="E127" s="539"/>
      <c r="F127" s="539"/>
      <c r="G127" s="539"/>
      <c r="H127" s="539"/>
      <c r="I127" s="539"/>
      <c r="J127" s="539"/>
      <c r="K127" s="539"/>
    </row>
    <row r="128" spans="1:11" s="32" customFormat="1" ht="12">
      <c r="A128" s="208"/>
      <c r="B128" s="644" t="s">
        <v>70</v>
      </c>
      <c r="C128" s="541" t="s">
        <v>155</v>
      </c>
      <c r="D128" s="541"/>
      <c r="E128" s="541"/>
      <c r="F128" s="541"/>
      <c r="G128" s="541"/>
      <c r="H128" s="541"/>
      <c r="I128" s="539"/>
      <c r="J128" s="542"/>
      <c r="K128" s="542"/>
    </row>
    <row r="129" spans="1:11" s="32" customFormat="1" ht="12">
      <c r="A129" s="208"/>
      <c r="B129" s="645"/>
      <c r="C129" s="645"/>
      <c r="D129" s="645"/>
      <c r="E129" s="645"/>
      <c r="F129" s="645"/>
      <c r="G129" s="645"/>
      <c r="H129" s="645"/>
      <c r="I129" s="539"/>
      <c r="J129" s="542"/>
      <c r="K129" s="542"/>
    </row>
    <row r="130" spans="1:11" s="32" customFormat="1" ht="12">
      <c r="A130" s="208"/>
      <c r="B130" s="2637" t="s">
        <v>606</v>
      </c>
      <c r="C130" s="2637"/>
      <c r="D130" s="2637"/>
      <c r="E130" s="2637"/>
      <c r="F130" s="2637"/>
      <c r="G130" s="2637"/>
      <c r="H130" s="2637"/>
      <c r="I130" s="2637"/>
      <c r="J130" s="2637"/>
      <c r="K130" s="2637"/>
    </row>
    <row r="131" spans="1:11" s="32" customFormat="1" ht="12">
      <c r="A131" s="208"/>
      <c r="B131" s="2637"/>
      <c r="C131" s="2637"/>
      <c r="D131" s="2637"/>
      <c r="E131" s="2637"/>
      <c r="F131" s="2637"/>
      <c r="G131" s="2637"/>
      <c r="H131" s="2637"/>
      <c r="I131" s="2637"/>
      <c r="J131" s="2637"/>
      <c r="K131" s="2637"/>
    </row>
    <row r="132" spans="1:11" s="32" customFormat="1" ht="12">
      <c r="A132" s="208"/>
      <c r="B132" s="542"/>
      <c r="C132" s="542"/>
      <c r="D132" s="542"/>
      <c r="E132" s="542"/>
      <c r="F132" s="548"/>
      <c r="G132" s="542"/>
      <c r="H132" s="548"/>
      <c r="I132" s="548"/>
      <c r="J132" s="542"/>
      <c r="K132" s="542"/>
    </row>
    <row r="133" spans="1:11" s="32" customFormat="1" ht="12">
      <c r="A133" s="208"/>
      <c r="B133" s="644" t="s">
        <v>71</v>
      </c>
      <c r="C133" s="644" t="s">
        <v>85</v>
      </c>
      <c r="D133" s="644"/>
      <c r="E133" s="644"/>
      <c r="F133" s="644"/>
      <c r="G133" s="644"/>
      <c r="H133" s="644"/>
      <c r="I133" s="646"/>
      <c r="J133" s="542"/>
      <c r="K133" s="542"/>
    </row>
    <row r="134" spans="1:11" s="32" customFormat="1" ht="12">
      <c r="A134" s="208"/>
      <c r="B134" s="645"/>
      <c r="C134" s="645"/>
      <c r="D134" s="645"/>
      <c r="E134" s="645"/>
      <c r="F134" s="645"/>
      <c r="G134" s="645"/>
      <c r="H134" s="645"/>
      <c r="I134" s="645"/>
      <c r="J134" s="542"/>
      <c r="K134" s="542"/>
    </row>
    <row r="135" spans="1:11" s="32" customFormat="1" ht="12">
      <c r="A135" s="208"/>
      <c r="B135" s="2635" t="s">
        <v>607</v>
      </c>
      <c r="C135" s="2635"/>
      <c r="D135" s="2635"/>
      <c r="E135" s="2635"/>
      <c r="F135" s="2635"/>
      <c r="G135" s="2635"/>
      <c r="H135" s="2635"/>
      <c r="I135" s="2635"/>
      <c r="J135" s="2635"/>
      <c r="K135" s="2635"/>
    </row>
    <row r="136" spans="1:11" s="32" customFormat="1" ht="12">
      <c r="A136" s="208"/>
      <c r="B136" s="2635"/>
      <c r="C136" s="2635"/>
      <c r="D136" s="2635"/>
      <c r="E136" s="2635"/>
      <c r="F136" s="2635"/>
      <c r="G136" s="2635"/>
      <c r="H136" s="2635"/>
      <c r="I136" s="2635"/>
      <c r="J136" s="2635"/>
      <c r="K136" s="2635"/>
    </row>
    <row r="137" spans="1:11" s="30" customFormat="1" ht="12">
      <c r="A137" s="28"/>
      <c r="B137" s="446"/>
      <c r="C137" s="446"/>
      <c r="D137" s="446"/>
      <c r="E137" s="446"/>
      <c r="F137" s="446"/>
      <c r="G137" s="446"/>
      <c r="H137" s="446"/>
      <c r="I137" s="446"/>
      <c r="J137" s="446"/>
      <c r="K137" s="446"/>
    </row>
  </sheetData>
  <mergeCells count="46">
    <mergeCell ref="G93:K93"/>
    <mergeCell ref="I76:I79"/>
    <mergeCell ref="K76:K79"/>
    <mergeCell ref="E67:F67"/>
    <mergeCell ref="G89:K89"/>
    <mergeCell ref="G90:G92"/>
    <mergeCell ref="I90:I92"/>
    <mergeCell ref="K90:K92"/>
    <mergeCell ref="B90:F92"/>
    <mergeCell ref="B76:D79"/>
    <mergeCell ref="E76:E79"/>
    <mergeCell ref="E80:K80"/>
    <mergeCell ref="B135:K136"/>
    <mergeCell ref="B108:K109"/>
    <mergeCell ref="B111:K113"/>
    <mergeCell ref="B119:K121"/>
    <mergeCell ref="B125:K126"/>
    <mergeCell ref="B130:K131"/>
    <mergeCell ref="G37:K37"/>
    <mergeCell ref="D55:G55"/>
    <mergeCell ref="I55:K56"/>
    <mergeCell ref="E56:F56"/>
    <mergeCell ref="G56:H56"/>
    <mergeCell ref="B51:K53"/>
    <mergeCell ref="B55:C56"/>
    <mergeCell ref="E7:K7"/>
    <mergeCell ref="C8:D8"/>
    <mergeCell ref="E8:J8"/>
    <mergeCell ref="G34:K34"/>
    <mergeCell ref="B35:E36"/>
    <mergeCell ref="G35:G36"/>
    <mergeCell ref="I35:I36"/>
    <mergeCell ref="K35:K36"/>
    <mergeCell ref="B16:K17"/>
    <mergeCell ref="G60:H60"/>
    <mergeCell ref="G61:H61"/>
    <mergeCell ref="G62:H62"/>
    <mergeCell ref="G58:H58"/>
    <mergeCell ref="G59:H59"/>
    <mergeCell ref="G63:H63"/>
    <mergeCell ref="G64:H64"/>
    <mergeCell ref="G65:H65"/>
    <mergeCell ref="G75:K75"/>
    <mergeCell ref="G76:G79"/>
    <mergeCell ref="G66:H66"/>
    <mergeCell ref="G67:H67"/>
  </mergeCells>
  <phoneticPr fontId="38" type="noConversion"/>
  <printOptions horizontalCentered="1"/>
  <pageMargins left="0.75" right="0.5" top="0.5" bottom="0.4" header="0.28999999999999998" footer="0.5"/>
  <pageSetup paperSize="9" orientation="portrait" r:id="rId1"/>
  <headerFooter alignWithMargins="0"/>
  <rowBreaks count="2" manualBreakCount="2">
    <brk id="70" max="10" man="1"/>
    <brk id="180" max="4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T304"/>
  <sheetViews>
    <sheetView view="pageBreakPreview" zoomScaleNormal="100" zoomScaleSheetLayoutView="100" workbookViewId="0">
      <selection activeCell="B1" sqref="B1"/>
    </sheetView>
  </sheetViews>
  <sheetFormatPr defaultColWidth="9" defaultRowHeight="11.4"/>
  <cols>
    <col min="1" max="1" width="5.09765625" style="8" customWidth="1"/>
    <col min="2" max="2" width="3.59765625" style="8" customWidth="1"/>
    <col min="3" max="3" width="14.59765625" style="8" customWidth="1"/>
    <col min="4" max="4" width="8.5" style="8" customWidth="1"/>
    <col min="5" max="10" width="8.59765625" style="8" customWidth="1"/>
    <col min="11" max="16384" width="9" style="8"/>
  </cols>
  <sheetData>
    <row r="1" spans="1:10" s="32" customFormat="1">
      <c r="A1" s="346" t="e">
        <f>'20-25.1.2'!A71+1</f>
        <v>#REF!</v>
      </c>
      <c r="B1" s="547"/>
      <c r="C1" s="547"/>
      <c r="D1" s="547"/>
      <c r="E1" s="547"/>
      <c r="F1" s="547"/>
      <c r="G1" s="547"/>
      <c r="H1" s="547"/>
      <c r="I1" s="547"/>
      <c r="J1" s="547"/>
    </row>
    <row r="2" spans="1:10" s="32" customFormat="1" ht="12">
      <c r="A2" s="208"/>
      <c r="B2" s="542"/>
      <c r="C2" s="542"/>
      <c r="D2" s="542"/>
      <c r="E2" s="542"/>
      <c r="F2" s="542"/>
      <c r="G2" s="548"/>
      <c r="H2" s="542"/>
      <c r="I2" s="548"/>
      <c r="J2" s="548"/>
    </row>
    <row r="3" spans="1:10" s="32" customFormat="1" ht="12">
      <c r="A3" s="208"/>
      <c r="B3" s="2635" t="s">
        <v>589</v>
      </c>
      <c r="C3" s="2635"/>
      <c r="D3" s="2635"/>
      <c r="E3" s="2635"/>
      <c r="F3" s="2635"/>
      <c r="G3" s="2635"/>
      <c r="H3" s="2635"/>
      <c r="I3" s="2635"/>
      <c r="J3" s="2635"/>
    </row>
    <row r="4" spans="1:10" s="32" customFormat="1" ht="12">
      <c r="A4" s="208"/>
      <c r="B4" s="2635"/>
      <c r="C4" s="2635"/>
      <c r="D4" s="2635"/>
      <c r="E4" s="2635"/>
      <c r="F4" s="2635"/>
      <c r="G4" s="2635"/>
      <c r="H4" s="2635"/>
      <c r="I4" s="2635"/>
      <c r="J4" s="2635"/>
    </row>
    <row r="5" spans="1:10" s="32" customFormat="1" ht="12">
      <c r="A5" s="208"/>
      <c r="B5" s="644"/>
      <c r="C5" s="644"/>
      <c r="D5" s="644"/>
      <c r="E5" s="644"/>
      <c r="F5" s="644"/>
      <c r="G5" s="644"/>
      <c r="H5" s="644"/>
      <c r="I5" s="646"/>
      <c r="J5" s="646"/>
    </row>
    <row r="6" spans="1:10" s="218" customFormat="1" ht="10.199999999999999">
      <c r="A6" s="217"/>
      <c r="B6" s="647"/>
      <c r="C6" s="647"/>
      <c r="D6" s="647"/>
      <c r="E6" s="2659" t="s">
        <v>319</v>
      </c>
      <c r="F6" s="2660"/>
      <c r="G6" s="2660"/>
      <c r="H6" s="2660"/>
      <c r="I6" s="2660"/>
      <c r="J6" s="2660"/>
    </row>
    <row r="7" spans="1:10" s="218" customFormat="1" ht="9.75" customHeight="1">
      <c r="A7" s="219"/>
      <c r="B7" s="2623" t="s">
        <v>262</v>
      </c>
      <c r="C7" s="2624"/>
      <c r="D7" s="2662"/>
      <c r="E7" s="2656" t="s">
        <v>590</v>
      </c>
      <c r="F7" s="2656" t="s">
        <v>44</v>
      </c>
      <c r="G7" s="2661" t="s">
        <v>591</v>
      </c>
      <c r="H7" s="2661"/>
      <c r="I7" s="2661"/>
      <c r="J7" s="2656" t="s">
        <v>592</v>
      </c>
    </row>
    <row r="8" spans="1:10" s="218" customFormat="1" ht="10.199999999999999">
      <c r="A8" s="220"/>
      <c r="B8" s="2663"/>
      <c r="C8" s="2664"/>
      <c r="D8" s="2665"/>
      <c r="E8" s="2656"/>
      <c r="F8" s="2656"/>
      <c r="G8" s="2656" t="s">
        <v>202</v>
      </c>
      <c r="H8" s="2656" t="s">
        <v>203</v>
      </c>
      <c r="I8" s="2656" t="s">
        <v>204</v>
      </c>
      <c r="J8" s="2656"/>
    </row>
    <row r="9" spans="1:10" s="218" customFormat="1" ht="10.199999999999999">
      <c r="A9" s="220"/>
      <c r="B9" s="2663"/>
      <c r="C9" s="2664"/>
      <c r="D9" s="2665"/>
      <c r="E9" s="2656"/>
      <c r="F9" s="2656"/>
      <c r="G9" s="2656"/>
      <c r="H9" s="2656"/>
      <c r="I9" s="2656"/>
      <c r="J9" s="2656"/>
    </row>
    <row r="10" spans="1:10" s="218" customFormat="1" ht="10.199999999999999">
      <c r="A10" s="220"/>
      <c r="B10" s="2663"/>
      <c r="C10" s="2664"/>
      <c r="D10" s="2665"/>
      <c r="E10" s="2657"/>
      <c r="F10" s="2657"/>
      <c r="G10" s="2657"/>
      <c r="H10" s="2657"/>
      <c r="I10" s="2657"/>
      <c r="J10" s="2657"/>
    </row>
    <row r="11" spans="1:10" s="218" customFormat="1" ht="10.199999999999999">
      <c r="A11" s="220"/>
      <c r="B11" s="2663"/>
      <c r="C11" s="2664"/>
      <c r="D11" s="2665"/>
      <c r="E11" s="2657"/>
      <c r="F11" s="2657"/>
      <c r="G11" s="2657"/>
      <c r="H11" s="2657"/>
      <c r="I11" s="2657"/>
      <c r="J11" s="2657"/>
    </row>
    <row r="12" spans="1:10" s="218" customFormat="1" ht="10.199999999999999">
      <c r="A12" s="220"/>
      <c r="B12" s="2626"/>
      <c r="C12" s="2627"/>
      <c r="D12" s="2628"/>
      <c r="E12" s="2657"/>
      <c r="F12" s="2657"/>
      <c r="G12" s="2657"/>
      <c r="H12" s="2657"/>
      <c r="I12" s="2657"/>
      <c r="J12" s="2657"/>
    </row>
    <row r="13" spans="1:10" s="218" customFormat="1" ht="10.199999999999999">
      <c r="A13" s="220"/>
      <c r="B13" s="609"/>
      <c r="C13" s="609"/>
      <c r="D13" s="609"/>
      <c r="E13" s="648" t="s">
        <v>22</v>
      </c>
      <c r="F13" s="2658" t="s">
        <v>205</v>
      </c>
      <c r="G13" s="2641"/>
      <c r="H13" s="2641"/>
      <c r="I13" s="2641"/>
      <c r="J13" s="2641"/>
    </row>
    <row r="14" spans="1:10" s="218" customFormat="1" ht="10.199999999999999">
      <c r="A14" s="220"/>
      <c r="B14" s="649" t="s">
        <v>206</v>
      </c>
      <c r="C14" s="609"/>
      <c r="D14" s="609"/>
      <c r="E14" s="648"/>
      <c r="F14" s="650"/>
      <c r="G14" s="648"/>
      <c r="H14" s="648"/>
      <c r="I14" s="648"/>
      <c r="J14" s="648"/>
    </row>
    <row r="15" spans="1:10" s="218" customFormat="1" ht="6" customHeight="1">
      <c r="A15" s="220"/>
      <c r="B15" s="609"/>
      <c r="C15" s="649"/>
      <c r="D15" s="649"/>
      <c r="E15" s="649"/>
      <c r="F15" s="651"/>
      <c r="G15" s="651"/>
      <c r="H15" s="651"/>
      <c r="I15" s="651"/>
      <c r="J15" s="651"/>
    </row>
    <row r="16" spans="1:10" s="218" customFormat="1" ht="10.199999999999999">
      <c r="A16" s="220"/>
      <c r="B16" s="649" t="s">
        <v>440</v>
      </c>
      <c r="C16" s="649"/>
      <c r="D16" s="649"/>
      <c r="E16" s="609"/>
      <c r="F16" s="652"/>
      <c r="G16" s="652"/>
      <c r="H16" s="652"/>
      <c r="I16" s="652"/>
      <c r="J16" s="652"/>
    </row>
    <row r="17" spans="1:10" s="218" customFormat="1" ht="10.199999999999999">
      <c r="A17" s="220"/>
      <c r="B17" s="609" t="s">
        <v>196</v>
      </c>
      <c r="C17" s="609"/>
      <c r="D17" s="609"/>
      <c r="E17" s="648" t="s">
        <v>394</v>
      </c>
      <c r="F17" s="653" t="e">
        <f t="shared" ref="F17:F22" si="0">G17+H17+I17+J17</f>
        <v>#REF!</v>
      </c>
      <c r="G17" s="654" t="e">
        <f>#REF!</f>
        <v>#REF!</v>
      </c>
      <c r="H17" s="654">
        <v>0</v>
      </c>
      <c r="I17" s="654">
        <v>0</v>
      </c>
      <c r="J17" s="655" t="e">
        <f>#REF!</f>
        <v>#REF!</v>
      </c>
    </row>
    <row r="18" spans="1:10" s="218" customFormat="1" ht="10.199999999999999" hidden="1">
      <c r="A18" s="220"/>
      <c r="B18" s="656" t="s">
        <v>197</v>
      </c>
      <c r="C18" s="656"/>
      <c r="D18" s="656"/>
      <c r="E18" s="648"/>
      <c r="F18" s="657">
        <f t="shared" si="0"/>
        <v>0</v>
      </c>
      <c r="G18" s="658"/>
      <c r="H18" s="658"/>
      <c r="I18" s="658"/>
      <c r="J18" s="659"/>
    </row>
    <row r="19" spans="1:10" s="218" customFormat="1" ht="10.199999999999999">
      <c r="A19" s="220"/>
      <c r="B19" s="609" t="s">
        <v>112</v>
      </c>
      <c r="C19" s="609"/>
      <c r="D19" s="609"/>
      <c r="E19" s="648"/>
      <c r="F19" s="657" t="e">
        <f t="shared" si="0"/>
        <v>#REF!</v>
      </c>
      <c r="G19" s="658">
        <v>0</v>
      </c>
      <c r="H19" s="658">
        <v>0</v>
      </c>
      <c r="I19" s="658">
        <v>0</v>
      </c>
      <c r="J19" s="659" t="e">
        <f>#REF!</f>
        <v>#REF!</v>
      </c>
    </row>
    <row r="20" spans="1:10" s="218" customFormat="1" ht="10.199999999999999">
      <c r="A20" s="220"/>
      <c r="B20" s="609" t="s">
        <v>376</v>
      </c>
      <c r="C20" s="609"/>
      <c r="D20" s="609"/>
      <c r="E20" s="648"/>
      <c r="F20" s="657">
        <f t="shared" si="0"/>
        <v>205018</v>
      </c>
      <c r="G20" s="658">
        <v>0</v>
      </c>
      <c r="H20" s="658">
        <v>0</v>
      </c>
      <c r="I20" s="658">
        <v>0</v>
      </c>
      <c r="J20" s="659">
        <f>BS!F13</f>
        <v>205018</v>
      </c>
    </row>
    <row r="21" spans="1:10" s="218" customFormat="1" ht="10.199999999999999">
      <c r="A21" s="220"/>
      <c r="B21" s="609" t="s">
        <v>345</v>
      </c>
      <c r="C21" s="609"/>
      <c r="D21" s="609"/>
      <c r="E21" s="648"/>
      <c r="F21" s="657" t="e">
        <f t="shared" si="0"/>
        <v>#REF!</v>
      </c>
      <c r="G21" s="658">
        <v>0</v>
      </c>
      <c r="H21" s="658">
        <v>0</v>
      </c>
      <c r="I21" s="658">
        <v>0</v>
      </c>
      <c r="J21" s="659" t="e">
        <f>#REF!</f>
        <v>#REF!</v>
      </c>
    </row>
    <row r="22" spans="1:10" s="218" customFormat="1" ht="10.199999999999999">
      <c r="A22" s="220"/>
      <c r="B22" s="609" t="s">
        <v>308</v>
      </c>
      <c r="C22" s="609"/>
      <c r="D22" s="609"/>
      <c r="E22" s="609"/>
      <c r="F22" s="660" t="e">
        <f t="shared" si="0"/>
        <v>#REF!</v>
      </c>
      <c r="G22" s="661">
        <v>0</v>
      </c>
      <c r="H22" s="661">
        <v>0</v>
      </c>
      <c r="I22" s="661">
        <v>0</v>
      </c>
      <c r="J22" s="662" t="e">
        <f>#REF!</f>
        <v>#REF!</v>
      </c>
    </row>
    <row r="23" spans="1:10" s="218" customFormat="1" ht="10.199999999999999">
      <c r="A23" s="220"/>
      <c r="B23" s="609"/>
      <c r="C23" s="609"/>
      <c r="D23" s="609"/>
      <c r="E23" s="609"/>
      <c r="F23" s="663" t="e">
        <f>SUM(F17:F22)</f>
        <v>#REF!</v>
      </c>
      <c r="G23" s="664" t="e">
        <f>SUM(G17:G22)</f>
        <v>#REF!</v>
      </c>
      <c r="H23" s="664">
        <f>SUM(H17:H22)</f>
        <v>0</v>
      </c>
      <c r="I23" s="664">
        <f>SUM(I17:I22)</f>
        <v>0</v>
      </c>
      <c r="J23" s="664" t="e">
        <f>SUM(J17:J22)</f>
        <v>#REF!</v>
      </c>
    </row>
    <row r="24" spans="1:10" s="218" customFormat="1" ht="10.199999999999999">
      <c r="A24" s="220"/>
      <c r="B24" s="649" t="s">
        <v>517</v>
      </c>
      <c r="C24" s="649"/>
      <c r="D24" s="649"/>
      <c r="E24" s="649"/>
      <c r="F24" s="665"/>
      <c r="G24" s="665"/>
      <c r="H24" s="665"/>
      <c r="I24" s="665"/>
      <c r="J24" s="665"/>
    </row>
    <row r="25" spans="1:10" s="218" customFormat="1" ht="10.199999999999999">
      <c r="A25" s="220"/>
      <c r="B25" s="666" t="s">
        <v>572</v>
      </c>
      <c r="C25" s="667"/>
      <c r="D25" s="667"/>
      <c r="E25" s="667"/>
      <c r="F25" s="665"/>
      <c r="G25" s="665"/>
      <c r="H25" s="665"/>
      <c r="I25" s="665"/>
      <c r="J25" s="665"/>
    </row>
    <row r="26" spans="1:10" s="218" customFormat="1" ht="10.199999999999999">
      <c r="A26" s="220"/>
      <c r="B26" s="667" t="s">
        <v>573</v>
      </c>
      <c r="C26" s="667"/>
      <c r="D26" s="667"/>
      <c r="E26" s="667"/>
      <c r="F26" s="653" t="e">
        <f>G26+H26+I26+J26</f>
        <v>#REF!</v>
      </c>
      <c r="G26" s="654">
        <v>0</v>
      </c>
      <c r="H26" s="654">
        <v>0</v>
      </c>
      <c r="I26" s="654">
        <v>0</v>
      </c>
      <c r="J26" s="655" t="e">
        <f>#REF!</f>
        <v>#REF!</v>
      </c>
    </row>
    <row r="27" spans="1:10" s="218" customFormat="1" ht="10.199999999999999">
      <c r="A27" s="220"/>
      <c r="B27" s="666" t="s">
        <v>449</v>
      </c>
      <c r="C27" s="667"/>
      <c r="D27" s="667"/>
      <c r="E27" s="667"/>
      <c r="F27" s="668"/>
      <c r="G27" s="665"/>
      <c r="H27" s="665"/>
      <c r="I27" s="665"/>
      <c r="J27" s="669"/>
    </row>
    <row r="28" spans="1:10" s="218" customFormat="1" ht="10.199999999999999">
      <c r="A28" s="220"/>
      <c r="B28" s="666" t="s">
        <v>450</v>
      </c>
      <c r="C28" s="667"/>
      <c r="D28" s="667"/>
      <c r="E28" s="667"/>
      <c r="F28" s="657" t="e">
        <f>G28+H28+I28+J28</f>
        <v>#REF!</v>
      </c>
      <c r="G28" s="658">
        <v>0</v>
      </c>
      <c r="H28" s="658">
        <v>0</v>
      </c>
      <c r="I28" s="658">
        <v>0</v>
      </c>
      <c r="J28" s="659" t="e">
        <f>#REF!</f>
        <v>#REF!</v>
      </c>
    </row>
    <row r="29" spans="1:10" s="218" customFormat="1" ht="10.199999999999999">
      <c r="A29" s="220"/>
      <c r="B29" s="600" t="s">
        <v>228</v>
      </c>
      <c r="C29" s="667"/>
      <c r="D29" s="667"/>
      <c r="E29" s="667"/>
      <c r="F29" s="657">
        <f>G29+H29+I29+J29</f>
        <v>386</v>
      </c>
      <c r="G29" s="658"/>
      <c r="H29" s="658"/>
      <c r="I29" s="658"/>
      <c r="J29" s="659">
        <f>BS!F25</f>
        <v>386</v>
      </c>
    </row>
    <row r="30" spans="1:10" s="218" customFormat="1" ht="10.199999999999999">
      <c r="A30" s="220"/>
      <c r="B30" s="609" t="s">
        <v>55</v>
      </c>
      <c r="C30" s="609"/>
      <c r="D30" s="609"/>
      <c r="E30" s="609"/>
      <c r="F30" s="660" t="e">
        <f>G30+H30+I30+J30</f>
        <v>#REF!</v>
      </c>
      <c r="G30" s="661">
        <v>0</v>
      </c>
      <c r="H30" s="661">
        <v>0</v>
      </c>
      <c r="I30" s="661">
        <v>0</v>
      </c>
      <c r="J30" s="662" t="e">
        <f>#REF!-#REF!-#REF!</f>
        <v>#REF!</v>
      </c>
    </row>
    <row r="31" spans="1:10" s="218" customFormat="1" ht="10.199999999999999">
      <c r="A31" s="379"/>
      <c r="B31" s="649"/>
      <c r="C31" s="649"/>
      <c r="D31" s="649"/>
      <c r="E31" s="649"/>
      <c r="F31" s="664" t="e">
        <f>SUM(F26:F30)</f>
        <v>#REF!</v>
      </c>
      <c r="G31" s="664">
        <f>SUM(G26:G30)</f>
        <v>0</v>
      </c>
      <c r="H31" s="664">
        <f>SUM(H26:H30)</f>
        <v>0</v>
      </c>
      <c r="I31" s="664">
        <f>SUM(I26:I30)</f>
        <v>0</v>
      </c>
      <c r="J31" s="664" t="e">
        <f>SUM(J26:J30)</f>
        <v>#REF!</v>
      </c>
    </row>
    <row r="32" spans="1:10" s="218" customFormat="1" ht="6" customHeight="1">
      <c r="A32" s="220"/>
      <c r="B32" s="649"/>
      <c r="C32" s="649"/>
      <c r="D32" s="649"/>
      <c r="E32" s="649"/>
      <c r="F32" s="664"/>
      <c r="G32" s="664"/>
      <c r="H32" s="664"/>
      <c r="I32" s="664"/>
      <c r="J32" s="664"/>
    </row>
    <row r="33" spans="1:43" s="218" customFormat="1" ht="10.8" thickBot="1">
      <c r="A33" s="220"/>
      <c r="B33" s="649" t="s">
        <v>557</v>
      </c>
      <c r="C33" s="649"/>
      <c r="D33" s="649"/>
      <c r="E33" s="649"/>
      <c r="F33" s="670" t="e">
        <f>F23-F31</f>
        <v>#REF!</v>
      </c>
      <c r="G33" s="670" t="e">
        <f>G23-G31</f>
        <v>#REF!</v>
      </c>
      <c r="H33" s="670">
        <f>H23-H31</f>
        <v>0</v>
      </c>
      <c r="I33" s="670">
        <f>I23-I31</f>
        <v>0</v>
      </c>
      <c r="J33" s="670" t="e">
        <f>J23-J31</f>
        <v>#REF!</v>
      </c>
    </row>
    <row r="34" spans="1:43" s="218" customFormat="1" ht="6" customHeight="1" thickTop="1">
      <c r="A34" s="220"/>
      <c r="B34" s="649"/>
      <c r="C34" s="649"/>
      <c r="D34" s="649"/>
      <c r="E34" s="649"/>
      <c r="F34" s="664"/>
      <c r="G34" s="664"/>
      <c r="H34" s="664"/>
      <c r="I34" s="664"/>
      <c r="J34" s="664"/>
    </row>
    <row r="35" spans="1:43" s="218" customFormat="1" ht="10.199999999999999">
      <c r="A35" s="220"/>
      <c r="B35" s="649" t="s">
        <v>207</v>
      </c>
      <c r="C35" s="649"/>
      <c r="D35" s="649"/>
      <c r="E35" s="649"/>
      <c r="F35" s="664">
        <v>0</v>
      </c>
      <c r="G35" s="664">
        <v>0</v>
      </c>
      <c r="H35" s="664">
        <v>0</v>
      </c>
      <c r="I35" s="664">
        <v>0</v>
      </c>
      <c r="J35" s="664">
        <v>0</v>
      </c>
    </row>
    <row r="36" spans="1:43" s="218" customFormat="1" ht="6" customHeight="1">
      <c r="A36" s="220"/>
      <c r="B36" s="671"/>
      <c r="C36" s="609"/>
      <c r="D36" s="609"/>
      <c r="E36" s="649"/>
      <c r="F36" s="664"/>
      <c r="G36" s="664"/>
      <c r="H36" s="664"/>
      <c r="I36" s="664"/>
      <c r="J36" s="664"/>
    </row>
    <row r="37" spans="1:43" s="218" customFormat="1" ht="10.199999999999999">
      <c r="A37" s="220"/>
      <c r="B37" s="649" t="s">
        <v>558</v>
      </c>
      <c r="C37" s="649"/>
      <c r="D37" s="649"/>
      <c r="E37" s="649"/>
      <c r="F37" s="672">
        <f>F35</f>
        <v>0</v>
      </c>
      <c r="G37" s="672">
        <f>G35</f>
        <v>0</v>
      </c>
      <c r="H37" s="672">
        <f>H35</f>
        <v>0</v>
      </c>
      <c r="I37" s="672">
        <f>I35</f>
        <v>0</v>
      </c>
      <c r="J37" s="672">
        <f>J35</f>
        <v>0</v>
      </c>
    </row>
    <row r="38" spans="1:43" s="218" customFormat="1" ht="6" customHeight="1">
      <c r="A38" s="220"/>
      <c r="B38" s="649"/>
      <c r="C38" s="649"/>
      <c r="D38" s="649"/>
      <c r="E38" s="649"/>
      <c r="F38" s="664"/>
      <c r="G38" s="664"/>
      <c r="H38" s="664"/>
      <c r="I38" s="664"/>
      <c r="J38" s="664"/>
    </row>
    <row r="39" spans="1:43" s="218" customFormat="1" ht="10.8" thickBot="1">
      <c r="A39" s="220"/>
      <c r="B39" s="649" t="s">
        <v>593</v>
      </c>
      <c r="C39" s="649"/>
      <c r="D39" s="649"/>
      <c r="E39" s="649"/>
      <c r="F39" s="673" t="e">
        <f>F33+F37</f>
        <v>#REF!</v>
      </c>
      <c r="G39" s="673" t="e">
        <f>G33+G37</f>
        <v>#REF!</v>
      </c>
      <c r="H39" s="673">
        <f>H33+H37</f>
        <v>0</v>
      </c>
      <c r="I39" s="673">
        <f>I33+I37</f>
        <v>0</v>
      </c>
      <c r="J39" s="673" t="e">
        <f>J33+J37</f>
        <v>#REF!</v>
      </c>
    </row>
    <row r="40" spans="1:43" s="212" customFormat="1" ht="6" customHeight="1" thickTop="1">
      <c r="A40" s="213"/>
      <c r="B40" s="674"/>
      <c r="C40" s="674"/>
      <c r="D40" s="674"/>
      <c r="E40" s="674"/>
      <c r="F40" s="675"/>
      <c r="G40" s="675"/>
      <c r="H40" s="675"/>
      <c r="I40" s="675"/>
      <c r="J40" s="675"/>
    </row>
    <row r="41" spans="1:43" s="212" customFormat="1" ht="10.8" thickBot="1">
      <c r="A41" s="213"/>
      <c r="B41" s="649" t="s">
        <v>594</v>
      </c>
      <c r="C41" s="674"/>
      <c r="D41" s="674"/>
      <c r="E41" s="674"/>
      <c r="F41" s="675"/>
      <c r="G41" s="676" t="e">
        <f>G39</f>
        <v>#REF!</v>
      </c>
      <c r="H41" s="676" t="e">
        <f>G39+H39</f>
        <v>#REF!</v>
      </c>
      <c r="I41" s="676" t="e">
        <f>H41+I39</f>
        <v>#REF!</v>
      </c>
      <c r="J41" s="675"/>
    </row>
    <row r="42" spans="1:43" s="212" customFormat="1" ht="10.8" thickTop="1">
      <c r="A42" s="213"/>
      <c r="B42" s="674"/>
      <c r="C42" s="674"/>
      <c r="D42" s="674"/>
      <c r="E42" s="674"/>
      <c r="F42" s="675"/>
      <c r="G42" s="675"/>
      <c r="H42" s="675"/>
      <c r="I42" s="675"/>
      <c r="J42" s="675"/>
    </row>
    <row r="43" spans="1:43" s="32" customFormat="1" ht="12">
      <c r="A43" s="215" t="s">
        <v>442</v>
      </c>
      <c r="B43" s="541" t="s">
        <v>208</v>
      </c>
      <c r="C43" s="539"/>
      <c r="D43" s="539"/>
      <c r="E43" s="539"/>
      <c r="F43" s="539"/>
      <c r="G43" s="539"/>
      <c r="H43" s="539"/>
      <c r="I43" s="542"/>
      <c r="J43" s="542"/>
      <c r="AQ43" s="32" t="e">
        <f>SUM('25.1.3-25.2'!#REF!)</f>
        <v>#REF!</v>
      </c>
    </row>
    <row r="44" spans="1:43" s="32" customFormat="1" ht="7.35" customHeight="1">
      <c r="A44" s="208"/>
      <c r="B44" s="541"/>
      <c r="C44" s="539"/>
      <c r="D44" s="539"/>
      <c r="E44" s="539"/>
      <c r="F44" s="539"/>
      <c r="G44" s="539"/>
      <c r="H44" s="539"/>
      <c r="I44" s="542"/>
      <c r="J44" s="542"/>
    </row>
    <row r="45" spans="1:43" s="32" customFormat="1" ht="12">
      <c r="A45" s="208"/>
      <c r="B45" s="2654" t="s">
        <v>582</v>
      </c>
      <c r="C45" s="2654"/>
      <c r="D45" s="2654"/>
      <c r="E45" s="2654"/>
      <c r="F45" s="2654"/>
      <c r="G45" s="2654"/>
      <c r="H45" s="2654"/>
      <c r="I45" s="2655"/>
      <c r="J45" s="2655"/>
    </row>
    <row r="46" spans="1:43" s="32" customFormat="1" ht="12">
      <c r="A46" s="208"/>
      <c r="B46" s="2654"/>
      <c r="C46" s="2654"/>
      <c r="D46" s="2654"/>
      <c r="E46" s="2654"/>
      <c r="F46" s="2654"/>
      <c r="G46" s="2654"/>
      <c r="H46" s="2654"/>
      <c r="I46" s="2655"/>
      <c r="J46" s="2655"/>
    </row>
    <row r="47" spans="1:43" s="32" customFormat="1" ht="12">
      <c r="A47" s="208"/>
      <c r="B47" s="2654"/>
      <c r="C47" s="2654"/>
      <c r="D47" s="2654"/>
      <c r="E47" s="2654"/>
      <c r="F47" s="2654"/>
      <c r="G47" s="2654"/>
      <c r="H47" s="2654"/>
      <c r="I47" s="2655"/>
      <c r="J47" s="2655"/>
    </row>
    <row r="48" spans="1:43" s="32" customFormat="1" ht="12">
      <c r="A48" s="208"/>
      <c r="B48" s="2654"/>
      <c r="C48" s="2654"/>
      <c r="D48" s="2654"/>
      <c r="E48" s="2654"/>
      <c r="F48" s="2654"/>
      <c r="G48" s="2654"/>
      <c r="H48" s="2654"/>
      <c r="I48" s="2655"/>
      <c r="J48" s="2655"/>
    </row>
    <row r="49" spans="1:46" s="32" customFormat="1" ht="7.35" customHeight="1">
      <c r="A49" s="208"/>
      <c r="B49" s="539"/>
      <c r="C49" s="539"/>
      <c r="D49" s="539"/>
      <c r="E49" s="539"/>
      <c r="F49" s="539"/>
      <c r="G49" s="539"/>
      <c r="H49" s="539"/>
      <c r="I49" s="542"/>
      <c r="J49" s="542"/>
    </row>
    <row r="50" spans="1:46" s="32" customFormat="1" ht="12">
      <c r="A50" s="208"/>
      <c r="B50" s="2654" t="s">
        <v>534</v>
      </c>
      <c r="C50" s="2654"/>
      <c r="D50" s="2654"/>
      <c r="E50" s="2654"/>
      <c r="F50" s="2654"/>
      <c r="G50" s="2654"/>
      <c r="H50" s="2654"/>
      <c r="I50" s="2654"/>
      <c r="J50" s="2654"/>
      <c r="AO50" s="52"/>
      <c r="AP50" s="52"/>
      <c r="AQ50" s="52"/>
      <c r="AR50" s="52"/>
      <c r="AS50" s="52"/>
      <c r="AT50" s="52"/>
    </row>
    <row r="51" spans="1:46" s="32" customFormat="1" ht="12">
      <c r="A51" s="208"/>
      <c r="B51" s="2654"/>
      <c r="C51" s="2654"/>
      <c r="D51" s="2654"/>
      <c r="E51" s="2654"/>
      <c r="F51" s="2654"/>
      <c r="G51" s="2654"/>
      <c r="H51" s="2654"/>
      <c r="I51" s="2654"/>
      <c r="J51" s="2654"/>
      <c r="AO51" s="52"/>
      <c r="AP51" s="52"/>
      <c r="AQ51" s="52"/>
      <c r="AR51" s="52"/>
      <c r="AS51" s="52"/>
      <c r="AT51" s="52"/>
    </row>
    <row r="52" spans="1:46" s="32" customFormat="1" ht="12">
      <c r="A52" s="208"/>
      <c r="B52" s="2654"/>
      <c r="C52" s="2654"/>
      <c r="D52" s="2654"/>
      <c r="E52" s="2654"/>
      <c r="F52" s="2654"/>
      <c r="G52" s="2654"/>
      <c r="H52" s="2654"/>
      <c r="I52" s="2654"/>
      <c r="J52" s="2654"/>
      <c r="AO52" s="52"/>
      <c r="AP52" s="52"/>
      <c r="AQ52" s="52"/>
      <c r="AR52" s="52"/>
      <c r="AS52" s="52"/>
      <c r="AT52" s="52"/>
    </row>
    <row r="53" spans="1:46" s="32" customFormat="1" ht="12">
      <c r="A53" s="208"/>
      <c r="B53" s="2654"/>
      <c r="C53" s="2654"/>
      <c r="D53" s="2654"/>
      <c r="E53" s="2654"/>
      <c r="F53" s="2654"/>
      <c r="G53" s="2654"/>
      <c r="H53" s="2654"/>
      <c r="I53" s="2654"/>
      <c r="J53" s="2654"/>
      <c r="AO53" s="52"/>
      <c r="AP53" s="52"/>
      <c r="AQ53" s="52"/>
      <c r="AR53" s="52"/>
      <c r="AS53" s="52"/>
      <c r="AT53" s="52"/>
    </row>
    <row r="54" spans="1:46" s="32" customFormat="1" ht="12">
      <c r="A54" s="208"/>
      <c r="B54" s="2654"/>
      <c r="C54" s="2654"/>
      <c r="D54" s="2654"/>
      <c r="E54" s="2654"/>
      <c r="F54" s="2654"/>
      <c r="G54" s="2654"/>
      <c r="H54" s="2654"/>
      <c r="I54" s="2654"/>
      <c r="J54" s="2654"/>
      <c r="AO54" s="52"/>
      <c r="AP54" s="52"/>
      <c r="AQ54" s="52"/>
      <c r="AR54" s="52"/>
      <c r="AS54" s="52"/>
      <c r="AT54" s="52"/>
    </row>
    <row r="55" spans="1:46" s="32" customFormat="1" ht="7.35" customHeight="1">
      <c r="A55" s="208"/>
      <c r="B55" s="550"/>
      <c r="C55" s="550"/>
      <c r="D55" s="550"/>
      <c r="E55" s="550"/>
      <c r="F55" s="550"/>
      <c r="G55" s="550"/>
      <c r="H55" s="550"/>
      <c r="I55" s="550"/>
      <c r="J55" s="550"/>
      <c r="AO55" s="52"/>
      <c r="AP55" s="52"/>
      <c r="AQ55" s="52"/>
      <c r="AR55" s="52"/>
      <c r="AS55" s="52"/>
      <c r="AT55" s="52"/>
    </row>
    <row r="56" spans="1:46">
      <c r="B56" s="2654" t="s">
        <v>622</v>
      </c>
      <c r="C56" s="2654"/>
      <c r="D56" s="2654"/>
      <c r="E56" s="2654"/>
      <c r="F56" s="2654"/>
      <c r="G56" s="2654"/>
      <c r="H56" s="2654"/>
      <c r="I56" s="2655"/>
      <c r="J56" s="2655"/>
    </row>
    <row r="57" spans="1:46">
      <c r="B57" s="2654"/>
      <c r="C57" s="2654"/>
      <c r="D57" s="2654"/>
      <c r="E57" s="2654"/>
      <c r="F57" s="2654"/>
      <c r="G57" s="2654"/>
      <c r="H57" s="2654"/>
      <c r="I57" s="2655"/>
      <c r="J57" s="2655"/>
    </row>
    <row r="58" spans="1:46">
      <c r="B58" s="2654"/>
      <c r="C58" s="2654"/>
      <c r="D58" s="2654"/>
      <c r="E58" s="2654"/>
      <c r="F58" s="2654"/>
      <c r="G58" s="2654"/>
      <c r="H58" s="2654"/>
      <c r="I58" s="2655"/>
      <c r="J58" s="2655"/>
    </row>
    <row r="59" spans="1:46">
      <c r="B59" s="2654"/>
      <c r="C59" s="2654"/>
      <c r="D59" s="2654"/>
      <c r="E59" s="2654"/>
      <c r="F59" s="2654"/>
      <c r="G59" s="2654"/>
      <c r="H59" s="2654"/>
      <c r="I59" s="2655"/>
      <c r="J59" s="2655"/>
    </row>
    <row r="60" spans="1:46" ht="7.35" customHeight="1">
      <c r="B60" s="546"/>
      <c r="C60" s="546"/>
      <c r="D60" s="546"/>
      <c r="E60" s="546"/>
      <c r="F60" s="546"/>
      <c r="G60" s="546"/>
      <c r="H60" s="546"/>
      <c r="I60" s="546"/>
      <c r="J60" s="546"/>
    </row>
    <row r="61" spans="1:46">
      <c r="B61" s="2635" t="s">
        <v>535</v>
      </c>
      <c r="C61" s="2635"/>
      <c r="D61" s="2635"/>
      <c r="E61" s="2635"/>
      <c r="F61" s="2635"/>
      <c r="G61" s="2635"/>
      <c r="H61" s="2635"/>
      <c r="I61" s="2635"/>
      <c r="J61" s="2635"/>
    </row>
    <row r="62" spans="1:46">
      <c r="B62" s="2635"/>
      <c r="C62" s="2635"/>
      <c r="D62" s="2635"/>
      <c r="E62" s="2635"/>
      <c r="F62" s="2635"/>
      <c r="G62" s="2635"/>
      <c r="H62" s="2635"/>
      <c r="I62" s="2635"/>
      <c r="J62" s="2635"/>
    </row>
    <row r="63" spans="1:46">
      <c r="B63" s="2635"/>
      <c r="C63" s="2635"/>
      <c r="D63" s="2635"/>
      <c r="E63" s="2635"/>
      <c r="F63" s="2635"/>
      <c r="G63" s="2635"/>
      <c r="H63" s="2635"/>
      <c r="I63" s="2635"/>
      <c r="J63" s="2635"/>
    </row>
    <row r="64" spans="1:46">
      <c r="B64" s="2635"/>
      <c r="C64" s="2635"/>
      <c r="D64" s="2635"/>
      <c r="E64" s="2635"/>
      <c r="F64" s="2635"/>
      <c r="G64" s="2635"/>
      <c r="H64" s="2635"/>
      <c r="I64" s="2635"/>
      <c r="J64" s="2635"/>
    </row>
    <row r="65" spans="1:46">
      <c r="B65" s="2635"/>
      <c r="C65" s="2635"/>
      <c r="D65" s="2635"/>
      <c r="E65" s="2635"/>
      <c r="F65" s="2635"/>
      <c r="G65" s="2635"/>
      <c r="H65" s="2635"/>
      <c r="I65" s="2635"/>
      <c r="J65" s="2635"/>
    </row>
    <row r="66" spans="1:46">
      <c r="B66" s="2635"/>
      <c r="C66" s="2635"/>
      <c r="D66" s="2635"/>
      <c r="E66" s="2635"/>
      <c r="F66" s="2635"/>
      <c r="G66" s="2635"/>
      <c r="H66" s="2635"/>
      <c r="I66" s="2635"/>
      <c r="J66" s="2635"/>
    </row>
    <row r="67" spans="1:46">
      <c r="B67" s="2635"/>
      <c r="C67" s="2635"/>
      <c r="D67" s="2635"/>
      <c r="E67" s="2635"/>
      <c r="F67" s="2635"/>
      <c r="G67" s="2635"/>
      <c r="H67" s="2635"/>
      <c r="I67" s="2635"/>
      <c r="J67" s="2635"/>
    </row>
    <row r="68" spans="1:46" ht="7.35" customHeight="1">
      <c r="B68" s="546"/>
      <c r="C68" s="546"/>
      <c r="D68" s="546"/>
      <c r="E68" s="546"/>
      <c r="F68" s="546"/>
      <c r="G68" s="546"/>
      <c r="H68" s="546"/>
      <c r="I68" s="546"/>
      <c r="J68" s="546"/>
    </row>
    <row r="69" spans="1:46" s="32" customFormat="1" ht="12">
      <c r="A69" s="215">
        <f>'20-25.1.2'!A106+0.1</f>
        <v>18.200000000000003</v>
      </c>
      <c r="B69" s="541" t="s">
        <v>238</v>
      </c>
      <c r="C69" s="541"/>
      <c r="D69" s="541"/>
      <c r="E69" s="541"/>
      <c r="F69" s="542"/>
      <c r="G69" s="548"/>
      <c r="H69" s="542"/>
      <c r="I69" s="542"/>
      <c r="J69" s="548"/>
      <c r="AO69" s="52"/>
      <c r="AP69" s="52"/>
      <c r="AQ69" s="52"/>
      <c r="AR69" s="52"/>
      <c r="AS69" s="52"/>
      <c r="AT69" s="52"/>
    </row>
    <row r="70" spans="1:46" s="32" customFormat="1" ht="7.35" customHeight="1">
      <c r="A70" s="208"/>
      <c r="B70" s="542"/>
      <c r="C70" s="542"/>
      <c r="D70" s="542"/>
      <c r="E70" s="542"/>
      <c r="F70" s="542" t="s">
        <v>239</v>
      </c>
      <c r="G70" s="548"/>
      <c r="H70" s="542"/>
      <c r="I70" s="542"/>
      <c r="J70" s="548"/>
      <c r="AO70" s="52"/>
      <c r="AP70" s="52"/>
      <c r="AQ70" s="52"/>
      <c r="AR70" s="52"/>
      <c r="AS70" s="52"/>
      <c r="AT70" s="52"/>
    </row>
    <row r="71" spans="1:46" s="32" customFormat="1" ht="12">
      <c r="A71" s="208"/>
      <c r="B71" s="2654" t="s">
        <v>555</v>
      </c>
      <c r="C71" s="2654"/>
      <c r="D71" s="2654"/>
      <c r="E71" s="2654"/>
      <c r="F71" s="2654"/>
      <c r="G71" s="2654"/>
      <c r="H71" s="2654"/>
      <c r="I71" s="2654"/>
      <c r="J71" s="2654"/>
      <c r="AO71" s="52"/>
      <c r="AP71" s="52"/>
      <c r="AQ71" s="52"/>
      <c r="AR71" s="52"/>
      <c r="AS71" s="52"/>
      <c r="AT71" s="52"/>
    </row>
    <row r="72" spans="1:46" s="32" customFormat="1" ht="12">
      <c r="A72" s="208"/>
      <c r="B72" s="2654"/>
      <c r="C72" s="2654"/>
      <c r="D72" s="2654"/>
      <c r="E72" s="2654"/>
      <c r="F72" s="2654"/>
      <c r="G72" s="2654"/>
      <c r="H72" s="2654"/>
      <c r="I72" s="2654"/>
      <c r="J72" s="2654"/>
      <c r="AO72" s="52"/>
      <c r="AP72" s="52"/>
      <c r="AQ72" s="52"/>
      <c r="AR72" s="52"/>
      <c r="AS72" s="52"/>
      <c r="AT72" s="52"/>
    </row>
    <row r="73" spans="1:46" s="32" customFormat="1" ht="12">
      <c r="A73" s="208"/>
      <c r="B73" s="2654"/>
      <c r="C73" s="2654"/>
      <c r="D73" s="2654"/>
      <c r="E73" s="2654"/>
      <c r="F73" s="2654"/>
      <c r="G73" s="2654"/>
      <c r="H73" s="2654"/>
      <c r="I73" s="2654"/>
      <c r="J73" s="2654"/>
      <c r="AO73" s="52"/>
      <c r="AP73" s="52"/>
      <c r="AQ73" s="52"/>
      <c r="AR73" s="52"/>
      <c r="AS73" s="52"/>
      <c r="AT73" s="52"/>
    </row>
    <row r="74" spans="1:46" s="32" customFormat="1" ht="12">
      <c r="A74" s="208"/>
      <c r="B74" s="2654"/>
      <c r="C74" s="2654"/>
      <c r="D74" s="2654"/>
      <c r="E74" s="2654"/>
      <c r="F74" s="2654"/>
      <c r="G74" s="2654"/>
      <c r="H74" s="2654"/>
      <c r="I74" s="2654"/>
      <c r="J74" s="2654"/>
      <c r="AO74" s="52"/>
      <c r="AP74" s="52"/>
      <c r="AQ74" s="52"/>
      <c r="AR74" s="52"/>
      <c r="AS74" s="52"/>
      <c r="AT74" s="52"/>
    </row>
    <row r="75" spans="1:46" s="32" customFormat="1" ht="12">
      <c r="A75" s="208"/>
      <c r="B75" s="2654"/>
      <c r="C75" s="2654"/>
      <c r="D75" s="2654"/>
      <c r="E75" s="2654"/>
      <c r="F75" s="2654"/>
      <c r="G75" s="2654"/>
      <c r="H75" s="2654"/>
      <c r="I75" s="2654"/>
      <c r="J75" s="2654"/>
      <c r="AO75" s="52"/>
      <c r="AP75" s="52"/>
      <c r="AQ75" s="52"/>
      <c r="AR75" s="52"/>
      <c r="AS75" s="52"/>
      <c r="AT75" s="52"/>
    </row>
    <row r="76" spans="1:46" s="32" customFormat="1" ht="12">
      <c r="A76" s="208"/>
      <c r="B76" s="2654"/>
      <c r="C76" s="2654"/>
      <c r="D76" s="2654"/>
      <c r="E76" s="2654"/>
      <c r="F76" s="2654"/>
      <c r="G76" s="2654"/>
      <c r="H76" s="2654"/>
      <c r="I76" s="2654"/>
      <c r="J76" s="2654"/>
      <c r="AO76" s="52"/>
      <c r="AP76" s="52"/>
      <c r="AQ76" s="52"/>
      <c r="AR76" s="52"/>
      <c r="AS76" s="52"/>
      <c r="AT76" s="52"/>
    </row>
    <row r="77" spans="1:46" s="32" customFormat="1" ht="12">
      <c r="A77" s="208"/>
      <c r="B77" s="2654"/>
      <c r="C77" s="2654"/>
      <c r="D77" s="2654"/>
      <c r="E77" s="2654"/>
      <c r="F77" s="2654"/>
      <c r="G77" s="2654"/>
      <c r="H77" s="2654"/>
      <c r="I77" s="2654"/>
      <c r="J77" s="2654"/>
      <c r="AO77" s="52"/>
      <c r="AP77" s="52"/>
      <c r="AQ77" s="52"/>
      <c r="AR77" s="52"/>
      <c r="AS77" s="52"/>
      <c r="AT77" s="52"/>
    </row>
    <row r="78" spans="1:46" s="32" customFormat="1" ht="12">
      <c r="A78" s="208"/>
      <c r="B78" s="2654"/>
      <c r="C78" s="2654"/>
      <c r="D78" s="2654"/>
      <c r="E78" s="2654"/>
      <c r="F78" s="2654"/>
      <c r="G78" s="2654"/>
      <c r="H78" s="2654"/>
      <c r="I78" s="2654"/>
      <c r="J78" s="2654"/>
      <c r="AO78" s="52"/>
      <c r="AP78" s="52"/>
      <c r="AQ78" s="52"/>
      <c r="AR78" s="52"/>
      <c r="AS78" s="52"/>
      <c r="AT78" s="52"/>
    </row>
    <row r="79" spans="1:46" s="212" customFormat="1" ht="7.35" customHeight="1">
      <c r="A79" s="213"/>
      <c r="B79" s="674"/>
      <c r="C79" s="674"/>
      <c r="D79" s="674"/>
      <c r="E79" s="674"/>
      <c r="F79" s="675"/>
      <c r="G79" s="675"/>
      <c r="H79" s="675"/>
      <c r="I79" s="675"/>
      <c r="J79" s="675"/>
    </row>
    <row r="140" spans="1:10" ht="12">
      <c r="A140" s="9"/>
      <c r="F140" s="12"/>
      <c r="H140" s="10"/>
      <c r="I140" s="10"/>
      <c r="J140" s="10"/>
    </row>
    <row r="193" spans="1:10" s="32" customFormat="1" ht="12">
      <c r="A193" s="208"/>
      <c r="H193" s="26"/>
      <c r="J193" s="26"/>
    </row>
    <row r="194" spans="1:10" ht="12">
      <c r="A194" s="9"/>
      <c r="F194" s="12"/>
    </row>
    <row r="261" spans="1:1" ht="12">
      <c r="A261" s="221"/>
    </row>
    <row r="262" spans="1:1" ht="12">
      <c r="A262" s="221"/>
    </row>
    <row r="263" spans="1:1" ht="12">
      <c r="A263" s="222"/>
    </row>
    <row r="264" spans="1:1" ht="12">
      <c r="A264" s="223"/>
    </row>
    <row r="265" spans="1:1" ht="12">
      <c r="A265" s="223"/>
    </row>
    <row r="266" spans="1:1" ht="12">
      <c r="A266" s="223"/>
    </row>
    <row r="267" spans="1:1" ht="12">
      <c r="A267" s="223"/>
    </row>
    <row r="268" spans="1:1" ht="12">
      <c r="A268" s="223"/>
    </row>
    <row r="269" spans="1:1" ht="12">
      <c r="A269" s="223"/>
    </row>
    <row r="270" spans="1:1" ht="12">
      <c r="A270" s="223"/>
    </row>
    <row r="271" spans="1:1" ht="12">
      <c r="A271" s="223"/>
    </row>
    <row r="272" spans="1:1" ht="12">
      <c r="A272" s="223"/>
    </row>
    <row r="273" spans="1:1" ht="12">
      <c r="A273" s="223"/>
    </row>
    <row r="274" spans="1:1" ht="12">
      <c r="A274" s="9"/>
    </row>
    <row r="275" spans="1:1" ht="12">
      <c r="A275" s="224"/>
    </row>
    <row r="276" spans="1:1" ht="12">
      <c r="A276" s="208"/>
    </row>
    <row r="277" spans="1:1" ht="12">
      <c r="A277" s="225"/>
    </row>
    <row r="278" spans="1:1" ht="12">
      <c r="A278" s="225"/>
    </row>
    <row r="279" spans="1:1" ht="12">
      <c r="A279" s="225"/>
    </row>
    <row r="280" spans="1:1" ht="12">
      <c r="A280" s="225"/>
    </row>
    <row r="281" spans="1:1" ht="12">
      <c r="A281" s="225"/>
    </row>
    <row r="282" spans="1:1" ht="12">
      <c r="A282" s="208"/>
    </row>
    <row r="283" spans="1:1" ht="12">
      <c r="A283" s="224"/>
    </row>
    <row r="292" spans="1:9" ht="12">
      <c r="A292" s="226"/>
    </row>
    <row r="304" spans="1:9">
      <c r="B304" s="444"/>
      <c r="C304" s="444"/>
      <c r="D304" s="444"/>
      <c r="E304" s="444"/>
      <c r="G304" s="444"/>
      <c r="H304" s="444"/>
      <c r="I304" s="444"/>
    </row>
  </sheetData>
  <mergeCells count="16">
    <mergeCell ref="H8:H12"/>
    <mergeCell ref="I8:I12"/>
    <mergeCell ref="F13:J13"/>
    <mergeCell ref="B3:J4"/>
    <mergeCell ref="E6:J6"/>
    <mergeCell ref="E7:E12"/>
    <mergeCell ref="F7:F12"/>
    <mergeCell ref="G7:I7"/>
    <mergeCell ref="J7:J12"/>
    <mergeCell ref="G8:G12"/>
    <mergeCell ref="B7:D12"/>
    <mergeCell ref="B71:J78"/>
    <mergeCell ref="B56:J59"/>
    <mergeCell ref="B61:J67"/>
    <mergeCell ref="B50:J54"/>
    <mergeCell ref="B45:J48"/>
  </mergeCells>
  <phoneticPr fontId="38" type="noConversion"/>
  <printOptions horizontalCentered="1"/>
  <pageMargins left="0.75" right="0.5" top="0.5" bottom="0.4" header="0.28999999999999998"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AU196"/>
  <sheetViews>
    <sheetView view="pageBreakPreview" zoomScaleNormal="100" zoomScaleSheetLayoutView="100" workbookViewId="0">
      <selection activeCell="G69" sqref="G69"/>
    </sheetView>
  </sheetViews>
  <sheetFormatPr defaultColWidth="9" defaultRowHeight="11.4"/>
  <cols>
    <col min="1" max="1" width="5.09765625" style="8" customWidth="1"/>
    <col min="2" max="2" width="3.59765625" style="8" customWidth="1"/>
    <col min="3" max="3" width="34.59765625" style="8" customWidth="1"/>
    <col min="4" max="4" width="1.09765625" style="8" customWidth="1"/>
    <col min="5" max="5" width="8.59765625" style="8" customWidth="1"/>
    <col min="6" max="6" width="1.09765625" style="8" customWidth="1"/>
    <col min="7" max="7" width="8.59765625" style="8" customWidth="1"/>
    <col min="8" max="8" width="1.09765625" style="8" customWidth="1"/>
    <col min="9" max="9" width="8.59765625" style="8" customWidth="1"/>
    <col min="10" max="10" width="1.09765625" style="8" customWidth="1"/>
    <col min="11" max="11" width="8.59765625" style="8" customWidth="1"/>
    <col min="12" max="41" width="9" style="8" customWidth="1"/>
    <col min="42" max="42" width="12.59765625" style="17" bestFit="1" customWidth="1"/>
    <col min="43" max="43" width="12.59765625" style="17" hidden="1" customWidth="1"/>
    <col min="44" max="47" width="9" style="17"/>
    <col min="48" max="16384" width="9" style="8"/>
  </cols>
  <sheetData>
    <row r="1" spans="1:47" ht="12">
      <c r="A1" s="12" t="e">
        <f>'25.1.3-25.2'!A1+1</f>
        <v>#REF!</v>
      </c>
      <c r="B1" s="11"/>
      <c r="C1" s="11"/>
      <c r="D1" s="11"/>
      <c r="E1" s="11"/>
      <c r="F1" s="227"/>
      <c r="G1" s="227"/>
      <c r="H1" s="227"/>
      <c r="I1" s="227"/>
      <c r="J1" s="227"/>
      <c r="K1" s="12"/>
    </row>
    <row r="2" spans="1:47" ht="12">
      <c r="A2" s="9"/>
      <c r="B2" s="9"/>
      <c r="C2" s="9"/>
      <c r="D2" s="9"/>
      <c r="E2" s="9"/>
      <c r="F2" s="228"/>
      <c r="G2" s="228"/>
      <c r="H2" s="228"/>
      <c r="I2" s="228"/>
      <c r="J2" s="228"/>
    </row>
    <row r="3" spans="1:47" s="32" customFormat="1" ht="12">
      <c r="A3" s="208"/>
      <c r="B3" s="2635" t="s">
        <v>245</v>
      </c>
      <c r="C3" s="2635"/>
      <c r="D3" s="2635"/>
      <c r="E3" s="2635"/>
      <c r="F3" s="2635"/>
      <c r="G3" s="2635"/>
      <c r="H3" s="2635"/>
      <c r="I3" s="2635"/>
      <c r="J3" s="2635"/>
      <c r="K3" s="2635"/>
      <c r="AP3" s="52"/>
      <c r="AQ3" s="52"/>
      <c r="AR3" s="52"/>
      <c r="AS3" s="52"/>
      <c r="AT3" s="52"/>
      <c r="AU3" s="52"/>
    </row>
    <row r="4" spans="1:47" s="32" customFormat="1" ht="12">
      <c r="A4" s="208"/>
      <c r="B4" s="2635"/>
      <c r="C4" s="2635"/>
      <c r="D4" s="2635"/>
      <c r="E4" s="2635"/>
      <c r="F4" s="2635"/>
      <c r="G4" s="2635"/>
      <c r="H4" s="2635"/>
      <c r="I4" s="2635"/>
      <c r="J4" s="2635"/>
      <c r="K4" s="2635"/>
      <c r="AP4" s="52"/>
      <c r="AQ4" s="52"/>
      <c r="AR4" s="52"/>
      <c r="AS4" s="52"/>
      <c r="AT4" s="52"/>
      <c r="AU4" s="52"/>
    </row>
    <row r="5" spans="1:47" s="32" customFormat="1" ht="12">
      <c r="A5" s="208"/>
      <c r="B5" s="2635"/>
      <c r="C5" s="2635"/>
      <c r="D5" s="2635"/>
      <c r="E5" s="2635"/>
      <c r="F5" s="2635"/>
      <c r="G5" s="2635"/>
      <c r="H5" s="2635"/>
      <c r="I5" s="2635"/>
      <c r="J5" s="2635"/>
      <c r="K5" s="2635"/>
      <c r="AP5" s="52"/>
      <c r="AQ5" s="52"/>
      <c r="AR5" s="52"/>
      <c r="AS5" s="52"/>
      <c r="AT5" s="52"/>
      <c r="AU5" s="52"/>
    </row>
    <row r="6" spans="1:47" ht="11.1" customHeight="1"/>
    <row r="7" spans="1:47" s="32" customFormat="1" ht="12">
      <c r="A7" s="208"/>
      <c r="B7" s="677" t="s">
        <v>303</v>
      </c>
      <c r="C7" s="539"/>
      <c r="D7" s="539"/>
      <c r="E7" s="539"/>
      <c r="F7" s="539"/>
      <c r="G7" s="539"/>
      <c r="H7" s="539"/>
      <c r="I7" s="539"/>
      <c r="J7" s="539"/>
      <c r="K7" s="539"/>
      <c r="AP7" s="52"/>
      <c r="AQ7" s="52"/>
      <c r="AR7" s="52"/>
      <c r="AS7" s="52"/>
      <c r="AT7" s="52"/>
      <c r="AU7" s="52"/>
    </row>
    <row r="8" spans="1:47" s="32" customFormat="1" ht="11.1" customHeight="1">
      <c r="A8" s="208"/>
      <c r="B8" s="539"/>
      <c r="C8" s="539"/>
      <c r="D8" s="539"/>
      <c r="E8" s="539"/>
      <c r="F8" s="539"/>
      <c r="G8" s="539"/>
      <c r="H8" s="539"/>
      <c r="I8" s="539"/>
      <c r="J8" s="539"/>
      <c r="K8" s="539"/>
      <c r="AP8" s="52"/>
      <c r="AQ8" s="52"/>
      <c r="AR8" s="52"/>
      <c r="AS8" s="52"/>
      <c r="AT8" s="52"/>
      <c r="AU8" s="52"/>
    </row>
    <row r="9" spans="1:47" s="232" customFormat="1" ht="15.75" customHeight="1">
      <c r="A9" s="380" t="s">
        <v>443</v>
      </c>
      <c r="B9" s="678" t="s">
        <v>579</v>
      </c>
      <c r="C9" s="585"/>
      <c r="D9" s="585"/>
      <c r="E9" s="585"/>
      <c r="F9" s="585"/>
      <c r="G9" s="2674" t="s">
        <v>596</v>
      </c>
      <c r="H9" s="2675"/>
      <c r="I9" s="2675"/>
      <c r="J9" s="2675"/>
      <c r="K9" s="2675"/>
      <c r="AP9" s="319"/>
      <c r="AQ9" s="319"/>
      <c r="AR9" s="319"/>
      <c r="AS9" s="319"/>
      <c r="AT9" s="319"/>
      <c r="AU9" s="319"/>
    </row>
    <row r="10" spans="1:47" s="232" customFormat="1" ht="10.199999999999999">
      <c r="A10" s="380"/>
      <c r="B10" s="2671" t="s">
        <v>451</v>
      </c>
      <c r="C10" s="2671"/>
      <c r="D10" s="2671"/>
      <c r="E10" s="2671"/>
      <c r="F10" s="2671"/>
      <c r="G10" s="2672" t="s">
        <v>400</v>
      </c>
      <c r="H10" s="2672" t="s">
        <v>401</v>
      </c>
      <c r="I10" s="2672"/>
      <c r="J10" s="2671" t="s">
        <v>231</v>
      </c>
      <c r="K10" s="2671"/>
      <c r="AP10" s="319"/>
      <c r="AQ10" s="319"/>
      <c r="AR10" s="319"/>
      <c r="AS10" s="319"/>
      <c r="AT10" s="319"/>
      <c r="AU10" s="319"/>
    </row>
    <row r="11" spans="1:47" s="232" customFormat="1" ht="10.199999999999999">
      <c r="A11" s="380"/>
      <c r="B11" s="2671"/>
      <c r="C11" s="2671"/>
      <c r="D11" s="2671"/>
      <c r="E11" s="2671"/>
      <c r="F11" s="2671"/>
      <c r="G11" s="2672"/>
      <c r="H11" s="2672"/>
      <c r="I11" s="2672"/>
      <c r="J11" s="2671"/>
      <c r="K11" s="2671"/>
      <c r="AP11" s="319"/>
      <c r="AQ11" s="319"/>
      <c r="AR11" s="319"/>
      <c r="AS11" s="319"/>
      <c r="AT11" s="319"/>
      <c r="AU11" s="319"/>
    </row>
    <row r="12" spans="1:47" s="232" customFormat="1" ht="10.199999999999999">
      <c r="A12" s="380"/>
      <c r="B12" s="2671"/>
      <c r="C12" s="2671"/>
      <c r="D12" s="2671"/>
      <c r="E12" s="2671"/>
      <c r="F12" s="2671"/>
      <c r="G12" s="2672"/>
      <c r="H12" s="2672"/>
      <c r="I12" s="2672"/>
      <c r="J12" s="2671"/>
      <c r="K12" s="2671"/>
      <c r="AP12" s="319"/>
      <c r="AQ12" s="319"/>
      <c r="AR12" s="319"/>
      <c r="AS12" s="319"/>
      <c r="AT12" s="319"/>
      <c r="AU12" s="319"/>
    </row>
    <row r="13" spans="1:47" s="232" customFormat="1" ht="10.199999999999999">
      <c r="A13" s="380"/>
      <c r="B13" s="2671"/>
      <c r="C13" s="2671"/>
      <c r="D13" s="2671"/>
      <c r="E13" s="2671"/>
      <c r="F13" s="2671"/>
      <c r="G13" s="2672"/>
      <c r="H13" s="2672"/>
      <c r="I13" s="2672"/>
      <c r="J13" s="2671"/>
      <c r="K13" s="2671"/>
      <c r="AP13" s="319"/>
      <c r="AQ13" s="319"/>
      <c r="AR13" s="319"/>
      <c r="AS13" s="319"/>
      <c r="AT13" s="319"/>
      <c r="AU13" s="319"/>
    </row>
    <row r="14" spans="1:47" s="232" customFormat="1" ht="6" customHeight="1">
      <c r="A14" s="380"/>
      <c r="B14" s="585"/>
      <c r="C14" s="585"/>
      <c r="D14" s="585"/>
      <c r="E14" s="679"/>
      <c r="F14" s="585"/>
      <c r="G14" s="585"/>
      <c r="H14" s="585"/>
      <c r="I14" s="585"/>
      <c r="J14" s="585"/>
      <c r="K14" s="585"/>
      <c r="AP14" s="319"/>
      <c r="AQ14" s="319"/>
      <c r="AR14" s="319"/>
      <c r="AS14" s="319"/>
      <c r="AT14" s="319"/>
      <c r="AU14" s="319"/>
    </row>
    <row r="15" spans="1:47" s="232" customFormat="1" ht="10.199999999999999">
      <c r="A15" s="380"/>
      <c r="B15" s="2673" t="s">
        <v>395</v>
      </c>
      <c r="C15" s="2673"/>
      <c r="D15" s="2673"/>
      <c r="E15" s="2673"/>
      <c r="F15" s="2673"/>
      <c r="G15" s="680" t="s">
        <v>362</v>
      </c>
      <c r="H15" s="681"/>
      <c r="I15" s="682" t="s">
        <v>612</v>
      </c>
      <c r="J15" s="585"/>
      <c r="K15" s="683">
        <v>0.1356</v>
      </c>
      <c r="AP15" s="319"/>
      <c r="AQ15" s="319"/>
      <c r="AR15" s="319"/>
      <c r="AS15" s="319"/>
      <c r="AT15" s="319"/>
      <c r="AU15" s="319"/>
    </row>
    <row r="16" spans="1:47" s="232" customFormat="1" ht="10.199999999999999">
      <c r="A16" s="380"/>
      <c r="B16" s="2673" t="s">
        <v>396</v>
      </c>
      <c r="C16" s="2673"/>
      <c r="D16" s="2673"/>
      <c r="E16" s="2673"/>
      <c r="F16" s="2673"/>
      <c r="G16" s="680" t="s">
        <v>362</v>
      </c>
      <c r="H16" s="681"/>
      <c r="I16" s="682" t="s">
        <v>613</v>
      </c>
      <c r="J16" s="585"/>
      <c r="K16" s="683">
        <v>1.29E-2</v>
      </c>
      <c r="AP16" s="319"/>
      <c r="AQ16" s="319"/>
      <c r="AR16" s="319"/>
      <c r="AS16" s="319"/>
      <c r="AT16" s="319"/>
      <c r="AU16" s="319"/>
    </row>
    <row r="17" spans="1:47" s="232" customFormat="1" ht="10.199999999999999">
      <c r="A17" s="380"/>
      <c r="B17" s="2673" t="s">
        <v>619</v>
      </c>
      <c r="C17" s="2673"/>
      <c r="D17" s="2673"/>
      <c r="E17" s="2673"/>
      <c r="F17" s="2673"/>
      <c r="G17" s="680" t="s">
        <v>362</v>
      </c>
      <c r="H17" s="681"/>
      <c r="I17" s="682" t="s">
        <v>614</v>
      </c>
      <c r="J17" s="585"/>
      <c r="K17" s="683">
        <v>9.2999999999999992E-3</v>
      </c>
      <c r="AP17" s="319"/>
      <c r="AQ17" s="319"/>
      <c r="AR17" s="319"/>
      <c r="AS17" s="319"/>
      <c r="AT17" s="319"/>
      <c r="AU17" s="319"/>
    </row>
    <row r="18" spans="1:47" s="232" customFormat="1" ht="10.199999999999999">
      <c r="A18" s="380"/>
      <c r="B18" s="2673" t="s">
        <v>620</v>
      </c>
      <c r="C18" s="2673"/>
      <c r="D18" s="2673"/>
      <c r="E18" s="2673"/>
      <c r="F18" s="2673"/>
      <c r="G18" s="680" t="s">
        <v>363</v>
      </c>
      <c r="H18" s="681"/>
      <c r="I18" s="682" t="s">
        <v>614</v>
      </c>
      <c r="J18" s="585"/>
      <c r="K18" s="683">
        <v>0.70860000000000001</v>
      </c>
      <c r="AP18" s="319"/>
      <c r="AQ18" s="319"/>
      <c r="AR18" s="319"/>
      <c r="AS18" s="319"/>
      <c r="AT18" s="319"/>
      <c r="AU18" s="319"/>
    </row>
    <row r="19" spans="1:47" s="232" customFormat="1" ht="10.199999999999999">
      <c r="A19" s="380"/>
      <c r="B19" s="2673" t="s">
        <v>616</v>
      </c>
      <c r="C19" s="2673"/>
      <c r="D19" s="2673"/>
      <c r="E19" s="2673"/>
      <c r="F19" s="2673"/>
      <c r="G19" s="680" t="s">
        <v>362</v>
      </c>
      <c r="H19" s="681"/>
      <c r="I19" s="682" t="s">
        <v>615</v>
      </c>
      <c r="J19" s="585"/>
      <c r="K19" s="683" t="s">
        <v>127</v>
      </c>
      <c r="AP19" s="319"/>
      <c r="AQ19" s="319"/>
      <c r="AR19" s="319"/>
      <c r="AS19" s="319"/>
      <c r="AT19" s="319"/>
      <c r="AU19" s="319"/>
    </row>
    <row r="20" spans="1:47" s="232" customFormat="1" ht="10.199999999999999">
      <c r="A20" s="380"/>
      <c r="B20" s="2673" t="s">
        <v>342</v>
      </c>
      <c r="C20" s="2673"/>
      <c r="D20" s="2673"/>
      <c r="E20" s="2673"/>
      <c r="F20" s="2673"/>
      <c r="G20" s="680" t="s">
        <v>362</v>
      </c>
      <c r="H20" s="681"/>
      <c r="I20" s="682" t="s">
        <v>173</v>
      </c>
      <c r="J20" s="585"/>
      <c r="K20" s="683">
        <v>3.6900000000000002E-2</v>
      </c>
      <c r="AP20" s="319"/>
      <c r="AQ20" s="319"/>
      <c r="AR20" s="319"/>
      <c r="AS20" s="319"/>
      <c r="AT20" s="319"/>
      <c r="AU20" s="319"/>
    </row>
    <row r="21" spans="1:47" s="232" customFormat="1" ht="10.199999999999999">
      <c r="A21" s="380"/>
      <c r="B21" s="2673" t="s">
        <v>617</v>
      </c>
      <c r="C21" s="2673"/>
      <c r="D21" s="2673"/>
      <c r="E21" s="2673"/>
      <c r="F21" s="2673"/>
      <c r="G21" s="680" t="s">
        <v>362</v>
      </c>
      <c r="H21" s="681"/>
      <c r="I21" s="682" t="s">
        <v>173</v>
      </c>
      <c r="J21" s="585"/>
      <c r="K21" s="683" t="s">
        <v>127</v>
      </c>
      <c r="AP21" s="319"/>
      <c r="AQ21" s="319"/>
      <c r="AR21" s="319"/>
      <c r="AS21" s="319"/>
      <c r="AT21" s="319"/>
      <c r="AU21" s="319"/>
    </row>
    <row r="22" spans="1:47" s="232" customFormat="1" ht="10.199999999999999">
      <c r="A22" s="380"/>
      <c r="B22" s="2673" t="s">
        <v>391</v>
      </c>
      <c r="C22" s="2673"/>
      <c r="D22" s="2673"/>
      <c r="E22" s="2673"/>
      <c r="F22" s="2673"/>
      <c r="G22" s="680" t="s">
        <v>362</v>
      </c>
      <c r="H22" s="681"/>
      <c r="I22" s="682" t="s">
        <v>614</v>
      </c>
      <c r="J22" s="585"/>
      <c r="K22" s="684">
        <v>4.7999999999999996E-3</v>
      </c>
      <c r="AP22" s="319"/>
      <c r="AQ22" s="319"/>
      <c r="AR22" s="319"/>
      <c r="AS22" s="319"/>
      <c r="AT22" s="319"/>
      <c r="AU22" s="319"/>
    </row>
    <row r="23" spans="1:47" s="232" customFormat="1" ht="10.199999999999999">
      <c r="A23" s="380"/>
      <c r="B23" s="2673" t="s">
        <v>397</v>
      </c>
      <c r="C23" s="2673"/>
      <c r="D23" s="2673"/>
      <c r="E23" s="2673"/>
      <c r="F23" s="2673"/>
      <c r="G23" s="680" t="s">
        <v>363</v>
      </c>
      <c r="H23" s="681"/>
      <c r="I23" s="682" t="s">
        <v>173</v>
      </c>
      <c r="J23" s="585"/>
      <c r="K23" s="684">
        <v>6.8599999999999994E-2</v>
      </c>
      <c r="AP23" s="319"/>
      <c r="AQ23" s="319"/>
      <c r="AR23" s="319"/>
      <c r="AS23" s="319"/>
      <c r="AT23" s="319"/>
      <c r="AU23" s="319"/>
    </row>
    <row r="24" spans="1:47" s="232" customFormat="1" ht="10.199999999999999">
      <c r="A24" s="380"/>
      <c r="B24" s="2673" t="s">
        <v>398</v>
      </c>
      <c r="C24" s="2673"/>
      <c r="D24" s="2673"/>
      <c r="E24" s="2673"/>
      <c r="F24" s="2673"/>
      <c r="G24" s="680" t="s">
        <v>363</v>
      </c>
      <c r="H24" s="681"/>
      <c r="I24" s="682" t="s">
        <v>174</v>
      </c>
      <c r="J24" s="585"/>
      <c r="K24" s="684">
        <v>1.23E-2</v>
      </c>
      <c r="AP24" s="319"/>
      <c r="AQ24" s="319"/>
      <c r="AR24" s="319"/>
      <c r="AS24" s="319"/>
      <c r="AT24" s="319"/>
      <c r="AU24" s="319"/>
    </row>
    <row r="25" spans="1:47" s="232" customFormat="1" ht="10.199999999999999">
      <c r="A25" s="380"/>
      <c r="B25" s="2673" t="s">
        <v>399</v>
      </c>
      <c r="C25" s="2673"/>
      <c r="D25" s="2673"/>
      <c r="E25" s="2673"/>
      <c r="F25" s="2673"/>
      <c r="G25" s="680" t="s">
        <v>362</v>
      </c>
      <c r="H25" s="681"/>
      <c r="I25" s="682" t="s">
        <v>612</v>
      </c>
      <c r="J25" s="585"/>
      <c r="K25" s="684">
        <v>1.0999999999999999E-2</v>
      </c>
      <c r="AP25" s="319"/>
      <c r="AQ25" s="319"/>
      <c r="AR25" s="319"/>
      <c r="AS25" s="319"/>
      <c r="AT25" s="319"/>
      <c r="AU25" s="319"/>
    </row>
    <row r="26" spans="1:47" s="232" customFormat="1" ht="10.199999999999999">
      <c r="A26" s="380"/>
      <c r="B26" s="685"/>
      <c r="C26" s="685"/>
      <c r="D26" s="685"/>
      <c r="E26" s="685"/>
      <c r="F26" s="685"/>
      <c r="G26" s="680"/>
      <c r="H26" s="681"/>
      <c r="I26" s="682"/>
      <c r="J26" s="585"/>
      <c r="K26" s="684"/>
      <c r="AP26" s="319"/>
      <c r="AQ26" s="319"/>
      <c r="AR26" s="319"/>
      <c r="AS26" s="319"/>
      <c r="AT26" s="319"/>
      <c r="AU26" s="319"/>
    </row>
    <row r="27" spans="1:47" s="232" customFormat="1" ht="10.199999999999999">
      <c r="A27" s="380"/>
      <c r="B27" s="585" t="s">
        <v>618</v>
      </c>
      <c r="C27" s="585"/>
      <c r="D27" s="585"/>
      <c r="E27" s="585"/>
      <c r="F27" s="585"/>
      <c r="G27" s="585"/>
      <c r="H27" s="585"/>
      <c r="I27" s="585"/>
      <c r="J27" s="585"/>
      <c r="K27" s="686"/>
      <c r="AP27" s="319"/>
      <c r="AQ27" s="319"/>
      <c r="AR27" s="319"/>
      <c r="AS27" s="319"/>
      <c r="AT27" s="319"/>
      <c r="AU27" s="319"/>
    </row>
    <row r="28" spans="1:47" s="32" customFormat="1" ht="12">
      <c r="A28" s="208"/>
      <c r="B28" s="539"/>
      <c r="C28" s="687"/>
      <c r="D28" s="687"/>
      <c r="E28" s="687"/>
      <c r="F28" s="687"/>
      <c r="G28" s="687"/>
      <c r="H28" s="539"/>
      <c r="I28" s="688"/>
      <c r="J28" s="549"/>
      <c r="K28" s="688"/>
      <c r="AP28" s="52"/>
      <c r="AQ28" s="52"/>
      <c r="AR28" s="52"/>
      <c r="AS28" s="52"/>
      <c r="AT28" s="52"/>
      <c r="AU28" s="52"/>
    </row>
    <row r="29" spans="1:47" s="32" customFormat="1" ht="12">
      <c r="A29" s="208" t="s">
        <v>444</v>
      </c>
      <c r="B29" s="2666" t="s">
        <v>240</v>
      </c>
      <c r="C29" s="2666"/>
      <c r="D29" s="2666"/>
      <c r="E29" s="2666"/>
      <c r="F29" s="2666"/>
      <c r="G29" s="2666"/>
      <c r="H29" s="2666"/>
      <c r="I29" s="689"/>
      <c r="J29" s="689"/>
      <c r="K29" s="689"/>
      <c r="AP29" s="52"/>
      <c r="AQ29" s="52"/>
      <c r="AR29" s="52"/>
      <c r="AS29" s="52"/>
      <c r="AT29" s="52"/>
      <c r="AU29" s="52"/>
    </row>
    <row r="30" spans="1:47" s="32" customFormat="1" ht="12">
      <c r="A30" s="208"/>
      <c r="B30" s="690"/>
      <c r="C30" s="690"/>
      <c r="D30" s="690"/>
      <c r="E30" s="690"/>
      <c r="F30" s="690"/>
      <c r="G30" s="690"/>
      <c r="H30" s="690"/>
      <c r="I30" s="689"/>
      <c r="J30" s="689"/>
      <c r="K30" s="689"/>
      <c r="AP30" s="52"/>
      <c r="AQ30" s="52"/>
      <c r="AR30" s="52"/>
      <c r="AS30" s="52"/>
      <c r="AT30" s="52"/>
      <c r="AU30" s="52"/>
    </row>
    <row r="31" spans="1:47" s="32" customFormat="1" ht="12" customHeight="1">
      <c r="A31" s="208"/>
      <c r="B31" s="2654" t="s">
        <v>518</v>
      </c>
      <c r="C31" s="2654"/>
      <c r="D31" s="2654"/>
      <c r="E31" s="2654"/>
      <c r="F31" s="2654"/>
      <c r="G31" s="2654"/>
      <c r="H31" s="2654"/>
      <c r="I31" s="2654"/>
      <c r="J31" s="2654"/>
      <c r="K31" s="2654"/>
      <c r="AP31" s="52"/>
      <c r="AQ31" s="52"/>
      <c r="AR31" s="52"/>
      <c r="AS31" s="52"/>
      <c r="AT31" s="52"/>
      <c r="AU31" s="52"/>
    </row>
    <row r="32" spans="1:47" s="32" customFormat="1" ht="12">
      <c r="A32" s="208"/>
      <c r="B32" s="2654"/>
      <c r="C32" s="2654"/>
      <c r="D32" s="2654"/>
      <c r="E32" s="2654"/>
      <c r="F32" s="2654"/>
      <c r="G32" s="2654"/>
      <c r="H32" s="2654"/>
      <c r="I32" s="2654"/>
      <c r="J32" s="2654"/>
      <c r="K32" s="2654"/>
      <c r="AP32" s="52"/>
      <c r="AQ32" s="52"/>
      <c r="AR32" s="52"/>
      <c r="AS32" s="52"/>
      <c r="AT32" s="52"/>
      <c r="AU32" s="52"/>
    </row>
    <row r="33" spans="1:47" s="32" customFormat="1" ht="12">
      <c r="A33" s="208"/>
      <c r="B33" s="2654"/>
      <c r="C33" s="2654"/>
      <c r="D33" s="2654"/>
      <c r="E33" s="2654"/>
      <c r="F33" s="2654"/>
      <c r="G33" s="2654"/>
      <c r="H33" s="2654"/>
      <c r="I33" s="2654"/>
      <c r="J33" s="2654"/>
      <c r="K33" s="2654"/>
      <c r="AP33" s="52"/>
      <c r="AQ33" s="52"/>
      <c r="AR33" s="52"/>
      <c r="AS33" s="52"/>
      <c r="AT33" s="52"/>
      <c r="AU33" s="52"/>
    </row>
    <row r="34" spans="1:47" s="32" customFormat="1" ht="12">
      <c r="A34" s="208"/>
      <c r="B34" s="2654"/>
      <c r="C34" s="2654"/>
      <c r="D34" s="2654"/>
      <c r="E34" s="2654"/>
      <c r="F34" s="2654"/>
      <c r="G34" s="2654"/>
      <c r="H34" s="2654"/>
      <c r="I34" s="2654"/>
      <c r="J34" s="2654"/>
      <c r="K34" s="2654"/>
      <c r="AP34" s="52"/>
      <c r="AQ34" s="52"/>
      <c r="AR34" s="52"/>
      <c r="AS34" s="52"/>
      <c r="AT34" s="52"/>
      <c r="AU34" s="52"/>
    </row>
    <row r="35" spans="1:47" s="32" customFormat="1" ht="12">
      <c r="A35" s="208"/>
      <c r="B35" s="543"/>
      <c r="C35" s="543"/>
      <c r="D35" s="543"/>
      <c r="E35" s="543"/>
      <c r="F35" s="543"/>
      <c r="G35" s="543"/>
      <c r="H35" s="543"/>
      <c r="I35" s="543"/>
      <c r="J35" s="550"/>
      <c r="K35" s="550"/>
      <c r="AP35" s="52"/>
      <c r="AQ35" s="52"/>
      <c r="AR35" s="52"/>
      <c r="AS35" s="52"/>
      <c r="AT35" s="52"/>
      <c r="AU35" s="52"/>
    </row>
    <row r="36" spans="1:47" s="32" customFormat="1" ht="12">
      <c r="A36" s="215" t="s">
        <v>550</v>
      </c>
      <c r="B36" s="540" t="s">
        <v>241</v>
      </c>
      <c r="C36" s="540"/>
      <c r="D36" s="540"/>
      <c r="E36" s="540"/>
      <c r="F36" s="540"/>
      <c r="G36" s="543"/>
      <c r="H36" s="691"/>
      <c r="I36" s="543"/>
      <c r="J36" s="542"/>
      <c r="K36" s="542"/>
      <c r="AP36" s="52"/>
      <c r="AQ36" s="52"/>
      <c r="AR36" s="52"/>
      <c r="AS36" s="52"/>
      <c r="AT36" s="52"/>
      <c r="AU36" s="52"/>
    </row>
    <row r="37" spans="1:47" s="32" customFormat="1" ht="12">
      <c r="A37" s="208"/>
      <c r="B37" s="543"/>
      <c r="C37" s="543"/>
      <c r="D37" s="543"/>
      <c r="E37" s="543"/>
      <c r="F37" s="543"/>
      <c r="G37" s="543"/>
      <c r="H37" s="691"/>
      <c r="I37" s="543"/>
      <c r="J37" s="542"/>
      <c r="K37" s="542"/>
      <c r="AP37" s="52"/>
      <c r="AQ37" s="52"/>
      <c r="AR37" s="52"/>
      <c r="AS37" s="52"/>
      <c r="AT37" s="52"/>
      <c r="AU37" s="52"/>
    </row>
    <row r="38" spans="1:47" s="32" customFormat="1" ht="12">
      <c r="A38" s="208"/>
      <c r="B38" s="2635" t="s">
        <v>608</v>
      </c>
      <c r="C38" s="2635"/>
      <c r="D38" s="2635"/>
      <c r="E38" s="2635"/>
      <c r="F38" s="2635"/>
      <c r="G38" s="2635"/>
      <c r="H38" s="2635"/>
      <c r="I38" s="2635"/>
      <c r="J38" s="2635"/>
      <c r="K38" s="2635"/>
      <c r="AP38" s="52"/>
      <c r="AQ38" s="52"/>
      <c r="AR38" s="52"/>
      <c r="AS38" s="52"/>
      <c r="AT38" s="52"/>
      <c r="AU38" s="52"/>
    </row>
    <row r="39" spans="1:47" s="32" customFormat="1" ht="12">
      <c r="A39" s="208"/>
      <c r="B39" s="2635"/>
      <c r="C39" s="2635"/>
      <c r="D39" s="2635"/>
      <c r="E39" s="2635"/>
      <c r="F39" s="2635"/>
      <c r="G39" s="2635"/>
      <c r="H39" s="2635"/>
      <c r="I39" s="2635"/>
      <c r="J39" s="2635"/>
      <c r="K39" s="2635"/>
      <c r="AP39" s="52"/>
      <c r="AQ39" s="52"/>
      <c r="AR39" s="52"/>
      <c r="AS39" s="52"/>
      <c r="AT39" s="52"/>
      <c r="AU39" s="52"/>
    </row>
    <row r="40" spans="1:47" s="32" customFormat="1" ht="12">
      <c r="A40" s="208"/>
      <c r="B40" s="550"/>
      <c r="C40" s="550"/>
      <c r="D40" s="550"/>
      <c r="E40" s="550"/>
      <c r="F40" s="550"/>
      <c r="G40" s="550"/>
      <c r="H40" s="550"/>
      <c r="I40" s="550"/>
      <c r="J40" s="550"/>
      <c r="K40" s="550"/>
      <c r="AP40" s="52"/>
      <c r="AQ40" s="52"/>
      <c r="AR40" s="52"/>
      <c r="AS40" s="52"/>
      <c r="AT40" s="52"/>
      <c r="AU40" s="52"/>
    </row>
    <row r="41" spans="1:47" s="32" customFormat="1" ht="12">
      <c r="A41" s="208"/>
      <c r="B41" s="2635" t="s">
        <v>609</v>
      </c>
      <c r="C41" s="2635"/>
      <c r="D41" s="2635"/>
      <c r="E41" s="2635"/>
      <c r="F41" s="2635"/>
      <c r="G41" s="2635"/>
      <c r="H41" s="2635"/>
      <c r="I41" s="2635"/>
      <c r="J41" s="2635"/>
      <c r="K41" s="2635"/>
      <c r="AP41" s="52"/>
      <c r="AQ41" s="52"/>
      <c r="AR41" s="52"/>
      <c r="AS41" s="52"/>
      <c r="AT41" s="52"/>
      <c r="AU41" s="52"/>
    </row>
    <row r="42" spans="1:47" s="32" customFormat="1" ht="12">
      <c r="A42" s="208"/>
      <c r="B42" s="2635"/>
      <c r="C42" s="2635"/>
      <c r="D42" s="2635"/>
      <c r="E42" s="2635"/>
      <c r="F42" s="2635"/>
      <c r="G42" s="2635"/>
      <c r="H42" s="2635"/>
      <c r="I42" s="2635"/>
      <c r="J42" s="2635"/>
      <c r="K42" s="2635"/>
      <c r="AP42" s="52"/>
      <c r="AQ42" s="52"/>
      <c r="AR42" s="52"/>
      <c r="AS42" s="52"/>
      <c r="AT42" s="52"/>
      <c r="AU42" s="52"/>
    </row>
    <row r="43" spans="1:47" s="32" customFormat="1" ht="12">
      <c r="A43" s="208"/>
      <c r="B43" s="2635"/>
      <c r="C43" s="2635"/>
      <c r="D43" s="2635"/>
      <c r="E43" s="2635"/>
      <c r="F43" s="2635"/>
      <c r="G43" s="2635"/>
      <c r="H43" s="2635"/>
      <c r="I43" s="2635"/>
      <c r="J43" s="2635"/>
      <c r="K43" s="2635"/>
      <c r="AP43" s="52"/>
      <c r="AQ43" s="52"/>
      <c r="AR43" s="52"/>
      <c r="AS43" s="52"/>
      <c r="AT43" s="52"/>
      <c r="AU43" s="52"/>
    </row>
    <row r="44" spans="1:47" s="32" customFormat="1" ht="12">
      <c r="A44" s="208"/>
      <c r="B44" s="2635"/>
      <c r="C44" s="2635"/>
      <c r="D44" s="2635"/>
      <c r="E44" s="2635"/>
      <c r="F44" s="2635"/>
      <c r="G44" s="2635"/>
      <c r="H44" s="2635"/>
      <c r="I44" s="2635"/>
      <c r="J44" s="2635"/>
      <c r="K44" s="2635"/>
      <c r="AP44" s="52"/>
      <c r="AQ44" s="52"/>
      <c r="AR44" s="52"/>
      <c r="AS44" s="52"/>
      <c r="AT44" s="52"/>
      <c r="AU44" s="52"/>
    </row>
    <row r="45" spans="1:47" s="32" customFormat="1" ht="12">
      <c r="A45" s="208"/>
      <c r="B45" s="2635"/>
      <c r="C45" s="2635"/>
      <c r="D45" s="2635"/>
      <c r="E45" s="2635"/>
      <c r="F45" s="2635"/>
      <c r="G45" s="2635"/>
      <c r="H45" s="2635"/>
      <c r="I45" s="2635"/>
      <c r="J45" s="2635"/>
      <c r="K45" s="2635"/>
      <c r="AP45" s="52"/>
      <c r="AQ45" s="52"/>
      <c r="AR45" s="52"/>
      <c r="AS45" s="52"/>
      <c r="AT45" s="52"/>
      <c r="AU45" s="52"/>
    </row>
    <row r="46" spans="1:47" s="32" customFormat="1" ht="12">
      <c r="A46" s="208"/>
      <c r="B46" s="2635"/>
      <c r="C46" s="2635"/>
      <c r="D46" s="2635"/>
      <c r="E46" s="2635"/>
      <c r="F46" s="2635"/>
      <c r="G46" s="2635"/>
      <c r="H46" s="2635"/>
      <c r="I46" s="2635"/>
      <c r="J46" s="2635"/>
      <c r="K46" s="2635"/>
      <c r="AP46" s="52"/>
      <c r="AQ46" s="52"/>
      <c r="AR46" s="52"/>
      <c r="AS46" s="52"/>
      <c r="AT46" s="52"/>
      <c r="AU46" s="52"/>
    </row>
    <row r="47" spans="1:47">
      <c r="B47" s="546"/>
      <c r="C47" s="546"/>
      <c r="D47" s="546"/>
      <c r="E47" s="546"/>
      <c r="F47" s="546"/>
      <c r="G47" s="546"/>
      <c r="H47" s="546"/>
      <c r="I47" s="546"/>
      <c r="J47" s="546"/>
      <c r="K47" s="546"/>
    </row>
    <row r="48" spans="1:47" s="32" customFormat="1">
      <c r="A48" s="8"/>
      <c r="B48" s="2635" t="s">
        <v>556</v>
      </c>
      <c r="C48" s="2635"/>
      <c r="D48" s="2635"/>
      <c r="E48" s="2635"/>
      <c r="F48" s="2635"/>
      <c r="G48" s="2635"/>
      <c r="H48" s="2635"/>
      <c r="I48" s="2635"/>
      <c r="J48" s="2635"/>
      <c r="K48" s="2635"/>
      <c r="AP48" s="52"/>
      <c r="AQ48" s="52"/>
      <c r="AR48" s="52"/>
      <c r="AS48" s="52"/>
      <c r="AT48" s="52"/>
      <c r="AU48" s="52"/>
    </row>
    <row r="49" spans="1:47" s="32" customFormat="1">
      <c r="A49" s="8"/>
      <c r="B49" s="2635"/>
      <c r="C49" s="2635"/>
      <c r="D49" s="2635"/>
      <c r="E49" s="2635"/>
      <c r="F49" s="2635"/>
      <c r="G49" s="2635"/>
      <c r="H49" s="2635"/>
      <c r="I49" s="2635"/>
      <c r="J49" s="2635"/>
      <c r="K49" s="2635"/>
      <c r="AP49" s="52"/>
      <c r="AQ49" s="52"/>
      <c r="AR49" s="52"/>
      <c r="AS49" s="52"/>
      <c r="AT49" s="52"/>
      <c r="AU49" s="52"/>
    </row>
    <row r="50" spans="1:47" s="32" customFormat="1">
      <c r="A50" s="8"/>
      <c r="B50" s="2635"/>
      <c r="C50" s="2635"/>
      <c r="D50" s="2635"/>
      <c r="E50" s="2635"/>
      <c r="F50" s="2635"/>
      <c r="G50" s="2635"/>
      <c r="H50" s="2635"/>
      <c r="I50" s="2635"/>
      <c r="J50" s="2635"/>
      <c r="K50" s="2635"/>
      <c r="AP50" s="52"/>
      <c r="AQ50" s="52"/>
      <c r="AR50" s="52"/>
      <c r="AS50" s="52"/>
      <c r="AT50" s="52"/>
      <c r="AU50" s="52"/>
    </row>
    <row r="51" spans="1:47" s="32" customFormat="1">
      <c r="A51" s="8"/>
      <c r="B51" s="2635"/>
      <c r="C51" s="2635"/>
      <c r="D51" s="2635"/>
      <c r="E51" s="2635"/>
      <c r="F51" s="2635"/>
      <c r="G51" s="2635"/>
      <c r="H51" s="2635"/>
      <c r="I51" s="2635"/>
      <c r="J51" s="2635"/>
      <c r="K51" s="2635"/>
      <c r="AP51" s="52"/>
      <c r="AQ51" s="52"/>
      <c r="AR51" s="52"/>
      <c r="AS51" s="52"/>
      <c r="AT51" s="52"/>
      <c r="AU51" s="52"/>
    </row>
    <row r="52" spans="1:47" s="32" customFormat="1" ht="9" customHeight="1">
      <c r="A52" s="8"/>
      <c r="B52" s="542"/>
      <c r="C52" s="542"/>
      <c r="D52" s="542"/>
      <c r="E52" s="542"/>
      <c r="F52" s="542"/>
      <c r="G52" s="542"/>
      <c r="H52" s="542"/>
      <c r="I52" s="542"/>
      <c r="J52" s="542"/>
      <c r="K52" s="542"/>
      <c r="AP52" s="52"/>
      <c r="AQ52" s="52"/>
      <c r="AR52" s="52"/>
      <c r="AS52" s="52"/>
      <c r="AT52" s="52"/>
      <c r="AU52" s="52"/>
    </row>
    <row r="53" spans="1:47" s="32" customFormat="1">
      <c r="A53" s="8"/>
      <c r="B53" s="2668" t="s">
        <v>304</v>
      </c>
      <c r="C53" s="2668"/>
      <c r="D53" s="2668"/>
      <c r="E53" s="2668"/>
      <c r="F53" s="2668"/>
      <c r="G53" s="2668"/>
      <c r="H53" s="2668"/>
      <c r="I53" s="2668"/>
      <c r="J53" s="2668"/>
      <c r="K53" s="2668"/>
      <c r="AP53" s="52"/>
      <c r="AQ53" s="52"/>
      <c r="AR53" s="52"/>
      <c r="AS53" s="52"/>
      <c r="AT53" s="52"/>
      <c r="AU53" s="52"/>
    </row>
    <row r="54" spans="1:47" s="32" customFormat="1">
      <c r="A54" s="8"/>
      <c r="B54" s="2668"/>
      <c r="C54" s="2668"/>
      <c r="D54" s="2668"/>
      <c r="E54" s="2668"/>
      <c r="F54" s="2668"/>
      <c r="G54" s="2668"/>
      <c r="H54" s="2668"/>
      <c r="I54" s="2668"/>
      <c r="J54" s="2668"/>
      <c r="K54" s="2668"/>
      <c r="AP54" s="52"/>
      <c r="AQ54" s="52"/>
      <c r="AR54" s="52"/>
      <c r="AS54" s="52"/>
      <c r="AT54" s="52"/>
      <c r="AU54" s="52"/>
    </row>
    <row r="55" spans="1:47" s="32" customFormat="1">
      <c r="A55" s="8"/>
      <c r="B55" s="2668"/>
      <c r="C55" s="2668"/>
      <c r="D55" s="2668"/>
      <c r="E55" s="2668"/>
      <c r="F55" s="2668"/>
      <c r="G55" s="2668"/>
      <c r="H55" s="2668"/>
      <c r="I55" s="2668"/>
      <c r="J55" s="2668"/>
      <c r="K55" s="2668"/>
      <c r="AP55" s="52"/>
      <c r="AQ55" s="52"/>
      <c r="AR55" s="52"/>
      <c r="AS55" s="52"/>
      <c r="AT55" s="52"/>
      <c r="AU55" s="52"/>
    </row>
    <row r="56" spans="1:47" s="32" customFormat="1" ht="9" customHeight="1">
      <c r="A56" s="8"/>
      <c r="B56" s="544"/>
      <c r="C56" s="544"/>
      <c r="D56" s="544"/>
      <c r="E56" s="544"/>
      <c r="F56" s="544"/>
      <c r="G56" s="544"/>
      <c r="H56" s="544"/>
      <c r="I56" s="544"/>
      <c r="J56" s="544"/>
      <c r="K56" s="544"/>
      <c r="AP56" s="52"/>
      <c r="AQ56" s="52"/>
      <c r="AR56" s="52"/>
      <c r="AS56" s="52"/>
      <c r="AT56" s="52"/>
      <c r="AU56" s="52"/>
    </row>
    <row r="57" spans="1:47" s="218" customFormat="1" ht="10.199999999999999">
      <c r="A57" s="432"/>
      <c r="B57" s="609"/>
      <c r="C57" s="609"/>
      <c r="D57" s="609"/>
      <c r="E57" s="2676" t="s">
        <v>519</v>
      </c>
      <c r="F57" s="2677"/>
      <c r="G57" s="2677"/>
      <c r="H57" s="2677"/>
      <c r="I57" s="2677"/>
      <c r="J57" s="2677"/>
      <c r="K57" s="2677"/>
      <c r="AP57" s="378"/>
      <c r="AQ57" s="378"/>
      <c r="AR57" s="378"/>
      <c r="AS57" s="378"/>
      <c r="AT57" s="378"/>
      <c r="AU57" s="378"/>
    </row>
    <row r="58" spans="1:47" s="218" customFormat="1" ht="10.199999999999999">
      <c r="A58" s="433"/>
      <c r="B58" s="2678" t="s">
        <v>262</v>
      </c>
      <c r="C58" s="2678"/>
      <c r="D58" s="2678" t="s">
        <v>44</v>
      </c>
      <c r="E58" s="2679"/>
      <c r="F58" s="2678" t="s">
        <v>202</v>
      </c>
      <c r="G58" s="2679"/>
      <c r="H58" s="2678" t="s">
        <v>242</v>
      </c>
      <c r="I58" s="2679"/>
      <c r="J58" s="2678" t="s">
        <v>243</v>
      </c>
      <c r="K58" s="2679"/>
      <c r="AP58" s="378"/>
      <c r="AQ58" s="378"/>
      <c r="AR58" s="378"/>
      <c r="AS58" s="378"/>
      <c r="AT58" s="378"/>
      <c r="AU58" s="378"/>
    </row>
    <row r="59" spans="1:47" s="218" customFormat="1" ht="10.199999999999999">
      <c r="A59" s="433"/>
      <c r="B59" s="2682"/>
      <c r="C59" s="2682"/>
      <c r="D59" s="2680"/>
      <c r="E59" s="2680"/>
      <c r="F59" s="2680"/>
      <c r="G59" s="2680"/>
      <c r="H59" s="2680"/>
      <c r="I59" s="2680"/>
      <c r="J59" s="2680"/>
      <c r="K59" s="2680"/>
      <c r="AP59" s="378"/>
      <c r="AQ59" s="378"/>
      <c r="AR59" s="378"/>
      <c r="AS59" s="378"/>
      <c r="AT59" s="378"/>
      <c r="AU59" s="378"/>
    </row>
    <row r="60" spans="1:47" s="218" customFormat="1" ht="10.199999999999999">
      <c r="A60" s="433"/>
      <c r="B60" s="2682"/>
      <c r="C60" s="2682"/>
      <c r="D60" s="2680"/>
      <c r="E60" s="2680"/>
      <c r="F60" s="2680"/>
      <c r="G60" s="2680"/>
      <c r="H60" s="2680"/>
      <c r="I60" s="2680"/>
      <c r="J60" s="2680"/>
      <c r="K60" s="2680"/>
      <c r="AP60" s="378"/>
      <c r="AQ60" s="378"/>
      <c r="AR60" s="378"/>
      <c r="AS60" s="378"/>
      <c r="AT60" s="378"/>
      <c r="AU60" s="378"/>
    </row>
    <row r="61" spans="1:47" s="218" customFormat="1" ht="10.199999999999999">
      <c r="A61" s="433"/>
      <c r="B61" s="2683"/>
      <c r="C61" s="2683"/>
      <c r="D61" s="2681"/>
      <c r="E61" s="2681"/>
      <c r="F61" s="2681"/>
      <c r="G61" s="2681"/>
      <c r="H61" s="2681"/>
      <c r="I61" s="2681"/>
      <c r="J61" s="2681"/>
      <c r="K61" s="2681"/>
      <c r="AP61" s="378"/>
      <c r="AQ61" s="378"/>
      <c r="AR61" s="378"/>
      <c r="AS61" s="378"/>
      <c r="AT61" s="378"/>
      <c r="AU61" s="378"/>
    </row>
    <row r="62" spans="1:47" s="218" customFormat="1" ht="10.199999999999999">
      <c r="A62" s="433"/>
      <c r="B62" s="609"/>
      <c r="C62" s="609"/>
      <c r="D62" s="609"/>
      <c r="E62" s="2670" t="s">
        <v>205</v>
      </c>
      <c r="F62" s="2670"/>
      <c r="G62" s="2670"/>
      <c r="H62" s="2670"/>
      <c r="I62" s="2670"/>
      <c r="J62" s="2670"/>
      <c r="K62" s="2670"/>
      <c r="AP62" s="378"/>
      <c r="AQ62" s="378"/>
      <c r="AR62" s="378"/>
      <c r="AS62" s="378"/>
      <c r="AT62" s="378"/>
      <c r="AU62" s="378"/>
    </row>
    <row r="63" spans="1:47" s="212" customFormat="1" ht="10.199999999999999">
      <c r="A63" s="231"/>
      <c r="B63" s="674" t="s">
        <v>74</v>
      </c>
      <c r="C63" s="674"/>
      <c r="D63" s="674"/>
      <c r="E63" s="692"/>
      <c r="F63" s="675"/>
      <c r="G63" s="693"/>
      <c r="H63" s="694"/>
      <c r="I63" s="693"/>
      <c r="J63" s="694"/>
      <c r="K63" s="693"/>
      <c r="AP63" s="230"/>
      <c r="AQ63" s="230"/>
      <c r="AR63" s="230"/>
      <c r="AS63" s="230"/>
      <c r="AT63" s="230"/>
      <c r="AU63" s="230"/>
    </row>
    <row r="64" spans="1:47" s="212" customFormat="1" ht="10.199999999999999">
      <c r="A64" s="231"/>
      <c r="B64" s="560" t="s">
        <v>572</v>
      </c>
      <c r="C64" s="560"/>
      <c r="D64" s="695"/>
      <c r="E64" s="696"/>
      <c r="F64" s="696"/>
      <c r="G64" s="696"/>
      <c r="H64" s="696"/>
      <c r="I64" s="696"/>
      <c r="J64" s="696"/>
      <c r="K64" s="696"/>
      <c r="AP64" s="230"/>
      <c r="AQ64" s="230"/>
      <c r="AR64" s="230"/>
      <c r="AS64" s="230"/>
      <c r="AT64" s="230"/>
      <c r="AU64" s="230"/>
    </row>
    <row r="65" spans="1:47" s="212" customFormat="1" ht="10.199999999999999">
      <c r="A65" s="231"/>
      <c r="B65" s="640" t="s">
        <v>573</v>
      </c>
      <c r="C65" s="560"/>
      <c r="D65" s="695"/>
      <c r="E65" s="694" t="e">
        <f>G65+I65+K65</f>
        <v>#REF!</v>
      </c>
      <c r="F65" s="694"/>
      <c r="G65" s="694" t="e">
        <f>#REF!</f>
        <v>#REF!</v>
      </c>
      <c r="H65" s="694"/>
      <c r="I65" s="694">
        <v>0</v>
      </c>
      <c r="J65" s="694"/>
      <c r="K65" s="694">
        <v>0</v>
      </c>
      <c r="AP65" s="230"/>
      <c r="AQ65" s="230"/>
      <c r="AR65" s="230"/>
      <c r="AS65" s="230"/>
      <c r="AT65" s="230"/>
      <c r="AU65" s="230"/>
    </row>
    <row r="66" spans="1:47" s="212" customFormat="1" ht="10.199999999999999">
      <c r="A66" s="231"/>
      <c r="B66" s="560" t="s">
        <v>449</v>
      </c>
      <c r="C66" s="640"/>
      <c r="D66" s="640"/>
      <c r="E66" s="696"/>
      <c r="F66" s="696"/>
      <c r="G66" s="696"/>
      <c r="H66" s="696"/>
      <c r="I66" s="696"/>
      <c r="J66" s="696"/>
      <c r="K66" s="696"/>
      <c r="AP66" s="230"/>
      <c r="AQ66" s="230">
        <f>1375-895-1</f>
        <v>479</v>
      </c>
      <c r="AR66" s="230"/>
      <c r="AS66" s="230"/>
      <c r="AT66" s="230"/>
      <c r="AU66" s="230"/>
    </row>
    <row r="67" spans="1:47" s="212" customFormat="1" ht="10.199999999999999">
      <c r="A67" s="231"/>
      <c r="B67" s="560" t="s">
        <v>450</v>
      </c>
      <c r="C67" s="640"/>
      <c r="D67" s="640"/>
      <c r="E67" s="697" t="e">
        <f>G67+I67+K67</f>
        <v>#REF!</v>
      </c>
      <c r="F67" s="697"/>
      <c r="G67" s="697" t="e">
        <f>#REF!</f>
        <v>#REF!</v>
      </c>
      <c r="H67" s="697"/>
      <c r="I67" s="697">
        <v>0</v>
      </c>
      <c r="J67" s="697"/>
      <c r="K67" s="697">
        <v>0</v>
      </c>
      <c r="AP67" s="230"/>
      <c r="AQ67" s="230"/>
      <c r="AR67" s="230"/>
      <c r="AS67" s="230"/>
      <c r="AT67" s="230"/>
      <c r="AU67" s="230"/>
    </row>
    <row r="68" spans="1:47" s="212" customFormat="1" ht="10.199999999999999">
      <c r="A68" s="231"/>
      <c r="B68" s="606" t="s">
        <v>228</v>
      </c>
      <c r="C68" s="640"/>
      <c r="D68" s="640"/>
      <c r="E68" s="697">
        <f>G68+I68+K68</f>
        <v>386</v>
      </c>
      <c r="F68" s="697"/>
      <c r="G68" s="697">
        <f>'25.1.3-25.2'!J29</f>
        <v>386</v>
      </c>
      <c r="H68" s="697"/>
      <c r="I68" s="697">
        <v>0</v>
      </c>
      <c r="J68" s="697"/>
      <c r="K68" s="697">
        <v>0</v>
      </c>
      <c r="AP68" s="230"/>
      <c r="AQ68" s="230"/>
      <c r="AR68" s="230"/>
      <c r="AS68" s="230"/>
      <c r="AT68" s="230"/>
      <c r="AU68" s="230"/>
    </row>
    <row r="69" spans="1:47" s="212" customFormat="1" ht="10.199999999999999">
      <c r="A69" s="231"/>
      <c r="B69" s="606" t="s">
        <v>55</v>
      </c>
      <c r="C69" s="606"/>
      <c r="D69" s="606"/>
      <c r="E69" s="694" t="e">
        <f>G69+I69+K69</f>
        <v>#REF!</v>
      </c>
      <c r="F69" s="694"/>
      <c r="G69" s="694" t="e">
        <f>#REF!-#REF!-#REF!</f>
        <v>#REF!</v>
      </c>
      <c r="H69" s="694"/>
      <c r="I69" s="694">
        <v>0</v>
      </c>
      <c r="J69" s="694"/>
      <c r="K69" s="694">
        <v>0</v>
      </c>
      <c r="AP69" s="230"/>
      <c r="AQ69" s="230"/>
      <c r="AR69" s="230"/>
      <c r="AS69" s="230"/>
      <c r="AT69" s="230"/>
      <c r="AU69" s="230"/>
    </row>
    <row r="70" spans="1:47" s="212" customFormat="1" ht="10.8" thickBot="1">
      <c r="A70" s="231"/>
      <c r="B70" s="696"/>
      <c r="C70" s="696"/>
      <c r="D70" s="696"/>
      <c r="E70" s="698" t="e">
        <f>SUM(E65:E69)</f>
        <v>#REF!</v>
      </c>
      <c r="F70" s="675"/>
      <c r="G70" s="698" t="e">
        <f>SUM(G65:G69)</f>
        <v>#REF!</v>
      </c>
      <c r="H70" s="675"/>
      <c r="I70" s="698">
        <f>SUM(I65:I69)</f>
        <v>0</v>
      </c>
      <c r="J70" s="675"/>
      <c r="K70" s="698">
        <f>SUM(K65:K69)</f>
        <v>0</v>
      </c>
      <c r="AP70" s="230"/>
      <c r="AQ70" s="230"/>
      <c r="AR70" s="230"/>
      <c r="AS70" s="230"/>
      <c r="AT70" s="230"/>
      <c r="AU70" s="230"/>
    </row>
    <row r="71" spans="1:47" s="212" customFormat="1" ht="9" customHeight="1" thickTop="1">
      <c r="A71" s="231"/>
      <c r="B71" s="696"/>
      <c r="C71" s="696"/>
      <c r="D71" s="696"/>
      <c r="E71" s="675"/>
      <c r="F71" s="675"/>
      <c r="G71" s="675"/>
      <c r="H71" s="675"/>
      <c r="I71" s="675"/>
      <c r="J71" s="675"/>
      <c r="K71" s="675"/>
      <c r="AP71" s="230"/>
      <c r="AQ71" s="230"/>
      <c r="AR71" s="230"/>
      <c r="AS71" s="230"/>
      <c r="AT71" s="230"/>
      <c r="AU71" s="230"/>
    </row>
    <row r="72" spans="1:47" s="32" customFormat="1">
      <c r="A72" s="210" t="e">
        <f>A1+1</f>
        <v>#REF!</v>
      </c>
      <c r="B72" s="547"/>
      <c r="C72" s="547"/>
      <c r="D72" s="547"/>
      <c r="E72" s="547"/>
      <c r="F72" s="547"/>
      <c r="G72" s="547"/>
      <c r="H72" s="547"/>
      <c r="I72" s="547"/>
      <c r="J72" s="547"/>
      <c r="K72" s="547"/>
      <c r="AP72" s="52"/>
      <c r="AQ72" s="52"/>
      <c r="AR72" s="52"/>
      <c r="AS72" s="52"/>
      <c r="AT72" s="52"/>
      <c r="AU72" s="52"/>
    </row>
    <row r="73" spans="1:47" s="32" customFormat="1" ht="12">
      <c r="A73" s="208"/>
      <c r="B73" s="539"/>
      <c r="C73" s="539"/>
      <c r="D73" s="539"/>
      <c r="E73" s="539"/>
      <c r="F73" s="699"/>
      <c r="G73" s="539"/>
      <c r="H73" s="539"/>
      <c r="I73" s="699"/>
      <c r="J73" s="542"/>
      <c r="K73" s="542"/>
      <c r="AP73" s="52"/>
      <c r="AQ73" s="52"/>
      <c r="AR73" s="52"/>
      <c r="AS73" s="52"/>
      <c r="AT73" s="52"/>
      <c r="AU73" s="52"/>
    </row>
    <row r="74" spans="1:47" s="32" customFormat="1" ht="12">
      <c r="A74" s="207">
        <f>'20-25.1.2'!A102+1</f>
        <v>19</v>
      </c>
      <c r="B74" s="541" t="s">
        <v>244</v>
      </c>
      <c r="C74" s="541"/>
      <c r="D74" s="541"/>
      <c r="E74" s="541"/>
      <c r="F74" s="541"/>
      <c r="G74" s="541"/>
      <c r="H74" s="541"/>
      <c r="I74" s="541"/>
      <c r="J74" s="541"/>
      <c r="K74" s="541"/>
      <c r="AP74" s="52"/>
      <c r="AQ74" s="52"/>
      <c r="AR74" s="52"/>
      <c r="AS74" s="52"/>
      <c r="AT74" s="52"/>
      <c r="AU74" s="52"/>
    </row>
    <row r="75" spans="1:47" s="32" customFormat="1" ht="12">
      <c r="A75" s="208"/>
      <c r="B75" s="542"/>
      <c r="C75" s="542"/>
      <c r="D75" s="542"/>
      <c r="E75" s="542"/>
      <c r="F75" s="542"/>
      <c r="G75" s="548"/>
      <c r="H75" s="548"/>
      <c r="I75" s="542"/>
      <c r="J75" s="542"/>
      <c r="K75" s="542"/>
      <c r="AP75" s="52"/>
      <c r="AQ75" s="52"/>
      <c r="AR75" s="52"/>
      <c r="AS75" s="52"/>
      <c r="AT75" s="52"/>
      <c r="AU75" s="52"/>
    </row>
    <row r="76" spans="1:47" s="32" customFormat="1" ht="12">
      <c r="A76" s="208"/>
      <c r="B76" s="2635" t="s">
        <v>246</v>
      </c>
      <c r="C76" s="2635"/>
      <c r="D76" s="2635"/>
      <c r="E76" s="2635"/>
      <c r="F76" s="2635"/>
      <c r="G76" s="2635"/>
      <c r="H76" s="2635"/>
      <c r="I76" s="2635"/>
      <c r="J76" s="2635"/>
      <c r="K76" s="2635"/>
      <c r="AP76" s="52"/>
      <c r="AQ76" s="52"/>
      <c r="AR76" s="52"/>
      <c r="AS76" s="52"/>
      <c r="AT76" s="52"/>
      <c r="AU76" s="52"/>
    </row>
    <row r="77" spans="1:47" s="32" customFormat="1" ht="12">
      <c r="A77" s="208"/>
      <c r="B77" s="2635"/>
      <c r="C77" s="2635"/>
      <c r="D77" s="2635"/>
      <c r="E77" s="2635"/>
      <c r="F77" s="2635"/>
      <c r="G77" s="2635"/>
      <c r="H77" s="2635"/>
      <c r="I77" s="2635"/>
      <c r="J77" s="2635"/>
      <c r="K77" s="2635"/>
      <c r="AP77" s="52"/>
      <c r="AQ77" s="52"/>
      <c r="AR77" s="52"/>
      <c r="AS77" s="52"/>
      <c r="AT77" s="52"/>
      <c r="AU77" s="52"/>
    </row>
    <row r="78" spans="1:47" s="32" customFormat="1" ht="12">
      <c r="A78" s="208"/>
      <c r="B78" s="2635"/>
      <c r="C78" s="2635"/>
      <c r="D78" s="2635"/>
      <c r="E78" s="2635"/>
      <c r="F78" s="2635"/>
      <c r="G78" s="2635"/>
      <c r="H78" s="2635"/>
      <c r="I78" s="2635"/>
      <c r="J78" s="2635"/>
      <c r="K78" s="2635"/>
      <c r="AP78" s="52"/>
      <c r="AQ78" s="52"/>
      <c r="AR78" s="52"/>
      <c r="AS78" s="52"/>
      <c r="AT78" s="52"/>
      <c r="AU78" s="52"/>
    </row>
    <row r="79" spans="1:47" s="32" customFormat="1" ht="12">
      <c r="A79" s="208"/>
      <c r="B79" s="542"/>
      <c r="C79" s="542"/>
      <c r="D79" s="542"/>
      <c r="E79" s="542"/>
      <c r="F79" s="542"/>
      <c r="G79" s="548"/>
      <c r="H79" s="548"/>
      <c r="I79" s="542"/>
      <c r="J79" s="542"/>
      <c r="K79" s="542"/>
      <c r="AP79" s="52"/>
      <c r="AQ79" s="52"/>
      <c r="AR79" s="52"/>
      <c r="AS79" s="52"/>
      <c r="AT79" s="52"/>
      <c r="AU79" s="52"/>
    </row>
    <row r="80" spans="1:47" s="32" customFormat="1" ht="12">
      <c r="A80" s="208"/>
      <c r="B80" s="2654" t="s">
        <v>311</v>
      </c>
      <c r="C80" s="2654"/>
      <c r="D80" s="2654"/>
      <c r="E80" s="2654"/>
      <c r="F80" s="2654"/>
      <c r="G80" s="2654"/>
      <c r="H80" s="2654"/>
      <c r="I80" s="2654"/>
      <c r="J80" s="2654"/>
      <c r="K80" s="2654"/>
      <c r="AP80" s="52"/>
      <c r="AQ80" s="52"/>
      <c r="AR80" s="52"/>
      <c r="AS80" s="52"/>
      <c r="AT80" s="52"/>
      <c r="AU80" s="52"/>
    </row>
    <row r="81" spans="1:47" s="32" customFormat="1" ht="12">
      <c r="A81" s="208"/>
      <c r="B81" s="2654"/>
      <c r="C81" s="2654"/>
      <c r="D81" s="2654"/>
      <c r="E81" s="2654"/>
      <c r="F81" s="2654"/>
      <c r="G81" s="2654"/>
      <c r="H81" s="2654"/>
      <c r="I81" s="2654"/>
      <c r="J81" s="2654"/>
      <c r="K81" s="2654"/>
      <c r="AP81" s="52"/>
      <c r="AQ81" s="52"/>
      <c r="AR81" s="52"/>
      <c r="AS81" s="52"/>
      <c r="AT81" s="52"/>
      <c r="AU81" s="52"/>
    </row>
    <row r="82" spans="1:47" s="32" customFormat="1" ht="12">
      <c r="A82" s="208"/>
      <c r="B82" s="2654"/>
      <c r="C82" s="2654"/>
      <c r="D82" s="2654"/>
      <c r="E82" s="2654"/>
      <c r="F82" s="2654"/>
      <c r="G82" s="2654"/>
      <c r="H82" s="2654"/>
      <c r="I82" s="2654"/>
      <c r="J82" s="2654"/>
      <c r="K82" s="2654"/>
      <c r="AP82" s="52"/>
      <c r="AQ82" s="52"/>
      <c r="AR82" s="52"/>
      <c r="AS82" s="52"/>
      <c r="AT82" s="52"/>
      <c r="AU82" s="52"/>
    </row>
    <row r="83" spans="1:47" s="32" customFormat="1" ht="12">
      <c r="A83" s="208"/>
      <c r="B83" s="2667"/>
      <c r="C83" s="2667"/>
      <c r="D83" s="2667"/>
      <c r="E83" s="2667"/>
      <c r="F83" s="2667"/>
      <c r="G83" s="2667"/>
      <c r="H83" s="2667"/>
      <c r="I83" s="2667"/>
      <c r="J83" s="2667"/>
      <c r="K83" s="2667"/>
      <c r="AP83" s="52"/>
      <c r="AQ83" s="52"/>
      <c r="AR83" s="52"/>
      <c r="AS83" s="52"/>
      <c r="AT83" s="52"/>
      <c r="AU83" s="52"/>
    </row>
    <row r="84" spans="1:47" s="32" customFormat="1" ht="12">
      <c r="A84" s="208"/>
      <c r="B84" s="550"/>
      <c r="C84" s="550"/>
      <c r="D84" s="550"/>
      <c r="E84" s="550"/>
      <c r="F84" s="550"/>
      <c r="G84" s="550"/>
      <c r="H84" s="550"/>
      <c r="I84" s="550"/>
      <c r="J84" s="550"/>
      <c r="K84" s="550"/>
      <c r="AP84" s="52"/>
      <c r="AQ84" s="52"/>
      <c r="AR84" s="52"/>
      <c r="AS84" s="52"/>
      <c r="AT84" s="52"/>
      <c r="AU84" s="52"/>
    </row>
    <row r="85" spans="1:47" s="32" customFormat="1" ht="12">
      <c r="A85" s="208"/>
      <c r="B85" s="2654" t="s">
        <v>232</v>
      </c>
      <c r="C85" s="2654"/>
      <c r="D85" s="2654"/>
      <c r="E85" s="2654"/>
      <c r="F85" s="2654"/>
      <c r="G85" s="2654"/>
      <c r="H85" s="2654"/>
      <c r="I85" s="2654"/>
      <c r="J85" s="2654"/>
      <c r="K85" s="2654"/>
      <c r="AP85" s="52"/>
      <c r="AQ85" s="52"/>
      <c r="AR85" s="52"/>
      <c r="AS85" s="52"/>
      <c r="AT85" s="52"/>
      <c r="AU85" s="52"/>
    </row>
    <row r="86" spans="1:47" s="32" customFormat="1" ht="12">
      <c r="A86" s="208"/>
      <c r="B86" s="2654"/>
      <c r="C86" s="2654"/>
      <c r="D86" s="2654"/>
      <c r="E86" s="2654"/>
      <c r="F86" s="2654"/>
      <c r="G86" s="2654"/>
      <c r="H86" s="2654"/>
      <c r="I86" s="2654"/>
      <c r="J86" s="2654"/>
      <c r="K86" s="2654"/>
      <c r="AP86" s="52"/>
      <c r="AQ86" s="52"/>
      <c r="AR86" s="52"/>
      <c r="AS86" s="52"/>
      <c r="AT86" s="52"/>
      <c r="AU86" s="52"/>
    </row>
    <row r="87" spans="1:47" s="32" customFormat="1" ht="12">
      <c r="A87" s="208"/>
      <c r="B87" s="2654"/>
      <c r="C87" s="2654"/>
      <c r="D87" s="2654"/>
      <c r="E87" s="2654"/>
      <c r="F87" s="2654"/>
      <c r="G87" s="2654"/>
      <c r="H87" s="2654"/>
      <c r="I87" s="2654"/>
      <c r="J87" s="2654"/>
      <c r="K87" s="2654"/>
      <c r="AP87" s="52"/>
      <c r="AQ87" s="52"/>
      <c r="AR87" s="52"/>
      <c r="AS87" s="52"/>
      <c r="AT87" s="52"/>
      <c r="AU87" s="52"/>
    </row>
    <row r="88" spans="1:47" s="32" customFormat="1" ht="12">
      <c r="A88" s="208"/>
      <c r="B88" s="700"/>
      <c r="C88" s="700"/>
      <c r="D88" s="700"/>
      <c r="E88" s="700"/>
      <c r="F88" s="700"/>
      <c r="G88" s="700"/>
      <c r="H88" s="700"/>
      <c r="I88" s="700"/>
      <c r="J88" s="700"/>
      <c r="K88" s="700"/>
      <c r="AP88" s="52"/>
      <c r="AQ88" s="52"/>
      <c r="AR88" s="52"/>
      <c r="AS88" s="52"/>
      <c r="AT88" s="52"/>
      <c r="AU88" s="52"/>
    </row>
    <row r="89" spans="1:47" s="32" customFormat="1" ht="12">
      <c r="A89" s="208"/>
      <c r="B89" s="2635" t="s">
        <v>445</v>
      </c>
      <c r="C89" s="2635"/>
      <c r="D89" s="2635"/>
      <c r="E89" s="2635"/>
      <c r="F89" s="2635"/>
      <c r="G89" s="2635"/>
      <c r="H89" s="2635"/>
      <c r="I89" s="2635"/>
      <c r="J89" s="2635"/>
      <c r="K89" s="2635"/>
      <c r="AP89" s="52"/>
      <c r="AQ89" s="52"/>
      <c r="AR89" s="52"/>
      <c r="AS89" s="52"/>
      <c r="AT89" s="52"/>
      <c r="AU89" s="52"/>
    </row>
    <row r="90" spans="1:47" s="32" customFormat="1" ht="12">
      <c r="A90" s="208"/>
      <c r="B90" s="2635"/>
      <c r="C90" s="2635"/>
      <c r="D90" s="2635"/>
      <c r="E90" s="2635"/>
      <c r="F90" s="2635"/>
      <c r="G90" s="2635"/>
      <c r="H90" s="2635"/>
      <c r="I90" s="2635"/>
      <c r="J90" s="2635"/>
      <c r="K90" s="2635"/>
      <c r="AP90" s="52"/>
      <c r="AQ90" s="52"/>
      <c r="AR90" s="52"/>
      <c r="AS90" s="52"/>
      <c r="AT90" s="52"/>
      <c r="AU90" s="52"/>
    </row>
    <row r="91" spans="1:47" s="32" customFormat="1" ht="12">
      <c r="A91" s="208"/>
      <c r="B91" s="2635"/>
      <c r="C91" s="2635"/>
      <c r="D91" s="2635"/>
      <c r="E91" s="2635"/>
      <c r="F91" s="2635"/>
      <c r="G91" s="2635"/>
      <c r="H91" s="2635"/>
      <c r="I91" s="2635"/>
      <c r="J91" s="2635"/>
      <c r="K91" s="2635"/>
      <c r="AP91" s="52"/>
      <c r="AQ91" s="52"/>
      <c r="AR91" s="52"/>
      <c r="AS91" s="52"/>
      <c r="AT91" s="52"/>
      <c r="AU91" s="52"/>
    </row>
    <row r="92" spans="1:47" s="32" customFormat="1" ht="12">
      <c r="A92" s="208"/>
      <c r="B92" s="539"/>
      <c r="C92" s="539"/>
      <c r="D92" s="539"/>
      <c r="E92" s="539"/>
      <c r="F92" s="539"/>
      <c r="G92" s="539"/>
      <c r="H92" s="539"/>
      <c r="I92" s="539"/>
      <c r="J92" s="539"/>
      <c r="K92" s="699"/>
      <c r="AP92" s="52"/>
      <c r="AQ92" s="52"/>
      <c r="AR92" s="52"/>
      <c r="AS92" s="52"/>
      <c r="AT92" s="52"/>
      <c r="AU92" s="52"/>
    </row>
    <row r="93" spans="1:47" s="32" customFormat="1" ht="12">
      <c r="A93" s="207">
        <f>A74+1</f>
        <v>20</v>
      </c>
      <c r="B93" s="541" t="s">
        <v>247</v>
      </c>
      <c r="C93" s="541"/>
      <c r="D93" s="541"/>
      <c r="E93" s="541"/>
      <c r="F93" s="541"/>
      <c r="G93" s="542"/>
      <c r="H93" s="542"/>
      <c r="I93" s="542"/>
      <c r="J93" s="542"/>
      <c r="K93" s="548"/>
    </row>
    <row r="94" spans="1:47" s="32" customFormat="1" ht="12">
      <c r="A94" s="208"/>
      <c r="B94" s="542" t="s">
        <v>178</v>
      </c>
      <c r="C94" s="542"/>
      <c r="D94" s="542"/>
      <c r="E94" s="542"/>
      <c r="F94" s="542"/>
      <c r="G94" s="542"/>
      <c r="H94" s="542"/>
      <c r="I94" s="542"/>
      <c r="J94" s="542"/>
      <c r="K94" s="548"/>
    </row>
    <row r="95" spans="1:47" s="32" customFormat="1" ht="12">
      <c r="A95" s="208"/>
      <c r="B95" s="2635" t="s">
        <v>86</v>
      </c>
      <c r="C95" s="2635"/>
      <c r="D95" s="2635"/>
      <c r="E95" s="2635"/>
      <c r="F95" s="2635"/>
      <c r="G95" s="2635"/>
      <c r="H95" s="2635"/>
      <c r="I95" s="2635"/>
      <c r="J95" s="2635"/>
      <c r="K95" s="2635"/>
    </row>
    <row r="96" spans="1:47" s="32" customFormat="1" ht="12">
      <c r="A96" s="208"/>
      <c r="B96" s="2635"/>
      <c r="C96" s="2635"/>
      <c r="D96" s="2635"/>
      <c r="E96" s="2635"/>
      <c r="F96" s="2635"/>
      <c r="G96" s="2635"/>
      <c r="H96" s="2635"/>
      <c r="I96" s="2635"/>
      <c r="J96" s="2635"/>
      <c r="K96" s="2635"/>
    </row>
    <row r="97" spans="1:11" s="32" customFormat="1" ht="12">
      <c r="A97" s="208"/>
      <c r="B97" s="2635"/>
      <c r="C97" s="2635"/>
      <c r="D97" s="2635"/>
      <c r="E97" s="2635"/>
      <c r="F97" s="2635"/>
      <c r="G97" s="2635"/>
      <c r="H97" s="2635"/>
      <c r="I97" s="2635"/>
      <c r="J97" s="2635"/>
      <c r="K97" s="2635"/>
    </row>
    <row r="98" spans="1:11" s="32" customFormat="1" ht="12">
      <c r="A98" s="208"/>
      <c r="B98" s="550"/>
      <c r="C98" s="550"/>
      <c r="D98" s="550"/>
      <c r="E98" s="550"/>
      <c r="F98" s="550"/>
      <c r="G98" s="550"/>
      <c r="H98" s="550"/>
      <c r="I98" s="550"/>
      <c r="J98" s="550"/>
      <c r="K98" s="701"/>
    </row>
    <row r="99" spans="1:11" s="32" customFormat="1" ht="12">
      <c r="A99" s="208"/>
      <c r="B99" s="2635" t="s">
        <v>179</v>
      </c>
      <c r="C99" s="2635"/>
      <c r="D99" s="2635"/>
      <c r="E99" s="2635"/>
      <c r="F99" s="2635"/>
      <c r="G99" s="2635"/>
      <c r="H99" s="2635"/>
      <c r="I99" s="2635"/>
      <c r="J99" s="2635"/>
      <c r="K99" s="2635"/>
    </row>
    <row r="100" spans="1:11" s="32" customFormat="1" ht="12">
      <c r="A100" s="208"/>
      <c r="B100" s="2635"/>
      <c r="C100" s="2635"/>
      <c r="D100" s="2635"/>
      <c r="E100" s="2635"/>
      <c r="F100" s="2635"/>
      <c r="G100" s="2635"/>
      <c r="H100" s="2635"/>
      <c r="I100" s="2635"/>
      <c r="J100" s="2635"/>
      <c r="K100" s="2635"/>
    </row>
    <row r="101" spans="1:11" s="32" customFormat="1" ht="12">
      <c r="A101" s="208"/>
      <c r="B101" s="542"/>
      <c r="C101" s="542"/>
      <c r="D101" s="542"/>
      <c r="E101" s="542"/>
      <c r="F101" s="542"/>
      <c r="G101" s="542"/>
      <c r="H101" s="542"/>
      <c r="I101" s="542"/>
      <c r="J101" s="542"/>
      <c r="K101" s="548"/>
    </row>
    <row r="102" spans="1:11" s="32" customFormat="1" ht="12">
      <c r="A102" s="208"/>
      <c r="B102" s="2635" t="s">
        <v>528</v>
      </c>
      <c r="C102" s="2635"/>
      <c r="D102" s="2635"/>
      <c r="E102" s="2635"/>
      <c r="F102" s="2635"/>
      <c r="G102" s="2635"/>
      <c r="H102" s="2635"/>
      <c r="I102" s="2635"/>
      <c r="J102" s="2635"/>
      <c r="K102" s="2635"/>
    </row>
    <row r="103" spans="1:11" s="32" customFormat="1" ht="12">
      <c r="A103" s="208"/>
      <c r="B103" s="2635"/>
      <c r="C103" s="2635"/>
      <c r="D103" s="2635"/>
      <c r="E103" s="2635"/>
      <c r="F103" s="2635"/>
      <c r="G103" s="2635"/>
      <c r="H103" s="2635"/>
      <c r="I103" s="2635"/>
      <c r="J103" s="2635"/>
      <c r="K103" s="2635"/>
    </row>
    <row r="104" spans="1:11" s="32" customFormat="1" ht="12">
      <c r="A104" s="208"/>
      <c r="B104" s="2635"/>
      <c r="C104" s="2635"/>
      <c r="D104" s="2635"/>
      <c r="E104" s="2635"/>
      <c r="F104" s="2635"/>
      <c r="G104" s="2635"/>
      <c r="H104" s="2635"/>
      <c r="I104" s="2635"/>
      <c r="J104" s="2635"/>
      <c r="K104" s="2635"/>
    </row>
    <row r="105" spans="1:11" s="32" customFormat="1" ht="12">
      <c r="A105" s="208"/>
      <c r="B105" s="2635"/>
      <c r="C105" s="2635"/>
      <c r="D105" s="2635"/>
      <c r="E105" s="2635"/>
      <c r="F105" s="2635"/>
      <c r="G105" s="2635"/>
      <c r="H105" s="2635"/>
      <c r="I105" s="2635"/>
      <c r="J105" s="2635"/>
      <c r="K105" s="2635"/>
    </row>
    <row r="106" spans="1:11" s="32" customFormat="1" ht="12" hidden="1">
      <c r="A106" s="233">
        <f>A93+1</f>
        <v>21</v>
      </c>
      <c r="B106" s="541" t="s">
        <v>180</v>
      </c>
      <c r="C106" s="539"/>
      <c r="D106" s="539"/>
      <c r="E106" s="539"/>
      <c r="F106" s="539"/>
      <c r="G106" s="699"/>
      <c r="H106" s="699"/>
      <c r="I106" s="539"/>
      <c r="J106" s="548"/>
      <c r="K106" s="542"/>
    </row>
    <row r="107" spans="1:11" s="32" customFormat="1" ht="12" hidden="1">
      <c r="A107" s="55"/>
      <c r="B107" s="539"/>
      <c r="C107" s="539"/>
      <c r="D107" s="539"/>
      <c r="E107" s="539"/>
      <c r="F107" s="539"/>
      <c r="G107" s="699"/>
      <c r="H107" s="699"/>
      <c r="I107" s="539"/>
      <c r="J107" s="699"/>
      <c r="K107" s="539"/>
    </row>
    <row r="108" spans="1:11" s="32" customFormat="1" ht="12">
      <c r="A108" s="55"/>
      <c r="B108" s="539"/>
      <c r="C108" s="539"/>
      <c r="D108" s="539"/>
      <c r="E108" s="539"/>
      <c r="F108" s="539"/>
      <c r="G108" s="699"/>
      <c r="H108" s="699"/>
      <c r="I108" s="539"/>
      <c r="J108" s="699"/>
      <c r="K108" s="539"/>
    </row>
    <row r="109" spans="1:11" s="32" customFormat="1" ht="12" customHeight="1">
      <c r="A109" s="55"/>
      <c r="B109" s="2654" t="s">
        <v>571</v>
      </c>
      <c r="C109" s="2654"/>
      <c r="D109" s="2654"/>
      <c r="E109" s="2654"/>
      <c r="F109" s="2654"/>
      <c r="G109" s="2654"/>
      <c r="H109" s="2654"/>
      <c r="I109" s="2654"/>
      <c r="J109" s="2654"/>
      <c r="K109" s="2654"/>
    </row>
    <row r="110" spans="1:11" s="32" customFormat="1" ht="12">
      <c r="A110" s="55"/>
      <c r="B110" s="2654"/>
      <c r="C110" s="2654"/>
      <c r="D110" s="2654"/>
      <c r="E110" s="2654"/>
      <c r="F110" s="2654"/>
      <c r="G110" s="2654"/>
      <c r="H110" s="2654"/>
      <c r="I110" s="2654"/>
      <c r="J110" s="2654"/>
      <c r="K110" s="2654"/>
    </row>
    <row r="111" spans="1:11" s="32" customFormat="1" ht="12">
      <c r="A111" s="55"/>
      <c r="B111" s="2654"/>
      <c r="C111" s="2654"/>
      <c r="D111" s="2654"/>
      <c r="E111" s="2654"/>
      <c r="F111" s="2654"/>
      <c r="G111" s="2654"/>
      <c r="H111" s="2654"/>
      <c r="I111" s="2654"/>
      <c r="J111" s="2654"/>
      <c r="K111" s="2654"/>
    </row>
    <row r="112" spans="1:11" s="32" customFormat="1" ht="12">
      <c r="A112" s="55"/>
      <c r="B112" s="550"/>
      <c r="C112" s="550"/>
      <c r="D112" s="550"/>
      <c r="E112" s="550"/>
      <c r="F112" s="550"/>
      <c r="G112" s="550"/>
      <c r="H112" s="550"/>
      <c r="I112" s="550"/>
      <c r="J112" s="550"/>
      <c r="K112" s="550"/>
    </row>
    <row r="113" spans="1:11" s="32" customFormat="1">
      <c r="B113" s="702" t="s">
        <v>127</v>
      </c>
      <c r="C113" s="545" t="s">
        <v>181</v>
      </c>
      <c r="D113" s="545"/>
      <c r="E113" s="545"/>
      <c r="F113" s="545"/>
      <c r="G113" s="545"/>
      <c r="H113" s="545"/>
      <c r="I113" s="545"/>
      <c r="J113" s="545"/>
      <c r="K113" s="545"/>
    </row>
    <row r="114" spans="1:11" s="32" customFormat="1" ht="12">
      <c r="B114" s="645"/>
      <c r="C114" s="542"/>
      <c r="D114" s="542"/>
      <c r="E114" s="542"/>
      <c r="F114" s="542"/>
      <c r="G114" s="542"/>
      <c r="H114" s="542"/>
      <c r="I114" s="542"/>
      <c r="J114" s="542"/>
      <c r="K114" s="542"/>
    </row>
    <row r="115" spans="1:11" s="32" customFormat="1">
      <c r="B115" s="702" t="s">
        <v>127</v>
      </c>
      <c r="C115" s="2635" t="s">
        <v>209</v>
      </c>
      <c r="D115" s="2635"/>
      <c r="E115" s="2635"/>
      <c r="F115" s="2635"/>
      <c r="G115" s="2635"/>
      <c r="H115" s="2635"/>
      <c r="I115" s="2635"/>
      <c r="J115" s="2635"/>
      <c r="K115" s="2635"/>
    </row>
    <row r="116" spans="1:11" s="32" customFormat="1" ht="12">
      <c r="B116" s="645"/>
      <c r="C116" s="2635"/>
      <c r="D116" s="2635"/>
      <c r="E116" s="2635"/>
      <c r="F116" s="2635"/>
      <c r="G116" s="2635"/>
      <c r="H116" s="2635"/>
      <c r="I116" s="2635"/>
      <c r="J116" s="2635"/>
      <c r="K116" s="2635"/>
    </row>
    <row r="117" spans="1:11" s="32" customFormat="1" ht="12">
      <c r="B117" s="645"/>
      <c r="C117" s="542"/>
      <c r="D117" s="542"/>
      <c r="E117" s="542"/>
      <c r="F117" s="542"/>
      <c r="G117" s="542"/>
      <c r="H117" s="542"/>
      <c r="I117" s="542"/>
      <c r="J117" s="542"/>
      <c r="K117" s="542"/>
    </row>
    <row r="118" spans="1:11" s="32" customFormat="1">
      <c r="B118" s="702" t="s">
        <v>127</v>
      </c>
      <c r="C118" s="545" t="s">
        <v>210</v>
      </c>
      <c r="D118" s="545"/>
      <c r="E118" s="545"/>
      <c r="F118" s="545"/>
      <c r="G118" s="545"/>
      <c r="H118" s="545"/>
      <c r="I118" s="545"/>
      <c r="J118" s="545"/>
      <c r="K118" s="545"/>
    </row>
    <row r="119" spans="1:11" ht="12">
      <c r="A119" s="449"/>
      <c r="B119" s="546"/>
      <c r="C119" s="546"/>
      <c r="D119" s="546"/>
      <c r="E119" s="703"/>
      <c r="F119" s="703"/>
      <c r="G119" s="703"/>
      <c r="H119" s="703"/>
      <c r="I119" s="704"/>
      <c r="J119" s="704"/>
      <c r="K119" s="704"/>
    </row>
    <row r="120" spans="1:11" ht="12">
      <c r="A120" s="55"/>
      <c r="B120" s="545" t="s">
        <v>211</v>
      </c>
      <c r="C120" s="545"/>
      <c r="D120" s="545"/>
      <c r="E120" s="545"/>
      <c r="F120" s="545"/>
      <c r="G120" s="545"/>
      <c r="H120" s="545"/>
      <c r="I120" s="545"/>
      <c r="J120" s="545"/>
      <c r="K120" s="545"/>
    </row>
    <row r="121" spans="1:11" ht="12">
      <c r="A121" s="55"/>
      <c r="B121" s="545"/>
      <c r="C121" s="545"/>
      <c r="D121" s="545"/>
      <c r="E121" s="545"/>
      <c r="F121" s="545"/>
      <c r="G121" s="545"/>
      <c r="H121" s="545"/>
      <c r="I121" s="545"/>
      <c r="J121" s="545"/>
      <c r="K121" s="545"/>
    </row>
    <row r="122" spans="1:11">
      <c r="A122" s="236"/>
      <c r="B122" s="705"/>
      <c r="C122" s="705"/>
      <c r="D122" s="705"/>
      <c r="E122" s="2669" t="s">
        <v>318</v>
      </c>
      <c r="F122" s="2669"/>
      <c r="G122" s="2669"/>
      <c r="H122" s="2669"/>
      <c r="I122" s="2669"/>
      <c r="J122" s="2669"/>
      <c r="K122" s="2669"/>
    </row>
    <row r="123" spans="1:11">
      <c r="A123" s="239"/>
      <c r="B123" s="706" t="s">
        <v>50</v>
      </c>
      <c r="C123" s="707"/>
      <c r="D123" s="707"/>
      <c r="E123" s="708" t="s">
        <v>212</v>
      </c>
      <c r="F123" s="2671" t="s">
        <v>213</v>
      </c>
      <c r="G123" s="2671"/>
      <c r="H123" s="2671" t="s">
        <v>214</v>
      </c>
      <c r="I123" s="2671"/>
      <c r="J123" s="2671" t="s">
        <v>44</v>
      </c>
      <c r="K123" s="2671"/>
    </row>
    <row r="124" spans="1:11">
      <c r="A124" s="236"/>
      <c r="B124" s="707"/>
      <c r="C124" s="707"/>
      <c r="D124" s="707"/>
      <c r="E124" s="2600" t="s">
        <v>215</v>
      </c>
      <c r="F124" s="2600"/>
      <c r="G124" s="2600"/>
      <c r="H124" s="2600"/>
      <c r="I124" s="2600"/>
      <c r="J124" s="2600"/>
      <c r="K124" s="2600"/>
    </row>
    <row r="125" spans="1:11">
      <c r="A125" s="236"/>
      <c r="B125" s="709" t="s">
        <v>315</v>
      </c>
      <c r="C125" s="707"/>
      <c r="D125" s="707"/>
      <c r="E125" s="710"/>
      <c r="F125" s="710"/>
      <c r="G125" s="710"/>
      <c r="H125" s="710"/>
      <c r="I125" s="710"/>
      <c r="J125" s="710"/>
      <c r="K125" s="710"/>
    </row>
    <row r="126" spans="1:11">
      <c r="A126" s="236"/>
      <c r="B126" s="711" t="s">
        <v>314</v>
      </c>
      <c r="C126" s="707"/>
      <c r="D126" s="707"/>
      <c r="E126" s="712" t="e">
        <f>#REF!</f>
        <v>#REF!</v>
      </c>
      <c r="F126" s="712"/>
      <c r="G126" s="712">
        <v>0</v>
      </c>
      <c r="H126" s="712"/>
      <c r="I126" s="712">
        <v>0</v>
      </c>
      <c r="J126" s="712"/>
      <c r="K126" s="712" t="e">
        <f>E126+G126+I126</f>
        <v>#REF!</v>
      </c>
    </row>
    <row r="127" spans="1:11">
      <c r="A127" s="236"/>
      <c r="B127" s="711"/>
      <c r="C127" s="707"/>
      <c r="D127" s="707"/>
      <c r="E127" s="712"/>
      <c r="F127" s="712"/>
      <c r="G127" s="712"/>
      <c r="H127" s="712"/>
      <c r="I127" s="712"/>
      <c r="J127" s="712"/>
      <c r="K127" s="712"/>
    </row>
    <row r="128" spans="1:11" ht="12">
      <c r="A128" s="372">
        <f>A93+1</f>
        <v>21</v>
      </c>
      <c r="B128" s="713" t="s">
        <v>402</v>
      </c>
      <c r="C128" s="714"/>
      <c r="D128" s="714"/>
      <c r="E128" s="714"/>
      <c r="F128" s="714"/>
      <c r="G128" s="714"/>
      <c r="H128" s="714"/>
      <c r="I128" s="714"/>
      <c r="J128" s="712"/>
      <c r="K128" s="712"/>
    </row>
    <row r="129" spans="1:47">
      <c r="A129" s="434"/>
      <c r="B129" s="714"/>
      <c r="C129" s="714"/>
      <c r="D129" s="714"/>
      <c r="E129" s="714"/>
      <c r="F129" s="714"/>
      <c r="G129" s="714"/>
      <c r="H129" s="714"/>
      <c r="I129" s="714"/>
      <c r="J129" s="712"/>
      <c r="K129" s="712"/>
    </row>
    <row r="130" spans="1:47">
      <c r="A130" s="434"/>
      <c r="B130" s="2635" t="s">
        <v>610</v>
      </c>
      <c r="C130" s="2635"/>
      <c r="D130" s="2635"/>
      <c r="E130" s="2635"/>
      <c r="F130" s="2635"/>
      <c r="G130" s="2635"/>
      <c r="H130" s="2635"/>
      <c r="I130" s="2635"/>
      <c r="J130" s="2635"/>
      <c r="K130" s="2635"/>
    </row>
    <row r="131" spans="1:47">
      <c r="A131" s="434"/>
      <c r="B131" s="2635"/>
      <c r="C131" s="2635"/>
      <c r="D131" s="2635"/>
      <c r="E131" s="2635"/>
      <c r="F131" s="2635"/>
      <c r="G131" s="2635"/>
      <c r="H131" s="2635"/>
      <c r="I131" s="2635"/>
      <c r="J131" s="2635"/>
      <c r="K131" s="2635"/>
    </row>
    <row r="132" spans="1:47">
      <c r="A132" s="434"/>
      <c r="B132" s="2635"/>
      <c r="C132" s="2635"/>
      <c r="D132" s="2635"/>
      <c r="E132" s="2635"/>
      <c r="F132" s="2635"/>
      <c r="G132" s="2635"/>
      <c r="H132" s="2635"/>
      <c r="I132" s="2635"/>
      <c r="J132" s="2635"/>
      <c r="K132" s="2635"/>
    </row>
    <row r="133" spans="1:47">
      <c r="A133" s="434"/>
      <c r="B133" s="2635"/>
      <c r="C133" s="2635"/>
      <c r="D133" s="2635"/>
      <c r="E133" s="2635"/>
      <c r="F133" s="2635"/>
      <c r="G133" s="2635"/>
      <c r="H133" s="2635"/>
      <c r="I133" s="2635"/>
      <c r="J133" s="2635"/>
      <c r="K133" s="2635"/>
    </row>
    <row r="134" spans="1:47">
      <c r="A134" s="236"/>
      <c r="B134" s="354"/>
      <c r="C134" s="376"/>
      <c r="D134" s="376"/>
      <c r="E134" s="332"/>
      <c r="F134" s="332"/>
      <c r="G134" s="332"/>
      <c r="H134" s="332"/>
      <c r="I134" s="332"/>
      <c r="J134" s="332"/>
      <c r="K134" s="332"/>
    </row>
    <row r="135" spans="1:47" ht="12">
      <c r="A135" s="233">
        <f>A128+1</f>
        <v>22</v>
      </c>
      <c r="B135" s="214" t="s">
        <v>139</v>
      </c>
      <c r="C135" s="32"/>
      <c r="D135" s="32"/>
      <c r="E135" s="32"/>
      <c r="F135" s="32"/>
      <c r="G135" s="26"/>
      <c r="H135" s="26"/>
      <c r="I135" s="32"/>
      <c r="J135" s="26"/>
      <c r="K135" s="32"/>
    </row>
    <row r="136" spans="1:47">
      <c r="A136" s="448"/>
      <c r="B136" s="32"/>
      <c r="C136" s="32"/>
      <c r="D136" s="32"/>
      <c r="E136" s="32"/>
      <c r="F136" s="32"/>
      <c r="G136" s="26"/>
      <c r="H136" s="26"/>
      <c r="I136" s="32"/>
      <c r="J136" s="26"/>
      <c r="K136" s="32"/>
    </row>
    <row r="137" spans="1:47">
      <c r="A137" s="448"/>
      <c r="B137" s="2555" t="s">
        <v>217</v>
      </c>
      <c r="C137" s="2555"/>
      <c r="D137" s="2555"/>
      <c r="E137" s="2555"/>
      <c r="F137" s="2555"/>
      <c r="G137" s="2555"/>
      <c r="H137" s="2555"/>
      <c r="I137" s="2555"/>
      <c r="J137" s="2555"/>
      <c r="K137" s="2555"/>
    </row>
    <row r="138" spans="1:47">
      <c r="A138" s="448"/>
      <c r="B138" s="2555"/>
      <c r="C138" s="2555"/>
      <c r="D138" s="2555"/>
      <c r="E138" s="2555"/>
      <c r="F138" s="2555"/>
      <c r="G138" s="2555"/>
      <c r="H138" s="2555"/>
      <c r="I138" s="2555"/>
      <c r="J138" s="2555"/>
      <c r="K138" s="2555"/>
    </row>
    <row r="139" spans="1:47">
      <c r="A139" s="32"/>
      <c r="B139" s="32"/>
      <c r="C139" s="32"/>
      <c r="D139" s="32"/>
      <c r="E139" s="32"/>
      <c r="F139" s="32"/>
      <c r="G139" s="26"/>
      <c r="H139" s="26"/>
      <c r="I139" s="32"/>
      <c r="J139" s="26"/>
      <c r="K139" s="32"/>
    </row>
    <row r="140" spans="1:47" s="32" customFormat="1">
      <c r="A140" s="210" t="e">
        <f>A72+1</f>
        <v>#REF!</v>
      </c>
      <c r="B140" s="78"/>
      <c r="C140" s="78"/>
      <c r="D140" s="78"/>
      <c r="E140" s="78"/>
      <c r="F140" s="78"/>
      <c r="G140" s="78"/>
      <c r="H140" s="78"/>
      <c r="I140" s="78"/>
      <c r="J140" s="78"/>
      <c r="K140" s="211"/>
      <c r="AP140" s="52"/>
      <c r="AQ140" s="52"/>
      <c r="AR140" s="52"/>
      <c r="AS140" s="52"/>
      <c r="AT140" s="52"/>
      <c r="AU140" s="52"/>
    </row>
    <row r="141" spans="1:47" s="32" customFormat="1" ht="12">
      <c r="A141" s="208"/>
      <c r="B141" s="444"/>
      <c r="C141" s="444"/>
      <c r="D141" s="444"/>
      <c r="E141" s="444"/>
      <c r="F141" s="444"/>
      <c r="G141" s="444"/>
      <c r="H141" s="444"/>
      <c r="I141" s="444"/>
      <c r="J141" s="444"/>
      <c r="K141" s="445"/>
      <c r="AP141" s="52"/>
      <c r="AQ141" s="52"/>
      <c r="AR141" s="52"/>
      <c r="AS141" s="52"/>
      <c r="AT141" s="52"/>
      <c r="AU141" s="52"/>
    </row>
    <row r="142" spans="1:47" ht="12">
      <c r="A142" s="233">
        <f>+A135+1</f>
        <v>23</v>
      </c>
      <c r="B142" s="214" t="s">
        <v>140</v>
      </c>
      <c r="C142" s="32"/>
      <c r="D142" s="32"/>
      <c r="E142" s="32"/>
      <c r="F142" s="32"/>
      <c r="G142" s="26"/>
      <c r="H142" s="26"/>
      <c r="I142" s="32"/>
      <c r="J142" s="26"/>
      <c r="K142" s="32"/>
    </row>
    <row r="143" spans="1:47" ht="12">
      <c r="A143" s="216"/>
      <c r="B143" s="214"/>
      <c r="C143" s="32"/>
      <c r="D143" s="32"/>
      <c r="E143" s="32"/>
      <c r="F143" s="32"/>
      <c r="G143" s="26"/>
      <c r="H143" s="26"/>
      <c r="I143" s="32"/>
      <c r="J143" s="26"/>
      <c r="K143" s="32"/>
    </row>
    <row r="144" spans="1:47" ht="12">
      <c r="A144" s="246">
        <f>A142+0.1</f>
        <v>23.1</v>
      </c>
      <c r="B144" s="34" t="s">
        <v>141</v>
      </c>
      <c r="C144" s="34"/>
      <c r="D144" s="34"/>
      <c r="E144" s="34"/>
      <c r="F144" s="34"/>
      <c r="G144" s="34"/>
      <c r="H144" s="34"/>
      <c r="I144" s="34"/>
      <c r="J144" s="34"/>
      <c r="K144" s="34"/>
    </row>
    <row r="145" spans="1:11" ht="12">
      <c r="A145" s="216"/>
      <c r="B145" s="447"/>
      <c r="C145" s="447"/>
      <c r="D145" s="447"/>
      <c r="E145" s="447"/>
      <c r="F145" s="447"/>
      <c r="G145" s="447"/>
      <c r="H145" s="447"/>
      <c r="I145" s="447"/>
      <c r="J145" s="447"/>
      <c r="K145" s="32"/>
    </row>
    <row r="146" spans="1:11" ht="12">
      <c r="A146" s="14"/>
      <c r="B146" s="14"/>
      <c r="C146" s="14"/>
      <c r="D146" s="14"/>
      <c r="E146" s="14"/>
      <c r="F146" s="14"/>
      <c r="G146" s="14"/>
      <c r="H146" s="14"/>
      <c r="I146" s="14"/>
      <c r="J146" s="12"/>
      <c r="K146" s="248"/>
    </row>
    <row r="147" spans="1:11" ht="12">
      <c r="A147" s="11" t="s">
        <v>148</v>
      </c>
      <c r="B147" s="14"/>
      <c r="C147" s="14"/>
      <c r="D147" s="14"/>
      <c r="E147" s="14"/>
      <c r="F147" s="14"/>
      <c r="G147" s="14"/>
      <c r="H147" s="14"/>
      <c r="I147" s="14"/>
      <c r="J147" s="12"/>
      <c r="K147" s="248"/>
    </row>
    <row r="148" spans="1:11" ht="12">
      <c r="A148" s="14" t="s">
        <v>149</v>
      </c>
      <c r="B148" s="14"/>
      <c r="C148" s="14"/>
      <c r="D148" s="14"/>
      <c r="E148" s="249"/>
      <c r="F148" s="14"/>
      <c r="G148" s="14"/>
      <c r="H148" s="14"/>
      <c r="I148" s="14"/>
      <c r="J148" s="12"/>
      <c r="K148" s="248"/>
    </row>
    <row r="149" spans="1:11" ht="12">
      <c r="A149" s="14"/>
      <c r="B149" s="14"/>
      <c r="C149" s="14"/>
      <c r="D149" s="14"/>
      <c r="E149" s="249"/>
      <c r="F149" s="14"/>
      <c r="G149" s="14"/>
      <c r="H149" s="14"/>
      <c r="I149" s="14"/>
      <c r="J149" s="12"/>
      <c r="K149" s="248"/>
    </row>
    <row r="150" spans="1:11" ht="12">
      <c r="A150" s="14"/>
      <c r="B150" s="14"/>
      <c r="C150" s="14"/>
      <c r="D150" s="14"/>
      <c r="E150" s="249"/>
      <c r="F150" s="14"/>
      <c r="G150" s="14"/>
      <c r="H150" s="14"/>
      <c r="I150" s="14"/>
      <c r="J150" s="12"/>
      <c r="K150" s="248"/>
    </row>
    <row r="151" spans="1:11" ht="12">
      <c r="A151" s="14"/>
      <c r="B151" s="14"/>
      <c r="C151" s="14"/>
      <c r="D151" s="14"/>
      <c r="E151" s="249"/>
      <c r="F151" s="14"/>
      <c r="G151" s="14"/>
      <c r="H151" s="14"/>
      <c r="I151" s="14"/>
      <c r="J151" s="12"/>
      <c r="K151" s="248"/>
    </row>
    <row r="152" spans="1:11" ht="12">
      <c r="A152" s="14"/>
      <c r="B152" s="14"/>
      <c r="C152" s="14"/>
      <c r="D152" s="14"/>
      <c r="E152" s="249"/>
      <c r="F152" s="14"/>
      <c r="G152" s="14"/>
      <c r="H152" s="14"/>
      <c r="I152" s="14"/>
      <c r="J152" s="12"/>
      <c r="K152" s="248"/>
    </row>
    <row r="153" spans="1:11" ht="12">
      <c r="A153" s="14"/>
      <c r="B153" s="14"/>
      <c r="C153" s="14"/>
      <c r="D153" s="14"/>
      <c r="E153" s="249"/>
      <c r="F153" s="14"/>
      <c r="G153" s="14"/>
      <c r="H153" s="14"/>
      <c r="I153" s="14"/>
      <c r="J153" s="12"/>
      <c r="K153" s="248"/>
    </row>
    <row r="154" spans="1:11" ht="12">
      <c r="A154" s="15"/>
      <c r="B154" s="15"/>
      <c r="C154" s="15"/>
      <c r="D154" s="15"/>
      <c r="E154" s="250"/>
      <c r="F154" s="15"/>
      <c r="G154" s="15"/>
      <c r="H154" s="15"/>
      <c r="I154" s="15"/>
      <c r="K154" s="251"/>
    </row>
    <row r="155" spans="1:11" ht="12">
      <c r="A155" s="15" t="s">
        <v>150</v>
      </c>
      <c r="B155" s="15"/>
      <c r="C155" s="15"/>
      <c r="D155" s="15"/>
      <c r="E155" s="13"/>
      <c r="F155" s="443"/>
      <c r="G155" s="443"/>
      <c r="H155" s="443"/>
      <c r="I155" s="252"/>
      <c r="K155" s="253"/>
    </row>
    <row r="194" spans="8:8">
      <c r="H194" s="8">
        <f>C194+E194+F194-G194</f>
        <v>0</v>
      </c>
    </row>
    <row r="195" spans="8:8">
      <c r="H195" s="8">
        <f>C195+E195+F195-G195</f>
        <v>0</v>
      </c>
    </row>
    <row r="196" spans="8:8">
      <c r="H196" s="8">
        <f>C196+E196+F196-G196</f>
        <v>0</v>
      </c>
    </row>
  </sheetData>
  <mergeCells count="46">
    <mergeCell ref="H58:I61"/>
    <mergeCell ref="J58:K61"/>
    <mergeCell ref="B58:C61"/>
    <mergeCell ref="H123:I123"/>
    <mergeCell ref="F123:G123"/>
    <mergeCell ref="B102:K105"/>
    <mergeCell ref="B109:K111"/>
    <mergeCell ref="D58:E61"/>
    <mergeCell ref="F58:G61"/>
    <mergeCell ref="B20:F20"/>
    <mergeCell ref="B21:F21"/>
    <mergeCell ref="B22:F22"/>
    <mergeCell ref="E57:K57"/>
    <mergeCell ref="B48:K51"/>
    <mergeCell ref="B3:K5"/>
    <mergeCell ref="B38:K39"/>
    <mergeCell ref="H10:I13"/>
    <mergeCell ref="J10:K13"/>
    <mergeCell ref="B15:F15"/>
    <mergeCell ref="B16:F16"/>
    <mergeCell ref="G9:K9"/>
    <mergeCell ref="B31:K34"/>
    <mergeCell ref="G10:G13"/>
    <mergeCell ref="B10:F13"/>
    <mergeCell ref="B23:F23"/>
    <mergeCell ref="B24:F24"/>
    <mergeCell ref="B25:F25"/>
    <mergeCell ref="B17:F17"/>
    <mergeCell ref="B18:F18"/>
    <mergeCell ref="B19:F19"/>
    <mergeCell ref="B137:K138"/>
    <mergeCell ref="B29:H29"/>
    <mergeCell ref="B41:K46"/>
    <mergeCell ref="B80:K83"/>
    <mergeCell ref="B89:K91"/>
    <mergeCell ref="B85:K87"/>
    <mergeCell ref="B53:K55"/>
    <mergeCell ref="B76:K78"/>
    <mergeCell ref="C115:K116"/>
    <mergeCell ref="B95:K97"/>
    <mergeCell ref="E122:K122"/>
    <mergeCell ref="E124:K124"/>
    <mergeCell ref="B99:K100"/>
    <mergeCell ref="B130:K133"/>
    <mergeCell ref="E62:K62"/>
    <mergeCell ref="J123:K123"/>
  </mergeCells>
  <phoneticPr fontId="46" type="noConversion"/>
  <printOptions horizontalCentered="1"/>
  <pageMargins left="0.75" right="0.5" top="0.5" bottom="0.4" header="0.28999999999999998" footer="0.5"/>
  <pageSetup paperSize="9" orientation="portrait" r:id="rId1"/>
  <headerFooter alignWithMargins="0"/>
  <rowBreaks count="2" manualBreakCount="2">
    <brk id="71" max="9" man="1"/>
    <brk id="139"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41"/>
  <sheetViews>
    <sheetView showGridLines="0" view="pageBreakPreview" zoomScaleNormal="100" zoomScaleSheetLayoutView="100" workbookViewId="0">
      <selection activeCell="B8" sqref="B8"/>
    </sheetView>
  </sheetViews>
  <sheetFormatPr defaultColWidth="9" defaultRowHeight="11.4"/>
  <cols>
    <col min="1" max="1" width="50.59765625" style="820" customWidth="1"/>
    <col min="2" max="2" width="18.09765625" style="818" customWidth="1"/>
    <col min="3" max="3" width="15.5" style="819" bestFit="1" customWidth="1"/>
    <col min="4" max="16384" width="9" style="820"/>
  </cols>
  <sheetData>
    <row r="1" spans="1:3">
      <c r="A1" s="817" t="s">
        <v>461</v>
      </c>
    </row>
    <row r="2" spans="1:3">
      <c r="A2" s="817" t="s">
        <v>667</v>
      </c>
    </row>
    <row r="3" spans="1:3">
      <c r="A3" s="817" t="s">
        <v>668</v>
      </c>
    </row>
    <row r="5" spans="1:3" ht="12" thickBot="1"/>
    <row r="6" spans="1:3" ht="12" thickBot="1">
      <c r="A6" s="821" t="s">
        <v>262</v>
      </c>
      <c r="B6" s="822" t="s">
        <v>669</v>
      </c>
    </row>
    <row r="8" spans="1:3">
      <c r="A8" s="820" t="s">
        <v>670</v>
      </c>
      <c r="B8" s="818" t="s">
        <v>614</v>
      </c>
      <c r="C8" s="819">
        <v>153308337.9352999</v>
      </c>
    </row>
    <row r="9" spans="1:3">
      <c r="A9" s="820" t="s">
        <v>671</v>
      </c>
      <c r="B9" s="818" t="s">
        <v>672</v>
      </c>
      <c r="C9" s="823">
        <v>-94535218.95159997</v>
      </c>
    </row>
    <row r="10" spans="1:3">
      <c r="A10" s="820" t="s">
        <v>673</v>
      </c>
      <c r="B10" s="818" t="s">
        <v>674</v>
      </c>
      <c r="C10" s="819">
        <f>SUM(C8:C9)</f>
        <v>58773118.983699933</v>
      </c>
    </row>
    <row r="11" spans="1:3" ht="12" thickBot="1"/>
    <row r="12" spans="1:3" ht="12" thickBot="1">
      <c r="A12" s="821" t="s">
        <v>675</v>
      </c>
    </row>
    <row r="14" spans="1:3">
      <c r="A14" s="824" t="s">
        <v>676</v>
      </c>
      <c r="B14" s="818" t="s">
        <v>677</v>
      </c>
      <c r="C14" s="819">
        <v>16665138</v>
      </c>
    </row>
    <row r="15" spans="1:3">
      <c r="A15" s="824" t="s">
        <v>678</v>
      </c>
      <c r="B15" s="818" t="s">
        <v>679</v>
      </c>
      <c r="C15" s="819">
        <v>-16441776</v>
      </c>
    </row>
    <row r="16" spans="1:3">
      <c r="A16" s="820" t="s">
        <v>680</v>
      </c>
      <c r="B16" s="818" t="s">
        <v>681</v>
      </c>
      <c r="C16" s="819">
        <f>SUM(C14:C15)</f>
        <v>223362</v>
      </c>
    </row>
    <row r="18" spans="1:3">
      <c r="A18" s="820" t="s">
        <v>682</v>
      </c>
      <c r="B18" s="818" t="s">
        <v>683</v>
      </c>
      <c r="C18" s="825">
        <v>11.0214</v>
      </c>
    </row>
    <row r="19" spans="1:3">
      <c r="B19" s="818" t="s">
        <v>684</v>
      </c>
      <c r="C19" s="819">
        <f>C16*C18</f>
        <v>2461761.9468</v>
      </c>
    </row>
    <row r="20" spans="1:3">
      <c r="A20" s="820" t="s">
        <v>685</v>
      </c>
      <c r="B20" s="818" t="s">
        <v>686</v>
      </c>
      <c r="C20" s="819">
        <f>189893113-188099820</f>
        <v>1793293</v>
      </c>
    </row>
    <row r="21" spans="1:3">
      <c r="A21" s="820" t="s">
        <v>687</v>
      </c>
      <c r="B21" s="818" t="s">
        <v>688</v>
      </c>
      <c r="C21" s="819">
        <f>C20-C19</f>
        <v>-668468.94680000003</v>
      </c>
    </row>
    <row r="23" spans="1:3">
      <c r="A23" s="824" t="s">
        <v>689</v>
      </c>
      <c r="B23" s="818" t="s">
        <v>690</v>
      </c>
      <c r="C23" s="819">
        <v>136643200</v>
      </c>
    </row>
    <row r="24" spans="1:3">
      <c r="A24" s="824" t="s">
        <v>691</v>
      </c>
      <c r="B24" s="818" t="s">
        <v>692</v>
      </c>
      <c r="C24" s="819">
        <v>-78093443</v>
      </c>
    </row>
    <row r="25" spans="1:3">
      <c r="A25" s="820" t="s">
        <v>680</v>
      </c>
      <c r="B25" s="818" t="s">
        <v>693</v>
      </c>
      <c r="C25" s="819">
        <f>SUM(C23:C24)</f>
        <v>58549757</v>
      </c>
    </row>
    <row r="27" spans="1:3">
      <c r="A27" s="820" t="s">
        <v>682</v>
      </c>
      <c r="B27" s="818" t="str">
        <f>B18</f>
        <v>H</v>
      </c>
      <c r="C27" s="825">
        <v>11.0214</v>
      </c>
    </row>
    <row r="28" spans="1:3">
      <c r="A28" s="820" t="s">
        <v>694</v>
      </c>
      <c r="B28" s="818" t="s">
        <v>695</v>
      </c>
      <c r="C28" s="825">
        <v>-0.13689999999999999</v>
      </c>
    </row>
    <row r="29" spans="1:3">
      <c r="A29" s="820" t="s">
        <v>696</v>
      </c>
      <c r="B29" s="818" t="s">
        <v>697</v>
      </c>
      <c r="C29" s="825">
        <f>SUM(C27:C28)</f>
        <v>10.884499999999999</v>
      </c>
    </row>
    <row r="31" spans="1:3">
      <c r="B31" s="818" t="s">
        <v>698</v>
      </c>
      <c r="C31" s="819">
        <f>C25*C29</f>
        <v>637284830.06649995</v>
      </c>
    </row>
    <row r="32" spans="1:3">
      <c r="A32" s="820" t="s">
        <v>685</v>
      </c>
      <c r="B32" s="818" t="s">
        <v>699</v>
      </c>
      <c r="C32" s="819">
        <f>1506405648-847931572</f>
        <v>658474076</v>
      </c>
    </row>
    <row r="33" spans="1:3">
      <c r="A33" s="820" t="s">
        <v>700</v>
      </c>
      <c r="B33" s="818" t="s">
        <v>701</v>
      </c>
      <c r="C33" s="819">
        <f>C32-C31</f>
        <v>21189245.933500051</v>
      </c>
    </row>
    <row r="36" spans="1:3" ht="23.4" thickBot="1">
      <c r="A36" s="826" t="s">
        <v>702</v>
      </c>
      <c r="B36" s="818" t="s">
        <v>703</v>
      </c>
      <c r="C36" s="827">
        <f>C33+C21</f>
        <v>20520776.986700051</v>
      </c>
    </row>
    <row r="37" spans="1:3" ht="12" thickTop="1"/>
    <row r="38" spans="1:3">
      <c r="A38" s="820" t="s">
        <v>704</v>
      </c>
      <c r="C38" s="819">
        <f>20583.6252345083*1000</f>
        <v>20583625.234508302</v>
      </c>
    </row>
    <row r="40" spans="1:3" ht="12" thickBot="1">
      <c r="A40" s="820" t="s">
        <v>21</v>
      </c>
      <c r="C40" s="828">
        <f>C36-C38</f>
        <v>-62848.24780825153</v>
      </c>
    </row>
    <row r="41" spans="1:3" ht="12" thickTop="1"/>
  </sheetData>
  <pageMargins left="0.7" right="0.7" top="0.75" bottom="0.75" header="0.3" footer="0.3"/>
  <pageSetup scale="9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E62"/>
  <sheetViews>
    <sheetView showGridLines="0" view="pageBreakPreview" topLeftCell="A42" zoomScaleNormal="100" zoomScaleSheetLayoutView="100" workbookViewId="0">
      <selection activeCell="C68" sqref="C68"/>
    </sheetView>
  </sheetViews>
  <sheetFormatPr defaultColWidth="9" defaultRowHeight="11.4"/>
  <cols>
    <col min="1" max="1" width="50.59765625" style="833" customWidth="1"/>
    <col min="2" max="2" width="18.09765625" style="831" customWidth="1"/>
    <col min="3" max="3" width="15.5" style="832" bestFit="1" customWidth="1"/>
    <col min="4" max="16384" width="9" style="833"/>
  </cols>
  <sheetData>
    <row r="1" spans="1:5">
      <c r="A1" s="830" t="s">
        <v>461</v>
      </c>
    </row>
    <row r="2" spans="1:5">
      <c r="A2" s="830" t="s">
        <v>667</v>
      </c>
    </row>
    <row r="3" spans="1:5">
      <c r="A3" s="830" t="s">
        <v>668</v>
      </c>
    </row>
    <row r="5" spans="1:5" ht="12" thickBot="1"/>
    <row r="6" spans="1:5" ht="12" thickBot="1">
      <c r="A6" s="834" t="s">
        <v>262</v>
      </c>
      <c r="B6" s="835" t="s">
        <v>669</v>
      </c>
    </row>
    <row r="8" spans="1:5">
      <c r="A8" s="833" t="s">
        <v>670</v>
      </c>
      <c r="B8" s="831" t="s">
        <v>614</v>
      </c>
      <c r="C8" s="832">
        <f>'[111]Sales Element (H.S)'!N1783</f>
        <v>153308337.9352999</v>
      </c>
      <c r="E8" s="833" t="s">
        <v>715</v>
      </c>
    </row>
    <row r="9" spans="1:5">
      <c r="A9" s="833" t="s">
        <v>671</v>
      </c>
      <c r="B9" s="831" t="s">
        <v>672</v>
      </c>
      <c r="C9" s="836">
        <f>-'[111]Redeem -Element'!I1286</f>
        <v>-94535218.95159997</v>
      </c>
      <c r="E9" s="833" t="s">
        <v>652</v>
      </c>
    </row>
    <row r="10" spans="1:5">
      <c r="A10" s="833" t="s">
        <v>673</v>
      </c>
      <c r="B10" s="831" t="s">
        <v>674</v>
      </c>
      <c r="C10" s="832">
        <f>SUM(C8:C9)</f>
        <v>58773118.983699933</v>
      </c>
    </row>
    <row r="12" spans="1:5">
      <c r="A12" s="833" t="s">
        <v>718</v>
      </c>
      <c r="B12" s="831" t="s">
        <v>720</v>
      </c>
      <c r="C12" s="832">
        <f>UHF!E13</f>
        <v>3855360.49</v>
      </c>
    </row>
    <row r="13" spans="1:5">
      <c r="A13" s="833" t="s">
        <v>719</v>
      </c>
      <c r="B13" s="831" t="s">
        <v>721</v>
      </c>
      <c r="C13" s="832">
        <f>UHF!E15</f>
        <v>-5003786.5</v>
      </c>
    </row>
    <row r="15" spans="1:5" ht="12" thickBot="1"/>
    <row r="16" spans="1:5" ht="12" thickBot="1">
      <c r="A16" s="834" t="s">
        <v>675</v>
      </c>
    </row>
    <row r="18" spans="1:4">
      <c r="A18" s="837" t="s">
        <v>676</v>
      </c>
      <c r="B18" s="831" t="s">
        <v>677</v>
      </c>
      <c r="C18" s="832">
        <v>16665137.845000006</v>
      </c>
      <c r="D18" s="832">
        <v>16665138</v>
      </c>
    </row>
    <row r="19" spans="1:4">
      <c r="A19" s="837" t="s">
        <v>678</v>
      </c>
      <c r="B19" s="831" t="s">
        <v>679</v>
      </c>
      <c r="C19" s="832">
        <v>-16441775.543499999</v>
      </c>
    </row>
    <row r="20" spans="1:4" ht="12" thickBot="1">
      <c r="A20" s="833" t="s">
        <v>680</v>
      </c>
      <c r="B20" s="831" t="s">
        <v>681</v>
      </c>
      <c r="C20" s="840">
        <f>SUM(C18:C19)</f>
        <v>223362.30150000751</v>
      </c>
    </row>
    <row r="21" spans="1:4" ht="12" thickTop="1"/>
    <row r="22" spans="1:4">
      <c r="A22" s="833" t="s">
        <v>682</v>
      </c>
      <c r="B22" s="831" t="s">
        <v>683</v>
      </c>
      <c r="C22" s="838">
        <v>11.0214</v>
      </c>
    </row>
    <row r="23" spans="1:4">
      <c r="B23" s="831" t="s">
        <v>684</v>
      </c>
      <c r="C23" s="832">
        <f>C22*C20</f>
        <v>2461765.2697521825</v>
      </c>
    </row>
    <row r="24" spans="1:4">
      <c r="A24" s="833" t="s">
        <v>685</v>
      </c>
      <c r="B24" s="831" t="s">
        <v>686</v>
      </c>
      <c r="C24" s="832">
        <v>1793293.2200000286</v>
      </c>
    </row>
    <row r="25" spans="1:4" ht="12" thickBot="1">
      <c r="A25" s="833" t="s">
        <v>687</v>
      </c>
      <c r="B25" s="831" t="s">
        <v>688</v>
      </c>
      <c r="C25" s="537">
        <f>C24-C23</f>
        <v>-668472.04975215392</v>
      </c>
    </row>
    <row r="26" spans="1:4" ht="12" thickTop="1"/>
    <row r="27" spans="1:4">
      <c r="A27" s="837" t="s">
        <v>689</v>
      </c>
      <c r="B27" s="831" t="s">
        <v>690</v>
      </c>
    </row>
    <row r="28" spans="1:4">
      <c r="A28" s="837" t="s">
        <v>691</v>
      </c>
      <c r="B28" s="831" t="s">
        <v>692</v>
      </c>
      <c r="C28" s="832">
        <v>136643200.09029987</v>
      </c>
    </row>
    <row r="29" spans="1:4">
      <c r="A29" s="833" t="s">
        <v>680</v>
      </c>
      <c r="B29" s="831" t="s">
        <v>693</v>
      </c>
      <c r="C29" s="832">
        <v>-78093443.408100039</v>
      </c>
    </row>
    <row r="30" spans="1:4">
      <c r="C30" s="832">
        <f>SUM(C28:C29)</f>
        <v>58549756.682199836</v>
      </c>
    </row>
    <row r="31" spans="1:4">
      <c r="A31" s="833" t="s">
        <v>682</v>
      </c>
      <c r="B31" s="831" t="str">
        <f>B22</f>
        <v>H</v>
      </c>
      <c r="C31" s="838"/>
    </row>
    <row r="32" spans="1:4">
      <c r="A32" s="833" t="s">
        <v>694</v>
      </c>
      <c r="B32" s="831" t="s">
        <v>695</v>
      </c>
      <c r="C32" s="838">
        <v>11.0214</v>
      </c>
    </row>
    <row r="33" spans="1:3">
      <c r="A33" s="833" t="s">
        <v>696</v>
      </c>
      <c r="B33" s="831" t="s">
        <v>697</v>
      </c>
      <c r="C33" s="838">
        <v>-0.13689999999999999</v>
      </c>
    </row>
    <row r="34" spans="1:3">
      <c r="C34" s="847">
        <f>SUM(C32:C33)</f>
        <v>10.884499999999999</v>
      </c>
    </row>
    <row r="35" spans="1:3">
      <c r="B35" s="831" t="s">
        <v>698</v>
      </c>
    </row>
    <row r="36" spans="1:3">
      <c r="A36" s="833" t="s">
        <v>685</v>
      </c>
      <c r="B36" s="831" t="s">
        <v>699</v>
      </c>
      <c r="C36" s="832">
        <v>637284826.60740411</v>
      </c>
    </row>
    <row r="37" spans="1:3">
      <c r="A37" s="833" t="s">
        <v>700</v>
      </c>
      <c r="B37" s="831" t="s">
        <v>701</v>
      </c>
      <c r="C37" s="832">
        <v>658474075.97999871</v>
      </c>
    </row>
    <row r="38" spans="1:3">
      <c r="C38" s="846">
        <f>C37-C36</f>
        <v>21189249.372594595</v>
      </c>
    </row>
    <row r="40" spans="1:3" ht="23.4" thickBot="1">
      <c r="A40" s="839" t="s">
        <v>714</v>
      </c>
      <c r="B40" s="831" t="s">
        <v>703</v>
      </c>
      <c r="C40" s="848">
        <f>C38+C25</f>
        <v>20520777.322842441</v>
      </c>
    </row>
    <row r="41" spans="1:3" ht="12" thickTop="1">
      <c r="C41" s="832">
        <v>20520777.322842441</v>
      </c>
    </row>
    <row r="42" spans="1:3">
      <c r="A42" s="833" t="s">
        <v>704</v>
      </c>
      <c r="C42" s="832">
        <v>20583625.234508302</v>
      </c>
    </row>
    <row r="44" spans="1:3">
      <c r="A44" s="833" t="s">
        <v>21</v>
      </c>
      <c r="C44" s="832">
        <v>-62847.911665860564</v>
      </c>
    </row>
    <row r="46" spans="1:3">
      <c r="A46" s="841" t="s">
        <v>711</v>
      </c>
    </row>
    <row r="47" spans="1:3">
      <c r="A47" s="833" t="s">
        <v>712</v>
      </c>
      <c r="B47" s="831" t="s">
        <v>690</v>
      </c>
    </row>
    <row r="48" spans="1:3">
      <c r="A48" s="833" t="s">
        <v>713</v>
      </c>
      <c r="B48" s="831" t="s">
        <v>692</v>
      </c>
      <c r="C48" s="832">
        <v>44868502.886300005</v>
      </c>
    </row>
    <row r="49" spans="1:3">
      <c r="A49" s="833" t="s">
        <v>680</v>
      </c>
      <c r="B49" s="831" t="s">
        <v>693</v>
      </c>
      <c r="C49" s="832">
        <v>-37793195.065500006</v>
      </c>
    </row>
    <row r="50" spans="1:3">
      <c r="C50" s="846">
        <f>SUM(C48:C49)</f>
        <v>7075307.8207999989</v>
      </c>
    </row>
    <row r="51" spans="1:3">
      <c r="A51" s="833" t="s">
        <v>682</v>
      </c>
      <c r="B51" s="831" t="s">
        <v>683</v>
      </c>
      <c r="C51" s="838"/>
    </row>
    <row r="52" spans="1:3">
      <c r="A52" s="833" t="s">
        <v>694</v>
      </c>
      <c r="B52" s="831" t="s">
        <v>695</v>
      </c>
      <c r="C52" s="838">
        <v>11.0214</v>
      </c>
    </row>
    <row r="53" spans="1:3">
      <c r="A53" s="833" t="s">
        <v>696</v>
      </c>
      <c r="B53" s="831" t="s">
        <v>697</v>
      </c>
      <c r="C53" s="838">
        <v>-0.13689999999999999</v>
      </c>
    </row>
    <row r="54" spans="1:3">
      <c r="C54" s="847">
        <f>SUM(C52:C53)</f>
        <v>10.884499999999999</v>
      </c>
    </row>
    <row r="55" spans="1:3">
      <c r="B55" s="831" t="s">
        <v>698</v>
      </c>
    </row>
    <row r="56" spans="1:3">
      <c r="A56" s="833" t="s">
        <v>685</v>
      </c>
      <c r="B56" s="831" t="s">
        <v>699</v>
      </c>
      <c r="C56" s="832">
        <v>77011187.975497589</v>
      </c>
    </row>
    <row r="57" spans="1:3">
      <c r="A57" s="833" t="s">
        <v>700</v>
      </c>
      <c r="B57" s="831" t="s">
        <v>701</v>
      </c>
      <c r="C57" s="832">
        <v>86948062.850000203</v>
      </c>
    </row>
    <row r="58" spans="1:3">
      <c r="C58" s="832">
        <f>C57-C56</f>
        <v>9936874.8745026141</v>
      </c>
    </row>
    <row r="60" spans="1:3">
      <c r="A60" s="2684" t="s">
        <v>714</v>
      </c>
      <c r="B60" s="831" t="s">
        <v>703</v>
      </c>
    </row>
    <row r="61" spans="1:3" ht="12" thickBot="1">
      <c r="A61" s="2684"/>
      <c r="C61" s="849">
        <f>C58+C25</f>
        <v>9268402.8247504607</v>
      </c>
    </row>
    <row r="62" spans="1:3" ht="12" thickTop="1"/>
  </sheetData>
  <mergeCells count="1">
    <mergeCell ref="A60:A61"/>
  </mergeCells>
  <pageMargins left="0.7" right="0.7" top="0.75" bottom="0.75" header="0.3" footer="0.3"/>
  <pageSetup scale="9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AG49"/>
  <sheetViews>
    <sheetView view="pageBreakPreview" zoomScaleNormal="100" zoomScaleSheetLayoutView="100" workbookViewId="0">
      <selection activeCell="A11" sqref="A11"/>
    </sheetView>
  </sheetViews>
  <sheetFormatPr defaultColWidth="9" defaultRowHeight="11.4"/>
  <cols>
    <col min="1" max="1" width="5.09765625" style="7" customWidth="1"/>
    <col min="2" max="2" width="3.59765625" style="7" customWidth="1"/>
    <col min="3" max="3" width="34.59765625" style="7" customWidth="1"/>
    <col min="4" max="4" width="9.09765625" style="7" customWidth="1"/>
    <col min="5" max="5" width="1.09765625" style="7" customWidth="1"/>
    <col min="6" max="6" width="9.09765625" style="7" customWidth="1"/>
    <col min="7" max="7" width="1.09765625" style="7" customWidth="1"/>
    <col min="8" max="8" width="9.09765625" style="7" customWidth="1"/>
    <col min="9" max="9" width="1.09765625" style="7" customWidth="1"/>
    <col min="10" max="10" width="9.09765625" style="7" customWidth="1"/>
    <col min="11" max="14" width="9" style="7" hidden="1" customWidth="1"/>
    <col min="15" max="31" width="0" style="7" hidden="1" customWidth="1"/>
    <col min="32" max="32" width="9" style="7"/>
    <col min="33" max="33" width="11.59765625" style="7" hidden="1" customWidth="1"/>
    <col min="34" max="16384" width="9" style="7"/>
  </cols>
  <sheetData>
    <row r="1" spans="1:33">
      <c r="A1" s="77" t="e">
        <f>'Note 25.2.1-30.1'!#REF!+1</f>
        <v>#REF!</v>
      </c>
      <c r="B1" s="77"/>
      <c r="C1" s="77"/>
      <c r="D1" s="77"/>
      <c r="E1" s="77"/>
      <c r="F1" s="77"/>
      <c r="G1" s="77"/>
      <c r="H1" s="77"/>
      <c r="I1" s="77"/>
      <c r="J1" s="77"/>
    </row>
    <row r="3" spans="1:33" s="32" customFormat="1" ht="12">
      <c r="A3" s="55"/>
      <c r="B3" s="235" t="s">
        <v>211</v>
      </c>
      <c r="C3" s="235"/>
      <c r="D3" s="235"/>
      <c r="E3" s="235"/>
      <c r="F3" s="235"/>
      <c r="G3" s="235"/>
      <c r="H3" s="235"/>
      <c r="I3" s="235"/>
      <c r="J3" s="235"/>
    </row>
    <row r="4" spans="1:33" s="32" customFormat="1" ht="12">
      <c r="A4" s="55"/>
      <c r="B4" s="235"/>
      <c r="C4" s="235"/>
      <c r="D4" s="235"/>
      <c r="E4" s="235"/>
      <c r="F4" s="235"/>
      <c r="G4" s="235"/>
      <c r="H4" s="235"/>
      <c r="I4" s="235"/>
      <c r="J4" s="235"/>
    </row>
    <row r="5" spans="1:33" s="232" customFormat="1" ht="10.199999999999999">
      <c r="A5" s="236"/>
      <c r="B5" s="237"/>
      <c r="C5" s="237"/>
      <c r="D5" s="2685" t="s">
        <v>271</v>
      </c>
      <c r="E5" s="2685"/>
      <c r="F5" s="2685"/>
      <c r="G5" s="2685"/>
      <c r="H5" s="2685"/>
      <c r="I5" s="2685"/>
      <c r="J5" s="2685"/>
    </row>
    <row r="6" spans="1:33" s="232" customFormat="1" ht="10.199999999999999">
      <c r="A6" s="239"/>
      <c r="B6" s="239" t="s">
        <v>50</v>
      </c>
      <c r="C6" s="240"/>
      <c r="D6" s="241" t="s">
        <v>212</v>
      </c>
      <c r="F6" s="241" t="s">
        <v>213</v>
      </c>
      <c r="H6" s="241" t="s">
        <v>214</v>
      </c>
      <c r="I6" s="240"/>
      <c r="J6" s="241" t="s">
        <v>44</v>
      </c>
    </row>
    <row r="7" spans="1:33" s="232" customFormat="1" ht="10.199999999999999">
      <c r="A7" s="236"/>
      <c r="B7" s="240"/>
      <c r="C7" s="240"/>
      <c r="D7" s="2685" t="s">
        <v>215</v>
      </c>
      <c r="E7" s="2685"/>
      <c r="F7" s="2685"/>
      <c r="G7" s="2685"/>
      <c r="H7" s="2685"/>
      <c r="I7" s="2685"/>
      <c r="J7" s="2685"/>
    </row>
    <row r="8" spans="1:33" s="232" customFormat="1" ht="10.199999999999999">
      <c r="A8" s="236"/>
      <c r="B8" s="240"/>
      <c r="C8" s="240"/>
      <c r="D8" s="238"/>
      <c r="E8" s="238"/>
      <c r="F8" s="238"/>
      <c r="G8" s="238"/>
      <c r="H8" s="238"/>
      <c r="I8" s="238"/>
      <c r="J8" s="238"/>
    </row>
    <row r="9" spans="1:33" s="232" customFormat="1" ht="10.199999999999999">
      <c r="A9" s="236"/>
      <c r="B9" s="330" t="s">
        <v>216</v>
      </c>
      <c r="C9" s="331"/>
      <c r="D9" s="332">
        <f>'5.1-5.3'!I124</f>
        <v>1763907</v>
      </c>
      <c r="E9" s="332"/>
      <c r="F9" s="332">
        <v>0</v>
      </c>
      <c r="G9" s="332"/>
      <c r="H9" s="332">
        <v>0</v>
      </c>
      <c r="I9" s="332"/>
      <c r="J9" s="332">
        <f>D9+F9+H9</f>
        <v>1763907</v>
      </c>
    </row>
    <row r="10" spans="1:33" s="32" customFormat="1" ht="12">
      <c r="A10" s="55"/>
      <c r="B10" s="234"/>
      <c r="C10" s="234"/>
      <c r="D10" s="234"/>
      <c r="E10" s="234"/>
      <c r="F10" s="234"/>
      <c r="G10" s="234"/>
      <c r="H10" s="234"/>
      <c r="I10" s="234"/>
      <c r="J10" s="234"/>
    </row>
    <row r="11" spans="1:33" s="245" customFormat="1" ht="12">
      <c r="A11" s="342">
        <f>+'Note 25.2.1-30.1'!A93+1</f>
        <v>21</v>
      </c>
      <c r="B11" s="343" t="s">
        <v>180</v>
      </c>
      <c r="C11" s="344"/>
      <c r="D11" s="244"/>
      <c r="E11" s="244"/>
      <c r="F11" s="244"/>
      <c r="G11" s="244"/>
      <c r="H11" s="244"/>
      <c r="I11" s="244"/>
      <c r="J11" s="244"/>
    </row>
    <row r="12" spans="1:33" s="245" customFormat="1" ht="12">
      <c r="A12" s="242"/>
      <c r="B12" s="243"/>
      <c r="C12" s="244"/>
      <c r="D12" s="244"/>
      <c r="E12" s="244"/>
      <c r="F12" s="244"/>
      <c r="G12" s="244"/>
      <c r="H12" s="244"/>
      <c r="I12" s="244"/>
      <c r="J12" s="244"/>
    </row>
    <row r="13" spans="1:33" s="245" customFormat="1" ht="12">
      <c r="A13" s="242"/>
      <c r="B13" s="2686" t="s">
        <v>147</v>
      </c>
      <c r="C13" s="2686"/>
      <c r="D13" s="2686"/>
      <c r="E13" s="2686"/>
      <c r="F13" s="2686"/>
      <c r="G13" s="2686"/>
      <c r="H13" s="2686"/>
      <c r="I13" s="2686"/>
      <c r="J13" s="2686"/>
    </row>
    <row r="14" spans="1:33" s="245" customFormat="1" ht="12">
      <c r="A14" s="242"/>
      <c r="B14" s="2686"/>
      <c r="C14" s="2686"/>
      <c r="D14" s="2686"/>
      <c r="E14" s="2686"/>
      <c r="F14" s="2686"/>
      <c r="G14" s="2686"/>
      <c r="H14" s="2686"/>
      <c r="I14" s="2686"/>
      <c r="J14" s="2686"/>
    </row>
    <row r="15" spans="1:33" s="245" customFormat="1" ht="12">
      <c r="A15" s="242"/>
      <c r="B15" s="2686"/>
      <c r="C15" s="2686"/>
      <c r="D15" s="2686"/>
      <c r="E15" s="2686"/>
      <c r="F15" s="2686"/>
      <c r="G15" s="2686"/>
      <c r="H15" s="2686"/>
      <c r="I15" s="2686"/>
      <c r="J15" s="2686"/>
    </row>
    <row r="16" spans="1:33" s="245" customFormat="1" ht="12">
      <c r="A16" s="242"/>
      <c r="B16" s="2686"/>
      <c r="C16" s="2686"/>
      <c r="D16" s="2686"/>
      <c r="E16" s="2686"/>
      <c r="F16" s="2686"/>
      <c r="G16" s="2686"/>
      <c r="H16" s="2686"/>
      <c r="I16" s="2686"/>
      <c r="J16" s="2686"/>
      <c r="AG16" s="39">
        <f>0.3656*'[112]Balance sheet'!F35</f>
        <v>38886096.290546641</v>
      </c>
    </row>
    <row r="17" spans="1:10" s="32" customFormat="1" ht="12">
      <c r="A17" s="55"/>
      <c r="B17" s="31"/>
      <c r="C17" s="31"/>
      <c r="D17" s="31"/>
      <c r="E17" s="31"/>
      <c r="F17" s="209"/>
      <c r="G17" s="209"/>
      <c r="H17" s="31"/>
      <c r="I17" s="209"/>
      <c r="J17" s="31"/>
    </row>
    <row r="18" spans="1:10" s="32" customFormat="1" ht="12">
      <c r="A18" s="233">
        <f>+A11+1</f>
        <v>22</v>
      </c>
      <c r="B18" s="214" t="s">
        <v>139</v>
      </c>
      <c r="F18" s="26"/>
      <c r="G18" s="26"/>
      <c r="I18" s="26"/>
    </row>
    <row r="19" spans="1:10" s="32" customFormat="1">
      <c r="A19" s="205"/>
      <c r="F19" s="26"/>
      <c r="G19" s="26"/>
      <c r="I19" s="26"/>
    </row>
    <row r="20" spans="1:10" s="32" customFormat="1">
      <c r="A20" s="205"/>
      <c r="B20" s="2555" t="s">
        <v>217</v>
      </c>
      <c r="C20" s="2555"/>
      <c r="D20" s="2555"/>
      <c r="E20" s="2555"/>
      <c r="F20" s="2555"/>
      <c r="G20" s="2555"/>
      <c r="H20" s="2555"/>
      <c r="I20" s="2555"/>
      <c r="J20" s="2555"/>
    </row>
    <row r="21" spans="1:10" s="32" customFormat="1">
      <c r="A21" s="205"/>
      <c r="B21" s="2555"/>
      <c r="C21" s="2555"/>
      <c r="D21" s="2555"/>
      <c r="E21" s="2555"/>
      <c r="F21" s="2555"/>
      <c r="G21" s="2555"/>
      <c r="H21" s="2555"/>
      <c r="I21" s="2555"/>
      <c r="J21" s="2555"/>
    </row>
    <row r="22" spans="1:10" s="32" customFormat="1">
      <c r="F22" s="26"/>
      <c r="G22" s="26"/>
      <c r="I22" s="26"/>
    </row>
    <row r="23" spans="1:10" s="32" customFormat="1" ht="12">
      <c r="A23" s="233">
        <f>+A18+1</f>
        <v>23</v>
      </c>
      <c r="B23" s="214" t="s">
        <v>140</v>
      </c>
      <c r="F23" s="26"/>
      <c r="G23" s="26"/>
      <c r="I23" s="26"/>
    </row>
    <row r="24" spans="1:10" s="32" customFormat="1" ht="12">
      <c r="A24" s="216"/>
      <c r="B24" s="214"/>
      <c r="F24" s="26"/>
      <c r="G24" s="26"/>
      <c r="I24" s="26"/>
    </row>
    <row r="25" spans="1:10" s="32" customFormat="1" ht="12">
      <c r="A25" s="246">
        <f>A23+0.1</f>
        <v>23.1</v>
      </c>
      <c r="B25" s="34" t="s">
        <v>141</v>
      </c>
      <c r="C25" s="34"/>
      <c r="D25" s="34"/>
      <c r="E25" s="34"/>
      <c r="F25" s="34"/>
      <c r="G25" s="34"/>
      <c r="H25" s="34"/>
      <c r="I25" s="34"/>
      <c r="J25" s="34"/>
    </row>
    <row r="26" spans="1:10" s="32" customFormat="1" ht="12">
      <c r="A26" s="216"/>
      <c r="B26" s="247"/>
      <c r="C26" s="247"/>
      <c r="D26" s="247"/>
      <c r="E26" s="247"/>
      <c r="F26" s="247"/>
      <c r="G26" s="247"/>
      <c r="H26" s="247"/>
      <c r="I26" s="247"/>
    </row>
    <row r="27" spans="1:10" s="32" customFormat="1" ht="12">
      <c r="A27" s="216"/>
      <c r="B27" s="247"/>
      <c r="C27" s="247"/>
      <c r="D27" s="247"/>
      <c r="E27" s="247"/>
      <c r="F27" s="247"/>
      <c r="G27" s="247"/>
      <c r="H27" s="247"/>
      <c r="I27" s="247"/>
    </row>
    <row r="28" spans="1:10" s="10" customFormat="1" ht="12">
      <c r="A28" s="14"/>
      <c r="B28" s="14"/>
      <c r="C28" s="14"/>
      <c r="D28" s="14"/>
      <c r="E28" s="14"/>
      <c r="F28" s="14"/>
      <c r="G28" s="14"/>
      <c r="H28" s="14"/>
      <c r="I28" s="12"/>
      <c r="J28" s="248"/>
    </row>
    <row r="29" spans="1:10" s="10" customFormat="1" ht="12">
      <c r="A29" s="11" t="s">
        <v>148</v>
      </c>
      <c r="B29" s="14"/>
      <c r="C29" s="14"/>
      <c r="D29" s="14"/>
      <c r="E29" s="14"/>
      <c r="F29" s="14"/>
      <c r="G29" s="14"/>
      <c r="H29" s="14"/>
      <c r="I29" s="12"/>
      <c r="J29" s="248"/>
    </row>
    <row r="30" spans="1:10" s="8" customFormat="1" ht="12">
      <c r="A30" s="14" t="s">
        <v>149</v>
      </c>
      <c r="B30" s="14"/>
      <c r="C30" s="14"/>
      <c r="D30" s="249"/>
      <c r="E30" s="14"/>
      <c r="F30" s="14"/>
      <c r="G30" s="14"/>
      <c r="H30" s="14"/>
      <c r="I30" s="12"/>
      <c r="J30" s="248"/>
    </row>
    <row r="31" spans="1:10" s="8" customFormat="1" ht="12">
      <c r="A31" s="15"/>
      <c r="B31" s="15"/>
      <c r="C31" s="15"/>
      <c r="D31" s="250"/>
      <c r="E31" s="15"/>
      <c r="F31" s="15"/>
      <c r="G31" s="15"/>
      <c r="H31" s="15"/>
      <c r="J31" s="251"/>
    </row>
    <row r="32" spans="1:10" s="8" customFormat="1" ht="12">
      <c r="A32" s="15"/>
      <c r="B32" s="15"/>
      <c r="C32" s="15"/>
      <c r="D32" s="250"/>
      <c r="E32" s="15"/>
      <c r="F32" s="15"/>
      <c r="G32" s="15"/>
      <c r="H32" s="15"/>
      <c r="J32" s="251"/>
    </row>
    <row r="33" spans="1:10" s="8" customFormat="1" ht="12">
      <c r="A33" s="15"/>
      <c r="B33" s="15"/>
      <c r="C33" s="15"/>
      <c r="D33" s="250"/>
      <c r="E33" s="15"/>
      <c r="F33" s="15"/>
      <c r="G33" s="15"/>
      <c r="H33" s="15"/>
      <c r="J33" s="251"/>
    </row>
    <row r="34" spans="1:10" s="8" customFormat="1" ht="12">
      <c r="A34" s="15"/>
      <c r="B34" s="15"/>
      <c r="C34" s="15"/>
      <c r="D34" s="250"/>
      <c r="E34" s="15"/>
      <c r="F34" s="15"/>
      <c r="G34" s="15"/>
      <c r="H34" s="15"/>
      <c r="J34" s="251"/>
    </row>
    <row r="35" spans="1:10" s="8" customFormat="1" ht="12">
      <c r="A35" s="15"/>
      <c r="B35" s="15"/>
      <c r="C35" s="15"/>
      <c r="D35" s="250"/>
      <c r="E35" s="15"/>
      <c r="F35" s="15"/>
      <c r="G35" s="15"/>
      <c r="H35" s="15"/>
      <c r="J35" s="251"/>
    </row>
    <row r="36" spans="1:10" s="8" customFormat="1" ht="12">
      <c r="A36" s="15" t="s">
        <v>150</v>
      </c>
      <c r="B36" s="15"/>
      <c r="C36" s="15"/>
      <c r="D36" s="13"/>
      <c r="E36" s="6"/>
      <c r="F36" s="6"/>
      <c r="G36" s="6"/>
      <c r="H36" s="252"/>
      <c r="J36" s="253"/>
    </row>
    <row r="47" spans="1:10">
      <c r="G47" s="7">
        <f>C47+D47+E47-F47</f>
        <v>0</v>
      </c>
    </row>
    <row r="48" spans="1:10">
      <c r="G48" s="7">
        <f>C48+D48+E48-F48</f>
        <v>0</v>
      </c>
    </row>
    <row r="49" spans="7:7">
      <c r="G49" s="7">
        <f>C49+D49+E49-F49</f>
        <v>0</v>
      </c>
    </row>
  </sheetData>
  <mergeCells count="4">
    <mergeCell ref="D5:J5"/>
    <mergeCell ref="D7:J7"/>
    <mergeCell ref="B13:J16"/>
    <mergeCell ref="B20:J21"/>
  </mergeCells>
  <phoneticPr fontId="38" type="noConversion"/>
  <printOptions horizontalCentered="1"/>
  <pageMargins left="0.75" right="0.5" top="0.5" bottom="0.25" header="0.28999999999999998" footer="0.5"/>
  <pageSetup paperSize="9" scale="97" orientation="portrait" r:id="rId1"/>
  <headerFooter alignWithMargins="0"/>
  <colBreaks count="1" manualBreakCount="1">
    <brk id="3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P52"/>
  <sheetViews>
    <sheetView view="pageBreakPreview" zoomScaleNormal="100" zoomScaleSheetLayoutView="100" workbookViewId="0">
      <selection activeCell="K16" sqref="K16"/>
    </sheetView>
  </sheetViews>
  <sheetFormatPr defaultColWidth="9" defaultRowHeight="11.4"/>
  <cols>
    <col min="1" max="1" width="5.09765625" style="845" customWidth="1"/>
    <col min="2" max="2" width="2.09765625" style="845" customWidth="1"/>
    <col min="3" max="3" width="34.59765625" style="845" customWidth="1"/>
    <col min="4" max="4" width="4" style="845" bestFit="1" customWidth="1"/>
    <col min="5" max="5" width="8.59765625" style="845" customWidth="1"/>
    <col min="6" max="6" width="1" style="845" customWidth="1"/>
    <col min="7" max="7" width="8.59765625" style="845" customWidth="1"/>
    <col min="8" max="8" width="1" style="845" customWidth="1"/>
    <col min="9" max="9" width="8.59765625" style="845" customWidth="1"/>
    <col min="10" max="10" width="1" style="845" customWidth="1"/>
    <col min="11" max="11" width="8.59765625" style="845" customWidth="1"/>
    <col min="12" max="12" width="12.59765625" style="845" customWidth="1"/>
    <col min="13" max="13" width="9" style="845"/>
    <col min="14" max="14" width="13.5" style="845" bestFit="1" customWidth="1"/>
    <col min="15" max="16384" width="9" style="845"/>
  </cols>
  <sheetData>
    <row r="1" spans="1:16" ht="12">
      <c r="A1" s="715" t="str">
        <f>BS!$A$1</f>
        <v>MCB PAKISTAN STOCK MARKET FUND</v>
      </c>
      <c r="B1" s="715"/>
      <c r="C1" s="715"/>
      <c r="D1" s="715"/>
      <c r="E1" s="715"/>
      <c r="F1" s="715"/>
      <c r="G1" s="715"/>
      <c r="H1" s="715"/>
      <c r="I1" s="715"/>
      <c r="K1" s="715"/>
      <c r="L1" s="715"/>
    </row>
    <row r="2" spans="1:16" ht="12">
      <c r="A2" s="715" t="s">
        <v>628</v>
      </c>
      <c r="B2" s="715"/>
      <c r="C2" s="715"/>
      <c r="D2" s="715"/>
      <c r="E2" s="715"/>
      <c r="F2" s="715"/>
      <c r="G2" s="715"/>
      <c r="H2" s="715"/>
      <c r="I2" s="715"/>
      <c r="K2" s="715"/>
      <c r="L2" s="715"/>
    </row>
    <row r="3" spans="1:16" ht="12">
      <c r="A3" s="715" t="str">
        <f>+IS!A3</f>
        <v>FOR THE NINE MONTHS AND QUARTER ENDED MARCH 31, 2022</v>
      </c>
      <c r="B3" s="715"/>
      <c r="C3" s="715"/>
      <c r="D3" s="715"/>
      <c r="E3" s="715"/>
      <c r="F3" s="715"/>
      <c r="G3" s="715"/>
      <c r="H3" s="715"/>
      <c r="I3" s="715"/>
      <c r="K3" s="715"/>
      <c r="L3" s="715"/>
    </row>
    <row r="4" spans="1:16" ht="12">
      <c r="A4" s="715"/>
      <c r="B4" s="715"/>
      <c r="C4" s="715"/>
      <c r="D4" s="715"/>
      <c r="E4" s="715"/>
      <c r="F4" s="715"/>
      <c r="G4" s="715"/>
      <c r="H4" s="715"/>
      <c r="I4" s="715"/>
      <c r="K4" s="715"/>
      <c r="L4" s="715"/>
    </row>
    <row r="5" spans="1:16" s="317" customFormat="1" ht="10.199999999999999">
      <c r="A5" s="213"/>
      <c r="B5" s="213"/>
      <c r="C5" s="213"/>
      <c r="D5" s="213"/>
      <c r="E5" s="2331" t="s">
        <v>705</v>
      </c>
      <c r="F5" s="2331"/>
      <c r="G5" s="2331"/>
      <c r="H5" s="940"/>
      <c r="I5" s="2331" t="s">
        <v>706</v>
      </c>
      <c r="J5" s="2331"/>
      <c r="K5" s="2331"/>
      <c r="L5" s="940"/>
    </row>
    <row r="6" spans="1:16" s="317" customFormat="1" ht="10.199999999999999">
      <c r="A6" s="213"/>
      <c r="B6" s="213"/>
      <c r="C6" s="213"/>
      <c r="D6" s="213"/>
      <c r="E6" s="2332" t="s">
        <v>624</v>
      </c>
      <c r="F6" s="2332"/>
      <c r="G6" s="2332"/>
      <c r="H6" s="939"/>
      <c r="I6" s="2332" t="s">
        <v>624</v>
      </c>
      <c r="J6" s="2332"/>
      <c r="K6" s="2332"/>
      <c r="L6" s="939" t="s">
        <v>626</v>
      </c>
    </row>
    <row r="7" spans="1:16" s="317" customFormat="1" ht="10.199999999999999">
      <c r="A7" s="213"/>
      <c r="B7" s="213"/>
      <c r="C7" s="213"/>
      <c r="D7" s="213"/>
      <c r="E7" s="939" t="s">
        <v>990</v>
      </c>
      <c r="F7" s="913"/>
      <c r="G7" s="939" t="s">
        <v>625</v>
      </c>
      <c r="H7" s="939"/>
      <c r="I7" s="939" t="s">
        <v>990</v>
      </c>
      <c r="J7" s="939"/>
      <c r="K7" s="939" t="s">
        <v>625</v>
      </c>
      <c r="L7" s="939">
        <v>2016</v>
      </c>
    </row>
    <row r="8" spans="1:16" s="317" customFormat="1" ht="10.199999999999999">
      <c r="A8" s="213"/>
      <c r="B8" s="213"/>
      <c r="C8" s="213"/>
      <c r="D8" s="213"/>
      <c r="E8" s="2333" t="s">
        <v>1088</v>
      </c>
      <c r="F8" s="2333"/>
      <c r="G8" s="2333"/>
      <c r="H8" s="2334"/>
      <c r="I8" s="2334"/>
      <c r="J8" s="2334"/>
      <c r="K8" s="2334"/>
      <c r="L8" s="843"/>
    </row>
    <row r="9" spans="1:16" s="317" customFormat="1" ht="10.199999999999999">
      <c r="A9" s="213"/>
      <c r="B9" s="213"/>
      <c r="C9" s="213"/>
      <c r="D9" s="213"/>
      <c r="E9" s="843"/>
      <c r="F9" s="843"/>
      <c r="G9" s="843"/>
      <c r="H9" s="843"/>
      <c r="I9" s="843"/>
      <c r="K9" s="843"/>
      <c r="L9" s="843"/>
    </row>
    <row r="10" spans="1:16" s="317" customFormat="1" ht="10.199999999999999">
      <c r="A10" s="213" t="s">
        <v>1003</v>
      </c>
      <c r="B10" s="213"/>
      <c r="C10" s="213"/>
      <c r="D10" s="213"/>
      <c r="E10" s="914">
        <v>2990795</v>
      </c>
      <c r="F10" s="843"/>
      <c r="G10" s="914">
        <v>2232950</v>
      </c>
      <c r="H10" s="843"/>
      <c r="I10" s="914">
        <v>3445288</v>
      </c>
      <c r="K10" s="914">
        <v>2758939</v>
      </c>
      <c r="L10" s="843">
        <v>2990795</v>
      </c>
      <c r="N10" s="937"/>
      <c r="O10" s="938"/>
      <c r="P10" s="937"/>
    </row>
    <row r="11" spans="1:16" s="317" customFormat="1" ht="10.199999999999999">
      <c r="A11" s="950"/>
      <c r="B11" s="213"/>
      <c r="C11" s="213"/>
      <c r="D11" s="213"/>
      <c r="E11" s="956"/>
      <c r="F11" s="918"/>
      <c r="G11" s="918"/>
      <c r="H11" s="918"/>
      <c r="I11" s="956"/>
      <c r="J11" s="302"/>
      <c r="K11" s="956"/>
      <c r="L11" s="918"/>
      <c r="N11" s="937"/>
      <c r="O11" s="938"/>
      <c r="P11" s="937"/>
    </row>
    <row r="12" spans="1:16" s="317" customFormat="1" ht="10.199999999999999">
      <c r="A12" s="957" t="s">
        <v>64</v>
      </c>
      <c r="E12" s="943">
        <f>IS!$F$43</f>
        <v>-565080</v>
      </c>
      <c r="F12" s="943"/>
      <c r="G12" s="958">
        <v>367800</v>
      </c>
      <c r="H12" s="230"/>
      <c r="I12" s="943">
        <f>E12-L12</f>
        <v>-975472</v>
      </c>
      <c r="J12" s="937"/>
      <c r="K12" s="958">
        <v>157295</v>
      </c>
      <c r="L12" s="943">
        <v>410392</v>
      </c>
      <c r="N12" s="959"/>
      <c r="O12" s="959"/>
      <c r="P12" s="960"/>
    </row>
    <row r="13" spans="1:16" s="317" customFormat="1" ht="10.199999999999999">
      <c r="A13" s="951"/>
      <c r="E13" s="230"/>
      <c r="F13" s="230"/>
      <c r="G13" s="230"/>
      <c r="H13" s="230"/>
      <c r="I13" s="230"/>
      <c r="K13" s="230"/>
      <c r="L13" s="230"/>
      <c r="O13" s="959"/>
      <c r="P13" s="960"/>
    </row>
    <row r="14" spans="1:16" s="317" customFormat="1" ht="10.199999999999999">
      <c r="A14" s="915" t="s">
        <v>1099</v>
      </c>
      <c r="E14" s="230"/>
      <c r="F14" s="230"/>
      <c r="G14" s="230"/>
      <c r="H14" s="230"/>
      <c r="I14" s="230"/>
      <c r="K14" s="230"/>
      <c r="L14" s="230"/>
      <c r="N14" s="959"/>
      <c r="O14" s="959"/>
      <c r="P14" s="960"/>
    </row>
    <row r="15" spans="1:16" s="317" customFormat="1" ht="10.199999999999999">
      <c r="A15" s="916" t="s">
        <v>1004</v>
      </c>
      <c r="E15" s="230"/>
      <c r="F15" s="230"/>
      <c r="G15" s="230"/>
      <c r="H15" s="230"/>
      <c r="I15" s="230"/>
      <c r="K15" s="230"/>
      <c r="L15" s="230"/>
      <c r="N15" s="959"/>
      <c r="O15" s="959"/>
      <c r="P15" s="960"/>
    </row>
    <row r="16" spans="1:16" s="317" customFormat="1" ht="10.199999999999999">
      <c r="A16" s="917" t="s">
        <v>1005</v>
      </c>
      <c r="E16" s="230">
        <f>'TB MCBPSM'!$H$162</f>
        <v>0</v>
      </c>
      <c r="F16" s="230"/>
      <c r="G16" s="961">
        <v>570912</v>
      </c>
      <c r="H16" s="230"/>
      <c r="I16" s="230">
        <f>E16-L16</f>
        <v>-44101</v>
      </c>
      <c r="K16" s="230">
        <v>255428</v>
      </c>
      <c r="L16" s="230">
        <v>44101</v>
      </c>
      <c r="N16" s="959"/>
      <c r="O16" s="959"/>
      <c r="P16" s="960"/>
    </row>
    <row r="17" spans="1:16" s="317" customFormat="1" ht="10.199999999999999">
      <c r="E17" s="230"/>
      <c r="F17" s="230"/>
      <c r="G17" s="230"/>
      <c r="H17" s="230"/>
      <c r="I17" s="230"/>
      <c r="K17" s="230"/>
      <c r="L17" s="230"/>
      <c r="N17" s="959"/>
      <c r="O17" s="959"/>
      <c r="P17" s="962"/>
    </row>
    <row r="18" spans="1:16" s="317" customFormat="1" ht="10.8" thickBot="1">
      <c r="A18" s="317" t="s">
        <v>65</v>
      </c>
      <c r="E18" s="952">
        <f>E10+E16+E12</f>
        <v>2425715</v>
      </c>
      <c r="F18" s="943"/>
      <c r="G18" s="952">
        <f>G10+G16+G12</f>
        <v>3171662</v>
      </c>
      <c r="H18" s="943"/>
      <c r="I18" s="952">
        <f>I10+I16+I12</f>
        <v>2425715</v>
      </c>
      <c r="K18" s="952">
        <f>K10+K16+K12</f>
        <v>3171662</v>
      </c>
      <c r="L18" s="952">
        <f>L10+L16+L12</f>
        <v>3445288</v>
      </c>
      <c r="N18" s="959"/>
      <c r="O18" s="959"/>
      <c r="P18" s="962"/>
    </row>
    <row r="19" spans="1:16" ht="12" thickTop="1"/>
    <row r="22" spans="1:16">
      <c r="A22" s="244" t="str">
        <f>BS!$A$43</f>
        <v>The annexed notes 1 to 15 form an integral part of these interim financial statements.</v>
      </c>
      <c r="H22" s="816"/>
      <c r="I22" s="816"/>
      <c r="J22" s="816"/>
      <c r="K22" s="816"/>
      <c r="L22" s="816"/>
      <c r="M22" s="816"/>
      <c r="N22" s="816"/>
      <c r="O22" s="816"/>
      <c r="P22" s="816"/>
    </row>
    <row r="23" spans="1:16">
      <c r="H23" s="816"/>
      <c r="I23" s="816"/>
      <c r="J23" s="816"/>
      <c r="K23" s="816"/>
      <c r="L23" s="816"/>
      <c r="M23" s="816"/>
      <c r="N23" s="816"/>
      <c r="O23" s="816"/>
      <c r="P23" s="816"/>
    </row>
    <row r="24" spans="1:16">
      <c r="H24" s="816"/>
      <c r="I24" s="816"/>
      <c r="J24" s="816"/>
      <c r="K24" s="816"/>
      <c r="L24" s="816"/>
      <c r="M24" s="816"/>
      <c r="N24" s="816"/>
      <c r="O24" s="816"/>
      <c r="P24" s="816"/>
    </row>
    <row r="25" spans="1:16" s="990" customFormat="1" ht="12">
      <c r="A25" s="989">
        <f>BS!$A$45</f>
        <v>0</v>
      </c>
      <c r="B25" s="989"/>
      <c r="C25" s="989"/>
      <c r="D25" s="989"/>
      <c r="E25" s="989"/>
      <c r="F25" s="989"/>
      <c r="G25" s="989"/>
      <c r="H25" s="989"/>
      <c r="I25" s="989"/>
      <c r="J25" s="989"/>
    </row>
    <row r="26" spans="1:16" s="990" customFormat="1" ht="12">
      <c r="A26" s="991" t="str">
        <f>BS!$A$46</f>
        <v>For MCB-Arif Habib Savings and Investments Limited</v>
      </c>
      <c r="B26" s="991"/>
      <c r="C26" s="991"/>
      <c r="D26" s="991"/>
      <c r="E26" s="991"/>
      <c r="F26" s="991"/>
      <c r="G26" s="991"/>
      <c r="H26" s="991"/>
      <c r="I26" s="991"/>
      <c r="J26" s="991"/>
      <c r="K26" s="991"/>
    </row>
    <row r="27" spans="1:16" s="1003" customFormat="1" ht="12">
      <c r="A27" s="1001"/>
      <c r="B27" s="994"/>
      <c r="C27" s="994"/>
      <c r="D27" s="994"/>
      <c r="E27" s="995"/>
      <c r="F27" s="994"/>
      <c r="G27" s="998"/>
      <c r="H27" s="997"/>
      <c r="I27" s="994"/>
      <c r="J27" s="998"/>
      <c r="K27" s="1002"/>
    </row>
    <row r="28" spans="1:16" s="1003" customFormat="1" ht="12">
      <c r="B28" s="994"/>
      <c r="C28" s="994"/>
      <c r="D28" s="994"/>
      <c r="E28" s="995"/>
      <c r="F28" s="994"/>
      <c r="G28" s="998"/>
      <c r="H28" s="997"/>
      <c r="I28" s="994"/>
      <c r="J28" s="998"/>
      <c r="K28" s="1002"/>
    </row>
    <row r="29" spans="1:16" s="1003" customFormat="1" ht="12">
      <c r="B29" s="994"/>
      <c r="C29" s="994"/>
      <c r="D29" s="994"/>
      <c r="E29" s="995"/>
      <c r="F29" s="994"/>
      <c r="G29" s="998"/>
      <c r="H29" s="997"/>
      <c r="I29" s="994"/>
      <c r="J29" s="998"/>
      <c r="K29" s="1002"/>
    </row>
    <row r="30" spans="1:16" s="1003" customFormat="1" ht="12">
      <c r="B30" s="994"/>
      <c r="C30" s="994"/>
      <c r="D30" s="994"/>
      <c r="E30" s="995"/>
      <c r="F30" s="994"/>
      <c r="G30" s="998"/>
      <c r="H30" s="997"/>
      <c r="I30" s="994"/>
      <c r="J30" s="998"/>
      <c r="K30" s="1002"/>
    </row>
    <row r="31" spans="1:16" s="1003" customFormat="1" ht="12">
      <c r="A31" s="992" t="str">
        <f>BS!$A$53</f>
        <v>Chief Executive Officer</v>
      </c>
      <c r="B31" s="993"/>
      <c r="C31" s="994"/>
      <c r="D31" s="994"/>
      <c r="E31" s="995"/>
      <c r="F31" s="994"/>
      <c r="G31" s="996"/>
      <c r="H31" s="997"/>
      <c r="I31" s="994"/>
      <c r="J31" s="998"/>
      <c r="K31" s="1002"/>
    </row>
    <row r="32" spans="1:16" s="1003" customFormat="1" ht="12">
      <c r="A32" s="999">
        <f>BS!$A$54</f>
        <v>0</v>
      </c>
      <c r="B32" s="993"/>
      <c r="C32" s="994"/>
      <c r="D32" s="994"/>
      <c r="E32" s="995"/>
      <c r="F32" s="994"/>
      <c r="G32" s="1000"/>
      <c r="H32" s="997"/>
      <c r="I32" s="994"/>
      <c r="J32" s="998"/>
      <c r="K32" s="1002"/>
    </row>
    <row r="52" spans="4:4">
      <c r="D52" s="317"/>
    </row>
  </sheetData>
  <mergeCells count="5">
    <mergeCell ref="E5:G5"/>
    <mergeCell ref="E6:G6"/>
    <mergeCell ref="I6:K6"/>
    <mergeCell ref="I5:K5"/>
    <mergeCell ref="E8:K8"/>
  </mergeCells>
  <phoneticPr fontId="38" type="noConversion"/>
  <printOptions horizontalCentered="1"/>
  <pageMargins left="0.75" right="0.5" top="0.5" bottom="0.4" header="0.28999999999999998" footer="0.5"/>
  <pageSetup paperSize="9" fitToHeight="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23"/>
  <sheetViews>
    <sheetView view="pageBreakPreview" zoomScale="85" zoomScaleNormal="100" workbookViewId="0">
      <selection activeCell="Q19" sqref="Q19"/>
    </sheetView>
  </sheetViews>
  <sheetFormatPr defaultColWidth="9" defaultRowHeight="15"/>
  <cols>
    <col min="1" max="1" width="2.59765625" style="284" customWidth="1"/>
    <col min="2" max="2" width="10.09765625" style="278" customWidth="1"/>
    <col min="3" max="3" width="0.59765625" style="278" customWidth="1"/>
    <col min="4" max="4" width="28.09765625" style="278" customWidth="1"/>
    <col min="5" max="5" width="0.59765625" style="278" customWidth="1"/>
    <col min="6" max="6" width="12" style="278" customWidth="1"/>
    <col min="7" max="7" width="0.59765625" style="278" customWidth="1"/>
    <col min="8" max="8" width="19.09765625" style="284" bestFit="1" customWidth="1"/>
    <col min="9" max="9" width="0.59765625" style="284" customWidth="1"/>
    <col min="10" max="10" width="10.59765625" style="284" bestFit="1" customWidth="1"/>
    <col min="11" max="11" width="0.59765625" style="284" customWidth="1"/>
    <col min="12" max="12" width="13.59765625" style="284" customWidth="1"/>
    <col min="13" max="16384" width="9" style="284"/>
  </cols>
  <sheetData>
    <row r="1" spans="1:14" s="269" customFormat="1" ht="15.6">
      <c r="A1" s="268" t="s">
        <v>76</v>
      </c>
      <c r="H1" s="270"/>
    </row>
    <row r="2" spans="1:14" s="269" customFormat="1" ht="15.6">
      <c r="A2" s="268" t="s">
        <v>77</v>
      </c>
      <c r="H2" s="270"/>
    </row>
    <row r="3" spans="1:14" s="269" customFormat="1" ht="15.6">
      <c r="A3" s="268" t="s">
        <v>78</v>
      </c>
      <c r="H3" s="270"/>
    </row>
    <row r="4" spans="1:14" s="269" customFormat="1" ht="15.6">
      <c r="B4" s="268"/>
      <c r="H4" s="270"/>
    </row>
    <row r="5" spans="1:14" s="269" customFormat="1" ht="15.6">
      <c r="B5" s="268"/>
      <c r="H5" s="270"/>
    </row>
    <row r="6" spans="1:14" s="269" customFormat="1" ht="15.6" thickBot="1">
      <c r="H6" s="270"/>
    </row>
    <row r="7" spans="1:14" s="271" customFormat="1" ht="63" thickBot="1">
      <c r="B7" s="272" t="s">
        <v>79</v>
      </c>
      <c r="C7" s="273"/>
      <c r="D7" s="272" t="s">
        <v>80</v>
      </c>
      <c r="E7" s="273"/>
      <c r="F7" s="272" t="s">
        <v>81</v>
      </c>
      <c r="G7" s="273"/>
      <c r="H7" s="274" t="s">
        <v>82</v>
      </c>
      <c r="I7" s="273"/>
      <c r="J7" s="272" t="s">
        <v>83</v>
      </c>
      <c r="L7" s="272" t="s">
        <v>172</v>
      </c>
    </row>
    <row r="8" spans="1:14" s="275" customFormat="1" ht="15.6">
      <c r="H8" s="276" t="s">
        <v>263</v>
      </c>
    </row>
    <row r="9" spans="1:14" s="275" customFormat="1" ht="16.2" thickBot="1">
      <c r="H9" s="276"/>
    </row>
    <row r="10" spans="1:14" s="275" customFormat="1" ht="16.2" thickBot="1">
      <c r="B10" s="2687" t="s">
        <v>176</v>
      </c>
      <c r="C10" s="2688"/>
      <c r="D10" s="2689"/>
      <c r="H10" s="276"/>
    </row>
    <row r="11" spans="1:14" s="275" customFormat="1" ht="15.6">
      <c r="B11" s="294"/>
      <c r="C11" s="294"/>
      <c r="D11" s="294"/>
      <c r="H11" s="276"/>
    </row>
    <row r="12" spans="1:14" s="275" customFormat="1" ht="15.6">
      <c r="B12" s="277"/>
      <c r="C12" s="278"/>
      <c r="D12" s="279" t="s">
        <v>3</v>
      </c>
      <c r="E12" s="278"/>
      <c r="F12" s="280">
        <v>2000</v>
      </c>
      <c r="G12" s="281"/>
      <c r="H12" s="280">
        <v>10200</v>
      </c>
      <c r="I12" s="280"/>
      <c r="J12" s="295" t="s">
        <v>173</v>
      </c>
      <c r="K12" s="280">
        <v>107278500</v>
      </c>
      <c r="L12" s="283">
        <f>H12/$H$20</f>
        <v>0.1953798413975405</v>
      </c>
      <c r="N12" s="318">
        <f>ROUND(10200067/1000,0)</f>
        <v>10200</v>
      </c>
    </row>
    <row r="13" spans="1:14" s="275" customFormat="1" ht="15.6">
      <c r="B13" s="277"/>
      <c r="C13" s="278"/>
      <c r="D13" s="279" t="s">
        <v>4</v>
      </c>
      <c r="E13" s="278"/>
      <c r="F13" s="280">
        <v>3000</v>
      </c>
      <c r="G13" s="281"/>
      <c r="H13" s="280">
        <v>15160</v>
      </c>
      <c r="I13" s="280"/>
      <c r="J13" s="295" t="s">
        <v>173</v>
      </c>
      <c r="K13" s="280"/>
      <c r="L13" s="283">
        <f>H13/$H$20</f>
        <v>0.29038807799869748</v>
      </c>
      <c r="N13" s="318">
        <f>ROUND((15159444+100)/1000,0)</f>
        <v>15160</v>
      </c>
    </row>
    <row r="14" spans="1:14" ht="15.6">
      <c r="B14" s="277"/>
      <c r="D14" s="279" t="s">
        <v>6</v>
      </c>
      <c r="F14" s="284">
        <v>3400</v>
      </c>
      <c r="H14" s="284">
        <v>16802</v>
      </c>
      <c r="J14" s="295" t="s">
        <v>173</v>
      </c>
      <c r="L14" s="283">
        <f>H14/$H$20</f>
        <v>0.32184040148641918</v>
      </c>
      <c r="N14" s="318">
        <f>ROUND(10043758/1000,0)</f>
        <v>10044</v>
      </c>
    </row>
    <row r="15" spans="1:14" ht="16.2" thickBot="1">
      <c r="B15" s="277"/>
      <c r="D15" s="279"/>
      <c r="F15" s="284"/>
      <c r="J15" s="282"/>
      <c r="L15" s="298">
        <f>SUM(L12:L14)</f>
        <v>0.80760832088265722</v>
      </c>
      <c r="N15" s="318">
        <f>ROUND(16802409/1000,0)</f>
        <v>16802</v>
      </c>
    </row>
    <row r="16" spans="1:14" ht="16.2" thickBot="1">
      <c r="B16" s="2687" t="s">
        <v>177</v>
      </c>
      <c r="C16" s="2688"/>
      <c r="D16" s="2689"/>
      <c r="F16" s="284"/>
      <c r="J16" s="282"/>
      <c r="L16" s="283"/>
    </row>
    <row r="17" spans="2:12" ht="15.6">
      <c r="B17" s="294"/>
      <c r="C17" s="294"/>
      <c r="D17" s="294"/>
      <c r="F17" s="284"/>
      <c r="J17" s="282"/>
      <c r="L17" s="283"/>
    </row>
    <row r="18" spans="2:12" s="275" customFormat="1" ht="15.6">
      <c r="B18" s="277"/>
      <c r="C18" s="278"/>
      <c r="D18" s="279" t="s">
        <v>5</v>
      </c>
      <c r="E18" s="278"/>
      <c r="F18" s="280">
        <v>2000</v>
      </c>
      <c r="G18" s="281"/>
      <c r="H18" s="280">
        <v>10044</v>
      </c>
      <c r="I18" s="280"/>
      <c r="J18" s="295" t="s">
        <v>174</v>
      </c>
      <c r="K18" s="280"/>
      <c r="L18" s="299">
        <f>H18/$H$20</f>
        <v>0.19239167911734284</v>
      </c>
    </row>
    <row r="19" spans="2:12">
      <c r="B19" s="277"/>
      <c r="D19" s="279"/>
      <c r="F19" s="284"/>
      <c r="J19" s="282"/>
      <c r="L19" s="285"/>
    </row>
    <row r="20" spans="2:12" ht="16.2" thickBot="1">
      <c r="B20" s="277"/>
      <c r="D20" s="286" t="s">
        <v>175</v>
      </c>
      <c r="F20" s="284"/>
      <c r="H20" s="296">
        <f>SUM(H12:H19)</f>
        <v>52206</v>
      </c>
      <c r="J20" s="282"/>
      <c r="L20" s="297">
        <f>+L18+L15</f>
        <v>1</v>
      </c>
    </row>
    <row r="21" spans="2:12" ht="16.2" thickTop="1">
      <c r="B21" s="277"/>
      <c r="D21" s="287"/>
      <c r="F21" s="284"/>
      <c r="H21" s="288"/>
      <c r="J21" s="282"/>
      <c r="L21" s="289"/>
    </row>
    <row r="22" spans="2:12" ht="15.6">
      <c r="B22" s="275"/>
      <c r="C22" s="275"/>
      <c r="D22" s="290"/>
      <c r="E22" s="275"/>
      <c r="F22" s="284"/>
      <c r="G22" s="275"/>
      <c r="H22" s="291"/>
      <c r="I22" s="275"/>
      <c r="J22" s="275"/>
      <c r="K22" s="275"/>
      <c r="L22" s="277"/>
    </row>
    <row r="23" spans="2:12">
      <c r="B23" s="277"/>
      <c r="D23" s="287"/>
      <c r="F23" s="284"/>
      <c r="H23" s="292"/>
      <c r="J23" s="282"/>
      <c r="L23" s="293"/>
    </row>
  </sheetData>
  <mergeCells count="2">
    <mergeCell ref="B10:D10"/>
    <mergeCell ref="B16:D16"/>
  </mergeCells>
  <phoneticPr fontId="50" type="noConversion"/>
  <pageMargins left="0.75" right="0.75" top="1" bottom="1" header="0.5" footer="0.5"/>
  <pageSetup orientation="landscape" horizontalDpi="300" verticalDpi="300" r:id="rId1"/>
  <headerFooter alignWithMargins="0"/>
  <colBreaks count="1" manualBreakCount="1">
    <brk id="12"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M32"/>
  <sheetViews>
    <sheetView view="pageBreakPreview" topLeftCell="A7" zoomScaleNormal="100" workbookViewId="0">
      <selection activeCell="C17" sqref="C17"/>
    </sheetView>
  </sheetViews>
  <sheetFormatPr defaultColWidth="9" defaultRowHeight="14.4"/>
  <cols>
    <col min="1" max="1" width="36" style="267" bestFit="1" customWidth="1"/>
    <col min="2" max="2" width="14.5" style="255" bestFit="1" customWidth="1"/>
    <col min="3" max="3" width="12.59765625" style="255" customWidth="1"/>
    <col min="4" max="5" width="11.5" style="255" customWidth="1"/>
    <col min="6" max="6" width="11.59765625" style="255" customWidth="1"/>
    <col min="7" max="16384" width="9" style="255"/>
  </cols>
  <sheetData>
    <row r="1" spans="1:13">
      <c r="A1" s="254" t="s">
        <v>297</v>
      </c>
    </row>
    <row r="2" spans="1:13">
      <c r="A2" s="254" t="s">
        <v>357</v>
      </c>
    </row>
    <row r="3" spans="1:13">
      <c r="A3" s="254" t="s">
        <v>219</v>
      </c>
    </row>
    <row r="4" spans="1:13">
      <c r="A4" s="254"/>
    </row>
    <row r="5" spans="1:13">
      <c r="A5" s="256" t="s">
        <v>220</v>
      </c>
    </row>
    <row r="6" spans="1:13">
      <c r="A6" s="256" t="s">
        <v>221</v>
      </c>
    </row>
    <row r="7" spans="1:13">
      <c r="A7" s="256" t="s">
        <v>222</v>
      </c>
    </row>
    <row r="8" spans="1:13">
      <c r="A8" s="256" t="s">
        <v>223</v>
      </c>
    </row>
    <row r="9" spans="1:13">
      <c r="A9" s="256" t="s">
        <v>358</v>
      </c>
    </row>
    <row r="10" spans="1:13">
      <c r="A10" s="254"/>
    </row>
    <row r="12" spans="1:13" ht="12.75" customHeight="1">
      <c r="A12" s="2690" t="s">
        <v>110</v>
      </c>
      <c r="B12" s="2690" t="s">
        <v>307</v>
      </c>
      <c r="C12" s="2690" t="s">
        <v>224</v>
      </c>
      <c r="D12" s="2690" t="s">
        <v>225</v>
      </c>
      <c r="E12" s="2697" t="s">
        <v>364</v>
      </c>
      <c r="F12" s="2692" t="s">
        <v>218</v>
      </c>
      <c r="G12" s="2692" t="s">
        <v>361</v>
      </c>
    </row>
    <row r="13" spans="1:13" ht="17.25" customHeight="1">
      <c r="A13" s="2690"/>
      <c r="B13" s="2691"/>
      <c r="C13" s="2691"/>
      <c r="D13" s="2691"/>
      <c r="E13" s="2698"/>
      <c r="F13" s="2692"/>
      <c r="G13" s="2692"/>
    </row>
    <row r="14" spans="1:13" ht="30" customHeight="1">
      <c r="A14" s="2690"/>
      <c r="B14" s="2694" t="s">
        <v>305</v>
      </c>
      <c r="C14" s="2695"/>
      <c r="D14" s="2695"/>
      <c r="E14" s="2696"/>
      <c r="F14" s="2693"/>
      <c r="G14" s="2693"/>
    </row>
    <row r="15" spans="1:13">
      <c r="A15" s="257"/>
      <c r="B15" s="258"/>
      <c r="C15" s="258"/>
      <c r="D15" s="258"/>
      <c r="E15" s="258"/>
      <c r="F15" s="259"/>
    </row>
    <row r="16" spans="1:13">
      <c r="A16" s="260" t="s">
        <v>275</v>
      </c>
      <c r="B16" s="261" t="s">
        <v>226</v>
      </c>
      <c r="C16" s="262">
        <v>15771</v>
      </c>
      <c r="D16" s="262">
        <f>ROUND(C16/1000,0)</f>
        <v>16</v>
      </c>
      <c r="E16" s="361">
        <f>D16/$D$26</f>
        <v>4.2957287032537463E-5</v>
      </c>
      <c r="F16" s="262">
        <f>D16</f>
        <v>16</v>
      </c>
      <c r="G16" s="260" t="s">
        <v>362</v>
      </c>
      <c r="H16" s="255">
        <v>48440</v>
      </c>
      <c r="I16" s="255">
        <v>0</v>
      </c>
      <c r="J16" s="255">
        <v>0</v>
      </c>
      <c r="K16" s="255">
        <v>0</v>
      </c>
      <c r="L16" s="255">
        <v>0</v>
      </c>
      <c r="M16" s="255">
        <v>0</v>
      </c>
    </row>
    <row r="17" spans="1:13" ht="5.0999999999999996" customHeight="1">
      <c r="A17" s="260"/>
      <c r="B17" s="261"/>
      <c r="C17" s="262"/>
      <c r="D17" s="262"/>
      <c r="E17" s="262"/>
      <c r="F17" s="262"/>
    </row>
    <row r="18" spans="1:13">
      <c r="A18" s="260" t="s">
        <v>360</v>
      </c>
      <c r="B18" s="261" t="s">
        <v>226</v>
      </c>
      <c r="C18" s="262">
        <v>4659</v>
      </c>
      <c r="D18" s="262">
        <f>ROUND(C18/1000,0)</f>
        <v>5</v>
      </c>
      <c r="E18" s="361">
        <f>D18/$D$26</f>
        <v>1.3424152197667957E-5</v>
      </c>
      <c r="F18" s="262">
        <f>D18</f>
        <v>5</v>
      </c>
      <c r="G18" s="260" t="s">
        <v>362</v>
      </c>
    </row>
    <row r="19" spans="1:13" ht="5.0999999999999996" customHeight="1">
      <c r="A19" s="260"/>
      <c r="B19" s="261"/>
      <c r="C19" s="262"/>
      <c r="D19" s="262"/>
      <c r="E19" s="262"/>
      <c r="F19" s="262"/>
    </row>
    <row r="20" spans="1:13">
      <c r="A20" s="260" t="s">
        <v>276</v>
      </c>
      <c r="B20" s="261" t="s">
        <v>226</v>
      </c>
      <c r="C20" s="262">
        <v>356372315</v>
      </c>
      <c r="D20" s="262">
        <f>ROUND(C20/1000,0)</f>
        <v>356372</v>
      </c>
      <c r="E20" s="361">
        <f>D20/$D$26</f>
        <v>0.95679839339746497</v>
      </c>
      <c r="F20" s="262">
        <f>D20</f>
        <v>356372</v>
      </c>
      <c r="G20" s="260" t="s">
        <v>362</v>
      </c>
      <c r="H20" s="255">
        <v>48440</v>
      </c>
      <c r="I20" s="255">
        <v>0</v>
      </c>
      <c r="J20" s="255">
        <v>0</v>
      </c>
      <c r="K20" s="255">
        <v>0</v>
      </c>
      <c r="L20" s="255">
        <v>0</v>
      </c>
      <c r="M20" s="255">
        <v>0</v>
      </c>
    </row>
    <row r="21" spans="1:13" ht="3.75" customHeight="1">
      <c r="A21" s="260"/>
      <c r="B21" s="261"/>
      <c r="C21" s="262"/>
      <c r="D21" s="262"/>
      <c r="E21" s="262"/>
      <c r="F21" s="262"/>
    </row>
    <row r="22" spans="1:13">
      <c r="A22" s="260" t="s">
        <v>306</v>
      </c>
      <c r="B22" s="261" t="s">
        <v>226</v>
      </c>
      <c r="C22" s="262">
        <v>49018</v>
      </c>
      <c r="D22" s="262">
        <f>ROUND(C22/1000,0)</f>
        <v>49</v>
      </c>
      <c r="E22" s="361">
        <f>D22/$D$26</f>
        <v>1.3155669153714597E-4</v>
      </c>
      <c r="F22" s="262">
        <f>D22</f>
        <v>49</v>
      </c>
      <c r="G22" s="260" t="s">
        <v>362</v>
      </c>
      <c r="H22" s="255">
        <v>4</v>
      </c>
      <c r="I22" s="255">
        <v>0</v>
      </c>
      <c r="J22" s="255">
        <v>0</v>
      </c>
      <c r="K22" s="255">
        <v>0</v>
      </c>
      <c r="L22" s="255">
        <v>0</v>
      </c>
      <c r="M22" s="255">
        <v>0</v>
      </c>
    </row>
    <row r="23" spans="1:13" ht="5.0999999999999996" customHeight="1">
      <c r="A23" s="260"/>
      <c r="B23" s="261"/>
      <c r="C23" s="262"/>
      <c r="D23" s="262"/>
      <c r="E23" s="262"/>
      <c r="F23" s="262"/>
    </row>
    <row r="24" spans="1:13">
      <c r="A24" s="260" t="s">
        <v>359</v>
      </c>
      <c r="B24" s="261" t="s">
        <v>226</v>
      </c>
      <c r="C24" s="262">
        <v>16020978</v>
      </c>
      <c r="D24" s="262">
        <f>ROUND(C24/1000,0)</f>
        <v>16021</v>
      </c>
      <c r="E24" s="361">
        <f>D24/$D$26</f>
        <v>4.3013668471767665E-2</v>
      </c>
      <c r="F24" s="262">
        <f>D24</f>
        <v>16021</v>
      </c>
      <c r="G24" s="260" t="s">
        <v>363</v>
      </c>
      <c r="H24" s="255">
        <v>4124</v>
      </c>
      <c r="I24" s="255">
        <v>0</v>
      </c>
      <c r="J24" s="255">
        <v>0</v>
      </c>
      <c r="K24" s="255">
        <v>0</v>
      </c>
      <c r="L24" s="255">
        <v>0</v>
      </c>
      <c r="M24" s="255">
        <v>0</v>
      </c>
    </row>
    <row r="25" spans="1:13" ht="5.0999999999999996" customHeight="1">
      <c r="A25" s="260"/>
      <c r="B25" s="261"/>
      <c r="C25" s="262"/>
      <c r="D25" s="262"/>
      <c r="E25" s="262"/>
      <c r="F25" s="262"/>
    </row>
    <row r="26" spans="1:13" ht="15" thickBot="1">
      <c r="A26" s="260"/>
      <c r="B26" s="261"/>
      <c r="C26" s="263">
        <f>SUM(C16:C25)</f>
        <v>372462741</v>
      </c>
      <c r="D26" s="263">
        <f>SUM(D16:D25)</f>
        <v>372463</v>
      </c>
      <c r="E26" s="362">
        <f>SUM(E16:E25)</f>
        <v>1</v>
      </c>
      <c r="F26" s="263">
        <f>SUM(F16:F25)</f>
        <v>372463</v>
      </c>
      <c r="H26" s="255">
        <f t="shared" ref="H26:M26" si="0">SUM(H16:H25)</f>
        <v>101008</v>
      </c>
      <c r="I26" s="255">
        <f t="shared" si="0"/>
        <v>0</v>
      </c>
      <c r="J26" s="255">
        <f t="shared" si="0"/>
        <v>0</v>
      </c>
      <c r="K26" s="255">
        <f t="shared" si="0"/>
        <v>0</v>
      </c>
      <c r="L26" s="255">
        <f t="shared" si="0"/>
        <v>0</v>
      </c>
      <c r="M26" s="255">
        <f t="shared" si="0"/>
        <v>0</v>
      </c>
    </row>
    <row r="27" spans="1:13" ht="15" thickTop="1">
      <c r="A27" s="255"/>
      <c r="H27" s="264"/>
    </row>
    <row r="28" spans="1:13">
      <c r="A28" s="255"/>
      <c r="C28" s="265" t="s">
        <v>227</v>
      </c>
      <c r="F28" s="266">
        <f>ROUND(F26/$D$26,8)</f>
        <v>1</v>
      </c>
    </row>
    <row r="29" spans="1:13">
      <c r="A29" s="255"/>
    </row>
    <row r="30" spans="1:13">
      <c r="A30" s="255"/>
    </row>
    <row r="31" spans="1:13">
      <c r="A31" s="255"/>
      <c r="C31" s="264"/>
    </row>
    <row r="32" spans="1:13">
      <c r="A32" s="255"/>
    </row>
  </sheetData>
  <mergeCells count="8">
    <mergeCell ref="A12:A14"/>
    <mergeCell ref="D12:D13"/>
    <mergeCell ref="B12:B13"/>
    <mergeCell ref="G12:G14"/>
    <mergeCell ref="B14:E14"/>
    <mergeCell ref="E12:E13"/>
    <mergeCell ref="F12:F14"/>
    <mergeCell ref="C12:C13"/>
  </mergeCells>
  <phoneticPr fontId="50" type="noConversion"/>
  <printOptions horizontalCentered="1"/>
  <pageMargins left="1.1599999999999999" right="0.75" top="0.5" bottom="0.5" header="0.5" footer="0.5"/>
  <pageSetup paperSize="9" scale="71"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48"/>
  <sheetViews>
    <sheetView showGridLines="0" view="pageBreakPreview" topLeftCell="A6" zoomScaleNormal="100" zoomScaleSheetLayoutView="100" workbookViewId="0">
      <selection activeCell="B24" sqref="B24"/>
    </sheetView>
  </sheetViews>
  <sheetFormatPr defaultColWidth="9" defaultRowHeight="11.4"/>
  <cols>
    <col min="1" max="1" width="38.59765625" style="386" customWidth="1"/>
    <col min="2" max="2" width="18.5" style="395" bestFit="1" customWidth="1"/>
    <col min="3" max="3" width="13.09765625" style="386" bestFit="1" customWidth="1"/>
    <col min="4" max="4" width="14.59765625" style="386" bestFit="1" customWidth="1"/>
    <col min="5" max="16384" width="9" style="386"/>
  </cols>
  <sheetData>
    <row r="1" spans="1:4" ht="12" thickBot="1">
      <c r="A1" s="400" t="s">
        <v>403</v>
      </c>
      <c r="B1" s="2701" t="s">
        <v>461</v>
      </c>
      <c r="C1" s="2701"/>
      <c r="D1" s="2701"/>
    </row>
    <row r="2" spans="1:4" ht="12" thickBot="1">
      <c r="A2" s="400" t="s">
        <v>404</v>
      </c>
      <c r="B2" s="2702">
        <v>42185</v>
      </c>
      <c r="C2" s="2702"/>
      <c r="D2" s="2702"/>
    </row>
    <row r="3" spans="1:4" ht="12" thickBot="1">
      <c r="A3" s="400" t="s">
        <v>405</v>
      </c>
      <c r="B3" s="2701" t="s">
        <v>462</v>
      </c>
      <c r="C3" s="2701"/>
      <c r="D3" s="2701"/>
    </row>
    <row r="4" spans="1:4" ht="12" thickBot="1">
      <c r="A4" s="400" t="s">
        <v>406</v>
      </c>
      <c r="B4" s="2701" t="s">
        <v>407</v>
      </c>
      <c r="C4" s="2701"/>
      <c r="D4" s="2701"/>
    </row>
    <row r="5" spans="1:4" ht="12" thickBot="1">
      <c r="A5" s="400" t="s">
        <v>408</v>
      </c>
      <c r="B5" s="2701" t="s">
        <v>409</v>
      </c>
      <c r="C5" s="2701"/>
      <c r="D5" s="2701"/>
    </row>
    <row r="6" spans="1:4" ht="12" thickBot="1">
      <c r="A6" s="400" t="s">
        <v>410</v>
      </c>
      <c r="B6" s="2701" t="s">
        <v>411</v>
      </c>
      <c r="C6" s="2701"/>
      <c r="D6" s="2701"/>
    </row>
    <row r="7" spans="1:4" ht="12" thickBot="1">
      <c r="A7" s="400" t="s">
        <v>412</v>
      </c>
      <c r="B7" s="2701"/>
      <c r="C7" s="2701"/>
      <c r="D7" s="2701"/>
    </row>
    <row r="9" spans="1:4" ht="12" thickBot="1"/>
    <row r="10" spans="1:4" ht="12" thickBot="1">
      <c r="A10" s="391" t="s">
        <v>262</v>
      </c>
      <c r="B10" s="392" t="s">
        <v>431</v>
      </c>
      <c r="C10" s="390" t="s">
        <v>52</v>
      </c>
    </row>
    <row r="11" spans="1:4">
      <c r="A11" s="387" t="s">
        <v>379</v>
      </c>
      <c r="B11" s="388">
        <v>0</v>
      </c>
      <c r="C11" s="389">
        <v>0</v>
      </c>
    </row>
    <row r="12" spans="1:4">
      <c r="B12" s="389"/>
      <c r="C12" s="389"/>
    </row>
    <row r="13" spans="1:4">
      <c r="A13" s="386" t="s">
        <v>429</v>
      </c>
      <c r="B13" s="389">
        <v>220182818</v>
      </c>
      <c r="C13" s="389">
        <f>ROUND(UHF!E13,0)</f>
        <v>3855360</v>
      </c>
    </row>
    <row r="14" spans="1:4">
      <c r="B14" s="389"/>
      <c r="C14" s="389"/>
    </row>
    <row r="15" spans="1:4">
      <c r="A15" s="386" t="s">
        <v>430</v>
      </c>
      <c r="B15" s="389">
        <v>106630337</v>
      </c>
      <c r="C15" s="389">
        <f>ROUND(UHF!E15,0)</f>
        <v>-5003787</v>
      </c>
    </row>
    <row r="16" spans="1:4">
      <c r="B16" s="396"/>
      <c r="C16" s="389"/>
    </row>
    <row r="17" spans="1:4" ht="12" thickBot="1">
      <c r="A17" s="386" t="s">
        <v>344</v>
      </c>
      <c r="B17" s="397">
        <f>ROUND(+B13-B15,0)</f>
        <v>113552481</v>
      </c>
      <c r="C17" s="397">
        <f>ROUND(+C13+C15,0)</f>
        <v>-1148427</v>
      </c>
    </row>
    <row r="18" spans="1:4" ht="12" thickTop="1">
      <c r="B18" s="396"/>
      <c r="C18" s="389"/>
    </row>
    <row r="19" spans="1:4" ht="12" thickBot="1">
      <c r="B19" s="396"/>
      <c r="C19" s="389"/>
    </row>
    <row r="20" spans="1:4" ht="12" thickBot="1">
      <c r="A20" s="2699" t="s">
        <v>432</v>
      </c>
      <c r="B20" s="2700"/>
      <c r="C20" s="2700"/>
      <c r="D20" s="2700"/>
    </row>
    <row r="21" spans="1:4">
      <c r="B21" s="396"/>
      <c r="C21" s="389"/>
    </row>
    <row r="22" spans="1:4">
      <c r="A22" s="386" t="s">
        <v>433</v>
      </c>
      <c r="B22" s="393">
        <f>B17</f>
        <v>113552481</v>
      </c>
      <c r="C22" s="389"/>
    </row>
    <row r="23" spans="1:4">
      <c r="B23" s="393"/>
      <c r="C23" s="389"/>
    </row>
    <row r="24" spans="1:4">
      <c r="A24" s="386" t="s">
        <v>434</v>
      </c>
      <c r="B24" s="394">
        <v>172253473.8046</v>
      </c>
      <c r="C24" s="389"/>
    </row>
    <row r="25" spans="1:4">
      <c r="A25" s="386" t="s">
        <v>435</v>
      </c>
      <c r="B25" s="393">
        <f>-B22+B24</f>
        <v>58700992.8046</v>
      </c>
      <c r="C25" s="389"/>
    </row>
    <row r="26" spans="1:4">
      <c r="B26" s="386"/>
      <c r="C26" s="389"/>
    </row>
    <row r="27" spans="1:4">
      <c r="A27" s="386" t="s">
        <v>436</v>
      </c>
      <c r="B27" s="459">
        <v>10.884499999999999</v>
      </c>
      <c r="C27" s="389"/>
    </row>
    <row r="28" spans="1:4">
      <c r="B28" s="460">
        <f>B25*B27</f>
        <v>638930956.18166864</v>
      </c>
      <c r="C28" s="389"/>
    </row>
    <row r="29" spans="1:4">
      <c r="B29" s="396"/>
      <c r="C29" s="389"/>
    </row>
    <row r="30" spans="1:4">
      <c r="B30" s="386"/>
      <c r="C30" s="389"/>
    </row>
    <row r="31" spans="1:4">
      <c r="A31" s="386" t="s">
        <v>649</v>
      </c>
      <c r="B31" s="393">
        <v>659567396.5</v>
      </c>
      <c r="C31" s="389"/>
    </row>
    <row r="32" spans="1:4">
      <c r="B32" s="386"/>
      <c r="C32" s="389"/>
    </row>
    <row r="33" spans="1:3" ht="12" thickBot="1">
      <c r="A33" s="386" t="s">
        <v>439</v>
      </c>
      <c r="B33" s="401">
        <f>+B31-B28</f>
        <v>20636440.318331361</v>
      </c>
      <c r="C33" s="389">
        <f>ROUND(B33/1000,0)</f>
        <v>20636</v>
      </c>
    </row>
    <row r="34" spans="1:3" ht="12" thickTop="1">
      <c r="B34" s="396"/>
      <c r="C34" s="389"/>
    </row>
    <row r="35" spans="1:3">
      <c r="A35" s="398" t="s">
        <v>437</v>
      </c>
      <c r="B35" s="399"/>
      <c r="C35" s="389">
        <f>ROUND(B35/1000,0)</f>
        <v>0</v>
      </c>
    </row>
    <row r="36" spans="1:3">
      <c r="A36" s="398" t="s">
        <v>438</v>
      </c>
      <c r="B36" s="396"/>
      <c r="C36" s="389">
        <f>ROUND(B36/1000,0)</f>
        <v>0</v>
      </c>
    </row>
    <row r="37" spans="1:3">
      <c r="B37" s="396"/>
      <c r="C37" s="389"/>
    </row>
    <row r="38" spans="1:3">
      <c r="B38" s="396"/>
      <c r="C38" s="389"/>
    </row>
    <row r="39" spans="1:3">
      <c r="B39" s="396"/>
      <c r="C39" s="389"/>
    </row>
    <row r="40" spans="1:3">
      <c r="B40" s="396"/>
      <c r="C40" s="389"/>
    </row>
    <row r="41" spans="1:3">
      <c r="B41" s="396"/>
      <c r="C41" s="389"/>
    </row>
    <row r="42" spans="1:3">
      <c r="B42" s="396"/>
      <c r="C42" s="389"/>
    </row>
    <row r="43" spans="1:3">
      <c r="B43" s="396"/>
      <c r="C43" s="389"/>
    </row>
    <row r="44" spans="1:3">
      <c r="B44" s="396"/>
      <c r="C44" s="389"/>
    </row>
    <row r="45" spans="1:3">
      <c r="B45" s="396"/>
      <c r="C45" s="389"/>
    </row>
    <row r="46" spans="1:3">
      <c r="B46" s="396"/>
      <c r="C46" s="389"/>
    </row>
    <row r="47" spans="1:3">
      <c r="B47" s="386"/>
    </row>
    <row r="48" spans="1:3">
      <c r="B48" s="386"/>
    </row>
  </sheetData>
  <mergeCells count="8">
    <mergeCell ref="A20:D20"/>
    <mergeCell ref="B1:D1"/>
    <mergeCell ref="B2:D2"/>
    <mergeCell ref="B3:D3"/>
    <mergeCell ref="B4:D4"/>
    <mergeCell ref="B5:D5"/>
    <mergeCell ref="B6:D6"/>
    <mergeCell ref="B7:D7"/>
  </mergeCells>
  <pageMargins left="0.7" right="0.7" top="0.75" bottom="0.75" header="0.3" footer="0.3"/>
  <pageSetup scale="8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59"/>
  <sheetViews>
    <sheetView workbookViewId="0"/>
  </sheetViews>
  <sheetFormatPr defaultColWidth="9" defaultRowHeight="15.6"/>
  <cols>
    <col min="1" max="1" width="14.09765625" style="383" bestFit="1" customWidth="1"/>
    <col min="2" max="2" width="9" style="383"/>
    <col min="3" max="3" width="23" style="383" bestFit="1" customWidth="1"/>
    <col min="4" max="5" width="14.59765625" style="382" bestFit="1" customWidth="1"/>
    <col min="6" max="6" width="13.09765625" style="383" bestFit="1" customWidth="1"/>
    <col min="7" max="16384" width="9" style="383"/>
  </cols>
  <sheetData>
    <row r="1" spans="1:5" ht="16.2" thickBot="1">
      <c r="A1" s="381" t="s">
        <v>403</v>
      </c>
      <c r="B1" s="2703" t="s">
        <v>427</v>
      </c>
      <c r="C1" s="2701"/>
      <c r="D1" s="2701"/>
    </row>
    <row r="2" spans="1:5" ht="16.2" thickBot="1">
      <c r="A2" s="381" t="s">
        <v>404</v>
      </c>
      <c r="B2" s="2704">
        <v>42185</v>
      </c>
      <c r="C2" s="2702"/>
      <c r="D2" s="2702"/>
    </row>
    <row r="3" spans="1:5" ht="16.2" thickBot="1">
      <c r="A3" s="381" t="s">
        <v>405</v>
      </c>
      <c r="B3" s="2703" t="s">
        <v>428</v>
      </c>
      <c r="C3" s="2701"/>
      <c r="D3" s="2701"/>
    </row>
    <row r="4" spans="1:5" ht="16.2" thickBot="1">
      <c r="A4" s="381" t="s">
        <v>406</v>
      </c>
      <c r="B4" s="2703" t="s">
        <v>407</v>
      </c>
      <c r="C4" s="2701"/>
      <c r="D4" s="2701"/>
    </row>
    <row r="5" spans="1:5" ht="16.2" thickBot="1">
      <c r="A5" s="381" t="s">
        <v>408</v>
      </c>
      <c r="B5" s="2703" t="s">
        <v>409</v>
      </c>
      <c r="C5" s="2701"/>
      <c r="D5" s="2701"/>
    </row>
    <row r="6" spans="1:5" ht="16.2" thickBot="1">
      <c r="A6" s="381" t="s">
        <v>410</v>
      </c>
      <c r="B6" s="2703" t="s">
        <v>411</v>
      </c>
      <c r="C6" s="2701"/>
      <c r="D6" s="2701"/>
    </row>
    <row r="7" spans="1:5" ht="16.2" thickBot="1">
      <c r="A7" s="381" t="s">
        <v>412</v>
      </c>
      <c r="B7" s="2703"/>
      <c r="C7" s="2701"/>
      <c r="D7" s="2701"/>
    </row>
    <row r="13" spans="1:5">
      <c r="D13" s="382" t="s">
        <v>413</v>
      </c>
      <c r="E13" s="382" t="s">
        <v>414</v>
      </c>
    </row>
    <row r="14" spans="1:5">
      <c r="C14" s="383" t="s">
        <v>415</v>
      </c>
      <c r="D14" s="384">
        <v>0</v>
      </c>
    </row>
    <row r="16" spans="1:5">
      <c r="C16" s="383" t="s">
        <v>416</v>
      </c>
      <c r="D16" s="384">
        <v>100368356.83400014</v>
      </c>
    </row>
    <row r="17" spans="3:6">
      <c r="C17" s="383" t="s">
        <v>417</v>
      </c>
      <c r="D17" s="384">
        <v>24184516.492400005</v>
      </c>
    </row>
    <row r="19" spans="3:6">
      <c r="C19" s="383" t="s">
        <v>418</v>
      </c>
      <c r="D19" s="382">
        <f>D14+D16-D17</f>
        <v>76183840.341600135</v>
      </c>
    </row>
    <row r="21" spans="3:6">
      <c r="C21" s="383" t="s">
        <v>380</v>
      </c>
      <c r="D21" s="382">
        <f>D16-D17</f>
        <v>76183840.341600135</v>
      </c>
    </row>
    <row r="23" spans="3:6">
      <c r="C23" s="383" t="s">
        <v>419</v>
      </c>
      <c r="D23" s="384">
        <v>10</v>
      </c>
    </row>
    <row r="25" spans="3:6">
      <c r="C25" s="383" t="s">
        <v>420</v>
      </c>
      <c r="D25" s="382">
        <f>D23*D21</f>
        <v>761838403.41600132</v>
      </c>
    </row>
    <row r="27" spans="3:6">
      <c r="C27" s="383" t="s">
        <v>421</v>
      </c>
      <c r="D27" s="384">
        <v>1005415655.229997</v>
      </c>
    </row>
    <row r="28" spans="3:6">
      <c r="C28" s="383" t="s">
        <v>422</v>
      </c>
      <c r="D28" s="384">
        <v>234199652.13000014</v>
      </c>
    </row>
    <row r="30" spans="3:6">
      <c r="C30" s="383" t="s">
        <v>423</v>
      </c>
      <c r="D30" s="382">
        <f>D27-D28</f>
        <v>771216003.09999692</v>
      </c>
    </row>
    <row r="32" spans="3:6">
      <c r="C32" s="383" t="s">
        <v>330</v>
      </c>
      <c r="D32" s="382">
        <f>D25-D30</f>
        <v>-9377599.6839956045</v>
      </c>
      <c r="E32" s="384">
        <v>9382000</v>
      </c>
      <c r="F32" s="385">
        <f>E32+D32</f>
        <v>4400.3160043954849</v>
      </c>
    </row>
    <row r="36" spans="3:4">
      <c r="C36" s="383" t="s">
        <v>424</v>
      </c>
      <c r="D36" s="382">
        <f>D19</f>
        <v>76183840.341600135</v>
      </c>
    </row>
    <row r="38" spans="3:4">
      <c r="C38" s="383" t="s">
        <v>416</v>
      </c>
      <c r="D38" s="384">
        <v>119814461.02299999</v>
      </c>
    </row>
    <row r="39" spans="3:4">
      <c r="C39" s="383" t="s">
        <v>417</v>
      </c>
      <c r="D39" s="384">
        <v>82445820.211199999</v>
      </c>
    </row>
    <row r="41" spans="3:4">
      <c r="C41" s="383" t="s">
        <v>425</v>
      </c>
      <c r="D41" s="382">
        <f>D36+D38-D39</f>
        <v>113552481.15340012</v>
      </c>
    </row>
    <row r="43" spans="3:4">
      <c r="C43" s="383" t="s">
        <v>380</v>
      </c>
      <c r="D43" s="382">
        <f>D38-D39</f>
        <v>37368640.811799988</v>
      </c>
    </row>
    <row r="45" spans="3:4">
      <c r="C45" s="383" t="s">
        <v>419</v>
      </c>
      <c r="D45" s="382">
        <f>D23</f>
        <v>10</v>
      </c>
    </row>
    <row r="47" spans="3:4">
      <c r="C47" s="383" t="s">
        <v>420</v>
      </c>
      <c r="D47" s="382">
        <f>D45*D43</f>
        <v>373686408.11799991</v>
      </c>
    </row>
    <row r="49" spans="3:6">
      <c r="C49" s="383" t="s">
        <v>421</v>
      </c>
      <c r="D49" s="384">
        <v>1301902055.4399981</v>
      </c>
    </row>
    <row r="50" spans="3:6">
      <c r="C50" s="383" t="s">
        <v>422</v>
      </c>
      <c r="D50" s="384">
        <v>904086650.57000029</v>
      </c>
    </row>
    <row r="52" spans="3:6">
      <c r="C52" s="383" t="s">
        <v>423</v>
      </c>
      <c r="D52" s="382">
        <f>D49-D50</f>
        <v>397815404.86999786</v>
      </c>
    </row>
    <row r="54" spans="3:6">
      <c r="C54" s="383" t="s">
        <v>330</v>
      </c>
      <c r="D54" s="382">
        <f>D47-D52</f>
        <v>-24128996.751997948</v>
      </c>
      <c r="E54" s="384">
        <v>24125000</v>
      </c>
      <c r="F54" s="385">
        <f>D54+E54</f>
        <v>-3996.7519979476929</v>
      </c>
    </row>
    <row r="56" spans="3:6">
      <c r="C56" s="383" t="s">
        <v>426</v>
      </c>
      <c r="D56" s="385">
        <f>D54+D32</f>
        <v>-33506596.435993552</v>
      </c>
      <c r="E56" s="382">
        <f>E54+E32</f>
        <v>33507000</v>
      </c>
      <c r="F56" s="385">
        <f>D56+E56</f>
        <v>403.56400644779205</v>
      </c>
    </row>
    <row r="59" spans="3:6">
      <c r="C59" s="383" t="s">
        <v>423</v>
      </c>
      <c r="D59" s="382">
        <f>D52+D30</f>
        <v>1169031407.9699948</v>
      </c>
      <c r="E59" s="384">
        <v>1169031000</v>
      </c>
      <c r="F59" s="385">
        <f>D59-E59</f>
        <v>407.96999478340149</v>
      </c>
    </row>
  </sheetData>
  <mergeCells count="7">
    <mergeCell ref="B7:D7"/>
    <mergeCell ref="B1:D1"/>
    <mergeCell ref="B2:D2"/>
    <mergeCell ref="B3:D3"/>
    <mergeCell ref="B4:D4"/>
    <mergeCell ref="B5:D5"/>
    <mergeCell ref="B6:D6"/>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32"/>
  <sheetViews>
    <sheetView showGridLines="0" view="pageBreakPreview" topLeftCell="A2" zoomScaleNormal="100" zoomScaleSheetLayoutView="100" workbookViewId="0">
      <selection activeCell="B28" sqref="B28"/>
    </sheetView>
  </sheetViews>
  <sheetFormatPr defaultRowHeight="11.4"/>
  <cols>
    <col min="1" max="1" width="34.5" style="407" bestFit="1" customWidth="1"/>
    <col min="2" max="2" width="12.09765625" style="407" bestFit="1" customWidth="1"/>
    <col min="3" max="3" width="12.5" style="414" bestFit="1" customWidth="1"/>
    <col min="4" max="5" width="11.59765625" style="407" bestFit="1" customWidth="1"/>
    <col min="6" max="6" width="10.5" style="407" bestFit="1" customWidth="1"/>
    <col min="7" max="7" width="10.59765625" style="407" bestFit="1" customWidth="1"/>
    <col min="8" max="8" width="22.09765625" style="407" customWidth="1"/>
    <col min="9" max="255" width="9" style="407"/>
    <col min="256" max="256" width="48.59765625" style="407" customWidth="1"/>
    <col min="257" max="257" width="9.5" style="407" customWidth="1"/>
    <col min="258" max="258" width="13.09765625" style="407" bestFit="1" customWidth="1"/>
    <col min="259" max="261" width="0" style="407" hidden="1" customWidth="1"/>
    <col min="262" max="262" width="10.59765625" style="407" customWidth="1"/>
    <col min="263" max="511" width="9" style="407"/>
    <col min="512" max="512" width="48.59765625" style="407" customWidth="1"/>
    <col min="513" max="513" width="9.5" style="407" customWidth="1"/>
    <col min="514" max="514" width="13.09765625" style="407" bestFit="1" customWidth="1"/>
    <col min="515" max="517" width="0" style="407" hidden="1" customWidth="1"/>
    <col min="518" max="518" width="10.59765625" style="407" customWidth="1"/>
    <col min="519" max="767" width="9" style="407"/>
    <col min="768" max="768" width="48.59765625" style="407" customWidth="1"/>
    <col min="769" max="769" width="9.5" style="407" customWidth="1"/>
    <col min="770" max="770" width="13.09765625" style="407" bestFit="1" customWidth="1"/>
    <col min="771" max="773" width="0" style="407" hidden="1" customWidth="1"/>
    <col min="774" max="774" width="10.59765625" style="407" customWidth="1"/>
    <col min="775" max="1023" width="9" style="407"/>
    <col min="1024" max="1024" width="48.59765625" style="407" customWidth="1"/>
    <col min="1025" max="1025" width="9.5" style="407" customWidth="1"/>
    <col min="1026" max="1026" width="13.09765625" style="407" bestFit="1" customWidth="1"/>
    <col min="1027" max="1029" width="0" style="407" hidden="1" customWidth="1"/>
    <col min="1030" max="1030" width="10.59765625" style="407" customWidth="1"/>
    <col min="1031" max="1279" width="9" style="407"/>
    <col min="1280" max="1280" width="48.59765625" style="407" customWidth="1"/>
    <col min="1281" max="1281" width="9.5" style="407" customWidth="1"/>
    <col min="1282" max="1282" width="13.09765625" style="407" bestFit="1" customWidth="1"/>
    <col min="1283" max="1285" width="0" style="407" hidden="1" customWidth="1"/>
    <col min="1286" max="1286" width="10.59765625" style="407" customWidth="1"/>
    <col min="1287" max="1535" width="9" style="407"/>
    <col min="1536" max="1536" width="48.59765625" style="407" customWidth="1"/>
    <col min="1537" max="1537" width="9.5" style="407" customWidth="1"/>
    <col min="1538" max="1538" width="13.09765625" style="407" bestFit="1" customWidth="1"/>
    <col min="1539" max="1541" width="0" style="407" hidden="1" customWidth="1"/>
    <col min="1542" max="1542" width="10.59765625" style="407" customWidth="1"/>
    <col min="1543" max="1791" width="9" style="407"/>
    <col min="1792" max="1792" width="48.59765625" style="407" customWidth="1"/>
    <col min="1793" max="1793" width="9.5" style="407" customWidth="1"/>
    <col min="1794" max="1794" width="13.09765625" style="407" bestFit="1" customWidth="1"/>
    <col min="1795" max="1797" width="0" style="407" hidden="1" customWidth="1"/>
    <col min="1798" max="1798" width="10.59765625" style="407" customWidth="1"/>
    <col min="1799" max="2047" width="9" style="407"/>
    <col min="2048" max="2048" width="48.59765625" style="407" customWidth="1"/>
    <col min="2049" max="2049" width="9.5" style="407" customWidth="1"/>
    <col min="2050" max="2050" width="13.09765625" style="407" bestFit="1" customWidth="1"/>
    <col min="2051" max="2053" width="0" style="407" hidden="1" customWidth="1"/>
    <col min="2054" max="2054" width="10.59765625" style="407" customWidth="1"/>
    <col min="2055" max="2303" width="9" style="407"/>
    <col min="2304" max="2304" width="48.59765625" style="407" customWidth="1"/>
    <col min="2305" max="2305" width="9.5" style="407" customWidth="1"/>
    <col min="2306" max="2306" width="13.09765625" style="407" bestFit="1" customWidth="1"/>
    <col min="2307" max="2309" width="0" style="407" hidden="1" customWidth="1"/>
    <col min="2310" max="2310" width="10.59765625" style="407" customWidth="1"/>
    <col min="2311" max="2559" width="9" style="407"/>
    <col min="2560" max="2560" width="48.59765625" style="407" customWidth="1"/>
    <col min="2561" max="2561" width="9.5" style="407" customWidth="1"/>
    <col min="2562" max="2562" width="13.09765625" style="407" bestFit="1" customWidth="1"/>
    <col min="2563" max="2565" width="0" style="407" hidden="1" customWidth="1"/>
    <col min="2566" max="2566" width="10.59765625" style="407" customWidth="1"/>
    <col min="2567" max="2815" width="9" style="407"/>
    <col min="2816" max="2816" width="48.59765625" style="407" customWidth="1"/>
    <col min="2817" max="2817" width="9.5" style="407" customWidth="1"/>
    <col min="2818" max="2818" width="13.09765625" style="407" bestFit="1" customWidth="1"/>
    <col min="2819" max="2821" width="0" style="407" hidden="1" customWidth="1"/>
    <col min="2822" max="2822" width="10.59765625" style="407" customWidth="1"/>
    <col min="2823" max="3071" width="9" style="407"/>
    <col min="3072" max="3072" width="48.59765625" style="407" customWidth="1"/>
    <col min="3073" max="3073" width="9.5" style="407" customWidth="1"/>
    <col min="3074" max="3074" width="13.09765625" style="407" bestFit="1" customWidth="1"/>
    <col min="3075" max="3077" width="0" style="407" hidden="1" customWidth="1"/>
    <col min="3078" max="3078" width="10.59765625" style="407" customWidth="1"/>
    <col min="3079" max="3327" width="9" style="407"/>
    <col min="3328" max="3328" width="48.59765625" style="407" customWidth="1"/>
    <col min="3329" max="3329" width="9.5" style="407" customWidth="1"/>
    <col min="3330" max="3330" width="13.09765625" style="407" bestFit="1" customWidth="1"/>
    <col min="3331" max="3333" width="0" style="407" hidden="1" customWidth="1"/>
    <col min="3334" max="3334" width="10.59765625" style="407" customWidth="1"/>
    <col min="3335" max="3583" width="9" style="407"/>
    <col min="3584" max="3584" width="48.59765625" style="407" customWidth="1"/>
    <col min="3585" max="3585" width="9.5" style="407" customWidth="1"/>
    <col min="3586" max="3586" width="13.09765625" style="407" bestFit="1" customWidth="1"/>
    <col min="3587" max="3589" width="0" style="407" hidden="1" customWidth="1"/>
    <col min="3590" max="3590" width="10.59765625" style="407" customWidth="1"/>
    <col min="3591" max="3839" width="9" style="407"/>
    <col min="3840" max="3840" width="48.59765625" style="407" customWidth="1"/>
    <col min="3841" max="3841" width="9.5" style="407" customWidth="1"/>
    <col min="3842" max="3842" width="13.09765625" style="407" bestFit="1" customWidth="1"/>
    <col min="3843" max="3845" width="0" style="407" hidden="1" customWidth="1"/>
    <col min="3846" max="3846" width="10.59765625" style="407" customWidth="1"/>
    <col min="3847" max="4095" width="9" style="407"/>
    <col min="4096" max="4096" width="48.59765625" style="407" customWidth="1"/>
    <col min="4097" max="4097" width="9.5" style="407" customWidth="1"/>
    <col min="4098" max="4098" width="13.09765625" style="407" bestFit="1" customWidth="1"/>
    <col min="4099" max="4101" width="0" style="407" hidden="1" customWidth="1"/>
    <col min="4102" max="4102" width="10.59765625" style="407" customWidth="1"/>
    <col min="4103" max="4351" width="9" style="407"/>
    <col min="4352" max="4352" width="48.59765625" style="407" customWidth="1"/>
    <col min="4353" max="4353" width="9.5" style="407" customWidth="1"/>
    <col min="4354" max="4354" width="13.09765625" style="407" bestFit="1" customWidth="1"/>
    <col min="4355" max="4357" width="0" style="407" hidden="1" customWidth="1"/>
    <col min="4358" max="4358" width="10.59765625" style="407" customWidth="1"/>
    <col min="4359" max="4607" width="9" style="407"/>
    <col min="4608" max="4608" width="48.59765625" style="407" customWidth="1"/>
    <col min="4609" max="4609" width="9.5" style="407" customWidth="1"/>
    <col min="4610" max="4610" width="13.09765625" style="407" bestFit="1" customWidth="1"/>
    <col min="4611" max="4613" width="0" style="407" hidden="1" customWidth="1"/>
    <col min="4614" max="4614" width="10.59765625" style="407" customWidth="1"/>
    <col min="4615" max="4863" width="9" style="407"/>
    <col min="4864" max="4864" width="48.59765625" style="407" customWidth="1"/>
    <col min="4865" max="4865" width="9.5" style="407" customWidth="1"/>
    <col min="4866" max="4866" width="13.09765625" style="407" bestFit="1" customWidth="1"/>
    <col min="4867" max="4869" width="0" style="407" hidden="1" customWidth="1"/>
    <col min="4870" max="4870" width="10.59765625" style="407" customWidth="1"/>
    <col min="4871" max="5119" width="9" style="407"/>
    <col min="5120" max="5120" width="48.59765625" style="407" customWidth="1"/>
    <col min="5121" max="5121" width="9.5" style="407" customWidth="1"/>
    <col min="5122" max="5122" width="13.09765625" style="407" bestFit="1" customWidth="1"/>
    <col min="5123" max="5125" width="0" style="407" hidden="1" customWidth="1"/>
    <col min="5126" max="5126" width="10.59765625" style="407" customWidth="1"/>
    <col min="5127" max="5375" width="9" style="407"/>
    <col min="5376" max="5376" width="48.59765625" style="407" customWidth="1"/>
    <col min="5377" max="5377" width="9.5" style="407" customWidth="1"/>
    <col min="5378" max="5378" width="13.09765625" style="407" bestFit="1" customWidth="1"/>
    <col min="5379" max="5381" width="0" style="407" hidden="1" customWidth="1"/>
    <col min="5382" max="5382" width="10.59765625" style="407" customWidth="1"/>
    <col min="5383" max="5631" width="9" style="407"/>
    <col min="5632" max="5632" width="48.59765625" style="407" customWidth="1"/>
    <col min="5633" max="5633" width="9.5" style="407" customWidth="1"/>
    <col min="5634" max="5634" width="13.09765625" style="407" bestFit="1" customWidth="1"/>
    <col min="5635" max="5637" width="0" style="407" hidden="1" customWidth="1"/>
    <col min="5638" max="5638" width="10.59765625" style="407" customWidth="1"/>
    <col min="5639" max="5887" width="9" style="407"/>
    <col min="5888" max="5888" width="48.59765625" style="407" customWidth="1"/>
    <col min="5889" max="5889" width="9.5" style="407" customWidth="1"/>
    <col min="5890" max="5890" width="13.09765625" style="407" bestFit="1" customWidth="1"/>
    <col min="5891" max="5893" width="0" style="407" hidden="1" customWidth="1"/>
    <col min="5894" max="5894" width="10.59765625" style="407" customWidth="1"/>
    <col min="5895" max="6143" width="9" style="407"/>
    <col min="6144" max="6144" width="48.59765625" style="407" customWidth="1"/>
    <col min="6145" max="6145" width="9.5" style="407" customWidth="1"/>
    <col min="6146" max="6146" width="13.09765625" style="407" bestFit="1" customWidth="1"/>
    <col min="6147" max="6149" width="0" style="407" hidden="1" customWidth="1"/>
    <col min="6150" max="6150" width="10.59765625" style="407" customWidth="1"/>
    <col min="6151" max="6399" width="9" style="407"/>
    <col min="6400" max="6400" width="48.59765625" style="407" customWidth="1"/>
    <col min="6401" max="6401" width="9.5" style="407" customWidth="1"/>
    <col min="6402" max="6402" width="13.09765625" style="407" bestFit="1" customWidth="1"/>
    <col min="6403" max="6405" width="0" style="407" hidden="1" customWidth="1"/>
    <col min="6406" max="6406" width="10.59765625" style="407" customWidth="1"/>
    <col min="6407" max="6655" width="9" style="407"/>
    <col min="6656" max="6656" width="48.59765625" style="407" customWidth="1"/>
    <col min="6657" max="6657" width="9.5" style="407" customWidth="1"/>
    <col min="6658" max="6658" width="13.09765625" style="407" bestFit="1" customWidth="1"/>
    <col min="6659" max="6661" width="0" style="407" hidden="1" customWidth="1"/>
    <col min="6662" max="6662" width="10.59765625" style="407" customWidth="1"/>
    <col min="6663" max="6911" width="9" style="407"/>
    <col min="6912" max="6912" width="48.59765625" style="407" customWidth="1"/>
    <col min="6913" max="6913" width="9.5" style="407" customWidth="1"/>
    <col min="6914" max="6914" width="13.09765625" style="407" bestFit="1" customWidth="1"/>
    <col min="6915" max="6917" width="0" style="407" hidden="1" customWidth="1"/>
    <col min="6918" max="6918" width="10.59765625" style="407" customWidth="1"/>
    <col min="6919" max="7167" width="9" style="407"/>
    <col min="7168" max="7168" width="48.59765625" style="407" customWidth="1"/>
    <col min="7169" max="7169" width="9.5" style="407" customWidth="1"/>
    <col min="7170" max="7170" width="13.09765625" style="407" bestFit="1" customWidth="1"/>
    <col min="7171" max="7173" width="0" style="407" hidden="1" customWidth="1"/>
    <col min="7174" max="7174" width="10.59765625" style="407" customWidth="1"/>
    <col min="7175" max="7423" width="9" style="407"/>
    <col min="7424" max="7424" width="48.59765625" style="407" customWidth="1"/>
    <col min="7425" max="7425" width="9.5" style="407" customWidth="1"/>
    <col min="7426" max="7426" width="13.09765625" style="407" bestFit="1" customWidth="1"/>
    <col min="7427" max="7429" width="0" style="407" hidden="1" customWidth="1"/>
    <col min="7430" max="7430" width="10.59765625" style="407" customWidth="1"/>
    <col min="7431" max="7679" width="9" style="407"/>
    <col min="7680" max="7680" width="48.59765625" style="407" customWidth="1"/>
    <col min="7681" max="7681" width="9.5" style="407" customWidth="1"/>
    <col min="7682" max="7682" width="13.09765625" style="407" bestFit="1" customWidth="1"/>
    <col min="7683" max="7685" width="0" style="407" hidden="1" customWidth="1"/>
    <col min="7686" max="7686" width="10.59765625" style="407" customWidth="1"/>
    <col min="7687" max="7935" width="9" style="407"/>
    <col min="7936" max="7936" width="48.59765625" style="407" customWidth="1"/>
    <col min="7937" max="7937" width="9.5" style="407" customWidth="1"/>
    <col min="7938" max="7938" width="13.09765625" style="407" bestFit="1" customWidth="1"/>
    <col min="7939" max="7941" width="0" style="407" hidden="1" customWidth="1"/>
    <col min="7942" max="7942" width="10.59765625" style="407" customWidth="1"/>
    <col min="7943" max="8191" width="9" style="407"/>
    <col min="8192" max="8192" width="48.59765625" style="407" customWidth="1"/>
    <col min="8193" max="8193" width="9.5" style="407" customWidth="1"/>
    <col min="8194" max="8194" width="13.09765625" style="407" bestFit="1" customWidth="1"/>
    <col min="8195" max="8197" width="0" style="407" hidden="1" customWidth="1"/>
    <col min="8198" max="8198" width="10.59765625" style="407" customWidth="1"/>
    <col min="8199" max="8447" width="9" style="407"/>
    <col min="8448" max="8448" width="48.59765625" style="407" customWidth="1"/>
    <col min="8449" max="8449" width="9.5" style="407" customWidth="1"/>
    <col min="8450" max="8450" width="13.09765625" style="407" bestFit="1" customWidth="1"/>
    <col min="8451" max="8453" width="0" style="407" hidden="1" customWidth="1"/>
    <col min="8454" max="8454" width="10.59765625" style="407" customWidth="1"/>
    <col min="8455" max="8703" width="9" style="407"/>
    <col min="8704" max="8704" width="48.59765625" style="407" customWidth="1"/>
    <col min="8705" max="8705" width="9.5" style="407" customWidth="1"/>
    <col min="8706" max="8706" width="13.09765625" style="407" bestFit="1" customWidth="1"/>
    <col min="8707" max="8709" width="0" style="407" hidden="1" customWidth="1"/>
    <col min="8710" max="8710" width="10.59765625" style="407" customWidth="1"/>
    <col min="8711" max="8959" width="9" style="407"/>
    <col min="8960" max="8960" width="48.59765625" style="407" customWidth="1"/>
    <col min="8961" max="8961" width="9.5" style="407" customWidth="1"/>
    <col min="8962" max="8962" width="13.09765625" style="407" bestFit="1" customWidth="1"/>
    <col min="8963" max="8965" width="0" style="407" hidden="1" customWidth="1"/>
    <col min="8966" max="8966" width="10.59765625" style="407" customWidth="1"/>
    <col min="8967" max="9215" width="9" style="407"/>
    <col min="9216" max="9216" width="48.59765625" style="407" customWidth="1"/>
    <col min="9217" max="9217" width="9.5" style="407" customWidth="1"/>
    <col min="9218" max="9218" width="13.09765625" style="407" bestFit="1" customWidth="1"/>
    <col min="9219" max="9221" width="0" style="407" hidden="1" customWidth="1"/>
    <col min="9222" max="9222" width="10.59765625" style="407" customWidth="1"/>
    <col min="9223" max="9471" width="9" style="407"/>
    <col min="9472" max="9472" width="48.59765625" style="407" customWidth="1"/>
    <col min="9473" max="9473" width="9.5" style="407" customWidth="1"/>
    <col min="9474" max="9474" width="13.09765625" style="407" bestFit="1" customWidth="1"/>
    <col min="9475" max="9477" width="0" style="407" hidden="1" customWidth="1"/>
    <col min="9478" max="9478" width="10.59765625" style="407" customWidth="1"/>
    <col min="9479" max="9727" width="9" style="407"/>
    <col min="9728" max="9728" width="48.59765625" style="407" customWidth="1"/>
    <col min="9729" max="9729" width="9.5" style="407" customWidth="1"/>
    <col min="9730" max="9730" width="13.09765625" style="407" bestFit="1" customWidth="1"/>
    <col min="9731" max="9733" width="0" style="407" hidden="1" customWidth="1"/>
    <col min="9734" max="9734" width="10.59765625" style="407" customWidth="1"/>
    <col min="9735" max="9983" width="9" style="407"/>
    <col min="9984" max="9984" width="48.59765625" style="407" customWidth="1"/>
    <col min="9985" max="9985" width="9.5" style="407" customWidth="1"/>
    <col min="9986" max="9986" width="13.09765625" style="407" bestFit="1" customWidth="1"/>
    <col min="9987" max="9989" width="0" style="407" hidden="1" customWidth="1"/>
    <col min="9990" max="9990" width="10.59765625" style="407" customWidth="1"/>
    <col min="9991" max="10239" width="9" style="407"/>
    <col min="10240" max="10240" width="48.59765625" style="407" customWidth="1"/>
    <col min="10241" max="10241" width="9.5" style="407" customWidth="1"/>
    <col min="10242" max="10242" width="13.09765625" style="407" bestFit="1" customWidth="1"/>
    <col min="10243" max="10245" width="0" style="407" hidden="1" customWidth="1"/>
    <col min="10246" max="10246" width="10.59765625" style="407" customWidth="1"/>
    <col min="10247" max="10495" width="9" style="407"/>
    <col min="10496" max="10496" width="48.59765625" style="407" customWidth="1"/>
    <col min="10497" max="10497" width="9.5" style="407" customWidth="1"/>
    <col min="10498" max="10498" width="13.09765625" style="407" bestFit="1" customWidth="1"/>
    <col min="10499" max="10501" width="0" style="407" hidden="1" customWidth="1"/>
    <col min="10502" max="10502" width="10.59765625" style="407" customWidth="1"/>
    <col min="10503" max="10751" width="9" style="407"/>
    <col min="10752" max="10752" width="48.59765625" style="407" customWidth="1"/>
    <col min="10753" max="10753" width="9.5" style="407" customWidth="1"/>
    <col min="10754" max="10754" width="13.09765625" style="407" bestFit="1" customWidth="1"/>
    <col min="10755" max="10757" width="0" style="407" hidden="1" customWidth="1"/>
    <col min="10758" max="10758" width="10.59765625" style="407" customWidth="1"/>
    <col min="10759" max="11007" width="9" style="407"/>
    <col min="11008" max="11008" width="48.59765625" style="407" customWidth="1"/>
    <col min="11009" max="11009" width="9.5" style="407" customWidth="1"/>
    <col min="11010" max="11010" width="13.09765625" style="407" bestFit="1" customWidth="1"/>
    <col min="11011" max="11013" width="0" style="407" hidden="1" customWidth="1"/>
    <col min="11014" max="11014" width="10.59765625" style="407" customWidth="1"/>
    <col min="11015" max="11263" width="9" style="407"/>
    <col min="11264" max="11264" width="48.59765625" style="407" customWidth="1"/>
    <col min="11265" max="11265" width="9.5" style="407" customWidth="1"/>
    <col min="11266" max="11266" width="13.09765625" style="407" bestFit="1" customWidth="1"/>
    <col min="11267" max="11269" width="0" style="407" hidden="1" customWidth="1"/>
    <col min="11270" max="11270" width="10.59765625" style="407" customWidth="1"/>
    <col min="11271" max="11519" width="9" style="407"/>
    <col min="11520" max="11520" width="48.59765625" style="407" customWidth="1"/>
    <col min="11521" max="11521" width="9.5" style="407" customWidth="1"/>
    <col min="11522" max="11522" width="13.09765625" style="407" bestFit="1" customWidth="1"/>
    <col min="11523" max="11525" width="0" style="407" hidden="1" customWidth="1"/>
    <col min="11526" max="11526" width="10.59765625" style="407" customWidth="1"/>
    <col min="11527" max="11775" width="9" style="407"/>
    <col min="11776" max="11776" width="48.59765625" style="407" customWidth="1"/>
    <col min="11777" max="11777" width="9.5" style="407" customWidth="1"/>
    <col min="11778" max="11778" width="13.09765625" style="407" bestFit="1" customWidth="1"/>
    <col min="11779" max="11781" width="0" style="407" hidden="1" customWidth="1"/>
    <col min="11782" max="11782" width="10.59765625" style="407" customWidth="1"/>
    <col min="11783" max="12031" width="9" style="407"/>
    <col min="12032" max="12032" width="48.59765625" style="407" customWidth="1"/>
    <col min="12033" max="12033" width="9.5" style="407" customWidth="1"/>
    <col min="12034" max="12034" width="13.09765625" style="407" bestFit="1" customWidth="1"/>
    <col min="12035" max="12037" width="0" style="407" hidden="1" customWidth="1"/>
    <col min="12038" max="12038" width="10.59765625" style="407" customWidth="1"/>
    <col min="12039" max="12287" width="9" style="407"/>
    <col min="12288" max="12288" width="48.59765625" style="407" customWidth="1"/>
    <col min="12289" max="12289" width="9.5" style="407" customWidth="1"/>
    <col min="12290" max="12290" width="13.09765625" style="407" bestFit="1" customWidth="1"/>
    <col min="12291" max="12293" width="0" style="407" hidden="1" customWidth="1"/>
    <col min="12294" max="12294" width="10.59765625" style="407" customWidth="1"/>
    <col min="12295" max="12543" width="9" style="407"/>
    <col min="12544" max="12544" width="48.59765625" style="407" customWidth="1"/>
    <col min="12545" max="12545" width="9.5" style="407" customWidth="1"/>
    <col min="12546" max="12546" width="13.09765625" style="407" bestFit="1" customWidth="1"/>
    <col min="12547" max="12549" width="0" style="407" hidden="1" customWidth="1"/>
    <col min="12550" max="12550" width="10.59765625" style="407" customWidth="1"/>
    <col min="12551" max="12799" width="9" style="407"/>
    <col min="12800" max="12800" width="48.59765625" style="407" customWidth="1"/>
    <col min="12801" max="12801" width="9.5" style="407" customWidth="1"/>
    <col min="12802" max="12802" width="13.09765625" style="407" bestFit="1" customWidth="1"/>
    <col min="12803" max="12805" width="0" style="407" hidden="1" customWidth="1"/>
    <col min="12806" max="12806" width="10.59765625" style="407" customWidth="1"/>
    <col min="12807" max="13055" width="9" style="407"/>
    <col min="13056" max="13056" width="48.59765625" style="407" customWidth="1"/>
    <col min="13057" max="13057" width="9.5" style="407" customWidth="1"/>
    <col min="13058" max="13058" width="13.09765625" style="407" bestFit="1" customWidth="1"/>
    <col min="13059" max="13061" width="0" style="407" hidden="1" customWidth="1"/>
    <col min="13062" max="13062" width="10.59765625" style="407" customWidth="1"/>
    <col min="13063" max="13311" width="9" style="407"/>
    <col min="13312" max="13312" width="48.59765625" style="407" customWidth="1"/>
    <col min="13313" max="13313" width="9.5" style="407" customWidth="1"/>
    <col min="13314" max="13314" width="13.09765625" style="407" bestFit="1" customWidth="1"/>
    <col min="13315" max="13317" width="0" style="407" hidden="1" customWidth="1"/>
    <col min="13318" max="13318" width="10.59765625" style="407" customWidth="1"/>
    <col min="13319" max="13567" width="9" style="407"/>
    <col min="13568" max="13568" width="48.59765625" style="407" customWidth="1"/>
    <col min="13569" max="13569" width="9.5" style="407" customWidth="1"/>
    <col min="13570" max="13570" width="13.09765625" style="407" bestFit="1" customWidth="1"/>
    <col min="13571" max="13573" width="0" style="407" hidden="1" customWidth="1"/>
    <col min="13574" max="13574" width="10.59765625" style="407" customWidth="1"/>
    <col min="13575" max="13823" width="9" style="407"/>
    <col min="13824" max="13824" width="48.59765625" style="407" customWidth="1"/>
    <col min="13825" max="13825" width="9.5" style="407" customWidth="1"/>
    <col min="13826" max="13826" width="13.09765625" style="407" bestFit="1" customWidth="1"/>
    <col min="13827" max="13829" width="0" style="407" hidden="1" customWidth="1"/>
    <col min="13830" max="13830" width="10.59765625" style="407" customWidth="1"/>
    <col min="13831" max="14079" width="9" style="407"/>
    <col min="14080" max="14080" width="48.59765625" style="407" customWidth="1"/>
    <col min="14081" max="14081" width="9.5" style="407" customWidth="1"/>
    <col min="14082" max="14082" width="13.09765625" style="407" bestFit="1" customWidth="1"/>
    <col min="14083" max="14085" width="0" style="407" hidden="1" customWidth="1"/>
    <col min="14086" max="14086" width="10.59765625" style="407" customWidth="1"/>
    <col min="14087" max="14335" width="9" style="407"/>
    <col min="14336" max="14336" width="48.59765625" style="407" customWidth="1"/>
    <col min="14337" max="14337" width="9.5" style="407" customWidth="1"/>
    <col min="14338" max="14338" width="13.09765625" style="407" bestFit="1" customWidth="1"/>
    <col min="14339" max="14341" width="0" style="407" hidden="1" customWidth="1"/>
    <col min="14342" max="14342" width="10.59765625" style="407" customWidth="1"/>
    <col min="14343" max="14591" width="9" style="407"/>
    <col min="14592" max="14592" width="48.59765625" style="407" customWidth="1"/>
    <col min="14593" max="14593" width="9.5" style="407" customWidth="1"/>
    <col min="14594" max="14594" width="13.09765625" style="407" bestFit="1" customWidth="1"/>
    <col min="14595" max="14597" width="0" style="407" hidden="1" customWidth="1"/>
    <col min="14598" max="14598" width="10.59765625" style="407" customWidth="1"/>
    <col min="14599" max="14847" width="9" style="407"/>
    <col min="14848" max="14848" width="48.59765625" style="407" customWidth="1"/>
    <col min="14849" max="14849" width="9.5" style="407" customWidth="1"/>
    <col min="14850" max="14850" width="13.09765625" style="407" bestFit="1" customWidth="1"/>
    <col min="14851" max="14853" width="0" style="407" hidden="1" customWidth="1"/>
    <col min="14854" max="14854" width="10.59765625" style="407" customWidth="1"/>
    <col min="14855" max="15103" width="9" style="407"/>
    <col min="15104" max="15104" width="48.59765625" style="407" customWidth="1"/>
    <col min="15105" max="15105" width="9.5" style="407" customWidth="1"/>
    <col min="15106" max="15106" width="13.09765625" style="407" bestFit="1" customWidth="1"/>
    <col min="15107" max="15109" width="0" style="407" hidden="1" customWidth="1"/>
    <col min="15110" max="15110" width="10.59765625" style="407" customWidth="1"/>
    <col min="15111" max="15359" width="9" style="407"/>
    <col min="15360" max="15360" width="48.59765625" style="407" customWidth="1"/>
    <col min="15361" max="15361" width="9.5" style="407" customWidth="1"/>
    <col min="15362" max="15362" width="13.09765625" style="407" bestFit="1" customWidth="1"/>
    <col min="15363" max="15365" width="0" style="407" hidden="1" customWidth="1"/>
    <col min="15366" max="15366" width="10.59765625" style="407" customWidth="1"/>
    <col min="15367" max="15615" width="9" style="407"/>
    <col min="15616" max="15616" width="48.59765625" style="407" customWidth="1"/>
    <col min="15617" max="15617" width="9.5" style="407" customWidth="1"/>
    <col min="15618" max="15618" width="13.09765625" style="407" bestFit="1" customWidth="1"/>
    <col min="15619" max="15621" width="0" style="407" hidden="1" customWidth="1"/>
    <col min="15622" max="15622" width="10.59765625" style="407" customWidth="1"/>
    <col min="15623" max="15871" width="9" style="407"/>
    <col min="15872" max="15872" width="48.59765625" style="407" customWidth="1"/>
    <col min="15873" max="15873" width="9.5" style="407" customWidth="1"/>
    <col min="15874" max="15874" width="13.09765625" style="407" bestFit="1" customWidth="1"/>
    <col min="15875" max="15877" width="0" style="407" hidden="1" customWidth="1"/>
    <col min="15878" max="15878" width="10.59765625" style="407" customWidth="1"/>
    <col min="15879" max="16127" width="9" style="407"/>
    <col min="16128" max="16128" width="48.59765625" style="407" customWidth="1"/>
    <col min="16129" max="16129" width="9.5" style="407" customWidth="1"/>
    <col min="16130" max="16130" width="13.09765625" style="407" bestFit="1" customWidth="1"/>
    <col min="16131" max="16133" width="0" style="407" hidden="1" customWidth="1"/>
    <col min="16134" max="16134" width="10.59765625" style="407" customWidth="1"/>
    <col min="16135" max="16384" width="9" style="407"/>
  </cols>
  <sheetData>
    <row r="1" spans="1:8">
      <c r="A1" s="404" t="str">
        <f>CFs!A1</f>
        <v>MCB PAKISTAN STOCK MARKET FUND</v>
      </c>
      <c r="B1" s="404"/>
      <c r="C1" s="405"/>
      <c r="D1" s="406"/>
      <c r="E1" s="406"/>
      <c r="F1" s="406"/>
    </row>
    <row r="2" spans="1:8">
      <c r="A2" s="404" t="s">
        <v>527</v>
      </c>
      <c r="B2" s="404"/>
      <c r="C2" s="405"/>
      <c r="D2" s="406"/>
      <c r="E2" s="406"/>
      <c r="F2" s="406"/>
    </row>
    <row r="3" spans="1:8">
      <c r="A3" s="404" t="s">
        <v>346</v>
      </c>
      <c r="B3" s="404"/>
      <c r="C3" s="405"/>
      <c r="D3" s="406"/>
      <c r="E3" s="406"/>
      <c r="F3" s="406"/>
    </row>
    <row r="4" spans="1:8" ht="12" thickBot="1">
      <c r="C4" s="405"/>
      <c r="D4" s="406"/>
      <c r="E4" s="406"/>
      <c r="F4" s="406"/>
    </row>
    <row r="5" spans="1:8" ht="34.799999999999997" thickBot="1">
      <c r="A5" s="402" t="s">
        <v>262</v>
      </c>
      <c r="B5" s="403" t="s">
        <v>524</v>
      </c>
      <c r="C5" s="403" t="s">
        <v>525</v>
      </c>
      <c r="D5" s="403" t="s">
        <v>537</v>
      </c>
      <c r="E5" s="402" t="s">
        <v>538</v>
      </c>
      <c r="F5" s="402" t="s">
        <v>539</v>
      </c>
      <c r="G5" s="402" t="s">
        <v>526</v>
      </c>
      <c r="H5" s="402" t="s">
        <v>540</v>
      </c>
    </row>
    <row r="6" spans="1:8">
      <c r="A6" s="408"/>
      <c r="B6" s="2705" t="s">
        <v>541</v>
      </c>
      <c r="C6" s="2705"/>
      <c r="D6" s="2705"/>
      <c r="E6" s="2705"/>
      <c r="F6" s="2705"/>
    </row>
    <row r="7" spans="1:8">
      <c r="A7" s="408" t="s">
        <v>452</v>
      </c>
      <c r="B7" s="408"/>
      <c r="C7" s="409"/>
      <c r="D7" s="410"/>
      <c r="E7" s="410"/>
      <c r="F7" s="410"/>
    </row>
    <row r="8" spans="1:8">
      <c r="A8" s="407" t="s">
        <v>454</v>
      </c>
      <c r="B8" s="419">
        <v>1726003</v>
      </c>
      <c r="C8" s="420">
        <v>5583476</v>
      </c>
      <c r="D8" s="420">
        <f t="shared" ref="D8:D13" si="0">B8-C8</f>
        <v>-3857473</v>
      </c>
      <c r="E8" s="420">
        <v>3857473</v>
      </c>
      <c r="F8" s="420">
        <f t="shared" ref="F8:F13" si="1">E8+D8</f>
        <v>0</v>
      </c>
      <c r="G8" s="421">
        <v>42193</v>
      </c>
      <c r="H8" s="2706" t="s">
        <v>543</v>
      </c>
    </row>
    <row r="9" spans="1:8">
      <c r="A9" s="411" t="s">
        <v>457</v>
      </c>
      <c r="B9" s="419">
        <v>504781</v>
      </c>
      <c r="C9" s="420">
        <v>1238025</v>
      </c>
      <c r="D9" s="420">
        <f t="shared" si="0"/>
        <v>-733244</v>
      </c>
      <c r="E9" s="420">
        <v>733244</v>
      </c>
      <c r="F9" s="420">
        <f t="shared" si="1"/>
        <v>0</v>
      </c>
      <c r="G9" s="421">
        <v>42195</v>
      </c>
      <c r="H9" s="2707"/>
    </row>
    <row r="10" spans="1:8">
      <c r="A10" s="411" t="s">
        <v>458</v>
      </c>
      <c r="B10" s="419">
        <v>0</v>
      </c>
      <c r="C10" s="420">
        <v>67131</v>
      </c>
      <c r="D10" s="420">
        <f t="shared" si="0"/>
        <v>-67131</v>
      </c>
      <c r="E10" s="420">
        <v>67131</v>
      </c>
      <c r="F10" s="420">
        <f t="shared" si="1"/>
        <v>0</v>
      </c>
      <c r="G10" s="421">
        <v>42194</v>
      </c>
      <c r="H10" s="2707"/>
    </row>
    <row r="11" spans="1:8">
      <c r="A11" s="411" t="s">
        <v>459</v>
      </c>
      <c r="B11" s="419">
        <v>0</v>
      </c>
      <c r="C11" s="420">
        <v>461606</v>
      </c>
      <c r="D11" s="420">
        <f t="shared" si="0"/>
        <v>-461606</v>
      </c>
      <c r="E11" s="420">
        <v>461606</v>
      </c>
      <c r="F11" s="420">
        <f t="shared" si="1"/>
        <v>0</v>
      </c>
      <c r="G11" s="421">
        <v>42194</v>
      </c>
      <c r="H11" s="2707"/>
    </row>
    <row r="12" spans="1:8">
      <c r="A12" s="411" t="s">
        <v>460</v>
      </c>
      <c r="B12" s="419">
        <v>30261053</v>
      </c>
      <c r="C12" s="420">
        <v>53058700</v>
      </c>
      <c r="D12" s="420">
        <f t="shared" si="0"/>
        <v>-22797647</v>
      </c>
      <c r="E12" s="420">
        <v>22710567</v>
      </c>
      <c r="F12" s="420">
        <f t="shared" si="1"/>
        <v>-87080</v>
      </c>
      <c r="G12" s="421">
        <v>42193</v>
      </c>
      <c r="H12" s="2708"/>
    </row>
    <row r="13" spans="1:8">
      <c r="A13" s="407" t="s">
        <v>522</v>
      </c>
      <c r="B13" s="419">
        <v>0</v>
      </c>
      <c r="C13" s="420">
        <v>537077.16</v>
      </c>
      <c r="D13" s="420">
        <f t="shared" si="0"/>
        <v>-537077.16</v>
      </c>
      <c r="E13" s="420"/>
      <c r="F13" s="420">
        <f t="shared" si="1"/>
        <v>-537077.16</v>
      </c>
      <c r="G13" s="422"/>
      <c r="H13" s="422"/>
    </row>
    <row r="14" spans="1:8">
      <c r="A14" s="408"/>
      <c r="B14" s="424">
        <f>SUM(B8:B13)</f>
        <v>32491837</v>
      </c>
      <c r="C14" s="425">
        <f>SUM(C8:C13)</f>
        <v>60946015.159999996</v>
      </c>
      <c r="D14" s="425">
        <f>SUM(D8:D13)</f>
        <v>-28454178.16</v>
      </c>
      <c r="E14" s="425">
        <f>SUM(E8:E13)</f>
        <v>27830021</v>
      </c>
      <c r="F14" s="412"/>
    </row>
    <row r="15" spans="1:8">
      <c r="C15" s="413"/>
      <c r="D15" s="405"/>
      <c r="E15" s="405"/>
      <c r="F15" s="405"/>
    </row>
    <row r="16" spans="1:8">
      <c r="A16" s="408" t="s">
        <v>453</v>
      </c>
      <c r="C16" s="413"/>
      <c r="D16" s="405"/>
      <c r="E16" s="405"/>
      <c r="F16" s="405"/>
    </row>
    <row r="17" spans="1:19">
      <c r="A17" s="411" t="s">
        <v>455</v>
      </c>
      <c r="B17" s="419">
        <v>749181934</v>
      </c>
      <c r="C17" s="420">
        <v>655511128</v>
      </c>
      <c r="D17" s="420">
        <f>B17-C17</f>
        <v>93670806</v>
      </c>
      <c r="E17" s="420">
        <v>92143967</v>
      </c>
      <c r="F17" s="420">
        <f>E17-D17</f>
        <v>-1526839</v>
      </c>
      <c r="G17" s="421">
        <v>42193</v>
      </c>
      <c r="H17" s="423" t="s">
        <v>543</v>
      </c>
      <c r="I17" s="416"/>
      <c r="J17" s="416"/>
      <c r="K17" s="416"/>
      <c r="L17" s="416"/>
      <c r="M17" s="416"/>
      <c r="N17" s="416"/>
      <c r="O17" s="416"/>
      <c r="P17" s="416"/>
      <c r="Q17" s="416"/>
      <c r="R17" s="416"/>
      <c r="S17" s="416"/>
    </row>
    <row r="18" spans="1:19">
      <c r="A18" s="411" t="s">
        <v>456</v>
      </c>
      <c r="B18" s="419">
        <v>4397494</v>
      </c>
      <c r="C18" s="420">
        <v>412112</v>
      </c>
      <c r="D18" s="420">
        <f>B18-C18</f>
        <v>3985382</v>
      </c>
      <c r="E18" s="420">
        <v>3983652</v>
      </c>
      <c r="F18" s="420">
        <f>E18-D18</f>
        <v>-1730</v>
      </c>
      <c r="G18" s="421">
        <v>42193</v>
      </c>
      <c r="H18" s="423" t="s">
        <v>397</v>
      </c>
      <c r="I18" s="416"/>
      <c r="J18" s="416"/>
      <c r="K18" s="416"/>
      <c r="L18" s="416"/>
      <c r="M18" s="416"/>
      <c r="N18" s="416"/>
      <c r="O18" s="416"/>
      <c r="P18" s="416"/>
      <c r="Q18" s="416"/>
      <c r="R18" s="416"/>
      <c r="S18" s="416"/>
    </row>
    <row r="19" spans="1:19">
      <c r="B19" s="425">
        <f>SUM(B17:B18)</f>
        <v>753579428</v>
      </c>
      <c r="C19" s="425">
        <f>SUM(C17:C18)</f>
        <v>655923240</v>
      </c>
      <c r="D19" s="425">
        <f>SUM(D17:D18)</f>
        <v>97656188</v>
      </c>
      <c r="E19" s="425">
        <f>SUM(E17:E18)</f>
        <v>96127619</v>
      </c>
      <c r="F19" s="412"/>
      <c r="H19" s="415"/>
      <c r="I19" s="416"/>
      <c r="J19" s="416"/>
      <c r="K19" s="416"/>
      <c r="L19" s="416"/>
      <c r="M19" s="416"/>
      <c r="N19" s="416"/>
      <c r="O19" s="416"/>
      <c r="P19" s="416"/>
      <c r="Q19" s="416"/>
      <c r="R19" s="416"/>
      <c r="S19" s="416"/>
    </row>
    <row r="20" spans="1:19">
      <c r="H20" s="415"/>
      <c r="I20" s="416"/>
      <c r="J20" s="416"/>
      <c r="K20" s="416"/>
      <c r="L20" s="416"/>
      <c r="M20" s="416"/>
      <c r="N20" s="416"/>
      <c r="O20" s="416"/>
      <c r="P20" s="416"/>
      <c r="Q20" s="416"/>
      <c r="R20" s="416"/>
      <c r="S20" s="416"/>
    </row>
    <row r="21" spans="1:19">
      <c r="A21" s="411"/>
      <c r="B21" s="396"/>
      <c r="C21" s="405"/>
      <c r="D21" s="405"/>
      <c r="E21" s="405"/>
      <c r="F21" s="405"/>
      <c r="H21" s="415"/>
      <c r="I21" s="416"/>
      <c r="J21" s="416"/>
      <c r="K21" s="416"/>
      <c r="L21" s="416"/>
      <c r="M21" s="416"/>
      <c r="N21" s="416"/>
      <c r="O21" s="416"/>
      <c r="P21" s="416"/>
      <c r="Q21" s="416"/>
      <c r="R21" s="416"/>
      <c r="S21" s="416"/>
    </row>
    <row r="22" spans="1:19" ht="12" thickBot="1">
      <c r="A22" s="408" t="s">
        <v>523</v>
      </c>
      <c r="B22" s="417">
        <f>B19+B14</f>
        <v>786071265</v>
      </c>
      <c r="C22" s="417">
        <f>C19+C14</f>
        <v>716869255.15999997</v>
      </c>
      <c r="D22" s="417">
        <f>D19+D14</f>
        <v>69202009.840000004</v>
      </c>
      <c r="E22" s="417">
        <f>E19+E14</f>
        <v>123957640</v>
      </c>
      <c r="F22" s="405"/>
      <c r="H22" s="414"/>
    </row>
    <row r="23" spans="1:19" ht="12" thickTop="1">
      <c r="B23" s="418"/>
      <c r="C23" s="405"/>
      <c r="D23" s="405"/>
      <c r="E23" s="405"/>
      <c r="F23" s="405"/>
      <c r="H23" s="415"/>
      <c r="I23" s="416"/>
      <c r="J23" s="416"/>
      <c r="K23" s="416"/>
      <c r="L23" s="416"/>
      <c r="M23" s="416"/>
      <c r="N23" s="416"/>
    </row>
    <row r="24" spans="1:19">
      <c r="A24" s="408" t="s">
        <v>542</v>
      </c>
      <c r="B24" s="426">
        <f>ROUND('Trial Balance'!D25+'Trial Balance'!D27,0)</f>
        <v>786071265</v>
      </c>
      <c r="C24" s="427">
        <f>-'Trial Balance'!D51</f>
        <v>716869220</v>
      </c>
      <c r="D24" s="405"/>
      <c r="E24" s="405"/>
      <c r="F24" s="405"/>
      <c r="H24" s="415"/>
      <c r="I24" s="416"/>
      <c r="J24" s="416"/>
      <c r="K24" s="416"/>
      <c r="L24" s="416"/>
      <c r="M24" s="416"/>
      <c r="N24" s="416"/>
    </row>
    <row r="25" spans="1:19">
      <c r="A25" s="408" t="s">
        <v>21</v>
      </c>
      <c r="B25" s="428">
        <f>B22-B24</f>
        <v>0</v>
      </c>
      <c r="C25" s="428">
        <f>C24-C22</f>
        <v>-35.159999966621399</v>
      </c>
      <c r="D25" s="405"/>
      <c r="E25" s="405"/>
      <c r="F25" s="405"/>
      <c r="H25" s="415"/>
      <c r="I25" s="416"/>
      <c r="J25" s="416"/>
      <c r="K25" s="416"/>
      <c r="L25" s="416"/>
      <c r="M25" s="416"/>
      <c r="N25" s="416"/>
    </row>
    <row r="26" spans="1:19" ht="12" thickBot="1">
      <c r="H26" s="415"/>
      <c r="I26" s="416"/>
      <c r="J26" s="416"/>
      <c r="K26" s="416"/>
      <c r="L26" s="416"/>
      <c r="M26" s="416"/>
      <c r="N26" s="416"/>
    </row>
    <row r="27" spans="1:19" ht="12" thickBot="1">
      <c r="A27" s="402" t="s">
        <v>544</v>
      </c>
      <c r="B27" s="402" t="s">
        <v>58</v>
      </c>
      <c r="H27" s="415"/>
      <c r="I27" s="416"/>
      <c r="J27" s="416"/>
      <c r="K27" s="416"/>
      <c r="L27" s="416"/>
      <c r="M27" s="416"/>
      <c r="N27" s="416"/>
    </row>
    <row r="28" spans="1:19">
      <c r="A28" s="407" t="s">
        <v>545</v>
      </c>
      <c r="B28" s="406">
        <f>ROUND((D14*-1),0)+D19</f>
        <v>126110366</v>
      </c>
      <c r="H28" s="415"/>
      <c r="I28" s="416"/>
      <c r="J28" s="416"/>
      <c r="K28" s="416"/>
      <c r="L28" s="416"/>
      <c r="M28" s="416"/>
      <c r="N28" s="416"/>
    </row>
    <row r="29" spans="1:19">
      <c r="A29" s="407" t="s">
        <v>546</v>
      </c>
      <c r="B29" s="418">
        <f>E22</f>
        <v>123957640</v>
      </c>
      <c r="H29" s="415"/>
      <c r="I29" s="416"/>
      <c r="J29" s="416"/>
      <c r="K29" s="416"/>
      <c r="L29" s="416"/>
      <c r="M29" s="416"/>
      <c r="N29" s="416"/>
    </row>
    <row r="30" spans="1:19" ht="12" thickBot="1">
      <c r="A30" s="407" t="s">
        <v>547</v>
      </c>
      <c r="B30" s="429">
        <f>B28-B29</f>
        <v>2152726</v>
      </c>
      <c r="H30" s="415"/>
      <c r="I30" s="416"/>
      <c r="J30" s="416"/>
      <c r="K30" s="416"/>
      <c r="L30" s="416"/>
      <c r="M30" s="416"/>
      <c r="N30" s="416"/>
    </row>
    <row r="31" spans="1:19" ht="12" thickTop="1">
      <c r="A31" s="407" t="s">
        <v>548</v>
      </c>
      <c r="B31" s="430">
        <f>B29/B28</f>
        <v>0.98292982513427962</v>
      </c>
      <c r="H31" s="415"/>
      <c r="I31" s="416"/>
      <c r="J31" s="416"/>
      <c r="K31" s="416"/>
      <c r="L31" s="416"/>
      <c r="M31" s="416"/>
      <c r="N31" s="416"/>
    </row>
    <row r="32" spans="1:19">
      <c r="A32" s="407" t="s">
        <v>549</v>
      </c>
      <c r="B32" s="430">
        <f>B30/B28</f>
        <v>1.7070174865720395E-2</v>
      </c>
    </row>
  </sheetData>
  <mergeCells count="2">
    <mergeCell ref="B6:F6"/>
    <mergeCell ref="H8:H12"/>
  </mergeCells>
  <printOptions horizontalCentered="1"/>
  <pageMargins left="0.75" right="0.5" top="0.5" bottom="0.4" header="0.28999999999999998" footer="0.5"/>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81"/>
  <sheetViews>
    <sheetView topLeftCell="A64" workbookViewId="0">
      <selection activeCell="C16" sqref="C16"/>
    </sheetView>
  </sheetViews>
  <sheetFormatPr defaultColWidth="9" defaultRowHeight="11.4"/>
  <cols>
    <col min="1" max="1" width="26.59765625" style="450" customWidth="1"/>
    <col min="2" max="2" width="41.09765625" style="450" bestFit="1" customWidth="1"/>
    <col min="3" max="3" width="40.59765625" style="450" bestFit="1" customWidth="1"/>
    <col min="4" max="4" width="15.59765625" style="365" bestFit="1" customWidth="1"/>
    <col min="5" max="5" width="13.09765625" style="365" customWidth="1"/>
    <col min="6" max="6" width="14.59765625" style="365" customWidth="1"/>
    <col min="7" max="7" width="9.59765625" style="365" bestFit="1" customWidth="1"/>
    <col min="8" max="16384" width="9" style="365"/>
  </cols>
  <sheetData>
    <row r="1" spans="1:7">
      <c r="D1" s="451"/>
      <c r="E1" s="451"/>
    </row>
    <row r="2" spans="1:7">
      <c r="A2" s="452"/>
      <c r="B2" s="453"/>
      <c r="C2" s="364"/>
      <c r="D2" s="364"/>
      <c r="E2" s="364"/>
    </row>
    <row r="3" spans="1:7">
      <c r="A3" s="452">
        <v>1010201010101</v>
      </c>
      <c r="B3" s="453" t="s">
        <v>106</v>
      </c>
      <c r="C3" s="364" t="s">
        <v>274</v>
      </c>
      <c r="D3" s="364">
        <v>102500</v>
      </c>
      <c r="E3" s="364">
        <f t="shared" ref="E3:E9" si="0">ROUND(D3/1000,0)</f>
        <v>103</v>
      </c>
      <c r="G3" s="365" t="s">
        <v>50</v>
      </c>
    </row>
    <row r="4" spans="1:7">
      <c r="A4" s="452">
        <v>1010201010102</v>
      </c>
      <c r="B4" s="453" t="s">
        <v>105</v>
      </c>
      <c r="C4" s="364" t="s">
        <v>274</v>
      </c>
      <c r="D4" s="364">
        <v>2530000</v>
      </c>
      <c r="E4" s="364">
        <f t="shared" si="0"/>
        <v>2530</v>
      </c>
      <c r="F4" s="366">
        <f>SUM(E3:E4)</f>
        <v>2633</v>
      </c>
      <c r="G4" s="365" t="s">
        <v>50</v>
      </c>
    </row>
    <row r="5" spans="1:7">
      <c r="A5" s="452">
        <v>1020101010101</v>
      </c>
      <c r="B5" s="453" t="s">
        <v>104</v>
      </c>
      <c r="C5" s="364" t="s">
        <v>112</v>
      </c>
      <c r="D5" s="364">
        <v>1061805518.4299999</v>
      </c>
      <c r="E5" s="364">
        <f t="shared" si="0"/>
        <v>1061806</v>
      </c>
      <c r="F5" s="366"/>
      <c r="G5" s="365" t="s">
        <v>50</v>
      </c>
    </row>
    <row r="6" spans="1:7">
      <c r="A6" s="452">
        <v>1020201010125</v>
      </c>
      <c r="B6" s="453" t="s">
        <v>275</v>
      </c>
      <c r="C6" s="364" t="s">
        <v>323</v>
      </c>
      <c r="D6" s="364">
        <v>18131780.989999998</v>
      </c>
      <c r="E6" s="364">
        <f t="shared" si="0"/>
        <v>18132</v>
      </c>
      <c r="G6" s="365" t="s">
        <v>50</v>
      </c>
    </row>
    <row r="7" spans="1:7">
      <c r="A7" s="452">
        <v>1020201010171</v>
      </c>
      <c r="B7" s="453" t="s">
        <v>276</v>
      </c>
      <c r="C7" s="364" t="s">
        <v>323</v>
      </c>
      <c r="D7" s="364">
        <v>1734400.15</v>
      </c>
      <c r="E7" s="364">
        <f t="shared" si="0"/>
        <v>1734</v>
      </c>
      <c r="G7" s="365" t="s">
        <v>50</v>
      </c>
    </row>
    <row r="8" spans="1:7">
      <c r="A8" s="452">
        <v>1020201010173</v>
      </c>
      <c r="B8" s="453" t="s">
        <v>365</v>
      </c>
      <c r="C8" s="364" t="s">
        <v>323</v>
      </c>
      <c r="D8" s="364">
        <v>1251378.1599999999</v>
      </c>
      <c r="E8" s="364">
        <f t="shared" si="0"/>
        <v>1251</v>
      </c>
      <c r="G8" s="365" t="s">
        <v>50</v>
      </c>
    </row>
    <row r="9" spans="1:7">
      <c r="A9" s="452">
        <v>1020201010180</v>
      </c>
      <c r="B9" s="453" t="s">
        <v>366</v>
      </c>
      <c r="C9" s="364" t="s">
        <v>323</v>
      </c>
      <c r="D9" s="364">
        <v>94811656.150000006</v>
      </c>
      <c r="E9" s="364">
        <f t="shared" si="0"/>
        <v>94812</v>
      </c>
    </row>
    <row r="10" spans="1:7">
      <c r="A10" s="452">
        <v>1020201010183</v>
      </c>
      <c r="B10" s="453" t="s">
        <v>367</v>
      </c>
      <c r="C10" s="364" t="s">
        <v>323</v>
      </c>
      <c r="D10" s="364">
        <v>5142</v>
      </c>
      <c r="E10" s="364">
        <f t="shared" ref="E10:E17" si="1">ROUND(D10/1000,0)</f>
        <v>5</v>
      </c>
    </row>
    <row r="11" spans="1:7">
      <c r="A11" s="452">
        <v>1020201010189</v>
      </c>
      <c r="B11" s="453" t="s">
        <v>368</v>
      </c>
      <c r="C11" s="364" t="s">
        <v>323</v>
      </c>
      <c r="D11" s="364">
        <v>4931436.66</v>
      </c>
      <c r="E11" s="364">
        <f t="shared" si="1"/>
        <v>4931</v>
      </c>
      <c r="F11" s="366"/>
    </row>
    <row r="12" spans="1:7">
      <c r="A12" s="452">
        <v>1020201010191</v>
      </c>
      <c r="B12" s="453" t="s">
        <v>321</v>
      </c>
      <c r="C12" s="364" t="s">
        <v>323</v>
      </c>
      <c r="D12" s="364">
        <v>4665</v>
      </c>
      <c r="E12" s="364">
        <f t="shared" si="1"/>
        <v>5</v>
      </c>
      <c r="F12" s="366"/>
    </row>
    <row r="13" spans="1:7">
      <c r="A13" s="452">
        <v>1020201010192</v>
      </c>
      <c r="B13" s="453" t="s">
        <v>369</v>
      </c>
      <c r="C13" s="364" t="s">
        <v>323</v>
      </c>
      <c r="D13" s="364">
        <v>5000</v>
      </c>
      <c r="E13" s="364">
        <f t="shared" si="1"/>
        <v>5</v>
      </c>
      <c r="F13" s="366">
        <f>SUM(E6:E13)</f>
        <v>120875</v>
      </c>
    </row>
    <row r="14" spans="1:7">
      <c r="A14" s="452">
        <v>1020202010144</v>
      </c>
      <c r="B14" s="453" t="s">
        <v>370</v>
      </c>
      <c r="C14" s="364" t="s">
        <v>324</v>
      </c>
      <c r="D14" s="364">
        <v>641557.11</v>
      </c>
      <c r="E14" s="364">
        <f t="shared" si="1"/>
        <v>642</v>
      </c>
      <c r="G14" s="365" t="s">
        <v>50</v>
      </c>
    </row>
    <row r="15" spans="1:7">
      <c r="A15" s="452">
        <v>1020202010145</v>
      </c>
      <c r="B15" s="453" t="s">
        <v>371</v>
      </c>
      <c r="C15" s="364" t="s">
        <v>324</v>
      </c>
      <c r="D15" s="364">
        <v>9172252</v>
      </c>
      <c r="E15" s="364">
        <f>ROUNDDOWN(D15/1000,0)</f>
        <v>9172</v>
      </c>
    </row>
    <row r="16" spans="1:7">
      <c r="A16" s="452">
        <v>1020202010150</v>
      </c>
      <c r="B16" s="453" t="s">
        <v>372</v>
      </c>
      <c r="C16" s="364" t="s">
        <v>324</v>
      </c>
      <c r="D16" s="364">
        <v>1652798.03</v>
      </c>
      <c r="E16" s="364">
        <f t="shared" si="1"/>
        <v>1653</v>
      </c>
    </row>
    <row r="17" spans="1:7">
      <c r="A17" s="452">
        <v>1020202010151</v>
      </c>
      <c r="B17" s="453" t="s">
        <v>373</v>
      </c>
      <c r="C17" s="364" t="s">
        <v>324</v>
      </c>
      <c r="D17" s="364">
        <v>1479723.12</v>
      </c>
      <c r="E17" s="364">
        <f t="shared" si="1"/>
        <v>1480</v>
      </c>
      <c r="F17" s="366">
        <f>ROUND(SUM(D14:D17)/1000,0)</f>
        <v>12946</v>
      </c>
    </row>
    <row r="18" spans="1:7">
      <c r="A18" s="452">
        <v>1020301010101</v>
      </c>
      <c r="B18" s="453" t="s">
        <v>162</v>
      </c>
      <c r="C18" s="364" t="s">
        <v>281</v>
      </c>
      <c r="D18" s="366">
        <v>-2465685.73</v>
      </c>
      <c r="E18" s="365">
        <f t="shared" ref="E18:E25" si="2">ROUND(D18/1000,0)</f>
        <v>-2466</v>
      </c>
      <c r="F18" s="365">
        <f>E18*-1</f>
        <v>2466</v>
      </c>
      <c r="G18" s="365" t="s">
        <v>50</v>
      </c>
    </row>
    <row r="19" spans="1:7">
      <c r="A19" s="452">
        <v>1020402010125</v>
      </c>
      <c r="B19" s="453" t="s">
        <v>275</v>
      </c>
      <c r="C19" s="364" t="s">
        <v>301</v>
      </c>
      <c r="D19" s="364">
        <v>16893</v>
      </c>
      <c r="E19" s="454">
        <f t="shared" si="2"/>
        <v>17</v>
      </c>
      <c r="G19" s="365" t="s">
        <v>50</v>
      </c>
    </row>
    <row r="20" spans="1:7">
      <c r="A20" s="452">
        <v>1020402010171</v>
      </c>
      <c r="B20" s="453" t="s">
        <v>277</v>
      </c>
      <c r="C20" s="364" t="s">
        <v>301</v>
      </c>
      <c r="D20" s="364">
        <v>40830</v>
      </c>
      <c r="E20" s="454">
        <f t="shared" si="2"/>
        <v>41</v>
      </c>
      <c r="G20" s="365" t="s">
        <v>50</v>
      </c>
    </row>
    <row r="21" spans="1:7">
      <c r="A21" s="452">
        <v>1020402010173</v>
      </c>
      <c r="B21" s="453" t="s">
        <v>365</v>
      </c>
      <c r="C21" s="364" t="s">
        <v>301</v>
      </c>
      <c r="D21" s="364">
        <v>26311</v>
      </c>
      <c r="E21" s="454">
        <f t="shared" si="2"/>
        <v>26</v>
      </c>
      <c r="F21" s="367"/>
      <c r="G21" s="365" t="s">
        <v>50</v>
      </c>
    </row>
    <row r="22" spans="1:7">
      <c r="A22" s="452">
        <v>1020402010180</v>
      </c>
      <c r="B22" s="453" t="s">
        <v>366</v>
      </c>
      <c r="C22" s="364" t="s">
        <v>301</v>
      </c>
      <c r="D22" s="364">
        <v>354105</v>
      </c>
      <c r="E22" s="454">
        <f t="shared" si="2"/>
        <v>354</v>
      </c>
      <c r="F22" s="367"/>
      <c r="G22" s="365" t="s">
        <v>50</v>
      </c>
    </row>
    <row r="23" spans="1:7">
      <c r="A23" s="452">
        <v>1020402010183</v>
      </c>
      <c r="B23" s="453" t="s">
        <v>367</v>
      </c>
      <c r="C23" s="364" t="s">
        <v>301</v>
      </c>
      <c r="D23" s="364">
        <v>858</v>
      </c>
      <c r="E23" s="454">
        <f t="shared" si="2"/>
        <v>1</v>
      </c>
      <c r="F23" s="367"/>
      <c r="G23" s="365" t="s">
        <v>50</v>
      </c>
    </row>
    <row r="24" spans="1:7">
      <c r="A24" s="452">
        <v>1020402010189</v>
      </c>
      <c r="B24" s="453" t="s">
        <v>368</v>
      </c>
      <c r="C24" s="364" t="s">
        <v>301</v>
      </c>
      <c r="D24" s="364">
        <v>22596</v>
      </c>
      <c r="E24" s="454">
        <f t="shared" si="2"/>
        <v>23</v>
      </c>
      <c r="F24" s="367">
        <f>ROUNDDOWN(SUM(D19:D24)/1000,0)</f>
        <v>461</v>
      </c>
      <c r="G24" s="365" t="s">
        <v>50</v>
      </c>
    </row>
    <row r="25" spans="1:7">
      <c r="A25" s="452">
        <v>1020506010102</v>
      </c>
      <c r="B25" s="453" t="s">
        <v>102</v>
      </c>
      <c r="C25" s="364" t="s">
        <v>376</v>
      </c>
      <c r="D25" s="364">
        <v>35090236</v>
      </c>
      <c r="E25" s="454">
        <f t="shared" si="2"/>
        <v>35090</v>
      </c>
      <c r="F25" s="367"/>
      <c r="G25" s="365" t="s">
        <v>50</v>
      </c>
    </row>
    <row r="26" spans="1:7">
      <c r="A26" s="452">
        <v>1020502010101</v>
      </c>
      <c r="B26" s="453" t="s">
        <v>162</v>
      </c>
      <c r="C26" s="453" t="s">
        <v>322</v>
      </c>
      <c r="D26" s="364">
        <v>3387570</v>
      </c>
      <c r="E26" s="454">
        <f>ROUNDDOWN(D26/1000,0)</f>
        <v>3387</v>
      </c>
      <c r="G26" s="365" t="s">
        <v>50</v>
      </c>
    </row>
    <row r="27" spans="1:7">
      <c r="A27" s="452">
        <v>1020504010103</v>
      </c>
      <c r="B27" s="453" t="s">
        <v>102</v>
      </c>
      <c r="C27" s="364" t="s">
        <v>376</v>
      </c>
      <c r="D27" s="364">
        <v>750981029.15999997</v>
      </c>
      <c r="E27" s="454">
        <f>ROUND(D27/1000,0)</f>
        <v>750981</v>
      </c>
      <c r="F27" s="367"/>
    </row>
    <row r="28" spans="1:7">
      <c r="A28" s="452">
        <v>2010101010201</v>
      </c>
      <c r="B28" s="453" t="s">
        <v>163</v>
      </c>
      <c r="C28" s="364" t="s">
        <v>278</v>
      </c>
      <c r="D28" s="365">
        <v>-1169031408.1300001</v>
      </c>
      <c r="E28" s="368">
        <f t="shared" ref="E28:E38" si="3">ROUND(D28/1000,0)</f>
        <v>-1169031</v>
      </c>
      <c r="F28" s="369">
        <f>ROUND(D28+D29+D30,0)/1000</f>
        <v>-1251505.1869999999</v>
      </c>
      <c r="G28" s="365" t="s">
        <v>279</v>
      </c>
    </row>
    <row r="29" spans="1:7">
      <c r="A29" s="452">
        <v>2030201010101</v>
      </c>
      <c r="B29" s="453" t="s">
        <v>165</v>
      </c>
      <c r="C29" s="364" t="s">
        <v>278</v>
      </c>
      <c r="D29" s="365">
        <v>-106598376.83</v>
      </c>
      <c r="E29" s="368">
        <f t="shared" si="3"/>
        <v>-106598</v>
      </c>
      <c r="G29" s="365" t="s">
        <v>279</v>
      </c>
    </row>
    <row r="30" spans="1:7">
      <c r="A30" s="452">
        <v>2030105010101</v>
      </c>
      <c r="B30" s="453" t="s">
        <v>164</v>
      </c>
      <c r="C30" s="364" t="s">
        <v>330</v>
      </c>
      <c r="D30" s="365">
        <v>24124598</v>
      </c>
      <c r="E30" s="368">
        <f t="shared" si="3"/>
        <v>24125</v>
      </c>
      <c r="G30" s="365" t="s">
        <v>279</v>
      </c>
    </row>
    <row r="31" spans="1:7">
      <c r="A31" s="452">
        <v>3020301010101</v>
      </c>
      <c r="B31" s="453" t="s">
        <v>280</v>
      </c>
      <c r="C31" s="364" t="s">
        <v>281</v>
      </c>
      <c r="D31" s="366">
        <v>-2976598.83</v>
      </c>
      <c r="E31" s="368">
        <f t="shared" si="3"/>
        <v>-2977</v>
      </c>
      <c r="F31" s="365">
        <f t="shared" ref="F31:F37" si="4">E31*-1</f>
        <v>2977</v>
      </c>
      <c r="G31" s="365" t="s">
        <v>54</v>
      </c>
    </row>
    <row r="32" spans="1:7">
      <c r="A32" s="452">
        <v>3020301010102</v>
      </c>
      <c r="B32" s="453" t="s">
        <v>100</v>
      </c>
      <c r="C32" s="364" t="s">
        <v>281</v>
      </c>
      <c r="D32" s="366">
        <v>-1082422.79</v>
      </c>
      <c r="E32" s="368">
        <f t="shared" si="3"/>
        <v>-1082</v>
      </c>
      <c r="F32" s="365">
        <f t="shared" si="4"/>
        <v>1082</v>
      </c>
      <c r="G32" s="365" t="s">
        <v>54</v>
      </c>
    </row>
    <row r="33" spans="1:7">
      <c r="A33" s="452">
        <v>3020301010103</v>
      </c>
      <c r="B33" s="453" t="s">
        <v>99</v>
      </c>
      <c r="C33" s="364" t="s">
        <v>281</v>
      </c>
      <c r="D33" s="366">
        <v>-62656.11</v>
      </c>
      <c r="E33" s="368">
        <f t="shared" si="3"/>
        <v>-63</v>
      </c>
      <c r="F33" s="365">
        <f t="shared" si="4"/>
        <v>63</v>
      </c>
      <c r="G33" s="365" t="s">
        <v>54</v>
      </c>
    </row>
    <row r="34" spans="1:7">
      <c r="A34" s="452">
        <v>3020301010105</v>
      </c>
      <c r="B34" s="453" t="s">
        <v>374</v>
      </c>
      <c r="C34" s="364" t="s">
        <v>281</v>
      </c>
      <c r="D34" s="366">
        <v>-2697500</v>
      </c>
      <c r="E34" s="368">
        <f>ROUNDDOWN(D34/1000,0)</f>
        <v>-2697</v>
      </c>
      <c r="F34" s="365">
        <f t="shared" si="4"/>
        <v>2697</v>
      </c>
      <c r="G34" s="365" t="s">
        <v>54</v>
      </c>
    </row>
    <row r="35" spans="1:7">
      <c r="A35" s="452">
        <v>3020301010106</v>
      </c>
      <c r="B35" s="453" t="s">
        <v>282</v>
      </c>
      <c r="C35" s="364" t="s">
        <v>281</v>
      </c>
      <c r="D35" s="366">
        <v>-517927.36</v>
      </c>
      <c r="E35" s="368">
        <f t="shared" si="3"/>
        <v>-518</v>
      </c>
      <c r="F35" s="365">
        <f t="shared" si="4"/>
        <v>518</v>
      </c>
      <c r="G35" s="365" t="s">
        <v>54</v>
      </c>
    </row>
    <row r="36" spans="1:7">
      <c r="A36" s="452">
        <v>3020301010107</v>
      </c>
      <c r="B36" s="453" t="s">
        <v>283</v>
      </c>
      <c r="C36" s="364" t="s">
        <v>281</v>
      </c>
      <c r="D36" s="366">
        <v>-2009615.04</v>
      </c>
      <c r="E36" s="368">
        <f t="shared" si="3"/>
        <v>-2010</v>
      </c>
      <c r="F36" s="365">
        <f t="shared" si="4"/>
        <v>2010</v>
      </c>
      <c r="G36" s="365" t="s">
        <v>54</v>
      </c>
    </row>
    <row r="37" spans="1:7">
      <c r="A37" s="452">
        <v>3020301010108</v>
      </c>
      <c r="B37" s="453" t="s">
        <v>284</v>
      </c>
      <c r="C37" s="364" t="s">
        <v>281</v>
      </c>
      <c r="D37" s="366">
        <v>-425844.08</v>
      </c>
      <c r="E37" s="368">
        <f t="shared" si="3"/>
        <v>-426</v>
      </c>
      <c r="F37" s="365">
        <f t="shared" si="4"/>
        <v>426</v>
      </c>
      <c r="G37" s="365" t="s">
        <v>54</v>
      </c>
    </row>
    <row r="38" spans="1:7">
      <c r="A38" s="452">
        <v>3020301010109</v>
      </c>
      <c r="B38" s="453" t="s">
        <v>285</v>
      </c>
      <c r="C38" s="364" t="s">
        <v>281</v>
      </c>
      <c r="D38" s="365">
        <v>-1127212.76</v>
      </c>
      <c r="E38" s="368">
        <f t="shared" si="3"/>
        <v>-1127</v>
      </c>
      <c r="F38" s="365">
        <f>SUM(E37:E38)*-1</f>
        <v>1553</v>
      </c>
      <c r="G38" s="365" t="s">
        <v>54</v>
      </c>
    </row>
    <row r="39" spans="1:7">
      <c r="A39" s="452">
        <v>3020302010201</v>
      </c>
      <c r="B39" s="453" t="s">
        <v>101</v>
      </c>
      <c r="C39" s="364" t="s">
        <v>281</v>
      </c>
      <c r="D39" s="366">
        <v>-278385</v>
      </c>
      <c r="E39" s="365">
        <f t="shared" ref="E39:E57" si="5">ROUND(D39/1000,0)</f>
        <v>-278</v>
      </c>
      <c r="F39" s="365">
        <f>E39*-1</f>
        <v>278</v>
      </c>
      <c r="G39" s="365" t="s">
        <v>54</v>
      </c>
    </row>
    <row r="40" spans="1:7">
      <c r="A40" s="452">
        <v>3020302010305</v>
      </c>
      <c r="B40" s="453" t="s">
        <v>325</v>
      </c>
      <c r="C40" s="364" t="s">
        <v>281</v>
      </c>
      <c r="D40" s="366">
        <v>-125000</v>
      </c>
      <c r="E40" s="365">
        <f t="shared" si="5"/>
        <v>-125</v>
      </c>
      <c r="F40" s="365">
        <f>E40*-1</f>
        <v>125</v>
      </c>
      <c r="G40" s="365" t="s">
        <v>54</v>
      </c>
    </row>
    <row r="41" spans="1:7">
      <c r="A41" s="452">
        <v>3020302010901</v>
      </c>
      <c r="B41" s="453" t="s">
        <v>87</v>
      </c>
      <c r="C41" s="364" t="s">
        <v>281</v>
      </c>
      <c r="D41" s="366">
        <v>-397736.3</v>
      </c>
      <c r="E41" s="365">
        <f>ROUND(D41/1000,0)</f>
        <v>-398</v>
      </c>
      <c r="F41" s="365">
        <f>E41*-1</f>
        <v>398</v>
      </c>
      <c r="G41" s="365" t="s">
        <v>54</v>
      </c>
    </row>
    <row r="42" spans="1:7">
      <c r="A42" s="452">
        <v>3020303010101</v>
      </c>
      <c r="B42" s="453" t="s">
        <v>286</v>
      </c>
      <c r="C42" s="364" t="s">
        <v>281</v>
      </c>
      <c r="D42" s="366">
        <v>-181413.47</v>
      </c>
      <c r="E42" s="365">
        <f t="shared" si="5"/>
        <v>-181</v>
      </c>
      <c r="F42" s="365">
        <f t="shared" ref="F42:F51" si="6">E42*-1</f>
        <v>181</v>
      </c>
      <c r="G42" s="365" t="s">
        <v>54</v>
      </c>
    </row>
    <row r="43" spans="1:7">
      <c r="A43" s="452">
        <v>3020303010103</v>
      </c>
      <c r="B43" s="453" t="s">
        <v>287</v>
      </c>
      <c r="C43" s="364" t="s">
        <v>281</v>
      </c>
      <c r="D43" s="366">
        <v>-63520</v>
      </c>
      <c r="E43" s="365">
        <f t="shared" si="5"/>
        <v>-64</v>
      </c>
      <c r="F43" s="365">
        <f t="shared" si="6"/>
        <v>64</v>
      </c>
      <c r="G43" s="365" t="s">
        <v>54</v>
      </c>
    </row>
    <row r="44" spans="1:7">
      <c r="A44" s="452">
        <v>3020402020101</v>
      </c>
      <c r="B44" s="453" t="s">
        <v>97</v>
      </c>
      <c r="C44" s="364" t="s">
        <v>281</v>
      </c>
      <c r="D44" s="366">
        <v>-32699</v>
      </c>
      <c r="E44" s="365">
        <f t="shared" si="5"/>
        <v>-33</v>
      </c>
      <c r="F44" s="365">
        <f>(E44*-1)</f>
        <v>33</v>
      </c>
      <c r="G44" s="365" t="s">
        <v>54</v>
      </c>
    </row>
    <row r="45" spans="1:7">
      <c r="A45" s="452">
        <v>3020406010109</v>
      </c>
      <c r="B45" s="453" t="s">
        <v>326</v>
      </c>
      <c r="C45" s="364" t="s">
        <v>281</v>
      </c>
      <c r="D45" s="366">
        <v>-388171.07</v>
      </c>
      <c r="E45" s="365">
        <f t="shared" si="5"/>
        <v>-388</v>
      </c>
      <c r="F45" s="365">
        <f>(E45*-1)</f>
        <v>388</v>
      </c>
      <c r="G45" s="365" t="s">
        <v>54</v>
      </c>
    </row>
    <row r="46" spans="1:7">
      <c r="A46" s="452">
        <v>3020406010121</v>
      </c>
      <c r="B46" s="453" t="s">
        <v>96</v>
      </c>
      <c r="C46" s="364" t="s">
        <v>281</v>
      </c>
      <c r="D46" s="366">
        <v>-97184</v>
      </c>
      <c r="E46" s="365">
        <f t="shared" si="5"/>
        <v>-97</v>
      </c>
      <c r="F46" s="365">
        <f t="shared" si="6"/>
        <v>97</v>
      </c>
      <c r="G46" s="365" t="s">
        <v>54</v>
      </c>
    </row>
    <row r="47" spans="1:7">
      <c r="A47" s="452">
        <v>3020406010124</v>
      </c>
      <c r="B47" s="453" t="s">
        <v>95</v>
      </c>
      <c r="C47" s="364" t="s">
        <v>281</v>
      </c>
      <c r="D47" s="366">
        <v>-2403365.85</v>
      </c>
      <c r="E47" s="365">
        <f t="shared" si="5"/>
        <v>-2403</v>
      </c>
      <c r="F47" s="365">
        <f t="shared" si="6"/>
        <v>2403</v>
      </c>
      <c r="G47" s="365" t="s">
        <v>54</v>
      </c>
    </row>
    <row r="48" spans="1:7">
      <c r="A48" s="452">
        <v>3020406010202</v>
      </c>
      <c r="B48" s="453" t="s">
        <v>327</v>
      </c>
      <c r="C48" s="364" t="s">
        <v>281</v>
      </c>
      <c r="D48" s="366">
        <v>-691659.46</v>
      </c>
      <c r="E48" s="365">
        <f t="shared" si="5"/>
        <v>-692</v>
      </c>
      <c r="F48" s="365">
        <f t="shared" si="6"/>
        <v>692</v>
      </c>
      <c r="G48" s="365" t="s">
        <v>54</v>
      </c>
    </row>
    <row r="49" spans="1:7">
      <c r="A49" s="452">
        <v>3020406010203</v>
      </c>
      <c r="B49" s="453" t="s">
        <v>94</v>
      </c>
      <c r="C49" s="364" t="s">
        <v>281</v>
      </c>
      <c r="D49" s="365">
        <v>-13204</v>
      </c>
      <c r="E49" s="365">
        <f t="shared" si="5"/>
        <v>-13</v>
      </c>
      <c r="F49" s="365">
        <f t="shared" si="6"/>
        <v>13</v>
      </c>
      <c r="G49" s="365" t="s">
        <v>54</v>
      </c>
    </row>
    <row r="50" spans="1:7">
      <c r="A50" s="452">
        <v>3020406010205</v>
      </c>
      <c r="B50" s="453" t="s">
        <v>93</v>
      </c>
      <c r="C50" s="364" t="s">
        <v>281</v>
      </c>
      <c r="D50" s="365">
        <v>-1767292</v>
      </c>
      <c r="E50" s="365">
        <f t="shared" si="5"/>
        <v>-1767</v>
      </c>
      <c r="F50" s="365">
        <f t="shared" si="6"/>
        <v>1767</v>
      </c>
      <c r="G50" s="365" t="s">
        <v>54</v>
      </c>
    </row>
    <row r="51" spans="1:7">
      <c r="A51" s="452">
        <v>3020406010301</v>
      </c>
      <c r="B51" s="453" t="s">
        <v>166</v>
      </c>
      <c r="C51" s="364" t="s">
        <v>281</v>
      </c>
      <c r="D51" s="365">
        <f>-716341220-528000</f>
        <v>-716869220</v>
      </c>
      <c r="E51" s="365">
        <f>ROUND(D51/1000,0)</f>
        <v>-716869</v>
      </c>
      <c r="F51" s="365">
        <f t="shared" si="6"/>
        <v>716869</v>
      </c>
      <c r="G51" s="365" t="s">
        <v>54</v>
      </c>
    </row>
    <row r="52" spans="1:7">
      <c r="A52" s="452">
        <v>4010101010101</v>
      </c>
      <c r="B52" s="453" t="s">
        <v>92</v>
      </c>
      <c r="C52" s="364" t="s">
        <v>288</v>
      </c>
      <c r="D52" s="366">
        <v>12560094.609999999</v>
      </c>
      <c r="E52" s="365">
        <f t="shared" si="5"/>
        <v>12560</v>
      </c>
      <c r="G52" s="365" t="s">
        <v>60</v>
      </c>
    </row>
    <row r="53" spans="1:7">
      <c r="A53" s="452">
        <v>4010102010101</v>
      </c>
      <c r="B53" s="453" t="s">
        <v>289</v>
      </c>
      <c r="C53" s="364" t="s">
        <v>288</v>
      </c>
      <c r="D53" s="366">
        <v>820305.49</v>
      </c>
      <c r="E53" s="365">
        <f t="shared" si="5"/>
        <v>820</v>
      </c>
      <c r="G53" s="365" t="s">
        <v>60</v>
      </c>
    </row>
    <row r="54" spans="1:7">
      <c r="A54" s="452">
        <v>4010401010109</v>
      </c>
      <c r="B54" s="453" t="s">
        <v>328</v>
      </c>
      <c r="C54" s="364" t="s">
        <v>288</v>
      </c>
      <c r="D54" s="366">
        <v>1240846.08</v>
      </c>
      <c r="E54" s="365">
        <f t="shared" si="5"/>
        <v>1241</v>
      </c>
      <c r="G54" s="365" t="s">
        <v>60</v>
      </c>
    </row>
    <row r="55" spans="1:7">
      <c r="A55" s="452">
        <v>4010402010101</v>
      </c>
      <c r="B55" s="453" t="s">
        <v>161</v>
      </c>
      <c r="C55" s="364" t="s">
        <v>288</v>
      </c>
      <c r="D55" s="366">
        <v>131719.21</v>
      </c>
      <c r="E55" s="365">
        <f t="shared" si="5"/>
        <v>132</v>
      </c>
      <c r="G55" s="365" t="s">
        <v>60</v>
      </c>
    </row>
    <row r="56" spans="1:7">
      <c r="A56" s="452">
        <v>4010403010101</v>
      </c>
      <c r="B56" s="453" t="s">
        <v>89</v>
      </c>
      <c r="C56" s="364" t="s">
        <v>288</v>
      </c>
      <c r="D56" s="366">
        <v>186127.18</v>
      </c>
      <c r="E56" s="365">
        <f t="shared" si="5"/>
        <v>186</v>
      </c>
      <c r="F56" s="365">
        <f>E54+E55+E56</f>
        <v>1559</v>
      </c>
      <c r="G56" s="365" t="s">
        <v>60</v>
      </c>
    </row>
    <row r="57" spans="1:7">
      <c r="A57" s="452">
        <v>4010501010102</v>
      </c>
      <c r="B57" s="453" t="s">
        <v>90</v>
      </c>
      <c r="C57" s="364" t="s">
        <v>288</v>
      </c>
      <c r="D57" s="366">
        <v>308500</v>
      </c>
      <c r="E57" s="365">
        <f t="shared" si="5"/>
        <v>309</v>
      </c>
      <c r="G57" s="365" t="s">
        <v>60</v>
      </c>
    </row>
    <row r="58" spans="1:7">
      <c r="A58" s="452">
        <v>4010502010101</v>
      </c>
      <c r="B58" s="453" t="s">
        <v>144</v>
      </c>
      <c r="C58" s="364" t="s">
        <v>288</v>
      </c>
      <c r="D58" s="366">
        <v>95500</v>
      </c>
      <c r="E58" s="365">
        <f t="shared" ref="E58:E74" si="7">ROUND(D58/1000,0)</f>
        <v>96</v>
      </c>
      <c r="F58" s="365">
        <f>(E58+E57)</f>
        <v>405</v>
      </c>
      <c r="G58" s="365" t="s">
        <v>60</v>
      </c>
    </row>
    <row r="59" spans="1:7">
      <c r="A59" s="452">
        <v>4020101010101</v>
      </c>
      <c r="B59" s="453" t="s">
        <v>88</v>
      </c>
      <c r="C59" s="364" t="s">
        <v>288</v>
      </c>
      <c r="D59" s="366">
        <v>278385</v>
      </c>
      <c r="E59" s="365">
        <f t="shared" si="7"/>
        <v>278</v>
      </c>
      <c r="G59" s="365" t="s">
        <v>60</v>
      </c>
    </row>
    <row r="60" spans="1:7">
      <c r="A60" s="452">
        <v>4020201010106</v>
      </c>
      <c r="B60" s="453" t="s">
        <v>325</v>
      </c>
      <c r="C60" s="364" t="s">
        <v>288</v>
      </c>
      <c r="D60" s="366">
        <v>125000</v>
      </c>
      <c r="E60" s="365">
        <f t="shared" si="7"/>
        <v>125</v>
      </c>
      <c r="G60" s="365" t="s">
        <v>60</v>
      </c>
    </row>
    <row r="61" spans="1:7">
      <c r="A61" s="452">
        <v>4020301010101</v>
      </c>
      <c r="B61" s="453" t="s">
        <v>87</v>
      </c>
      <c r="C61" s="364" t="s">
        <v>288</v>
      </c>
      <c r="D61" s="366">
        <v>397736.32</v>
      </c>
      <c r="E61" s="365">
        <f t="shared" si="7"/>
        <v>398</v>
      </c>
      <c r="G61" s="365" t="s">
        <v>60</v>
      </c>
    </row>
    <row r="62" spans="1:7">
      <c r="A62" s="452">
        <v>4020401010102</v>
      </c>
      <c r="B62" s="453" t="s">
        <v>146</v>
      </c>
      <c r="C62" s="364" t="s">
        <v>288</v>
      </c>
      <c r="D62" s="366">
        <v>20000</v>
      </c>
      <c r="E62" s="365">
        <f t="shared" si="7"/>
        <v>20</v>
      </c>
      <c r="G62" s="365" t="s">
        <v>60</v>
      </c>
    </row>
    <row r="63" spans="1:7">
      <c r="A63" s="452">
        <v>4020401010214</v>
      </c>
      <c r="B63" s="453" t="s">
        <v>290</v>
      </c>
      <c r="C63" s="364" t="s">
        <v>288</v>
      </c>
      <c r="D63" s="455">
        <v>97184</v>
      </c>
      <c r="E63" s="456">
        <f t="shared" si="7"/>
        <v>97</v>
      </c>
      <c r="G63" s="365" t="s">
        <v>60</v>
      </c>
    </row>
    <row r="64" spans="1:7">
      <c r="A64" s="452">
        <v>4020401010215</v>
      </c>
      <c r="B64" s="453" t="s">
        <v>291</v>
      </c>
      <c r="C64" s="364" t="s">
        <v>288</v>
      </c>
      <c r="D64" s="455">
        <v>2185456.5</v>
      </c>
      <c r="E64" s="456">
        <f t="shared" si="7"/>
        <v>2185</v>
      </c>
      <c r="G64" s="365" t="s">
        <v>60</v>
      </c>
    </row>
    <row r="65" spans="1:7">
      <c r="A65" s="452">
        <v>4020401010216</v>
      </c>
      <c r="B65" s="453" t="s">
        <v>292</v>
      </c>
      <c r="C65" s="364" t="s">
        <v>288</v>
      </c>
      <c r="D65" s="455">
        <v>2009615.17</v>
      </c>
      <c r="E65" s="456">
        <f t="shared" si="7"/>
        <v>2010</v>
      </c>
      <c r="G65" s="365" t="s">
        <v>60</v>
      </c>
    </row>
    <row r="66" spans="1:7">
      <c r="A66" s="452">
        <v>4050101010101</v>
      </c>
      <c r="B66" s="453" t="s">
        <v>293</v>
      </c>
      <c r="C66" s="364" t="s">
        <v>288</v>
      </c>
      <c r="D66" s="455">
        <v>2403365.85</v>
      </c>
      <c r="E66" s="456">
        <f t="shared" si="7"/>
        <v>2403</v>
      </c>
      <c r="G66" s="365" t="s">
        <v>60</v>
      </c>
    </row>
    <row r="67" spans="1:7">
      <c r="A67" s="452">
        <v>5010301010101</v>
      </c>
      <c r="B67" s="453" t="s">
        <v>142</v>
      </c>
      <c r="C67" s="450" t="s">
        <v>375</v>
      </c>
      <c r="D67" s="455">
        <v>-13073505.82</v>
      </c>
      <c r="E67" s="456">
        <f t="shared" si="7"/>
        <v>-13074</v>
      </c>
      <c r="G67" s="365" t="s">
        <v>59</v>
      </c>
    </row>
    <row r="68" spans="1:7">
      <c r="A68" s="452">
        <v>5010201010101</v>
      </c>
      <c r="B68" s="453" t="s">
        <v>143</v>
      </c>
      <c r="C68" s="450" t="s">
        <v>329</v>
      </c>
      <c r="D68" s="455">
        <v>-16209177.93</v>
      </c>
      <c r="E68" s="456">
        <f t="shared" si="7"/>
        <v>-16209</v>
      </c>
      <c r="F68" s="364"/>
      <c r="G68" s="365" t="s">
        <v>59</v>
      </c>
    </row>
    <row r="69" spans="1:7">
      <c r="A69" s="452">
        <v>5010301010101</v>
      </c>
      <c r="B69" s="453" t="s">
        <v>142</v>
      </c>
      <c r="C69" s="450" t="s">
        <v>294</v>
      </c>
      <c r="D69" s="455">
        <v>-85046682.109999999</v>
      </c>
      <c r="E69" s="456">
        <f>ROUND(D69/1000,0)</f>
        <v>-85047</v>
      </c>
      <c r="F69" s="364"/>
      <c r="G69" s="365" t="s">
        <v>59</v>
      </c>
    </row>
    <row r="70" spans="1:7">
      <c r="A70" s="452">
        <v>5020101010125</v>
      </c>
      <c r="B70" s="453" t="s">
        <v>275</v>
      </c>
      <c r="C70" s="364" t="s">
        <v>295</v>
      </c>
      <c r="D70" s="455">
        <v>-391835</v>
      </c>
      <c r="E70" s="456">
        <f>ROUND(D70/1000,0)</f>
        <v>-392</v>
      </c>
      <c r="F70" s="364"/>
      <c r="G70" s="365" t="s">
        <v>59</v>
      </c>
    </row>
    <row r="71" spans="1:7">
      <c r="A71" s="452">
        <v>5020101010171</v>
      </c>
      <c r="B71" s="453" t="s">
        <v>277</v>
      </c>
      <c r="C71" s="364" t="s">
        <v>295</v>
      </c>
      <c r="D71" s="455">
        <v>-1035033</v>
      </c>
      <c r="E71" s="456">
        <f t="shared" si="7"/>
        <v>-1035</v>
      </c>
      <c r="F71" s="364"/>
      <c r="G71" s="365" t="s">
        <v>59</v>
      </c>
    </row>
    <row r="72" spans="1:7">
      <c r="A72" s="452">
        <v>5020101010173</v>
      </c>
      <c r="B72" s="453" t="s">
        <v>365</v>
      </c>
      <c r="C72" s="364" t="s">
        <v>295</v>
      </c>
      <c r="D72" s="455">
        <v>-235929</v>
      </c>
      <c r="E72" s="456">
        <f t="shared" si="7"/>
        <v>-236</v>
      </c>
      <c r="F72" s="364"/>
      <c r="G72" s="365" t="s">
        <v>59</v>
      </c>
    </row>
    <row r="73" spans="1:7">
      <c r="A73" s="452">
        <v>5020101010180</v>
      </c>
      <c r="B73" s="453" t="s">
        <v>366</v>
      </c>
      <c r="C73" s="364" t="s">
        <v>295</v>
      </c>
      <c r="D73" s="455">
        <v>-421661</v>
      </c>
      <c r="E73" s="456">
        <f t="shared" si="7"/>
        <v>-422</v>
      </c>
      <c r="F73" s="364"/>
      <c r="G73" s="365" t="s">
        <v>59</v>
      </c>
    </row>
    <row r="74" spans="1:7">
      <c r="A74" s="452">
        <v>5020101010189</v>
      </c>
      <c r="B74" s="453" t="s">
        <v>368</v>
      </c>
      <c r="C74" s="364" t="s">
        <v>295</v>
      </c>
      <c r="D74" s="455">
        <v>-86356</v>
      </c>
      <c r="E74" s="456">
        <f t="shared" si="7"/>
        <v>-86</v>
      </c>
      <c r="F74" s="364">
        <f>SUM(E70:E74)</f>
        <v>-2171</v>
      </c>
      <c r="G74" s="365" t="s">
        <v>59</v>
      </c>
    </row>
    <row r="80" spans="1:7">
      <c r="D80" s="366"/>
    </row>
    <row r="81" spans="4:4">
      <c r="D81" s="457"/>
    </row>
  </sheetData>
  <dataConsolidat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V28"/>
  <sheetViews>
    <sheetView zoomScale="60" zoomScaleNormal="100" workbookViewId="0"/>
  </sheetViews>
  <sheetFormatPr defaultColWidth="14.09765625" defaultRowHeight="28.5" customHeight="1"/>
  <cols>
    <col min="1" max="1" width="32.59765625" style="161" customWidth="1"/>
    <col min="2" max="2" width="8.09765625" style="113" customWidth="1"/>
    <col min="3" max="3" width="16.5" style="157" customWidth="1"/>
    <col min="4" max="4" width="10.09765625" style="157" customWidth="1"/>
    <col min="5" max="5" width="16.09765625" style="157" customWidth="1"/>
    <col min="6" max="6" width="7.09765625" style="157" customWidth="1"/>
    <col min="7" max="7" width="19" style="157" customWidth="1"/>
    <col min="8" max="8" width="30.09765625" style="157" customWidth="1"/>
    <col min="9" max="16384" width="14.09765625" style="113"/>
  </cols>
  <sheetData>
    <row r="1" spans="1:22" s="92" customFormat="1" ht="21" customHeight="1" thickBot="1">
      <c r="A1" s="88" t="s">
        <v>9</v>
      </c>
      <c r="B1" s="89"/>
      <c r="C1" s="89"/>
      <c r="D1" s="89"/>
      <c r="E1" s="89"/>
      <c r="F1" s="89"/>
      <c r="G1" s="90"/>
      <c r="H1" s="91"/>
    </row>
    <row r="2" spans="1:22" s="98" customFormat="1" ht="21" customHeight="1" thickBot="1">
      <c r="A2" s="93" t="s">
        <v>111</v>
      </c>
      <c r="B2" s="94"/>
      <c r="C2" s="94"/>
      <c r="D2" s="94"/>
      <c r="E2" s="94"/>
      <c r="F2" s="95"/>
      <c r="G2" s="96" t="s">
        <v>10</v>
      </c>
      <c r="H2" s="97"/>
    </row>
    <row r="3" spans="1:22" s="98" customFormat="1" ht="21" customHeight="1" thickBot="1">
      <c r="A3" s="93" t="s">
        <v>11</v>
      </c>
      <c r="B3" s="94"/>
      <c r="C3" s="94"/>
      <c r="D3" s="94"/>
      <c r="E3" s="94"/>
      <c r="F3" s="95"/>
      <c r="G3" s="99" t="s">
        <v>12</v>
      </c>
      <c r="H3" s="100"/>
      <c r="I3" s="101"/>
    </row>
    <row r="4" spans="1:22" s="98" customFormat="1" ht="21" customHeight="1" thickBot="1">
      <c r="A4" s="93" t="s">
        <v>13</v>
      </c>
      <c r="B4" s="94"/>
      <c r="C4" s="94"/>
      <c r="D4" s="94"/>
      <c r="E4" s="94"/>
      <c r="F4" s="95"/>
      <c r="G4" s="102" t="s">
        <v>14</v>
      </c>
      <c r="H4" s="103"/>
    </row>
    <row r="5" spans="1:22" s="105" customFormat="1" ht="18.75" customHeight="1" thickBot="1">
      <c r="A5" s="2715" t="s">
        <v>15</v>
      </c>
      <c r="B5" s="2717" t="s">
        <v>16</v>
      </c>
      <c r="C5" s="2719" t="s">
        <v>17</v>
      </c>
      <c r="D5" s="2720"/>
      <c r="E5" s="2721"/>
      <c r="F5" s="104"/>
      <c r="G5" s="2709" t="s">
        <v>18</v>
      </c>
      <c r="H5" s="2710"/>
    </row>
    <row r="6" spans="1:22" s="105" customFormat="1" ht="27.75" customHeight="1" thickTop="1" thickBot="1">
      <c r="A6" s="2716"/>
      <c r="B6" s="2718"/>
      <c r="C6" s="106" t="s">
        <v>19</v>
      </c>
      <c r="D6" s="106" t="s">
        <v>20</v>
      </c>
      <c r="E6" s="107" t="s">
        <v>21</v>
      </c>
      <c r="F6" s="107" t="s">
        <v>22</v>
      </c>
      <c r="G6" s="2711"/>
      <c r="H6" s="2712"/>
    </row>
    <row r="7" spans="1:22" ht="15.75" customHeight="1">
      <c r="A7" s="108"/>
      <c r="B7" s="109"/>
      <c r="C7" s="110"/>
      <c r="D7" s="110"/>
      <c r="E7" s="110"/>
      <c r="F7" s="110"/>
      <c r="G7" s="111"/>
      <c r="H7" s="112"/>
    </row>
    <row r="8" spans="1:22" s="120" customFormat="1" ht="15.75" customHeight="1">
      <c r="A8" s="114"/>
      <c r="B8" s="115"/>
      <c r="C8" s="116"/>
      <c r="D8" s="116"/>
      <c r="E8" s="116"/>
      <c r="F8" s="117"/>
      <c r="G8" s="118"/>
      <c r="H8" s="119"/>
    </row>
    <row r="9" spans="1:22" s="120" customFormat="1" ht="15.75" customHeight="1">
      <c r="A9" s="121"/>
      <c r="B9" s="115"/>
      <c r="C9" s="122"/>
      <c r="D9" s="123"/>
      <c r="E9" s="124"/>
      <c r="F9" s="125"/>
      <c r="G9" s="126"/>
      <c r="H9" s="127"/>
      <c r="I9" s="128"/>
      <c r="K9" s="113"/>
    </row>
    <row r="10" spans="1:22" s="120" customFormat="1" ht="15.75" customHeight="1">
      <c r="A10" s="114" t="s">
        <v>23</v>
      </c>
      <c r="B10" s="115"/>
      <c r="C10" s="115"/>
      <c r="D10" s="115"/>
      <c r="E10" s="129"/>
      <c r="F10" s="115"/>
      <c r="G10" s="130"/>
      <c r="H10" s="127"/>
    </row>
    <row r="11" spans="1:22" s="120" customFormat="1" ht="15.75" customHeight="1">
      <c r="A11" s="131" t="s">
        <v>24</v>
      </c>
      <c r="B11" s="115"/>
      <c r="C11" s="116">
        <f>'invst Control Sheet'!B39</f>
        <v>198351.75</v>
      </c>
      <c r="D11" s="116">
        <v>0</v>
      </c>
      <c r="E11" s="116">
        <f>C11-D11</f>
        <v>198351.75</v>
      </c>
      <c r="F11" s="125">
        <v>1</v>
      </c>
      <c r="G11" s="2722" t="s">
        <v>25</v>
      </c>
      <c r="H11" s="2723"/>
    </row>
    <row r="12" spans="1:22" s="120" customFormat="1" ht="15.75" customHeight="1">
      <c r="A12" s="121"/>
      <c r="B12" s="115"/>
      <c r="C12" s="122"/>
      <c r="D12" s="123"/>
      <c r="E12" s="124"/>
      <c r="F12" s="125"/>
      <c r="G12" s="2724"/>
      <c r="H12" s="2723"/>
      <c r="I12" s="128"/>
      <c r="K12" s="113"/>
    </row>
    <row r="13" spans="1:22" s="120" customFormat="1" ht="15.75" customHeight="1">
      <c r="A13" s="121"/>
      <c r="B13" s="115"/>
      <c r="C13" s="123"/>
      <c r="D13" s="123"/>
      <c r="E13" s="123"/>
      <c r="F13" s="123"/>
      <c r="G13" s="118"/>
      <c r="H13" s="119"/>
      <c r="I13" s="128"/>
      <c r="M13" s="132"/>
      <c r="N13" s="132"/>
      <c r="O13" s="132"/>
      <c r="P13" s="132"/>
      <c r="Q13" s="132"/>
      <c r="R13" s="133"/>
      <c r="S13" s="134"/>
      <c r="T13" s="132"/>
      <c r="U13" s="113"/>
      <c r="V13" s="135"/>
    </row>
    <row r="14" spans="1:22" s="120" customFormat="1" ht="15.75" customHeight="1">
      <c r="A14" s="136"/>
      <c r="B14" s="115"/>
      <c r="C14" s="123"/>
      <c r="D14" s="123"/>
      <c r="E14" s="123"/>
      <c r="F14" s="137"/>
      <c r="G14" s="118"/>
      <c r="H14" s="119"/>
      <c r="I14" s="128"/>
      <c r="N14" s="113"/>
      <c r="O14" s="113"/>
      <c r="P14" s="113"/>
      <c r="Q14" s="113"/>
      <c r="R14" s="133"/>
      <c r="S14" s="134"/>
      <c r="T14" s="132"/>
      <c r="U14" s="113"/>
      <c r="V14" s="135"/>
    </row>
    <row r="15" spans="1:22" s="120" customFormat="1" ht="15.75" customHeight="1">
      <c r="A15" s="121"/>
      <c r="B15" s="115"/>
      <c r="C15" s="123"/>
      <c r="D15" s="123"/>
      <c r="E15" s="124"/>
      <c r="F15" s="125"/>
      <c r="G15" s="118"/>
      <c r="H15" s="119"/>
      <c r="I15" s="128"/>
    </row>
    <row r="16" spans="1:22" s="120" customFormat="1" ht="15.75" customHeight="1">
      <c r="A16" s="121"/>
      <c r="B16" s="115"/>
      <c r="C16" s="123"/>
      <c r="D16" s="123"/>
      <c r="E16" s="124"/>
      <c r="F16" s="125"/>
      <c r="G16" s="118"/>
      <c r="H16" s="119"/>
      <c r="I16" s="128"/>
      <c r="P16" s="113"/>
      <c r="S16" s="113"/>
      <c r="U16" s="113"/>
    </row>
    <row r="17" spans="1:21" s="120" customFormat="1" ht="15.75" customHeight="1">
      <c r="A17" s="121"/>
      <c r="B17" s="115"/>
      <c r="C17" s="123"/>
      <c r="D17" s="123"/>
      <c r="E17" s="124"/>
      <c r="F17" s="124"/>
      <c r="G17" s="138"/>
      <c r="H17" s="139"/>
      <c r="I17" s="128"/>
      <c r="P17" s="113"/>
      <c r="S17" s="113"/>
      <c r="U17" s="113"/>
    </row>
    <row r="18" spans="1:21" s="120" customFormat="1" ht="15.75" customHeight="1">
      <c r="A18" s="121"/>
      <c r="B18" s="115"/>
      <c r="C18" s="123"/>
      <c r="D18" s="123"/>
      <c r="E18" s="124"/>
      <c r="F18" s="124"/>
      <c r="G18" s="138"/>
      <c r="H18" s="139"/>
      <c r="I18" s="128"/>
      <c r="P18" s="113"/>
      <c r="S18" s="113"/>
      <c r="U18" s="113"/>
    </row>
    <row r="19" spans="1:21" s="120" customFormat="1" ht="15.75" customHeight="1">
      <c r="A19" s="121"/>
      <c r="B19" s="115"/>
      <c r="C19" s="123"/>
      <c r="D19" s="123"/>
      <c r="E19" s="123"/>
      <c r="F19" s="125"/>
      <c r="G19" s="138"/>
      <c r="H19" s="139"/>
      <c r="I19" s="128"/>
      <c r="S19" s="140"/>
      <c r="T19" s="113"/>
      <c r="U19" s="135"/>
    </row>
    <row r="20" spans="1:21" s="120" customFormat="1" ht="15.75" customHeight="1">
      <c r="A20" s="141"/>
      <c r="B20" s="115"/>
      <c r="C20" s="123"/>
      <c r="D20" s="123"/>
      <c r="E20" s="123"/>
      <c r="F20" s="123"/>
      <c r="G20" s="142"/>
      <c r="H20" s="87"/>
      <c r="I20" s="128"/>
    </row>
    <row r="21" spans="1:21" s="120" customFormat="1" ht="15.75" customHeight="1">
      <c r="A21" s="141"/>
      <c r="B21" s="115"/>
      <c r="C21" s="123"/>
      <c r="D21" s="123"/>
      <c r="E21" s="123"/>
      <c r="F21" s="125"/>
      <c r="G21" s="2725"/>
      <c r="H21" s="2726"/>
      <c r="I21" s="128"/>
    </row>
    <row r="22" spans="1:21" s="120" customFormat="1" ht="15.75" customHeight="1">
      <c r="A22" s="143"/>
      <c r="B22" s="115"/>
      <c r="C22" s="123"/>
      <c r="D22" s="123"/>
      <c r="E22" s="123"/>
      <c r="F22" s="123"/>
      <c r="G22" s="2725"/>
      <c r="H22" s="2726"/>
      <c r="I22" s="128"/>
    </row>
    <row r="23" spans="1:21" s="120" customFormat="1" ht="15.75" customHeight="1">
      <c r="A23" s="143"/>
      <c r="B23" s="115"/>
      <c r="C23" s="123"/>
      <c r="D23" s="123"/>
      <c r="E23" s="123"/>
      <c r="F23" s="123"/>
      <c r="G23" s="2725"/>
      <c r="H23" s="2726"/>
      <c r="I23" s="128"/>
    </row>
    <row r="24" spans="1:21" s="120" customFormat="1" ht="15.75" customHeight="1" thickBot="1">
      <c r="A24" s="144"/>
      <c r="B24" s="145"/>
      <c r="C24" s="146"/>
      <c r="D24" s="146"/>
      <c r="E24" s="123"/>
      <c r="F24" s="146"/>
      <c r="G24" s="147"/>
      <c r="H24" s="148"/>
      <c r="I24" s="128"/>
    </row>
    <row r="25" spans="1:21" s="120" customFormat="1" ht="13.8" thickBot="1">
      <c r="A25" s="149"/>
      <c r="B25" s="150"/>
      <c r="C25" s="151">
        <f>SUM(C11:C22)</f>
        <v>198351.75</v>
      </c>
      <c r="D25" s="151">
        <f>SUM(D11:D22)</f>
        <v>0</v>
      </c>
      <c r="E25" s="151">
        <f>SUM(E11:E22)</f>
        <v>198351.75</v>
      </c>
      <c r="F25" s="152">
        <v>1</v>
      </c>
      <c r="G25" s="153"/>
      <c r="H25" s="154"/>
    </row>
    <row r="26" spans="1:21" ht="44.25" customHeight="1">
      <c r="A26" s="2727" t="s">
        <v>49</v>
      </c>
      <c r="B26" s="2728"/>
      <c r="C26" s="2728"/>
      <c r="D26" s="2728"/>
      <c r="E26" s="2728"/>
      <c r="F26" s="2728"/>
      <c r="G26" s="2729"/>
      <c r="H26" s="2730"/>
      <c r="I26" s="155"/>
    </row>
    <row r="27" spans="1:21" ht="20.25" customHeight="1">
      <c r="A27" s="156" t="s">
        <v>26</v>
      </c>
      <c r="B27" s="113" t="s">
        <v>27</v>
      </c>
      <c r="C27" s="157" t="s">
        <v>28</v>
      </c>
      <c r="E27" s="157" t="s">
        <v>29</v>
      </c>
      <c r="H27" s="158"/>
      <c r="I27" s="155"/>
    </row>
    <row r="28" spans="1:21" ht="18" customHeight="1" thickBot="1">
      <c r="A28" s="2713" t="s">
        <v>30</v>
      </c>
      <c r="B28" s="2714"/>
      <c r="C28" s="2714"/>
      <c r="D28" s="2714"/>
      <c r="E28" s="159"/>
      <c r="F28" s="159"/>
      <c r="G28" s="159"/>
      <c r="H28" s="160"/>
    </row>
  </sheetData>
  <mergeCells count="9">
    <mergeCell ref="G5:H6"/>
    <mergeCell ref="A28:D28"/>
    <mergeCell ref="A5:A6"/>
    <mergeCell ref="B5:B6"/>
    <mergeCell ref="C5:E5"/>
    <mergeCell ref="G11:H12"/>
    <mergeCell ref="G21:H22"/>
    <mergeCell ref="G23:H23"/>
    <mergeCell ref="A26:H26"/>
  </mergeCells>
  <phoneticPr fontId="43" type="noConversion"/>
  <pageMargins left="0.75" right="0.75" top="1" bottom="1" header="0.5" footer="0.5"/>
  <pageSetup scale="80" orientation="landscape" r:id="rId1"/>
  <headerFooter alignWithMargins="0"/>
  <colBreaks count="1" manualBreakCount="1">
    <brk id="8" max="27"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61"/>
  <sheetViews>
    <sheetView topLeftCell="A19" zoomScaleNormal="100" workbookViewId="0"/>
  </sheetViews>
  <sheetFormatPr defaultColWidth="8" defaultRowHeight="13.2"/>
  <cols>
    <col min="1" max="1" width="42.59765625" style="163" customWidth="1"/>
    <col min="2" max="2" width="15.5" style="164" customWidth="1"/>
    <col min="3" max="3" width="14.09765625" style="164" customWidth="1"/>
    <col min="4" max="4" width="13.59765625" style="164" customWidth="1"/>
    <col min="5" max="5" width="10.5" style="168" customWidth="1"/>
    <col min="6" max="8" width="8" style="166" customWidth="1"/>
    <col min="9" max="16384" width="8" style="163"/>
  </cols>
  <sheetData>
    <row r="1" spans="1:7">
      <c r="A1" s="162" t="s">
        <v>111</v>
      </c>
      <c r="B1" s="163"/>
      <c r="D1" s="165" t="s">
        <v>31</v>
      </c>
      <c r="E1" s="166"/>
    </row>
    <row r="2" spans="1:7">
      <c r="A2" s="162" t="s">
        <v>169</v>
      </c>
      <c r="B2" s="163"/>
      <c r="C2" s="167" t="s">
        <v>32</v>
      </c>
      <c r="D2" s="163"/>
    </row>
    <row r="3" spans="1:7" ht="13.8" thickBot="1">
      <c r="A3" s="169" t="s">
        <v>112</v>
      </c>
      <c r="B3" s="170"/>
      <c r="C3" s="170"/>
      <c r="D3" s="171"/>
      <c r="E3" s="172"/>
      <c r="F3" s="173"/>
      <c r="G3" s="173"/>
    </row>
    <row r="4" spans="1:7">
      <c r="A4" s="162"/>
      <c r="B4" s="163"/>
      <c r="C4" s="163"/>
      <c r="D4" s="174"/>
      <c r="E4" s="174"/>
      <c r="F4" s="174"/>
    </row>
    <row r="5" spans="1:7">
      <c r="A5" s="162"/>
      <c r="B5" s="163"/>
      <c r="C5" s="163"/>
      <c r="D5" s="175"/>
      <c r="E5" s="163"/>
    </row>
    <row r="6" spans="1:7">
      <c r="A6" s="176" t="s">
        <v>33</v>
      </c>
    </row>
    <row r="7" spans="1:7">
      <c r="A7" s="177" t="s">
        <v>34</v>
      </c>
    </row>
    <row r="8" spans="1:7">
      <c r="A8" s="178" t="s">
        <v>35</v>
      </c>
    </row>
    <row r="9" spans="1:7">
      <c r="A9" s="163" t="s">
        <v>249</v>
      </c>
    </row>
    <row r="10" spans="1:7" ht="6" customHeight="1"/>
    <row r="11" spans="1:7">
      <c r="A11" s="176" t="s">
        <v>250</v>
      </c>
    </row>
    <row r="12" spans="1:7">
      <c r="A12" s="179" t="s">
        <v>251</v>
      </c>
    </row>
    <row r="13" spans="1:7">
      <c r="A13" s="179" t="s">
        <v>252</v>
      </c>
    </row>
    <row r="14" spans="1:7" ht="6" customHeight="1"/>
    <row r="15" spans="1:7">
      <c r="A15" s="176" t="s">
        <v>253</v>
      </c>
    </row>
    <row r="16" spans="1:7" ht="5.25" customHeight="1"/>
    <row r="17" spans="1:5">
      <c r="A17" s="163" t="s">
        <v>254</v>
      </c>
    </row>
    <row r="18" spans="1:5">
      <c r="A18" s="163" t="s">
        <v>255</v>
      </c>
    </row>
    <row r="19" spans="1:5">
      <c r="A19" s="163" t="s">
        <v>256</v>
      </c>
    </row>
    <row r="20" spans="1:5">
      <c r="A20" s="163" t="s">
        <v>257</v>
      </c>
    </row>
    <row r="21" spans="1:5">
      <c r="A21" s="163" t="s">
        <v>258</v>
      </c>
    </row>
    <row r="22" spans="1:5">
      <c r="A22" s="163" t="s">
        <v>259</v>
      </c>
    </row>
    <row r="23" spans="1:5" ht="7.5" customHeight="1"/>
    <row r="24" spans="1:5">
      <c r="A24" s="176" t="s">
        <v>260</v>
      </c>
    </row>
    <row r="25" spans="1:5" ht="6.75" customHeight="1">
      <c r="A25" s="162"/>
    </row>
    <row r="26" spans="1:5">
      <c r="A26" s="176" t="s">
        <v>261</v>
      </c>
    </row>
    <row r="27" spans="1:5" ht="13.8" thickBot="1">
      <c r="A27" s="176"/>
    </row>
    <row r="28" spans="1:5" ht="42.75" customHeight="1" thickBot="1">
      <c r="A28" s="180" t="s">
        <v>262</v>
      </c>
      <c r="B28" s="181" t="s">
        <v>169</v>
      </c>
      <c r="C28" s="182"/>
      <c r="D28" s="182"/>
      <c r="E28" s="183"/>
    </row>
    <row r="29" spans="1:5">
      <c r="B29" s="184" t="s">
        <v>263</v>
      </c>
      <c r="C29" s="185"/>
      <c r="D29" s="185"/>
      <c r="E29" s="186"/>
    </row>
    <row r="30" spans="1:5">
      <c r="C30" s="187"/>
      <c r="D30" s="187"/>
      <c r="E30" s="188"/>
    </row>
    <row r="31" spans="1:5" ht="13.8" thickBot="1">
      <c r="A31" s="189" t="s">
        <v>264</v>
      </c>
      <c r="B31" s="190"/>
      <c r="C31" s="190"/>
      <c r="D31" s="191"/>
      <c r="E31" s="192"/>
    </row>
    <row r="32" spans="1:5">
      <c r="A32" s="193"/>
      <c r="B32" s="190"/>
      <c r="C32" s="190"/>
      <c r="D32" s="191"/>
      <c r="E32" s="192"/>
    </row>
    <row r="33" spans="1:8" s="166" customFormat="1">
      <c r="A33" s="193" t="s">
        <v>265</v>
      </c>
      <c r="B33" s="190">
        <f>ROUND((74704019.55+1796730.57)/1000,3)</f>
        <v>76500.75</v>
      </c>
      <c r="C33" s="190"/>
      <c r="D33" s="191"/>
      <c r="E33" s="192"/>
    </row>
    <row r="34" spans="1:8" s="166" customFormat="1">
      <c r="A34" s="193"/>
      <c r="B34" s="190"/>
      <c r="C34" s="190"/>
      <c r="D34" s="191"/>
      <c r="E34" s="192"/>
    </row>
    <row r="35" spans="1:8" s="166" customFormat="1">
      <c r="A35" s="193" t="s">
        <v>266</v>
      </c>
      <c r="B35" s="190">
        <f>ROUND((19947061.12+14960520+298095+17000000)/1000,0)</f>
        <v>52206</v>
      </c>
      <c r="C35" s="190"/>
      <c r="D35" s="191"/>
      <c r="E35" s="192"/>
    </row>
    <row r="36" spans="1:8" s="166" customFormat="1">
      <c r="A36" s="193"/>
      <c r="B36" s="190"/>
      <c r="C36" s="190"/>
      <c r="D36" s="191"/>
      <c r="E36" s="192"/>
    </row>
    <row r="37" spans="1:8" s="166" customFormat="1">
      <c r="A37" s="193" t="s">
        <v>43</v>
      </c>
      <c r="B37" s="190">
        <f>ROUND((69679334-34389)/1000,0)</f>
        <v>69645</v>
      </c>
      <c r="C37" s="190"/>
      <c r="D37" s="191"/>
      <c r="E37" s="192"/>
    </row>
    <row r="38" spans="1:8" s="166" customFormat="1">
      <c r="A38" s="193"/>
      <c r="B38" s="190"/>
      <c r="C38" s="190"/>
      <c r="D38" s="191"/>
      <c r="E38" s="192"/>
    </row>
    <row r="39" spans="1:8" ht="13.8" thickBot="1">
      <c r="A39" s="162" t="s">
        <v>44</v>
      </c>
      <c r="B39" s="194">
        <f>SUM(B33:B38)</f>
        <v>198351.75</v>
      </c>
      <c r="C39" s="195"/>
      <c r="D39" s="195"/>
      <c r="E39" s="196"/>
    </row>
    <row r="40" spans="1:8" ht="9" customHeight="1" thickTop="1">
      <c r="B40" s="197"/>
      <c r="C40" s="198"/>
      <c r="D40" s="199"/>
      <c r="E40" s="200"/>
    </row>
    <row r="41" spans="1:8" s="164" customFormat="1">
      <c r="A41" s="176" t="s">
        <v>45</v>
      </c>
      <c r="B41" s="201"/>
      <c r="C41" s="199"/>
      <c r="D41" s="202"/>
      <c r="E41" s="200"/>
      <c r="F41" s="166"/>
      <c r="G41" s="166"/>
      <c r="H41" s="166"/>
    </row>
    <row r="42" spans="1:8" s="164" customFormat="1">
      <c r="A42" s="163" t="s">
        <v>46</v>
      </c>
      <c r="B42" s="201"/>
      <c r="C42" s="201"/>
      <c r="D42" s="163"/>
      <c r="E42" s="203"/>
      <c r="F42" s="166"/>
      <c r="G42" s="166"/>
      <c r="H42" s="166"/>
    </row>
    <row r="43" spans="1:8" s="164" customFormat="1" ht="6.75" customHeight="1">
      <c r="A43" s="163"/>
      <c r="B43" s="201"/>
      <c r="C43" s="201"/>
      <c r="D43" s="201"/>
      <c r="E43" s="203"/>
      <c r="F43" s="166"/>
      <c r="G43" s="166"/>
      <c r="H43" s="166"/>
    </row>
    <row r="44" spans="1:8" s="166" customFormat="1">
      <c r="A44" s="176" t="s">
        <v>47</v>
      </c>
      <c r="B44" s="201"/>
      <c r="C44" s="201"/>
      <c r="D44" s="201"/>
      <c r="E44" s="203"/>
    </row>
    <row r="45" spans="1:8" s="166" customFormat="1">
      <c r="A45" s="204" t="s">
        <v>48</v>
      </c>
      <c r="B45" s="201"/>
      <c r="C45" s="201"/>
      <c r="D45" s="201"/>
      <c r="E45" s="203"/>
    </row>
    <row r="46" spans="1:8" s="166" customFormat="1">
      <c r="A46" s="163"/>
      <c r="B46" s="201"/>
      <c r="C46" s="201"/>
      <c r="D46" s="201"/>
      <c r="E46" s="203"/>
    </row>
    <row r="47" spans="1:8" s="166" customFormat="1">
      <c r="A47" s="163"/>
      <c r="C47" s="201"/>
      <c r="D47" s="201"/>
    </row>
    <row r="48" spans="1:8" s="166" customFormat="1">
      <c r="A48" s="163"/>
      <c r="C48" s="201"/>
      <c r="D48" s="201"/>
      <c r="E48" s="203"/>
    </row>
    <row r="49" spans="1:8" s="166" customFormat="1">
      <c r="A49" s="163"/>
      <c r="C49" s="164"/>
      <c r="D49" s="164"/>
      <c r="E49" s="168"/>
    </row>
    <row r="50" spans="1:8" s="166" customFormat="1">
      <c r="A50" s="163"/>
      <c r="C50" s="164"/>
      <c r="D50" s="164"/>
      <c r="E50" s="168"/>
    </row>
    <row r="51" spans="1:8" s="166" customFormat="1">
      <c r="A51" s="163"/>
      <c r="C51" s="164"/>
      <c r="D51" s="164"/>
      <c r="E51" s="168"/>
    </row>
    <row r="52" spans="1:8" s="166" customFormat="1">
      <c r="A52" s="163"/>
      <c r="C52" s="164"/>
      <c r="D52" s="164"/>
      <c r="E52" s="168"/>
    </row>
    <row r="53" spans="1:8" s="166" customFormat="1">
      <c r="A53" s="163"/>
      <c r="C53" s="164"/>
      <c r="D53" s="164"/>
      <c r="E53" s="168"/>
    </row>
    <row r="54" spans="1:8" s="166" customFormat="1">
      <c r="A54" s="163"/>
      <c r="C54" s="164"/>
      <c r="D54" s="164"/>
      <c r="E54" s="168"/>
    </row>
    <row r="55" spans="1:8" s="166" customFormat="1">
      <c r="A55" s="163"/>
      <c r="C55" s="164"/>
      <c r="D55" s="164"/>
      <c r="E55" s="168"/>
    </row>
    <row r="56" spans="1:8" s="166" customFormat="1">
      <c r="A56" s="163"/>
      <c r="C56" s="164"/>
      <c r="D56" s="164"/>
      <c r="E56" s="168"/>
    </row>
    <row r="57" spans="1:8" s="166" customFormat="1">
      <c r="A57" s="163"/>
      <c r="C57" s="164"/>
      <c r="D57" s="164"/>
      <c r="E57" s="168"/>
    </row>
    <row r="58" spans="1:8" s="166" customFormat="1">
      <c r="A58" s="163"/>
      <c r="C58" s="164"/>
      <c r="D58" s="164"/>
      <c r="E58" s="168"/>
    </row>
    <row r="59" spans="1:8" s="166" customFormat="1">
      <c r="A59" s="163"/>
      <c r="C59" s="164"/>
      <c r="D59" s="164"/>
      <c r="E59" s="168"/>
    </row>
    <row r="60" spans="1:8" s="166" customFormat="1">
      <c r="A60" s="163"/>
      <c r="C60" s="164"/>
      <c r="D60" s="164"/>
      <c r="E60" s="168"/>
    </row>
    <row r="61" spans="1:8" s="164" customFormat="1">
      <c r="A61" s="163"/>
      <c r="B61" s="166"/>
      <c r="E61" s="168"/>
      <c r="F61" s="166"/>
      <c r="G61" s="166"/>
      <c r="H61" s="166"/>
    </row>
  </sheetData>
  <phoneticPr fontId="21" type="noConversion"/>
  <pageMargins left="0.61" right="0.18" top="0.44" bottom="0.28000000000000003" header="0.17" footer="0.18"/>
  <pageSetup paperSize="9" scale="92" orientation="portrait" r:id="rId1"/>
  <headerFooter alignWithMargins="0"/>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T57"/>
  <sheetViews>
    <sheetView view="pageBreakPreview" topLeftCell="A3" zoomScaleNormal="100" zoomScaleSheetLayoutView="100" workbookViewId="0">
      <selection activeCell="I14" sqref="I14"/>
    </sheetView>
  </sheetViews>
  <sheetFormatPr defaultColWidth="9" defaultRowHeight="11.4"/>
  <cols>
    <col min="1" max="1" width="5.09765625" style="8" customWidth="1"/>
    <col min="2" max="2" width="2.09765625" style="8" customWidth="1"/>
    <col min="3" max="3" width="34.59765625" style="8" customWidth="1"/>
    <col min="4" max="4" width="4" style="8" bestFit="1" customWidth="1"/>
    <col min="5" max="5" width="8.59765625" style="8" customWidth="1"/>
    <col min="6" max="6" width="1" style="845" customWidth="1"/>
    <col min="7" max="7" width="8.59765625" style="845" customWidth="1"/>
    <col min="8" max="8" width="1" style="845" customWidth="1"/>
    <col min="9" max="9" width="8.09765625" style="845" customWidth="1"/>
    <col min="10" max="10" width="1" style="8" customWidth="1"/>
    <col min="11" max="11" width="8.59765625" style="8" customWidth="1"/>
    <col min="12" max="12" width="8.59765625" style="845" customWidth="1"/>
    <col min="13" max="13" width="13.09765625" style="8" customWidth="1"/>
    <col min="14" max="14" width="14.5" style="8" bestFit="1" customWidth="1"/>
    <col min="15" max="18" width="9" style="8"/>
    <col min="19" max="19" width="9.5" style="8" bestFit="1" customWidth="1"/>
    <col min="20" max="16384" width="9" style="8"/>
  </cols>
  <sheetData>
    <row r="1" spans="1:20" ht="12">
      <c r="A1" s="536" t="str">
        <f>BS!$A$1</f>
        <v>MCB PAKISTAN STOCK MARKET FUND</v>
      </c>
      <c r="B1" s="9"/>
      <c r="C1" s="9"/>
      <c r="D1" s="9"/>
      <c r="E1" s="9"/>
      <c r="F1" s="715"/>
      <c r="G1" s="715"/>
      <c r="H1" s="715"/>
      <c r="I1" s="715"/>
      <c r="K1" s="9"/>
      <c r="L1" s="715"/>
      <c r="M1" s="9"/>
    </row>
    <row r="2" spans="1:20" ht="12">
      <c r="A2" s="9" t="s">
        <v>726</v>
      </c>
      <c r="B2" s="9"/>
      <c r="C2" s="9"/>
      <c r="D2" s="9"/>
      <c r="E2" s="9"/>
      <c r="F2" s="715"/>
      <c r="G2" s="715"/>
      <c r="H2" s="715"/>
      <c r="I2" s="715"/>
      <c r="K2" s="9"/>
      <c r="L2" s="715"/>
      <c r="M2" s="9"/>
    </row>
    <row r="3" spans="1:20" ht="12">
      <c r="A3" s="9" t="str">
        <f>+IS!A3</f>
        <v>FOR THE NINE MONTHS AND QUARTER ENDED MARCH 31, 2022</v>
      </c>
      <c r="B3" s="9"/>
      <c r="C3" s="9"/>
      <c r="D3" s="9"/>
      <c r="E3" s="9"/>
      <c r="F3" s="715"/>
      <c r="G3" s="715"/>
      <c r="H3" s="715"/>
      <c r="I3" s="715"/>
      <c r="K3" s="9"/>
      <c r="L3" s="715"/>
      <c r="M3" s="9">
        <v>38728225</v>
      </c>
      <c r="N3" s="1030">
        <v>22923854</v>
      </c>
      <c r="O3" s="1030">
        <f>M3-N3</f>
        <v>15804371</v>
      </c>
    </row>
    <row r="4" spans="1:20" ht="12">
      <c r="A4" s="9"/>
      <c r="B4" s="9"/>
      <c r="C4" s="9"/>
      <c r="D4" s="9"/>
      <c r="E4" s="9"/>
      <c r="F4" s="715"/>
      <c r="G4" s="715"/>
      <c r="H4" s="715"/>
      <c r="I4" s="715"/>
      <c r="K4" s="9"/>
      <c r="L4" s="715"/>
      <c r="M4" s="9"/>
    </row>
    <row r="5" spans="1:20" s="317" customFormat="1" ht="10.199999999999999">
      <c r="A5" s="213"/>
      <c r="B5" s="213"/>
      <c r="C5" s="213"/>
      <c r="D5" s="213"/>
      <c r="E5" s="2331" t="s">
        <v>705</v>
      </c>
      <c r="F5" s="2331"/>
      <c r="G5" s="2331"/>
      <c r="H5" s="940"/>
      <c r="I5" s="2331" t="s">
        <v>706</v>
      </c>
      <c r="J5" s="2331"/>
      <c r="K5" s="2331"/>
      <c r="L5" s="1023"/>
      <c r="M5" s="940"/>
    </row>
    <row r="6" spans="1:20" s="317" customFormat="1" ht="10.199999999999999">
      <c r="A6" s="213"/>
      <c r="B6" s="213"/>
      <c r="C6" s="213"/>
      <c r="D6" s="213"/>
      <c r="E6" s="2332" t="s">
        <v>624</v>
      </c>
      <c r="F6" s="2332"/>
      <c r="G6" s="2332"/>
      <c r="H6" s="939"/>
      <c r="I6" s="2332" t="s">
        <v>624</v>
      </c>
      <c r="J6" s="2332"/>
      <c r="K6" s="2332"/>
      <c r="L6" s="1022"/>
      <c r="M6" s="939" t="s">
        <v>626</v>
      </c>
    </row>
    <row r="7" spans="1:20" s="317" customFormat="1" ht="10.199999999999999">
      <c r="A7" s="213"/>
      <c r="B7" s="213"/>
      <c r="C7" s="213"/>
      <c r="D7" s="213"/>
      <c r="E7" s="939" t="s">
        <v>1153</v>
      </c>
      <c r="F7" s="939"/>
      <c r="G7" s="939" t="s">
        <v>990</v>
      </c>
      <c r="H7" s="939"/>
      <c r="I7" s="939" t="s">
        <v>1153</v>
      </c>
      <c r="J7" s="939"/>
      <c r="K7" s="939" t="s">
        <v>990</v>
      </c>
      <c r="L7" s="1022"/>
      <c r="M7" s="939" t="s">
        <v>990</v>
      </c>
    </row>
    <row r="8" spans="1:20" s="317" customFormat="1" ht="10.199999999999999">
      <c r="A8" s="213"/>
      <c r="B8" s="213"/>
      <c r="C8" s="213"/>
      <c r="D8" s="213"/>
      <c r="E8" s="2335" t="s">
        <v>1068</v>
      </c>
      <c r="F8" s="2335"/>
      <c r="G8" s="2335"/>
      <c r="H8" s="2335"/>
      <c r="I8" s="2335" t="s">
        <v>1068</v>
      </c>
      <c r="J8" s="2335"/>
      <c r="K8" s="2335"/>
      <c r="L8" s="2335"/>
      <c r="M8" s="844"/>
    </row>
    <row r="9" spans="1:20" s="317" customFormat="1" ht="10.199999999999999">
      <c r="A9" s="213"/>
      <c r="B9" s="213"/>
      <c r="C9" s="213"/>
      <c r="D9" s="213"/>
      <c r="E9" s="843"/>
      <c r="F9" s="843"/>
      <c r="G9" s="843"/>
      <c r="H9" s="843"/>
      <c r="I9" s="843"/>
      <c r="K9" s="843"/>
      <c r="L9" s="843"/>
      <c r="M9" s="843"/>
    </row>
    <row r="10" spans="1:20" s="317" customFormat="1" ht="10.199999999999999">
      <c r="A10" s="349" t="s">
        <v>465</v>
      </c>
      <c r="E10" s="230">
        <f>BS!$H$30</f>
        <v>12397182.1</v>
      </c>
      <c r="F10" s="230"/>
      <c r="G10" s="230">
        <v>6075006</v>
      </c>
      <c r="H10" s="230"/>
      <c r="I10" s="230">
        <f>$M$44</f>
        <v>7910020.5</v>
      </c>
      <c r="K10" s="230">
        <v>6266068</v>
      </c>
      <c r="L10" s="230"/>
      <c r="M10" s="943">
        <v>8017886</v>
      </c>
      <c r="N10" s="953">
        <f>E10-I10</f>
        <v>4487161.5999999996</v>
      </c>
    </row>
    <row r="11" spans="1:20" s="317" customFormat="1" ht="10.199999999999999">
      <c r="E11" s="870"/>
      <c r="I11" s="870"/>
      <c r="M11" s="937"/>
      <c r="N11" s="953">
        <f t="shared" ref="N11:N44" si="0">E11-I11</f>
        <v>0</v>
      </c>
    </row>
    <row r="12" spans="1:20" s="317" customFormat="1" ht="10.199999999999999">
      <c r="A12" s="927" t="s">
        <v>2303</v>
      </c>
      <c r="E12" s="963"/>
      <c r="G12" s="964"/>
      <c r="I12" s="963"/>
      <c r="K12" s="965"/>
      <c r="L12" s="937"/>
      <c r="M12" s="937"/>
      <c r="N12" s="953">
        <f t="shared" si="0"/>
        <v>0</v>
      </c>
    </row>
    <row r="13" spans="1:20" s="317" customFormat="1" ht="10.199999999999999">
      <c r="A13" s="926" t="s">
        <v>1172</v>
      </c>
      <c r="E13" s="945">
        <f>CFs!$H$38</f>
        <v>3855360.49</v>
      </c>
      <c r="F13" s="943"/>
      <c r="G13" s="945">
        <v>4172735</v>
      </c>
      <c r="H13" s="943"/>
      <c r="I13" s="945">
        <f>E13-M13</f>
        <v>1605074.2400000002</v>
      </c>
      <c r="K13" s="945">
        <v>2849646</v>
      </c>
      <c r="L13" s="943"/>
      <c r="M13" s="943">
        <v>2250286.25</v>
      </c>
      <c r="N13" s="953">
        <f t="shared" si="0"/>
        <v>2250286.25</v>
      </c>
      <c r="R13" s="966"/>
      <c r="S13" s="966"/>
      <c r="T13" s="966"/>
    </row>
    <row r="14" spans="1:20" s="317" customFormat="1" ht="10.199999999999999">
      <c r="A14" s="928" t="s">
        <v>1174</v>
      </c>
      <c r="E14" s="945"/>
      <c r="F14" s="943"/>
      <c r="G14" s="945"/>
      <c r="H14" s="943"/>
      <c r="I14" s="945"/>
      <c r="K14" s="945"/>
      <c r="L14" s="943"/>
      <c r="M14" s="943"/>
      <c r="N14" s="953">
        <f t="shared" si="0"/>
        <v>0</v>
      </c>
      <c r="R14" s="966"/>
      <c r="S14" s="966"/>
      <c r="T14" s="966"/>
    </row>
    <row r="15" spans="1:20" s="317" customFormat="1" ht="10.199999999999999">
      <c r="A15" s="926" t="s">
        <v>1173</v>
      </c>
      <c r="E15" s="948">
        <f>CFs!$H$39</f>
        <v>-5003786.5</v>
      </c>
      <c r="F15" s="943"/>
      <c r="G15" s="967">
        <v>-3621217</v>
      </c>
      <c r="H15" s="943"/>
      <c r="I15" s="947">
        <f>ROUND(E15-M15,0)</f>
        <v>-1945962</v>
      </c>
      <c r="K15" s="948">
        <v>-2421551</v>
      </c>
      <c r="L15" s="943"/>
      <c r="M15" s="943">
        <v>-3057824.25</v>
      </c>
      <c r="N15" s="953">
        <f t="shared" si="0"/>
        <v>-3057824.5</v>
      </c>
      <c r="R15" s="966"/>
      <c r="S15" s="966"/>
      <c r="T15" s="966"/>
    </row>
    <row r="16" spans="1:20" s="317" customFormat="1" ht="10.199999999999999">
      <c r="E16" s="230">
        <f>SUM(E13:E15)</f>
        <v>-1148426.0099999998</v>
      </c>
      <c r="F16" s="230"/>
      <c r="G16" s="230">
        <f>SUM(G13:G15)</f>
        <v>551518</v>
      </c>
      <c r="H16" s="230"/>
      <c r="I16" s="230">
        <f>SUM(I13:I15)</f>
        <v>-340887.75999999978</v>
      </c>
      <c r="K16" s="230">
        <f>+SUM(K13:K15)</f>
        <v>428095</v>
      </c>
      <c r="L16" s="230"/>
      <c r="M16" s="943">
        <f>SUM(M13:M15)</f>
        <v>-807538</v>
      </c>
      <c r="N16" s="953">
        <f t="shared" si="0"/>
        <v>-807538.25</v>
      </c>
    </row>
    <row r="17" spans="1:14" s="317" customFormat="1" ht="10.199999999999999">
      <c r="A17" s="950"/>
      <c r="E17" s="230"/>
      <c r="F17" s="230"/>
      <c r="G17" s="230"/>
      <c r="H17" s="230"/>
      <c r="I17" s="230"/>
      <c r="K17" s="230"/>
      <c r="L17" s="230"/>
      <c r="M17" s="943"/>
      <c r="N17" s="953">
        <f t="shared" si="0"/>
        <v>0</v>
      </c>
    </row>
    <row r="18" spans="1:14" s="317" customFormat="1" ht="10.199999999999999">
      <c r="A18" s="919" t="s">
        <v>1010</v>
      </c>
      <c r="E18" s="230"/>
      <c r="F18" s="230"/>
      <c r="G18" s="230"/>
      <c r="H18" s="230"/>
      <c r="I18" s="230"/>
      <c r="K18" s="230"/>
      <c r="L18" s="230"/>
      <c r="M18" s="943"/>
      <c r="N18" s="953">
        <f t="shared" si="0"/>
        <v>0</v>
      </c>
    </row>
    <row r="19" spans="1:14" s="317" customFormat="1" ht="10.199999999999999">
      <c r="A19" s="920" t="s">
        <v>1011</v>
      </c>
      <c r="E19" s="230"/>
      <c r="F19" s="230"/>
      <c r="G19" s="230"/>
      <c r="H19" s="230"/>
      <c r="I19" s="230"/>
      <c r="K19" s="230"/>
      <c r="L19" s="230"/>
      <c r="M19" s="943"/>
      <c r="N19" s="953">
        <f t="shared" si="0"/>
        <v>0</v>
      </c>
    </row>
    <row r="20" spans="1:14" s="317" customFormat="1" ht="10.199999999999999">
      <c r="A20" s="921" t="s">
        <v>1012</v>
      </c>
      <c r="E20" s="942"/>
      <c r="F20" s="230"/>
      <c r="G20" s="942"/>
      <c r="H20" s="230"/>
      <c r="I20" s="942"/>
      <c r="K20" s="942"/>
      <c r="L20" s="943"/>
      <c r="M20" s="943"/>
      <c r="N20" s="953">
        <f t="shared" si="0"/>
        <v>0</v>
      </c>
    </row>
    <row r="21" spans="1:14" s="317" customFormat="1" ht="10.199999999999999">
      <c r="A21" s="922" t="s">
        <v>1013</v>
      </c>
      <c r="E21" s="945"/>
      <c r="F21" s="230"/>
      <c r="G21" s="945"/>
      <c r="H21" s="230"/>
      <c r="I21" s="945"/>
      <c r="K21" s="945"/>
      <c r="L21" s="943"/>
      <c r="M21" s="943"/>
      <c r="N21" s="953">
        <f t="shared" si="0"/>
        <v>0</v>
      </c>
    </row>
    <row r="22" spans="1:14" s="317" customFormat="1" ht="10.199999999999999">
      <c r="A22" s="923"/>
      <c r="B22" s="924" t="s">
        <v>1095</v>
      </c>
      <c r="E22" s="945" t="e">
        <f>-IS!#REF!</f>
        <v>#REF!</v>
      </c>
      <c r="F22" s="230"/>
      <c r="G22" s="945">
        <v>-61486</v>
      </c>
      <c r="H22" s="230"/>
      <c r="I22" s="945" t="e">
        <f>ROUND(E22-M22,0)-0.5</f>
        <v>#REF!</v>
      </c>
      <c r="K22" s="945">
        <v>-36477</v>
      </c>
      <c r="L22" s="943"/>
      <c r="M22" s="943">
        <v>-8425.75</v>
      </c>
      <c r="N22" s="870" t="e">
        <f t="shared" si="0"/>
        <v>#REF!</v>
      </c>
    </row>
    <row r="23" spans="1:14" s="317" customFormat="1" ht="10.199999999999999">
      <c r="A23" s="923"/>
      <c r="B23" s="924" t="s">
        <v>1094</v>
      </c>
      <c r="E23" s="945" t="e">
        <f>-IS!#REF!</f>
        <v>#REF!</v>
      </c>
      <c r="F23" s="230"/>
      <c r="G23" s="945">
        <v>5554</v>
      </c>
      <c r="H23" s="230"/>
      <c r="I23" s="945" t="e">
        <f>E23-M23-0.1</f>
        <v>#REF!</v>
      </c>
      <c r="K23" s="945">
        <v>2806</v>
      </c>
      <c r="L23" s="943"/>
      <c r="M23" s="943">
        <v>2100</v>
      </c>
      <c r="N23" s="953" t="e">
        <f t="shared" si="0"/>
        <v>#REF!</v>
      </c>
    </row>
    <row r="24" spans="1:14" s="317" customFormat="1" ht="10.199999999999999">
      <c r="A24" s="921" t="s">
        <v>1101</v>
      </c>
      <c r="E24" s="945"/>
      <c r="F24" s="230"/>
      <c r="G24" s="945"/>
      <c r="H24" s="230"/>
      <c r="I24" s="945"/>
      <c r="K24" s="945"/>
      <c r="L24" s="943"/>
      <c r="M24" s="943"/>
      <c r="N24" s="953">
        <f t="shared" si="0"/>
        <v>0</v>
      </c>
    </row>
    <row r="25" spans="1:14" s="317" customFormat="1" ht="10.199999999999999">
      <c r="A25" s="922" t="s">
        <v>1014</v>
      </c>
      <c r="E25" s="947">
        <f>-DS!$E$16</f>
        <v>0</v>
      </c>
      <c r="F25" s="230"/>
      <c r="G25" s="947">
        <v>-570912</v>
      </c>
      <c r="H25" s="230"/>
      <c r="I25" s="947">
        <f>ROUND(E25-M25,0)</f>
        <v>44101</v>
      </c>
      <c r="K25" s="947">
        <v>-255428</v>
      </c>
      <c r="L25" s="943"/>
      <c r="M25" s="943">
        <v>-44100.75</v>
      </c>
      <c r="N25" s="953">
        <f t="shared" si="0"/>
        <v>-44101</v>
      </c>
    </row>
    <row r="26" spans="1:14" s="317" customFormat="1" ht="10.199999999999999">
      <c r="A26" s="950"/>
      <c r="E26" s="230" t="e">
        <f>SUM(E20:E25)</f>
        <v>#REF!</v>
      </c>
      <c r="F26" s="230"/>
      <c r="G26" s="230">
        <f>SUM(G20:G25)</f>
        <v>-626844</v>
      </c>
      <c r="H26" s="230"/>
      <c r="I26" s="230" t="e">
        <f>SUM(I20:I25)</f>
        <v>#REF!</v>
      </c>
      <c r="K26" s="230">
        <f>SUM(K20:K25)</f>
        <v>-289099</v>
      </c>
      <c r="L26" s="230"/>
      <c r="M26" s="943">
        <f>SUM(M20:M25)</f>
        <v>-50426.5</v>
      </c>
      <c r="N26" s="953" t="e">
        <f t="shared" si="0"/>
        <v>#REF!</v>
      </c>
    </row>
    <row r="27" spans="1:14" s="317" customFormat="1" ht="10.199999999999999">
      <c r="A27" s="950"/>
      <c r="E27" s="230"/>
      <c r="F27" s="230"/>
      <c r="G27" s="230"/>
      <c r="H27" s="230"/>
      <c r="I27" s="230"/>
      <c r="K27" s="230"/>
      <c r="L27" s="230"/>
      <c r="M27" s="943"/>
      <c r="N27" s="953">
        <f t="shared" si="0"/>
        <v>0</v>
      </c>
    </row>
    <row r="28" spans="1:14" s="317" customFormat="1" ht="10.199999999999999">
      <c r="A28" s="919" t="s">
        <v>1100</v>
      </c>
      <c r="E28" s="230"/>
      <c r="F28" s="230"/>
      <c r="G28" s="230"/>
      <c r="H28" s="230"/>
      <c r="I28" s="230"/>
      <c r="K28" s="230"/>
      <c r="L28" s="230"/>
      <c r="M28" s="943"/>
      <c r="N28" s="953">
        <f t="shared" si="0"/>
        <v>0</v>
      </c>
    </row>
    <row r="29" spans="1:14" s="317" customFormat="1" ht="10.199999999999999">
      <c r="A29" s="920" t="s">
        <v>1090</v>
      </c>
      <c r="E29" s="230"/>
      <c r="F29" s="230"/>
      <c r="G29" s="230"/>
      <c r="H29" s="230"/>
      <c r="I29" s="230"/>
      <c r="K29" s="230"/>
      <c r="L29" s="230"/>
      <c r="M29" s="943"/>
      <c r="N29" s="953">
        <f t="shared" si="0"/>
        <v>0</v>
      </c>
    </row>
    <row r="30" spans="1:14" s="317" customFormat="1" ht="10.199999999999999">
      <c r="A30" s="925" t="s">
        <v>1089</v>
      </c>
      <c r="E30" s="230">
        <f>-E25</f>
        <v>0</v>
      </c>
      <c r="F30" s="230"/>
      <c r="G30" s="230">
        <v>570912</v>
      </c>
      <c r="H30" s="230"/>
      <c r="I30" s="230">
        <f>ROUND(E30-M30,0)</f>
        <v>-44101</v>
      </c>
      <c r="K30" s="230">
        <v>255428</v>
      </c>
      <c r="L30" s="230"/>
      <c r="M30" s="943">
        <v>44100.75</v>
      </c>
      <c r="N30" s="953">
        <f t="shared" si="0"/>
        <v>44101</v>
      </c>
    </row>
    <row r="31" spans="1:14" s="317" customFormat="1" ht="10.199999999999999">
      <c r="A31" s="950"/>
      <c r="E31" s="230"/>
      <c r="F31" s="230"/>
      <c r="G31" s="230"/>
      <c r="H31" s="230"/>
      <c r="I31" s="230"/>
      <c r="K31" s="230"/>
      <c r="L31" s="230"/>
      <c r="M31" s="943"/>
      <c r="N31" s="953">
        <f t="shared" si="0"/>
        <v>0</v>
      </c>
    </row>
    <row r="32" spans="1:14" s="317" customFormat="1" ht="10.199999999999999">
      <c r="A32" s="317" t="s">
        <v>1015</v>
      </c>
      <c r="E32" s="942">
        <f>IS!$F$11</f>
        <v>-594619</v>
      </c>
      <c r="F32" s="230"/>
      <c r="G32" s="942">
        <v>147253</v>
      </c>
      <c r="H32" s="230"/>
      <c r="I32" s="942">
        <f>E32-M32</f>
        <v>-963781</v>
      </c>
      <c r="K32" s="942">
        <v>14084</v>
      </c>
      <c r="L32" s="943"/>
      <c r="M32" s="943">
        <v>369162</v>
      </c>
      <c r="N32" s="953">
        <f t="shared" si="0"/>
        <v>369162</v>
      </c>
    </row>
    <row r="33" spans="1:17" s="317" customFormat="1" ht="10.199999999999999">
      <c r="E33" s="945"/>
      <c r="F33" s="230"/>
      <c r="G33" s="945"/>
      <c r="H33" s="230"/>
      <c r="I33" s="945"/>
      <c r="K33" s="945"/>
      <c r="L33" s="943"/>
      <c r="M33" s="943"/>
      <c r="N33" s="988">
        <f t="shared" si="0"/>
        <v>0</v>
      </c>
    </row>
    <row r="34" spans="1:17" s="317" customFormat="1" ht="10.199999999999999">
      <c r="A34" s="317" t="s">
        <v>1098</v>
      </c>
      <c r="E34" s="968"/>
      <c r="G34" s="969"/>
      <c r="I34" s="968"/>
      <c r="K34" s="969"/>
      <c r="L34" s="937"/>
      <c r="M34" s="937"/>
      <c r="N34" s="953">
        <f t="shared" si="0"/>
        <v>0</v>
      </c>
    </row>
    <row r="35" spans="1:17" s="317" customFormat="1" ht="10.199999999999999">
      <c r="A35" s="950" t="s">
        <v>1016</v>
      </c>
      <c r="E35" s="968"/>
      <c r="F35" s="941"/>
      <c r="G35" s="968"/>
      <c r="H35" s="941"/>
      <c r="I35" s="968"/>
      <c r="K35" s="946"/>
      <c r="L35" s="941"/>
      <c r="M35" s="941"/>
      <c r="N35" s="953">
        <f t="shared" si="0"/>
        <v>0</v>
      </c>
    </row>
    <row r="36" spans="1:17" s="317" customFormat="1" ht="10.199999999999999">
      <c r="A36" s="950" t="s">
        <v>1017</v>
      </c>
      <c r="E36" s="968">
        <f>IS!$F$16</f>
        <v>-319538.68199999974</v>
      </c>
      <c r="F36" s="941"/>
      <c r="G36" s="968">
        <v>110653</v>
      </c>
      <c r="H36" s="941"/>
      <c r="I36" s="968">
        <f>ROUND(E36-M36,0)</f>
        <v>-317361</v>
      </c>
      <c r="K36" s="968">
        <v>87096</v>
      </c>
      <c r="L36" s="938"/>
      <c r="M36" s="938">
        <v>-2177.75</v>
      </c>
      <c r="N36" s="953">
        <f t="shared" si="0"/>
        <v>-2177.6819999997388</v>
      </c>
    </row>
    <row r="37" spans="1:17" s="317" customFormat="1" ht="10.199999999999999">
      <c r="A37" s="970"/>
      <c r="E37" s="968"/>
      <c r="F37" s="941"/>
      <c r="G37" s="968"/>
      <c r="H37" s="941"/>
      <c r="I37" s="968"/>
      <c r="K37" s="946"/>
      <c r="L37" s="941"/>
      <c r="M37" s="941"/>
      <c r="N37" s="953">
        <f t="shared" si="0"/>
        <v>0</v>
      </c>
    </row>
    <row r="38" spans="1:17" s="317" customFormat="1" ht="10.199999999999999">
      <c r="A38" s="314" t="s">
        <v>1018</v>
      </c>
      <c r="E38" s="945" t="e">
        <f>IS!F12+IS!F13+IS!F14-IS!F37+IS!#REF!+IS!#REF!</f>
        <v>#REF!</v>
      </c>
      <c r="F38" s="944"/>
      <c r="G38" s="945">
        <v>109894</v>
      </c>
      <c r="H38" s="944"/>
      <c r="I38" s="945" t="e">
        <f>ROUND(E38-M38,0)</f>
        <v>#REF!</v>
      </c>
      <c r="K38" s="968">
        <v>56115</v>
      </c>
      <c r="L38" s="938"/>
      <c r="M38" s="943">
        <v>43407.75</v>
      </c>
      <c r="N38" s="953" t="e">
        <f t="shared" si="0"/>
        <v>#REF!</v>
      </c>
    </row>
    <row r="39" spans="1:17" s="317" customFormat="1" ht="10.199999999999999">
      <c r="A39" s="314"/>
      <c r="E39" s="945"/>
      <c r="F39" s="944"/>
      <c r="G39" s="971"/>
      <c r="H39" s="944"/>
      <c r="I39" s="945"/>
      <c r="K39" s="946"/>
      <c r="L39" s="941"/>
      <c r="M39" s="943"/>
      <c r="N39" s="953">
        <f t="shared" si="0"/>
        <v>0</v>
      </c>
    </row>
    <row r="40" spans="1:17" s="317" customFormat="1" ht="10.199999999999999">
      <c r="A40" s="314" t="s">
        <v>1093</v>
      </c>
      <c r="E40" s="945"/>
      <c r="F40" s="944"/>
      <c r="G40" s="971"/>
      <c r="H40" s="944"/>
      <c r="I40" s="945"/>
      <c r="K40" s="946"/>
      <c r="L40" s="941"/>
      <c r="M40" s="943"/>
      <c r="N40" s="953">
        <f t="shared" si="0"/>
        <v>0</v>
      </c>
    </row>
    <row r="41" spans="1:17" s="317" customFormat="1" ht="10.199999999999999">
      <c r="A41" s="314" t="s">
        <v>1019</v>
      </c>
      <c r="E41" s="947" t="e">
        <f>OCI!#REF!</f>
        <v>#REF!</v>
      </c>
      <c r="F41" s="944"/>
      <c r="G41" s="972" t="e">
        <f>OCI!#REF!</f>
        <v>#REF!</v>
      </c>
      <c r="H41" s="944"/>
      <c r="I41" s="947" t="e">
        <f>OCI!#REF!</f>
        <v>#REF!</v>
      </c>
      <c r="K41" s="973" t="e">
        <f>OCI!#REF!</f>
        <v>#REF!</v>
      </c>
      <c r="L41" s="938"/>
      <c r="M41" s="943">
        <v>295606.25</v>
      </c>
      <c r="N41" s="953" t="e">
        <f t="shared" si="0"/>
        <v>#REF!</v>
      </c>
    </row>
    <row r="42" spans="1:17" s="317" customFormat="1" ht="10.199999999999999">
      <c r="A42" s="317" t="s">
        <v>1102</v>
      </c>
      <c r="E42" s="230" t="e">
        <f>SUM(E32:E41)</f>
        <v>#REF!</v>
      </c>
      <c r="F42" s="949"/>
      <c r="G42" s="949" t="e">
        <f>SUM(G32:G41)</f>
        <v>#REF!</v>
      </c>
      <c r="H42" s="949"/>
      <c r="I42" s="230" t="e">
        <f>SUM(I32:I41)</f>
        <v>#REF!</v>
      </c>
      <c r="K42" s="955" t="e">
        <f>SUM(K32:K41)</f>
        <v>#REF!</v>
      </c>
      <c r="L42" s="943"/>
      <c r="M42" s="943">
        <f>SUM(M32:M41)</f>
        <v>705998.25</v>
      </c>
      <c r="N42" s="953" t="e">
        <f t="shared" si="0"/>
        <v>#REF!</v>
      </c>
    </row>
    <row r="43" spans="1:17" s="317" customFormat="1" ht="10.199999999999999">
      <c r="E43" s="230"/>
      <c r="F43" s="230"/>
      <c r="G43" s="230"/>
      <c r="H43" s="230"/>
      <c r="I43" s="230"/>
      <c r="K43" s="230"/>
      <c r="L43" s="230"/>
      <c r="M43" s="943"/>
      <c r="N43" s="953">
        <f t="shared" si="0"/>
        <v>0</v>
      </c>
    </row>
    <row r="44" spans="1:17" s="317" customFormat="1" ht="10.8" thickBot="1">
      <c r="A44" s="213" t="s">
        <v>66</v>
      </c>
      <c r="B44" s="213"/>
      <c r="C44" s="213"/>
      <c r="D44" s="213"/>
      <c r="E44" s="974" t="e">
        <f>E42+E30+E26+E16+E10</f>
        <v>#REF!</v>
      </c>
      <c r="F44" s="941"/>
      <c r="G44" s="954" t="e">
        <f>G42+G30+G26+G16+G10</f>
        <v>#REF!</v>
      </c>
      <c r="H44" s="941"/>
      <c r="I44" s="974" t="e">
        <f>I42+I30+I26+I16+I10</f>
        <v>#REF!</v>
      </c>
      <c r="K44" s="954" t="e">
        <f>K42+K30+K26+K16+K10</f>
        <v>#REF!</v>
      </c>
      <c r="L44" s="1024"/>
      <c r="M44" s="954">
        <f>M42+M30+M26+M16+M10</f>
        <v>7910020.5</v>
      </c>
      <c r="N44" s="953" t="e">
        <f t="shared" si="0"/>
        <v>#REF!</v>
      </c>
    </row>
    <row r="45" spans="1:17" ht="12" thickTop="1">
      <c r="M45" s="816"/>
    </row>
    <row r="46" spans="1:17">
      <c r="M46" s="816"/>
    </row>
    <row r="47" spans="1:17" s="845" customFormat="1">
      <c r="A47" s="244" t="str">
        <f>BS!$A$43</f>
        <v>The annexed notes 1 to 15 form an integral part of these interim financial statements.</v>
      </c>
      <c r="H47" s="816"/>
      <c r="I47" s="816"/>
      <c r="J47" s="816"/>
      <c r="K47" s="816"/>
      <c r="L47" s="816"/>
      <c r="M47" s="816"/>
      <c r="N47" s="816"/>
      <c r="O47" s="816"/>
      <c r="P47" s="816"/>
      <c r="Q47" s="816"/>
    </row>
    <row r="48" spans="1:17" s="845" customFormat="1">
      <c r="H48" s="816"/>
      <c r="I48" s="816"/>
      <c r="J48" s="816"/>
      <c r="K48" s="816"/>
      <c r="L48" s="816"/>
      <c r="M48" s="816"/>
      <c r="N48" s="816"/>
      <c r="O48" s="816"/>
      <c r="P48" s="816"/>
      <c r="Q48" s="816"/>
    </row>
    <row r="49" spans="1:17" s="845" customFormat="1">
      <c r="H49" s="816"/>
      <c r="I49" s="816"/>
      <c r="J49" s="816"/>
      <c r="K49" s="816"/>
      <c r="L49" s="816"/>
      <c r="M49" s="816"/>
      <c r="N49" s="816"/>
      <c r="O49" s="816"/>
      <c r="P49" s="816"/>
      <c r="Q49" s="816"/>
    </row>
    <row r="50" spans="1:17" s="990" customFormat="1" ht="12">
      <c r="A50" s="989">
        <f>BS!$A$45</f>
        <v>0</v>
      </c>
      <c r="B50" s="989"/>
      <c r="C50" s="989"/>
      <c r="D50" s="989"/>
      <c r="E50" s="989"/>
      <c r="F50" s="989"/>
      <c r="G50" s="989"/>
      <c r="H50" s="989"/>
      <c r="I50" s="989"/>
      <c r="J50" s="989"/>
    </row>
    <row r="51" spans="1:17" s="990" customFormat="1" ht="12">
      <c r="A51" s="991" t="str">
        <f>BS!$A$46</f>
        <v>For MCB-Arif Habib Savings and Investments Limited</v>
      </c>
      <c r="B51" s="991"/>
      <c r="C51" s="991"/>
      <c r="D51" s="991"/>
      <c r="E51" s="991"/>
      <c r="F51" s="991"/>
      <c r="G51" s="991"/>
      <c r="H51" s="991"/>
      <c r="I51" s="991"/>
      <c r="J51" s="991"/>
      <c r="K51" s="991"/>
      <c r="L51" s="991"/>
    </row>
    <row r="52" spans="1:17" s="1003" customFormat="1" ht="12">
      <c r="A52" s="1001"/>
      <c r="B52" s="994"/>
      <c r="C52" s="994"/>
      <c r="D52" s="994"/>
      <c r="E52" s="995"/>
      <c r="F52" s="994"/>
      <c r="G52" s="998"/>
      <c r="H52" s="997"/>
      <c r="I52" s="994"/>
      <c r="J52" s="998"/>
      <c r="K52" s="1002"/>
      <c r="L52" s="1002"/>
    </row>
    <row r="53" spans="1:17" s="1003" customFormat="1" ht="12">
      <c r="B53" s="994"/>
      <c r="C53" s="994"/>
      <c r="D53" s="994"/>
      <c r="E53" s="995"/>
      <c r="F53" s="994"/>
      <c r="G53" s="998"/>
      <c r="H53" s="997"/>
      <c r="I53" s="994"/>
      <c r="J53" s="998"/>
      <c r="K53" s="1002"/>
      <c r="L53" s="1002"/>
    </row>
    <row r="54" spans="1:17" s="1003" customFormat="1" ht="12">
      <c r="B54" s="994"/>
      <c r="C54" s="994"/>
      <c r="D54" s="994"/>
      <c r="E54" s="995"/>
      <c r="F54" s="994"/>
      <c r="G54" s="998"/>
      <c r="H54" s="997"/>
      <c r="I54" s="994"/>
      <c r="J54" s="998"/>
      <c r="K54" s="1002"/>
      <c r="L54" s="1002"/>
    </row>
    <row r="55" spans="1:17" s="1003" customFormat="1" ht="12">
      <c r="B55" s="994"/>
      <c r="C55" s="994"/>
      <c r="D55" s="994"/>
      <c r="E55" s="995"/>
      <c r="F55" s="994"/>
      <c r="G55" s="998"/>
      <c r="H55" s="997"/>
      <c r="I55" s="994"/>
      <c r="J55" s="998"/>
      <c r="K55" s="1002"/>
      <c r="L55" s="1002"/>
    </row>
    <row r="56" spans="1:17" s="1003" customFormat="1" ht="12">
      <c r="A56" s="992" t="str">
        <f>BS!$A$53</f>
        <v>Chief Executive Officer</v>
      </c>
      <c r="B56" s="993"/>
      <c r="C56" s="994"/>
      <c r="D56" s="994"/>
      <c r="E56" s="995"/>
      <c r="F56" s="994"/>
      <c r="G56" s="996"/>
      <c r="H56" s="997"/>
      <c r="I56" s="994"/>
      <c r="J56" s="998"/>
      <c r="K56" s="1002"/>
      <c r="L56" s="1002"/>
    </row>
    <row r="57" spans="1:17" s="1003" customFormat="1" ht="12">
      <c r="A57" s="999">
        <f>BS!$A$54</f>
        <v>0</v>
      </c>
      <c r="B57" s="993"/>
      <c r="C57" s="994"/>
      <c r="D57" s="994"/>
      <c r="E57" s="995"/>
      <c r="F57" s="994"/>
      <c r="G57" s="1000"/>
      <c r="H57" s="997"/>
      <c r="I57" s="994"/>
      <c r="J57" s="998"/>
      <c r="K57" s="1002"/>
      <c r="L57" s="1002"/>
    </row>
  </sheetData>
  <mergeCells count="6">
    <mergeCell ref="E5:G5"/>
    <mergeCell ref="E6:G6"/>
    <mergeCell ref="I6:K6"/>
    <mergeCell ref="I5:K5"/>
    <mergeCell ref="E8:H8"/>
    <mergeCell ref="I8:L8"/>
  </mergeCells>
  <phoneticPr fontId="38" type="noConversion"/>
  <printOptions horizontalCentered="1"/>
  <pageMargins left="0.75" right="0.5" top="0.5" bottom="0.4" header="0.28999999999999998" footer="0.5"/>
  <pageSetup paperSize="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16"/>
  <sheetViews>
    <sheetView view="pageBreakPreview" zoomScaleNormal="100" zoomScaleSheetLayoutView="100" workbookViewId="0">
      <selection activeCell="M3" sqref="M3"/>
    </sheetView>
  </sheetViews>
  <sheetFormatPr defaultColWidth="9" defaultRowHeight="15" customHeight="1"/>
  <cols>
    <col min="1" max="1" width="5.09765625" style="1402" customWidth="1"/>
    <col min="2" max="2" width="2.09765625" style="1402" customWidth="1"/>
    <col min="3" max="3" width="22" style="1402" customWidth="1"/>
    <col min="4" max="4" width="15.59765625" style="1402" customWidth="1"/>
    <col min="5" max="5" width="11" style="1402" customWidth="1"/>
    <col min="6" max="6" width="13.8984375" style="1402" customWidth="1"/>
    <col min="7" max="7" width="10.59765625" style="1402" customWidth="1"/>
    <col min="8" max="8" width="1" style="1402" customWidth="1"/>
    <col min="9" max="9" width="11.09765625" style="1402" customWidth="1"/>
    <col min="10" max="10" width="13.09765625" style="1402" customWidth="1"/>
    <col min="11" max="11" width="12.09765625" style="1478" hidden="1" customWidth="1"/>
    <col min="12" max="12" width="13.59765625" style="1402" bestFit="1" customWidth="1"/>
    <col min="13" max="13" width="12.59765625" style="1402" customWidth="1"/>
    <col min="14" max="14" width="22.59765625" style="1402" customWidth="1"/>
    <col min="15" max="15" width="32.59765625" style="1402" customWidth="1"/>
    <col min="16" max="16" width="8.09765625" style="1402" customWidth="1"/>
    <col min="17" max="18" width="16.59765625" style="1402" bestFit="1" customWidth="1"/>
    <col min="19" max="19" width="14.09765625" style="1402" customWidth="1"/>
    <col min="20" max="23" width="15.59765625" style="1402" customWidth="1"/>
    <col min="24" max="24" width="13.59765625" style="1402" bestFit="1" customWidth="1"/>
    <col min="25" max="25" width="14.09765625" style="1402" customWidth="1"/>
    <col min="26" max="28" width="8.59765625" style="1402" customWidth="1"/>
    <col min="29" max="31" width="10" style="1402" customWidth="1"/>
    <col min="32" max="32" width="10.09765625" style="1402" customWidth="1"/>
    <col min="33" max="33" width="1.59765625" style="1402" customWidth="1"/>
    <col min="34" max="34" width="10.09765625" style="1402" customWidth="1"/>
    <col min="35" max="35" width="1" style="1402" customWidth="1"/>
    <col min="36" max="36" width="8.09765625" style="1402" hidden="1" customWidth="1"/>
    <col min="37" max="37" width="1" style="1402" hidden="1" customWidth="1"/>
    <col min="38" max="38" width="8.59765625" style="1402" hidden="1" customWidth="1"/>
    <col min="39" max="39" width="8.59765625" style="1402" customWidth="1"/>
    <col min="40" max="40" width="13.09765625" style="1402" customWidth="1"/>
    <col min="41" max="41" width="14.59765625" style="1402" bestFit="1" customWidth="1"/>
    <col min="42" max="42" width="10.59765625" style="1402" bestFit="1" customWidth="1"/>
    <col min="43" max="43" width="12.59765625" style="1402" bestFit="1" customWidth="1"/>
    <col min="44" max="45" width="9" style="1402"/>
    <col min="46" max="46" width="9.5" style="1402" bestFit="1" customWidth="1"/>
    <col min="47" max="16384" width="9" style="1402"/>
  </cols>
  <sheetData>
    <row r="1" spans="1:47" ht="18.75" customHeight="1">
      <c r="A1" s="2343" t="str">
        <f>BS!$A$1</f>
        <v>MCB PAKISTAN STOCK MARKET FUND</v>
      </c>
      <c r="B1" s="2343"/>
      <c r="C1" s="2343"/>
      <c r="D1" s="2343"/>
      <c r="E1" s="2343"/>
      <c r="F1" s="2343"/>
      <c r="G1" s="2343"/>
      <c r="H1" s="2343"/>
      <c r="I1" s="2343"/>
      <c r="J1" s="2343"/>
      <c r="K1" s="2343"/>
      <c r="L1" s="2343"/>
      <c r="M1" s="1401"/>
      <c r="N1" s="1401"/>
      <c r="O1" s="1401"/>
      <c r="P1" s="1401"/>
      <c r="Q1" s="1401"/>
      <c r="R1" s="1401"/>
      <c r="S1" s="1401"/>
      <c r="T1" s="1401"/>
      <c r="U1" s="1401"/>
      <c r="V1" s="1401"/>
      <c r="W1" s="1401"/>
      <c r="X1" s="1401"/>
      <c r="Y1" s="1401"/>
      <c r="Z1" s="1401"/>
      <c r="AA1" s="1401"/>
      <c r="AB1" s="1420"/>
      <c r="AC1" s="1420"/>
      <c r="AD1" s="1420"/>
      <c r="AE1" s="1420"/>
      <c r="AF1" s="1420"/>
      <c r="AG1" s="1420"/>
      <c r="AH1" s="1420"/>
      <c r="AI1" s="1420"/>
      <c r="AJ1" s="1420"/>
      <c r="AK1" s="1405"/>
      <c r="AL1" s="1420"/>
      <c r="AM1" s="1420"/>
      <c r="AN1" s="1951"/>
      <c r="AO1" s="1405"/>
      <c r="AP1" s="1405"/>
      <c r="AQ1" s="1405"/>
      <c r="AR1" s="1405"/>
    </row>
    <row r="2" spans="1:47" ht="18.75" customHeight="1">
      <c r="A2" s="2343" t="s">
        <v>726</v>
      </c>
      <c r="B2" s="2343"/>
      <c r="C2" s="2343"/>
      <c r="D2" s="2343"/>
      <c r="E2" s="2343"/>
      <c r="F2" s="2343"/>
      <c r="G2" s="2343"/>
      <c r="H2" s="2343"/>
      <c r="I2" s="2343"/>
      <c r="J2" s="2343"/>
      <c r="K2" s="2343"/>
      <c r="L2" s="2343"/>
      <c r="M2" s="1401"/>
      <c r="N2" s="1401"/>
      <c r="O2" s="1401"/>
      <c r="P2" s="1401"/>
      <c r="Q2" s="1401"/>
      <c r="R2" s="1401"/>
      <c r="S2" s="1401"/>
      <c r="T2" s="1401"/>
      <c r="U2" s="1401"/>
      <c r="V2" s="1401"/>
      <c r="W2" s="1401"/>
      <c r="X2" s="1401"/>
      <c r="Y2" s="1401"/>
      <c r="Z2" s="1401"/>
      <c r="AA2" s="1401"/>
      <c r="AB2" s="1420"/>
      <c r="AC2" s="1420"/>
      <c r="AD2" s="1951"/>
      <c r="AE2" s="1420"/>
      <c r="AF2" s="1420"/>
      <c r="AG2" s="1420"/>
      <c r="AH2" s="1420"/>
      <c r="AI2" s="1420"/>
      <c r="AJ2" s="1420"/>
      <c r="AK2" s="1405"/>
      <c r="AL2" s="1420"/>
      <c r="AM2" s="1906"/>
      <c r="AN2" s="1405"/>
      <c r="AO2" s="1405"/>
      <c r="AP2" s="1405"/>
      <c r="AQ2" s="1405"/>
      <c r="AR2" s="1405"/>
    </row>
    <row r="3" spans="1:47" ht="18.75" customHeight="1">
      <c r="A3" s="2343" t="s">
        <v>2798</v>
      </c>
      <c r="B3" s="2343"/>
      <c r="C3" s="2343"/>
      <c r="D3" s="2343"/>
      <c r="E3" s="2343"/>
      <c r="F3" s="2343"/>
      <c r="G3" s="2343"/>
      <c r="H3" s="2343"/>
      <c r="I3" s="2343"/>
      <c r="J3" s="2343"/>
      <c r="K3" s="2343"/>
      <c r="L3" s="2343"/>
      <c r="M3" s="1401"/>
      <c r="N3" s="1401"/>
      <c r="O3" s="1401"/>
      <c r="P3" s="1401"/>
      <c r="Q3" s="1401"/>
      <c r="R3" s="1401"/>
      <c r="S3" s="1401"/>
      <c r="T3" s="1401"/>
      <c r="U3" s="1401"/>
      <c r="V3" s="1401"/>
      <c r="W3" s="1401"/>
      <c r="X3" s="1401"/>
      <c r="Y3" s="1401"/>
      <c r="Z3" s="1401"/>
      <c r="AA3" s="1401"/>
      <c r="AB3" s="1420"/>
      <c r="AC3" s="1420"/>
      <c r="AD3" s="1907"/>
      <c r="AE3" s="1420"/>
      <c r="AF3" s="1420"/>
      <c r="AG3" s="1420"/>
      <c r="AH3" s="1420"/>
      <c r="AI3" s="1420"/>
      <c r="AJ3" s="1420"/>
      <c r="AK3" s="1405"/>
      <c r="AL3" s="1420"/>
      <c r="AM3" s="1433"/>
      <c r="AN3" s="1420"/>
      <c r="AO3" s="1906"/>
      <c r="AP3" s="1906"/>
      <c r="AQ3" s="1405"/>
      <c r="AR3" s="1405"/>
    </row>
    <row r="4" spans="1:47" ht="15" customHeight="1">
      <c r="A4" s="1401"/>
      <c r="B4" s="1401"/>
      <c r="C4" s="1401"/>
      <c r="D4" s="1401"/>
      <c r="E4" s="1401"/>
      <c r="F4" s="1401"/>
      <c r="G4" s="1401"/>
      <c r="H4" s="1401"/>
      <c r="I4" s="1401"/>
      <c r="J4" s="1401"/>
      <c r="K4" s="1732"/>
      <c r="L4" s="1401"/>
      <c r="M4" s="1401"/>
      <c r="N4" s="2068"/>
      <c r="O4" s="1401"/>
      <c r="P4" s="1401"/>
      <c r="Q4" s="1401"/>
      <c r="R4" s="1401"/>
      <c r="S4" s="1401"/>
      <c r="T4" s="1401"/>
      <c r="U4" s="1401"/>
      <c r="V4" s="1401"/>
      <c r="W4" s="1401"/>
      <c r="X4" s="1401"/>
      <c r="Y4" s="1401"/>
      <c r="Z4" s="1401"/>
      <c r="AA4" s="1401"/>
      <c r="AB4" s="1420"/>
      <c r="AC4" s="1420"/>
      <c r="AD4" s="1951"/>
      <c r="AE4" s="1420"/>
      <c r="AF4" s="2337"/>
      <c r="AG4" s="2337"/>
      <c r="AH4" s="2337"/>
      <c r="AI4" s="2163"/>
      <c r="AJ4" s="2337"/>
      <c r="AK4" s="2337"/>
      <c r="AL4" s="2337"/>
      <c r="AM4" s="1420"/>
      <c r="AN4" s="2163"/>
      <c r="AO4" s="1906"/>
      <c r="AP4" s="1405"/>
      <c r="AQ4" s="1405"/>
      <c r="AR4" s="1405"/>
    </row>
    <row r="5" spans="1:47" ht="15" customHeight="1">
      <c r="A5" s="1401"/>
      <c r="B5" s="1401"/>
      <c r="C5" s="1401"/>
      <c r="D5" s="1401"/>
      <c r="E5" s="1401"/>
      <c r="F5" s="1401"/>
      <c r="G5" s="1401"/>
      <c r="H5" s="1401"/>
      <c r="I5" s="1401"/>
      <c r="J5" s="1401"/>
      <c r="K5" s="1732"/>
      <c r="L5" s="1401"/>
      <c r="M5" s="1401"/>
      <c r="N5" s="1401"/>
      <c r="O5" s="1401"/>
      <c r="P5" s="1401"/>
      <c r="Q5" s="1401"/>
      <c r="R5" s="1401"/>
      <c r="S5" s="1401"/>
      <c r="T5" s="1401"/>
      <c r="U5" s="1401"/>
      <c r="V5" s="1401"/>
      <c r="W5" s="1401"/>
      <c r="X5" s="1401"/>
      <c r="Y5" s="1401"/>
      <c r="Z5" s="1401"/>
      <c r="AA5" s="1401"/>
      <c r="AB5" s="1420"/>
      <c r="AC5" s="1420"/>
      <c r="AD5" s="1951"/>
      <c r="AE5" s="1420"/>
      <c r="AF5" s="2163"/>
      <c r="AG5" s="2163"/>
      <c r="AH5" s="2163"/>
      <c r="AI5" s="2163"/>
      <c r="AJ5" s="2163"/>
      <c r="AK5" s="2163"/>
      <c r="AL5" s="2163"/>
      <c r="AM5" s="1420"/>
      <c r="AN5" s="2163"/>
      <c r="AO5" s="1906"/>
      <c r="AP5" s="1405"/>
      <c r="AQ5" s="1405"/>
      <c r="AR5" s="1405"/>
    </row>
    <row r="6" spans="1:47" ht="15" customHeight="1">
      <c r="A6" s="1401"/>
      <c r="B6" s="1401"/>
      <c r="C6" s="1401"/>
      <c r="D6" s="1401"/>
      <c r="E6" s="2338" t="s">
        <v>2799</v>
      </c>
      <c r="F6" s="2339"/>
      <c r="G6" s="2340"/>
      <c r="H6" s="1909"/>
      <c r="I6" s="2338" t="s">
        <v>2679</v>
      </c>
      <c r="J6" s="2339"/>
      <c r="K6" s="2339"/>
      <c r="L6" s="2340"/>
      <c r="M6" s="1910"/>
      <c r="N6" s="1910"/>
      <c r="O6" s="1910"/>
      <c r="P6" s="1910"/>
      <c r="Q6" s="1910"/>
      <c r="R6" s="1910"/>
      <c r="S6" s="1910"/>
      <c r="T6" s="1910"/>
      <c r="U6" s="1910"/>
      <c r="V6" s="1910"/>
      <c r="W6" s="1910"/>
      <c r="X6" s="1910"/>
      <c r="Y6" s="1910"/>
      <c r="Z6" s="1910"/>
      <c r="AA6" s="1910"/>
      <c r="AB6" s="1910"/>
      <c r="AC6" s="1909"/>
      <c r="AD6" s="1911"/>
      <c r="AE6" s="1909"/>
      <c r="AF6" s="2329"/>
      <c r="AG6" s="2329"/>
      <c r="AH6" s="2329"/>
      <c r="AI6" s="2161"/>
      <c r="AJ6" s="2329"/>
      <c r="AK6" s="2329"/>
      <c r="AL6" s="2329"/>
      <c r="AM6" s="2161"/>
      <c r="AN6" s="2161"/>
      <c r="AO6" s="2174"/>
      <c r="AP6" s="1405"/>
      <c r="AQ6" s="1906"/>
      <c r="AR6" s="1405"/>
    </row>
    <row r="7" spans="1:47" ht="34.5" customHeight="1">
      <c r="A7" s="1401"/>
      <c r="B7" s="1401"/>
      <c r="C7" s="1401"/>
      <c r="D7" s="1912"/>
      <c r="E7" s="1913" t="s">
        <v>2380</v>
      </c>
      <c r="F7" s="1913" t="s">
        <v>2497</v>
      </c>
      <c r="G7" s="1913" t="s">
        <v>44</v>
      </c>
      <c r="H7" s="1914"/>
      <c r="I7" s="1913" t="s">
        <v>2380</v>
      </c>
      <c r="J7" s="1913" t="s">
        <v>2381</v>
      </c>
      <c r="K7" s="2053" t="s">
        <v>2498</v>
      </c>
      <c r="L7" s="1913" t="s">
        <v>44</v>
      </c>
      <c r="M7" s="2160">
        <f>+BS!H36+38287611-49545039</f>
        <v>108372550</v>
      </c>
      <c r="N7" s="1915"/>
      <c r="O7" s="1915"/>
      <c r="P7" s="1915"/>
      <c r="Q7" s="1915"/>
      <c r="R7" s="1915"/>
      <c r="S7" s="1915"/>
      <c r="T7" s="2341" t="s">
        <v>2806</v>
      </c>
      <c r="U7" s="2342"/>
      <c r="V7" s="2342" t="s">
        <v>2390</v>
      </c>
      <c r="W7" s="2342"/>
      <c r="X7" s="1915"/>
      <c r="Y7" s="1915"/>
      <c r="Z7" s="1915"/>
      <c r="AA7" s="1915"/>
      <c r="AB7" s="1915"/>
      <c r="AC7" s="1916"/>
      <c r="AD7" s="1917"/>
      <c r="AE7" s="1915"/>
      <c r="AF7" s="2336"/>
      <c r="AG7" s="2336"/>
      <c r="AH7" s="2336"/>
      <c r="AI7" s="2336"/>
      <c r="AJ7" s="2336"/>
      <c r="AK7" s="2336"/>
      <c r="AL7" s="2336"/>
      <c r="AM7" s="2336"/>
      <c r="AN7" s="1918"/>
      <c r="AO7" s="1405"/>
      <c r="AP7" s="1405"/>
      <c r="AQ7" s="1405"/>
      <c r="AR7" s="1405"/>
    </row>
    <row r="8" spans="1:47" ht="15" customHeight="1">
      <c r="A8" s="1401"/>
      <c r="B8" s="1401"/>
      <c r="C8" s="1401"/>
      <c r="D8" s="1912"/>
      <c r="E8" s="2344" t="s">
        <v>2559</v>
      </c>
      <c r="F8" s="2344"/>
      <c r="G8" s="2344"/>
      <c r="H8" s="2344"/>
      <c r="I8" s="2344"/>
      <c r="J8" s="2344"/>
      <c r="K8" s="2344"/>
      <c r="L8" s="2344"/>
      <c r="M8" s="2265">
        <f>+M7-BS!F36</f>
        <v>-0.2565000057220459</v>
      </c>
      <c r="N8" s="2171"/>
      <c r="O8" s="2171"/>
      <c r="P8" s="2171"/>
      <c r="Q8" s="1885"/>
      <c r="R8" s="1885"/>
      <c r="S8" s="1885"/>
      <c r="T8" s="2205" t="s">
        <v>2807</v>
      </c>
      <c r="U8" s="2209" t="s">
        <v>2808</v>
      </c>
      <c r="V8" s="2205" t="s">
        <v>2807</v>
      </c>
      <c r="W8" s="2205" t="s">
        <v>2808</v>
      </c>
      <c r="X8" s="1915"/>
      <c r="Y8" s="1915"/>
      <c r="Z8" s="1915"/>
      <c r="AA8" s="1915"/>
      <c r="AB8" s="1915"/>
      <c r="AC8" s="1916"/>
      <c r="AD8" s="1917"/>
      <c r="AE8" s="1915"/>
      <c r="AF8" s="2175"/>
      <c r="AG8" s="2175"/>
      <c r="AH8" s="2175"/>
      <c r="AI8" s="2175"/>
      <c r="AJ8" s="2175"/>
      <c r="AK8" s="2175"/>
      <c r="AL8" s="2175"/>
      <c r="AM8" s="2175"/>
      <c r="AN8" s="1918"/>
      <c r="AO8" s="1405"/>
      <c r="AP8" s="1405"/>
      <c r="AQ8" s="1405"/>
      <c r="AR8" s="1405"/>
    </row>
    <row r="9" spans="1:47" ht="15" customHeight="1">
      <c r="A9" s="1401"/>
      <c r="B9" s="1401"/>
      <c r="C9" s="1401"/>
      <c r="D9" s="1401"/>
      <c r="E9" s="1915"/>
      <c r="F9" s="1915"/>
      <c r="G9" s="1915"/>
      <c r="H9" s="1915"/>
      <c r="I9" s="1915"/>
      <c r="J9" s="1915"/>
      <c r="K9" s="2054"/>
      <c r="L9" s="1915"/>
      <c r="M9" s="1915"/>
      <c r="N9" s="1915"/>
      <c r="O9" s="2160"/>
      <c r="P9" s="1915"/>
      <c r="Q9" s="1915"/>
      <c r="R9" s="1915"/>
      <c r="S9" s="1915"/>
      <c r="T9" s="1991">
        <v>6335.4</v>
      </c>
      <c r="U9" s="1991">
        <v>-944</v>
      </c>
      <c r="V9" s="1991">
        <v>62.6006</v>
      </c>
      <c r="W9" s="1991">
        <v>-9.1091999999999995</v>
      </c>
      <c r="X9" s="1915"/>
      <c r="Y9" s="1915"/>
      <c r="Z9" s="1915"/>
      <c r="AA9" s="1915"/>
      <c r="AB9" s="1915"/>
      <c r="AC9" s="1915"/>
      <c r="AD9" s="1915"/>
      <c r="AE9" s="1915"/>
      <c r="AF9" s="2176"/>
      <c r="AG9" s="2176"/>
      <c r="AH9" s="2176"/>
      <c r="AI9" s="2176"/>
      <c r="AJ9" s="2176"/>
      <c r="AK9" s="1405"/>
      <c r="AL9" s="2176"/>
      <c r="AM9" s="2176"/>
      <c r="AN9" s="2176"/>
      <c r="AO9" s="1405"/>
      <c r="AP9" s="1405"/>
      <c r="AQ9" s="1405"/>
      <c r="AR9" s="1405"/>
    </row>
    <row r="10" spans="1:47" ht="15" customHeight="1">
      <c r="A10" s="1562" t="s">
        <v>465</v>
      </c>
      <c r="E10" s="1632">
        <v>7165600</v>
      </c>
      <c r="F10" s="1632">
        <v>5231582</v>
      </c>
      <c r="G10" s="1632">
        <f>SUM(E10:F10)</f>
        <v>12397182</v>
      </c>
      <c r="H10" s="1531"/>
      <c r="I10" s="1531">
        <v>5894800</v>
      </c>
      <c r="J10" s="1531">
        <v>2909097</v>
      </c>
      <c r="K10" s="2055">
        <v>0</v>
      </c>
      <c r="L10" s="1531">
        <f>SUM(I10:K10)</f>
        <v>8803897</v>
      </c>
      <c r="M10" s="1943"/>
      <c r="N10" s="1943"/>
      <c r="O10" s="1943"/>
      <c r="P10" s="1943"/>
      <c r="Q10" s="1531"/>
      <c r="R10" s="1531"/>
      <c r="S10" s="1531"/>
      <c r="T10" s="2206">
        <v>18008694.829999998</v>
      </c>
      <c r="U10" s="2206">
        <v>-82195438.730000004</v>
      </c>
      <c r="V10" s="2206">
        <v>180918.89490000001</v>
      </c>
      <c r="W10" s="2206">
        <v>-793204.16379999998</v>
      </c>
      <c r="X10" s="1531"/>
      <c r="Y10" s="1531"/>
      <c r="Z10" s="1531"/>
      <c r="AA10" s="1531"/>
      <c r="AB10" s="1943"/>
      <c r="AC10" s="1433"/>
      <c r="AD10" s="1433"/>
      <c r="AE10" s="1433"/>
      <c r="AF10" s="2176"/>
      <c r="AG10" s="2176"/>
      <c r="AH10" s="2176"/>
      <c r="AI10" s="2176"/>
      <c r="AJ10" s="2176"/>
      <c r="AK10" s="1405"/>
      <c r="AL10" s="2176"/>
      <c r="AM10" s="2176"/>
      <c r="AN10" s="2176"/>
      <c r="AO10" s="1405"/>
      <c r="AP10" s="1405"/>
      <c r="AQ10" s="1906"/>
      <c r="AR10" s="1405"/>
    </row>
    <row r="11" spans="1:47" ht="15" customHeight="1">
      <c r="A11" s="1562"/>
      <c r="E11" s="1632"/>
      <c r="F11" s="1632"/>
      <c r="G11" s="1632"/>
      <c r="H11" s="1531"/>
      <c r="I11" s="1531"/>
      <c r="J11" s="1531"/>
      <c r="K11" s="2055"/>
      <c r="L11" s="1531"/>
      <c r="M11" s="1943"/>
      <c r="N11" s="1943"/>
      <c r="O11" s="1943"/>
      <c r="P11" s="1943"/>
      <c r="Q11" s="1531"/>
      <c r="R11" s="1531"/>
      <c r="S11" s="1531"/>
      <c r="T11" s="2206">
        <v>16218058.310000001</v>
      </c>
      <c r="U11" s="2206">
        <v>-465854.67</v>
      </c>
      <c r="V11" s="2206">
        <v>155078.01680000001</v>
      </c>
      <c r="W11" s="2206">
        <v>-4644.4939000000004</v>
      </c>
      <c r="X11" s="1531"/>
      <c r="Y11" s="1531"/>
      <c r="Z11" s="1531"/>
      <c r="AA11" s="1531"/>
      <c r="AB11" s="1943"/>
      <c r="AC11" s="1433"/>
      <c r="AD11" s="1433"/>
      <c r="AE11" s="1433"/>
      <c r="AF11" s="2176"/>
      <c r="AG11" s="2176"/>
      <c r="AH11" s="2176"/>
      <c r="AI11" s="2176"/>
      <c r="AJ11" s="2176"/>
      <c r="AK11" s="1405"/>
      <c r="AL11" s="2176"/>
      <c r="AM11" s="2176"/>
      <c r="AN11" s="2176"/>
      <c r="AO11" s="1405"/>
      <c r="AP11" s="1405"/>
      <c r="AQ11" s="1906"/>
      <c r="AR11" s="1405"/>
    </row>
    <row r="12" spans="1:47" ht="15" customHeight="1">
      <c r="A12" s="1919" t="s">
        <v>2906</v>
      </c>
      <c r="E12" s="2034"/>
      <c r="F12" s="2034"/>
      <c r="G12" s="2034"/>
      <c r="H12" s="1531"/>
      <c r="I12" s="1531">
        <v>0</v>
      </c>
      <c r="J12" s="1531">
        <v>0</v>
      </c>
      <c r="K12" s="2055"/>
      <c r="L12" s="1531">
        <v>0</v>
      </c>
      <c r="M12" s="1943"/>
      <c r="N12" s="1943"/>
      <c r="O12" s="1411"/>
      <c r="P12" s="1943"/>
      <c r="Q12" s="1531"/>
      <c r="R12" s="1531"/>
      <c r="S12" s="1531"/>
      <c r="T12" s="2206">
        <v>117089990.76000001</v>
      </c>
      <c r="U12" s="2206">
        <v>-197498124.84999999</v>
      </c>
      <c r="V12" s="2206">
        <v>1136819.6366999999</v>
      </c>
      <c r="W12" s="2206">
        <v>-1988473.2586000001</v>
      </c>
      <c r="X12" s="1531"/>
      <c r="Y12" s="1532"/>
      <c r="Z12" s="1531"/>
      <c r="AA12" s="1531"/>
      <c r="AB12" s="1943"/>
      <c r="AC12" s="1412"/>
      <c r="AD12" s="1412"/>
      <c r="AE12" s="1412"/>
      <c r="AF12" s="1933"/>
      <c r="AG12" s="1405"/>
      <c r="AH12" s="1921"/>
      <c r="AI12" s="1405"/>
      <c r="AJ12" s="1933"/>
      <c r="AK12" s="1405"/>
      <c r="AL12" s="1405"/>
      <c r="AM12" s="1405"/>
      <c r="AN12" s="1921"/>
      <c r="AO12" s="2174"/>
      <c r="AP12" s="1405"/>
      <c r="AQ12" s="1405"/>
      <c r="AR12" s="1405"/>
    </row>
    <row r="13" spans="1:47" ht="15" customHeight="1">
      <c r="A13" s="1922" t="s">
        <v>2499</v>
      </c>
      <c r="E13" s="2035"/>
      <c r="F13" s="2313"/>
      <c r="G13" s="2035"/>
      <c r="H13" s="1531"/>
      <c r="I13" s="1923"/>
      <c r="J13" s="1924"/>
      <c r="K13" s="2056"/>
      <c r="L13" s="2168"/>
      <c r="M13" s="1943"/>
      <c r="N13" s="2188" t="s">
        <v>2800</v>
      </c>
      <c r="O13" s="2188" t="s">
        <v>2801</v>
      </c>
      <c r="P13" s="2188" t="s">
        <v>436</v>
      </c>
      <c r="Q13" s="2188" t="s">
        <v>2802</v>
      </c>
      <c r="R13" s="2188" t="s">
        <v>2803</v>
      </c>
      <c r="S13" s="1531"/>
      <c r="T13" s="2208">
        <v>1479496110.27</v>
      </c>
      <c r="U13" s="2208">
        <v>-3974990.73</v>
      </c>
      <c r="V13" s="2208">
        <v>14699098.806299999</v>
      </c>
      <c r="W13" s="2208">
        <v>-39270.833299999998</v>
      </c>
      <c r="X13" s="1531"/>
      <c r="Y13" s="1531"/>
      <c r="Z13" s="1531"/>
      <c r="AA13" s="1531"/>
      <c r="AB13" s="1943"/>
      <c r="AC13" s="2177"/>
      <c r="AD13" s="2177"/>
      <c r="AE13" s="1412"/>
      <c r="AF13" s="1405"/>
      <c r="AG13" s="1405"/>
      <c r="AH13" s="1405"/>
      <c r="AI13" s="1405"/>
      <c r="AJ13" s="1933"/>
      <c r="AK13" s="1405"/>
      <c r="AL13" s="1405"/>
      <c r="AM13" s="1906"/>
      <c r="AN13" s="1405"/>
      <c r="AO13" s="2174"/>
      <c r="AP13" s="1405"/>
      <c r="AQ13" s="1405"/>
      <c r="AR13" s="1405"/>
      <c r="AS13" s="1908"/>
      <c r="AT13" s="1908"/>
      <c r="AU13" s="1908"/>
    </row>
    <row r="14" spans="1:47" ht="15" customHeight="1">
      <c r="A14" s="1926" t="s">
        <v>2905</v>
      </c>
      <c r="E14" s="2037">
        <f>Q15</f>
        <v>3967722</v>
      </c>
      <c r="F14" s="2314">
        <v>0</v>
      </c>
      <c r="G14" s="2037">
        <f>SUM(E14:F14)</f>
        <v>3967722</v>
      </c>
      <c r="H14" s="1531"/>
      <c r="I14" s="1927">
        <f>6793413</f>
        <v>6793413</v>
      </c>
      <c r="J14" s="1928">
        <v>0</v>
      </c>
      <c r="K14" s="2057">
        <v>0</v>
      </c>
      <c r="L14" s="2169">
        <f>SUM(I14:K14)</f>
        <v>6793413</v>
      </c>
      <c r="M14" s="1943"/>
      <c r="N14" s="2189">
        <f>V28</f>
        <v>38287611.261500001</v>
      </c>
      <c r="O14" s="2190">
        <f>T28</f>
        <v>3855360627.8400002</v>
      </c>
      <c r="P14" s="2191">
        <f>BS!H40</f>
        <v>103.62939379626067</v>
      </c>
      <c r="Q14" s="2192">
        <f>N14*P14</f>
        <v>3967721944.9361286</v>
      </c>
      <c r="R14" s="2193">
        <f>+O14-Q14</f>
        <v>-112361317.09612846</v>
      </c>
      <c r="S14" s="1531"/>
      <c r="T14" s="2208">
        <v>1063998034.5</v>
      </c>
      <c r="U14" s="2208">
        <v>-100466.18</v>
      </c>
      <c r="V14" s="2208">
        <v>10619335.119000001</v>
      </c>
      <c r="W14" s="2208">
        <v>-998.78070000000002</v>
      </c>
      <c r="X14" s="1531"/>
      <c r="Y14" s="1531"/>
      <c r="Z14" s="1531"/>
      <c r="AA14" s="1531"/>
      <c r="AB14" s="1943"/>
      <c r="AC14" s="2177"/>
      <c r="AD14" s="2177"/>
      <c r="AE14" s="1412"/>
      <c r="AF14" s="1405"/>
      <c r="AG14" s="1405"/>
      <c r="AH14" s="1405"/>
      <c r="AI14" s="1405"/>
      <c r="AJ14" s="1933"/>
      <c r="AK14" s="1405"/>
      <c r="AL14" s="1405"/>
      <c r="AM14" s="1906"/>
      <c r="AN14" s="1405"/>
      <c r="AO14" s="2174"/>
      <c r="AP14" s="1405"/>
      <c r="AQ14" s="1405"/>
      <c r="AR14" s="1405"/>
      <c r="AS14" s="1908"/>
      <c r="AT14" s="1908"/>
      <c r="AU14" s="1908"/>
    </row>
    <row r="15" spans="1:47" ht="15" customHeight="1" thickBot="1">
      <c r="A15" s="1922" t="s">
        <v>2663</v>
      </c>
      <c r="E15" s="2039">
        <f>R15</f>
        <v>-112361.51</v>
      </c>
      <c r="F15" s="2316">
        <v>0</v>
      </c>
      <c r="G15" s="2039">
        <f>SUM(E15:F15)</f>
        <v>-112361.51</v>
      </c>
      <c r="H15" s="1531"/>
      <c r="I15" s="1929">
        <f>1456894</f>
        <v>1456894</v>
      </c>
      <c r="J15" s="1930">
        <v>0</v>
      </c>
      <c r="K15" s="2058">
        <v>0</v>
      </c>
      <c r="L15" s="2170">
        <f>SUM(I15:K15)</f>
        <v>1456894</v>
      </c>
      <c r="M15" s="1943"/>
      <c r="N15" s="2194"/>
      <c r="O15" s="2195">
        <f>ROUND(O14/1000,0)</f>
        <v>3855361</v>
      </c>
      <c r="P15" s="2196"/>
      <c r="Q15" s="2195">
        <f>ROUND(Q14/1000,0)</f>
        <v>3967722</v>
      </c>
      <c r="R15" s="2210">
        <f>ROUND(R14/1000,0)-0.51</f>
        <v>-112361.51</v>
      </c>
      <c r="S15" s="1531"/>
      <c r="T15" s="2207">
        <v>81950697.959999993</v>
      </c>
      <c r="U15" s="2207">
        <v>-942735728.12</v>
      </c>
      <c r="V15" s="2207">
        <v>790851.25060000003</v>
      </c>
      <c r="W15" s="2207">
        <v>-9347919.3421999998</v>
      </c>
      <c r="X15" s="1531"/>
      <c r="Y15" s="1531"/>
      <c r="Z15" s="1531"/>
      <c r="AA15" s="1531"/>
      <c r="AB15" s="1943"/>
      <c r="AC15" s="1412"/>
      <c r="AD15" s="1412"/>
      <c r="AE15" s="1412"/>
      <c r="AF15" s="1933"/>
      <c r="AG15" s="1433"/>
      <c r="AH15" s="1412"/>
      <c r="AI15" s="1433"/>
      <c r="AJ15" s="1433"/>
      <c r="AK15" s="1405"/>
      <c r="AL15" s="1433"/>
      <c r="AM15" s="1433"/>
      <c r="AN15" s="1433"/>
      <c r="AO15" s="2174"/>
      <c r="AP15" s="1405"/>
      <c r="AQ15" s="1405"/>
      <c r="AR15" s="1405"/>
      <c r="AS15" s="1908"/>
      <c r="AT15" s="1908"/>
      <c r="AU15" s="1908"/>
    </row>
    <row r="16" spans="1:47" ht="15" customHeight="1" thickTop="1">
      <c r="A16" s="1931"/>
      <c r="E16" s="2034">
        <f>SUM(E14:E15)</f>
        <v>3855360.49</v>
      </c>
      <c r="F16" s="2034">
        <f>SUM(F13:F15)</f>
        <v>0</v>
      </c>
      <c r="G16" s="2034">
        <f>SUM(G14:G15)</f>
        <v>3855360.49</v>
      </c>
      <c r="H16" s="1531"/>
      <c r="I16" s="2099">
        <f>SUM(I14:I15)</f>
        <v>8250307</v>
      </c>
      <c r="J16" s="2099">
        <v>0</v>
      </c>
      <c r="K16" s="2055">
        <v>5417305.25</v>
      </c>
      <c r="L16" s="2099">
        <f>SUM(L14:L15)</f>
        <v>8250307</v>
      </c>
      <c r="M16" s="1943"/>
      <c r="N16" s="1943"/>
      <c r="O16" s="1943"/>
      <c r="P16" s="1943"/>
      <c r="Q16" s="1531"/>
      <c r="R16" s="1531"/>
      <c r="S16" s="1531"/>
      <c r="T16" s="2206">
        <v>4322408.75</v>
      </c>
      <c r="U16" s="2206">
        <v>-211803159.81999999</v>
      </c>
      <c r="V16" s="2206">
        <v>42901.9018</v>
      </c>
      <c r="W16" s="2206">
        <v>-2059952.1458000001</v>
      </c>
      <c r="X16" s="1531"/>
      <c r="Y16" s="1531"/>
      <c r="Z16" s="1531"/>
      <c r="AA16" s="1531"/>
      <c r="AB16" s="1943"/>
      <c r="AC16" s="1412"/>
      <c r="AD16" s="1412"/>
      <c r="AE16" s="1412"/>
      <c r="AF16" s="1433"/>
      <c r="AG16" s="1433"/>
      <c r="AH16" s="1433"/>
      <c r="AI16" s="1433"/>
      <c r="AJ16" s="1433"/>
      <c r="AK16" s="1405"/>
      <c r="AL16" s="1433"/>
      <c r="AM16" s="1433"/>
      <c r="AN16" s="1433"/>
      <c r="AO16" s="2174"/>
      <c r="AP16" s="1405"/>
      <c r="AQ16" s="1405"/>
      <c r="AR16" s="1405"/>
      <c r="AS16" s="1908"/>
      <c r="AT16" s="1908"/>
      <c r="AU16" s="1908"/>
    </row>
    <row r="17" spans="1:47" ht="15" customHeight="1">
      <c r="A17" s="1931"/>
      <c r="E17" s="2034"/>
      <c r="F17" s="2034"/>
      <c r="G17" s="2034"/>
      <c r="H17" s="1531"/>
      <c r="I17" s="1531"/>
      <c r="J17" s="1531"/>
      <c r="K17" s="2055"/>
      <c r="L17" s="1531"/>
      <c r="M17" s="1943"/>
      <c r="N17" s="1943"/>
      <c r="O17" s="1943"/>
      <c r="P17" s="1943"/>
      <c r="Q17" s="1531"/>
      <c r="R17" s="1531"/>
      <c r="S17" s="1531"/>
      <c r="T17" s="2206">
        <v>775474993.86000001</v>
      </c>
      <c r="U17" s="2206">
        <v>-18089161.829999998</v>
      </c>
      <c r="V17" s="2206">
        <v>7691135.3671000004</v>
      </c>
      <c r="W17" s="2206">
        <v>-181711.44870000001</v>
      </c>
      <c r="X17" s="1531"/>
      <c r="Y17" s="1531"/>
      <c r="Z17" s="1531"/>
      <c r="AA17" s="1531"/>
      <c r="AB17" s="1943"/>
      <c r="AC17" s="1412"/>
      <c r="AD17" s="1412"/>
      <c r="AE17" s="1412"/>
      <c r="AF17" s="1433"/>
      <c r="AG17" s="1433"/>
      <c r="AH17" s="1433"/>
      <c r="AI17" s="1433"/>
      <c r="AJ17" s="1433"/>
      <c r="AK17" s="1405"/>
      <c r="AL17" s="1433"/>
      <c r="AM17" s="1433"/>
      <c r="AN17" s="1433"/>
      <c r="AO17" s="2174"/>
      <c r="AP17" s="1405"/>
      <c r="AQ17" s="1405"/>
      <c r="AR17" s="1405"/>
      <c r="AS17" s="1908"/>
      <c r="AT17" s="1908"/>
      <c r="AU17" s="1908"/>
    </row>
    <row r="18" spans="1:47" ht="15" customHeight="1">
      <c r="A18" s="2071" t="s">
        <v>2907</v>
      </c>
      <c r="E18" s="1632"/>
      <c r="F18" s="1632"/>
      <c r="G18" s="1632"/>
      <c r="H18" s="1531"/>
      <c r="I18" s="1531"/>
      <c r="J18" s="1531"/>
      <c r="K18" s="1531"/>
      <c r="L18" s="1531"/>
      <c r="M18" s="1943">
        <f>12397182+3855361-5003786-565080</f>
        <v>10683677</v>
      </c>
      <c r="N18" s="1943"/>
      <c r="O18" s="1943"/>
      <c r="P18" s="1943"/>
      <c r="Q18" s="1531"/>
      <c r="R18" s="1531"/>
      <c r="S18" s="1531"/>
      <c r="T18" s="2206">
        <v>4353294.17</v>
      </c>
      <c r="U18" s="2206">
        <v>-2346931509.3400002</v>
      </c>
      <c r="V18" s="2206">
        <v>44279.763099999996</v>
      </c>
      <c r="W18" s="2206">
        <v>-23336872.308400001</v>
      </c>
      <c r="X18" s="1531"/>
      <c r="Y18" s="1531"/>
      <c r="Z18" s="1531"/>
      <c r="AA18" s="1531"/>
      <c r="AB18" s="1943"/>
      <c r="AC18" s="1412"/>
      <c r="AD18" s="1412"/>
      <c r="AE18" s="1412"/>
      <c r="AF18" s="1433"/>
      <c r="AG18" s="1433"/>
      <c r="AH18" s="1433"/>
      <c r="AI18" s="1433"/>
      <c r="AJ18" s="1433"/>
      <c r="AK18" s="1405"/>
      <c r="AL18" s="1433"/>
      <c r="AM18" s="1433"/>
      <c r="AN18" s="1433"/>
      <c r="AO18" s="2174"/>
      <c r="AP18" s="1405"/>
      <c r="AQ18" s="1405"/>
      <c r="AR18" s="1405"/>
      <c r="AS18" s="1908"/>
      <c r="AT18" s="1908"/>
      <c r="AU18" s="1908"/>
    </row>
    <row r="19" spans="1:47" ht="15" customHeight="1">
      <c r="A19" s="1922" t="s">
        <v>2499</v>
      </c>
      <c r="E19" s="2036"/>
      <c r="F19" s="2313"/>
      <c r="G19" s="2036"/>
      <c r="H19" s="1531"/>
      <c r="I19" s="1923"/>
      <c r="J19" s="1924"/>
      <c r="K19" s="2056"/>
      <c r="L19" s="2168"/>
      <c r="M19" s="1943"/>
      <c r="N19" s="2197" t="s">
        <v>2804</v>
      </c>
      <c r="O19" s="2198" t="s">
        <v>2805</v>
      </c>
      <c r="P19" s="2198" t="s">
        <v>436</v>
      </c>
      <c r="Q19" s="2197" t="s">
        <v>2802</v>
      </c>
      <c r="R19" s="2188" t="s">
        <v>2803</v>
      </c>
      <c r="S19" s="1531"/>
      <c r="T19" s="2206">
        <v>12020</v>
      </c>
      <c r="U19" s="2206">
        <v>-1304359.27</v>
      </c>
      <c r="V19" s="2206">
        <v>117.62990000000001</v>
      </c>
      <c r="W19" s="2206">
        <v>-13718.120999999999</v>
      </c>
      <c r="X19" s="1531"/>
      <c r="Y19" s="1531"/>
      <c r="Z19" s="1531"/>
      <c r="AA19" s="1531"/>
      <c r="AB19" s="1943"/>
      <c r="AC19" s="1412"/>
      <c r="AD19" s="1412"/>
      <c r="AE19" s="1412"/>
      <c r="AF19" s="1433"/>
      <c r="AG19" s="1433"/>
      <c r="AH19" s="1433"/>
      <c r="AI19" s="1433"/>
      <c r="AJ19" s="1433"/>
      <c r="AK19" s="1405"/>
      <c r="AL19" s="1433"/>
      <c r="AM19" s="1433"/>
      <c r="AN19" s="1433"/>
      <c r="AO19" s="2174"/>
      <c r="AP19" s="1405"/>
      <c r="AQ19" s="1405"/>
      <c r="AR19" s="1405"/>
      <c r="AS19" s="1908"/>
      <c r="AT19" s="1908"/>
      <c r="AU19" s="1908"/>
    </row>
    <row r="20" spans="1:47" ht="15" customHeight="1">
      <c r="A20" s="1926" t="s">
        <v>2905</v>
      </c>
      <c r="E20" s="2038">
        <f>Q22</f>
        <v>-5134322</v>
      </c>
      <c r="F20" s="2314">
        <v>0</v>
      </c>
      <c r="G20" s="2037">
        <f>SUM(E20:F20)</f>
        <v>-5134322</v>
      </c>
      <c r="H20" s="1531"/>
      <c r="I20" s="1927">
        <v>-6620684</v>
      </c>
      <c r="J20" s="1928">
        <v>0</v>
      </c>
      <c r="K20" s="2073">
        <v>0</v>
      </c>
      <c r="L20" s="2169">
        <f>SUM(I20:K20)</f>
        <v>-6620684</v>
      </c>
      <c r="M20" s="1943"/>
      <c r="N20" s="2199">
        <f>W28</f>
        <v>-49545039.409599997</v>
      </c>
      <c r="O20" s="2190">
        <f>U28</f>
        <v>-5003786273.1600008</v>
      </c>
      <c r="P20" s="2191">
        <f>BS!H40</f>
        <v>103.62939379626067</v>
      </c>
      <c r="Q20" s="2192">
        <f>N20*P20</f>
        <v>-5134322399.6286926</v>
      </c>
      <c r="R20" s="2193">
        <f>O20-Q20</f>
        <v>130536126.46869183</v>
      </c>
      <c r="S20" s="1531"/>
      <c r="T20" s="2206">
        <v>32.78</v>
      </c>
      <c r="U20" s="2206">
        <v>-1059121202.59</v>
      </c>
      <c r="V20" s="2206">
        <v>0.30819999999999997</v>
      </c>
      <c r="W20" s="2206">
        <v>-10395804.494899999</v>
      </c>
      <c r="X20" s="1531"/>
      <c r="Y20" s="1531"/>
      <c r="Z20" s="1531"/>
      <c r="AA20" s="1531"/>
      <c r="AB20" s="1943"/>
      <c r="AC20" s="1412"/>
      <c r="AD20" s="1412"/>
      <c r="AE20" s="1412"/>
      <c r="AF20" s="1433"/>
      <c r="AG20" s="1433"/>
      <c r="AH20" s="1433"/>
      <c r="AI20" s="1433"/>
      <c r="AJ20" s="1433"/>
      <c r="AK20" s="1405"/>
      <c r="AL20" s="1433"/>
      <c r="AM20" s="1433"/>
      <c r="AN20" s="1433"/>
      <c r="AO20" s="2174"/>
      <c r="AP20" s="1405"/>
      <c r="AQ20" s="1405"/>
      <c r="AR20" s="1405"/>
      <c r="AS20" s="1908"/>
      <c r="AT20" s="1908"/>
      <c r="AU20" s="1908"/>
    </row>
    <row r="21" spans="1:47" ht="15" customHeight="1">
      <c r="A21" s="1922" t="s">
        <v>2670</v>
      </c>
      <c r="E21" s="2040">
        <f>G21-F21</f>
        <v>130535.5</v>
      </c>
      <c r="F21" s="2315">
        <f>+IS!F49</f>
        <v>0</v>
      </c>
      <c r="G21" s="2040">
        <f>R22</f>
        <v>130535.5</v>
      </c>
      <c r="H21" s="1531"/>
      <c r="I21" s="1929">
        <v>-930475.21796000039</v>
      </c>
      <c r="J21" s="1930">
        <v>-575173.61600000004</v>
      </c>
      <c r="K21" s="2074">
        <v>0</v>
      </c>
      <c r="L21" s="2170">
        <f>SUM(I21:K21)</f>
        <v>-1505648.8339600004</v>
      </c>
      <c r="M21" s="1943"/>
      <c r="N21" s="2200"/>
      <c r="O21" s="2201"/>
      <c r="P21" s="2202"/>
      <c r="Q21" s="2203"/>
      <c r="R21" s="2204"/>
      <c r="S21" s="1531"/>
      <c r="T21" s="2206">
        <v>58002000</v>
      </c>
      <c r="U21" s="2206">
        <v>-1402</v>
      </c>
      <c r="V21" s="2206">
        <v>586471.73470000003</v>
      </c>
      <c r="W21" s="2206">
        <v>-14.6159</v>
      </c>
      <c r="X21" s="1531"/>
      <c r="Y21" s="1531"/>
      <c r="Z21" s="1531"/>
      <c r="AA21" s="1531"/>
      <c r="AB21" s="1943"/>
      <c r="AC21" s="2177"/>
      <c r="AD21" s="2177"/>
      <c r="AE21" s="1412"/>
      <c r="AF21" s="1412"/>
      <c r="AG21" s="1433"/>
      <c r="AH21" s="1433"/>
      <c r="AI21" s="1433"/>
      <c r="AJ21" s="1433"/>
      <c r="AK21" s="1405"/>
      <c r="AL21" s="1433"/>
      <c r="AM21" s="1433"/>
      <c r="AN21" s="1433"/>
      <c r="AO21" s="2174"/>
      <c r="AP21" s="1405"/>
      <c r="AQ21" s="1405"/>
      <c r="AR21" s="1405"/>
      <c r="AS21" s="1908"/>
      <c r="AT21" s="1908"/>
      <c r="AU21" s="1908"/>
    </row>
    <row r="22" spans="1:47" ht="15" customHeight="1" thickBot="1">
      <c r="E22" s="1632">
        <f>SUM(E20:E21)</f>
        <v>-5003786.5</v>
      </c>
      <c r="F22" s="1632">
        <f>SUM(F19:F21)</f>
        <v>0</v>
      </c>
      <c r="G22" s="1632">
        <f>SUM(G20:G21)</f>
        <v>-5003786.5</v>
      </c>
      <c r="H22" s="1531"/>
      <c r="I22" s="2099">
        <f>SUM(I20:I21)</f>
        <v>-7551159.21796</v>
      </c>
      <c r="J22" s="2099">
        <f>SUM(J20:J21)</f>
        <v>-575173.61600000004</v>
      </c>
      <c r="K22" s="2055">
        <v>0</v>
      </c>
      <c r="L22" s="2099">
        <f>SUM(L20:L21)</f>
        <v>-8126332.8339600004</v>
      </c>
      <c r="M22" s="1943"/>
      <c r="N22" s="2200"/>
      <c r="O22" s="2195">
        <f>ROUND(O20/1000,0)</f>
        <v>-5003786</v>
      </c>
      <c r="P22" s="1943"/>
      <c r="Q22" s="2195">
        <f>ROUND(Q20/1000,0)</f>
        <v>-5134322</v>
      </c>
      <c r="R22" s="2210">
        <f>ROUND(R20/1000,0)-0.5</f>
        <v>130535.5</v>
      </c>
      <c r="S22" s="1531"/>
      <c r="T22" s="2206">
        <v>236417791.83000001</v>
      </c>
      <c r="U22" s="2206">
        <v>-15952.38</v>
      </c>
      <c r="V22" s="2206">
        <v>2340442.7272000001</v>
      </c>
      <c r="W22" s="2206">
        <v>-158.76339999999999</v>
      </c>
      <c r="X22" s="1531"/>
      <c r="Y22" s="1531"/>
      <c r="Z22" s="1531"/>
      <c r="AA22" s="1531"/>
      <c r="AB22" s="1943"/>
      <c r="AC22" s="1412"/>
      <c r="AD22" s="1412"/>
      <c r="AE22" s="1412"/>
      <c r="AF22" s="1412"/>
      <c r="AG22" s="1433"/>
      <c r="AH22" s="1933"/>
      <c r="AI22" s="1433"/>
      <c r="AJ22" s="1433"/>
      <c r="AK22" s="1405"/>
      <c r="AL22" s="1433"/>
      <c r="AM22" s="1433"/>
      <c r="AN22" s="1433"/>
      <c r="AO22" s="2174"/>
      <c r="AP22" s="1405"/>
      <c r="AQ22" s="1405"/>
      <c r="AR22" s="1405"/>
      <c r="AS22" s="1908"/>
      <c r="AT22" s="1908"/>
      <c r="AU22" s="1908"/>
    </row>
    <row r="23" spans="1:47" ht="15" customHeight="1" thickTop="1">
      <c r="E23" s="2042"/>
      <c r="F23" s="2042"/>
      <c r="G23" s="2042"/>
      <c r="H23" s="1531"/>
      <c r="I23" s="1531"/>
      <c r="J23" s="1531"/>
      <c r="K23" s="2055"/>
      <c r="L23" s="1531"/>
      <c r="M23" s="2172"/>
      <c r="N23" s="1943"/>
      <c r="O23" s="1943"/>
      <c r="P23" s="1946"/>
      <c r="Q23" s="1531"/>
      <c r="R23" s="1531"/>
      <c r="S23" s="1531"/>
      <c r="T23" s="2206">
        <v>10164.42</v>
      </c>
      <c r="U23" s="2206">
        <v>-139481958.66</v>
      </c>
      <c r="V23" s="2206">
        <v>97.504599999999996</v>
      </c>
      <c r="W23" s="2206">
        <v>-1381639.4109</v>
      </c>
      <c r="X23" s="1531"/>
      <c r="Y23" s="1531"/>
      <c r="Z23" s="1531"/>
      <c r="AA23" s="1531"/>
      <c r="AB23" s="1943"/>
      <c r="AC23" s="1412"/>
      <c r="AD23" s="1412"/>
      <c r="AE23" s="1412"/>
      <c r="AF23" s="1412"/>
      <c r="AG23" s="1433"/>
      <c r="AH23" s="1933"/>
      <c r="AI23" s="1433"/>
      <c r="AJ23" s="1433"/>
      <c r="AK23" s="1405"/>
      <c r="AL23" s="1433"/>
      <c r="AM23" s="1433"/>
      <c r="AN23" s="1433"/>
      <c r="AO23" s="2174"/>
      <c r="AP23" s="1405"/>
      <c r="AQ23" s="1405"/>
      <c r="AR23" s="1405"/>
      <c r="AS23" s="1908"/>
      <c r="AT23" s="1908"/>
      <c r="AU23" s="1908"/>
    </row>
    <row r="24" spans="1:47" ht="15" hidden="1" customHeight="1" thickTop="1">
      <c r="A24" s="1935"/>
      <c r="B24" s="1936"/>
      <c r="E24" s="1632"/>
      <c r="F24" s="1632"/>
      <c r="G24" s="1632"/>
      <c r="H24" s="1531"/>
      <c r="I24" s="1531">
        <v>-5992981</v>
      </c>
      <c r="J24" s="1531">
        <v>0</v>
      </c>
      <c r="K24" s="2055"/>
      <c r="L24" s="1531">
        <v>-5992981</v>
      </c>
      <c r="M24" s="1405"/>
      <c r="N24" s="1943"/>
      <c r="O24" s="1405"/>
      <c r="P24" s="1943"/>
      <c r="Q24" s="1531"/>
      <c r="R24" s="1531"/>
      <c r="S24" s="1531"/>
      <c r="T24" s="2206"/>
      <c r="U24" s="2206">
        <v>-65587.39</v>
      </c>
      <c r="V24" s="2206"/>
      <c r="W24" s="2206">
        <v>-643.99689999999998</v>
      </c>
      <c r="X24" s="1531"/>
      <c r="Y24" s="1531"/>
      <c r="Z24" s="1531"/>
      <c r="AA24" s="1531"/>
      <c r="AB24" s="1943"/>
      <c r="AC24" s="1412"/>
      <c r="AD24" s="1412"/>
      <c r="AE24" s="1412"/>
      <c r="AF24" s="1433"/>
      <c r="AG24" s="1433"/>
      <c r="AH24" s="1433"/>
      <c r="AI24" s="1433"/>
      <c r="AJ24" s="1433"/>
      <c r="AK24" s="1405"/>
      <c r="AL24" s="1433"/>
      <c r="AM24" s="1433"/>
      <c r="AN24" s="1433"/>
      <c r="AO24" s="2174"/>
      <c r="AP24" s="1405"/>
      <c r="AQ24" s="1405"/>
      <c r="AR24" s="1405"/>
    </row>
    <row r="25" spans="1:47" ht="15" customHeight="1">
      <c r="A25" s="1937" t="s">
        <v>1102</v>
      </c>
      <c r="B25" s="1936"/>
      <c r="E25" s="2262">
        <v>0</v>
      </c>
      <c r="F25" s="2262">
        <f>IS!F43</f>
        <v>-565080</v>
      </c>
      <c r="G25" s="2262">
        <f>SUM(E25:F25)</f>
        <v>-565080</v>
      </c>
      <c r="H25" s="1531"/>
      <c r="I25" s="2263">
        <v>0</v>
      </c>
      <c r="J25" s="2263">
        <f>2594534.745-0.5</f>
        <v>2594534.2450000001</v>
      </c>
      <c r="K25" s="2261">
        <v>0</v>
      </c>
      <c r="L25" s="2264">
        <f>SUM(I25:K25)</f>
        <v>2594534.2450000001</v>
      </c>
      <c r="M25" s="1943"/>
      <c r="N25" s="1938"/>
      <c r="O25" s="1411"/>
      <c r="P25" s="1943"/>
      <c r="Q25" s="1938"/>
      <c r="R25" s="1938"/>
      <c r="S25" s="1938"/>
      <c r="T25" s="2206"/>
      <c r="U25" s="2206">
        <v>-30.6</v>
      </c>
      <c r="V25" s="2206"/>
      <c r="W25" s="2206">
        <v>-0.30370000000000003</v>
      </c>
      <c r="X25" s="1938"/>
      <c r="Y25" s="1938"/>
      <c r="Z25" s="1938"/>
      <c r="AA25" s="1938"/>
      <c r="AB25" s="1938"/>
      <c r="AC25" s="1412"/>
      <c r="AD25" s="1412"/>
      <c r="AE25" s="1412"/>
      <c r="AF25" s="1433"/>
      <c r="AG25" s="1433"/>
      <c r="AH25" s="1433"/>
      <c r="AI25" s="1433"/>
      <c r="AJ25" s="1433"/>
      <c r="AK25" s="1405"/>
      <c r="AL25" s="1433"/>
      <c r="AM25" s="1433"/>
      <c r="AN25" s="1433"/>
      <c r="AO25" s="2174"/>
      <c r="AP25" s="1405"/>
      <c r="AQ25" s="1405"/>
      <c r="AR25" s="1405"/>
    </row>
    <row r="26" spans="1:47" ht="15" customHeight="1">
      <c r="A26" s="1937" t="s">
        <v>2664</v>
      </c>
      <c r="B26" s="1936"/>
      <c r="E26" s="1632">
        <f>SUM(E25:E25)</f>
        <v>0</v>
      </c>
      <c r="F26" s="1632">
        <f>SUM(F25:F25)</f>
        <v>-565080</v>
      </c>
      <c r="G26" s="1632">
        <f>SUM(G25:G25)</f>
        <v>-565080</v>
      </c>
      <c r="H26" s="1531"/>
      <c r="I26" s="2099">
        <f>SUM(I25:I25)</f>
        <v>0</v>
      </c>
      <c r="J26" s="2099">
        <f>SUM(J25:J25)</f>
        <v>2594534.2450000001</v>
      </c>
      <c r="K26" s="2055">
        <v>0</v>
      </c>
      <c r="L26" s="2099">
        <f>SUM(L25:L25)</f>
        <v>2594534.2450000001</v>
      </c>
      <c r="M26" s="1943"/>
      <c r="N26" s="1938"/>
      <c r="O26" s="1943"/>
      <c r="P26" s="1943"/>
      <c r="Q26" s="1938"/>
      <c r="R26" s="1531"/>
      <c r="S26" s="1531"/>
      <c r="T26" s="2206"/>
      <c r="U26" s="2206">
        <v>-402</v>
      </c>
      <c r="V26" s="2206"/>
      <c r="W26" s="2206">
        <v>-3.8182999999999998</v>
      </c>
      <c r="X26" s="1531"/>
      <c r="Y26" s="1531"/>
      <c r="Z26" s="1531"/>
      <c r="AA26" s="1531"/>
      <c r="AB26" s="1943"/>
      <c r="AC26" s="1412"/>
      <c r="AD26" s="1412"/>
      <c r="AE26" s="1412"/>
      <c r="AF26" s="1433"/>
      <c r="AG26" s="1433"/>
      <c r="AH26" s="1433"/>
      <c r="AI26" s="1433"/>
      <c r="AJ26" s="1433"/>
      <c r="AK26" s="1405"/>
      <c r="AL26" s="1433"/>
      <c r="AM26" s="1433"/>
      <c r="AN26" s="1433"/>
      <c r="AO26" s="2174"/>
      <c r="AP26" s="1405"/>
      <c r="AQ26" s="1405"/>
      <c r="AR26" s="1405"/>
    </row>
    <row r="27" spans="1:47" ht="15" customHeight="1">
      <c r="A27" s="1935"/>
      <c r="B27" s="1936"/>
      <c r="E27" s="1632"/>
      <c r="F27" s="1632"/>
      <c r="G27" s="1632"/>
      <c r="H27" s="1531"/>
      <c r="I27" s="1531"/>
      <c r="J27" s="1531"/>
      <c r="K27" s="2055"/>
      <c r="L27" s="1531"/>
      <c r="M27" s="1943"/>
      <c r="N27" s="1938">
        <f>+G16+G22</f>
        <v>-1148426.0099999998</v>
      </c>
      <c r="O27" s="1943"/>
      <c r="P27" s="1943"/>
      <c r="Q27" s="1938"/>
      <c r="R27" s="1531"/>
      <c r="S27" s="1531"/>
      <c r="T27" s="1992"/>
      <c r="U27" s="1992"/>
      <c r="V27" s="1992"/>
      <c r="W27" s="1992"/>
      <c r="X27" s="1531"/>
      <c r="Y27" s="1531"/>
      <c r="Z27" s="1531"/>
      <c r="AA27" s="1531"/>
      <c r="AB27" s="1943"/>
      <c r="AC27" s="1939"/>
      <c r="AD27" s="1939"/>
      <c r="AE27" s="1939"/>
      <c r="AF27" s="1952"/>
      <c r="AG27" s="1433"/>
      <c r="AH27" s="1433"/>
      <c r="AI27" s="1433"/>
      <c r="AJ27" s="1433"/>
      <c r="AK27" s="1405"/>
      <c r="AL27" s="1433"/>
      <c r="AM27" s="1433"/>
      <c r="AN27" s="1433"/>
      <c r="AO27" s="2174"/>
      <c r="AP27" s="1405"/>
      <c r="AQ27" s="1405"/>
      <c r="AR27" s="1405"/>
    </row>
    <row r="28" spans="1:47" ht="15" customHeight="1" thickBot="1">
      <c r="A28" s="1941" t="s">
        <v>2305</v>
      </c>
      <c r="E28" s="2043">
        <f>ROUND(E10+E16+E22+E26,0)</f>
        <v>6017174</v>
      </c>
      <c r="F28" s="2043">
        <f>ROUND(F8+F10+F16+F22+F26,0)</f>
        <v>4666502</v>
      </c>
      <c r="G28" s="2043">
        <f>(G10+G16+G22+G26)</f>
        <v>10683675.99</v>
      </c>
      <c r="H28" s="1633"/>
      <c r="I28" s="1942">
        <f>ROUND(I10+I16+I22+I26,0)</f>
        <v>6593948</v>
      </c>
      <c r="J28" s="1942">
        <f>ROUND(J8+J10+J16+J22+J26,0)</f>
        <v>4928458</v>
      </c>
      <c r="K28" s="2059">
        <v>0</v>
      </c>
      <c r="L28" s="1942">
        <f>ROUND(L8+L10+L16+L22+L26,0)-0.5</f>
        <v>11522404.5</v>
      </c>
      <c r="M28" s="1938"/>
      <c r="N28" s="1938"/>
      <c r="O28" s="1938"/>
      <c r="P28" s="1943"/>
      <c r="Q28" s="1938"/>
      <c r="R28" s="1943"/>
      <c r="S28" s="1943"/>
      <c r="T28" s="1943">
        <f>SUM(T9:T27)</f>
        <v>3855360627.8400002</v>
      </c>
      <c r="U28" s="1943">
        <f>SUM(U9:U27)</f>
        <v>-5003786273.1600008</v>
      </c>
      <c r="V28" s="1943">
        <f>SUM(V9:V27)</f>
        <v>38287611.261500001</v>
      </c>
      <c r="W28" s="1943">
        <f>SUM(W9:W27)</f>
        <v>-49545039.409599997</v>
      </c>
      <c r="X28" s="1943">
        <f>+T28+U28</f>
        <v>-1148425645.3200006</v>
      </c>
      <c r="Y28" s="1943">
        <f>+V28+W28</f>
        <v>-11257428.148099996</v>
      </c>
      <c r="Z28" s="1943"/>
      <c r="AA28" s="1943"/>
      <c r="AB28" s="1943"/>
      <c r="AC28" s="1939"/>
      <c r="AD28" s="1939"/>
      <c r="AE28" s="1939"/>
      <c r="AF28" s="1433"/>
      <c r="AG28" s="1433"/>
      <c r="AH28" s="1433"/>
      <c r="AI28" s="1433"/>
      <c r="AJ28" s="1433"/>
      <c r="AK28" s="1405"/>
      <c r="AL28" s="1433"/>
      <c r="AM28" s="1433"/>
      <c r="AN28" s="1433"/>
      <c r="AO28" s="2174"/>
      <c r="AP28" s="1405"/>
      <c r="AQ28" s="1405"/>
      <c r="AR28" s="1405"/>
    </row>
    <row r="29" spans="1:47" ht="15" customHeight="1" thickTop="1">
      <c r="E29" s="1531"/>
      <c r="F29" s="1531"/>
      <c r="G29" s="1531"/>
      <c r="H29" s="1531"/>
      <c r="I29" s="1531"/>
      <c r="J29" s="1531"/>
      <c r="K29" s="2055"/>
      <c r="L29" s="1531"/>
      <c r="M29" s="1938"/>
      <c r="N29" s="1938"/>
      <c r="O29" s="1938"/>
      <c r="P29" s="1943"/>
      <c r="Q29" s="1938"/>
      <c r="R29" s="1531"/>
      <c r="S29" s="1531"/>
      <c r="T29" s="1531"/>
      <c r="U29" s="1531"/>
      <c r="V29" s="1531"/>
      <c r="W29" s="1531"/>
      <c r="X29" s="1531"/>
      <c r="Y29" s="1531"/>
      <c r="Z29" s="1531"/>
      <c r="AA29" s="1531"/>
      <c r="AB29" s="1943"/>
      <c r="AC29" s="1412"/>
      <c r="AD29" s="1412"/>
      <c r="AE29" s="1412"/>
      <c r="AF29" s="1433"/>
      <c r="AG29" s="1433"/>
      <c r="AH29" s="1433"/>
      <c r="AI29" s="1433"/>
      <c r="AJ29" s="1433"/>
      <c r="AK29" s="1405"/>
      <c r="AL29" s="1433"/>
      <c r="AM29" s="1433"/>
      <c r="AN29" s="1433"/>
      <c r="AO29" s="2174"/>
      <c r="AP29" s="1405"/>
      <c r="AQ29" s="1405"/>
      <c r="AR29" s="1405"/>
    </row>
    <row r="30" spans="1:47" ht="15" customHeight="1">
      <c r="A30" s="1401" t="s">
        <v>2381</v>
      </c>
      <c r="E30" s="1531"/>
      <c r="F30" s="1531"/>
      <c r="G30" s="1531"/>
      <c r="H30" s="1531"/>
      <c r="I30" s="1531"/>
      <c r="J30" s="1531"/>
      <c r="K30" s="2055"/>
      <c r="L30" s="1531"/>
      <c r="M30" s="1943"/>
      <c r="N30" s="1938"/>
      <c r="O30" s="1943"/>
      <c r="P30" s="1943"/>
      <c r="Q30" s="1938"/>
      <c r="R30" s="1531"/>
      <c r="S30" s="1531"/>
      <c r="T30" s="1531"/>
      <c r="U30" s="1531"/>
      <c r="V30" s="1531"/>
      <c r="W30" s="1531"/>
      <c r="X30" s="1531"/>
      <c r="Y30" s="1531"/>
      <c r="Z30" s="1531"/>
      <c r="AA30" s="1531"/>
      <c r="AB30" s="1943"/>
      <c r="AC30" s="1412"/>
      <c r="AD30" s="1412"/>
      <c r="AE30" s="1412"/>
      <c r="AF30" s="1433"/>
      <c r="AG30" s="1433"/>
      <c r="AH30" s="1433"/>
      <c r="AI30" s="1433"/>
      <c r="AJ30" s="1433"/>
      <c r="AK30" s="1405"/>
      <c r="AL30" s="1433"/>
      <c r="AM30" s="1433"/>
      <c r="AN30" s="1433"/>
      <c r="AO30" s="2174"/>
      <c r="AP30" s="1405"/>
      <c r="AQ30" s="1405"/>
      <c r="AR30" s="1405"/>
    </row>
    <row r="31" spans="1:47" ht="13.8">
      <c r="A31" s="1944" t="s">
        <v>2557</v>
      </c>
      <c r="E31" s="1531"/>
      <c r="F31" s="1531"/>
      <c r="G31" s="1531"/>
      <c r="H31" s="1531"/>
      <c r="I31" s="1531"/>
      <c r="J31" s="1531"/>
      <c r="K31" s="2055"/>
      <c r="L31" s="1531"/>
      <c r="M31" s="1943"/>
      <c r="N31" s="1938"/>
      <c r="O31" s="1943"/>
      <c r="P31" s="1943"/>
      <c r="Q31" s="1938"/>
      <c r="R31" s="1531"/>
      <c r="S31" s="1531"/>
      <c r="T31" s="1531"/>
      <c r="U31" s="1531"/>
      <c r="V31" s="1531"/>
      <c r="W31" s="1531"/>
      <c r="X31" s="1531"/>
      <c r="Y31" s="1531"/>
      <c r="Z31" s="1531"/>
      <c r="AA31" s="1531"/>
      <c r="AB31" s="1943"/>
      <c r="AC31" s="1412"/>
      <c r="AD31" s="1412"/>
      <c r="AE31" s="1412"/>
      <c r="AF31" s="1868"/>
      <c r="AG31" s="1868"/>
      <c r="AH31" s="1868"/>
      <c r="AI31" s="1433"/>
      <c r="AJ31" s="1433"/>
      <c r="AK31" s="1405"/>
      <c r="AL31" s="1433"/>
      <c r="AM31" s="1433"/>
      <c r="AN31" s="1433"/>
      <c r="AO31" s="1405"/>
      <c r="AP31" s="1405"/>
      <c r="AQ31" s="1405"/>
      <c r="AR31" s="1405"/>
    </row>
    <row r="32" spans="1:47" ht="15" customHeight="1">
      <c r="A32" s="1485" t="s">
        <v>2500</v>
      </c>
      <c r="E32" s="1531"/>
      <c r="F32" s="2045">
        <v>4508639</v>
      </c>
      <c r="G32" s="1531"/>
      <c r="H32" s="1531"/>
      <c r="J32" s="1991">
        <v>3417678</v>
      </c>
      <c r="K32" s="2055"/>
      <c r="L32" s="1531"/>
      <c r="M32" s="1943"/>
      <c r="N32" s="1938"/>
      <c r="O32" s="1943"/>
      <c r="P32" s="1943"/>
      <c r="Q32" s="1938"/>
      <c r="R32" s="1531"/>
      <c r="S32" s="1531"/>
      <c r="T32" s="1531"/>
      <c r="U32" s="1531"/>
      <c r="V32" s="1531"/>
      <c r="W32" s="1531"/>
      <c r="X32" s="1531"/>
      <c r="Y32" s="1531"/>
      <c r="Z32" s="1531"/>
      <c r="AA32" s="1531"/>
      <c r="AB32" s="1943"/>
      <c r="AC32" s="1412"/>
      <c r="AD32" s="1412"/>
      <c r="AE32" s="1412"/>
      <c r="AF32" s="1433"/>
      <c r="AG32" s="1433"/>
      <c r="AH32" s="1433"/>
      <c r="AI32" s="1433"/>
      <c r="AJ32" s="1433"/>
      <c r="AK32" s="1405"/>
      <c r="AL32" s="1433"/>
      <c r="AM32" s="1433"/>
      <c r="AN32" s="1433"/>
      <c r="AO32" s="2174"/>
      <c r="AP32" s="1405"/>
      <c r="AQ32" s="1405"/>
      <c r="AR32" s="1405"/>
    </row>
    <row r="33" spans="1:44" ht="15" customHeight="1">
      <c r="A33" s="1485" t="s">
        <v>2501</v>
      </c>
      <c r="E33" s="1531"/>
      <c r="F33" s="2041">
        <v>722943</v>
      </c>
      <c r="G33" s="1531"/>
      <c r="H33" s="1531"/>
      <c r="J33" s="1992">
        <v>-508581</v>
      </c>
      <c r="K33" s="2055"/>
      <c r="L33" s="1531"/>
      <c r="M33" s="1943"/>
      <c r="N33" s="1938"/>
      <c r="O33" s="1943"/>
      <c r="P33" s="1943"/>
      <c r="Q33" s="1938"/>
      <c r="R33" s="1531"/>
      <c r="S33" s="1531"/>
      <c r="T33" s="1531"/>
      <c r="U33" s="1531"/>
      <c r="V33" s="1531"/>
      <c r="W33" s="1531"/>
      <c r="X33" s="1531"/>
      <c r="Y33" s="1531"/>
      <c r="Z33" s="1531"/>
      <c r="AA33" s="1531"/>
      <c r="AB33" s="1943"/>
      <c r="AC33" s="1412"/>
      <c r="AD33" s="1412"/>
      <c r="AE33" s="1412"/>
      <c r="AF33" s="1952"/>
      <c r="AG33" s="1952"/>
      <c r="AH33" s="1952"/>
      <c r="AI33" s="1952"/>
      <c r="AJ33" s="1952"/>
      <c r="AK33" s="1952"/>
      <c r="AL33" s="1952"/>
      <c r="AM33" s="1952"/>
      <c r="AN33" s="1433"/>
      <c r="AO33" s="2174"/>
      <c r="AP33" s="1405"/>
      <c r="AQ33" s="1405"/>
      <c r="AR33" s="1405"/>
    </row>
    <row r="34" spans="1:44" ht="15" customHeight="1">
      <c r="A34" s="1401"/>
      <c r="E34" s="1531"/>
      <c r="F34" s="2044">
        <f>SUM(F32:F33)</f>
        <v>5231582</v>
      </c>
      <c r="G34" s="1531"/>
      <c r="H34" s="1531"/>
      <c r="J34" s="1945">
        <f>SUM(J32:J33)</f>
        <v>2909097</v>
      </c>
      <c r="K34" s="2060"/>
      <c r="L34" s="1943"/>
      <c r="M34" s="1943"/>
      <c r="N34" s="1943"/>
      <c r="O34" s="1943"/>
      <c r="P34" s="1943"/>
      <c r="Q34" s="1943"/>
      <c r="R34" s="1943"/>
      <c r="S34" s="1943"/>
      <c r="T34" s="1943"/>
      <c r="U34" s="1943"/>
      <c r="V34" s="1943"/>
      <c r="W34" s="1943"/>
      <c r="X34" s="1943"/>
      <c r="Y34" s="1943"/>
      <c r="Z34" s="1943"/>
      <c r="AA34" s="1943"/>
      <c r="AB34" s="1943"/>
      <c r="AC34" s="1412"/>
      <c r="AD34" s="1412"/>
      <c r="AE34" s="1412"/>
      <c r="AF34" s="1952"/>
      <c r="AG34" s="1952"/>
      <c r="AH34" s="1952"/>
      <c r="AI34" s="1952"/>
      <c r="AJ34" s="1952"/>
      <c r="AK34" s="1952"/>
      <c r="AL34" s="1952"/>
      <c r="AM34" s="1952"/>
      <c r="AN34" s="1433"/>
      <c r="AO34" s="2174"/>
      <c r="AP34" s="1405"/>
      <c r="AQ34" s="1405"/>
      <c r="AR34" s="1405"/>
    </row>
    <row r="35" spans="1:44" ht="12" customHeight="1">
      <c r="E35" s="1531"/>
      <c r="F35" s="1946"/>
      <c r="G35" s="1531"/>
      <c r="H35" s="1531"/>
      <c r="J35" s="1943"/>
      <c r="K35" s="2060"/>
      <c r="L35" s="1943"/>
      <c r="M35" s="1943"/>
      <c r="N35" s="1943"/>
      <c r="O35" s="1943"/>
      <c r="P35" s="1943"/>
      <c r="Q35" s="1943"/>
      <c r="R35" s="1943"/>
      <c r="S35" s="1943"/>
      <c r="T35" s="1943"/>
      <c r="U35" s="1943"/>
      <c r="V35" s="1943"/>
      <c r="W35" s="1943"/>
      <c r="X35" s="1943"/>
      <c r="Y35" s="1943"/>
      <c r="Z35" s="1943"/>
      <c r="AA35" s="1943"/>
      <c r="AB35" s="1943"/>
      <c r="AC35" s="1412"/>
      <c r="AD35" s="1412"/>
      <c r="AE35" s="1412"/>
      <c r="AF35" s="1952"/>
      <c r="AG35" s="1952"/>
      <c r="AH35" s="1952"/>
      <c r="AI35" s="1952"/>
      <c r="AJ35" s="1952"/>
      <c r="AK35" s="1952"/>
      <c r="AL35" s="1952"/>
      <c r="AM35" s="1952"/>
      <c r="AN35" s="1433"/>
      <c r="AO35" s="2174"/>
      <c r="AP35" s="1405"/>
      <c r="AQ35" s="1405"/>
      <c r="AR35" s="1405"/>
    </row>
    <row r="36" spans="1:44" ht="15" customHeight="1">
      <c r="A36" s="1947" t="s">
        <v>2402</v>
      </c>
      <c r="E36" s="1531"/>
      <c r="F36" s="1531"/>
      <c r="G36" s="1531"/>
      <c r="H36" s="1531"/>
      <c r="I36" s="1531"/>
      <c r="J36" s="1531"/>
      <c r="K36" s="2055"/>
      <c r="L36" s="1531"/>
      <c r="M36" s="1943"/>
      <c r="N36" s="1943"/>
      <c r="O36" s="1946"/>
      <c r="P36" s="1943"/>
      <c r="Q36" s="1531"/>
      <c r="R36" s="1531"/>
      <c r="S36" s="1531"/>
      <c r="T36" s="1531"/>
      <c r="U36" s="1531"/>
      <c r="V36" s="1531"/>
      <c r="W36" s="1531"/>
      <c r="X36" s="1531"/>
      <c r="Y36" s="1531"/>
      <c r="Z36" s="1531"/>
      <c r="AA36" s="1531"/>
      <c r="AB36" s="1943"/>
      <c r="AC36" s="1412"/>
      <c r="AD36" s="2178"/>
      <c r="AE36" s="1412"/>
      <c r="AF36" s="1433"/>
      <c r="AG36" s="1433"/>
      <c r="AH36" s="1433"/>
      <c r="AI36" s="1433"/>
      <c r="AJ36" s="1433"/>
      <c r="AK36" s="1405"/>
      <c r="AL36" s="1433"/>
      <c r="AM36" s="1433"/>
      <c r="AN36" s="1433"/>
      <c r="AO36" s="2174"/>
      <c r="AP36" s="1405"/>
      <c r="AQ36" s="1405"/>
      <c r="AR36" s="1405"/>
    </row>
    <row r="37" spans="1:44" ht="15" customHeight="1">
      <c r="A37" s="1485" t="s">
        <v>2502</v>
      </c>
      <c r="E37" s="1531"/>
      <c r="F37" s="2045">
        <f>IS!F52</f>
        <v>0</v>
      </c>
      <c r="G37" s="1531"/>
      <c r="H37" s="1531"/>
      <c r="J37" s="1991">
        <v>2019361.1290000002</v>
      </c>
      <c r="K37" s="2060"/>
      <c r="L37" s="1943"/>
      <c r="M37" s="1943"/>
      <c r="N37" s="1943"/>
      <c r="O37" s="1943"/>
      <c r="P37" s="1943"/>
      <c r="Q37" s="1943"/>
      <c r="R37" s="1943"/>
      <c r="S37" s="1943"/>
      <c r="T37" s="1943"/>
      <c r="U37" s="1943"/>
      <c r="V37" s="1943"/>
      <c r="W37" s="1943"/>
      <c r="X37" s="1943"/>
      <c r="Y37" s="1943"/>
      <c r="Z37" s="1943"/>
      <c r="AA37" s="1943"/>
      <c r="AB37" s="1943"/>
      <c r="AC37" s="1412"/>
      <c r="AD37" s="1412"/>
      <c r="AE37" s="1412"/>
      <c r="AF37" s="1433"/>
      <c r="AG37" s="1433"/>
      <c r="AH37" s="1433"/>
      <c r="AI37" s="1433"/>
      <c r="AJ37" s="1433"/>
      <c r="AK37" s="1405"/>
      <c r="AL37" s="1433"/>
      <c r="AM37" s="1433"/>
      <c r="AN37" s="1433"/>
      <c r="AO37" s="2174"/>
      <c r="AP37" s="1405"/>
      <c r="AQ37" s="1405"/>
      <c r="AR37" s="1405"/>
    </row>
    <row r="38" spans="1:44" ht="15" customHeight="1">
      <c r="A38" s="1485" t="s">
        <v>2503</v>
      </c>
      <c r="E38" s="1531"/>
      <c r="F38" s="2041">
        <f>IS!F53</f>
        <v>0</v>
      </c>
      <c r="G38" s="1531"/>
      <c r="H38" s="1531"/>
      <c r="J38" s="1992">
        <v>0</v>
      </c>
      <c r="K38" s="2060"/>
      <c r="L38" s="1943"/>
      <c r="M38" s="1946"/>
      <c r="N38" s="1943"/>
      <c r="O38" s="1943"/>
      <c r="P38" s="1946"/>
      <c r="Q38" s="1943"/>
      <c r="R38" s="1943"/>
      <c r="S38" s="1943"/>
      <c r="T38" s="1943"/>
      <c r="U38" s="1943"/>
      <c r="V38" s="1943"/>
      <c r="W38" s="1943"/>
      <c r="X38" s="1943"/>
      <c r="Y38" s="1943"/>
      <c r="Z38" s="1943"/>
      <c r="AA38" s="1943"/>
      <c r="AB38" s="1943"/>
      <c r="AC38" s="1951"/>
      <c r="AD38" s="1412"/>
      <c r="AE38" s="1412"/>
      <c r="AF38" s="1433"/>
      <c r="AG38" s="1433"/>
      <c r="AH38" s="1433"/>
      <c r="AI38" s="1433"/>
      <c r="AJ38" s="1433"/>
      <c r="AK38" s="1405"/>
      <c r="AL38" s="1433"/>
      <c r="AM38" s="1433"/>
      <c r="AN38" s="1433"/>
      <c r="AO38" s="2174"/>
      <c r="AP38" s="1405"/>
      <c r="AQ38" s="2174"/>
      <c r="AR38" s="1405"/>
    </row>
    <row r="39" spans="1:44" ht="15" customHeight="1">
      <c r="E39" s="1531"/>
      <c r="F39" s="1632">
        <f>SUM(F37:F38)</f>
        <v>0</v>
      </c>
      <c r="G39" s="1531"/>
      <c r="H39" s="1531"/>
      <c r="J39" s="1943">
        <f>SUM(J37:J38)</f>
        <v>2019361.1290000002</v>
      </c>
      <c r="K39" s="2060"/>
      <c r="L39" s="1943"/>
      <c r="M39" s="1943"/>
      <c r="N39" s="1943"/>
      <c r="O39" s="1943"/>
      <c r="P39" s="1943"/>
      <c r="Q39" s="1943"/>
      <c r="R39" s="1943"/>
      <c r="S39" s="1943"/>
      <c r="T39" s="1943"/>
      <c r="U39" s="1943"/>
      <c r="V39" s="1943"/>
      <c r="W39" s="1943"/>
      <c r="X39" s="1943"/>
      <c r="Y39" s="1943"/>
      <c r="Z39" s="1943"/>
      <c r="AA39" s="1943"/>
      <c r="AB39" s="1943"/>
      <c r="AC39" s="1412"/>
      <c r="AD39" s="1412"/>
      <c r="AE39" s="1412"/>
      <c r="AF39" s="1868"/>
      <c r="AG39" s="1868"/>
      <c r="AH39" s="1868"/>
      <c r="AI39" s="1433"/>
      <c r="AJ39" s="1433"/>
      <c r="AK39" s="1405"/>
      <c r="AL39" s="1433"/>
      <c r="AM39" s="1433"/>
      <c r="AN39" s="1433"/>
      <c r="AO39" s="2174"/>
      <c r="AP39" s="1405"/>
      <c r="AQ39" s="1405"/>
      <c r="AR39" s="1405"/>
    </row>
    <row r="40" spans="1:44" ht="12" customHeight="1">
      <c r="E40" s="1531"/>
      <c r="F40" s="1632"/>
      <c r="G40" s="1531"/>
      <c r="H40" s="1531"/>
      <c r="I40" s="1943"/>
      <c r="J40" s="1943"/>
      <c r="K40" s="2060"/>
      <c r="L40" s="1943"/>
      <c r="M40" s="1943"/>
      <c r="N40" s="1943"/>
      <c r="O40" s="1943"/>
      <c r="P40" s="1943"/>
      <c r="Q40" s="1943"/>
      <c r="R40" s="1943"/>
      <c r="S40" s="1943"/>
      <c r="T40" s="1943"/>
      <c r="U40" s="1943"/>
      <c r="V40" s="1943"/>
      <c r="W40" s="1943"/>
      <c r="X40" s="1943"/>
      <c r="Y40" s="1943"/>
      <c r="Z40" s="1943"/>
      <c r="AA40" s="1943"/>
      <c r="AB40" s="1943"/>
      <c r="AC40" s="1412"/>
      <c r="AD40" s="1412"/>
      <c r="AE40" s="1412"/>
      <c r="AF40" s="1868"/>
      <c r="AG40" s="1868"/>
      <c r="AH40" s="1868"/>
      <c r="AI40" s="1433"/>
      <c r="AJ40" s="1433"/>
      <c r="AK40" s="1405"/>
      <c r="AL40" s="1433"/>
      <c r="AM40" s="1433"/>
      <c r="AN40" s="1433"/>
      <c r="AO40" s="2174"/>
      <c r="AP40" s="1405"/>
      <c r="AQ40" s="1405"/>
      <c r="AR40" s="1405"/>
    </row>
    <row r="41" spans="1:44" s="1624" customFormat="1" ht="13.8">
      <c r="A41" s="1624" t="s">
        <v>2611</v>
      </c>
      <c r="E41" s="1633"/>
      <c r="F41" s="2072">
        <f>+IS!F43</f>
        <v>-565080</v>
      </c>
      <c r="G41" s="1633"/>
      <c r="H41" s="1633"/>
      <c r="J41" s="1633">
        <v>0</v>
      </c>
      <c r="K41" s="1633"/>
      <c r="L41" s="1633"/>
      <c r="M41" s="1943"/>
      <c r="N41" s="1645"/>
      <c r="O41" s="1943"/>
      <c r="P41" s="1943"/>
      <c r="Q41" s="1633"/>
      <c r="R41" s="1633"/>
      <c r="S41" s="1633"/>
      <c r="T41" s="1633"/>
      <c r="U41" s="1633"/>
      <c r="V41" s="1633"/>
      <c r="W41" s="1633"/>
      <c r="X41" s="1633"/>
      <c r="Y41" s="1633"/>
      <c r="Z41" s="1633"/>
      <c r="AA41" s="1633"/>
      <c r="AB41" s="1645"/>
      <c r="AC41" s="1412"/>
      <c r="AD41" s="1659"/>
      <c r="AE41" s="1659"/>
      <c r="AF41" s="1636"/>
      <c r="AG41" s="1636"/>
      <c r="AH41" s="1636"/>
      <c r="AI41" s="1636"/>
      <c r="AJ41" s="1636"/>
      <c r="AK41" s="2179"/>
      <c r="AL41" s="1636"/>
      <c r="AM41" s="1636"/>
      <c r="AN41" s="1636"/>
      <c r="AO41" s="2180"/>
      <c r="AP41" s="2179"/>
      <c r="AQ41" s="2179"/>
      <c r="AR41" s="2179"/>
    </row>
    <row r="42" spans="1:44" ht="12" customHeight="1">
      <c r="E42" s="1531"/>
      <c r="F42" s="1531"/>
      <c r="G42" s="1531"/>
      <c r="H42" s="1531"/>
      <c r="J42" s="1531"/>
      <c r="K42" s="2055"/>
      <c r="L42" s="1531"/>
      <c r="M42" s="1943"/>
      <c r="N42" s="1943"/>
      <c r="O42" s="1943"/>
      <c r="P42" s="1943"/>
      <c r="Q42" s="1531"/>
      <c r="R42" s="1531"/>
      <c r="S42" s="1531"/>
      <c r="T42" s="1531"/>
      <c r="U42" s="1531"/>
      <c r="V42" s="1531"/>
      <c r="W42" s="1531"/>
      <c r="X42" s="1531"/>
      <c r="Y42" s="1531"/>
      <c r="Z42" s="1531"/>
      <c r="AA42" s="1531"/>
      <c r="AB42" s="1943"/>
      <c r="AC42" s="1412"/>
      <c r="AD42" s="1412"/>
      <c r="AE42" s="1412"/>
      <c r="AF42" s="1433"/>
      <c r="AG42" s="1433"/>
      <c r="AH42" s="1433"/>
      <c r="AI42" s="1433"/>
      <c r="AJ42" s="1433"/>
      <c r="AK42" s="1405"/>
      <c r="AL42" s="1433"/>
      <c r="AM42" s="1433"/>
      <c r="AN42" s="1433"/>
      <c r="AO42" s="2174"/>
      <c r="AP42" s="1405"/>
      <c r="AQ42" s="1405"/>
      <c r="AR42" s="1405"/>
    </row>
    <row r="43" spans="1:44" ht="15" customHeight="1" thickBot="1">
      <c r="A43" s="1947" t="s">
        <v>2315</v>
      </c>
      <c r="E43" s="1531"/>
      <c r="F43" s="1934">
        <f>+F39+F41+F34</f>
        <v>4666502</v>
      </c>
      <c r="G43" s="1531"/>
      <c r="H43" s="1531"/>
      <c r="J43" s="1993">
        <f>J34+J39+J41</f>
        <v>4928458.1290000007</v>
      </c>
      <c r="K43" s="2060"/>
      <c r="L43" s="1943"/>
      <c r="M43" s="1405"/>
      <c r="N43" s="1943"/>
      <c r="O43" s="1645"/>
      <c r="P43" s="1645"/>
      <c r="Q43" s="1943"/>
      <c r="R43" s="1943"/>
      <c r="S43" s="1943"/>
      <c r="T43" s="1943"/>
      <c r="U43" s="1943"/>
      <c r="V43" s="1943"/>
      <c r="W43" s="1943"/>
      <c r="X43" s="1943"/>
      <c r="Y43" s="1943"/>
      <c r="Z43" s="1943"/>
      <c r="AA43" s="1943"/>
      <c r="AB43" s="1943"/>
      <c r="AC43" s="1412"/>
      <c r="AD43" s="1412"/>
      <c r="AE43" s="1412"/>
      <c r="AF43" s="1433"/>
      <c r="AG43" s="1433"/>
      <c r="AH43" s="1433"/>
      <c r="AI43" s="1433"/>
      <c r="AJ43" s="1433"/>
      <c r="AK43" s="1405"/>
      <c r="AL43" s="1433"/>
      <c r="AM43" s="1433"/>
      <c r="AN43" s="1433"/>
      <c r="AO43" s="2174"/>
      <c r="AP43" s="1405"/>
      <c r="AQ43" s="1405"/>
      <c r="AR43" s="1405"/>
    </row>
    <row r="44" spans="1:44" ht="12" customHeight="1" thickTop="1">
      <c r="E44" s="1531"/>
      <c r="F44" s="1531"/>
      <c r="G44" s="1531"/>
      <c r="H44" s="1531"/>
      <c r="I44" s="1531"/>
      <c r="J44" s="1531"/>
      <c r="K44" s="2055"/>
      <c r="L44" s="1531"/>
      <c r="M44" s="1405"/>
      <c r="N44" s="1943"/>
      <c r="O44" s="1943"/>
      <c r="P44" s="1943"/>
      <c r="Q44" s="1531"/>
      <c r="R44" s="1531"/>
      <c r="S44" s="1531"/>
      <c r="T44" s="1531"/>
      <c r="U44" s="1531"/>
      <c r="V44" s="1531"/>
      <c r="W44" s="1531"/>
      <c r="X44" s="1531"/>
      <c r="Y44" s="1531"/>
      <c r="Z44" s="1531"/>
      <c r="AA44" s="1531"/>
      <c r="AB44" s="1943"/>
      <c r="AC44" s="1412"/>
      <c r="AD44" s="1412"/>
      <c r="AE44" s="1412"/>
      <c r="AF44" s="1433"/>
      <c r="AG44" s="1433"/>
      <c r="AH44" s="1433"/>
      <c r="AI44" s="1433"/>
      <c r="AJ44" s="1433"/>
      <c r="AK44" s="1405"/>
      <c r="AL44" s="1433"/>
      <c r="AM44" s="1433"/>
      <c r="AN44" s="1433"/>
      <c r="AO44" s="2174"/>
      <c r="AP44" s="1405"/>
      <c r="AQ44" s="1405"/>
      <c r="AR44" s="1405"/>
    </row>
    <row r="45" spans="1:44" ht="15" customHeight="1">
      <c r="A45" s="1401" t="s">
        <v>2558</v>
      </c>
      <c r="E45" s="1531"/>
      <c r="F45" s="1531"/>
      <c r="G45" s="1531"/>
      <c r="H45" s="1531"/>
      <c r="I45" s="1531"/>
      <c r="J45" s="1531"/>
      <c r="K45" s="2055"/>
      <c r="L45" s="1531"/>
      <c r="M45" s="1405"/>
      <c r="N45" s="1943"/>
      <c r="O45" s="1943"/>
      <c r="P45" s="1943"/>
      <c r="Q45" s="1531"/>
      <c r="R45" s="1531"/>
      <c r="S45" s="1531"/>
      <c r="T45" s="1531"/>
      <c r="U45" s="1531"/>
      <c r="V45" s="1531"/>
      <c r="W45" s="1531"/>
      <c r="X45" s="1531"/>
      <c r="Y45" s="1531"/>
      <c r="Z45" s="1531"/>
      <c r="AA45" s="1531"/>
      <c r="AB45" s="1943"/>
      <c r="AC45" s="1412"/>
      <c r="AD45" s="1412"/>
      <c r="AE45" s="1412"/>
      <c r="AF45" s="1433"/>
      <c r="AG45" s="1433"/>
      <c r="AH45" s="1433"/>
      <c r="AI45" s="1433"/>
      <c r="AJ45" s="1433"/>
      <c r="AK45" s="1405"/>
      <c r="AL45" s="1433"/>
      <c r="AM45" s="1433"/>
      <c r="AN45" s="1433"/>
      <c r="AO45" s="2174"/>
      <c r="AP45" s="1405"/>
      <c r="AQ45" s="1405"/>
      <c r="AR45" s="1405"/>
    </row>
    <row r="46" spans="1:44" ht="15" customHeight="1">
      <c r="A46" s="1944" t="s">
        <v>2602</v>
      </c>
      <c r="E46" s="1531"/>
      <c r="F46" s="1531"/>
      <c r="G46" s="1531"/>
      <c r="H46" s="1531"/>
      <c r="I46" s="1531"/>
      <c r="J46" s="1531"/>
      <c r="K46" s="2055"/>
      <c r="L46" s="1531"/>
      <c r="M46" s="1405"/>
      <c r="N46" s="1943"/>
      <c r="O46" s="1943"/>
      <c r="P46" s="1943"/>
      <c r="Q46" s="1531"/>
      <c r="R46" s="1531"/>
      <c r="S46" s="1531"/>
      <c r="T46" s="1531"/>
      <c r="U46" s="1531"/>
      <c r="V46" s="1531"/>
      <c r="W46" s="1531"/>
      <c r="X46" s="1531"/>
      <c r="Y46" s="1531"/>
      <c r="Z46" s="1531"/>
      <c r="AA46" s="1531"/>
      <c r="AB46" s="1943"/>
      <c r="AC46" s="1412"/>
      <c r="AD46" s="1412"/>
      <c r="AE46" s="1412"/>
      <c r="AF46" s="1433"/>
      <c r="AG46" s="1433"/>
      <c r="AH46" s="1433"/>
      <c r="AI46" s="1433"/>
      <c r="AJ46" s="1433"/>
      <c r="AK46" s="1405"/>
      <c r="AL46" s="1433"/>
      <c r="AM46" s="1433"/>
      <c r="AN46" s="1433"/>
      <c r="AO46" s="2174"/>
      <c r="AP46" s="1405"/>
      <c r="AQ46" s="1405"/>
      <c r="AR46" s="1405"/>
    </row>
    <row r="47" spans="1:44" ht="15" customHeight="1">
      <c r="A47" s="1485" t="s">
        <v>2500</v>
      </c>
      <c r="E47" s="1531"/>
      <c r="F47" s="2045">
        <f>F49-F48</f>
        <v>4986040.682</v>
      </c>
      <c r="G47" s="1531"/>
      <c r="H47" s="1531"/>
      <c r="J47" s="1991">
        <v>4308923.3840000005</v>
      </c>
      <c r="K47" s="2060"/>
      <c r="L47" s="1943"/>
      <c r="M47" s="1405"/>
      <c r="N47" s="1943"/>
      <c r="O47" s="1943"/>
      <c r="P47" s="1943"/>
      <c r="Q47" s="1943"/>
      <c r="R47" s="1943"/>
      <c r="S47" s="1943"/>
      <c r="T47" s="1943"/>
      <c r="U47" s="1943"/>
      <c r="V47" s="1943"/>
      <c r="W47" s="1943"/>
      <c r="X47" s="1943"/>
      <c r="Y47" s="1943"/>
      <c r="Z47" s="1943"/>
      <c r="AA47" s="1943"/>
      <c r="AB47" s="1943"/>
      <c r="AC47" s="1412"/>
      <c r="AD47" s="1412"/>
      <c r="AE47" s="1412"/>
      <c r="AF47" s="1433"/>
      <c r="AG47" s="1433"/>
      <c r="AH47" s="1433"/>
      <c r="AI47" s="1433"/>
      <c r="AJ47" s="1433"/>
      <c r="AK47" s="1405"/>
      <c r="AL47" s="1433"/>
      <c r="AM47" s="1433"/>
      <c r="AN47" s="1433"/>
      <c r="AO47" s="2174"/>
      <c r="AP47" s="1405"/>
      <c r="AQ47" s="1405"/>
      <c r="AR47" s="1405"/>
    </row>
    <row r="48" spans="1:44" ht="15" customHeight="1">
      <c r="A48" s="1485" t="s">
        <v>2501</v>
      </c>
      <c r="B48" s="1529"/>
      <c r="E48" s="1531"/>
      <c r="F48" s="2041">
        <f>IS!F16</f>
        <v>-319538.68199999974</v>
      </c>
      <c r="G48" s="1531"/>
      <c r="H48" s="1531"/>
      <c r="J48" s="1992">
        <v>619534.74499999988</v>
      </c>
      <c r="K48" s="2060"/>
      <c r="L48" s="1943"/>
      <c r="M48" s="1405"/>
      <c r="N48" s="1943"/>
      <c r="O48" s="1943"/>
      <c r="P48" s="1943"/>
      <c r="Q48" s="1943"/>
      <c r="R48" s="1943"/>
      <c r="S48" s="1943"/>
      <c r="T48" s="1943"/>
      <c r="U48" s="1943"/>
      <c r="V48" s="1943"/>
      <c r="W48" s="1943"/>
      <c r="X48" s="1943"/>
      <c r="Y48" s="1943"/>
      <c r="Z48" s="1943"/>
      <c r="AA48" s="1943"/>
      <c r="AB48" s="1943"/>
      <c r="AC48" s="1412"/>
      <c r="AD48" s="1412"/>
      <c r="AE48" s="1412"/>
      <c r="AF48" s="1868"/>
      <c r="AG48" s="1868"/>
      <c r="AH48" s="1868"/>
      <c r="AI48" s="1433"/>
      <c r="AJ48" s="1433"/>
      <c r="AK48" s="1405"/>
      <c r="AL48" s="1433"/>
      <c r="AM48" s="1433"/>
      <c r="AN48" s="1433"/>
      <c r="AO48" s="2174"/>
      <c r="AP48" s="1405"/>
      <c r="AQ48" s="1405"/>
      <c r="AR48" s="1405"/>
    </row>
    <row r="49" spans="1:44" ht="15" customHeight="1" thickBot="1">
      <c r="E49" s="1531"/>
      <c r="F49" s="2046">
        <f>F43</f>
        <v>4666502</v>
      </c>
      <c r="G49" s="1531"/>
      <c r="H49" s="1531"/>
      <c r="J49" s="1994">
        <f>J43</f>
        <v>4928458.1290000007</v>
      </c>
      <c r="K49" s="2060"/>
      <c r="L49" s="1943"/>
      <c r="M49" s="1943"/>
      <c r="N49" s="1943"/>
      <c r="O49" s="1943"/>
      <c r="P49" s="1943"/>
      <c r="Q49" s="1943"/>
      <c r="R49" s="1943"/>
      <c r="S49" s="1943"/>
      <c r="T49" s="1943"/>
      <c r="U49" s="1943"/>
      <c r="V49" s="1943"/>
      <c r="W49" s="1943"/>
      <c r="X49" s="1943"/>
      <c r="Y49" s="1943"/>
      <c r="Z49" s="1943"/>
      <c r="AA49" s="1943"/>
      <c r="AB49" s="1943"/>
      <c r="AC49" s="1412"/>
      <c r="AD49" s="1412"/>
      <c r="AE49" s="1412"/>
      <c r="AF49" s="1433"/>
      <c r="AG49" s="1433"/>
      <c r="AH49" s="1433"/>
      <c r="AI49" s="1433"/>
      <c r="AJ49" s="1433"/>
      <c r="AK49" s="1405"/>
      <c r="AL49" s="1433"/>
      <c r="AM49" s="1433"/>
      <c r="AN49" s="1433"/>
      <c r="AO49" s="2174"/>
      <c r="AP49" s="1405"/>
      <c r="AQ49" s="1405"/>
      <c r="AR49" s="1405"/>
    </row>
    <row r="50" spans="1:44" ht="15" customHeight="1" thickTop="1">
      <c r="A50" s="1874"/>
      <c r="E50" s="1502"/>
      <c r="F50" s="1502"/>
      <c r="G50" s="1502"/>
      <c r="H50" s="1502"/>
      <c r="I50" s="1502"/>
      <c r="J50" s="1502"/>
      <c r="K50" s="1508"/>
      <c r="L50" s="1502"/>
      <c r="M50" s="1943"/>
      <c r="N50" s="1412"/>
      <c r="O50" s="1943"/>
      <c r="P50" s="1943"/>
      <c r="Q50" s="1502"/>
      <c r="R50" s="1502"/>
      <c r="S50" s="1502"/>
      <c r="T50" s="1502"/>
      <c r="U50" s="1502"/>
      <c r="V50" s="1502"/>
      <c r="W50" s="1502"/>
      <c r="X50" s="1502"/>
      <c r="Y50" s="1502"/>
      <c r="Z50" s="1502"/>
      <c r="AA50" s="1502"/>
      <c r="AB50" s="1412"/>
      <c r="AC50" s="1412"/>
      <c r="AD50" s="1412"/>
      <c r="AE50" s="1412"/>
      <c r="AF50" s="1433"/>
      <c r="AG50" s="1433"/>
      <c r="AH50" s="1433"/>
      <c r="AI50" s="1433"/>
      <c r="AJ50" s="1433"/>
      <c r="AK50" s="1405"/>
      <c r="AL50" s="1433"/>
      <c r="AM50" s="1433"/>
      <c r="AN50" s="1433"/>
      <c r="AO50" s="2174"/>
      <c r="AP50" s="1405"/>
      <c r="AQ50" s="1405"/>
      <c r="AR50" s="1405"/>
    </row>
    <row r="51" spans="1:44" ht="15" customHeight="1">
      <c r="A51" s="1401"/>
      <c r="B51" s="1401"/>
      <c r="C51" s="1401"/>
      <c r="D51" s="1401"/>
      <c r="E51" s="1507"/>
      <c r="F51" s="1507"/>
      <c r="G51" s="1948" t="s">
        <v>2384</v>
      </c>
      <c r="H51" s="1507"/>
      <c r="J51" s="1948"/>
      <c r="K51" s="2061"/>
      <c r="L51" s="1948" t="s">
        <v>2384</v>
      </c>
      <c r="M51" s="1943"/>
      <c r="N51" s="2173"/>
      <c r="O51" s="1943"/>
      <c r="P51" s="1943"/>
      <c r="Q51" s="1949"/>
      <c r="R51" s="1949"/>
      <c r="S51" s="1949"/>
      <c r="T51" s="1948"/>
      <c r="U51" s="1948"/>
      <c r="V51" s="1948"/>
      <c r="W51" s="1948"/>
      <c r="X51" s="1948"/>
      <c r="Y51" s="1948"/>
      <c r="Z51" s="1948"/>
      <c r="AA51" s="1948"/>
      <c r="AB51" s="2181"/>
      <c r="AC51" s="1412"/>
      <c r="AD51" s="1412"/>
      <c r="AE51" s="1412"/>
      <c r="AF51" s="1433"/>
      <c r="AG51" s="1483"/>
      <c r="AH51" s="2182"/>
      <c r="AI51" s="1483"/>
      <c r="AJ51" s="1433"/>
      <c r="AK51" s="1405"/>
      <c r="AL51" s="1410"/>
      <c r="AM51" s="1410"/>
      <c r="AN51" s="1433"/>
      <c r="AO51" s="2174"/>
      <c r="AP51" s="1405"/>
      <c r="AQ51" s="1405"/>
      <c r="AR51" s="1405"/>
    </row>
    <row r="52" spans="1:44" ht="15" customHeight="1">
      <c r="A52" s="1401"/>
      <c r="B52" s="1401"/>
      <c r="C52" s="1401"/>
      <c r="D52" s="1401"/>
      <c r="E52" s="1507"/>
      <c r="F52" s="1507"/>
      <c r="G52" s="1951"/>
      <c r="H52" s="1951"/>
      <c r="J52" s="1951"/>
      <c r="K52" s="2062"/>
      <c r="L52" s="1951"/>
      <c r="M52" s="1502"/>
      <c r="N52" s="1951"/>
      <c r="O52" s="1502"/>
      <c r="P52" s="1502"/>
      <c r="Q52" s="1951"/>
      <c r="R52" s="1951"/>
      <c r="S52" s="1951"/>
      <c r="T52" s="1951"/>
      <c r="U52" s="1951"/>
      <c r="V52" s="1951"/>
      <c r="W52" s="1951"/>
      <c r="X52" s="1951"/>
      <c r="Y52" s="1951"/>
      <c r="Z52" s="1951"/>
      <c r="AA52" s="1951"/>
      <c r="AB52" s="1951"/>
      <c r="AC52" s="1412"/>
      <c r="AD52" s="1412"/>
      <c r="AE52" s="1412"/>
      <c r="AF52" s="1433"/>
      <c r="AG52" s="1483"/>
      <c r="AH52" s="1483"/>
      <c r="AI52" s="1483"/>
      <c r="AJ52" s="1433"/>
      <c r="AK52" s="1405"/>
      <c r="AL52" s="1433"/>
      <c r="AM52" s="1433"/>
      <c r="AN52" s="1433"/>
      <c r="AO52" s="2174"/>
      <c r="AP52" s="1405"/>
      <c r="AQ52" s="1405"/>
      <c r="AR52" s="1405"/>
    </row>
    <row r="53" spans="1:44" ht="15" customHeight="1" thickBot="1">
      <c r="A53" s="1947" t="s">
        <v>2416</v>
      </c>
      <c r="E53" s="1502"/>
      <c r="F53" s="1502"/>
      <c r="G53" s="2047">
        <f>BS!H40</f>
        <v>103.62939379626067</v>
      </c>
      <c r="H53" s="1502"/>
      <c r="J53" s="1952"/>
      <c r="K53" s="2063"/>
      <c r="L53" s="1953">
        <v>77.423048337259019</v>
      </c>
      <c r="M53" s="1948"/>
      <c r="N53" s="1952"/>
      <c r="O53" s="1949"/>
      <c r="P53" s="1949"/>
      <c r="Q53" s="1952"/>
      <c r="R53" s="1952"/>
      <c r="S53" s="1952"/>
      <c r="T53" s="1952"/>
      <c r="U53" s="1952"/>
      <c r="V53" s="1952"/>
      <c r="W53" s="1952"/>
      <c r="X53" s="1952"/>
      <c r="Y53" s="1952"/>
      <c r="Z53" s="1952"/>
      <c r="AA53" s="1952"/>
      <c r="AB53" s="1952"/>
      <c r="AC53" s="1951"/>
      <c r="AD53" s="1951"/>
      <c r="AE53" s="1951"/>
      <c r="AF53" s="1433"/>
      <c r="AG53" s="1433"/>
      <c r="AH53" s="1433"/>
      <c r="AI53" s="1433"/>
      <c r="AJ53" s="1433"/>
      <c r="AK53" s="1405"/>
      <c r="AL53" s="1433"/>
      <c r="AM53" s="1433"/>
      <c r="AN53" s="1433"/>
      <c r="AO53" s="2174"/>
      <c r="AP53" s="1405"/>
      <c r="AQ53" s="1405"/>
      <c r="AR53" s="1405"/>
    </row>
    <row r="54" spans="1:44" ht="12" customHeight="1" thickTop="1">
      <c r="E54" s="1502"/>
      <c r="F54" s="1502"/>
      <c r="G54" s="2048"/>
      <c r="H54" s="1502"/>
      <c r="J54" s="1940"/>
      <c r="K54" s="2064"/>
      <c r="L54" s="1940"/>
      <c r="M54" s="1951"/>
      <c r="N54" s="1940"/>
      <c r="O54" s="1951"/>
      <c r="P54" s="1951"/>
      <c r="Q54" s="1940"/>
      <c r="R54" s="1940"/>
      <c r="S54" s="1940"/>
      <c r="T54" s="1940"/>
      <c r="U54" s="1940"/>
      <c r="V54" s="1940"/>
      <c r="W54" s="1940"/>
      <c r="X54" s="1940"/>
      <c r="Y54" s="1940"/>
      <c r="Z54" s="1940"/>
      <c r="AA54" s="1940"/>
      <c r="AB54" s="1952"/>
      <c r="AC54" s="2181"/>
      <c r="AD54" s="2181"/>
      <c r="AE54" s="2181"/>
      <c r="AF54" s="1933"/>
      <c r="AG54" s="1410"/>
      <c r="AH54" s="1410"/>
      <c r="AI54" s="1410"/>
      <c r="AJ54" s="1933"/>
      <c r="AK54" s="1405"/>
      <c r="AL54" s="1410"/>
      <c r="AM54" s="1410"/>
      <c r="AN54" s="1410"/>
      <c r="AO54" s="2174"/>
      <c r="AP54" s="1405"/>
      <c r="AQ54" s="1405"/>
      <c r="AR54" s="1405"/>
    </row>
    <row r="55" spans="1:44" ht="15" customHeight="1" thickBot="1">
      <c r="A55" s="1947" t="s">
        <v>2417</v>
      </c>
      <c r="E55" s="1502"/>
      <c r="F55" s="1502"/>
      <c r="G55" s="2047">
        <f>BS!F40</f>
        <v>98.582899999999995</v>
      </c>
      <c r="H55" s="1502"/>
      <c r="J55" s="1952"/>
      <c r="K55" s="2063"/>
      <c r="L55" s="1953">
        <v>99.380300000000005</v>
      </c>
      <c r="M55" s="1952"/>
      <c r="N55" s="1952"/>
      <c r="O55" s="1952"/>
      <c r="P55" s="1952"/>
      <c r="Q55" s="1952"/>
      <c r="R55" s="1952"/>
      <c r="S55" s="1952"/>
      <c r="T55" s="1952"/>
      <c r="U55" s="1952"/>
      <c r="V55" s="1952"/>
      <c r="W55" s="1952"/>
      <c r="X55" s="1952"/>
      <c r="Y55" s="1952"/>
      <c r="Z55" s="1952"/>
      <c r="AA55" s="1952"/>
      <c r="AB55" s="1952"/>
      <c r="AC55" s="1951"/>
      <c r="AD55" s="1951"/>
      <c r="AE55" s="1951"/>
      <c r="AF55" s="1933"/>
      <c r="AG55" s="1410"/>
      <c r="AH55" s="1410"/>
      <c r="AI55" s="1410"/>
      <c r="AJ55" s="1933"/>
      <c r="AK55" s="1405"/>
      <c r="AL55" s="1410"/>
      <c r="AM55" s="1410"/>
      <c r="AN55" s="1410"/>
      <c r="AO55" s="2174"/>
      <c r="AP55" s="1405"/>
      <c r="AQ55" s="1405"/>
      <c r="AR55" s="1405"/>
    </row>
    <row r="56" spans="1:44" ht="15" customHeight="1" thickTop="1">
      <c r="E56" s="1502"/>
      <c r="F56" s="1502"/>
      <c r="G56" s="1502"/>
      <c r="H56" s="1502"/>
      <c r="I56" s="1502"/>
      <c r="J56" s="1502"/>
      <c r="K56" s="1508"/>
      <c r="L56" s="1502"/>
      <c r="M56" s="1940"/>
      <c r="N56" s="1502"/>
      <c r="O56" s="1940"/>
      <c r="P56" s="1940"/>
      <c r="Q56" s="1502"/>
      <c r="R56" s="1502"/>
      <c r="S56" s="1502"/>
      <c r="T56" s="1502"/>
      <c r="U56" s="1502"/>
      <c r="V56" s="1502"/>
      <c r="W56" s="1502"/>
      <c r="X56" s="1502"/>
      <c r="Y56" s="1502"/>
      <c r="Z56" s="1502"/>
      <c r="AA56" s="1502"/>
      <c r="AB56" s="1412"/>
      <c r="AC56" s="1952"/>
      <c r="AD56" s="1952"/>
      <c r="AE56" s="1952"/>
      <c r="AF56" s="1933"/>
      <c r="AG56" s="1410"/>
      <c r="AH56" s="1410"/>
      <c r="AI56" s="1410"/>
      <c r="AJ56" s="1933"/>
      <c r="AK56" s="1405"/>
      <c r="AL56" s="1410"/>
      <c r="AM56" s="1410"/>
      <c r="AN56" s="1410"/>
      <c r="AO56" s="2174"/>
      <c r="AP56" s="1405"/>
      <c r="AQ56" s="1405"/>
      <c r="AR56" s="1405"/>
    </row>
    <row r="57" spans="1:44" ht="15" customHeight="1">
      <c r="A57" s="1452" t="str">
        <f>BS!$A$43</f>
        <v>The annexed notes 1 to 15 form an integral part of these interim financial statements.</v>
      </c>
      <c r="E57" s="1502"/>
      <c r="F57" s="1502"/>
      <c r="G57" s="1502"/>
      <c r="H57" s="1502"/>
      <c r="I57" s="1502"/>
      <c r="J57" s="1502"/>
      <c r="K57" s="1508"/>
      <c r="L57" s="1502"/>
      <c r="M57" s="1952"/>
      <c r="N57" s="1502"/>
      <c r="O57" s="1531"/>
      <c r="P57" s="1531"/>
      <c r="Q57" s="2103"/>
      <c r="R57" s="1531"/>
      <c r="S57" s="1502"/>
      <c r="T57" s="1502"/>
      <c r="U57" s="1502"/>
      <c r="V57" s="1502"/>
      <c r="W57" s="1502"/>
      <c r="X57" s="1502"/>
      <c r="Y57" s="1502"/>
      <c r="Z57" s="1502"/>
      <c r="AA57" s="1502"/>
      <c r="AB57" s="1412"/>
      <c r="AC57" s="1952"/>
      <c r="AD57" s="1952"/>
      <c r="AE57" s="1952"/>
      <c r="AF57" s="1952"/>
      <c r="AG57" s="1952"/>
      <c r="AH57" s="1952"/>
      <c r="AI57" s="1410"/>
      <c r="AJ57" s="1933"/>
      <c r="AK57" s="1405"/>
      <c r="AL57" s="1410"/>
      <c r="AM57" s="1410"/>
      <c r="AN57" s="1410"/>
      <c r="AO57" s="2174"/>
      <c r="AP57" s="1405"/>
      <c r="AQ57" s="1405"/>
      <c r="AR57" s="1405"/>
    </row>
    <row r="58" spans="1:44" ht="15" customHeight="1">
      <c r="E58" s="1502"/>
      <c r="F58" s="1502"/>
      <c r="G58" s="1502"/>
      <c r="H58" s="1502"/>
      <c r="I58" s="1502"/>
      <c r="J58" s="1502"/>
      <c r="K58" s="1508"/>
      <c r="L58" s="1502"/>
      <c r="M58" s="1502"/>
      <c r="N58" s="1502"/>
      <c r="O58" s="2103"/>
      <c r="P58" s="1531"/>
      <c r="Q58" s="2103"/>
      <c r="R58" s="1531"/>
      <c r="S58" s="1502"/>
      <c r="T58" s="1502"/>
      <c r="U58" s="1502"/>
      <c r="V58" s="1502"/>
      <c r="W58" s="1502"/>
      <c r="X58" s="1502"/>
      <c r="Y58" s="1502"/>
      <c r="Z58" s="1502"/>
      <c r="AA58" s="1502"/>
      <c r="AB58" s="1412"/>
      <c r="AC58" s="1952"/>
      <c r="AD58" s="1952"/>
      <c r="AE58" s="1952"/>
      <c r="AF58" s="1952"/>
      <c r="AG58" s="1952"/>
      <c r="AH58" s="1952"/>
      <c r="AI58" s="1410"/>
      <c r="AJ58" s="1933"/>
      <c r="AK58" s="1405"/>
      <c r="AL58" s="1410"/>
      <c r="AM58" s="1410"/>
      <c r="AN58" s="1410"/>
      <c r="AO58" s="2174"/>
      <c r="AP58" s="1405"/>
      <c r="AQ58" s="1405"/>
      <c r="AR58" s="1405"/>
    </row>
    <row r="59" spans="1:44" ht="15" customHeight="1">
      <c r="A59" s="2327" t="s">
        <v>2488</v>
      </c>
      <c r="B59" s="2327"/>
      <c r="C59" s="2327"/>
      <c r="D59" s="2327"/>
      <c r="E59" s="2327"/>
      <c r="F59" s="2327"/>
      <c r="G59" s="2327"/>
      <c r="H59" s="2327"/>
      <c r="I59" s="2327"/>
      <c r="J59" s="2327"/>
      <c r="K59" s="2327"/>
      <c r="L59" s="2327"/>
      <c r="M59" s="1502"/>
      <c r="N59" s="1502"/>
      <c r="O59" s="1531"/>
      <c r="P59" s="1531"/>
      <c r="Q59" s="1531"/>
      <c r="R59" s="1531"/>
      <c r="S59" s="1502"/>
      <c r="T59" s="1502"/>
      <c r="U59" s="1502"/>
      <c r="V59" s="1502"/>
      <c r="W59" s="1502"/>
      <c r="X59" s="1502"/>
      <c r="Y59" s="1502"/>
      <c r="Z59" s="1502"/>
      <c r="AA59" s="1502"/>
      <c r="AB59" s="1412"/>
      <c r="AC59" s="1412"/>
      <c r="AD59" s="1412"/>
      <c r="AE59" s="1412"/>
      <c r="AF59" s="1952"/>
      <c r="AG59" s="1952"/>
      <c r="AH59" s="1952"/>
      <c r="AI59" s="1410"/>
      <c r="AJ59" s="1933"/>
      <c r="AK59" s="1405"/>
      <c r="AL59" s="1410"/>
      <c r="AM59" s="1410"/>
      <c r="AN59" s="1410"/>
      <c r="AO59" s="2174"/>
      <c r="AP59" s="1405"/>
      <c r="AQ59" s="1405"/>
      <c r="AR59" s="1405"/>
    </row>
    <row r="60" spans="1:44" ht="15" customHeight="1">
      <c r="A60" s="2327" t="s">
        <v>149</v>
      </c>
      <c r="B60" s="2327"/>
      <c r="C60" s="2327"/>
      <c r="D60" s="2327"/>
      <c r="E60" s="2327"/>
      <c r="F60" s="2327"/>
      <c r="G60" s="2327"/>
      <c r="H60" s="2327"/>
      <c r="I60" s="2327"/>
      <c r="J60" s="2327"/>
      <c r="K60" s="2327"/>
      <c r="L60" s="2327"/>
      <c r="M60" s="1502"/>
      <c r="N60" s="1954"/>
      <c r="O60" s="1531"/>
      <c r="P60" s="1531"/>
      <c r="Q60" s="1531"/>
      <c r="R60" s="1531"/>
      <c r="S60" s="1954"/>
      <c r="T60" s="1954"/>
      <c r="U60" s="1954"/>
      <c r="V60" s="1954"/>
      <c r="W60" s="1954"/>
      <c r="X60" s="1954"/>
      <c r="Y60" s="1954"/>
      <c r="Z60" s="1954"/>
      <c r="AA60" s="1954"/>
      <c r="AB60" s="1954"/>
      <c r="AC60" s="1412"/>
      <c r="AD60" s="1412"/>
      <c r="AE60" s="1412"/>
      <c r="AF60" s="1405"/>
      <c r="AG60" s="1405"/>
      <c r="AH60" s="1405"/>
      <c r="AI60" s="1405"/>
      <c r="AJ60" s="1405"/>
      <c r="AK60" s="1405"/>
      <c r="AL60" s="1405"/>
      <c r="AM60" s="1405"/>
      <c r="AN60" s="1405"/>
      <c r="AO60" s="1405"/>
      <c r="AP60" s="1405"/>
      <c r="AQ60" s="1405"/>
      <c r="AR60" s="1405"/>
    </row>
    <row r="61" spans="1:44" ht="15" customHeight="1">
      <c r="A61" s="1455"/>
      <c r="B61" s="1455"/>
      <c r="C61" s="1455"/>
      <c r="D61" s="1455"/>
      <c r="E61" s="1534"/>
      <c r="F61" s="1534"/>
      <c r="G61" s="1534"/>
      <c r="H61" s="1534"/>
      <c r="I61" s="1534"/>
      <c r="J61" s="1534"/>
      <c r="K61" s="2065"/>
      <c r="L61" s="1534"/>
      <c r="M61" s="1502"/>
      <c r="N61" s="1534"/>
      <c r="O61" s="1531"/>
      <c r="P61" s="1531"/>
      <c r="Q61" s="1938"/>
      <c r="R61" s="1938"/>
      <c r="S61" s="1534"/>
      <c r="T61" s="1534"/>
      <c r="U61" s="1534"/>
      <c r="V61" s="1534"/>
      <c r="W61" s="1534"/>
      <c r="X61" s="1534"/>
      <c r="Y61" s="1534"/>
      <c r="Z61" s="1534"/>
      <c r="AA61" s="1534"/>
      <c r="AB61" s="1954"/>
      <c r="AC61" s="1412"/>
      <c r="AD61" s="1412"/>
      <c r="AE61" s="1412"/>
      <c r="AF61" s="1405"/>
      <c r="AG61" s="1405"/>
      <c r="AH61" s="1405"/>
      <c r="AI61" s="1405"/>
      <c r="AJ61" s="1405"/>
      <c r="AK61" s="1405"/>
      <c r="AL61" s="1405"/>
      <c r="AM61" s="1405"/>
      <c r="AN61" s="1405"/>
      <c r="AO61" s="1405"/>
      <c r="AP61" s="1405"/>
      <c r="AQ61" s="1405"/>
      <c r="AR61" s="1405"/>
    </row>
    <row r="62" spans="1:44" ht="15" customHeight="1">
      <c r="A62" s="1455"/>
      <c r="B62" s="1455"/>
      <c r="C62" s="1455"/>
      <c r="D62" s="1455"/>
      <c r="E62" s="1534"/>
      <c r="F62" s="1534"/>
      <c r="G62" s="1534"/>
      <c r="H62" s="1534"/>
      <c r="I62" s="1534"/>
      <c r="J62" s="1534"/>
      <c r="K62" s="2065"/>
      <c r="L62" s="1534"/>
      <c r="M62" s="1954"/>
      <c r="N62" s="1534"/>
      <c r="O62" s="1531"/>
      <c r="P62" s="1531"/>
      <c r="Q62" s="1938"/>
      <c r="R62" s="1938"/>
      <c r="S62" s="1534"/>
      <c r="T62" s="1534"/>
      <c r="U62" s="1534"/>
      <c r="V62" s="1534"/>
      <c r="W62" s="1534"/>
      <c r="X62" s="1534"/>
      <c r="Y62" s="1534"/>
      <c r="Z62" s="1534"/>
      <c r="AA62" s="1534"/>
      <c r="AB62" s="1954"/>
      <c r="AC62" s="1412"/>
      <c r="AD62" s="1412"/>
      <c r="AE62" s="1412"/>
      <c r="AF62" s="1405"/>
      <c r="AG62" s="1405"/>
      <c r="AH62" s="1405"/>
      <c r="AI62" s="1405"/>
      <c r="AJ62" s="1405"/>
      <c r="AK62" s="1405"/>
      <c r="AL62" s="1405"/>
      <c r="AM62" s="1405"/>
      <c r="AN62" s="1405"/>
      <c r="AO62" s="1405"/>
      <c r="AP62" s="1405"/>
      <c r="AQ62" s="1405"/>
      <c r="AR62" s="1405"/>
    </row>
    <row r="63" spans="1:44" ht="15" customHeight="1">
      <c r="A63" s="1455"/>
      <c r="B63" s="1455"/>
      <c r="C63" s="1455"/>
      <c r="D63" s="1455"/>
      <c r="E63" s="1534"/>
      <c r="F63" s="1534"/>
      <c r="G63" s="1534"/>
      <c r="H63" s="1534"/>
      <c r="I63" s="1534"/>
      <c r="J63" s="1534"/>
      <c r="K63" s="2065"/>
      <c r="L63" s="1534"/>
      <c r="M63" s="1534"/>
      <c r="N63" s="1534"/>
      <c r="O63" s="1531"/>
      <c r="P63" s="1531"/>
      <c r="Q63" s="1531"/>
      <c r="R63" s="1531"/>
      <c r="S63" s="1534"/>
      <c r="T63" s="1534"/>
      <c r="U63" s="1534"/>
      <c r="V63" s="1534"/>
      <c r="W63" s="1534"/>
      <c r="X63" s="1534"/>
      <c r="Y63" s="1534"/>
      <c r="Z63" s="1534"/>
      <c r="AA63" s="1534"/>
      <c r="AB63" s="1954"/>
      <c r="AC63" s="1412"/>
      <c r="AD63" s="1412"/>
      <c r="AE63" s="1412"/>
      <c r="AF63" s="1405"/>
      <c r="AG63" s="1405"/>
      <c r="AH63" s="1405"/>
      <c r="AI63" s="1405"/>
      <c r="AJ63" s="1405"/>
      <c r="AK63" s="1405"/>
      <c r="AL63" s="1405"/>
      <c r="AM63" s="1405"/>
      <c r="AN63" s="1405"/>
      <c r="AO63" s="1405"/>
      <c r="AP63" s="1405"/>
      <c r="AQ63" s="1405"/>
      <c r="AR63" s="1405"/>
    </row>
    <row r="64" spans="1:44" ht="15" customHeight="1">
      <c r="A64" s="1455"/>
      <c r="B64" s="1455"/>
      <c r="C64" s="1455"/>
      <c r="D64" s="1455"/>
      <c r="E64" s="1534"/>
      <c r="F64" s="1534"/>
      <c r="G64" s="1534"/>
      <c r="H64" s="1534"/>
      <c r="I64" s="1534"/>
      <c r="J64" s="1534"/>
      <c r="K64" s="2065"/>
      <c r="L64" s="1534"/>
      <c r="M64" s="1534"/>
      <c r="N64" s="1534"/>
      <c r="O64" s="1531"/>
      <c r="P64" s="1531"/>
      <c r="Q64" s="1531"/>
      <c r="R64" s="1531"/>
      <c r="S64" s="1534"/>
      <c r="T64" s="1534"/>
      <c r="U64" s="1534"/>
      <c r="V64" s="1534"/>
      <c r="W64" s="1534"/>
      <c r="X64" s="1534"/>
      <c r="Y64" s="1534"/>
      <c r="Z64" s="1534"/>
      <c r="AA64" s="1534"/>
      <c r="AB64" s="1954"/>
      <c r="AC64" s="1412"/>
      <c r="AD64" s="1412"/>
      <c r="AE64" s="1412"/>
      <c r="AF64" s="1405"/>
      <c r="AG64" s="1405"/>
      <c r="AH64" s="1405"/>
      <c r="AI64" s="1405"/>
      <c r="AJ64" s="1405"/>
      <c r="AK64" s="1405"/>
      <c r="AL64" s="1405"/>
      <c r="AM64" s="1405"/>
      <c r="AN64" s="1405"/>
      <c r="AO64" s="1405"/>
      <c r="AP64" s="1405"/>
      <c r="AQ64" s="1405"/>
      <c r="AR64" s="1405"/>
    </row>
    <row r="65" spans="1:44" ht="15" customHeight="1">
      <c r="A65" s="1456"/>
      <c r="B65" s="2032"/>
      <c r="C65" s="2033" t="s">
        <v>2490</v>
      </c>
      <c r="D65" s="2032"/>
      <c r="E65" s="2032"/>
      <c r="F65" s="1627" t="s">
        <v>2490</v>
      </c>
      <c r="G65" s="2032"/>
      <c r="H65" s="2032"/>
      <c r="I65" s="2032"/>
      <c r="J65" s="1627" t="s">
        <v>2674</v>
      </c>
      <c r="K65" s="2066" t="s">
        <v>2492</v>
      </c>
      <c r="L65" s="2032"/>
      <c r="M65" s="1534"/>
      <c r="N65" s="1987"/>
      <c r="O65" s="1531"/>
      <c r="P65" s="1531"/>
      <c r="Q65" s="1943"/>
      <c r="R65" s="1943"/>
      <c r="S65" s="1987"/>
      <c r="T65" s="1987"/>
      <c r="U65" s="1987"/>
      <c r="V65" s="1987"/>
      <c r="W65" s="1987"/>
      <c r="X65" s="1987"/>
      <c r="Y65" s="1987"/>
      <c r="Z65" s="1987"/>
      <c r="AA65" s="1987"/>
      <c r="AB65" s="1882"/>
      <c r="AC65" s="1412"/>
      <c r="AD65" s="1412"/>
      <c r="AE65" s="1412"/>
      <c r="AF65" s="1405"/>
      <c r="AG65" s="1405"/>
      <c r="AH65" s="1405"/>
      <c r="AI65" s="1405"/>
      <c r="AJ65" s="1405"/>
      <c r="AK65" s="1405"/>
      <c r="AL65" s="1405"/>
      <c r="AM65" s="1405"/>
      <c r="AN65" s="1405"/>
      <c r="AO65" s="1405"/>
      <c r="AP65" s="1405"/>
      <c r="AQ65" s="1405"/>
      <c r="AR65" s="1405"/>
    </row>
    <row r="66" spans="1:44" s="1454" customFormat="1" ht="15" customHeight="1">
      <c r="A66" s="1461"/>
      <c r="B66" s="2032"/>
      <c r="C66" s="2032" t="s">
        <v>2489</v>
      </c>
      <c r="D66" s="2032"/>
      <c r="E66" s="2032"/>
      <c r="F66" s="1628" t="s">
        <v>2493</v>
      </c>
      <c r="G66" s="2032"/>
      <c r="H66" s="2032"/>
      <c r="I66" s="2032"/>
      <c r="J66" s="2075" t="s">
        <v>2491</v>
      </c>
      <c r="K66" s="1733" t="s">
        <v>2491</v>
      </c>
      <c r="L66" s="2032"/>
      <c r="M66" s="1534"/>
      <c r="N66" s="1987"/>
      <c r="O66" s="1531"/>
      <c r="P66" s="1531"/>
      <c r="Q66" s="1531"/>
      <c r="R66" s="1531"/>
      <c r="S66" s="1987"/>
      <c r="T66" s="1987"/>
      <c r="U66" s="1987"/>
      <c r="V66" s="1987"/>
      <c r="W66" s="1987"/>
      <c r="X66" s="1987"/>
      <c r="Y66" s="1987"/>
      <c r="Z66" s="1987"/>
      <c r="AA66" s="1987"/>
      <c r="AB66" s="1882"/>
      <c r="AC66" s="1954"/>
      <c r="AD66" s="1954"/>
      <c r="AE66" s="1954"/>
      <c r="AF66" s="1405"/>
      <c r="AG66" s="1405"/>
      <c r="AH66" s="1405"/>
      <c r="AI66" s="1405"/>
      <c r="AJ66" s="1405"/>
      <c r="AK66" s="1405"/>
      <c r="AL66" s="1405"/>
      <c r="AM66" s="1405"/>
      <c r="AN66" s="1405"/>
      <c r="AO66" s="1405"/>
      <c r="AP66" s="1405"/>
      <c r="AQ66" s="1405"/>
      <c r="AR66" s="2183"/>
    </row>
    <row r="67" spans="1:44" s="1461" customFormat="1" ht="15" customHeight="1">
      <c r="A67" s="1462"/>
      <c r="B67" s="1463"/>
      <c r="C67" s="2032"/>
      <c r="D67" s="2032"/>
      <c r="E67" s="2032"/>
      <c r="G67" s="2032"/>
      <c r="H67" s="2032"/>
      <c r="I67" s="2032"/>
      <c r="J67" s="2032"/>
      <c r="K67" s="1805"/>
      <c r="L67" s="2032"/>
      <c r="M67" s="1987"/>
      <c r="N67" s="1987"/>
      <c r="O67" s="1531"/>
      <c r="P67" s="1531"/>
      <c r="Q67" s="1531"/>
      <c r="R67" s="1531"/>
      <c r="S67" s="1987"/>
      <c r="T67" s="1987"/>
      <c r="U67" s="1987"/>
      <c r="V67" s="1987"/>
      <c r="W67" s="1987"/>
      <c r="X67" s="1987"/>
      <c r="Y67" s="1987"/>
      <c r="Z67" s="1987"/>
      <c r="AA67" s="1987"/>
      <c r="AB67" s="1882"/>
      <c r="AC67" s="1882"/>
      <c r="AD67" s="1882"/>
      <c r="AE67" s="1882"/>
      <c r="AF67" s="1884"/>
      <c r="AG67" s="1882"/>
      <c r="AH67" s="2184"/>
      <c r="AI67" s="1460"/>
      <c r="AJ67" s="1882"/>
      <c r="AK67" s="2184"/>
      <c r="AL67" s="2185"/>
      <c r="AM67" s="2185"/>
      <c r="AN67" s="1460"/>
      <c r="AO67" s="1460"/>
      <c r="AP67" s="1460"/>
      <c r="AQ67" s="1460"/>
      <c r="AR67" s="1460"/>
    </row>
    <row r="68" spans="1:44" s="1461" customFormat="1" ht="15" customHeight="1">
      <c r="B68" s="1463"/>
      <c r="C68" s="2033"/>
      <c r="D68" s="2032"/>
      <c r="E68" s="2032"/>
      <c r="G68" s="2110">
        <f>BS!F28-UHF.!G28</f>
        <v>2.6000000536441803E-2</v>
      </c>
      <c r="H68" s="2032"/>
      <c r="I68" s="2032"/>
      <c r="J68" s="2032"/>
      <c r="K68" s="1805"/>
      <c r="M68" s="1987"/>
      <c r="N68" s="1987"/>
      <c r="O68" s="1531"/>
      <c r="P68" s="1531"/>
      <c r="Q68" s="1531"/>
      <c r="R68" s="1531"/>
      <c r="S68" s="1987"/>
      <c r="T68" s="1987"/>
      <c r="U68" s="1987"/>
      <c r="V68" s="1987"/>
      <c r="W68" s="1987"/>
      <c r="X68" s="1987"/>
      <c r="Y68" s="1987"/>
      <c r="Z68" s="1987"/>
      <c r="AA68" s="1987"/>
      <c r="AB68" s="1882"/>
      <c r="AC68" s="1882"/>
      <c r="AD68" s="1882"/>
      <c r="AE68" s="1882"/>
      <c r="AF68" s="1884"/>
      <c r="AG68" s="1882"/>
      <c r="AH68" s="2184"/>
      <c r="AI68" s="1460"/>
      <c r="AJ68" s="1882"/>
      <c r="AK68" s="2184"/>
      <c r="AL68" s="2185"/>
      <c r="AM68" s="2185"/>
      <c r="AN68" s="1460"/>
      <c r="AO68" s="1460"/>
      <c r="AP68" s="1460"/>
      <c r="AQ68" s="1460"/>
      <c r="AR68" s="1460"/>
    </row>
    <row r="69" spans="1:44" s="1461" customFormat="1" ht="15" customHeight="1">
      <c r="B69" s="1463"/>
      <c r="D69" s="2032"/>
      <c r="E69" s="2032"/>
      <c r="G69" s="2032"/>
      <c r="H69" s="2032"/>
      <c r="I69" s="2032"/>
      <c r="J69" s="2032"/>
      <c r="K69" s="1805"/>
      <c r="M69" s="1987"/>
      <c r="N69" s="1987"/>
      <c r="O69" s="2067"/>
      <c r="P69" s="2067"/>
      <c r="Q69" s="1946"/>
      <c r="R69" s="1531"/>
      <c r="S69" s="1987"/>
      <c r="T69" s="1987"/>
      <c r="U69" s="1987"/>
      <c r="V69" s="1987"/>
      <c r="W69" s="1987"/>
      <c r="X69" s="1987"/>
      <c r="Y69" s="1987"/>
      <c r="Z69" s="1987"/>
      <c r="AA69" s="1987"/>
      <c r="AB69" s="1882"/>
      <c r="AC69" s="1882"/>
      <c r="AD69" s="1882"/>
      <c r="AE69" s="1882"/>
      <c r="AF69" s="1884"/>
      <c r="AG69" s="1882"/>
      <c r="AH69" s="2184"/>
      <c r="AI69" s="1460"/>
      <c r="AJ69" s="1882"/>
      <c r="AK69" s="2184"/>
      <c r="AL69" s="2185"/>
      <c r="AM69" s="2185"/>
      <c r="AN69" s="1460"/>
      <c r="AO69" s="1460"/>
      <c r="AP69" s="1460"/>
      <c r="AQ69" s="1460"/>
      <c r="AR69" s="1460"/>
    </row>
    <row r="70" spans="1:44" s="1461" customFormat="1" ht="15" customHeight="1">
      <c r="A70" s="1402"/>
      <c r="B70" s="1402"/>
      <c r="C70" s="1402"/>
      <c r="D70" s="1402"/>
      <c r="E70" s="1402"/>
      <c r="F70" s="1402"/>
      <c r="G70" s="1402"/>
      <c r="H70" s="1402"/>
      <c r="I70" s="1402"/>
      <c r="J70" s="1402"/>
      <c r="K70" s="1478"/>
      <c r="L70" s="1402"/>
      <c r="M70" s="1987"/>
      <c r="N70" s="1402"/>
      <c r="O70" s="2067"/>
      <c r="P70" s="2067"/>
      <c r="Q70" s="1943"/>
      <c r="R70" s="1531"/>
      <c r="S70" s="1402"/>
      <c r="T70" s="1402"/>
      <c r="U70" s="1402"/>
      <c r="V70" s="1402"/>
      <c r="W70" s="1402"/>
      <c r="X70" s="1402"/>
      <c r="Y70" s="1402"/>
      <c r="Z70" s="1402"/>
      <c r="AA70" s="1402"/>
      <c r="AB70" s="1405"/>
      <c r="AC70" s="1882"/>
      <c r="AD70" s="1882"/>
      <c r="AE70" s="1882"/>
      <c r="AF70" s="1884"/>
      <c r="AG70" s="1882"/>
      <c r="AH70" s="2184"/>
      <c r="AI70" s="1460"/>
      <c r="AJ70" s="1882"/>
      <c r="AK70" s="2184"/>
      <c r="AL70" s="2185"/>
      <c r="AM70" s="2185"/>
      <c r="AN70" s="1460"/>
      <c r="AO70" s="1460"/>
      <c r="AP70" s="1460"/>
      <c r="AQ70" s="1460"/>
      <c r="AR70" s="1460"/>
    </row>
    <row r="71" spans="1:44" s="1461" customFormat="1" ht="15" customHeight="1">
      <c r="A71" s="1402"/>
      <c r="B71" s="1402"/>
      <c r="C71" s="1402"/>
      <c r="D71" s="1402"/>
      <c r="E71" s="1402"/>
      <c r="F71" s="1402"/>
      <c r="G71" s="1402"/>
      <c r="H71" s="1402"/>
      <c r="I71" s="1402"/>
      <c r="J71" s="1402"/>
      <c r="K71" s="1478"/>
      <c r="L71" s="1402"/>
      <c r="M71" s="1987"/>
      <c r="N71" s="1402"/>
      <c r="O71" s="2067"/>
      <c r="P71" s="2067"/>
      <c r="Q71" s="2067"/>
      <c r="R71" s="2067"/>
      <c r="S71" s="1402"/>
      <c r="T71" s="1402"/>
      <c r="U71" s="1402"/>
      <c r="V71" s="1402"/>
      <c r="W71" s="1402"/>
      <c r="X71" s="1402"/>
      <c r="Y71" s="1402"/>
      <c r="Z71" s="1402"/>
      <c r="AA71" s="1402"/>
      <c r="AB71" s="1405"/>
      <c r="AC71" s="1882"/>
      <c r="AD71" s="1882"/>
      <c r="AE71" s="1882"/>
      <c r="AF71" s="1884"/>
      <c r="AG71" s="1882"/>
      <c r="AH71" s="2184"/>
      <c r="AI71" s="1460"/>
      <c r="AJ71" s="1882"/>
      <c r="AK71" s="2184"/>
      <c r="AL71" s="2185"/>
      <c r="AM71" s="2185"/>
      <c r="AN71" s="1460"/>
      <c r="AO71" s="1460"/>
      <c r="AP71" s="1460"/>
      <c r="AQ71" s="1460"/>
      <c r="AR71" s="1460"/>
    </row>
    <row r="72" spans="1:44" s="1461" customFormat="1" ht="15" customHeight="1">
      <c r="A72" s="1402"/>
      <c r="B72" s="1402"/>
      <c r="C72" s="1402"/>
      <c r="D72" s="1402"/>
      <c r="E72" s="1402"/>
      <c r="F72" s="1402"/>
      <c r="G72" s="1402"/>
      <c r="H72" s="1402"/>
      <c r="I72" s="1402"/>
      <c r="J72" s="1402"/>
      <c r="K72" s="1478"/>
      <c r="L72" s="1402"/>
      <c r="M72" s="1402"/>
      <c r="N72" s="1402"/>
      <c r="O72" s="1845"/>
      <c r="P72" s="1925"/>
      <c r="Q72" s="1845"/>
      <c r="R72" s="1925"/>
      <c r="S72" s="1402"/>
      <c r="T72" s="1402"/>
      <c r="U72" s="1402"/>
      <c r="V72" s="1402"/>
      <c r="W72" s="1402"/>
      <c r="X72" s="1402"/>
      <c r="Y72" s="1402"/>
      <c r="Z72" s="1402"/>
      <c r="AA72" s="1402"/>
      <c r="AB72" s="1405"/>
      <c r="AC72" s="1882"/>
      <c r="AD72" s="1882"/>
      <c r="AE72" s="1882"/>
      <c r="AF72" s="1884"/>
      <c r="AG72" s="1882"/>
      <c r="AH72" s="2186"/>
      <c r="AI72" s="1460"/>
      <c r="AJ72" s="1882"/>
      <c r="AK72" s="2184"/>
      <c r="AL72" s="2185"/>
      <c r="AM72" s="2185"/>
      <c r="AN72" s="1460"/>
      <c r="AO72" s="1460"/>
      <c r="AP72" s="1460"/>
      <c r="AQ72" s="1460"/>
      <c r="AR72" s="1460"/>
    </row>
    <row r="73" spans="1:44" ht="15" customHeight="1">
      <c r="O73" s="1845"/>
      <c r="P73" s="1845"/>
      <c r="Q73" s="1845"/>
      <c r="R73" s="1845"/>
      <c r="AB73" s="1405"/>
      <c r="AC73" s="1405"/>
      <c r="AD73" s="1405"/>
      <c r="AE73" s="1405"/>
      <c r="AF73" s="1884"/>
      <c r="AG73" s="1882"/>
      <c r="AH73" s="2187"/>
      <c r="AI73" s="1460"/>
      <c r="AJ73" s="1882"/>
      <c r="AK73" s="2184"/>
      <c r="AL73" s="2185"/>
      <c r="AM73" s="2185"/>
      <c r="AN73" s="1460"/>
      <c r="AO73" s="1460"/>
      <c r="AP73" s="1460"/>
      <c r="AQ73" s="1460"/>
      <c r="AR73" s="1405"/>
    </row>
    <row r="74" spans="1:44" ht="15" customHeight="1">
      <c r="O74" s="1845"/>
      <c r="P74" s="1845"/>
      <c r="Q74" s="1845"/>
      <c r="R74" s="1845"/>
      <c r="AB74" s="1405"/>
      <c r="AC74" s="1405"/>
      <c r="AD74" s="1405"/>
      <c r="AE74" s="1405"/>
      <c r="AF74" s="1405"/>
      <c r="AG74" s="1405"/>
      <c r="AH74" s="1405"/>
      <c r="AI74" s="1405"/>
      <c r="AJ74" s="1405"/>
      <c r="AK74" s="1405"/>
      <c r="AL74" s="1405"/>
      <c r="AM74" s="1405"/>
      <c r="AN74" s="1405"/>
      <c r="AO74" s="1405"/>
      <c r="AP74" s="1405"/>
      <c r="AQ74" s="1405"/>
      <c r="AR74" s="1405"/>
    </row>
    <row r="75" spans="1:44" ht="15" customHeight="1">
      <c r="O75" s="1845"/>
      <c r="P75" s="1845"/>
      <c r="Q75" s="1845"/>
      <c r="R75" s="1845"/>
      <c r="AB75" s="1405"/>
      <c r="AC75" s="1405"/>
      <c r="AD75" s="1405"/>
      <c r="AE75" s="1405"/>
      <c r="AF75" s="1405"/>
      <c r="AG75" s="1405"/>
      <c r="AH75" s="1405"/>
      <c r="AI75" s="1405"/>
      <c r="AJ75" s="1405"/>
      <c r="AK75" s="1405"/>
      <c r="AL75" s="1405"/>
      <c r="AM75" s="1405"/>
      <c r="AN75" s="1405"/>
      <c r="AO75" s="1405"/>
      <c r="AP75" s="1405"/>
      <c r="AQ75" s="1405"/>
      <c r="AR75" s="1405"/>
    </row>
    <row r="76" spans="1:44" ht="15" customHeight="1">
      <c r="P76" s="1920"/>
      <c r="AB76" s="1405"/>
      <c r="AC76" s="1405"/>
      <c r="AD76" s="1405"/>
      <c r="AE76" s="1405"/>
      <c r="AF76" s="1405"/>
      <c r="AG76" s="1405"/>
      <c r="AH76" s="1405"/>
      <c r="AI76" s="1405"/>
      <c r="AJ76" s="1405"/>
      <c r="AK76" s="1405"/>
      <c r="AL76" s="1405"/>
      <c r="AM76" s="1405"/>
      <c r="AN76" s="1405"/>
      <c r="AO76" s="1405"/>
      <c r="AP76" s="1405"/>
      <c r="AQ76" s="1405"/>
      <c r="AR76" s="1405"/>
    </row>
    <row r="77" spans="1:44" ht="15" customHeight="1">
      <c r="C77" s="2103"/>
      <c r="D77" s="2103"/>
      <c r="AB77" s="1405"/>
      <c r="AC77" s="1405"/>
      <c r="AD77" s="1405"/>
      <c r="AE77" s="1405"/>
      <c r="AF77" s="1405"/>
      <c r="AG77" s="1405"/>
      <c r="AH77" s="1405"/>
      <c r="AI77" s="1405"/>
      <c r="AJ77" s="1405"/>
      <c r="AK77" s="1405"/>
      <c r="AL77" s="1405"/>
      <c r="AM77" s="1405"/>
      <c r="AN77" s="1405"/>
      <c r="AO77" s="1405"/>
      <c r="AP77" s="1405"/>
      <c r="AQ77" s="1405"/>
      <c r="AR77" s="1405"/>
    </row>
    <row r="78" spans="1:44" ht="15" customHeight="1">
      <c r="C78" s="2103"/>
      <c r="D78" s="2103"/>
      <c r="AB78" s="1405"/>
      <c r="AC78" s="1405"/>
      <c r="AD78" s="1405"/>
      <c r="AE78" s="1405"/>
      <c r="AF78" s="1405"/>
      <c r="AG78" s="1405"/>
      <c r="AH78" s="1405"/>
      <c r="AI78" s="1405"/>
      <c r="AJ78" s="1405"/>
      <c r="AK78" s="1405"/>
      <c r="AL78" s="1405"/>
      <c r="AM78" s="1405"/>
      <c r="AN78" s="1405"/>
      <c r="AO78" s="1405"/>
      <c r="AP78" s="1405"/>
      <c r="AQ78" s="1405"/>
      <c r="AR78" s="1405"/>
    </row>
    <row r="79" spans="1:44" ht="15" customHeight="1">
      <c r="C79" s="2103"/>
      <c r="D79" s="2103"/>
      <c r="AB79" s="1405"/>
      <c r="AC79" s="1405"/>
      <c r="AD79" s="1405"/>
      <c r="AE79" s="1405"/>
      <c r="AF79" s="1405"/>
      <c r="AG79" s="1405"/>
      <c r="AH79" s="1405"/>
      <c r="AI79" s="1405"/>
      <c r="AJ79" s="1405"/>
      <c r="AK79" s="1405"/>
      <c r="AL79" s="1405"/>
      <c r="AM79" s="1405"/>
      <c r="AN79" s="1405"/>
      <c r="AO79" s="1405"/>
      <c r="AP79" s="1405"/>
      <c r="AQ79" s="1405"/>
      <c r="AR79" s="1405"/>
    </row>
    <row r="80" spans="1:44" ht="15" customHeight="1">
      <c r="C80" s="2103"/>
      <c r="D80" s="2103"/>
      <c r="AB80" s="1405"/>
      <c r="AC80" s="1405"/>
      <c r="AD80" s="1405"/>
      <c r="AE80" s="1405"/>
      <c r="AF80" s="1405"/>
      <c r="AG80" s="1405"/>
      <c r="AH80" s="1405"/>
      <c r="AI80" s="1405"/>
      <c r="AJ80" s="1405"/>
      <c r="AK80" s="1405"/>
      <c r="AL80" s="1405"/>
      <c r="AM80" s="1405"/>
      <c r="AN80" s="1405"/>
      <c r="AO80" s="1405"/>
      <c r="AP80" s="1405"/>
      <c r="AQ80" s="1405"/>
      <c r="AR80" s="1405"/>
    </row>
    <row r="81" spans="3:44" ht="15" customHeight="1">
      <c r="C81" s="2103"/>
      <c r="D81" s="2103"/>
      <c r="AB81" s="1405"/>
      <c r="AC81" s="1405"/>
      <c r="AD81" s="1405"/>
      <c r="AE81" s="1405"/>
      <c r="AF81" s="1405"/>
      <c r="AG81" s="1405"/>
      <c r="AH81" s="1405"/>
      <c r="AI81" s="1405"/>
      <c r="AJ81" s="1405"/>
      <c r="AK81" s="1405"/>
      <c r="AL81" s="1405"/>
      <c r="AM81" s="1405"/>
      <c r="AN81" s="1405"/>
      <c r="AO81" s="1405"/>
      <c r="AP81" s="1405"/>
      <c r="AQ81" s="1405"/>
      <c r="AR81" s="1405"/>
    </row>
    <row r="82" spans="3:44" ht="15" customHeight="1">
      <c r="C82" s="2103"/>
      <c r="D82" s="2103"/>
      <c r="AB82" s="1405"/>
      <c r="AC82" s="1405"/>
      <c r="AD82" s="1405"/>
      <c r="AE82" s="1405"/>
      <c r="AF82" s="1405"/>
      <c r="AG82" s="1405"/>
      <c r="AH82" s="1405"/>
      <c r="AI82" s="1405"/>
      <c r="AJ82" s="1405"/>
      <c r="AK82" s="1405"/>
      <c r="AL82" s="1405"/>
      <c r="AM82" s="1405"/>
      <c r="AN82" s="1405"/>
      <c r="AO82" s="1405"/>
      <c r="AP82" s="1405"/>
      <c r="AQ82" s="1405"/>
      <c r="AR82" s="1405"/>
    </row>
    <row r="83" spans="3:44" ht="15" customHeight="1">
      <c r="C83" s="2103"/>
      <c r="D83" s="2103"/>
      <c r="AB83" s="1405"/>
      <c r="AC83" s="1405"/>
      <c r="AD83" s="1405"/>
      <c r="AE83" s="1405"/>
      <c r="AF83" s="1405"/>
      <c r="AG83" s="1405"/>
      <c r="AH83" s="1405"/>
      <c r="AI83" s="1405"/>
      <c r="AJ83" s="1405"/>
      <c r="AK83" s="1405"/>
      <c r="AL83" s="1405"/>
      <c r="AM83" s="1405"/>
      <c r="AN83" s="1405"/>
      <c r="AO83" s="1405"/>
      <c r="AP83" s="1405"/>
      <c r="AQ83" s="1405"/>
      <c r="AR83" s="1405"/>
    </row>
    <row r="84" spans="3:44" ht="15" customHeight="1">
      <c r="C84" s="2103"/>
      <c r="D84" s="2103"/>
      <c r="AB84" s="1405"/>
      <c r="AC84" s="1405"/>
      <c r="AD84" s="1405"/>
      <c r="AE84" s="1405"/>
      <c r="AF84" s="1405"/>
      <c r="AG84" s="1405"/>
      <c r="AH84" s="1405"/>
      <c r="AI84" s="1405"/>
      <c r="AJ84" s="1405"/>
      <c r="AK84" s="1405"/>
      <c r="AL84" s="1405"/>
      <c r="AM84" s="1405"/>
      <c r="AN84" s="1405"/>
      <c r="AO84" s="1405"/>
      <c r="AP84" s="1405"/>
      <c r="AQ84" s="1405"/>
      <c r="AR84" s="1405"/>
    </row>
    <row r="85" spans="3:44" ht="15" customHeight="1">
      <c r="C85" s="2103"/>
      <c r="D85" s="2103"/>
      <c r="AB85" s="1405"/>
      <c r="AC85" s="1405"/>
      <c r="AD85" s="1405"/>
      <c r="AE85" s="1405"/>
      <c r="AF85" s="1405"/>
      <c r="AG85" s="1405"/>
      <c r="AH85" s="1405"/>
      <c r="AI85" s="1405"/>
      <c r="AJ85" s="1405"/>
      <c r="AK85" s="1405"/>
      <c r="AL85" s="1405"/>
      <c r="AM85" s="1405"/>
      <c r="AN85" s="1405"/>
      <c r="AO85" s="1405"/>
      <c r="AP85" s="1405"/>
      <c r="AQ85" s="1405"/>
      <c r="AR85" s="1405"/>
    </row>
    <row r="86" spans="3:44" ht="15" customHeight="1">
      <c r="C86" s="2103"/>
      <c r="D86" s="2103"/>
      <c r="F86" s="1502"/>
      <c r="G86" s="1502"/>
      <c r="H86" s="1502"/>
      <c r="I86" s="1502"/>
      <c r="AB86" s="1405"/>
      <c r="AC86" s="1405"/>
      <c r="AD86" s="1405"/>
      <c r="AE86" s="1405"/>
      <c r="AF86" s="1405"/>
      <c r="AG86" s="1405"/>
      <c r="AH86" s="1405"/>
      <c r="AI86" s="1405"/>
      <c r="AJ86" s="1405"/>
      <c r="AK86" s="1405"/>
      <c r="AL86" s="1405"/>
      <c r="AM86" s="1405"/>
      <c r="AN86" s="1405"/>
      <c r="AO86" s="1405"/>
      <c r="AP86" s="1405"/>
      <c r="AQ86" s="1405"/>
      <c r="AR86" s="1405"/>
    </row>
    <row r="87" spans="3:44" ht="15" customHeight="1">
      <c r="D87" s="2103"/>
      <c r="F87" s="1502"/>
      <c r="G87" s="1502"/>
      <c r="H87" s="1502"/>
      <c r="I87" s="1502"/>
      <c r="AB87" s="1405"/>
      <c r="AC87" s="1405"/>
      <c r="AD87" s="1405"/>
      <c r="AE87" s="1405"/>
      <c r="AF87" s="1405"/>
      <c r="AG87" s="1405"/>
      <c r="AH87" s="1405"/>
      <c r="AI87" s="1405"/>
      <c r="AJ87" s="1405"/>
      <c r="AK87" s="1405"/>
      <c r="AL87" s="1405"/>
      <c r="AM87" s="1405"/>
      <c r="AN87" s="1405"/>
      <c r="AO87" s="1405"/>
      <c r="AP87" s="1405"/>
      <c r="AQ87" s="1405"/>
      <c r="AR87" s="1405"/>
    </row>
    <row r="88" spans="3:44" ht="15" customHeight="1">
      <c r="C88" s="2103"/>
      <c r="F88" s="1502"/>
      <c r="G88" s="1502"/>
      <c r="H88" s="1502"/>
      <c r="I88" s="1502"/>
      <c r="AB88" s="1405"/>
      <c r="AC88" s="1405"/>
      <c r="AD88" s="1405"/>
      <c r="AE88" s="1405"/>
      <c r="AF88" s="1405"/>
      <c r="AG88" s="1405"/>
      <c r="AH88" s="1405"/>
      <c r="AI88" s="1405"/>
      <c r="AJ88" s="1405"/>
      <c r="AK88" s="1405"/>
      <c r="AL88" s="1405"/>
      <c r="AM88" s="1405"/>
      <c r="AN88" s="1405"/>
      <c r="AO88" s="1405"/>
      <c r="AP88" s="1405"/>
      <c r="AQ88" s="1405"/>
      <c r="AR88" s="1405"/>
    </row>
    <row r="89" spans="3:44" ht="15" customHeight="1">
      <c r="F89" s="1502"/>
      <c r="G89" s="1502"/>
      <c r="H89" s="1502"/>
      <c r="I89" s="1502"/>
      <c r="AB89" s="1405"/>
      <c r="AC89" s="1405"/>
      <c r="AD89" s="1405"/>
      <c r="AE89" s="1405"/>
      <c r="AF89" s="1405"/>
      <c r="AG89" s="1405"/>
      <c r="AH89" s="1405"/>
      <c r="AI89" s="1405"/>
      <c r="AJ89" s="1405"/>
      <c r="AK89" s="1405"/>
      <c r="AL89" s="1405"/>
      <c r="AM89" s="1405"/>
      <c r="AN89" s="1405"/>
      <c r="AO89" s="1405"/>
      <c r="AP89" s="1405"/>
      <c r="AQ89" s="1405"/>
      <c r="AR89" s="1405"/>
    </row>
    <row r="90" spans="3:44" ht="15" customHeight="1">
      <c r="F90" s="1502"/>
      <c r="G90" s="1502"/>
      <c r="H90" s="1502"/>
      <c r="I90" s="1502"/>
      <c r="AB90" s="1405"/>
      <c r="AC90" s="1405"/>
      <c r="AD90" s="1405"/>
      <c r="AE90" s="1405"/>
      <c r="AF90" s="1405"/>
      <c r="AG90" s="1405"/>
      <c r="AH90" s="1405"/>
      <c r="AI90" s="1405"/>
      <c r="AJ90" s="1405"/>
      <c r="AK90" s="1405"/>
      <c r="AL90" s="1405"/>
      <c r="AM90" s="1405"/>
      <c r="AN90" s="1405"/>
      <c r="AO90" s="1405"/>
      <c r="AP90" s="1405"/>
      <c r="AQ90" s="1405"/>
      <c r="AR90" s="1405"/>
    </row>
    <row r="91" spans="3:44" ht="15" customHeight="1">
      <c r="F91" s="1502"/>
      <c r="G91" s="1502"/>
      <c r="H91" s="1502"/>
      <c r="I91" s="1502"/>
      <c r="AB91" s="1405"/>
      <c r="AC91" s="1405"/>
      <c r="AD91" s="1405"/>
      <c r="AE91" s="1405"/>
      <c r="AF91" s="1405"/>
      <c r="AG91" s="1405"/>
      <c r="AH91" s="1405"/>
      <c r="AI91" s="1405"/>
      <c r="AJ91" s="1405"/>
      <c r="AK91" s="1405"/>
      <c r="AL91" s="1405"/>
      <c r="AM91" s="1405"/>
      <c r="AN91" s="1405"/>
      <c r="AO91" s="1405"/>
      <c r="AP91" s="1405"/>
      <c r="AQ91" s="1405"/>
      <c r="AR91" s="1405"/>
    </row>
    <row r="92" spans="3:44" ht="15" customHeight="1">
      <c r="C92" s="2104"/>
      <c r="D92" s="2104"/>
      <c r="F92" s="1502"/>
      <c r="G92" s="1502"/>
      <c r="H92" s="1502"/>
      <c r="I92" s="1502"/>
      <c r="AB92" s="1405"/>
      <c r="AC92" s="1405"/>
      <c r="AD92" s="1405"/>
      <c r="AE92" s="1405"/>
      <c r="AF92" s="1405"/>
      <c r="AG92" s="1405"/>
      <c r="AH92" s="1405"/>
      <c r="AI92" s="1405"/>
      <c r="AJ92" s="1405"/>
      <c r="AK92" s="1405"/>
      <c r="AL92" s="1405"/>
      <c r="AM92" s="1405"/>
      <c r="AN92" s="1405"/>
      <c r="AO92" s="1405"/>
      <c r="AP92" s="1405"/>
      <c r="AQ92" s="1405"/>
      <c r="AR92" s="1405"/>
    </row>
    <row r="93" spans="3:44" ht="15" customHeight="1">
      <c r="D93" s="2103"/>
      <c r="F93" s="1502"/>
      <c r="G93" s="1502"/>
      <c r="H93" s="1502"/>
      <c r="I93" s="1502"/>
      <c r="AB93" s="1405"/>
      <c r="AC93" s="1405"/>
      <c r="AD93" s="1405"/>
      <c r="AE93" s="1405"/>
      <c r="AF93" s="1405"/>
      <c r="AG93" s="1405"/>
      <c r="AH93" s="1405"/>
      <c r="AI93" s="1405"/>
      <c r="AJ93" s="1405"/>
      <c r="AK93" s="1405"/>
      <c r="AL93" s="1405"/>
      <c r="AM93" s="1405"/>
      <c r="AN93" s="1405"/>
      <c r="AO93" s="1405"/>
      <c r="AP93" s="1405"/>
      <c r="AQ93" s="1405"/>
      <c r="AR93" s="1405"/>
    </row>
    <row r="94" spans="3:44" ht="15" customHeight="1">
      <c r="F94" s="1502"/>
      <c r="G94" s="1502"/>
      <c r="H94" s="1502"/>
      <c r="I94" s="1502"/>
      <c r="AB94" s="1405"/>
      <c r="AC94" s="1405"/>
      <c r="AD94" s="1405"/>
      <c r="AE94" s="1405"/>
      <c r="AF94" s="1405"/>
      <c r="AG94" s="1405"/>
      <c r="AH94" s="1405"/>
      <c r="AI94" s="1405"/>
      <c r="AJ94" s="1405"/>
      <c r="AK94" s="1405"/>
      <c r="AL94" s="1405"/>
      <c r="AM94" s="1405"/>
      <c r="AN94" s="1405"/>
      <c r="AO94" s="1405"/>
      <c r="AP94" s="1405"/>
      <c r="AQ94" s="1405"/>
      <c r="AR94" s="1405"/>
    </row>
    <row r="95" spans="3:44" ht="15" customHeight="1">
      <c r="F95" s="1502"/>
      <c r="G95" s="1502"/>
      <c r="H95" s="1502"/>
      <c r="I95" s="1502"/>
      <c r="AB95" s="1405"/>
      <c r="AC95" s="1405"/>
      <c r="AD95" s="1405"/>
      <c r="AE95" s="1405"/>
      <c r="AF95" s="1405"/>
      <c r="AG95" s="1405"/>
      <c r="AH95" s="1405"/>
      <c r="AI95" s="1405"/>
      <c r="AJ95" s="1405"/>
      <c r="AK95" s="1405"/>
      <c r="AL95" s="1405"/>
      <c r="AM95" s="1405"/>
      <c r="AN95" s="1405"/>
      <c r="AO95" s="1405"/>
      <c r="AP95" s="1405"/>
      <c r="AQ95" s="1405"/>
      <c r="AR95" s="1405"/>
    </row>
    <row r="96" spans="3:44" ht="15" customHeight="1">
      <c r="F96" s="1502"/>
      <c r="G96" s="1502"/>
      <c r="H96" s="1502"/>
      <c r="I96" s="1502"/>
      <c r="AB96" s="1405"/>
      <c r="AC96" s="1405"/>
      <c r="AD96" s="1405"/>
      <c r="AE96" s="1405"/>
      <c r="AF96" s="1405"/>
      <c r="AG96" s="1405"/>
      <c r="AH96" s="1405"/>
      <c r="AI96" s="1405"/>
      <c r="AJ96" s="1405"/>
      <c r="AK96" s="1405"/>
      <c r="AL96" s="1405"/>
      <c r="AM96" s="1405"/>
      <c r="AN96" s="1405"/>
      <c r="AO96" s="1405"/>
      <c r="AP96" s="1405"/>
      <c r="AQ96" s="1405"/>
      <c r="AR96" s="1405"/>
    </row>
    <row r="97" spans="6:44" ht="15" customHeight="1">
      <c r="F97" s="1502"/>
      <c r="G97" s="1502"/>
      <c r="H97" s="1502"/>
      <c r="I97" s="1502"/>
      <c r="AB97" s="1405"/>
      <c r="AC97" s="1405"/>
      <c r="AD97" s="1405"/>
      <c r="AE97" s="1405"/>
      <c r="AF97" s="1405"/>
      <c r="AG97" s="1405"/>
      <c r="AH97" s="1405"/>
      <c r="AI97" s="1405"/>
      <c r="AJ97" s="1405"/>
      <c r="AK97" s="1405"/>
      <c r="AL97" s="1405"/>
      <c r="AM97" s="1405"/>
      <c r="AN97" s="1405"/>
      <c r="AO97" s="1405"/>
      <c r="AP97" s="1405"/>
      <c r="AQ97" s="1405"/>
      <c r="AR97" s="1405"/>
    </row>
    <row r="98" spans="6:44" ht="15" customHeight="1">
      <c r="F98" s="1502"/>
      <c r="G98" s="1502"/>
      <c r="H98" s="1502"/>
      <c r="I98" s="1502"/>
      <c r="L98" s="1502"/>
      <c r="AB98" s="1405"/>
      <c r="AC98" s="1405"/>
      <c r="AD98" s="1405"/>
      <c r="AE98" s="1405"/>
      <c r="AF98" s="1405"/>
      <c r="AG98" s="1405"/>
      <c r="AH98" s="1405"/>
      <c r="AI98" s="1405"/>
      <c r="AJ98" s="1405"/>
      <c r="AK98" s="1405"/>
      <c r="AL98" s="1405"/>
      <c r="AM98" s="1405"/>
      <c r="AN98" s="1405"/>
      <c r="AO98" s="1405"/>
      <c r="AP98" s="1405"/>
      <c r="AQ98" s="1405"/>
      <c r="AR98" s="1405"/>
    </row>
    <row r="99" spans="6:44" ht="15" customHeight="1">
      <c r="F99" s="1502"/>
      <c r="G99" s="1502"/>
      <c r="H99" s="1502"/>
      <c r="I99" s="1502"/>
      <c r="L99" s="1502"/>
      <c r="AB99" s="1405"/>
      <c r="AC99" s="1405"/>
      <c r="AD99" s="1405"/>
      <c r="AE99" s="1405"/>
      <c r="AF99" s="1405"/>
      <c r="AG99" s="1405"/>
      <c r="AH99" s="1405"/>
      <c r="AI99" s="1405"/>
      <c r="AJ99" s="1405"/>
      <c r="AK99" s="1405"/>
      <c r="AL99" s="1405"/>
      <c r="AM99" s="1405"/>
      <c r="AN99" s="1405"/>
      <c r="AO99" s="1405"/>
      <c r="AP99" s="1405"/>
      <c r="AQ99" s="1405"/>
      <c r="AR99" s="1405"/>
    </row>
    <row r="100" spans="6:44" ht="15" customHeight="1">
      <c r="L100" s="1502"/>
      <c r="AB100" s="1405"/>
      <c r="AC100" s="1405"/>
      <c r="AD100" s="1405"/>
      <c r="AE100" s="1405"/>
      <c r="AF100" s="1405"/>
      <c r="AG100" s="1405"/>
      <c r="AH100" s="1405"/>
      <c r="AI100" s="1405"/>
      <c r="AJ100" s="1405"/>
      <c r="AK100" s="1405"/>
      <c r="AL100" s="1405"/>
      <c r="AM100" s="1405"/>
      <c r="AN100" s="1405"/>
      <c r="AO100" s="1405"/>
      <c r="AP100" s="1405"/>
      <c r="AQ100" s="1405"/>
      <c r="AR100" s="1405"/>
    </row>
    <row r="101" spans="6:44" ht="15" customHeight="1">
      <c r="F101" s="1845"/>
      <c r="G101" s="1845"/>
      <c r="H101" s="1845"/>
      <c r="I101" s="1845"/>
      <c r="L101" s="1502"/>
      <c r="AB101" s="1405"/>
      <c r="AC101" s="1405"/>
      <c r="AD101" s="1405"/>
      <c r="AE101" s="1405"/>
      <c r="AF101" s="1405"/>
      <c r="AG101" s="1405"/>
      <c r="AH101" s="1405"/>
      <c r="AI101" s="1405"/>
      <c r="AJ101" s="1405"/>
      <c r="AK101" s="1405"/>
      <c r="AL101" s="1405"/>
      <c r="AM101" s="1405"/>
      <c r="AN101" s="1405"/>
      <c r="AO101" s="1405"/>
      <c r="AP101" s="1405"/>
      <c r="AQ101" s="1405"/>
      <c r="AR101" s="1405"/>
    </row>
    <row r="102" spans="6:44" ht="15" customHeight="1">
      <c r="F102" s="1845"/>
      <c r="G102" s="1845"/>
      <c r="H102" s="1845"/>
      <c r="I102" s="1845"/>
      <c r="L102" s="1502"/>
      <c r="AB102" s="1405"/>
      <c r="AC102" s="1405"/>
      <c r="AD102" s="1405"/>
      <c r="AE102" s="1405"/>
      <c r="AF102" s="1405"/>
      <c r="AG102" s="1405"/>
      <c r="AH102" s="1405"/>
      <c r="AI102" s="1405"/>
      <c r="AJ102" s="1405"/>
      <c r="AK102" s="1405"/>
      <c r="AL102" s="1405"/>
      <c r="AM102" s="1405"/>
      <c r="AN102" s="1405"/>
      <c r="AO102" s="1405"/>
      <c r="AP102" s="1405"/>
      <c r="AQ102" s="1405"/>
      <c r="AR102" s="1405"/>
    </row>
    <row r="103" spans="6:44" ht="15" customHeight="1">
      <c r="F103" s="1845"/>
      <c r="G103" s="1845"/>
      <c r="H103" s="1845"/>
      <c r="I103" s="1845"/>
      <c r="L103" s="1502"/>
      <c r="AB103" s="1405"/>
      <c r="AC103" s="1405"/>
      <c r="AD103" s="1405"/>
      <c r="AE103" s="1405"/>
      <c r="AF103" s="1405"/>
      <c r="AG103" s="1405"/>
      <c r="AH103" s="1405"/>
      <c r="AI103" s="1405"/>
      <c r="AJ103" s="1405"/>
      <c r="AK103" s="1405"/>
      <c r="AL103" s="1405"/>
      <c r="AM103" s="1405"/>
      <c r="AN103" s="1405"/>
      <c r="AO103" s="1405"/>
      <c r="AP103" s="1405"/>
      <c r="AQ103" s="1405"/>
      <c r="AR103" s="1405"/>
    </row>
    <row r="104" spans="6:44" ht="15" customHeight="1">
      <c r="F104" s="1845"/>
      <c r="G104" s="1845"/>
      <c r="H104" s="1845"/>
      <c r="I104" s="1845"/>
      <c r="L104" s="1502"/>
      <c r="AB104" s="1405"/>
      <c r="AC104" s="1405"/>
      <c r="AD104" s="1405"/>
      <c r="AE104" s="1405"/>
      <c r="AF104" s="1405"/>
      <c r="AG104" s="1405"/>
      <c r="AH104" s="1405"/>
      <c r="AI104" s="1405"/>
      <c r="AJ104" s="1405"/>
      <c r="AK104" s="1405"/>
      <c r="AL104" s="1405"/>
      <c r="AM104" s="1405"/>
      <c r="AN104" s="1405"/>
      <c r="AO104" s="1405"/>
      <c r="AP104" s="1405"/>
      <c r="AQ104" s="1405"/>
      <c r="AR104" s="1405"/>
    </row>
    <row r="105" spans="6:44" ht="15" customHeight="1">
      <c r="F105" s="1845"/>
      <c r="G105" s="1845"/>
      <c r="H105" s="1845"/>
      <c r="I105" s="1845"/>
      <c r="L105" s="1502"/>
      <c r="AB105" s="1405"/>
      <c r="AC105" s="1405"/>
      <c r="AD105" s="1405"/>
      <c r="AE105" s="1405"/>
      <c r="AF105" s="1405"/>
      <c r="AG105" s="1405"/>
      <c r="AH105" s="1405"/>
      <c r="AI105" s="1405"/>
      <c r="AJ105" s="1405"/>
      <c r="AK105" s="1405"/>
      <c r="AL105" s="1405"/>
      <c r="AM105" s="1405"/>
      <c r="AN105" s="1405"/>
      <c r="AO105" s="1405"/>
      <c r="AP105" s="1405"/>
      <c r="AQ105" s="1405"/>
      <c r="AR105" s="1405"/>
    </row>
    <row r="106" spans="6:44" ht="15" customHeight="1">
      <c r="F106" s="1845"/>
      <c r="G106" s="1845"/>
      <c r="H106" s="1845"/>
      <c r="I106" s="1845"/>
      <c r="L106" s="1502"/>
      <c r="AB106" s="1405"/>
      <c r="AC106" s="1405"/>
      <c r="AD106" s="1405"/>
      <c r="AE106" s="1405"/>
      <c r="AF106" s="1405"/>
      <c r="AG106" s="1405"/>
      <c r="AH106" s="1405"/>
      <c r="AI106" s="1405"/>
      <c r="AJ106" s="1405"/>
      <c r="AK106" s="1405"/>
      <c r="AL106" s="1405"/>
      <c r="AM106" s="1405"/>
      <c r="AN106" s="1405"/>
      <c r="AO106" s="1405"/>
      <c r="AP106" s="1405"/>
      <c r="AQ106" s="1405"/>
      <c r="AR106" s="1405"/>
    </row>
    <row r="107" spans="6:44" ht="15" customHeight="1">
      <c r="F107" s="1845"/>
      <c r="G107" s="1845"/>
      <c r="H107" s="1845"/>
      <c r="I107" s="1845"/>
      <c r="L107" s="1502"/>
      <c r="AB107" s="1405"/>
      <c r="AC107" s="1405"/>
      <c r="AD107" s="1405"/>
      <c r="AE107" s="1405"/>
      <c r="AF107" s="1405"/>
      <c r="AG107" s="1405"/>
      <c r="AH107" s="1405"/>
      <c r="AI107" s="1405"/>
      <c r="AJ107" s="1405"/>
      <c r="AK107" s="1405"/>
      <c r="AL107" s="1405"/>
      <c r="AM107" s="1405"/>
      <c r="AN107" s="1405"/>
      <c r="AO107" s="1405"/>
      <c r="AP107" s="1405"/>
      <c r="AQ107" s="1405"/>
      <c r="AR107" s="1405"/>
    </row>
    <row r="108" spans="6:44" ht="15" customHeight="1">
      <c r="F108" s="1845"/>
      <c r="G108" s="1845"/>
      <c r="H108" s="1845"/>
      <c r="I108" s="1845"/>
      <c r="L108" s="1502"/>
      <c r="AB108" s="1405"/>
      <c r="AC108" s="1405"/>
      <c r="AD108" s="1405"/>
      <c r="AE108" s="1405"/>
      <c r="AF108" s="1405"/>
      <c r="AG108" s="1405"/>
      <c r="AH108" s="1405"/>
      <c r="AI108" s="1405"/>
      <c r="AJ108" s="1405"/>
      <c r="AK108" s="1405"/>
      <c r="AL108" s="1405"/>
      <c r="AM108" s="1405"/>
      <c r="AN108" s="1405"/>
      <c r="AO108" s="1405"/>
      <c r="AP108" s="1405"/>
      <c r="AQ108" s="1405"/>
      <c r="AR108" s="1405"/>
    </row>
    <row r="109" spans="6:44" ht="15" customHeight="1">
      <c r="F109" s="1845"/>
      <c r="G109" s="1845"/>
      <c r="H109" s="1845"/>
      <c r="I109" s="1845"/>
      <c r="L109" s="1502"/>
    </row>
    <row r="110" spans="6:44" ht="15" customHeight="1">
      <c r="F110" s="1845"/>
      <c r="G110" s="1845"/>
      <c r="H110" s="1845"/>
      <c r="I110" s="1845"/>
      <c r="L110" s="1502"/>
    </row>
    <row r="111" spans="6:44" ht="15" customHeight="1">
      <c r="F111" s="1845"/>
      <c r="G111" s="1845"/>
      <c r="H111" s="1845"/>
      <c r="I111" s="1845"/>
      <c r="L111" s="1502"/>
    </row>
    <row r="112" spans="6:44" ht="15" customHeight="1">
      <c r="F112" s="1845"/>
      <c r="G112" s="1845"/>
      <c r="H112" s="1845"/>
      <c r="I112" s="1845"/>
      <c r="L112" s="1502"/>
    </row>
    <row r="113" spans="6:12" ht="15" customHeight="1">
      <c r="F113" s="1845"/>
      <c r="G113" s="1845"/>
      <c r="H113" s="1845"/>
      <c r="I113" s="1845"/>
      <c r="L113" s="1502"/>
    </row>
    <row r="114" spans="6:12" ht="15" customHeight="1">
      <c r="F114" s="1845"/>
      <c r="G114" s="1845"/>
      <c r="H114" s="1845"/>
      <c r="I114" s="1845"/>
      <c r="L114" s="1502"/>
    </row>
    <row r="115" spans="6:12" ht="15" customHeight="1">
      <c r="F115" s="1845"/>
      <c r="G115" s="1845"/>
      <c r="H115" s="1845"/>
      <c r="I115" s="1845"/>
      <c r="L115" s="1502"/>
    </row>
    <row r="116" spans="6:12" ht="15" customHeight="1">
      <c r="F116" s="1920"/>
      <c r="I116" s="1920"/>
    </row>
  </sheetData>
  <mergeCells count="16">
    <mergeCell ref="A1:L1"/>
    <mergeCell ref="A2:L2"/>
    <mergeCell ref="A3:L3"/>
    <mergeCell ref="E8:L8"/>
    <mergeCell ref="A59:L59"/>
    <mergeCell ref="E6:G6"/>
    <mergeCell ref="A60:L60"/>
    <mergeCell ref="AJ7:AM7"/>
    <mergeCell ref="AF4:AH4"/>
    <mergeCell ref="AJ4:AL4"/>
    <mergeCell ref="AF6:AH6"/>
    <mergeCell ref="AJ6:AL6"/>
    <mergeCell ref="AF7:AI7"/>
    <mergeCell ref="I6:L6"/>
    <mergeCell ref="T7:U7"/>
    <mergeCell ref="V7:W7"/>
  </mergeCells>
  <pageMargins left="0.65" right="0.25" top="0.75" bottom="0" header="0.25" footer="0"/>
  <pageSetup paperSize="9" scale="74" firstPageNumber="4" fitToHeight="0" orientation="portrait" useFirstPageNumber="1" horizontalDpi="96" verticalDpi="4294967295" r:id="rId1"/>
  <headerFooter>
    <oddHeader>&amp;C&amp;"Arial Black,Regular"&amp;11&amp;P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61"/>
  <sheetViews>
    <sheetView view="pageBreakPreview" topLeftCell="A22" zoomScaleNormal="100" zoomScaleSheetLayoutView="100" workbookViewId="0">
      <selection activeCell="T37" sqref="T37"/>
    </sheetView>
  </sheetViews>
  <sheetFormatPr defaultColWidth="9" defaultRowHeight="13.8"/>
  <cols>
    <col min="1" max="1" width="5.09765625" style="1402" customWidth="1"/>
    <col min="2" max="2" width="3.59765625" style="1402" customWidth="1"/>
    <col min="3" max="3" width="27.5" style="1402" customWidth="1"/>
    <col min="4" max="6" width="7.59765625" style="1402" customWidth="1"/>
    <col min="7" max="7" width="6.59765625" style="1402" customWidth="1"/>
    <col min="8" max="8" width="13.59765625" style="1402" customWidth="1"/>
    <col min="9" max="9" width="1" style="1402" customWidth="1"/>
    <col min="10" max="10" width="13.59765625" style="1402" customWidth="1"/>
    <col min="11" max="11" width="1.09765625" style="1402" hidden="1" customWidth="1"/>
    <col min="12" max="12" width="8.5" style="1402" hidden="1" customWidth="1"/>
    <col min="13" max="13" width="1" style="1402" hidden="1" customWidth="1"/>
    <col min="14" max="14" width="10.59765625" style="1489" hidden="1" customWidth="1"/>
    <col min="15" max="15" width="11.59765625" style="1402" hidden="1" customWidth="1"/>
    <col min="16" max="16" width="10.59765625" style="1402" hidden="1" customWidth="1"/>
    <col min="17" max="17" width="11" style="1402" hidden="1" customWidth="1"/>
    <col min="18" max="18" width="11.59765625" style="1402" hidden="1" customWidth="1"/>
    <col min="19" max="19" width="9.09765625" style="1402" hidden="1" customWidth="1"/>
    <col min="20" max="20" width="18.59765625" style="1402" bestFit="1" customWidth="1"/>
    <col min="21" max="21" width="10.5" style="1402" bestFit="1" customWidth="1"/>
    <col min="22" max="23" width="9" style="1402"/>
    <col min="24" max="24" width="9.8984375" style="1402" bestFit="1" customWidth="1"/>
    <col min="25" max="16384" width="9" style="1402"/>
  </cols>
  <sheetData>
    <row r="1" spans="1:17" ht="18.75" customHeight="1">
      <c r="A1" s="2326" t="str">
        <f>OCI!A1</f>
        <v>MCB PAKISTAN STOCK MARKET FUND</v>
      </c>
      <c r="B1" s="2326"/>
      <c r="C1" s="2326"/>
      <c r="D1" s="2326"/>
      <c r="E1" s="2326"/>
      <c r="F1" s="2326"/>
      <c r="G1" s="2326"/>
      <c r="H1" s="2326"/>
      <c r="I1" s="2326"/>
      <c r="J1" s="2326"/>
      <c r="K1" s="1401"/>
      <c r="L1" s="1401"/>
      <c r="O1" s="1401"/>
    </row>
    <row r="2" spans="1:17" ht="18.75" customHeight="1">
      <c r="A2" s="2326" t="s">
        <v>627</v>
      </c>
      <c r="B2" s="2326"/>
      <c r="C2" s="2326"/>
      <c r="D2" s="2326"/>
      <c r="E2" s="2326"/>
      <c r="F2" s="2326"/>
      <c r="G2" s="2326"/>
      <c r="H2" s="2326"/>
      <c r="I2" s="2326"/>
      <c r="J2" s="2326"/>
      <c r="K2" s="1401"/>
      <c r="L2" s="1401"/>
      <c r="O2" s="1401"/>
    </row>
    <row r="3" spans="1:17" ht="18.75" customHeight="1">
      <c r="A3" s="2326" t="s">
        <v>2798</v>
      </c>
      <c r="B3" s="2326"/>
      <c r="C3" s="2326"/>
      <c r="D3" s="2326"/>
      <c r="E3" s="2326"/>
      <c r="F3" s="2326"/>
      <c r="G3" s="2326"/>
      <c r="H3" s="2326"/>
      <c r="I3" s="2326"/>
      <c r="J3" s="2326"/>
      <c r="K3" s="1401"/>
      <c r="L3" s="1401"/>
      <c r="O3" s="1401"/>
    </row>
    <row r="4" spans="1:17" ht="15" customHeight="1">
      <c r="A4" s="1401"/>
      <c r="B4" s="1401"/>
      <c r="C4" s="1401"/>
      <c r="D4" s="1401"/>
      <c r="E4" s="1401"/>
      <c r="F4" s="1401"/>
      <c r="G4" s="1401"/>
      <c r="H4" s="1401"/>
      <c r="I4" s="1401"/>
      <c r="J4" s="1401"/>
      <c r="K4" s="1401"/>
      <c r="L4" s="1401"/>
      <c r="O4" s="1401"/>
    </row>
    <row r="5" spans="1:17" ht="15" customHeight="1">
      <c r="A5" s="1401"/>
      <c r="B5" s="1401"/>
      <c r="C5" s="1401"/>
      <c r="D5" s="1401"/>
      <c r="E5" s="1401"/>
      <c r="F5" s="1401"/>
      <c r="G5" s="1401"/>
      <c r="H5" s="2346" t="s">
        <v>2680</v>
      </c>
      <c r="I5" s="2346"/>
      <c r="J5" s="2346"/>
      <c r="K5" s="2144"/>
      <c r="L5" s="2337" t="s">
        <v>706</v>
      </c>
      <c r="M5" s="2337"/>
      <c r="O5" s="2144"/>
    </row>
    <row r="6" spans="1:17" ht="15" customHeight="1">
      <c r="A6" s="1401"/>
      <c r="B6" s="1401"/>
      <c r="C6" s="1401"/>
      <c r="D6" s="1401"/>
      <c r="E6" s="1401"/>
      <c r="F6" s="1401"/>
      <c r="G6" s="1401"/>
      <c r="H6" s="2329" t="s">
        <v>2676</v>
      </c>
      <c r="I6" s="2329"/>
      <c r="J6" s="2329"/>
      <c r="K6" s="2143"/>
      <c r="L6" s="2329" t="s">
        <v>624</v>
      </c>
      <c r="M6" s="2329"/>
      <c r="O6" s="2144" t="s">
        <v>626</v>
      </c>
    </row>
    <row r="7" spans="1:17" ht="15" customHeight="1">
      <c r="A7" s="1401"/>
      <c r="B7" s="1401"/>
      <c r="C7" s="1401"/>
      <c r="D7" s="1401"/>
      <c r="E7" s="1401"/>
      <c r="F7" s="1401"/>
      <c r="G7" s="1401"/>
      <c r="H7" s="2143" t="s">
        <v>2795</v>
      </c>
      <c r="I7" s="2143"/>
      <c r="J7" s="2143" t="s">
        <v>2678</v>
      </c>
      <c r="K7" s="2143"/>
      <c r="L7" s="2143" t="s">
        <v>1153</v>
      </c>
      <c r="M7" s="2143"/>
      <c r="O7" s="2144" t="s">
        <v>990</v>
      </c>
    </row>
    <row r="8" spans="1:17" ht="15" customHeight="1">
      <c r="A8" s="1401"/>
      <c r="B8" s="1401"/>
      <c r="C8" s="1401"/>
      <c r="D8" s="1401"/>
      <c r="E8" s="1401"/>
      <c r="F8" s="1401"/>
      <c r="G8" s="1474" t="s">
        <v>51</v>
      </c>
      <c r="H8" s="2320" t="s">
        <v>2480</v>
      </c>
      <c r="I8" s="2320"/>
      <c r="J8" s="2320"/>
      <c r="K8" s="2152"/>
      <c r="L8" s="2152"/>
      <c r="M8" s="2152"/>
      <c r="O8" s="2144"/>
    </row>
    <row r="9" spans="1:17" ht="15" customHeight="1">
      <c r="A9" s="1401" t="s">
        <v>597</v>
      </c>
      <c r="B9" s="1401"/>
      <c r="C9" s="1401"/>
      <c r="D9" s="1401"/>
      <c r="E9" s="1401"/>
      <c r="F9" s="1401"/>
      <c r="G9" s="1401"/>
    </row>
    <row r="10" spans="1:17" ht="15" customHeight="1">
      <c r="A10" s="1402" t="s">
        <v>2660</v>
      </c>
      <c r="H10" s="1867">
        <f>+ROUND(IS!F43,0)</f>
        <v>-565080</v>
      </c>
      <c r="I10" s="1489"/>
      <c r="J10" s="1489">
        <v>2594535</v>
      </c>
      <c r="K10" s="1489"/>
      <c r="L10" s="1489">
        <v>-251895.39799999993</v>
      </c>
      <c r="N10" s="1489">
        <v>-731258.75</v>
      </c>
      <c r="O10" s="1489">
        <v>410392</v>
      </c>
    </row>
    <row r="11" spans="1:17" ht="15" customHeight="1">
      <c r="H11" s="1867"/>
      <c r="I11" s="1489"/>
      <c r="J11" s="1489"/>
      <c r="K11" s="1489"/>
      <c r="L11" s="1489"/>
      <c r="O11" s="1489"/>
    </row>
    <row r="12" spans="1:17" ht="15" customHeight="1">
      <c r="A12" s="1401" t="s">
        <v>2496</v>
      </c>
      <c r="B12" s="1401"/>
      <c r="C12" s="1401"/>
      <c r="D12" s="1401"/>
      <c r="E12" s="1401"/>
      <c r="F12" s="1401"/>
      <c r="G12" s="1401"/>
      <c r="H12" s="1867"/>
      <c r="I12" s="1489"/>
      <c r="J12" s="1489"/>
      <c r="K12" s="1489"/>
      <c r="L12" s="1489"/>
      <c r="O12" s="1489"/>
    </row>
    <row r="13" spans="1:17" ht="15" customHeight="1">
      <c r="A13" s="1452" t="s">
        <v>2778</v>
      </c>
      <c r="B13" s="1452"/>
      <c r="C13" s="1452"/>
      <c r="D13" s="1452"/>
      <c r="E13" s="1452"/>
      <c r="F13" s="1452"/>
      <c r="G13" s="1452"/>
      <c r="H13" s="1868"/>
      <c r="I13" s="1433"/>
      <c r="J13" s="1433"/>
      <c r="K13" s="1433"/>
      <c r="L13" s="1433"/>
      <c r="O13" s="1433"/>
    </row>
    <row r="14" spans="1:17" ht="15" customHeight="1">
      <c r="A14" s="1485" t="s">
        <v>2597</v>
      </c>
      <c r="B14" s="1452"/>
      <c r="C14" s="1452"/>
      <c r="D14" s="1452"/>
      <c r="E14" s="1452"/>
      <c r="F14" s="1452"/>
      <c r="G14" s="1452"/>
      <c r="H14" s="1868">
        <f>-ROUND(IS!F16,0)</f>
        <v>319539</v>
      </c>
      <c r="I14" s="1433"/>
      <c r="J14" s="1433">
        <v>-619535</v>
      </c>
      <c r="K14" s="1433"/>
      <c r="L14" s="1489">
        <v>-62590</v>
      </c>
      <c r="N14" s="1489">
        <v>435683</v>
      </c>
      <c r="O14" s="1433">
        <v>2178.25</v>
      </c>
    </row>
    <row r="15" spans="1:17" ht="15" hidden="1" customHeight="1">
      <c r="A15" s="1452" t="s">
        <v>2487</v>
      </c>
      <c r="B15" s="1452"/>
      <c r="C15" s="1452"/>
      <c r="D15" s="1452"/>
      <c r="E15" s="1452"/>
      <c r="F15" s="1452"/>
      <c r="G15" s="1452"/>
      <c r="H15" s="1868">
        <f>IS!F36</f>
        <v>0</v>
      </c>
      <c r="I15" s="1433"/>
      <c r="J15" s="1433">
        <v>0</v>
      </c>
      <c r="K15" s="1433"/>
      <c r="L15" s="1433">
        <v>-75069</v>
      </c>
      <c r="O15" s="1433"/>
      <c r="Q15" s="1433">
        <v>-8425.75</v>
      </c>
    </row>
    <row r="16" spans="1:17" ht="15" customHeight="1">
      <c r="A16" s="1452"/>
      <c r="B16" s="1452"/>
      <c r="C16" s="1452"/>
      <c r="D16" s="1452"/>
      <c r="E16" s="1452"/>
      <c r="F16" s="1452"/>
      <c r="G16" s="1452"/>
      <c r="H16" s="1869">
        <f>SUM(H10:H15)</f>
        <v>-245541</v>
      </c>
      <c r="I16" s="1433"/>
      <c r="J16" s="1870">
        <f>ROUND(SUM(J10:J15),0)</f>
        <v>1975000</v>
      </c>
      <c r="K16" s="1433"/>
      <c r="L16" s="1876">
        <f>SUM(L10:L14)+L15</f>
        <v>-389554.39799999993</v>
      </c>
      <c r="N16" s="1489">
        <f>N10+N14</f>
        <v>-295575.75</v>
      </c>
      <c r="O16" s="1876">
        <f>SUM(O10:O14)</f>
        <v>412570.25</v>
      </c>
      <c r="P16" s="1481">
        <f>H16-N16</f>
        <v>50034.75</v>
      </c>
      <c r="Q16" s="1433">
        <v>2100</v>
      </c>
    </row>
    <row r="17" spans="1:24" ht="15" customHeight="1">
      <c r="A17" s="1452"/>
      <c r="B17" s="1452"/>
      <c r="C17" s="1452"/>
      <c r="D17" s="1452"/>
      <c r="E17" s="1452"/>
      <c r="F17" s="1452"/>
      <c r="G17" s="1452"/>
      <c r="H17" s="1868"/>
      <c r="I17" s="1433"/>
      <c r="J17" s="1433"/>
      <c r="K17" s="1433"/>
      <c r="L17" s="1433"/>
      <c r="O17" s="1433"/>
      <c r="P17" s="1481"/>
      <c r="Q17" s="1433"/>
    </row>
    <row r="18" spans="1:24" ht="15" customHeight="1">
      <c r="A18" s="1528" t="s">
        <v>2669</v>
      </c>
      <c r="B18" s="1528"/>
      <c r="C18" s="1528"/>
      <c r="D18" s="1528"/>
      <c r="E18" s="1528"/>
      <c r="F18" s="1528"/>
      <c r="G18" s="1528"/>
      <c r="H18" s="1867"/>
      <c r="I18" s="1489"/>
      <c r="J18" s="1489"/>
      <c r="K18" s="1489"/>
      <c r="L18" s="1489"/>
      <c r="O18" s="1489"/>
    </row>
    <row r="19" spans="1:24" ht="15" customHeight="1">
      <c r="A19" s="1452" t="s">
        <v>1081</v>
      </c>
      <c r="B19" s="1452"/>
      <c r="C19" s="1452"/>
      <c r="D19" s="1452"/>
      <c r="E19" s="1452"/>
      <c r="F19" s="1452"/>
      <c r="G19" s="1452"/>
      <c r="H19" s="1871">
        <f>ROUND('CF Working'!$B$17,0)</f>
        <v>1462066</v>
      </c>
      <c r="I19" s="1433"/>
      <c r="J19" s="1872">
        <v>-2158349</v>
      </c>
      <c r="K19" s="1433"/>
      <c r="L19" s="1872">
        <v>-195992</v>
      </c>
      <c r="N19" s="1489">
        <v>345210</v>
      </c>
      <c r="O19" s="2153">
        <v>-821543.75</v>
      </c>
      <c r="Q19" s="1401" t="s">
        <v>112</v>
      </c>
      <c r="R19" s="1512">
        <f>H19-L19</f>
        <v>1658058</v>
      </c>
      <c r="X19" s="1481"/>
    </row>
    <row r="20" spans="1:24" ht="15" customHeight="1">
      <c r="A20" s="1452" t="s">
        <v>197</v>
      </c>
      <c r="B20" s="1452"/>
      <c r="C20" s="1452"/>
      <c r="D20" s="1452"/>
      <c r="E20" s="1452"/>
      <c r="F20" s="1452"/>
      <c r="G20" s="1452"/>
      <c r="H20" s="1623">
        <f>ROUND('CF Working'!$B$22,0)</f>
        <v>294841</v>
      </c>
      <c r="I20" s="1433"/>
      <c r="J20" s="1497">
        <v>-68462</v>
      </c>
      <c r="K20" s="1433"/>
      <c r="L20" s="1497">
        <v>-65160</v>
      </c>
      <c r="N20" s="1489">
        <v>49175</v>
      </c>
      <c r="O20" s="1497">
        <v>-157768.75</v>
      </c>
      <c r="Q20" s="2154">
        <f>BS!$H$12</f>
        <v>11903844</v>
      </c>
      <c r="U20" s="1481"/>
    </row>
    <row r="21" spans="1:24" ht="15" customHeight="1">
      <c r="A21" s="1452" t="s">
        <v>345</v>
      </c>
      <c r="B21" s="1452"/>
      <c r="C21" s="1452"/>
      <c r="D21" s="1452"/>
      <c r="E21" s="1452"/>
      <c r="F21" s="1452"/>
      <c r="G21" s="1452"/>
      <c r="H21" s="1623">
        <f>ROUND('CF Working'!$B$28,0)</f>
        <v>-56223</v>
      </c>
      <c r="I21" s="1433"/>
      <c r="J21" s="1497">
        <v>-79640</v>
      </c>
      <c r="K21" s="1433"/>
      <c r="L21" s="1497">
        <v>22561</v>
      </c>
      <c r="N21" s="1489">
        <v>-36819.25</v>
      </c>
      <c r="O21" s="1497">
        <v>-67040.75</v>
      </c>
      <c r="Q21" s="2154">
        <f>BS!$F$12</f>
        <v>10122239.016000001</v>
      </c>
    </row>
    <row r="22" spans="1:24" ht="15" customHeight="1">
      <c r="A22" s="1452" t="s">
        <v>2364</v>
      </c>
      <c r="B22" s="1452"/>
      <c r="C22" s="1452"/>
      <c r="D22" s="1452"/>
      <c r="E22" s="1452"/>
      <c r="F22" s="1452"/>
      <c r="G22" s="1452"/>
      <c r="H22" s="1623">
        <f>ROUND('CF Working'!$B$33,0)</f>
        <v>56809</v>
      </c>
      <c r="I22" s="1433"/>
      <c r="J22" s="1873">
        <v>-25860</v>
      </c>
      <c r="K22" s="1433"/>
      <c r="L22" s="1873">
        <v>4</v>
      </c>
      <c r="N22" s="1489">
        <v>-165.25</v>
      </c>
      <c r="O22" s="1497">
        <v>-142</v>
      </c>
      <c r="Q22" s="2154">
        <f>-IS!$F$16</f>
        <v>319538.68199999974</v>
      </c>
    </row>
    <row r="23" spans="1:24" ht="15" customHeight="1">
      <c r="A23" s="1452"/>
      <c r="B23" s="1452"/>
      <c r="C23" s="1452"/>
      <c r="D23" s="1452"/>
      <c r="E23" s="1452"/>
      <c r="F23" s="1452"/>
      <c r="G23" s="1452"/>
      <c r="H23" s="1869">
        <f>SUM(H19:H22)</f>
        <v>1757493</v>
      </c>
      <c r="I23" s="1433"/>
      <c r="J23" s="1433">
        <f>ROUND(SUM(J19:J22),0)</f>
        <v>-2332311</v>
      </c>
      <c r="K23" s="1433"/>
      <c r="L23" s="1433">
        <f>SUM(L19:L22)</f>
        <v>-238587</v>
      </c>
      <c r="N23" s="1489">
        <f>SUM(N19:N22)</f>
        <v>357400.5</v>
      </c>
      <c r="O23" s="1876">
        <f>SUM(O19:O22)</f>
        <v>-1046495.25</v>
      </c>
      <c r="P23" s="1481">
        <f>H23-N23</f>
        <v>1400092.5</v>
      </c>
      <c r="Q23" s="2154" t="e">
        <f>-IS!#REF!</f>
        <v>#REF!</v>
      </c>
      <c r="R23" s="1481"/>
    </row>
    <row r="24" spans="1:24" ht="15" customHeight="1">
      <c r="A24" s="1528" t="s">
        <v>2779</v>
      </c>
      <c r="B24" s="1528"/>
      <c r="C24" s="1528"/>
      <c r="D24" s="1528"/>
      <c r="E24" s="1528"/>
      <c r="F24" s="1528"/>
      <c r="G24" s="1528"/>
      <c r="H24" s="1867"/>
      <c r="I24" s="1489"/>
      <c r="J24" s="1489"/>
      <c r="K24" s="1489"/>
      <c r="L24" s="1489"/>
      <c r="M24" s="1528"/>
      <c r="O24" s="1489"/>
    </row>
    <row r="25" spans="1:24" ht="15" hidden="1" customHeight="1">
      <c r="A25" s="1452"/>
      <c r="B25" s="1529"/>
      <c r="C25" s="1452"/>
      <c r="D25" s="1452"/>
      <c r="E25" s="1452"/>
      <c r="F25" s="1452"/>
      <c r="G25" s="1452"/>
      <c r="H25" s="1505"/>
      <c r="I25" s="1433"/>
      <c r="J25" s="1495"/>
      <c r="K25" s="1433"/>
      <c r="L25" s="1497">
        <v>0</v>
      </c>
      <c r="M25" s="1452"/>
      <c r="N25" s="1489">
        <v>7453.75</v>
      </c>
      <c r="O25" s="2153">
        <v>652</v>
      </c>
    </row>
    <row r="26" spans="1:24" ht="15" customHeight="1">
      <c r="A26" s="1452" t="s">
        <v>2595</v>
      </c>
      <c r="B26" s="1529"/>
      <c r="C26" s="1452"/>
      <c r="D26" s="1452"/>
      <c r="E26" s="1452"/>
      <c r="F26" s="1452"/>
      <c r="G26" s="1452"/>
      <c r="H26" s="1505">
        <f>ROUND('CF Working'!$B$38,0)</f>
        <v>-7463</v>
      </c>
      <c r="I26" s="1433"/>
      <c r="J26" s="1495">
        <v>16427</v>
      </c>
      <c r="K26" s="1433"/>
      <c r="L26" s="1497"/>
      <c r="M26" s="1452"/>
      <c r="O26" s="1497"/>
    </row>
    <row r="27" spans="1:24" ht="15" hidden="1" customHeight="1">
      <c r="A27" s="1452"/>
      <c r="B27" s="1529"/>
      <c r="C27" s="1452"/>
      <c r="D27" s="1452"/>
      <c r="E27" s="1452"/>
      <c r="F27" s="1452"/>
      <c r="G27" s="1452"/>
      <c r="H27" s="1623"/>
      <c r="I27" s="1433"/>
      <c r="J27" s="1497"/>
      <c r="K27" s="1433"/>
      <c r="L27" s="1497"/>
      <c r="M27" s="1452"/>
      <c r="O27" s="1497"/>
    </row>
    <row r="28" spans="1:24" ht="15" customHeight="1">
      <c r="A28" s="1452" t="s">
        <v>2596</v>
      </c>
      <c r="B28" s="1425"/>
      <c r="C28" s="1452"/>
      <c r="D28" s="1452"/>
      <c r="E28" s="1452"/>
      <c r="F28" s="1452"/>
      <c r="G28" s="1452"/>
      <c r="H28" s="1623">
        <f>ROUND('CF Working'!$B$43,0)</f>
        <v>-173</v>
      </c>
      <c r="I28" s="1433"/>
      <c r="J28" s="1497">
        <v>324</v>
      </c>
      <c r="K28" s="1433"/>
      <c r="L28" s="1497">
        <v>-24</v>
      </c>
      <c r="M28" s="1452"/>
      <c r="N28" s="1489">
        <v>-168.25</v>
      </c>
      <c r="O28" s="1497">
        <v>79</v>
      </c>
    </row>
    <row r="29" spans="1:24" ht="15" customHeight="1">
      <c r="A29" s="1452" t="s">
        <v>114</v>
      </c>
      <c r="C29" s="1452"/>
      <c r="D29" s="1452"/>
      <c r="E29" s="1452"/>
      <c r="F29" s="1452"/>
      <c r="G29" s="1452"/>
      <c r="H29" s="1623">
        <f>ROUND('CF Working'!$B$48,0)</f>
        <v>-535</v>
      </c>
      <c r="I29" s="1433"/>
      <c r="J29" s="1497">
        <v>-75</v>
      </c>
      <c r="K29" s="1433"/>
      <c r="L29" s="1497">
        <v>2301</v>
      </c>
      <c r="M29" s="1452"/>
      <c r="N29" s="1489">
        <v>-7472.25</v>
      </c>
      <c r="O29" s="1497">
        <v>-4660</v>
      </c>
    </row>
    <row r="30" spans="1:24" ht="15" customHeight="1">
      <c r="A30" s="1452" t="s">
        <v>989</v>
      </c>
      <c r="C30" s="1452"/>
      <c r="D30" s="1452"/>
      <c r="E30" s="1452"/>
      <c r="F30" s="1452"/>
      <c r="G30" s="1452"/>
      <c r="H30" s="1623">
        <f>ROUND('CF Working'!$B$53,0)</f>
        <v>93756</v>
      </c>
      <c r="I30" s="1433"/>
      <c r="J30" s="1497">
        <v>-91477</v>
      </c>
      <c r="K30" s="1433"/>
      <c r="L30" s="1497">
        <v>75829</v>
      </c>
      <c r="M30" s="1452"/>
      <c r="N30" s="1489">
        <v>-335299</v>
      </c>
      <c r="O30" s="1497">
        <v>183854.75</v>
      </c>
    </row>
    <row r="31" spans="1:24" ht="15" customHeight="1">
      <c r="A31" s="1452" t="s">
        <v>55</v>
      </c>
      <c r="C31" s="1452"/>
      <c r="D31" s="1452"/>
      <c r="E31" s="1452"/>
      <c r="F31" s="1452"/>
      <c r="G31" s="1452"/>
      <c r="H31" s="1623">
        <f>ROUND('CF Working'!$B$63,0)</f>
        <v>-122753</v>
      </c>
      <c r="I31" s="1433"/>
      <c r="J31" s="1497">
        <v>53268</v>
      </c>
      <c r="K31" s="1433"/>
      <c r="L31" s="1873">
        <v>-1797</v>
      </c>
      <c r="M31" s="1452"/>
      <c r="N31" s="1489">
        <v>-17581.5</v>
      </c>
      <c r="O31" s="1501">
        <v>3245</v>
      </c>
    </row>
    <row r="32" spans="1:24" ht="14.25" customHeight="1">
      <c r="A32" s="1452" t="s">
        <v>154</v>
      </c>
      <c r="C32" s="1452"/>
      <c r="D32" s="1452"/>
      <c r="E32" s="1452"/>
      <c r="F32" s="1452"/>
      <c r="G32" s="1452"/>
      <c r="H32" s="1506">
        <f>'CF Working'!B58</f>
        <v>-68754</v>
      </c>
      <c r="I32" s="1433"/>
      <c r="J32" s="1501">
        <v>0</v>
      </c>
      <c r="K32" s="1433"/>
      <c r="L32" s="1433"/>
      <c r="M32" s="1452"/>
      <c r="O32" s="1433"/>
    </row>
    <row r="33" spans="1:22" ht="15" customHeight="1">
      <c r="C33" s="1452"/>
      <c r="D33" s="1452"/>
      <c r="E33" s="1452"/>
      <c r="F33" s="1452"/>
      <c r="G33" s="1452"/>
      <c r="H33" s="1868">
        <f>SUM(H26:H32)</f>
        <v>-105922</v>
      </c>
      <c r="I33" s="1433"/>
      <c r="J33" s="1433">
        <f>ROUND(SUM(J26:J32),0)</f>
        <v>-21533</v>
      </c>
      <c r="K33" s="1433"/>
      <c r="L33" s="1433">
        <f>SUM(L25:L31)</f>
        <v>76309</v>
      </c>
      <c r="M33" s="1452"/>
      <c r="N33" s="1433">
        <f>SUM(N25:N31)</f>
        <v>-353067.25</v>
      </c>
      <c r="O33" s="1433">
        <f>SUM(O25:O31)</f>
        <v>183170.75</v>
      </c>
    </row>
    <row r="34" spans="1:22" ht="15" customHeight="1">
      <c r="B34" s="1452"/>
      <c r="C34" s="1452"/>
      <c r="D34" s="1452"/>
      <c r="E34" s="1452"/>
      <c r="F34" s="1452"/>
      <c r="G34" s="1452"/>
      <c r="H34" s="1875"/>
      <c r="I34" s="1489"/>
      <c r="J34" s="1489"/>
      <c r="K34" s="1489"/>
      <c r="L34" s="1489"/>
      <c r="M34" s="1481"/>
      <c r="O34" s="1489"/>
    </row>
    <row r="35" spans="1:22" ht="15" customHeight="1">
      <c r="A35" s="1401" t="s">
        <v>2908</v>
      </c>
      <c r="B35" s="1401"/>
      <c r="C35" s="1401"/>
      <c r="D35" s="1401"/>
      <c r="E35" s="1401"/>
      <c r="F35" s="1401"/>
      <c r="G35" s="1401"/>
      <c r="H35" s="1869">
        <f>H33+H23+H16</f>
        <v>1406030</v>
      </c>
      <c r="I35" s="1433"/>
      <c r="J35" s="1876">
        <f>ROUND(J33+J23+J16,0)</f>
        <v>-378844</v>
      </c>
      <c r="K35" s="1433"/>
      <c r="L35" s="1876">
        <f>L33+L23+L16</f>
        <v>-551832.39799999993</v>
      </c>
      <c r="N35" s="1876">
        <f>N33+N23+N16</f>
        <v>-291242.5</v>
      </c>
      <c r="O35" s="1876">
        <f>O33+O23+O16</f>
        <v>-450754.25</v>
      </c>
    </row>
    <row r="36" spans="1:22" ht="15" customHeight="1">
      <c r="H36" s="1867"/>
      <c r="I36" s="1489"/>
      <c r="J36" s="1489"/>
      <c r="K36" s="1489"/>
      <c r="L36" s="1489"/>
      <c r="O36" s="1489"/>
    </row>
    <row r="37" spans="1:22" ht="15" customHeight="1">
      <c r="A37" s="1401" t="s">
        <v>598</v>
      </c>
      <c r="B37" s="1401"/>
      <c r="C37" s="1401"/>
      <c r="D37" s="1401"/>
      <c r="E37" s="1401"/>
      <c r="F37" s="1401"/>
      <c r="G37" s="1401"/>
      <c r="H37" s="1867"/>
      <c r="I37" s="1489"/>
      <c r="J37" s="1489"/>
      <c r="K37" s="1489"/>
      <c r="L37" s="1489"/>
      <c r="O37" s="1489"/>
      <c r="P37" s="1402" t="s">
        <v>2437</v>
      </c>
      <c r="Q37" s="1873">
        <f>'CF Working'!$B$58</f>
        <v>-68754</v>
      </c>
      <c r="R37" s="1433"/>
      <c r="S37" s="1873">
        <v>90073</v>
      </c>
      <c r="V37" s="1481"/>
    </row>
    <row r="38" spans="1:22" ht="15" customHeight="1">
      <c r="A38" s="1402" t="s">
        <v>2494</v>
      </c>
      <c r="H38" s="2115">
        <f>UHF.!G16</f>
        <v>3855360.49</v>
      </c>
      <c r="I38" s="1433"/>
      <c r="J38" s="1872">
        <f>ROUND(UHF.!L16,0)</f>
        <v>8250307</v>
      </c>
      <c r="K38" s="1433"/>
      <c r="L38" s="1872">
        <v>1457503</v>
      </c>
      <c r="N38" s="1489">
        <v>2250286.5</v>
      </c>
      <c r="O38" s="1872">
        <v>1323089</v>
      </c>
    </row>
    <row r="39" spans="1:22" ht="15" customHeight="1">
      <c r="A39" s="1402" t="s">
        <v>2495</v>
      </c>
      <c r="H39" s="1506">
        <f>UHF.!G22</f>
        <v>-5003786.5</v>
      </c>
      <c r="I39" s="1433"/>
      <c r="J39" s="1873">
        <f>ROUND(UHF.!L22,0)</f>
        <v>-8126333</v>
      </c>
      <c r="K39" s="1433"/>
      <c r="L39" s="1873">
        <v>-982208</v>
      </c>
      <c r="N39" s="1489">
        <v>-3057824.25</v>
      </c>
      <c r="O39" s="1501">
        <v>-1199666</v>
      </c>
      <c r="P39" s="1507">
        <f>-(BS!H25+UHF.!G22-BS!F25)</f>
        <v>4935032.5</v>
      </c>
      <c r="Q39" s="1507"/>
    </row>
    <row r="40" spans="1:22" ht="15" customHeight="1">
      <c r="A40" s="1401" t="s">
        <v>2662</v>
      </c>
      <c r="B40" s="1401"/>
      <c r="C40" s="1401"/>
      <c r="D40" s="1401"/>
      <c r="E40" s="1401"/>
      <c r="F40" s="1401"/>
      <c r="G40" s="1401"/>
      <c r="H40" s="1867">
        <f>SUM(H38:H39)</f>
        <v>-1148426.0099999998</v>
      </c>
      <c r="I40" s="1489"/>
      <c r="J40" s="1489">
        <f>ROUND(SUM(J38:J39),0)</f>
        <v>123974</v>
      </c>
      <c r="K40" s="1489"/>
      <c r="L40" s="1489">
        <f>SUM(L38:L39)</f>
        <v>475295</v>
      </c>
      <c r="N40" s="1489">
        <f>SUM(N38:N39)</f>
        <v>-807537.75</v>
      </c>
      <c r="O40" s="1489">
        <f>SUM(O38:O39)</f>
        <v>123423</v>
      </c>
      <c r="P40" s="1507">
        <f>H39-P39</f>
        <v>-9938819</v>
      </c>
      <c r="Q40" s="1507"/>
      <c r="T40" s="1481"/>
    </row>
    <row r="41" spans="1:22" ht="15" customHeight="1">
      <c r="A41" s="1401"/>
      <c r="B41" s="1401"/>
      <c r="C41" s="1401"/>
      <c r="D41" s="1401"/>
      <c r="E41" s="1401"/>
      <c r="F41" s="1401"/>
      <c r="G41" s="1401"/>
      <c r="H41" s="1867"/>
      <c r="I41" s="1489"/>
      <c r="J41" s="1489"/>
      <c r="K41" s="1489"/>
      <c r="L41" s="1489"/>
      <c r="O41" s="1489"/>
      <c r="P41" s="1481" t="e">
        <f>H39+#REF!</f>
        <v>#REF!</v>
      </c>
      <c r="Q41" s="1481" t="e">
        <f>J39+#REF!</f>
        <v>#REF!</v>
      </c>
    </row>
    <row r="42" spans="1:22" ht="15" customHeight="1">
      <c r="A42" s="1401" t="s">
        <v>2781</v>
      </c>
      <c r="B42" s="1401"/>
      <c r="C42" s="1401"/>
      <c r="D42" s="1401"/>
      <c r="E42" s="1401"/>
      <c r="F42" s="1401"/>
      <c r="G42" s="1401"/>
      <c r="H42" s="2052">
        <f>H35+H40</f>
        <v>257603.99000000022</v>
      </c>
      <c r="J42" s="2052">
        <f>J35+J40</f>
        <v>-254870</v>
      </c>
      <c r="K42" s="1433"/>
      <c r="L42" s="1876">
        <f>L35+L40</f>
        <v>-76537.397999999928</v>
      </c>
      <c r="N42" s="1876">
        <f>N35+N40</f>
        <v>-1098780.25</v>
      </c>
      <c r="O42" s="1876">
        <f>O40+O35</f>
        <v>-327331.25</v>
      </c>
      <c r="T42" s="1481"/>
    </row>
    <row r="43" spans="1:22" ht="15" customHeight="1">
      <c r="A43" s="1944"/>
      <c r="B43" s="1401"/>
      <c r="C43" s="1401"/>
      <c r="D43" s="1401"/>
      <c r="E43" s="1401"/>
      <c r="F43" s="1401"/>
      <c r="G43" s="1401"/>
      <c r="H43" s="1868"/>
      <c r="I43" s="1433"/>
      <c r="J43" s="1433"/>
      <c r="K43" s="1433"/>
      <c r="L43" s="1433"/>
      <c r="N43" s="1433"/>
      <c r="O43" s="1433"/>
    </row>
    <row r="44" spans="1:22" ht="15" customHeight="1">
      <c r="A44" s="1402" t="s">
        <v>298</v>
      </c>
      <c r="B44" s="1401"/>
      <c r="C44" s="1401"/>
      <c r="D44" s="1401"/>
      <c r="E44" s="1401"/>
      <c r="F44" s="1401"/>
      <c r="G44" s="1401"/>
      <c r="H44" s="1867">
        <f>BS!H11</f>
        <v>265332</v>
      </c>
      <c r="I44" s="1489"/>
      <c r="J44" s="1489">
        <v>351866</v>
      </c>
      <c r="K44" s="1489"/>
      <c r="L44" s="1489">
        <v>1129356.75</v>
      </c>
      <c r="O44" s="1489">
        <v>711745.25</v>
      </c>
      <c r="P44" s="1481"/>
      <c r="R44" s="1481"/>
    </row>
    <row r="45" spans="1:22" ht="15" customHeight="1" thickBot="1">
      <c r="A45" s="1401" t="s">
        <v>299</v>
      </c>
      <c r="B45" s="1401"/>
      <c r="C45" s="1401"/>
      <c r="D45" s="1401"/>
      <c r="E45" s="1401"/>
      <c r="F45" s="1401"/>
      <c r="G45" s="1575"/>
      <c r="H45" s="2051">
        <f>H42+H44</f>
        <v>522935.99000000022</v>
      </c>
      <c r="I45" s="1433"/>
      <c r="J45" s="1511">
        <f>J42+J44</f>
        <v>96996</v>
      </c>
      <c r="K45" s="1433"/>
      <c r="L45" s="1511">
        <f>ROUNDDOWN(L42+L44,0)</f>
        <v>1052819</v>
      </c>
      <c r="M45" s="1481"/>
      <c r="O45" s="1511">
        <f>O42+O44</f>
        <v>384414</v>
      </c>
      <c r="Q45" s="1502">
        <v>1301989</v>
      </c>
      <c r="T45" s="2317">
        <f>+H45-BS!F11</f>
        <v>-9.9999997764825821E-3</v>
      </c>
    </row>
    <row r="46" spans="1:22" ht="15" customHeight="1" thickTop="1">
      <c r="H46" s="1401"/>
      <c r="Q46" s="1512">
        <f>Q45-H45</f>
        <v>779053.00999999978</v>
      </c>
      <c r="R46" s="1481"/>
    </row>
    <row r="47" spans="1:22" ht="15" customHeight="1">
      <c r="H47" s="1434"/>
      <c r="J47" s="1481"/>
      <c r="M47" s="2155"/>
      <c r="O47" s="1481">
        <f>H45-BS!F11</f>
        <v>-9.9999997764825821E-3</v>
      </c>
    </row>
    <row r="48" spans="1:22" ht="15" customHeight="1">
      <c r="A48" s="1452" t="str">
        <f>BS!$A$43</f>
        <v>The annexed notes 1 to 15 form an integral part of these interim financial statements.</v>
      </c>
      <c r="H48" s="1631"/>
      <c r="J48" s="1481"/>
      <c r="K48" s="1405"/>
      <c r="L48" s="1405"/>
      <c r="M48" s="1405"/>
      <c r="N48" s="1433"/>
      <c r="O48" s="1405"/>
      <c r="P48" s="1405"/>
      <c r="Q48" s="1405"/>
      <c r="R48" s="1405"/>
    </row>
    <row r="49" spans="1:18" ht="15" customHeight="1">
      <c r="A49" s="1452"/>
      <c r="H49" s="1631"/>
      <c r="J49" s="1481"/>
      <c r="K49" s="1405"/>
      <c r="L49" s="1405"/>
      <c r="M49" s="1405"/>
      <c r="N49" s="1433"/>
      <c r="O49" s="1405"/>
      <c r="P49" s="1405"/>
      <c r="Q49" s="1405"/>
      <c r="R49" s="1405"/>
    </row>
    <row r="50" spans="1:18" ht="15" customHeight="1">
      <c r="H50" s="1401"/>
      <c r="K50" s="1405"/>
      <c r="L50" s="1405"/>
      <c r="M50" s="1405"/>
      <c r="N50" s="1433"/>
      <c r="O50" s="1410">
        <f>BS!$F$11</f>
        <v>522936</v>
      </c>
      <c r="P50" s="1405"/>
      <c r="Q50" s="1405"/>
      <c r="R50" s="1405"/>
    </row>
    <row r="51" spans="1:18" ht="15" customHeight="1">
      <c r="A51" s="2327" t="s">
        <v>2488</v>
      </c>
      <c r="B51" s="2327"/>
      <c r="C51" s="2327"/>
      <c r="D51" s="2327"/>
      <c r="E51" s="2327"/>
      <c r="F51" s="2327"/>
      <c r="G51" s="2327"/>
      <c r="H51" s="2327"/>
      <c r="I51" s="2327"/>
      <c r="J51" s="2327"/>
      <c r="K51" s="1885"/>
      <c r="L51" s="1885"/>
      <c r="M51" s="1885"/>
      <c r="N51" s="1885"/>
      <c r="O51" s="1885"/>
      <c r="P51" s="1405"/>
      <c r="Q51" s="1405"/>
      <c r="R51" s="1405"/>
    </row>
    <row r="52" spans="1:18" s="1454" customFormat="1" ht="15" customHeight="1">
      <c r="A52" s="2327" t="s">
        <v>149</v>
      </c>
      <c r="B52" s="2327"/>
      <c r="C52" s="2327"/>
      <c r="D52" s="2327"/>
      <c r="E52" s="2327"/>
      <c r="F52" s="2327"/>
      <c r="G52" s="2327"/>
      <c r="H52" s="2327"/>
      <c r="I52" s="2327"/>
      <c r="J52" s="2327"/>
      <c r="K52" s="1453"/>
      <c r="L52" s="1453"/>
      <c r="M52" s="1453"/>
      <c r="N52" s="2156"/>
    </row>
    <row r="53" spans="1:18" s="1454" customFormat="1" ht="15" customHeight="1">
      <c r="A53" s="1455"/>
      <c r="B53" s="1455"/>
      <c r="C53" s="1455"/>
      <c r="D53" s="1455"/>
      <c r="E53" s="1455"/>
      <c r="F53" s="1455"/>
      <c r="G53" s="1455"/>
      <c r="H53" s="1455"/>
      <c r="I53" s="1455"/>
      <c r="J53" s="1455"/>
      <c r="K53" s="1455"/>
      <c r="L53" s="1455"/>
      <c r="M53" s="1455"/>
      <c r="N53" s="2156"/>
    </row>
    <row r="54" spans="1:18" s="1454" customFormat="1" ht="15" customHeight="1">
      <c r="A54" s="1455"/>
      <c r="B54" s="1455"/>
      <c r="C54" s="1455"/>
      <c r="D54" s="1455"/>
      <c r="E54" s="1455"/>
      <c r="F54" s="1455"/>
      <c r="G54" s="1455"/>
      <c r="H54" s="1455"/>
      <c r="I54" s="1455"/>
      <c r="J54" s="1455"/>
      <c r="K54" s="1455"/>
      <c r="L54" s="1455"/>
      <c r="M54" s="1455"/>
      <c r="N54" s="2156"/>
    </row>
    <row r="55" spans="1:18" s="1461" customFormat="1" ht="15" customHeight="1">
      <c r="A55" s="1456"/>
      <c r="B55" s="2142"/>
      <c r="C55" s="2142"/>
      <c r="D55" s="2142"/>
      <c r="E55" s="2142"/>
      <c r="F55" s="2142"/>
      <c r="G55" s="2142"/>
      <c r="H55" s="1458"/>
      <c r="I55" s="2142"/>
      <c r="J55" s="1459"/>
      <c r="K55" s="1460"/>
      <c r="L55" s="2142"/>
      <c r="M55" s="1459"/>
      <c r="N55" s="1955"/>
    </row>
    <row r="56" spans="1:18" s="1461" customFormat="1" ht="15" customHeight="1">
      <c r="B56" s="2142"/>
      <c r="C56" s="2142"/>
      <c r="D56" s="2142"/>
      <c r="E56" s="2142"/>
      <c r="F56" s="2142"/>
      <c r="G56" s="2142"/>
      <c r="H56" s="1458"/>
      <c r="I56" s="2142"/>
      <c r="J56" s="1459"/>
      <c r="K56" s="1460"/>
      <c r="L56" s="2142"/>
      <c r="M56" s="1459"/>
      <c r="N56" s="1955"/>
    </row>
    <row r="57" spans="1:18" s="1461" customFormat="1" ht="15" customHeight="1">
      <c r="A57" s="1461" t="s">
        <v>2618</v>
      </c>
      <c r="B57" s="2142"/>
      <c r="C57" s="2142"/>
      <c r="D57" s="2345" t="s">
        <v>2490</v>
      </c>
      <c r="E57" s="2345"/>
      <c r="F57" s="2345"/>
      <c r="G57" s="2345"/>
      <c r="H57" s="1458"/>
      <c r="I57" s="2142"/>
      <c r="J57" s="2145" t="s">
        <v>2492</v>
      </c>
      <c r="K57" s="1460"/>
      <c r="L57" s="2142"/>
      <c r="M57" s="1459"/>
      <c r="N57" s="1955"/>
    </row>
    <row r="58" spans="1:18" s="1461" customFormat="1" ht="15" customHeight="1">
      <c r="A58" s="1456" t="s">
        <v>2489</v>
      </c>
      <c r="B58" s="2142"/>
      <c r="C58" s="2142"/>
      <c r="D58" s="2324" t="s">
        <v>2493</v>
      </c>
      <c r="E58" s="2324"/>
      <c r="F58" s="2324"/>
      <c r="G58" s="2324"/>
      <c r="H58" s="1458"/>
      <c r="I58" s="2142"/>
      <c r="J58" s="2142" t="s">
        <v>2491</v>
      </c>
      <c r="K58" s="1460"/>
      <c r="L58" s="2142"/>
      <c r="M58" s="1459"/>
      <c r="N58" s="1955"/>
    </row>
    <row r="59" spans="1:18" s="1461" customFormat="1">
      <c r="A59" s="1462"/>
      <c r="B59" s="1463"/>
      <c r="C59" s="2142"/>
      <c r="D59" s="2142"/>
      <c r="E59" s="2142"/>
      <c r="F59" s="2142"/>
      <c r="G59" s="2142"/>
      <c r="H59" s="1458"/>
      <c r="I59" s="2142"/>
      <c r="J59" s="1464"/>
      <c r="K59" s="1460"/>
      <c r="L59" s="2142"/>
      <c r="M59" s="1459"/>
      <c r="N59" s="1955"/>
    </row>
    <row r="60" spans="1:18" s="1461" customFormat="1">
      <c r="A60" s="1465"/>
      <c r="B60" s="1463"/>
      <c r="C60" s="2142"/>
      <c r="D60" s="2142"/>
      <c r="E60" s="2142"/>
      <c r="F60" s="2142"/>
      <c r="G60" s="2142"/>
      <c r="H60" s="1458"/>
      <c r="I60" s="2142"/>
      <c r="J60" s="1466"/>
      <c r="K60" s="1460"/>
      <c r="L60" s="2142"/>
      <c r="M60" s="1459"/>
      <c r="N60" s="1955"/>
    </row>
    <row r="61" spans="1:18">
      <c r="H61" s="1481">
        <f>H45-BS!F11</f>
        <v>-9.9999997764825821E-3</v>
      </c>
      <c r="J61" s="1481"/>
    </row>
  </sheetData>
  <mergeCells count="12">
    <mergeCell ref="L5:M5"/>
    <mergeCell ref="L6:M6"/>
    <mergeCell ref="H6:J6"/>
    <mergeCell ref="H5:J5"/>
    <mergeCell ref="A52:J52"/>
    <mergeCell ref="H8:J8"/>
    <mergeCell ref="D58:G58"/>
    <mergeCell ref="A1:J1"/>
    <mergeCell ref="A2:J2"/>
    <mergeCell ref="A3:J3"/>
    <mergeCell ref="A51:J51"/>
    <mergeCell ref="D57:G57"/>
  </mergeCells>
  <phoneticPr fontId="38" type="noConversion"/>
  <pageMargins left="0.75" right="0.25" top="0.75" bottom="0" header="0.25" footer="0"/>
  <pageSetup paperSize="9" scale="90" firstPageNumber="5" fitToHeight="0" orientation="portrait" useFirstPageNumber="1" r:id="rId1"/>
  <headerFooter>
    <oddHeader>&amp;C&amp;"Arial Black,Regular"&amp;11&amp;P</oddHeader>
  </headerFooter>
  <rowBreaks count="1" manualBreakCount="1">
    <brk id="58" max="6" man="1"/>
  </rowBreaks>
  <cellWatches>
    <cellWatch r="O48"/>
    <cellWatch r="N47"/>
    <cellWatch r="O47"/>
  </cellWatches>
  <ignoredErrors>
    <ignoredError sqref="I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5"/>
  <sheetViews>
    <sheetView view="pageBreakPreview" topLeftCell="A85" zoomScaleNormal="100" zoomScaleSheetLayoutView="100" workbookViewId="0">
      <selection activeCell="C76" sqref="C76"/>
    </sheetView>
  </sheetViews>
  <sheetFormatPr defaultColWidth="9" defaultRowHeight="13.8"/>
  <cols>
    <col min="1" max="1" width="3.59765625" style="1836" customWidth="1"/>
    <col min="2" max="2" width="4.09765625" style="1836" customWidth="1"/>
    <col min="3" max="3" width="11.5" style="1836" customWidth="1"/>
    <col min="4" max="5" width="9" style="1836"/>
    <col min="6" max="6" width="7.59765625" style="1836" customWidth="1"/>
    <col min="7" max="7" width="7" style="1836" customWidth="1"/>
    <col min="8" max="8" width="11.09765625" style="1836" bestFit="1" customWidth="1"/>
    <col min="9" max="9" width="25.5" style="1836" customWidth="1"/>
    <col min="10" max="10" width="12.59765625" style="1836" customWidth="1"/>
    <col min="11" max="11" width="3.59765625" style="1836" customWidth="1"/>
    <col min="12" max="12" width="14" style="1836" customWidth="1"/>
    <col min="13" max="16384" width="9" style="1836"/>
  </cols>
  <sheetData>
    <row r="1" spans="1:12" ht="18.75" customHeight="1">
      <c r="A1" s="2349" t="str">
        <f>BS!$A$1</f>
        <v>MCB PAKISTAN STOCK MARKET FUND</v>
      </c>
      <c r="B1" s="2349"/>
      <c r="C1" s="2349"/>
      <c r="D1" s="2349"/>
      <c r="E1" s="2349"/>
      <c r="F1" s="2349"/>
      <c r="G1" s="2349"/>
      <c r="H1" s="2349"/>
      <c r="I1" s="2349"/>
      <c r="J1" s="2349"/>
      <c r="K1" s="2349"/>
      <c r="L1" s="2349"/>
    </row>
    <row r="2" spans="1:12" ht="18.75" customHeight="1">
      <c r="A2" s="2350" t="s">
        <v>629</v>
      </c>
      <c r="B2" s="2350"/>
      <c r="C2" s="2350"/>
      <c r="D2" s="2350"/>
      <c r="E2" s="2350"/>
      <c r="F2" s="2350"/>
      <c r="G2" s="2350"/>
      <c r="H2" s="2350"/>
      <c r="I2" s="2350"/>
      <c r="J2" s="2350"/>
      <c r="K2" s="2350"/>
      <c r="L2" s="2350"/>
    </row>
    <row r="3" spans="1:12" ht="18.75" customHeight="1">
      <c r="A3" s="2349" t="str">
        <f>CFs!A3</f>
        <v>FOR THE NINE MONTHS ENDED MARCH 31, 2022</v>
      </c>
      <c r="B3" s="2349"/>
      <c r="C3" s="2349"/>
      <c r="D3" s="2349"/>
      <c r="E3" s="2349"/>
      <c r="F3" s="2349"/>
      <c r="G3" s="2349"/>
      <c r="H3" s="2349"/>
      <c r="I3" s="2349"/>
      <c r="J3" s="2349"/>
      <c r="K3" s="2349"/>
      <c r="L3" s="2349"/>
    </row>
    <row r="4" spans="1:12" ht="15" customHeight="1">
      <c r="A4" s="1964"/>
      <c r="B4" s="1964"/>
      <c r="C4" s="1964"/>
      <c r="D4" s="1964"/>
      <c r="E4" s="1964"/>
      <c r="F4" s="1964"/>
      <c r="G4" s="1964"/>
      <c r="H4" s="1964"/>
      <c r="I4" s="1964"/>
      <c r="J4" s="1964"/>
      <c r="K4" s="1964"/>
      <c r="L4" s="1964"/>
    </row>
    <row r="5" spans="1:12">
      <c r="A5" s="1538" t="s">
        <v>2504</v>
      </c>
      <c r="B5" s="1536" t="s">
        <v>67</v>
      </c>
      <c r="D5" s="1536"/>
      <c r="E5" s="1537"/>
      <c r="F5" s="1537"/>
      <c r="G5" s="1537"/>
      <c r="H5" s="1537"/>
      <c r="I5" s="1537"/>
      <c r="J5" s="1537"/>
      <c r="K5" s="1537"/>
      <c r="L5" s="1537"/>
    </row>
    <row r="6" spans="1:12">
      <c r="B6" s="1539"/>
      <c r="C6" s="1537"/>
      <c r="D6" s="1537"/>
      <c r="E6" s="1537"/>
      <c r="F6" s="1537"/>
      <c r="G6" s="1537"/>
      <c r="H6" s="1537"/>
      <c r="I6" s="1537"/>
      <c r="J6" s="1537"/>
      <c r="K6" s="1537"/>
      <c r="L6" s="1537"/>
    </row>
    <row r="7" spans="1:12" ht="15" customHeight="1">
      <c r="B7" s="1540">
        <v>1.1000000000000001</v>
      </c>
      <c r="C7" s="2357" t="s">
        <v>2826</v>
      </c>
      <c r="D7" s="2357"/>
      <c r="E7" s="2357"/>
      <c r="F7" s="2357"/>
      <c r="G7" s="2357"/>
      <c r="H7" s="2357"/>
      <c r="I7" s="2357"/>
      <c r="J7" s="2357"/>
      <c r="K7" s="2357"/>
      <c r="L7" s="2357"/>
    </row>
    <row r="8" spans="1:12">
      <c r="B8" s="1541"/>
      <c r="C8" s="2357"/>
      <c r="D8" s="2357"/>
      <c r="E8" s="2357"/>
      <c r="F8" s="2357"/>
      <c r="G8" s="2357"/>
      <c r="H8" s="2357"/>
      <c r="I8" s="2357"/>
      <c r="J8" s="2357"/>
      <c r="K8" s="2357"/>
      <c r="L8" s="2357"/>
    </row>
    <row r="9" spans="1:12">
      <c r="B9" s="1541"/>
      <c r="C9" s="2357"/>
      <c r="D9" s="2357"/>
      <c r="E9" s="2357"/>
      <c r="F9" s="2357"/>
      <c r="G9" s="2357"/>
      <c r="H9" s="2357"/>
      <c r="I9" s="2357"/>
      <c r="J9" s="2357"/>
      <c r="K9" s="2357"/>
      <c r="L9" s="2357"/>
    </row>
    <row r="10" spans="1:12">
      <c r="B10" s="1541"/>
      <c r="C10" s="2357"/>
      <c r="D10" s="2357"/>
      <c r="E10" s="2357"/>
      <c r="F10" s="2357"/>
      <c r="G10" s="2357"/>
      <c r="H10" s="2357"/>
      <c r="I10" s="2357"/>
      <c r="J10" s="2357"/>
      <c r="K10" s="2357"/>
      <c r="L10" s="2357"/>
    </row>
    <row r="11" spans="1:12">
      <c r="B11" s="1541"/>
      <c r="C11" s="2357"/>
      <c r="D11" s="2357"/>
      <c r="E11" s="2357"/>
      <c r="F11" s="2357"/>
      <c r="G11" s="2357"/>
      <c r="H11" s="2357"/>
      <c r="I11" s="2357"/>
      <c r="J11" s="2357"/>
      <c r="K11" s="2357"/>
      <c r="L11" s="2357"/>
    </row>
    <row r="12" spans="1:12">
      <c r="B12" s="1541"/>
      <c r="C12" s="2357"/>
      <c r="D12" s="2357"/>
      <c r="E12" s="2357"/>
      <c r="F12" s="2357"/>
      <c r="G12" s="2357"/>
      <c r="H12" s="2357"/>
      <c r="I12" s="2357"/>
      <c r="J12" s="2357"/>
      <c r="K12" s="2357"/>
      <c r="L12" s="2357"/>
    </row>
    <row r="13" spans="1:12">
      <c r="B13" s="1541"/>
      <c r="C13" s="2357"/>
      <c r="D13" s="2357"/>
      <c r="E13" s="2357"/>
      <c r="F13" s="2357"/>
      <c r="G13" s="2357"/>
      <c r="H13" s="2357"/>
      <c r="I13" s="2357"/>
      <c r="J13" s="2357"/>
      <c r="K13" s="2357"/>
      <c r="L13" s="2357"/>
    </row>
    <row r="14" spans="1:12">
      <c r="B14" s="1541"/>
      <c r="C14" s="2357"/>
      <c r="D14" s="2357"/>
      <c r="E14" s="2357"/>
      <c r="F14" s="2357"/>
      <c r="G14" s="2357"/>
      <c r="H14" s="2357"/>
      <c r="I14" s="2357"/>
      <c r="J14" s="2357"/>
      <c r="K14" s="2357"/>
      <c r="L14" s="2357"/>
    </row>
    <row r="15" spans="1:12">
      <c r="B15" s="1541"/>
      <c r="C15" s="1734"/>
      <c r="D15" s="1734"/>
      <c r="E15" s="1734"/>
      <c r="F15" s="1734"/>
      <c r="G15" s="1734"/>
      <c r="H15" s="1734"/>
      <c r="I15" s="1734"/>
      <c r="J15" s="1734"/>
      <c r="K15" s="1734"/>
      <c r="L15" s="1734"/>
    </row>
    <row r="16" spans="1:12" ht="15" customHeight="1">
      <c r="B16" s="1540">
        <v>1.2</v>
      </c>
      <c r="C16" s="2361" t="s">
        <v>2673</v>
      </c>
      <c r="D16" s="2361"/>
      <c r="E16" s="2361"/>
      <c r="F16" s="2361"/>
      <c r="G16" s="2361"/>
      <c r="H16" s="2361"/>
      <c r="I16" s="2361"/>
      <c r="J16" s="2361"/>
      <c r="K16" s="2361"/>
      <c r="L16" s="2361"/>
    </row>
    <row r="17" spans="1:12">
      <c r="B17" s="1541"/>
      <c r="C17" s="2361"/>
      <c r="D17" s="2361"/>
      <c r="E17" s="2361"/>
      <c r="F17" s="2361"/>
      <c r="G17" s="2361"/>
      <c r="H17" s="2361"/>
      <c r="I17" s="2361"/>
      <c r="J17" s="2361"/>
      <c r="K17" s="2361"/>
      <c r="L17" s="2361"/>
    </row>
    <row r="18" spans="1:12">
      <c r="B18" s="1541"/>
      <c r="C18" s="2361"/>
      <c r="D18" s="2361"/>
      <c r="E18" s="2361"/>
      <c r="F18" s="2361"/>
      <c r="G18" s="2361"/>
      <c r="H18" s="2361"/>
      <c r="I18" s="2361"/>
      <c r="J18" s="2361"/>
      <c r="K18" s="2361"/>
      <c r="L18" s="2361"/>
    </row>
    <row r="19" spans="1:12">
      <c r="B19" s="1541"/>
      <c r="C19" s="2229"/>
      <c r="D19" s="2229"/>
      <c r="E19" s="2229"/>
      <c r="F19" s="2229"/>
      <c r="G19" s="2229"/>
      <c r="H19" s="2229"/>
      <c r="I19" s="2229"/>
      <c r="J19" s="2229"/>
      <c r="K19" s="2229"/>
      <c r="L19" s="2229"/>
    </row>
    <row r="20" spans="1:12">
      <c r="B20" s="1540">
        <v>1.3</v>
      </c>
      <c r="C20" s="2352" t="s">
        <v>1107</v>
      </c>
      <c r="D20" s="2352"/>
      <c r="E20" s="2352"/>
      <c r="F20" s="2352"/>
      <c r="G20" s="2352"/>
      <c r="H20" s="2352"/>
      <c r="I20" s="2352"/>
      <c r="J20" s="2352"/>
      <c r="K20" s="2352"/>
      <c r="L20" s="2352"/>
    </row>
    <row r="21" spans="1:12">
      <c r="B21" s="1541"/>
      <c r="C21" s="2352"/>
      <c r="D21" s="2352"/>
      <c r="E21" s="2352"/>
      <c r="F21" s="2352"/>
      <c r="G21" s="2352"/>
      <c r="H21" s="2352"/>
      <c r="I21" s="2352"/>
      <c r="J21" s="2352"/>
      <c r="K21" s="2352"/>
      <c r="L21" s="2352"/>
    </row>
    <row r="22" spans="1:12">
      <c r="B22" s="1541"/>
      <c r="C22" s="2352"/>
      <c r="D22" s="2352"/>
      <c r="E22" s="2352"/>
      <c r="F22" s="2352"/>
      <c r="G22" s="2352"/>
      <c r="H22" s="2352"/>
      <c r="I22" s="2352"/>
      <c r="J22" s="2352"/>
      <c r="K22" s="2352"/>
      <c r="L22" s="2352"/>
    </row>
    <row r="23" spans="1:12">
      <c r="B23" s="1541"/>
      <c r="C23" s="2352"/>
      <c r="D23" s="2352"/>
      <c r="E23" s="2352"/>
      <c r="F23" s="2352"/>
      <c r="G23" s="2352"/>
      <c r="H23" s="2352"/>
      <c r="I23" s="2352"/>
      <c r="J23" s="2352"/>
      <c r="K23" s="2352"/>
      <c r="L23" s="2352"/>
    </row>
    <row r="24" spans="1:12">
      <c r="B24" s="1541"/>
      <c r="C24" s="1543"/>
      <c r="D24" s="1543"/>
      <c r="E24" s="1543"/>
      <c r="F24" s="1543"/>
      <c r="G24" s="1543"/>
      <c r="H24" s="1543"/>
      <c r="I24" s="1543"/>
      <c r="J24" s="1543"/>
      <c r="K24" s="1543"/>
      <c r="L24" s="1543"/>
    </row>
    <row r="25" spans="1:12">
      <c r="B25" s="1540">
        <v>1.4</v>
      </c>
      <c r="C25" s="2352" t="s">
        <v>2840</v>
      </c>
      <c r="D25" s="2352"/>
      <c r="E25" s="2352"/>
      <c r="F25" s="2352"/>
      <c r="G25" s="2352"/>
      <c r="H25" s="2352"/>
      <c r="I25" s="2352"/>
      <c r="J25" s="2352"/>
      <c r="K25" s="2352"/>
      <c r="L25" s="2352"/>
    </row>
    <row r="26" spans="1:12">
      <c r="B26" s="1541"/>
      <c r="C26" s="2352"/>
      <c r="D26" s="2352"/>
      <c r="E26" s="2352"/>
      <c r="F26" s="2352"/>
      <c r="G26" s="2352"/>
      <c r="H26" s="2352"/>
      <c r="I26" s="2352"/>
      <c r="J26" s="2352"/>
      <c r="K26" s="2352"/>
      <c r="L26" s="2352"/>
    </row>
    <row r="27" spans="1:12">
      <c r="B27" s="1541"/>
      <c r="C27" s="1544"/>
      <c r="D27" s="1544"/>
      <c r="E27" s="1544"/>
      <c r="F27" s="1544"/>
      <c r="G27" s="1544"/>
      <c r="H27" s="1544"/>
      <c r="I27" s="1544"/>
      <c r="J27" s="1544"/>
      <c r="K27" s="1544"/>
      <c r="L27" s="1544"/>
    </row>
    <row r="28" spans="1:12" s="2076" customFormat="1">
      <c r="A28" s="1836"/>
      <c r="B28" s="1540">
        <v>1.5</v>
      </c>
      <c r="C28" s="2352" t="s">
        <v>2675</v>
      </c>
      <c r="D28" s="2352"/>
      <c r="E28" s="2352"/>
      <c r="F28" s="2352"/>
      <c r="G28" s="2352"/>
      <c r="H28" s="2352"/>
      <c r="I28" s="2352"/>
      <c r="J28" s="2352"/>
      <c r="K28" s="2352"/>
      <c r="L28" s="2352"/>
    </row>
    <row r="29" spans="1:12" s="2076" customFormat="1">
      <c r="A29" s="1836"/>
      <c r="B29" s="1540"/>
      <c r="C29" s="2352"/>
      <c r="D29" s="2352"/>
      <c r="E29" s="2352"/>
      <c r="F29" s="2352"/>
      <c r="G29" s="2352"/>
      <c r="H29" s="2352"/>
      <c r="I29" s="2352"/>
      <c r="J29" s="2352"/>
      <c r="K29" s="2352"/>
      <c r="L29" s="2352"/>
    </row>
    <row r="30" spans="1:12" s="2076" customFormat="1" ht="0.6" customHeight="1">
      <c r="A30" s="1836"/>
      <c r="B30" s="1541"/>
      <c r="C30" s="2352"/>
      <c r="D30" s="2352"/>
      <c r="E30" s="2352"/>
      <c r="F30" s="2352"/>
      <c r="G30" s="2352"/>
      <c r="H30" s="2352"/>
      <c r="I30" s="2352"/>
      <c r="J30" s="2352"/>
      <c r="K30" s="2352"/>
      <c r="L30" s="2352"/>
    </row>
    <row r="31" spans="1:12">
      <c r="B31" s="1541"/>
      <c r="C31" s="1545"/>
      <c r="D31" s="1545"/>
      <c r="E31" s="1545"/>
      <c r="F31" s="1545"/>
      <c r="G31" s="1545"/>
      <c r="H31" s="1545"/>
      <c r="I31" s="1545"/>
      <c r="J31" s="1545"/>
      <c r="K31" s="1545"/>
      <c r="L31" s="1545"/>
    </row>
    <row r="32" spans="1:12">
      <c r="A32" s="1538" t="s">
        <v>2505</v>
      </c>
      <c r="B32" s="1546" t="s">
        <v>68</v>
      </c>
      <c r="D32" s="1546"/>
      <c r="E32" s="1547"/>
      <c r="F32" s="1547"/>
      <c r="G32" s="1547"/>
      <c r="H32" s="1547"/>
      <c r="I32" s="1547"/>
      <c r="J32" s="1547"/>
      <c r="K32" s="1537"/>
      <c r="L32" s="1537"/>
    </row>
    <row r="33" spans="2:14">
      <c r="B33" s="1539"/>
      <c r="C33" s="1537"/>
      <c r="D33" s="1537"/>
      <c r="E33" s="1547"/>
      <c r="F33" s="1547"/>
      <c r="G33" s="1547"/>
      <c r="H33" s="1547"/>
      <c r="I33" s="1547"/>
      <c r="J33" s="1547"/>
      <c r="K33" s="1537"/>
      <c r="L33" s="1537"/>
    </row>
    <row r="34" spans="2:14" ht="15" customHeight="1">
      <c r="B34" s="1539">
        <v>2.1</v>
      </c>
      <c r="C34" s="2352" t="s">
        <v>2632</v>
      </c>
      <c r="D34" s="2352"/>
      <c r="E34" s="2352"/>
      <c r="F34" s="2352"/>
      <c r="G34" s="2352"/>
      <c r="H34" s="2352"/>
      <c r="I34" s="2352"/>
      <c r="J34" s="2352"/>
      <c r="K34" s="2352"/>
      <c r="L34" s="2352"/>
    </row>
    <row r="35" spans="2:14">
      <c r="B35" s="1539"/>
      <c r="C35" s="2352"/>
      <c r="D35" s="2352"/>
      <c r="E35" s="2352"/>
      <c r="F35" s="2352"/>
      <c r="G35" s="2352"/>
      <c r="H35" s="2352"/>
      <c r="I35" s="2352"/>
      <c r="J35" s="2352"/>
      <c r="K35" s="2352"/>
      <c r="L35" s="2352"/>
    </row>
    <row r="36" spans="2:14">
      <c r="B36" s="1539"/>
      <c r="C36" s="1398"/>
      <c r="D36" s="1398"/>
      <c r="E36" s="1398"/>
      <c r="F36" s="1398"/>
      <c r="G36" s="1398"/>
      <c r="H36" s="1398"/>
      <c r="I36" s="1398"/>
      <c r="J36" s="1398"/>
      <c r="K36" s="1398"/>
      <c r="L36" s="1537"/>
    </row>
    <row r="37" spans="2:14">
      <c r="B37" s="1539"/>
      <c r="C37" s="1548" t="s">
        <v>2506</v>
      </c>
      <c r="D37" s="1549"/>
      <c r="E37" s="1549"/>
      <c r="F37" s="1549"/>
      <c r="G37" s="1549"/>
      <c r="H37" s="1549"/>
      <c r="I37" s="1549"/>
      <c r="J37" s="1549"/>
      <c r="K37" s="1549"/>
      <c r="L37" s="1537"/>
    </row>
    <row r="38" spans="2:14">
      <c r="B38" s="1539"/>
      <c r="C38" s="1550" t="s">
        <v>2507</v>
      </c>
      <c r="D38" s="1549"/>
      <c r="E38" s="1549"/>
      <c r="F38" s="1549"/>
      <c r="G38" s="1549"/>
      <c r="H38" s="1549"/>
      <c r="I38" s="1549"/>
      <c r="J38" s="1549"/>
      <c r="K38" s="1549"/>
      <c r="L38" s="1537"/>
    </row>
    <row r="39" spans="2:14">
      <c r="B39" s="1539"/>
      <c r="C39" s="1398"/>
      <c r="D39" s="1398"/>
      <c r="E39" s="1398"/>
      <c r="F39" s="1398"/>
      <c r="G39" s="1398"/>
      <c r="H39" s="1398"/>
      <c r="I39" s="1398"/>
      <c r="J39" s="1398"/>
      <c r="K39" s="1398"/>
      <c r="L39" s="1537"/>
    </row>
    <row r="40" spans="2:14">
      <c r="B40" s="1539"/>
      <c r="C40" s="1548" t="s">
        <v>2620</v>
      </c>
      <c r="D40" s="1398"/>
      <c r="E40" s="1398"/>
      <c r="F40" s="1398"/>
      <c r="G40" s="1398"/>
      <c r="H40" s="1398"/>
      <c r="I40" s="1398"/>
      <c r="J40" s="1398"/>
      <c r="K40" s="1398"/>
      <c r="L40" s="1537"/>
    </row>
    <row r="41" spans="2:14">
      <c r="B41" s="1539"/>
      <c r="C41" s="1985" t="s">
        <v>2619</v>
      </c>
      <c r="D41" s="1398"/>
      <c r="E41" s="1398"/>
      <c r="F41" s="1398"/>
      <c r="G41" s="1398"/>
      <c r="H41" s="1398"/>
      <c r="I41" s="1398"/>
      <c r="J41" s="1398"/>
      <c r="K41" s="1398"/>
      <c r="L41" s="1537"/>
    </row>
    <row r="42" spans="2:14">
      <c r="B42" s="1539"/>
      <c r="C42" s="1398"/>
      <c r="D42" s="1398"/>
      <c r="E42" s="1398"/>
      <c r="F42" s="1398"/>
      <c r="G42" s="1398"/>
      <c r="H42" s="1398"/>
      <c r="I42" s="1398"/>
      <c r="J42" s="1398"/>
      <c r="K42" s="1398"/>
      <c r="L42" s="1537"/>
    </row>
    <row r="43" spans="2:14">
      <c r="B43" s="1539"/>
      <c r="C43" s="2353" t="s">
        <v>2633</v>
      </c>
      <c r="D43" s="2353"/>
      <c r="E43" s="2353"/>
      <c r="F43" s="2353"/>
      <c r="G43" s="2353"/>
      <c r="H43" s="2353"/>
      <c r="I43" s="2353"/>
      <c r="J43" s="2353"/>
      <c r="K43" s="2353"/>
      <c r="L43" s="2353"/>
    </row>
    <row r="44" spans="2:14">
      <c r="B44" s="1539"/>
      <c r="C44" s="2353"/>
      <c r="D44" s="2353"/>
      <c r="E44" s="2353"/>
      <c r="F44" s="2353"/>
      <c r="G44" s="2353"/>
      <c r="H44" s="2353"/>
      <c r="I44" s="2353"/>
      <c r="J44" s="2353"/>
      <c r="K44" s="2353"/>
      <c r="L44" s="2353"/>
    </row>
    <row r="45" spans="2:14">
      <c r="B45" s="1539"/>
      <c r="C45" s="1398"/>
      <c r="D45" s="1398"/>
      <c r="E45" s="1398"/>
      <c r="F45" s="1398"/>
      <c r="G45" s="1398"/>
      <c r="H45" s="1398"/>
      <c r="I45" s="1398"/>
      <c r="J45" s="1398"/>
      <c r="K45" s="1398"/>
      <c r="L45" s="1537"/>
    </row>
    <row r="46" spans="2:14">
      <c r="B46" s="1539"/>
      <c r="C46" s="2731" t="s">
        <v>2929</v>
      </c>
      <c r="D46" s="2351"/>
      <c r="E46" s="2351"/>
      <c r="F46" s="2351"/>
      <c r="G46" s="2351"/>
      <c r="H46" s="2351"/>
      <c r="I46" s="2351"/>
      <c r="J46" s="2351"/>
      <c r="K46" s="2351"/>
      <c r="L46" s="2351"/>
      <c r="M46" s="1551"/>
      <c r="N46" s="1551"/>
    </row>
    <row r="47" spans="2:14">
      <c r="B47" s="1539"/>
      <c r="C47" s="2351"/>
      <c r="D47" s="2351"/>
      <c r="E47" s="2351"/>
      <c r="F47" s="2351"/>
      <c r="G47" s="2351"/>
      <c r="H47" s="2351"/>
      <c r="I47" s="2351"/>
      <c r="J47" s="2351"/>
      <c r="K47" s="2351"/>
      <c r="L47" s="2351"/>
      <c r="M47" s="1551"/>
      <c r="N47" s="1551"/>
    </row>
    <row r="48" spans="2:14">
      <c r="B48" s="1539"/>
      <c r="C48" s="2351"/>
      <c r="D48" s="2351"/>
      <c r="E48" s="2351"/>
      <c r="F48" s="2351"/>
      <c r="G48" s="2351"/>
      <c r="H48" s="2351"/>
      <c r="I48" s="2351"/>
      <c r="J48" s="2351"/>
      <c r="K48" s="2351"/>
      <c r="L48" s="2351"/>
      <c r="M48" s="1551"/>
      <c r="N48" s="1551"/>
    </row>
    <row r="49" spans="1:14">
      <c r="B49" s="1539"/>
      <c r="C49" s="2351"/>
      <c r="D49" s="2351"/>
      <c r="E49" s="2351"/>
      <c r="F49" s="2351"/>
      <c r="G49" s="2351"/>
      <c r="H49" s="2351"/>
      <c r="I49" s="2351"/>
      <c r="J49" s="2351"/>
      <c r="K49" s="2351"/>
      <c r="L49" s="2351"/>
      <c r="M49" s="1551"/>
      <c r="N49" s="1551"/>
    </row>
    <row r="50" spans="1:14">
      <c r="B50" s="1539"/>
      <c r="C50" s="2351"/>
      <c r="D50" s="2351"/>
      <c r="E50" s="2351"/>
      <c r="F50" s="2351"/>
      <c r="G50" s="2351"/>
      <c r="H50" s="2351"/>
      <c r="I50" s="2351"/>
      <c r="J50" s="2351"/>
      <c r="K50" s="2351"/>
      <c r="L50" s="2351"/>
      <c r="M50" s="1551"/>
      <c r="N50" s="1551"/>
    </row>
    <row r="51" spans="1:14">
      <c r="B51" s="1539"/>
      <c r="C51" s="1398"/>
      <c r="D51" s="1398"/>
      <c r="E51" s="1398"/>
      <c r="F51" s="1398"/>
      <c r="G51" s="1398"/>
      <c r="H51" s="1398"/>
      <c r="I51" s="1398"/>
      <c r="J51" s="1398"/>
      <c r="K51" s="1398"/>
      <c r="L51" s="1537"/>
    </row>
    <row r="52" spans="1:14">
      <c r="B52" s="1539">
        <f>B34+0.1</f>
        <v>2.2000000000000002</v>
      </c>
      <c r="C52" s="2358" t="s">
        <v>2930</v>
      </c>
      <c r="D52" s="2358"/>
      <c r="E52" s="2358"/>
      <c r="F52" s="2358"/>
      <c r="G52" s="2358"/>
      <c r="H52" s="2358"/>
      <c r="I52" s="2358"/>
      <c r="J52" s="2358"/>
      <c r="K52" s="2358"/>
      <c r="L52" s="2358"/>
    </row>
    <row r="53" spans="1:14">
      <c r="B53" s="1539"/>
      <c r="C53" s="2358"/>
      <c r="D53" s="2358"/>
      <c r="E53" s="2358"/>
      <c r="F53" s="2358"/>
      <c r="G53" s="2358"/>
      <c r="H53" s="2358"/>
      <c r="I53" s="2358"/>
      <c r="J53" s="2358"/>
      <c r="K53" s="2358"/>
      <c r="L53" s="2358"/>
    </row>
    <row r="54" spans="1:14" ht="67.8" customHeight="1">
      <c r="B54" s="1539"/>
      <c r="C54" s="2358"/>
      <c r="D54" s="2358"/>
      <c r="E54" s="2358"/>
      <c r="F54" s="2358"/>
      <c r="G54" s="2358"/>
      <c r="H54" s="2358"/>
      <c r="I54" s="2358"/>
      <c r="J54" s="2358"/>
      <c r="K54" s="2358"/>
      <c r="L54" s="2358"/>
    </row>
    <row r="55" spans="1:14">
      <c r="B55" s="1539"/>
      <c r="C55" s="1398"/>
      <c r="D55" s="1398"/>
      <c r="E55" s="1398"/>
      <c r="F55" s="1398"/>
      <c r="G55" s="1398"/>
      <c r="H55" s="1398"/>
      <c r="I55" s="1398"/>
      <c r="J55" s="1398"/>
      <c r="K55" s="1398"/>
      <c r="L55" s="1537"/>
    </row>
    <row r="56" spans="1:14">
      <c r="B56" s="1539">
        <f>+B52+0.1</f>
        <v>2.3000000000000003</v>
      </c>
      <c r="C56" s="2354" t="s">
        <v>2931</v>
      </c>
      <c r="D56" s="2355"/>
      <c r="E56" s="2355"/>
      <c r="F56" s="2355"/>
      <c r="G56" s="2355"/>
      <c r="H56" s="2355"/>
      <c r="I56" s="2355"/>
      <c r="J56" s="2355"/>
      <c r="K56" s="2355"/>
      <c r="L56" s="2355"/>
    </row>
    <row r="57" spans="1:14">
      <c r="B57" s="1539"/>
      <c r="C57" s="2355"/>
      <c r="D57" s="2355"/>
      <c r="E57" s="2355"/>
      <c r="F57" s="2355"/>
      <c r="G57" s="2355"/>
      <c r="H57" s="2355"/>
      <c r="I57" s="2355"/>
      <c r="J57" s="2355"/>
      <c r="K57" s="2355"/>
      <c r="L57" s="2355"/>
    </row>
    <row r="58" spans="1:14" ht="15" customHeight="1">
      <c r="B58" s="1539"/>
      <c r="C58" s="1736"/>
      <c r="D58" s="1736"/>
      <c r="E58" s="1736"/>
      <c r="F58" s="1736"/>
      <c r="G58" s="1736"/>
      <c r="H58" s="1736"/>
      <c r="I58" s="1736"/>
      <c r="J58" s="1736"/>
      <c r="K58" s="1736"/>
      <c r="L58" s="1736"/>
    </row>
    <row r="59" spans="1:14" ht="15" customHeight="1">
      <c r="B59" s="1539">
        <f>+B56+0.1</f>
        <v>2.4000000000000004</v>
      </c>
      <c r="C59" s="2354" t="s">
        <v>2932</v>
      </c>
      <c r="D59" s="2355"/>
      <c r="E59" s="2355"/>
      <c r="F59" s="2355"/>
      <c r="G59" s="2355"/>
      <c r="H59" s="2355"/>
      <c r="I59" s="2355"/>
      <c r="J59" s="2355"/>
      <c r="K59" s="2355"/>
      <c r="L59" s="2355"/>
    </row>
    <row r="60" spans="1:14" ht="15" customHeight="1">
      <c r="B60" s="1539"/>
      <c r="C60" s="1735"/>
      <c r="D60" s="1735"/>
      <c r="E60" s="1735"/>
      <c r="F60" s="1735"/>
      <c r="G60" s="1735"/>
      <c r="H60" s="1735"/>
      <c r="I60" s="1735"/>
      <c r="J60" s="1735"/>
      <c r="K60" s="1735"/>
      <c r="L60" s="1735"/>
    </row>
    <row r="61" spans="1:14" ht="15" customHeight="1">
      <c r="A61" s="1538" t="s">
        <v>2508</v>
      </c>
      <c r="B61" s="1552" t="s">
        <v>2509</v>
      </c>
      <c r="C61" s="1552"/>
      <c r="D61" s="1552"/>
      <c r="E61" s="1552"/>
      <c r="F61" s="1552"/>
      <c r="G61" s="1552"/>
      <c r="H61" s="1552"/>
      <c r="I61" s="1552"/>
      <c r="J61" s="1552"/>
      <c r="K61" s="1552"/>
    </row>
    <row r="62" spans="1:14" ht="15" customHeight="1">
      <c r="A62" s="1538"/>
      <c r="B62" s="1552"/>
      <c r="C62" s="1552"/>
      <c r="D62" s="1552"/>
      <c r="E62" s="1552"/>
      <c r="F62" s="1552"/>
      <c r="G62" s="1552"/>
      <c r="H62" s="1552"/>
      <c r="I62" s="1552"/>
      <c r="J62" s="1552"/>
      <c r="K62" s="1552"/>
    </row>
    <row r="63" spans="1:14" ht="15" customHeight="1">
      <c r="B63" s="1538">
        <v>3.1</v>
      </c>
      <c r="C63" s="2360" t="s">
        <v>2909</v>
      </c>
      <c r="D63" s="2360"/>
      <c r="E63" s="2360"/>
      <c r="F63" s="2360"/>
      <c r="G63" s="2360"/>
      <c r="H63" s="2360"/>
      <c r="I63" s="2360"/>
      <c r="J63" s="2360"/>
      <c r="K63" s="2360"/>
      <c r="L63" s="2360"/>
    </row>
    <row r="64" spans="1:14" ht="26.1" customHeight="1">
      <c r="B64" s="1877"/>
      <c r="C64" s="2360"/>
      <c r="D64" s="2360"/>
      <c r="E64" s="2360"/>
      <c r="F64" s="2360"/>
      <c r="G64" s="2360"/>
      <c r="H64" s="2360"/>
      <c r="I64" s="2360"/>
      <c r="J64" s="2360"/>
      <c r="K64" s="2360"/>
      <c r="L64" s="2360"/>
    </row>
    <row r="65" spans="1:12" ht="15" customHeight="1">
      <c r="B65" s="1877"/>
      <c r="C65" s="2003"/>
      <c r="D65" s="2003"/>
      <c r="E65" s="2003"/>
      <c r="F65" s="2003"/>
      <c r="G65" s="2003"/>
      <c r="H65" s="2003"/>
      <c r="I65" s="2003"/>
      <c r="J65" s="2003"/>
      <c r="K65" s="2003"/>
      <c r="L65" s="2003"/>
    </row>
    <row r="66" spans="1:12" s="1010" customFormat="1" ht="15" customHeight="1">
      <c r="C66" s="2358" t="s">
        <v>2933</v>
      </c>
      <c r="D66" s="2358"/>
      <c r="E66" s="2358"/>
      <c r="F66" s="2358"/>
      <c r="G66" s="2358"/>
      <c r="H66" s="2358"/>
      <c r="I66" s="2358"/>
      <c r="J66" s="2358"/>
      <c r="K66" s="2358"/>
      <c r="L66" s="2358"/>
    </row>
    <row r="67" spans="1:12" s="1010" customFormat="1" ht="15" customHeight="1">
      <c r="C67" s="2358"/>
      <c r="D67" s="2358"/>
      <c r="E67" s="2358"/>
      <c r="F67" s="2358"/>
      <c r="G67" s="2358"/>
      <c r="H67" s="2358"/>
      <c r="I67" s="2358"/>
      <c r="J67" s="2358"/>
      <c r="K67" s="2358"/>
      <c r="L67" s="2358"/>
    </row>
    <row r="68" spans="1:12" s="1010" customFormat="1" ht="15" customHeight="1">
      <c r="C68" s="2358"/>
      <c r="D68" s="2358"/>
      <c r="E68" s="2358"/>
      <c r="F68" s="2358"/>
      <c r="G68" s="2358"/>
      <c r="H68" s="2358"/>
      <c r="I68" s="2358"/>
      <c r="J68" s="2358"/>
      <c r="K68" s="2358"/>
      <c r="L68" s="2358"/>
    </row>
    <row r="69" spans="1:12" s="1010" customFormat="1" ht="15" customHeight="1">
      <c r="C69" s="2358"/>
      <c r="D69" s="2358"/>
      <c r="E69" s="2358"/>
      <c r="F69" s="2358"/>
      <c r="G69" s="2358"/>
      <c r="H69" s="2358"/>
      <c r="I69" s="2358"/>
      <c r="J69" s="2358"/>
      <c r="K69" s="2358"/>
      <c r="L69" s="2358"/>
    </row>
    <row r="70" spans="1:12" s="1010" customFormat="1" ht="63.6" customHeight="1">
      <c r="C70" s="2358"/>
      <c r="D70" s="2358"/>
      <c r="E70" s="2358"/>
      <c r="F70" s="2358"/>
      <c r="G70" s="2358"/>
      <c r="H70" s="2358"/>
      <c r="I70" s="2358"/>
      <c r="J70" s="2358"/>
      <c r="K70" s="2358"/>
      <c r="L70" s="2358"/>
    </row>
    <row r="71" spans="1:12" s="1010" customFormat="1" ht="15" customHeight="1">
      <c r="C71" s="2228"/>
      <c r="D71" s="2228"/>
      <c r="E71" s="2228"/>
      <c r="F71" s="2228"/>
      <c r="G71" s="2228"/>
      <c r="H71" s="2228"/>
      <c r="I71" s="2228"/>
      <c r="J71" s="2228"/>
      <c r="K71" s="2228"/>
      <c r="L71" s="2228"/>
    </row>
    <row r="72" spans="1:12" ht="15" customHeight="1">
      <c r="A72" s="2133" t="str">
        <f>A61+1&amp;"."</f>
        <v>4.</v>
      </c>
      <c r="B72" s="1552" t="s">
        <v>198</v>
      </c>
      <c r="D72" s="1555"/>
      <c r="E72" s="1555"/>
      <c r="F72" s="1555"/>
      <c r="G72" s="1555"/>
      <c r="H72" s="1555"/>
      <c r="I72" s="1555"/>
      <c r="J72" s="1555"/>
      <c r="K72" s="1555"/>
      <c r="L72" s="1555"/>
    </row>
    <row r="73" spans="1:12" ht="15" customHeight="1">
      <c r="B73" s="1539"/>
      <c r="C73" s="1555"/>
      <c r="D73" s="1555"/>
      <c r="E73" s="1555"/>
      <c r="F73" s="1555"/>
      <c r="G73" s="1555"/>
      <c r="H73" s="1555"/>
      <c r="I73" s="1555"/>
      <c r="J73" s="1555"/>
      <c r="K73" s="1555"/>
      <c r="L73" s="1555"/>
    </row>
    <row r="74" spans="1:12" ht="15" customHeight="1">
      <c r="B74" s="1878"/>
      <c r="C74" s="2359" t="s">
        <v>2934</v>
      </c>
      <c r="D74" s="2359"/>
      <c r="E74" s="2359"/>
      <c r="F74" s="2359"/>
      <c r="G74" s="2359"/>
      <c r="H74" s="2359"/>
      <c r="I74" s="2359"/>
      <c r="J74" s="2359"/>
      <c r="K74" s="2359"/>
      <c r="L74" s="2359"/>
    </row>
    <row r="75" spans="1:12" ht="15" customHeight="1">
      <c r="B75" s="1539"/>
      <c r="C75" s="2359"/>
      <c r="D75" s="2359"/>
      <c r="E75" s="2359"/>
      <c r="F75" s="2359"/>
      <c r="G75" s="2359"/>
      <c r="H75" s="2359"/>
      <c r="I75" s="2359"/>
      <c r="J75" s="2359"/>
      <c r="K75" s="2359"/>
      <c r="L75" s="2359"/>
    </row>
    <row r="76" spans="1:12" ht="15" customHeight="1">
      <c r="B76" s="1539"/>
      <c r="C76" s="1614"/>
      <c r="D76" s="1614"/>
      <c r="E76" s="1614"/>
      <c r="F76" s="1614"/>
      <c r="G76" s="1614"/>
      <c r="H76" s="1614"/>
      <c r="I76" s="1614"/>
      <c r="J76" s="1614"/>
      <c r="K76" s="1614"/>
      <c r="L76" s="1614"/>
    </row>
    <row r="77" spans="1:12" ht="15" customHeight="1">
      <c r="B77" s="1539"/>
      <c r="C77" s="1614"/>
      <c r="D77" s="1614"/>
      <c r="E77" s="1614"/>
      <c r="F77" s="1614"/>
      <c r="G77" s="1614"/>
      <c r="H77" s="1614"/>
      <c r="I77" s="1614"/>
      <c r="J77" s="1560" t="s">
        <v>716</v>
      </c>
      <c r="K77" s="1556"/>
      <c r="L77" s="1561" t="s">
        <v>632</v>
      </c>
    </row>
    <row r="78" spans="1:12" ht="15" customHeight="1">
      <c r="B78" s="1554"/>
      <c r="C78" s="1556"/>
      <c r="D78" s="1556"/>
      <c r="E78" s="1530"/>
      <c r="F78" s="1530"/>
      <c r="G78" s="1530"/>
      <c r="J78" s="1558" t="s">
        <v>2676</v>
      </c>
      <c r="K78" s="1559"/>
      <c r="L78" s="1558" t="s">
        <v>2469</v>
      </c>
    </row>
    <row r="79" spans="1:12" ht="15" customHeight="1">
      <c r="B79" s="1554"/>
      <c r="C79" s="1556"/>
      <c r="D79" s="1556"/>
      <c r="E79" s="1530"/>
      <c r="F79" s="1530"/>
      <c r="G79" s="1530"/>
      <c r="I79" s="1557"/>
      <c r="J79" s="1558" t="s">
        <v>2795</v>
      </c>
      <c r="L79" s="1558" t="s">
        <v>2678</v>
      </c>
    </row>
    <row r="80" spans="1:12" ht="15" customHeight="1">
      <c r="A80" s="2133" t="str">
        <f>A72+1&amp;"."</f>
        <v>5.</v>
      </c>
      <c r="B80" s="1562" t="s">
        <v>36</v>
      </c>
      <c r="D80" s="1562"/>
      <c r="E80" s="1530"/>
      <c r="F80" s="1530"/>
      <c r="G80" s="1530"/>
      <c r="I80" s="1557" t="s">
        <v>51</v>
      </c>
      <c r="J80" s="2347" t="s">
        <v>2480</v>
      </c>
      <c r="K80" s="2348"/>
      <c r="L80" s="2348"/>
    </row>
    <row r="81" spans="1:13" ht="15" customHeight="1">
      <c r="A81" s="1538"/>
      <c r="B81" s="1562"/>
      <c r="C81" s="1530"/>
      <c r="D81" s="1530"/>
      <c r="E81" s="1530"/>
      <c r="F81" s="1530"/>
      <c r="G81" s="1530"/>
      <c r="I81" s="1530"/>
      <c r="J81" s="1530"/>
      <c r="K81" s="1530"/>
      <c r="L81" s="1530"/>
    </row>
    <row r="82" spans="1:13" ht="15" customHeight="1">
      <c r="B82" s="1530" t="s">
        <v>2510</v>
      </c>
      <c r="D82" s="1530"/>
      <c r="E82" s="1530"/>
      <c r="F82" s="1530"/>
      <c r="G82" s="1530"/>
      <c r="I82" s="1556">
        <f>+B86</f>
        <v>5.0999999999999996</v>
      </c>
      <c r="J82" s="1613">
        <f>'TB-31 Dec'!I8</f>
        <v>19348</v>
      </c>
      <c r="K82" s="1530"/>
      <c r="L82" s="1563">
        <v>21217</v>
      </c>
    </row>
    <row r="83" spans="1:13" ht="15" customHeight="1">
      <c r="B83" s="1530" t="s">
        <v>2511</v>
      </c>
      <c r="D83" s="1530"/>
      <c r="E83" s="1530"/>
      <c r="F83" s="1530"/>
      <c r="G83" s="1530"/>
      <c r="I83" s="1556">
        <f>B89</f>
        <v>5.1999999999999993</v>
      </c>
      <c r="J83" s="1613">
        <f>'TB-31 Dec'!I7</f>
        <v>503588</v>
      </c>
      <c r="K83" s="1530"/>
      <c r="L83" s="1563">
        <v>244115</v>
      </c>
    </row>
    <row r="84" spans="1:13" ht="15" customHeight="1" thickBot="1">
      <c r="B84" s="1554"/>
      <c r="C84" s="1530"/>
      <c r="D84" s="1530"/>
      <c r="E84" s="1530"/>
      <c r="F84" s="1530"/>
      <c r="G84" s="1530"/>
      <c r="H84" s="1556"/>
      <c r="I84" s="1556"/>
      <c r="J84" s="1621">
        <f>SUM(J82:J83)</f>
        <v>522936</v>
      </c>
      <c r="K84" s="1530"/>
      <c r="L84" s="2241">
        <f>SUM(L82:L83)</f>
        <v>265332</v>
      </c>
    </row>
    <row r="85" spans="1:13" ht="15" customHeight="1" thickTop="1">
      <c r="B85" s="1554"/>
      <c r="C85" s="1530"/>
      <c r="D85" s="1530"/>
      <c r="E85" s="1530"/>
      <c r="F85" s="1530"/>
      <c r="G85" s="1530"/>
      <c r="H85" s="1556"/>
      <c r="I85" s="1556"/>
      <c r="J85" s="1542"/>
      <c r="K85" s="1530"/>
      <c r="L85" s="1542"/>
    </row>
    <row r="86" spans="1:13" ht="15" customHeight="1">
      <c r="B86" s="1554">
        <f>A80+0.1</f>
        <v>5.0999999999999996</v>
      </c>
      <c r="C86" s="2355" t="s">
        <v>2910</v>
      </c>
      <c r="D86" s="2355"/>
      <c r="E86" s="2355"/>
      <c r="F86" s="2355"/>
      <c r="G86" s="2355"/>
      <c r="H86" s="2355"/>
      <c r="I86" s="2355"/>
      <c r="J86" s="2355"/>
      <c r="K86" s="2355"/>
      <c r="L86" s="2355"/>
    </row>
    <row r="87" spans="1:13" ht="15" customHeight="1">
      <c r="B87" s="1554"/>
      <c r="C87" s="2355"/>
      <c r="D87" s="2355"/>
      <c r="E87" s="2355"/>
      <c r="F87" s="2355"/>
      <c r="G87" s="2355"/>
      <c r="H87" s="2355"/>
      <c r="I87" s="2355"/>
      <c r="J87" s="2355"/>
      <c r="K87" s="2355"/>
      <c r="L87" s="2355"/>
    </row>
    <row r="88" spans="1:13" ht="15" customHeight="1">
      <c r="B88" s="1554"/>
      <c r="C88" s="1530"/>
      <c r="D88" s="1530"/>
      <c r="E88" s="1530"/>
      <c r="F88" s="1530"/>
      <c r="G88" s="1530"/>
      <c r="H88" s="1556"/>
      <c r="I88" s="1556"/>
      <c r="J88" s="1542"/>
      <c r="K88" s="1530"/>
      <c r="L88" s="1542"/>
    </row>
    <row r="89" spans="1:13" ht="15" customHeight="1">
      <c r="B89" s="1554">
        <f>B86+0.1</f>
        <v>5.1999999999999993</v>
      </c>
      <c r="C89" s="2356" t="s">
        <v>2904</v>
      </c>
      <c r="D89" s="2356"/>
      <c r="E89" s="2356"/>
      <c r="F89" s="2356"/>
      <c r="G89" s="2356"/>
      <c r="H89" s="2356"/>
      <c r="I89" s="2356"/>
      <c r="J89" s="2356"/>
      <c r="K89" s="2356"/>
      <c r="L89" s="2356"/>
    </row>
    <row r="90" spans="1:13" ht="15" customHeight="1">
      <c r="B90" s="1554"/>
      <c r="C90" s="2356"/>
      <c r="D90" s="2356"/>
      <c r="E90" s="2356"/>
      <c r="F90" s="2356"/>
      <c r="G90" s="2356"/>
      <c r="H90" s="2356"/>
      <c r="I90" s="2356"/>
      <c r="J90" s="2356"/>
      <c r="K90" s="2356"/>
      <c r="L90" s="2356"/>
    </row>
    <row r="91" spans="1:13" ht="15" customHeight="1">
      <c r="B91" s="1554"/>
      <c r="C91" s="2356"/>
      <c r="D91" s="2356"/>
      <c r="E91" s="2356"/>
      <c r="F91" s="2356"/>
      <c r="G91" s="2356"/>
      <c r="H91" s="2356"/>
      <c r="I91" s="2356"/>
      <c r="J91" s="2356"/>
      <c r="K91" s="2356"/>
      <c r="L91" s="2356"/>
    </row>
    <row r="92" spans="1:13" ht="15" customHeight="1">
      <c r="B92" s="1554"/>
      <c r="C92" s="2246"/>
      <c r="D92" s="2246"/>
      <c r="E92" s="2246"/>
      <c r="F92" s="2246"/>
      <c r="G92" s="2246"/>
      <c r="H92" s="2246"/>
      <c r="I92" s="2246"/>
      <c r="J92" s="2246"/>
      <c r="K92" s="2246"/>
      <c r="L92" s="2246"/>
    </row>
    <row r="93" spans="1:13" ht="15" customHeight="1">
      <c r="I93" s="1614"/>
      <c r="J93" s="1560" t="s">
        <v>716</v>
      </c>
      <c r="K93" s="1556"/>
      <c r="L93" s="1561" t="s">
        <v>632</v>
      </c>
    </row>
    <row r="94" spans="1:13" ht="15" customHeight="1">
      <c r="J94" s="1558" t="s">
        <v>2676</v>
      </c>
      <c r="K94" s="1559"/>
      <c r="L94" s="1558" t="s">
        <v>2469</v>
      </c>
    </row>
    <row r="95" spans="1:13" ht="15" customHeight="1">
      <c r="I95" s="1557"/>
      <c r="J95" s="1558" t="s">
        <v>2795</v>
      </c>
      <c r="L95" s="1558" t="s">
        <v>2678</v>
      </c>
    </row>
    <row r="96" spans="1:13" ht="15" customHeight="1">
      <c r="A96" s="1538" t="str">
        <f>+A80+1&amp;"."</f>
        <v>6.</v>
      </c>
      <c r="B96" s="1562" t="s">
        <v>235</v>
      </c>
      <c r="C96" s="1562"/>
      <c r="D96" s="1562"/>
      <c r="E96" s="1537"/>
      <c r="F96" s="1537"/>
      <c r="G96" s="1564"/>
      <c r="H96" s="1530"/>
      <c r="I96" s="1557" t="s">
        <v>51</v>
      </c>
      <c r="J96" s="2347" t="s">
        <v>2480</v>
      </c>
      <c r="K96" s="2348"/>
      <c r="L96" s="2348"/>
      <c r="M96" s="1402"/>
    </row>
    <row r="97" spans="1:13" ht="15" customHeight="1">
      <c r="A97" s="1537"/>
      <c r="B97" s="1537"/>
      <c r="C97" s="1537"/>
      <c r="D97" s="1537"/>
      <c r="E97" s="1537"/>
      <c r="F97" s="1537"/>
      <c r="G97" s="1564"/>
      <c r="H97" s="1537"/>
      <c r="I97" s="1537"/>
      <c r="J97" s="1537"/>
      <c r="K97" s="1537"/>
      <c r="L97" s="1402"/>
      <c r="M97" s="1402"/>
    </row>
    <row r="98" spans="1:13" ht="15" customHeight="1">
      <c r="A98" s="1537"/>
      <c r="B98" s="1538" t="s">
        <v>313</v>
      </c>
      <c r="C98" s="1538"/>
      <c r="D98" s="1538"/>
      <c r="E98" s="1537"/>
      <c r="F98" s="1537"/>
      <c r="G98" s="1564"/>
      <c r="H98" s="1537"/>
      <c r="I98" s="1537"/>
      <c r="J98" s="1537"/>
      <c r="K98" s="1537"/>
      <c r="L98" s="1402"/>
      <c r="M98" s="1402"/>
    </row>
    <row r="99" spans="1:13" ht="15" customHeight="1">
      <c r="A99" s="1537"/>
      <c r="B99" s="1899" t="s">
        <v>2606</v>
      </c>
      <c r="C99" s="1565"/>
      <c r="D99" s="1565"/>
      <c r="E99" s="1537"/>
      <c r="F99" s="1537"/>
      <c r="G99" s="1564"/>
      <c r="I99" s="1556">
        <v>6.1</v>
      </c>
      <c r="J99" s="2114">
        <f>'6-6.1.2'!I173</f>
        <v>10122239.016000001</v>
      </c>
      <c r="K99" s="1402"/>
      <c r="L99" s="1542">
        <v>11903844</v>
      </c>
      <c r="M99" s="1402"/>
    </row>
    <row r="100" spans="1:13" ht="15" customHeight="1">
      <c r="A100" s="1537"/>
      <c r="B100" s="1565" t="s">
        <v>2625</v>
      </c>
      <c r="C100" s="1565"/>
      <c r="D100" s="1565"/>
      <c r="E100" s="1537"/>
      <c r="F100" s="1537"/>
      <c r="G100" s="1564"/>
      <c r="I100" s="1556">
        <v>6.2</v>
      </c>
      <c r="J100" s="2114">
        <f>'6.2'!I67</f>
        <v>0</v>
      </c>
      <c r="K100" s="1402"/>
      <c r="L100" s="1542">
        <f>'6.2'!I69</f>
        <v>0</v>
      </c>
      <c r="M100" s="1402"/>
    </row>
    <row r="101" spans="1:13" ht="15" customHeight="1" thickBot="1">
      <c r="A101" s="1537"/>
      <c r="B101" s="1565"/>
      <c r="C101" s="1565"/>
      <c r="D101" s="1565"/>
      <c r="E101" s="1556"/>
      <c r="F101" s="1556"/>
      <c r="G101" s="1542"/>
      <c r="H101" s="1542"/>
      <c r="I101" s="1564"/>
      <c r="J101" s="1621">
        <f>SUM(J99:J100)</f>
        <v>10122239.016000001</v>
      </c>
      <c r="K101" s="1402"/>
      <c r="L101" s="2241">
        <f>SUM(L99:L100)</f>
        <v>11903844</v>
      </c>
      <c r="M101" s="1402"/>
    </row>
    <row r="102" spans="1:13" ht="15" customHeight="1" thickTop="1"/>
    <row r="105" spans="1:13">
      <c r="D105" s="1836">
        <f>148.61+0.43</f>
        <v>149.04000000000002</v>
      </c>
    </row>
  </sheetData>
  <mergeCells count="21">
    <mergeCell ref="C16:L18"/>
    <mergeCell ref="C66:L70"/>
    <mergeCell ref="C74:L75"/>
    <mergeCell ref="C86:L87"/>
    <mergeCell ref="J80:L80"/>
    <mergeCell ref="C63:L64"/>
    <mergeCell ref="J96:L96"/>
    <mergeCell ref="A1:L1"/>
    <mergeCell ref="A2:L2"/>
    <mergeCell ref="A3:L3"/>
    <mergeCell ref="C46:L50"/>
    <mergeCell ref="C34:L35"/>
    <mergeCell ref="C20:L23"/>
    <mergeCell ref="C25:L26"/>
    <mergeCell ref="C28:L30"/>
    <mergeCell ref="C43:L44"/>
    <mergeCell ref="C56:L57"/>
    <mergeCell ref="C89:L91"/>
    <mergeCell ref="C59:L59"/>
    <mergeCell ref="C7:L14"/>
    <mergeCell ref="C52:L54"/>
  </mergeCells>
  <pageMargins left="0.75" right="0.25" top="0.75" bottom="0" header="0.25" footer="0"/>
  <pageSetup paperSize="9" scale="73" firstPageNumber="6" fitToHeight="0" orientation="portrait" useFirstPageNumber="1" r:id="rId1"/>
  <headerFooter differentFirst="1">
    <oddHeader>&amp;C&amp;"Arial Black,Regular"&amp;11&amp;P&amp;R&amp;"Arial Black,Regular"&amp;11MCB PAKISTAN STOCK MARKET FUND</oddHeader>
  </headerFooter>
  <rowBreaks count="1" manualBreakCount="1">
    <brk id="54"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9"/>
  <sheetViews>
    <sheetView view="pageBreakPreview" topLeftCell="A196" zoomScale="90" zoomScaleNormal="100" zoomScaleSheetLayoutView="90" workbookViewId="0">
      <selection activeCell="H188" sqref="H188"/>
    </sheetView>
  </sheetViews>
  <sheetFormatPr defaultColWidth="10.09765625" defaultRowHeight="15.6"/>
  <cols>
    <col min="1" max="1" width="4.09765625" style="1402" customWidth="1"/>
    <col min="2" max="2" width="44.5" style="1402" customWidth="1"/>
    <col min="3" max="3" width="11.59765625" style="1564" customWidth="1"/>
    <col min="4" max="4" width="13.09765625" style="1564" customWidth="1"/>
    <col min="5" max="5" width="13.59765625" style="1564" customWidth="1"/>
    <col min="6" max="6" width="11.59765625" style="1564" customWidth="1"/>
    <col min="7" max="7" width="12.59765625" style="1564" customWidth="1"/>
    <col min="8" max="8" width="11.5" style="1564" customWidth="1"/>
    <col min="9" max="9" width="14.5" style="1564" customWidth="1"/>
    <col min="10" max="10" width="11.59765625" style="1402" customWidth="1"/>
    <col min="11" max="11" width="14.09765625" style="1839" customWidth="1"/>
    <col min="12" max="12" width="13.59765625" style="1649" customWidth="1"/>
    <col min="13" max="13" width="11" style="2011" customWidth="1"/>
    <col min="14" max="14" width="8" style="1010" customWidth="1"/>
    <col min="15" max="15" width="12.59765625" style="1010" customWidth="1"/>
    <col min="16" max="16" width="11.09765625" style="1010" customWidth="1"/>
    <col min="17" max="17" width="8.59765625" style="1010" customWidth="1"/>
    <col min="18" max="18" width="10" style="1010" customWidth="1"/>
    <col min="19" max="19" width="7.59765625" style="1010" customWidth="1"/>
    <col min="20" max="20" width="13" style="1010" customWidth="1"/>
    <col min="21" max="21" width="9.09765625" style="1010" customWidth="1"/>
    <col min="22" max="45" width="10.09765625" style="1010" customWidth="1"/>
    <col min="46" max="16381" width="10.09765625" style="1010"/>
    <col min="16382" max="16382" width="12.09765625" style="1010" bestFit="1" customWidth="1"/>
    <col min="16383" max="16384" width="10.09765625" style="1010"/>
  </cols>
  <sheetData>
    <row r="1" spans="1:14" ht="15" customHeight="1">
      <c r="A1" s="1553">
        <v>6.1</v>
      </c>
      <c r="B1" s="1566" t="s">
        <v>2527</v>
      </c>
      <c r="C1" s="1567"/>
      <c r="D1" s="1567"/>
      <c r="E1" s="1567"/>
      <c r="F1" s="1567"/>
      <c r="G1" s="1567"/>
      <c r="H1" s="1567"/>
      <c r="I1" s="1567"/>
      <c r="J1" s="1568"/>
      <c r="K1" s="1837"/>
      <c r="L1" s="1900"/>
      <c r="M1" s="2140"/>
      <c r="N1" s="1568"/>
    </row>
    <row r="2" spans="1:14" ht="9.9" customHeight="1">
      <c r="A2" s="1553"/>
      <c r="B2" s="1566"/>
      <c r="C2" s="1567"/>
      <c r="D2" s="1567"/>
      <c r="E2" s="1567"/>
      <c r="F2" s="1567"/>
      <c r="G2" s="1567"/>
      <c r="H2" s="1567"/>
      <c r="I2" s="1567"/>
      <c r="J2" s="1568"/>
      <c r="K2" s="1837"/>
      <c r="L2" s="1900"/>
      <c r="M2" s="2140"/>
      <c r="N2" s="1568"/>
    </row>
    <row r="3" spans="1:14" ht="15" customHeight="1">
      <c r="A3" s="1637"/>
      <c r="B3" s="2369" t="s">
        <v>116</v>
      </c>
      <c r="C3" s="1842" t="s">
        <v>2600</v>
      </c>
      <c r="D3" s="1843"/>
      <c r="E3" s="1843"/>
      <c r="F3" s="1843"/>
      <c r="G3" s="1844"/>
      <c r="H3" s="2370" t="s">
        <v>2812</v>
      </c>
      <c r="I3" s="2371"/>
      <c r="J3" s="2372"/>
      <c r="K3" s="2368" t="s">
        <v>2516</v>
      </c>
      <c r="L3" s="2365" t="s">
        <v>2517</v>
      </c>
      <c r="M3" s="2140"/>
      <c r="N3" s="1638"/>
    </row>
    <row r="4" spans="1:14" ht="15" customHeight="1">
      <c r="A4" s="1637"/>
      <c r="B4" s="2369"/>
      <c r="C4" s="2366" t="s">
        <v>2809</v>
      </c>
      <c r="D4" s="2366" t="s">
        <v>2515</v>
      </c>
      <c r="E4" s="2366" t="s">
        <v>2599</v>
      </c>
      <c r="F4" s="2366" t="s">
        <v>2412</v>
      </c>
      <c r="G4" s="2366" t="s">
        <v>2810</v>
      </c>
      <c r="H4" s="2366" t="s">
        <v>985</v>
      </c>
      <c r="I4" s="2366" t="s">
        <v>2811</v>
      </c>
      <c r="J4" s="2366" t="s">
        <v>2594</v>
      </c>
      <c r="K4" s="2368"/>
      <c r="L4" s="2365"/>
      <c r="M4" s="2140"/>
      <c r="N4" s="1638"/>
    </row>
    <row r="5" spans="1:14" ht="15" customHeight="1">
      <c r="A5" s="1637"/>
      <c r="B5" s="2369"/>
      <c r="C5" s="2367"/>
      <c r="D5" s="2367"/>
      <c r="E5" s="2367"/>
      <c r="F5" s="2367"/>
      <c r="G5" s="2367"/>
      <c r="H5" s="2367"/>
      <c r="I5" s="2367"/>
      <c r="J5" s="2367"/>
      <c r="K5" s="2368"/>
      <c r="L5" s="2365"/>
      <c r="M5" s="2140"/>
      <c r="N5" s="1638"/>
    </row>
    <row r="6" spans="1:14" ht="15" customHeight="1">
      <c r="A6" s="1637"/>
      <c r="B6" s="2369"/>
      <c r="C6" s="2373"/>
      <c r="D6" s="2373"/>
      <c r="E6" s="2373"/>
      <c r="F6" s="2373"/>
      <c r="G6" s="2373"/>
      <c r="H6" s="2367"/>
      <c r="I6" s="2367"/>
      <c r="J6" s="2367"/>
      <c r="K6" s="2368"/>
      <c r="L6" s="2365"/>
      <c r="M6" s="2140"/>
      <c r="N6" s="1638"/>
    </row>
    <row r="7" spans="1:14" ht="15" customHeight="1">
      <c r="A7" s="1637"/>
      <c r="B7" s="1641"/>
      <c r="C7" s="1640"/>
      <c r="D7" s="1642"/>
      <c r="E7" s="1642"/>
      <c r="F7" s="1642"/>
      <c r="G7" s="1642"/>
      <c r="H7" s="2362" t="s">
        <v>2518</v>
      </c>
      <c r="I7" s="2362"/>
      <c r="J7" s="2362"/>
      <c r="K7" s="2362" t="s">
        <v>2531</v>
      </c>
      <c r="L7" s="2362"/>
      <c r="M7" s="2140"/>
      <c r="N7" s="1643"/>
    </row>
    <row r="8" spans="1:14" ht="15" customHeight="1">
      <c r="A8" s="1637"/>
      <c r="B8" s="2272" t="s">
        <v>2512</v>
      </c>
      <c r="C8" s="2273"/>
      <c r="D8" s="2274"/>
      <c r="E8" s="2274"/>
      <c r="F8" s="2274"/>
      <c r="G8" s="2274"/>
      <c r="H8" s="2275"/>
      <c r="I8" s="2275"/>
      <c r="J8" s="2275"/>
      <c r="K8" s="2276"/>
      <c r="L8" s="2277"/>
      <c r="M8" s="2140"/>
      <c r="N8" s="1643"/>
    </row>
    <row r="9" spans="1:14" ht="12" customHeight="1">
      <c r="A9" s="1637"/>
      <c r="B9" s="2318"/>
      <c r="C9" s="2273"/>
      <c r="D9" s="2274"/>
      <c r="E9" s="2274"/>
      <c r="F9" s="2274"/>
      <c r="G9" s="2274"/>
      <c r="H9" s="2275"/>
      <c r="I9" s="2275"/>
      <c r="J9" s="2275"/>
      <c r="K9" s="2276"/>
      <c r="L9" s="2277"/>
      <c r="M9" s="2140"/>
      <c r="N9" s="1643"/>
    </row>
    <row r="10" spans="1:14" ht="15" customHeight="1">
      <c r="A10" s="1533"/>
      <c r="B10" s="2278" t="s">
        <v>2356</v>
      </c>
      <c r="C10" s="2279"/>
      <c r="D10" s="2279"/>
      <c r="E10" s="2279"/>
      <c r="F10" s="2279"/>
      <c r="G10" s="2279"/>
      <c r="H10" s="2279"/>
      <c r="I10" s="2279"/>
      <c r="J10" s="2279"/>
      <c r="K10" s="2280"/>
      <c r="L10" s="2281"/>
      <c r="M10" s="2157">
        <v>100</v>
      </c>
    </row>
    <row r="11" spans="1:14" ht="15" customHeight="1">
      <c r="A11" s="1533"/>
      <c r="B11" s="2279" t="s">
        <v>490</v>
      </c>
      <c r="C11" s="2282">
        <v>0</v>
      </c>
      <c r="D11" s="2282">
        <v>226600</v>
      </c>
      <c r="E11" s="2282">
        <v>0</v>
      </c>
      <c r="F11" s="2282">
        <v>226600</v>
      </c>
      <c r="G11" s="2282">
        <f t="shared" ref="G11:G15" si="0">C11+D11+E11-F11</f>
        <v>0</v>
      </c>
      <c r="H11" s="2282">
        <v>0</v>
      </c>
      <c r="I11" s="2282">
        <v>0</v>
      </c>
      <c r="J11" s="2282">
        <f>I11-H11</f>
        <v>0</v>
      </c>
      <c r="K11" s="2283">
        <f>I11/BS!$F$28</f>
        <v>0</v>
      </c>
      <c r="L11" s="2284">
        <f>M11/$M$10</f>
        <v>0</v>
      </c>
      <c r="M11" s="2244">
        <v>0</v>
      </c>
    </row>
    <row r="12" spans="1:14" ht="15" customHeight="1">
      <c r="A12" s="1533"/>
      <c r="B12" s="2279" t="s">
        <v>1156</v>
      </c>
      <c r="C12" s="2282">
        <v>486300</v>
      </c>
      <c r="D12" s="2282">
        <v>120000</v>
      </c>
      <c r="E12" s="2282">
        <v>0</v>
      </c>
      <c r="F12" s="2282">
        <v>383700</v>
      </c>
      <c r="G12" s="2282">
        <f t="shared" si="0"/>
        <v>222600</v>
      </c>
      <c r="H12" s="2282">
        <v>64289.127999999997</v>
      </c>
      <c r="I12" s="2282">
        <v>46129.398000000001</v>
      </c>
      <c r="J12" s="2282">
        <f>I12-H12</f>
        <v>-18159.729999999996</v>
      </c>
      <c r="K12" s="2283">
        <f>I12/BS!$F$28</f>
        <v>4.3177458705146114E-3</v>
      </c>
      <c r="L12" s="2284">
        <f t="shared" ref="L12:L15" si="1">M12/$M$10</f>
        <v>1.6000000000000001E-3</v>
      </c>
      <c r="M12" s="2244">
        <v>0.16</v>
      </c>
    </row>
    <row r="13" spans="1:14" ht="15" customHeight="1">
      <c r="A13" s="1533"/>
      <c r="B13" s="2279" t="s">
        <v>2646</v>
      </c>
      <c r="C13" s="2282">
        <v>179790</v>
      </c>
      <c r="D13" s="2282">
        <v>0</v>
      </c>
      <c r="E13" s="2282">
        <v>0</v>
      </c>
      <c r="F13" s="2282">
        <v>179790</v>
      </c>
      <c r="G13" s="2282">
        <f t="shared" si="0"/>
        <v>0</v>
      </c>
      <c r="H13" s="2282">
        <v>0</v>
      </c>
      <c r="I13" s="2282">
        <v>0</v>
      </c>
      <c r="J13" s="2282">
        <f>I13-H13</f>
        <v>0</v>
      </c>
      <c r="K13" s="2283">
        <f>I13/BS!$F$28</f>
        <v>0</v>
      </c>
      <c r="L13" s="2284">
        <f t="shared" si="1"/>
        <v>0</v>
      </c>
      <c r="M13" s="2244">
        <v>0</v>
      </c>
    </row>
    <row r="14" spans="1:14" ht="15" customHeight="1">
      <c r="A14" s="1533"/>
      <c r="B14" s="2279" t="s">
        <v>1999</v>
      </c>
      <c r="C14" s="2282">
        <v>90000</v>
      </c>
      <c r="D14" s="2282">
        <v>0</v>
      </c>
      <c r="E14" s="2282">
        <v>0</v>
      </c>
      <c r="F14" s="2282">
        <v>90000</v>
      </c>
      <c r="G14" s="2282">
        <f t="shared" si="0"/>
        <v>0</v>
      </c>
      <c r="H14" s="2282">
        <v>0</v>
      </c>
      <c r="I14" s="2282">
        <v>0</v>
      </c>
      <c r="J14" s="2282">
        <f>I14-H14</f>
        <v>0</v>
      </c>
      <c r="K14" s="2283">
        <f>I14/BS!$F$28</f>
        <v>0</v>
      </c>
      <c r="L14" s="2284">
        <f t="shared" si="1"/>
        <v>0</v>
      </c>
      <c r="M14" s="2244">
        <v>0</v>
      </c>
    </row>
    <row r="15" spans="1:14" ht="15" customHeight="1">
      <c r="A15" s="1533"/>
      <c r="B15" s="2279" t="s">
        <v>2647</v>
      </c>
      <c r="C15" s="2282">
        <v>265000</v>
      </c>
      <c r="D15" s="2282">
        <v>611300</v>
      </c>
      <c r="E15" s="2282">
        <v>0</v>
      </c>
      <c r="F15" s="2282">
        <v>573200</v>
      </c>
      <c r="G15" s="2282">
        <f t="shared" si="0"/>
        <v>303100</v>
      </c>
      <c r="H15" s="2282">
        <v>88780.93</v>
      </c>
      <c r="I15" s="2282">
        <v>68418.763000000006</v>
      </c>
      <c r="J15" s="2282">
        <f>I15-H15</f>
        <v>-20362.166999999987</v>
      </c>
      <c r="K15" s="2283">
        <f>I15/BS!$F$28</f>
        <v>6.4040469682471882E-3</v>
      </c>
      <c r="L15" s="2284">
        <f t="shared" si="1"/>
        <v>3.7000000000000002E-3</v>
      </c>
      <c r="M15" s="2244">
        <v>0.37</v>
      </c>
    </row>
    <row r="16" spans="1:14" ht="15" customHeight="1">
      <c r="A16" s="1533"/>
      <c r="B16" s="2279"/>
      <c r="C16" s="2282"/>
      <c r="D16" s="2282"/>
      <c r="E16" s="2282"/>
      <c r="F16" s="2282"/>
      <c r="G16" s="2282"/>
      <c r="H16" s="2285">
        <f>SUM(H11:H15)</f>
        <v>153070.05799999999</v>
      </c>
      <c r="I16" s="2285">
        <f>SUM(I11:I15)</f>
        <v>114548.16100000001</v>
      </c>
      <c r="J16" s="2285">
        <f>SUM(J11:J15)</f>
        <v>-38521.896999999983</v>
      </c>
      <c r="K16" s="2286">
        <f t="shared" ref="K16:L16" si="2">SUM(K11:K15)</f>
        <v>1.07217928387618E-2</v>
      </c>
      <c r="L16" s="2286">
        <f t="shared" si="2"/>
        <v>5.3E-3</v>
      </c>
      <c r="M16" s="2245"/>
    </row>
    <row r="17" spans="1:13" ht="15" customHeight="1">
      <c r="A17" s="1533"/>
      <c r="B17" s="2278" t="s">
        <v>1025</v>
      </c>
      <c r="C17" s="2282"/>
      <c r="D17" s="2282"/>
      <c r="E17" s="2282"/>
      <c r="F17" s="2282"/>
      <c r="G17" s="2282"/>
      <c r="H17" s="2282"/>
      <c r="I17" s="2282"/>
      <c r="J17" s="2282"/>
      <c r="K17" s="2283"/>
      <c r="L17" s="2284"/>
      <c r="M17" s="2244"/>
    </row>
    <row r="18" spans="1:13" ht="15" customHeight="1">
      <c r="A18" s="1533"/>
      <c r="B18" s="2279" t="s">
        <v>2686</v>
      </c>
      <c r="C18" s="2282">
        <v>0</v>
      </c>
      <c r="D18" s="2282">
        <v>95800</v>
      </c>
      <c r="E18" s="2282">
        <v>0</v>
      </c>
      <c r="F18" s="2282">
        <v>0</v>
      </c>
      <c r="G18" s="2282">
        <f t="shared" ref="G18:G22" si="3">C18+D18+E18-F18</f>
        <v>95800</v>
      </c>
      <c r="H18" s="2282">
        <v>16251.205</v>
      </c>
      <c r="I18" s="2282">
        <v>16333.9</v>
      </c>
      <c r="J18" s="2282">
        <f t="shared" ref="J18:J22" si="4">I18-H18</f>
        <v>82.694999999999709</v>
      </c>
      <c r="K18" s="2283">
        <f>I18/BS!$F$28</f>
        <v>1.5288651561071447E-3</v>
      </c>
      <c r="L18" s="2284">
        <f t="shared" ref="L18:L22" si="5">M18/$M$10</f>
        <v>3.3E-3</v>
      </c>
      <c r="M18" s="2244">
        <v>0.33</v>
      </c>
    </row>
    <row r="19" spans="1:13" ht="15" customHeight="1">
      <c r="A19" s="1533"/>
      <c r="B19" s="2279" t="s">
        <v>2007</v>
      </c>
      <c r="C19" s="2282">
        <v>0</v>
      </c>
      <c r="D19" s="2282">
        <v>13900</v>
      </c>
      <c r="E19" s="2282">
        <v>0</v>
      </c>
      <c r="F19" s="2282">
        <v>0</v>
      </c>
      <c r="G19" s="2282">
        <f t="shared" si="3"/>
        <v>13900</v>
      </c>
      <c r="H19" s="2282">
        <v>2312.0650000000001</v>
      </c>
      <c r="I19" s="2282">
        <v>2407.0630000000001</v>
      </c>
      <c r="J19" s="2282">
        <f t="shared" si="4"/>
        <v>94.998000000000047</v>
      </c>
      <c r="K19" s="2283">
        <f>I19/BS!$F$28</f>
        <v>2.253028823033527E-4</v>
      </c>
      <c r="L19" s="2284">
        <f t="shared" si="5"/>
        <v>5.0000000000000001E-4</v>
      </c>
      <c r="M19" s="2244">
        <v>0.05</v>
      </c>
    </row>
    <row r="20" spans="1:13" ht="15" customHeight="1">
      <c r="A20" s="1533"/>
      <c r="B20" s="2279" t="s">
        <v>2844</v>
      </c>
      <c r="C20" s="2282">
        <v>0</v>
      </c>
      <c r="D20" s="2282">
        <v>1032000</v>
      </c>
      <c r="E20" s="2282">
        <v>0</v>
      </c>
      <c r="F20" s="2282">
        <v>0</v>
      </c>
      <c r="G20" s="2282">
        <f t="shared" si="3"/>
        <v>1032000</v>
      </c>
      <c r="H20" s="2282">
        <v>55589.815000000002</v>
      </c>
      <c r="I20" s="2282">
        <v>44406.96</v>
      </c>
      <c r="J20" s="2282">
        <f t="shared" si="4"/>
        <v>-11182.855000000003</v>
      </c>
      <c r="K20" s="2283">
        <f>I20/BS!$F$28</f>
        <v>4.1565243960501614E-3</v>
      </c>
      <c r="L20" s="2284">
        <f t="shared" si="5"/>
        <v>8.5000000000000006E-3</v>
      </c>
      <c r="M20" s="2244">
        <v>0.85</v>
      </c>
    </row>
    <row r="21" spans="1:13" ht="15" customHeight="1">
      <c r="A21" s="1533"/>
      <c r="B21" s="2279" t="s">
        <v>2687</v>
      </c>
      <c r="C21" s="2282">
        <v>2065504</v>
      </c>
      <c r="D21" s="2282">
        <v>504500</v>
      </c>
      <c r="E21" s="2282">
        <v>230000</v>
      </c>
      <c r="F21" s="2282">
        <v>2311504</v>
      </c>
      <c r="G21" s="2282">
        <f t="shared" si="3"/>
        <v>488500</v>
      </c>
      <c r="H21" s="2282">
        <v>22895.848000000002</v>
      </c>
      <c r="I21" s="2282">
        <v>16701.814999999999</v>
      </c>
      <c r="J21" s="2282">
        <f t="shared" si="4"/>
        <v>-6194.0330000000031</v>
      </c>
      <c r="K21" s="2283">
        <f>I21/BS!$F$28</f>
        <v>1.5633022730179352E-3</v>
      </c>
      <c r="L21" s="2284">
        <f t="shared" si="5"/>
        <v>2.8999999999999998E-3</v>
      </c>
      <c r="M21" s="2244">
        <v>0.28999999999999998</v>
      </c>
    </row>
    <row r="22" spans="1:13" ht="15" customHeight="1">
      <c r="A22" s="1533"/>
      <c r="B22" s="2279" t="s">
        <v>2867</v>
      </c>
      <c r="C22" s="2282">
        <v>633300</v>
      </c>
      <c r="D22" s="2282">
        <v>0</v>
      </c>
      <c r="E22" s="2282">
        <v>0</v>
      </c>
      <c r="F22" s="2282">
        <v>262400</v>
      </c>
      <c r="G22" s="2282">
        <f t="shared" si="3"/>
        <v>370900</v>
      </c>
      <c r="H22" s="2282">
        <v>156809.10200000001</v>
      </c>
      <c r="I22" s="2282">
        <v>135478.64300000001</v>
      </c>
      <c r="J22" s="2282">
        <f t="shared" si="4"/>
        <v>-21330.459000000003</v>
      </c>
      <c r="K22" s="2283">
        <f>I22/BS!$F$28</f>
        <v>1.2680901479706571E-2</v>
      </c>
      <c r="L22" s="2284">
        <f t="shared" si="5"/>
        <v>4.5999999999999999E-3</v>
      </c>
      <c r="M22" s="2244">
        <v>0.46</v>
      </c>
    </row>
    <row r="23" spans="1:13" ht="15" customHeight="1">
      <c r="A23" s="1533"/>
      <c r="B23" s="2279"/>
      <c r="C23" s="2282"/>
      <c r="D23" s="2282"/>
      <c r="E23" s="2282"/>
      <c r="F23" s="2282"/>
      <c r="G23" s="2282"/>
      <c r="H23" s="2285">
        <f>SUM(H18:H22)</f>
        <v>253858.03500000003</v>
      </c>
      <c r="I23" s="2285">
        <f>SUM(I18:I22)</f>
        <v>215328.38099999999</v>
      </c>
      <c r="J23" s="2285">
        <f>SUM(J18:J22)</f>
        <v>-38529.65400000001</v>
      </c>
      <c r="K23" s="2286">
        <f t="shared" ref="K23" si="6">SUM(K18:K22)</f>
        <v>2.0154896187185165E-2</v>
      </c>
      <c r="L23" s="2286">
        <f t="shared" ref="L23" si="7">SUM(L18:L22)</f>
        <v>1.9799999999999998E-2</v>
      </c>
      <c r="M23" s="2245"/>
    </row>
    <row r="24" spans="1:13" ht="15" customHeight="1">
      <c r="A24" s="1533"/>
      <c r="B24" s="2278" t="s">
        <v>2688</v>
      </c>
      <c r="C24" s="2282"/>
      <c r="D24" s="2282"/>
      <c r="E24" s="2282"/>
      <c r="F24" s="2282"/>
      <c r="G24" s="2282"/>
      <c r="H24" s="2282"/>
      <c r="I24" s="2282"/>
      <c r="J24" s="2282"/>
      <c r="K24" s="2283"/>
      <c r="L24" s="2281"/>
      <c r="M24" s="2244"/>
    </row>
    <row r="25" spans="1:13" ht="15" customHeight="1">
      <c r="A25" s="1533"/>
      <c r="B25" s="1179" t="s">
        <v>2928</v>
      </c>
      <c r="C25" s="2282">
        <v>0</v>
      </c>
      <c r="D25" s="2282">
        <v>6122000</v>
      </c>
      <c r="E25" s="2282">
        <v>0</v>
      </c>
      <c r="F25" s="2282">
        <v>5722000</v>
      </c>
      <c r="G25" s="2282">
        <f t="shared" ref="G25:G26" si="8">C25+D25+E25-F25</f>
        <v>400000</v>
      </c>
      <c r="H25" s="2282">
        <v>11060.88</v>
      </c>
      <c r="I25" s="2282">
        <v>6612</v>
      </c>
      <c r="J25" s="2282">
        <f t="shared" ref="J25:J26" si="9">I25-H25</f>
        <v>-4448.8799999999992</v>
      </c>
      <c r="K25" s="2283">
        <f>I25/BS!$F$28</f>
        <v>6.1888810462782566E-4</v>
      </c>
      <c r="L25" s="2284">
        <f t="shared" ref="L25:L26" si="10">M25/$M$10</f>
        <v>8.0000000000000004E-4</v>
      </c>
      <c r="M25" s="2244">
        <v>0.08</v>
      </c>
    </row>
    <row r="26" spans="1:13" ht="15" customHeight="1">
      <c r="A26" s="1533"/>
      <c r="B26" s="1179" t="s">
        <v>2845</v>
      </c>
      <c r="C26" s="1188">
        <v>0</v>
      </c>
      <c r="D26" s="1188">
        <v>0</v>
      </c>
      <c r="E26" s="1188">
        <v>2232000</v>
      </c>
      <c r="F26" s="1188">
        <v>0</v>
      </c>
      <c r="G26" s="1188">
        <f t="shared" si="8"/>
        <v>2232000</v>
      </c>
      <c r="H26" s="1188">
        <v>0</v>
      </c>
      <c r="I26" s="1188">
        <v>4285.4399999999996</v>
      </c>
      <c r="J26" s="1188">
        <f t="shared" si="9"/>
        <v>4285.4399999999996</v>
      </c>
      <c r="K26" s="2283">
        <f>I26/BS!$F$28</f>
        <v>4.0112036283972607E-4</v>
      </c>
      <c r="L26" s="2284">
        <f t="shared" si="10"/>
        <v>0</v>
      </c>
      <c r="M26" s="2244">
        <v>0</v>
      </c>
    </row>
    <row r="27" spans="1:13" ht="15" customHeight="1">
      <c r="A27" s="1533"/>
      <c r="B27" s="2279"/>
      <c r="C27" s="2282"/>
      <c r="D27" s="2282"/>
      <c r="E27" s="2282"/>
      <c r="F27" s="2282"/>
      <c r="G27" s="2282"/>
      <c r="H27" s="2285">
        <f>SUM(H25:H26)</f>
        <v>11060.88</v>
      </c>
      <c r="I27" s="2285">
        <f t="shared" ref="I27:J27" si="11">SUM(I25:I26)</f>
        <v>10897.439999999999</v>
      </c>
      <c r="J27" s="2285">
        <f t="shared" si="11"/>
        <v>-163.4399999999996</v>
      </c>
      <c r="K27" s="2286">
        <f t="shared" ref="K27" si="12">SUM(K25:K26)</f>
        <v>1.0200084674675518E-3</v>
      </c>
      <c r="L27" s="2287">
        <f t="shared" ref="L27" si="13">SUM(L25:L26)</f>
        <v>8.0000000000000004E-4</v>
      </c>
      <c r="M27" s="2245"/>
    </row>
    <row r="28" spans="1:13" ht="15" customHeight="1">
      <c r="A28" s="1533"/>
      <c r="B28" s="2278" t="s">
        <v>1029</v>
      </c>
      <c r="C28" s="2282"/>
      <c r="D28" s="2282"/>
      <c r="E28" s="2282"/>
      <c r="F28" s="2282"/>
      <c r="G28" s="2282"/>
      <c r="H28" s="2282"/>
      <c r="I28" s="2282"/>
      <c r="J28" s="2282"/>
      <c r="K28" s="2283"/>
      <c r="L28" s="2284"/>
      <c r="M28" s="2244"/>
    </row>
    <row r="29" spans="1:13" ht="15" customHeight="1">
      <c r="A29" s="1533"/>
      <c r="B29" s="2279" t="s">
        <v>1855</v>
      </c>
      <c r="C29" s="2282">
        <v>0</v>
      </c>
      <c r="D29" s="2282">
        <v>855600</v>
      </c>
      <c r="E29" s="2282">
        <v>0</v>
      </c>
      <c r="F29" s="2282">
        <v>279200</v>
      </c>
      <c r="G29" s="2282">
        <f t="shared" ref="G29:G38" si="14">C29+D29+E29-F29</f>
        <v>576400</v>
      </c>
      <c r="H29" s="2282">
        <v>86037.038</v>
      </c>
      <c r="I29" s="2282">
        <v>80915.032000000007</v>
      </c>
      <c r="J29" s="2282">
        <f t="shared" ref="J29:J38" si="15">I29-H29</f>
        <v>-5122.0059999999939</v>
      </c>
      <c r="K29" s="2283">
        <f>I29/BS!$F$28</f>
        <v>7.5737070160889087E-3</v>
      </c>
      <c r="L29" s="2284">
        <f t="shared" ref="L29:L38" si="16">M29/$M$10</f>
        <v>1E-3</v>
      </c>
      <c r="M29" s="2244">
        <v>0.1</v>
      </c>
    </row>
    <row r="30" spans="1:13" ht="15" customHeight="1">
      <c r="A30" s="1533"/>
      <c r="B30" s="2279" t="s">
        <v>1062</v>
      </c>
      <c r="C30" s="2282">
        <v>48000</v>
      </c>
      <c r="D30" s="2282">
        <v>3254140</v>
      </c>
      <c r="E30" s="2282">
        <v>0</v>
      </c>
      <c r="F30" s="2282">
        <v>1648600</v>
      </c>
      <c r="G30" s="2282">
        <f t="shared" si="14"/>
        <v>1653540</v>
      </c>
      <c r="H30" s="2282">
        <v>245083.06899999999</v>
      </c>
      <c r="I30" s="2282">
        <v>232950.715</v>
      </c>
      <c r="J30" s="2282">
        <f t="shared" si="15"/>
        <v>-12132.353999999992</v>
      </c>
      <c r="K30" s="2283">
        <f>I30/BS!$F$28</f>
        <v>2.1804359721422684E-2</v>
      </c>
      <c r="L30" s="2284">
        <f t="shared" si="16"/>
        <v>8.5000000000000006E-3</v>
      </c>
      <c r="M30" s="2244">
        <v>0.85</v>
      </c>
    </row>
    <row r="31" spans="1:13" ht="15" customHeight="1">
      <c r="A31" s="1533"/>
      <c r="B31" s="1179" t="s">
        <v>2927</v>
      </c>
      <c r="C31" s="2282">
        <v>1851480</v>
      </c>
      <c r="D31" s="2282">
        <v>6111925</v>
      </c>
      <c r="E31" s="2282">
        <v>0</v>
      </c>
      <c r="F31" s="2282">
        <v>2954826</v>
      </c>
      <c r="G31" s="2282">
        <f t="shared" si="14"/>
        <v>5008579</v>
      </c>
      <c r="H31" s="2282">
        <v>417409.96500000003</v>
      </c>
      <c r="I31" s="2282">
        <v>380902.43300000002</v>
      </c>
      <c r="J31" s="2282">
        <f t="shared" si="15"/>
        <v>-36507.532000000007</v>
      </c>
      <c r="K31" s="2283">
        <f>I31/BS!$F$28</f>
        <v>3.5652750273366209E-2</v>
      </c>
      <c r="L31" s="2284">
        <f t="shared" si="16"/>
        <v>1.1399999999999999E-2</v>
      </c>
      <c r="M31" s="2244">
        <v>1.1399999999999999</v>
      </c>
    </row>
    <row r="32" spans="1:13" ht="15" customHeight="1">
      <c r="A32" s="1533"/>
      <c r="B32" s="2279" t="s">
        <v>642</v>
      </c>
      <c r="C32" s="2282">
        <v>0</v>
      </c>
      <c r="D32" s="2282">
        <v>25464000</v>
      </c>
      <c r="E32" s="2282">
        <v>0</v>
      </c>
      <c r="F32" s="2282">
        <v>3243500</v>
      </c>
      <c r="G32" s="2282">
        <f t="shared" si="14"/>
        <v>22220500</v>
      </c>
      <c r="H32" s="2282">
        <v>424373.77500000002</v>
      </c>
      <c r="I32" s="2282">
        <v>402635.46</v>
      </c>
      <c r="J32" s="2282">
        <f t="shared" si="15"/>
        <v>-21738.315000000002</v>
      </c>
      <c r="K32" s="2283">
        <f>I32/BS!$F$28</f>
        <v>3.7686977721620191E-2</v>
      </c>
      <c r="L32" s="2284">
        <f t="shared" si="16"/>
        <v>1.61E-2</v>
      </c>
      <c r="M32" s="2244">
        <v>1.61</v>
      </c>
    </row>
    <row r="33" spans="1:13" ht="15" customHeight="1">
      <c r="A33" s="1533"/>
      <c r="B33" s="2279" t="s">
        <v>2846</v>
      </c>
      <c r="C33" s="2282">
        <v>0</v>
      </c>
      <c r="D33" s="2282">
        <v>104000</v>
      </c>
      <c r="E33" s="2282">
        <v>0</v>
      </c>
      <c r="F33" s="2282">
        <v>0</v>
      </c>
      <c r="G33" s="2282">
        <f t="shared" si="14"/>
        <v>104000</v>
      </c>
      <c r="H33" s="2282">
        <v>2651.5219999999999</v>
      </c>
      <c r="I33" s="2282">
        <v>2667.6</v>
      </c>
      <c r="J33" s="2282">
        <f t="shared" si="15"/>
        <v>16.077999999999975</v>
      </c>
      <c r="K33" s="2283">
        <f>I33/BS!$F$28</f>
        <v>2.4968933876364001E-4</v>
      </c>
      <c r="L33" s="2284">
        <f t="shared" si="16"/>
        <v>2.9999999999999997E-4</v>
      </c>
      <c r="M33" s="2244">
        <v>0.03</v>
      </c>
    </row>
    <row r="34" spans="1:13" ht="15" customHeight="1">
      <c r="A34" s="1533"/>
      <c r="B34" s="2279" t="s">
        <v>336</v>
      </c>
      <c r="C34" s="2282">
        <v>1583670</v>
      </c>
      <c r="D34" s="2282">
        <v>145000</v>
      </c>
      <c r="E34" s="2282">
        <v>0</v>
      </c>
      <c r="F34" s="2282">
        <v>1017500</v>
      </c>
      <c r="G34" s="2282">
        <f t="shared" si="14"/>
        <v>711170</v>
      </c>
      <c r="H34" s="2282">
        <v>143417.88500000001</v>
      </c>
      <c r="I34" s="2282">
        <v>122250.12300000001</v>
      </c>
      <c r="J34" s="2282">
        <f t="shared" si="15"/>
        <v>-21167.762000000002</v>
      </c>
      <c r="K34" s="2283">
        <f>I34/BS!$F$28</f>
        <v>1.1442702195098088E-2</v>
      </c>
      <c r="L34" s="2284">
        <f t="shared" si="16"/>
        <v>3.4999999999999996E-3</v>
      </c>
      <c r="M34" s="2244">
        <v>0.35</v>
      </c>
    </row>
    <row r="35" spans="1:13" ht="15" customHeight="1">
      <c r="A35" s="1533"/>
      <c r="B35" s="2279" t="s">
        <v>125</v>
      </c>
      <c r="C35" s="2282">
        <v>946003</v>
      </c>
      <c r="D35" s="2282">
        <v>445000</v>
      </c>
      <c r="E35" s="2282">
        <v>0</v>
      </c>
      <c r="F35" s="2282">
        <v>541911</v>
      </c>
      <c r="G35" s="2282">
        <f t="shared" si="14"/>
        <v>849092</v>
      </c>
      <c r="H35" s="2282">
        <v>664273.28599999996</v>
      </c>
      <c r="I35" s="2282">
        <v>540319.69400000002</v>
      </c>
      <c r="J35" s="2282">
        <f t="shared" si="15"/>
        <v>-123953.59199999995</v>
      </c>
      <c r="K35" s="2283">
        <f>I35/BS!$F$28</f>
        <v>5.0574324154982871E-2</v>
      </c>
      <c r="L35" s="2284">
        <f t="shared" si="16"/>
        <v>2.5999999999999999E-3</v>
      </c>
      <c r="M35" s="2244">
        <v>0.26</v>
      </c>
    </row>
    <row r="36" spans="1:13" ht="15" customHeight="1">
      <c r="A36" s="1533"/>
      <c r="B36" s="2279" t="s">
        <v>171</v>
      </c>
      <c r="C36" s="2282">
        <v>9075771</v>
      </c>
      <c r="D36" s="2282">
        <v>12232288</v>
      </c>
      <c r="E36" s="2282">
        <v>0</v>
      </c>
      <c r="F36" s="2282">
        <v>7681918</v>
      </c>
      <c r="G36" s="2282">
        <f t="shared" si="14"/>
        <v>13626141</v>
      </c>
      <c r="H36" s="2282">
        <v>516395.31599999999</v>
      </c>
      <c r="I36" s="2282">
        <v>491222.38299999997</v>
      </c>
      <c r="J36" s="2282">
        <f t="shared" si="15"/>
        <v>-25172.933000000019</v>
      </c>
      <c r="K36" s="2283">
        <f>I36/BS!$F$28</f>
        <v>4.597877942613942E-2</v>
      </c>
      <c r="L36" s="2284">
        <f t="shared" si="16"/>
        <v>1.24E-2</v>
      </c>
      <c r="M36" s="2244">
        <v>1.24</v>
      </c>
    </row>
    <row r="37" spans="1:13" ht="15" customHeight="1">
      <c r="A37" s="1533"/>
      <c r="B37" s="2279" t="s">
        <v>484</v>
      </c>
      <c r="C37" s="2282">
        <v>2502000</v>
      </c>
      <c r="D37" s="2282">
        <v>2865400</v>
      </c>
      <c r="E37" s="2282">
        <v>0</v>
      </c>
      <c r="F37" s="2282">
        <v>5367400</v>
      </c>
      <c r="G37" s="2282">
        <f t="shared" si="14"/>
        <v>0</v>
      </c>
      <c r="H37" s="2282">
        <v>0</v>
      </c>
      <c r="I37" s="2282">
        <v>0</v>
      </c>
      <c r="J37" s="2282">
        <f t="shared" si="15"/>
        <v>0</v>
      </c>
      <c r="K37" s="2283">
        <f>I37/BS!$F$28</f>
        <v>0</v>
      </c>
      <c r="L37" s="2284">
        <f t="shared" si="16"/>
        <v>0</v>
      </c>
      <c r="M37" s="2244">
        <v>0</v>
      </c>
    </row>
    <row r="38" spans="1:13" ht="15" customHeight="1">
      <c r="A38" s="1533"/>
      <c r="B38" s="1179" t="s">
        <v>2926</v>
      </c>
      <c r="C38" s="2282">
        <v>7193000</v>
      </c>
      <c r="D38" s="2282">
        <v>0</v>
      </c>
      <c r="E38" s="2282">
        <v>0</v>
      </c>
      <c r="F38" s="2282">
        <v>7193000</v>
      </c>
      <c r="G38" s="2282">
        <f t="shared" si="14"/>
        <v>0</v>
      </c>
      <c r="H38" s="2282">
        <v>0</v>
      </c>
      <c r="I38" s="2282">
        <v>0</v>
      </c>
      <c r="J38" s="2282">
        <f t="shared" si="15"/>
        <v>0</v>
      </c>
      <c r="K38" s="2283">
        <f>I38/BS!$F$28</f>
        <v>0</v>
      </c>
      <c r="L38" s="2284">
        <f t="shared" si="16"/>
        <v>0</v>
      </c>
      <c r="M38" s="2244">
        <v>0</v>
      </c>
    </row>
    <row r="39" spans="1:13" ht="15" customHeight="1">
      <c r="A39" s="1533"/>
      <c r="B39" s="2279"/>
      <c r="C39" s="2282"/>
      <c r="D39" s="2282"/>
      <c r="E39" s="2282"/>
      <c r="F39" s="2282"/>
      <c r="G39" s="2282"/>
      <c r="H39" s="2285">
        <f>SUM(H29:H38)</f>
        <v>2499641.8560000001</v>
      </c>
      <c r="I39" s="2285">
        <f t="shared" ref="I39:J39" si="17">SUM(I29:I38)</f>
        <v>2253863.44</v>
      </c>
      <c r="J39" s="2285">
        <f t="shared" si="17"/>
        <v>-245778.41599999997</v>
      </c>
      <c r="K39" s="2287">
        <f t="shared" ref="K39" si="18">SUM(K29:K38)</f>
        <v>0.21096328984748203</v>
      </c>
      <c r="L39" s="2287">
        <f t="shared" ref="L39" si="19">SUM(L29:L38)</f>
        <v>5.5800000000000002E-2</v>
      </c>
      <c r="M39" s="2245"/>
    </row>
    <row r="40" spans="1:13" ht="15" customHeight="1">
      <c r="A40" s="1533"/>
      <c r="B40" s="2278" t="s">
        <v>1031</v>
      </c>
      <c r="C40" s="2282"/>
      <c r="D40" s="2282"/>
      <c r="E40" s="2282"/>
      <c r="F40" s="2282"/>
      <c r="G40" s="2282"/>
      <c r="H40" s="2282"/>
      <c r="I40" s="2282"/>
      <c r="J40" s="2282"/>
      <c r="K40" s="2283"/>
      <c r="L40" s="2284"/>
      <c r="M40" s="2244"/>
    </row>
    <row r="41" spans="1:13" ht="15" customHeight="1">
      <c r="A41" s="1533"/>
      <c r="B41" s="2279" t="s">
        <v>1063</v>
      </c>
      <c r="C41" s="2282">
        <v>113850</v>
      </c>
      <c r="D41" s="2282">
        <v>101200</v>
      </c>
      <c r="E41" s="2282">
        <v>0</v>
      </c>
      <c r="F41" s="2282">
        <v>115050</v>
      </c>
      <c r="G41" s="2282">
        <f t="shared" ref="G41:G46" si="20">C41+D41+E41-F41</f>
        <v>100000</v>
      </c>
      <c r="H41" s="2282">
        <v>56636.6</v>
      </c>
      <c r="I41" s="2282">
        <v>60500</v>
      </c>
      <c r="J41" s="2282">
        <f t="shared" ref="J41:J46" si="21">I41-H41</f>
        <v>3863.4000000000015</v>
      </c>
      <c r="K41" s="2283">
        <f>I41/BS!$F$28</f>
        <v>5.6628448774929604E-3</v>
      </c>
      <c r="L41" s="2284">
        <f t="shared" ref="L41:L46" si="22">M41/$M$10</f>
        <v>2.8999999999999998E-3</v>
      </c>
      <c r="M41" s="2244">
        <v>0.28999999999999998</v>
      </c>
    </row>
    <row r="42" spans="1:13" ht="15" customHeight="1">
      <c r="A42" s="1533"/>
      <c r="B42" s="2279" t="s">
        <v>2109</v>
      </c>
      <c r="C42" s="2282">
        <v>0</v>
      </c>
      <c r="D42" s="2282">
        <v>25400</v>
      </c>
      <c r="E42" s="2282">
        <v>0</v>
      </c>
      <c r="F42" s="2282">
        <v>3800</v>
      </c>
      <c r="G42" s="2282">
        <f t="shared" si="20"/>
        <v>21600</v>
      </c>
      <c r="H42" s="2282">
        <v>3794.7849999999999</v>
      </c>
      <c r="I42" s="2282">
        <v>3925.5839999999998</v>
      </c>
      <c r="J42" s="2282">
        <f t="shared" si="21"/>
        <v>130.79899999999998</v>
      </c>
      <c r="K42" s="2283">
        <f>I42/BS!$F$28</f>
        <v>3.6743757430691444E-4</v>
      </c>
      <c r="L42" s="2284">
        <f t="shared" si="22"/>
        <v>1.1000000000000001E-3</v>
      </c>
      <c r="M42" s="2244">
        <v>0.11</v>
      </c>
    </row>
    <row r="43" spans="1:13" ht="15" customHeight="1">
      <c r="A43" s="1533"/>
      <c r="B43" s="2279" t="s">
        <v>1032</v>
      </c>
      <c r="C43" s="2282">
        <v>4999655</v>
      </c>
      <c r="D43" s="2282">
        <v>1569500</v>
      </c>
      <c r="E43" s="2282">
        <v>0</v>
      </c>
      <c r="F43" s="2282">
        <v>6569155</v>
      </c>
      <c r="G43" s="2282">
        <f t="shared" si="20"/>
        <v>0</v>
      </c>
      <c r="H43" s="2282">
        <v>0</v>
      </c>
      <c r="I43" s="2282">
        <v>0</v>
      </c>
      <c r="J43" s="2282">
        <f t="shared" si="21"/>
        <v>0</v>
      </c>
      <c r="K43" s="2283">
        <f>I43/BS!$F$28</f>
        <v>0</v>
      </c>
      <c r="L43" s="2284">
        <f t="shared" si="22"/>
        <v>0</v>
      </c>
      <c r="M43" s="2244">
        <v>0</v>
      </c>
    </row>
    <row r="44" spans="1:13" ht="15" customHeight="1">
      <c r="A44" s="1533"/>
      <c r="B44" s="2279" t="s">
        <v>2116</v>
      </c>
      <c r="C44" s="2282">
        <v>0</v>
      </c>
      <c r="D44" s="2282">
        <v>92150</v>
      </c>
      <c r="E44" s="2282">
        <v>0</v>
      </c>
      <c r="F44" s="2282">
        <v>53850</v>
      </c>
      <c r="G44" s="2282">
        <f t="shared" si="20"/>
        <v>38300</v>
      </c>
      <c r="H44" s="2282">
        <v>29516.763999999999</v>
      </c>
      <c r="I44" s="2282">
        <v>29826.891</v>
      </c>
      <c r="J44" s="2282">
        <f t="shared" si="21"/>
        <v>310.12700000000041</v>
      </c>
      <c r="K44" s="2283">
        <f>I44/BS!$F$28</f>
        <v>2.791819122494064E-3</v>
      </c>
      <c r="L44" s="2284">
        <f t="shared" si="22"/>
        <v>4.0000000000000002E-4</v>
      </c>
      <c r="M44" s="2244">
        <v>0.04</v>
      </c>
    </row>
    <row r="45" spans="1:13" ht="15" customHeight="1">
      <c r="A45" s="1533"/>
      <c r="B45" s="2279" t="s">
        <v>2124</v>
      </c>
      <c r="C45" s="2282">
        <v>8650000</v>
      </c>
      <c r="D45" s="2282">
        <v>1276500</v>
      </c>
      <c r="E45" s="2282">
        <v>0</v>
      </c>
      <c r="F45" s="2282">
        <v>8926500</v>
      </c>
      <c r="G45" s="2282">
        <f t="shared" si="20"/>
        <v>1000000</v>
      </c>
      <c r="H45" s="2282">
        <v>15273.6</v>
      </c>
      <c r="I45" s="2282">
        <v>15040</v>
      </c>
      <c r="J45" s="2282">
        <f t="shared" si="21"/>
        <v>-233.60000000000036</v>
      </c>
      <c r="K45" s="2283">
        <f>I45/BS!$F$28</f>
        <v>1.4077551563222168E-3</v>
      </c>
      <c r="L45" s="2284">
        <f t="shared" si="22"/>
        <v>7.000000000000001E-4</v>
      </c>
      <c r="M45" s="2244">
        <v>7.0000000000000007E-2</v>
      </c>
    </row>
    <row r="46" spans="1:13" ht="15" customHeight="1">
      <c r="A46" s="1533"/>
      <c r="B46" s="2279" t="s">
        <v>2847</v>
      </c>
      <c r="C46" s="2282">
        <v>0</v>
      </c>
      <c r="D46" s="2282">
        <v>54000</v>
      </c>
      <c r="E46" s="2282">
        <v>0</v>
      </c>
      <c r="F46" s="2282">
        <v>54000</v>
      </c>
      <c r="G46" s="2282">
        <f t="shared" si="20"/>
        <v>0</v>
      </c>
      <c r="H46" s="2282">
        <v>0</v>
      </c>
      <c r="I46" s="2282">
        <v>0</v>
      </c>
      <c r="J46" s="2282">
        <f t="shared" si="21"/>
        <v>0</v>
      </c>
      <c r="K46" s="2283">
        <f>I46/BS!$F$28</f>
        <v>0</v>
      </c>
      <c r="L46" s="2284">
        <f t="shared" si="22"/>
        <v>0</v>
      </c>
      <c r="M46" s="2244">
        <v>0</v>
      </c>
    </row>
    <row r="47" spans="1:13" ht="15" customHeight="1">
      <c r="A47" s="1533"/>
      <c r="B47" s="2279"/>
      <c r="C47" s="2282"/>
      <c r="D47" s="2282"/>
      <c r="E47" s="2282"/>
      <c r="F47" s="2282"/>
      <c r="G47" s="2282"/>
      <c r="H47" s="2285">
        <f>SUM(H41:H46)</f>
        <v>105221.749</v>
      </c>
      <c r="I47" s="2285">
        <f t="shared" ref="I47:J47" si="23">SUM(I41:I46)</f>
        <v>109292.47500000001</v>
      </c>
      <c r="J47" s="2285">
        <f t="shared" si="23"/>
        <v>4070.7260000000015</v>
      </c>
      <c r="K47" s="2287">
        <f t="shared" ref="K47" si="24">SUM(K41:K46)</f>
        <v>1.0229856730616157E-2</v>
      </c>
      <c r="L47" s="2287">
        <f t="shared" ref="L47" si="25">SUM(L41:L46)</f>
        <v>5.1000000000000004E-3</v>
      </c>
      <c r="M47" s="2245"/>
    </row>
    <row r="48" spans="1:13" ht="15" customHeight="1">
      <c r="A48" s="1533"/>
      <c r="B48" s="2278" t="s">
        <v>1033</v>
      </c>
      <c r="C48" s="2282"/>
      <c r="D48" s="2282"/>
      <c r="E48" s="2282"/>
      <c r="F48" s="2282"/>
      <c r="G48" s="2282"/>
      <c r="H48" s="2282"/>
      <c r="I48" s="2282"/>
      <c r="J48" s="2282"/>
      <c r="K48" s="2283"/>
      <c r="L48" s="2284"/>
      <c r="M48" s="2244"/>
    </row>
    <row r="49" spans="1:13" ht="15" customHeight="1">
      <c r="A49" s="1533"/>
      <c r="B49" s="2279" t="s">
        <v>1034</v>
      </c>
      <c r="C49" s="2282">
        <v>62100</v>
      </c>
      <c r="D49" s="2282">
        <v>500000</v>
      </c>
      <c r="E49" s="2282">
        <v>0</v>
      </c>
      <c r="F49" s="2282">
        <v>562100</v>
      </c>
      <c r="G49" s="2282">
        <f t="shared" ref="G49:G60" si="26">C49+D49+E49-F49</f>
        <v>0</v>
      </c>
      <c r="H49" s="2282">
        <v>0</v>
      </c>
      <c r="I49" s="2282">
        <v>0</v>
      </c>
      <c r="J49" s="2282">
        <f t="shared" ref="J49:J60" si="27">I49-H49</f>
        <v>0</v>
      </c>
      <c r="K49" s="2283">
        <f>I49/BS!$F$28</f>
        <v>0</v>
      </c>
      <c r="L49" s="2284">
        <f t="shared" ref="L49:L60" si="28">M49/$M$10</f>
        <v>0</v>
      </c>
      <c r="M49" s="2244">
        <v>0</v>
      </c>
    </row>
    <row r="50" spans="1:13" ht="15" customHeight="1">
      <c r="A50" s="1533"/>
      <c r="B50" s="2279" t="s">
        <v>1064</v>
      </c>
      <c r="C50" s="2282">
        <v>4268538</v>
      </c>
      <c r="D50" s="2282">
        <v>992990</v>
      </c>
      <c r="E50" s="2282">
        <v>0</v>
      </c>
      <c r="F50" s="2282">
        <v>5261528</v>
      </c>
      <c r="G50" s="2282">
        <f t="shared" si="26"/>
        <v>0</v>
      </c>
      <c r="H50" s="2282">
        <v>0</v>
      </c>
      <c r="I50" s="2282">
        <v>0</v>
      </c>
      <c r="J50" s="2282">
        <f t="shared" si="27"/>
        <v>0</v>
      </c>
      <c r="K50" s="2283">
        <f>I50/BS!$F$28</f>
        <v>0</v>
      </c>
      <c r="L50" s="2284">
        <f t="shared" si="28"/>
        <v>0</v>
      </c>
      <c r="M50" s="2244">
        <v>0</v>
      </c>
    </row>
    <row r="51" spans="1:13" ht="15" customHeight="1">
      <c r="A51" s="1533"/>
      <c r="B51" s="2279" t="s">
        <v>2848</v>
      </c>
      <c r="C51" s="2282">
        <v>6586952</v>
      </c>
      <c r="D51" s="2282">
        <v>7279501</v>
      </c>
      <c r="E51" s="2282">
        <v>0</v>
      </c>
      <c r="F51" s="2282">
        <v>4356219</v>
      </c>
      <c r="G51" s="2282">
        <f t="shared" si="26"/>
        <v>9510234</v>
      </c>
      <c r="H51" s="2282">
        <v>313068.34399999998</v>
      </c>
      <c r="I51" s="2282">
        <v>322587.13699999999</v>
      </c>
      <c r="J51" s="2282">
        <f t="shared" si="27"/>
        <v>9518.7930000000051</v>
      </c>
      <c r="K51" s="2283">
        <f>I51/BS!$F$28</f>
        <v>3.0194395310835863E-2</v>
      </c>
      <c r="L51" s="2284">
        <f t="shared" si="28"/>
        <v>5.4000000000000003E-3</v>
      </c>
      <c r="M51" s="2244">
        <v>0.54</v>
      </c>
    </row>
    <row r="52" spans="1:13" ht="15" customHeight="1">
      <c r="A52" s="1533"/>
      <c r="B52" s="2279" t="s">
        <v>2462</v>
      </c>
      <c r="C52" s="2282">
        <v>0</v>
      </c>
      <c r="D52" s="2282">
        <v>820000</v>
      </c>
      <c r="E52" s="2282">
        <v>0</v>
      </c>
      <c r="F52" s="2282">
        <v>820000</v>
      </c>
      <c r="G52" s="2282">
        <f t="shared" si="26"/>
        <v>0</v>
      </c>
      <c r="H52" s="2282">
        <v>0</v>
      </c>
      <c r="I52" s="2282">
        <v>0</v>
      </c>
      <c r="J52" s="2282">
        <f t="shared" si="27"/>
        <v>0</v>
      </c>
      <c r="K52" s="2283">
        <f>I52/BS!$F$28</f>
        <v>0</v>
      </c>
      <c r="L52" s="2284">
        <f t="shared" si="28"/>
        <v>0</v>
      </c>
      <c r="M52" s="2244">
        <v>0</v>
      </c>
    </row>
    <row r="53" spans="1:13" ht="15" customHeight="1">
      <c r="A53" s="1533"/>
      <c r="B53" s="2279" t="s">
        <v>2849</v>
      </c>
      <c r="C53" s="2282">
        <v>0</v>
      </c>
      <c r="D53" s="2282">
        <v>3057500</v>
      </c>
      <c r="E53" s="2282">
        <v>0</v>
      </c>
      <c r="F53" s="2282">
        <v>0</v>
      </c>
      <c r="G53" s="2282">
        <f t="shared" si="26"/>
        <v>3057500</v>
      </c>
      <c r="H53" s="2282">
        <v>37525.002999999997</v>
      </c>
      <c r="I53" s="2282">
        <v>38738.525000000001</v>
      </c>
      <c r="J53" s="2282">
        <f t="shared" si="27"/>
        <v>1213.5220000000045</v>
      </c>
      <c r="K53" s="2283">
        <f>I53/BS!$F$28</f>
        <v>3.6259546753369086E-3</v>
      </c>
      <c r="L53" s="2284">
        <f t="shared" si="28"/>
        <v>2.8000000000000004E-3</v>
      </c>
      <c r="M53" s="2244">
        <v>0.28000000000000003</v>
      </c>
    </row>
    <row r="54" spans="1:13" ht="15" customHeight="1">
      <c r="A54" s="1533"/>
      <c r="B54" s="2279" t="s">
        <v>1035</v>
      </c>
      <c r="C54" s="2282">
        <v>0</v>
      </c>
      <c r="D54" s="2282">
        <v>9969500</v>
      </c>
      <c r="E54" s="2282">
        <v>0</v>
      </c>
      <c r="F54" s="2282">
        <v>650000</v>
      </c>
      <c r="G54" s="2282">
        <f t="shared" si="26"/>
        <v>9319500</v>
      </c>
      <c r="H54" s="2282">
        <v>205861.231</v>
      </c>
      <c r="I54" s="2282">
        <v>245289.24</v>
      </c>
      <c r="J54" s="2282">
        <f t="shared" si="27"/>
        <v>39428.008999999991</v>
      </c>
      <c r="K54" s="2283">
        <f>I54/BS!$F$28</f>
        <v>2.2959254813853573E-2</v>
      </c>
      <c r="L54" s="2284">
        <f t="shared" si="28"/>
        <v>6.0999999999999995E-3</v>
      </c>
      <c r="M54" s="2244">
        <v>0.61</v>
      </c>
    </row>
    <row r="55" spans="1:13" ht="15" customHeight="1">
      <c r="A55" s="1533"/>
      <c r="B55" s="2279" t="s">
        <v>395</v>
      </c>
      <c r="C55" s="2282">
        <v>4148266</v>
      </c>
      <c r="D55" s="2282">
        <v>3391276</v>
      </c>
      <c r="E55" s="2282">
        <v>0</v>
      </c>
      <c r="F55" s="2282">
        <v>2099734</v>
      </c>
      <c r="G55" s="2282">
        <f t="shared" si="26"/>
        <v>5439808</v>
      </c>
      <c r="H55" s="2282">
        <v>659191.03799999994</v>
      </c>
      <c r="I55" s="2282">
        <f>614208.721-0.5</f>
        <v>614208.22100000002</v>
      </c>
      <c r="J55" s="2282">
        <f t="shared" si="27"/>
        <v>-44982.816999999923</v>
      </c>
      <c r="K55" s="2283">
        <f>I55/BS!$F$28</f>
        <v>5.7490345090973789E-2</v>
      </c>
      <c r="L55" s="2284">
        <f t="shared" si="28"/>
        <v>3.7000000000000002E-3</v>
      </c>
      <c r="M55" s="2244">
        <v>0.37</v>
      </c>
    </row>
    <row r="56" spans="1:13" ht="15" customHeight="1">
      <c r="A56" s="1533"/>
      <c r="B56" s="2279" t="s">
        <v>1036</v>
      </c>
      <c r="C56" s="2282">
        <v>1842500</v>
      </c>
      <c r="D56" s="2282">
        <v>4088000</v>
      </c>
      <c r="E56" s="2282">
        <v>0</v>
      </c>
      <c r="F56" s="2282">
        <v>719500</v>
      </c>
      <c r="G56" s="2282">
        <f t="shared" si="26"/>
        <v>5211000</v>
      </c>
      <c r="H56" s="2282">
        <v>220460.21400000001</v>
      </c>
      <c r="I56" s="2282">
        <v>231889.5</v>
      </c>
      <c r="J56" s="2282">
        <f t="shared" si="27"/>
        <v>11429.285999999993</v>
      </c>
      <c r="K56" s="2283">
        <f>I56/BS!$F$28</f>
        <v>2.1705029210238078E-2</v>
      </c>
      <c r="L56" s="2284">
        <f t="shared" si="28"/>
        <v>5.0000000000000001E-3</v>
      </c>
      <c r="M56" s="2244">
        <v>0.5</v>
      </c>
    </row>
    <row r="57" spans="1:13" ht="15" customHeight="1">
      <c r="A57" s="1533"/>
      <c r="B57" s="1179" t="s">
        <v>2925</v>
      </c>
      <c r="C57" s="2282">
        <v>0</v>
      </c>
      <c r="D57" s="2282">
        <v>1275259</v>
      </c>
      <c r="E57" s="2282">
        <v>0</v>
      </c>
      <c r="F57" s="2282">
        <v>1275259</v>
      </c>
      <c r="G57" s="2282">
        <f t="shared" si="26"/>
        <v>0</v>
      </c>
      <c r="H57" s="2282">
        <v>0</v>
      </c>
      <c r="I57" s="2282">
        <v>0</v>
      </c>
      <c r="J57" s="2282">
        <f t="shared" si="27"/>
        <v>0</v>
      </c>
      <c r="K57" s="2283">
        <f>I57/BS!$F$28</f>
        <v>0</v>
      </c>
      <c r="L57" s="2284">
        <f t="shared" si="28"/>
        <v>0</v>
      </c>
      <c r="M57" s="2244">
        <v>0</v>
      </c>
    </row>
    <row r="58" spans="1:13" ht="15" customHeight="1">
      <c r="A58" s="1533"/>
      <c r="B58" s="2279" t="s">
        <v>342</v>
      </c>
      <c r="C58" s="2282">
        <v>2959978</v>
      </c>
      <c r="D58" s="2282">
        <v>1847791</v>
      </c>
      <c r="E58" s="2282">
        <v>414214</v>
      </c>
      <c r="F58" s="2282">
        <v>630506</v>
      </c>
      <c r="G58" s="2282">
        <f t="shared" si="26"/>
        <v>4591477</v>
      </c>
      <c r="H58" s="2282">
        <v>516655.49</v>
      </c>
      <c r="I58" s="2282">
        <v>601299.82799999998</v>
      </c>
      <c r="J58" s="2282">
        <f t="shared" si="27"/>
        <v>84644.337999999989</v>
      </c>
      <c r="K58" s="2283">
        <f>I58/BS!$F$28</f>
        <v>5.6282109931028064E-2</v>
      </c>
      <c r="L58" s="2284">
        <f t="shared" si="28"/>
        <v>2.8000000000000004E-3</v>
      </c>
      <c r="M58" s="2244">
        <v>0.28000000000000003</v>
      </c>
    </row>
    <row r="59" spans="1:13" ht="15" customHeight="1">
      <c r="A59" s="1533"/>
      <c r="B59" s="2279" t="s">
        <v>1363</v>
      </c>
      <c r="C59" s="2282">
        <v>5215500</v>
      </c>
      <c r="D59" s="2282">
        <v>0</v>
      </c>
      <c r="E59" s="2282">
        <v>0</v>
      </c>
      <c r="F59" s="2282">
        <v>5215500</v>
      </c>
      <c r="G59" s="2282">
        <f t="shared" si="26"/>
        <v>0</v>
      </c>
      <c r="H59" s="2282">
        <v>0</v>
      </c>
      <c r="I59" s="2282">
        <v>0</v>
      </c>
      <c r="J59" s="2282">
        <f t="shared" si="27"/>
        <v>0</v>
      </c>
      <c r="K59" s="2283">
        <f>I59/BS!$F$28</f>
        <v>0</v>
      </c>
      <c r="L59" s="2284">
        <f t="shared" si="28"/>
        <v>0</v>
      </c>
      <c r="M59" s="2244">
        <v>0</v>
      </c>
    </row>
    <row r="60" spans="1:13" ht="15" customHeight="1">
      <c r="A60" s="1533"/>
      <c r="B60" s="2279" t="s">
        <v>1038</v>
      </c>
      <c r="C60" s="2282">
        <v>5044022</v>
      </c>
      <c r="D60" s="2282">
        <v>2551421</v>
      </c>
      <c r="E60" s="2282">
        <v>0</v>
      </c>
      <c r="F60" s="2282">
        <v>3780058</v>
      </c>
      <c r="G60" s="2282">
        <f t="shared" si="26"/>
        <v>3815385</v>
      </c>
      <c r="H60" s="2282">
        <v>475963.93699999998</v>
      </c>
      <c r="I60" s="2282">
        <v>520380.36</v>
      </c>
      <c r="J60" s="2282">
        <f t="shared" si="27"/>
        <v>44416.42300000001</v>
      </c>
      <c r="K60" s="2283">
        <f>I60/BS!$F$28</f>
        <v>4.8707987702048636E-2</v>
      </c>
      <c r="L60" s="2284">
        <f t="shared" si="28"/>
        <v>3.0999999999999999E-3</v>
      </c>
      <c r="M60" s="2244">
        <v>0.31</v>
      </c>
    </row>
    <row r="61" spans="1:13" ht="15" customHeight="1">
      <c r="A61" s="1533"/>
      <c r="B61" s="2279"/>
      <c r="C61" s="2282"/>
      <c r="D61" s="2282"/>
      <c r="E61" s="2282"/>
      <c r="F61" s="2282"/>
      <c r="G61" s="2282"/>
      <c r="H61" s="2285">
        <f>SUM(H49:H60)</f>
        <v>2428725.2569999998</v>
      </c>
      <c r="I61" s="2285">
        <f t="shared" ref="I61:J61" si="29">SUM(I49:I60)</f>
        <v>2574392.8110000002</v>
      </c>
      <c r="J61" s="2285">
        <f t="shared" si="29"/>
        <v>145667.55400000006</v>
      </c>
      <c r="K61" s="2287">
        <f t="shared" ref="K61" si="30">SUM(K49:K60)</f>
        <v>0.24096507673431489</v>
      </c>
      <c r="L61" s="2287">
        <f t="shared" ref="L61" si="31">SUM(L49:L60)</f>
        <v>2.8900000000000002E-2</v>
      </c>
      <c r="M61" s="2245"/>
    </row>
    <row r="62" spans="1:13" ht="15" customHeight="1">
      <c r="A62" s="1533"/>
      <c r="B62" s="2278" t="s">
        <v>2689</v>
      </c>
      <c r="C62" s="2282"/>
      <c r="D62" s="2282"/>
      <c r="E62" s="2282"/>
      <c r="F62" s="2282"/>
      <c r="G62" s="2282"/>
      <c r="H62" s="2282"/>
      <c r="I62" s="2282"/>
      <c r="J62" s="2282"/>
      <c r="K62" s="2283"/>
      <c r="L62" s="2284"/>
      <c r="M62" s="2244"/>
    </row>
    <row r="63" spans="1:13" ht="15" customHeight="1">
      <c r="A63" s="1533"/>
      <c r="B63" s="2279" t="s">
        <v>2850</v>
      </c>
      <c r="C63" s="2282">
        <v>0</v>
      </c>
      <c r="D63" s="2282">
        <v>2998500</v>
      </c>
      <c r="E63" s="2282">
        <v>64350</v>
      </c>
      <c r="F63" s="2282">
        <v>3062850</v>
      </c>
      <c r="G63" s="2282">
        <f t="shared" ref="G63:G68" si="32">C63+D63+E63-F63</f>
        <v>0</v>
      </c>
      <c r="H63" s="2282">
        <v>0</v>
      </c>
      <c r="I63" s="2282">
        <v>0</v>
      </c>
      <c r="J63" s="2282">
        <f t="shared" ref="J63:J68" si="33">I63-H63</f>
        <v>0</v>
      </c>
      <c r="K63" s="2283">
        <f>I63/BS!$F$28</f>
        <v>0</v>
      </c>
      <c r="L63" s="2284">
        <f t="shared" ref="L63:L68" si="34">M63/$M$10</f>
        <v>0</v>
      </c>
      <c r="M63" s="2244">
        <v>0</v>
      </c>
    </row>
    <row r="64" spans="1:13" ht="15" customHeight="1">
      <c r="A64" s="1533"/>
      <c r="B64" s="2279" t="s">
        <v>1952</v>
      </c>
      <c r="C64" s="2282">
        <v>4389000</v>
      </c>
      <c r="D64" s="2282">
        <v>7287309</v>
      </c>
      <c r="E64" s="2282">
        <v>0</v>
      </c>
      <c r="F64" s="2282">
        <v>7740000</v>
      </c>
      <c r="G64" s="2282">
        <f t="shared" si="32"/>
        <v>3936309</v>
      </c>
      <c r="H64" s="2282">
        <v>60242.06</v>
      </c>
      <c r="I64" s="2282">
        <v>56053.04</v>
      </c>
      <c r="J64" s="2282">
        <f t="shared" si="33"/>
        <v>-4189.0199999999968</v>
      </c>
      <c r="K64" s="2283">
        <f>I64/BS!$F$28</f>
        <v>5.2466061228414549E-3</v>
      </c>
      <c r="L64" s="2284">
        <f t="shared" si="34"/>
        <v>4.3E-3</v>
      </c>
      <c r="M64" s="2244">
        <v>0.43</v>
      </c>
    </row>
    <row r="65" spans="1:13" ht="15" customHeight="1">
      <c r="A65" s="1533"/>
      <c r="B65" s="2279" t="s">
        <v>1958</v>
      </c>
      <c r="C65" s="2282">
        <v>0</v>
      </c>
      <c r="D65" s="2282">
        <v>4498500</v>
      </c>
      <c r="E65" s="2282">
        <v>0</v>
      </c>
      <c r="F65" s="2282">
        <v>1197500</v>
      </c>
      <c r="G65" s="2282">
        <f t="shared" si="32"/>
        <v>3301000</v>
      </c>
      <c r="H65" s="2282">
        <v>139245.42300000001</v>
      </c>
      <c r="I65" s="2282">
        <v>107909.69</v>
      </c>
      <c r="J65" s="2282">
        <f t="shared" si="33"/>
        <v>-31335.733000000007</v>
      </c>
      <c r="K65" s="2283">
        <f>I65/BS!$F$28</f>
        <v>1.0100427028898401E-2</v>
      </c>
      <c r="L65" s="2284">
        <f t="shared" si="34"/>
        <v>1.11E-2</v>
      </c>
      <c r="M65" s="2244">
        <v>1.1100000000000001</v>
      </c>
    </row>
    <row r="66" spans="1:13" ht="15" customHeight="1">
      <c r="A66" s="1533"/>
      <c r="B66" s="2279" t="s">
        <v>1040</v>
      </c>
      <c r="C66" s="2282">
        <v>612700</v>
      </c>
      <c r="D66" s="2282">
        <v>196300</v>
      </c>
      <c r="E66" s="2282">
        <v>0</v>
      </c>
      <c r="F66" s="2282">
        <v>382200</v>
      </c>
      <c r="G66" s="2282">
        <f t="shared" si="32"/>
        <v>426800</v>
      </c>
      <c r="H66" s="2282">
        <v>77210.595000000001</v>
      </c>
      <c r="I66" s="2282">
        <v>50861.756000000001</v>
      </c>
      <c r="J66" s="2282">
        <f t="shared" si="33"/>
        <v>-26348.839</v>
      </c>
      <c r="K66" s="2283">
        <f>I66/BS!$F$28</f>
        <v>4.7606980896677167E-3</v>
      </c>
      <c r="L66" s="2284">
        <f t="shared" si="34"/>
        <v>3.2000000000000002E-3</v>
      </c>
      <c r="M66" s="2244">
        <v>0.32</v>
      </c>
    </row>
    <row r="67" spans="1:13" ht="15" customHeight="1">
      <c r="A67" s="1533"/>
      <c r="B67" s="2279" t="s">
        <v>1161</v>
      </c>
      <c r="C67" s="2282">
        <v>0</v>
      </c>
      <c r="D67" s="2282">
        <v>537050</v>
      </c>
      <c r="E67" s="2282">
        <v>0</v>
      </c>
      <c r="F67" s="2282">
        <v>417731</v>
      </c>
      <c r="G67" s="2282">
        <f t="shared" si="32"/>
        <v>119319</v>
      </c>
      <c r="H67" s="2282">
        <v>7112.2830000000004</v>
      </c>
      <c r="I67" s="2282">
        <v>7776.0190000000002</v>
      </c>
      <c r="J67" s="2282">
        <f t="shared" si="33"/>
        <v>663.73599999999988</v>
      </c>
      <c r="K67" s="2283">
        <f>I67/BS!$F$28</f>
        <v>7.2784114647004845E-4</v>
      </c>
      <c r="L67" s="2284">
        <f t="shared" si="34"/>
        <v>2.9999999999999997E-4</v>
      </c>
      <c r="M67" s="2244">
        <v>0.03</v>
      </c>
    </row>
    <row r="68" spans="1:13" ht="15" customHeight="1">
      <c r="A68" s="1533"/>
      <c r="B68" s="2279" t="s">
        <v>1976</v>
      </c>
      <c r="C68" s="2282">
        <v>0</v>
      </c>
      <c r="D68" s="2282">
        <v>1409797</v>
      </c>
      <c r="E68" s="2282">
        <v>82500</v>
      </c>
      <c r="F68" s="2282">
        <v>1492297</v>
      </c>
      <c r="G68" s="2282">
        <f t="shared" si="32"/>
        <v>0</v>
      </c>
      <c r="H68" s="2282">
        <v>0</v>
      </c>
      <c r="I68" s="2282">
        <v>0</v>
      </c>
      <c r="J68" s="2282">
        <f t="shared" si="33"/>
        <v>0</v>
      </c>
      <c r="K68" s="2283">
        <f>I68/BS!$F$28</f>
        <v>0</v>
      </c>
      <c r="L68" s="2284">
        <f t="shared" si="34"/>
        <v>0</v>
      </c>
      <c r="M68" s="2244">
        <v>0</v>
      </c>
    </row>
    <row r="69" spans="1:13" ht="15" customHeight="1">
      <c r="A69" s="1533"/>
      <c r="B69" s="2279"/>
      <c r="C69" s="2282"/>
      <c r="D69" s="2282"/>
      <c r="E69" s="2282"/>
      <c r="F69" s="2282"/>
      <c r="G69" s="2282"/>
      <c r="H69" s="2285">
        <f>SUM(H63:H68)</f>
        <v>283810.36099999998</v>
      </c>
      <c r="I69" s="2285">
        <f t="shared" ref="I69:J69" si="35">SUM(I63:I68)</f>
        <v>222600.505</v>
      </c>
      <c r="J69" s="2285">
        <f t="shared" si="35"/>
        <v>-61209.856000000007</v>
      </c>
      <c r="K69" s="2287">
        <f t="shared" ref="K69" si="36">SUM(K63:K68)</f>
        <v>2.0835572387877619E-2</v>
      </c>
      <c r="L69" s="2287">
        <f t="shared" ref="L69" si="37">SUM(L63:L68)</f>
        <v>1.8900000000000004E-2</v>
      </c>
      <c r="M69" s="2245"/>
    </row>
    <row r="70" spans="1:13" ht="15" customHeight="1">
      <c r="A70" s="1533"/>
      <c r="B70" s="2279"/>
      <c r="C70" s="2282"/>
      <c r="D70" s="2282"/>
      <c r="E70" s="2282"/>
      <c r="F70" s="2282"/>
      <c r="G70" s="2282"/>
      <c r="H70" s="2288"/>
      <c r="I70" s="2288"/>
      <c r="J70" s="2288"/>
      <c r="K70" s="2283"/>
      <c r="L70" s="2284"/>
      <c r="M70" s="2245"/>
    </row>
    <row r="71" spans="1:13" ht="15" customHeight="1">
      <c r="A71" s="1533"/>
      <c r="B71" s="2278" t="s">
        <v>2690</v>
      </c>
      <c r="C71" s="2282"/>
      <c r="D71" s="2282"/>
      <c r="E71" s="2282"/>
      <c r="F71" s="2282"/>
      <c r="G71" s="2282"/>
      <c r="H71" s="2282"/>
      <c r="I71" s="2282"/>
      <c r="J71" s="2282"/>
      <c r="K71" s="2283"/>
      <c r="L71" s="2284"/>
      <c r="M71" s="2244"/>
    </row>
    <row r="72" spans="1:13" ht="15" customHeight="1">
      <c r="A72" s="1533"/>
      <c r="B72" s="2279" t="s">
        <v>334</v>
      </c>
      <c r="C72" s="2282">
        <v>982598</v>
      </c>
      <c r="D72" s="2282">
        <v>557811</v>
      </c>
      <c r="E72" s="2282">
        <v>0</v>
      </c>
      <c r="F72" s="2282">
        <v>765468</v>
      </c>
      <c r="G72" s="2282">
        <f t="shared" ref="G72:G75" si="38">C72+D72+E72-F72</f>
        <v>774941</v>
      </c>
      <c r="H72" s="2282">
        <v>228673.155</v>
      </c>
      <c r="I72" s="2282">
        <v>207374.212</v>
      </c>
      <c r="J72" s="2282">
        <f t="shared" ref="J72:J75" si="39">I72-H72</f>
        <v>-21298.942999999999</v>
      </c>
      <c r="K72" s="2283">
        <f>I72/BS!$F$28</f>
        <v>1.941038006856759E-2</v>
      </c>
      <c r="L72" s="2284">
        <f t="shared" ref="L72:L75" si="40">M72/$M$10</f>
        <v>1.2999999999999999E-3</v>
      </c>
      <c r="M72" s="2244">
        <v>0.13</v>
      </c>
    </row>
    <row r="73" spans="1:13" ht="15" customHeight="1">
      <c r="A73" s="1533"/>
      <c r="B73" s="2279" t="s">
        <v>2432</v>
      </c>
      <c r="C73" s="2282">
        <v>0</v>
      </c>
      <c r="D73" s="2282">
        <v>3800000</v>
      </c>
      <c r="E73" s="2282">
        <v>0</v>
      </c>
      <c r="F73" s="2282">
        <v>1615055</v>
      </c>
      <c r="G73" s="2282">
        <f t="shared" si="38"/>
        <v>2184945</v>
      </c>
      <c r="H73" s="2282">
        <v>175458.29399999999</v>
      </c>
      <c r="I73" s="2282">
        <v>200512.40299999999</v>
      </c>
      <c r="J73" s="2282">
        <f t="shared" si="39"/>
        <v>25054.108999999997</v>
      </c>
      <c r="K73" s="2283">
        <f>I73/BS!$F$28</f>
        <v>1.8768109656237257E-2</v>
      </c>
      <c r="L73" s="2284">
        <f t="shared" si="40"/>
        <v>1.6000000000000001E-3</v>
      </c>
      <c r="M73" s="2244">
        <v>0.16</v>
      </c>
    </row>
    <row r="74" spans="1:13" ht="15" customHeight="1">
      <c r="A74" s="1533"/>
      <c r="B74" s="2279" t="s">
        <v>2070</v>
      </c>
      <c r="C74" s="2282">
        <v>6848000</v>
      </c>
      <c r="D74" s="2282">
        <v>5631500</v>
      </c>
      <c r="E74" s="2282">
        <v>0</v>
      </c>
      <c r="F74" s="2282">
        <v>8180500</v>
      </c>
      <c r="G74" s="2282">
        <f t="shared" si="38"/>
        <v>4299000</v>
      </c>
      <c r="H74" s="2282">
        <v>102154.128</v>
      </c>
      <c r="I74" s="2282">
        <v>97114.41</v>
      </c>
      <c r="J74" s="2282">
        <f t="shared" si="39"/>
        <v>-5039.7179999999935</v>
      </c>
      <c r="K74" s="2283">
        <f>I74/BS!$F$28</f>
        <v>9.0899808132107619E-3</v>
      </c>
      <c r="L74" s="2284">
        <f t="shared" si="40"/>
        <v>3.3E-3</v>
      </c>
      <c r="M74" s="2244">
        <v>0.33</v>
      </c>
    </row>
    <row r="75" spans="1:13" ht="15" customHeight="1">
      <c r="A75" s="1533"/>
      <c r="B75" s="2279" t="s">
        <v>481</v>
      </c>
      <c r="C75" s="2282">
        <v>0</v>
      </c>
      <c r="D75" s="2282">
        <v>100000</v>
      </c>
      <c r="E75" s="2282">
        <v>0</v>
      </c>
      <c r="F75" s="2282">
        <v>0</v>
      </c>
      <c r="G75" s="2282">
        <f t="shared" si="38"/>
        <v>100000</v>
      </c>
      <c r="H75" s="2282">
        <v>10761.27</v>
      </c>
      <c r="I75" s="2282">
        <v>11372</v>
      </c>
      <c r="J75" s="2282">
        <f t="shared" si="39"/>
        <v>610.72999999999956</v>
      </c>
      <c r="K75" s="2283">
        <f>I75/BS!$F$28</f>
        <v>1.064427635485123E-3</v>
      </c>
      <c r="L75" s="2284">
        <f t="shared" si="40"/>
        <v>1E-4</v>
      </c>
      <c r="M75" s="2244">
        <v>0.01</v>
      </c>
    </row>
    <row r="76" spans="1:13" ht="15" customHeight="1">
      <c r="A76" s="1533"/>
      <c r="B76" s="2279"/>
      <c r="C76" s="2282"/>
      <c r="D76" s="2282"/>
      <c r="E76" s="2282"/>
      <c r="F76" s="2282"/>
      <c r="G76" s="2282"/>
      <c r="H76" s="2285">
        <f>SUM(H72:H75)</f>
        <v>517046.84700000007</v>
      </c>
      <c r="I76" s="2285">
        <f t="shared" ref="I76:J76" si="41">SUM(I72:I75)</f>
        <v>516373.02500000002</v>
      </c>
      <c r="J76" s="2285">
        <f t="shared" si="41"/>
        <v>-673.82199999999648</v>
      </c>
      <c r="K76" s="2287">
        <f t="shared" ref="K76" si="42">SUM(K72:K75)</f>
        <v>4.8332898173500734E-2</v>
      </c>
      <c r="L76" s="2287">
        <f t="shared" ref="L76" si="43">SUM(L72:L75)</f>
        <v>6.3E-3</v>
      </c>
      <c r="M76" s="2245"/>
    </row>
    <row r="77" spans="1:13" ht="15" customHeight="1">
      <c r="A77" s="1533"/>
      <c r="B77" s="2278" t="s">
        <v>2691</v>
      </c>
      <c r="C77" s="2282"/>
      <c r="D77" s="2282"/>
      <c r="E77" s="2282"/>
      <c r="F77" s="2282"/>
      <c r="G77" s="2282"/>
      <c r="H77" s="2282"/>
      <c r="I77" s="2282"/>
      <c r="J77" s="2282"/>
      <c r="K77" s="2283"/>
      <c r="L77" s="2284"/>
      <c r="M77" s="2244"/>
    </row>
    <row r="78" spans="1:13" ht="15" customHeight="1">
      <c r="A78" s="1533"/>
      <c r="B78" s="2279" t="s">
        <v>2851</v>
      </c>
      <c r="C78" s="2282">
        <v>5223000</v>
      </c>
      <c r="D78" s="2282">
        <v>1627000</v>
      </c>
      <c r="E78" s="2282">
        <v>0</v>
      </c>
      <c r="F78" s="2282">
        <v>6850000</v>
      </c>
      <c r="G78" s="2282">
        <f t="shared" ref="G78:G84" si="44">C78+D78+E78-F78</f>
        <v>0</v>
      </c>
      <c r="H78" s="2282">
        <v>0</v>
      </c>
      <c r="I78" s="2282">
        <v>0</v>
      </c>
      <c r="J78" s="2282">
        <f t="shared" ref="J78:J84" si="45">I78-H78</f>
        <v>0</v>
      </c>
      <c r="K78" s="2283">
        <f>I78/BS!$F$28</f>
        <v>0</v>
      </c>
      <c r="L78" s="2284">
        <f t="shared" ref="L78:L84" si="46">M78/$M$10</f>
        <v>0</v>
      </c>
      <c r="M78" s="2244">
        <v>0</v>
      </c>
    </row>
    <row r="79" spans="1:13" ht="15" customHeight="1">
      <c r="A79" s="1533"/>
      <c r="B79" s="2279" t="s">
        <v>2852</v>
      </c>
      <c r="C79" s="2282">
        <v>0</v>
      </c>
      <c r="D79" s="2282">
        <v>973500</v>
      </c>
      <c r="E79" s="2282">
        <v>0</v>
      </c>
      <c r="F79" s="2282">
        <v>0</v>
      </c>
      <c r="G79" s="2282">
        <f t="shared" si="44"/>
        <v>973500</v>
      </c>
      <c r="H79" s="2282">
        <v>23049.949000000001</v>
      </c>
      <c r="I79" s="2282">
        <v>23364</v>
      </c>
      <c r="J79" s="2282">
        <f t="shared" si="45"/>
        <v>314.05099999999948</v>
      </c>
      <c r="K79" s="2283">
        <f>I79/BS!$F$28</f>
        <v>2.1868877308718268E-3</v>
      </c>
      <c r="L79" s="2284">
        <f t="shared" si="46"/>
        <v>4.8999999999999998E-3</v>
      </c>
      <c r="M79" s="2244">
        <v>0.49</v>
      </c>
    </row>
    <row r="80" spans="1:13" ht="15" customHeight="1">
      <c r="A80" s="1533"/>
      <c r="B80" s="2279" t="s">
        <v>2206</v>
      </c>
      <c r="C80" s="2282">
        <v>3055500</v>
      </c>
      <c r="D80" s="2282">
        <v>0</v>
      </c>
      <c r="E80" s="2282">
        <v>0</v>
      </c>
      <c r="F80" s="2282">
        <v>3055500</v>
      </c>
      <c r="G80" s="2282">
        <f t="shared" si="44"/>
        <v>0</v>
      </c>
      <c r="H80" s="2282">
        <v>0</v>
      </c>
      <c r="I80" s="2282">
        <v>0</v>
      </c>
      <c r="J80" s="2282">
        <f t="shared" si="45"/>
        <v>0</v>
      </c>
      <c r="K80" s="2283">
        <f>I80/BS!$F$28</f>
        <v>0</v>
      </c>
      <c r="L80" s="2284">
        <f t="shared" si="46"/>
        <v>0</v>
      </c>
      <c r="M80" s="2244">
        <v>0</v>
      </c>
    </row>
    <row r="81" spans="1:13" ht="15" customHeight="1">
      <c r="A81" s="1533"/>
      <c r="B81" s="2279" t="s">
        <v>2648</v>
      </c>
      <c r="C81" s="2282">
        <v>202000</v>
      </c>
      <c r="D81" s="2282">
        <v>0</v>
      </c>
      <c r="E81" s="2282">
        <v>0</v>
      </c>
      <c r="F81" s="2282">
        <v>14550</v>
      </c>
      <c r="G81" s="2282">
        <f t="shared" si="44"/>
        <v>187450</v>
      </c>
      <c r="H81" s="2282">
        <v>109058.41</v>
      </c>
      <c r="I81" s="2282">
        <v>79664.376000000004</v>
      </c>
      <c r="J81" s="2282">
        <f t="shared" si="45"/>
        <v>-29394.034</v>
      </c>
      <c r="K81" s="2283">
        <f>I81/BS!$F$28</f>
        <v>7.4566446867813741E-3</v>
      </c>
      <c r="L81" s="2284">
        <f t="shared" si="46"/>
        <v>6.8000000000000005E-3</v>
      </c>
      <c r="M81" s="2244">
        <v>0.68</v>
      </c>
    </row>
    <row r="82" spans="1:13" ht="15" customHeight="1">
      <c r="A82" s="1533"/>
      <c r="B82" s="2279" t="s">
        <v>2198</v>
      </c>
      <c r="C82" s="2282">
        <v>3033</v>
      </c>
      <c r="D82" s="2282">
        <v>0</v>
      </c>
      <c r="E82" s="2282">
        <v>0</v>
      </c>
      <c r="F82" s="2282">
        <v>3020</v>
      </c>
      <c r="G82" s="2282">
        <f t="shared" si="44"/>
        <v>13</v>
      </c>
      <c r="H82" s="2282">
        <v>75.400000000000006</v>
      </c>
      <c r="I82" s="2282">
        <v>75.682000000000002</v>
      </c>
      <c r="J82" s="2282">
        <f t="shared" si="45"/>
        <v>0.28199999999999648</v>
      </c>
      <c r="K82" s="2283">
        <f>I82/BS!$F$28</f>
        <v>7.0838913391474745E-6</v>
      </c>
      <c r="L82" s="2284">
        <f t="shared" si="46"/>
        <v>0</v>
      </c>
      <c r="M82" s="2244">
        <v>0</v>
      </c>
    </row>
    <row r="83" spans="1:13" ht="15" customHeight="1">
      <c r="A83" s="1533"/>
      <c r="B83" s="2279" t="s">
        <v>2853</v>
      </c>
      <c r="C83" s="2282">
        <v>3488000</v>
      </c>
      <c r="D83" s="2282">
        <v>1340500</v>
      </c>
      <c r="E83" s="2282">
        <v>189500</v>
      </c>
      <c r="F83" s="2282">
        <v>2388000</v>
      </c>
      <c r="G83" s="2282">
        <f t="shared" si="44"/>
        <v>2630000</v>
      </c>
      <c r="H83" s="2282">
        <v>85812.429000000004</v>
      </c>
      <c r="I83" s="2282">
        <v>74376.399999999994</v>
      </c>
      <c r="J83" s="2282">
        <f t="shared" si="45"/>
        <v>-11436.02900000001</v>
      </c>
      <c r="K83" s="2283">
        <f>I83/BS!$F$28</f>
        <v>6.9616862106837577E-3</v>
      </c>
      <c r="L83" s="2284">
        <f t="shared" si="46"/>
        <v>2.1400000000000002E-2</v>
      </c>
      <c r="M83" s="2244">
        <v>2.14</v>
      </c>
    </row>
    <row r="84" spans="1:13" ht="15" customHeight="1">
      <c r="A84" s="1533"/>
      <c r="B84" s="2279" t="s">
        <v>1599</v>
      </c>
      <c r="C84" s="2282">
        <v>0</v>
      </c>
      <c r="D84" s="2282">
        <v>760000</v>
      </c>
      <c r="E84" s="2282">
        <v>0</v>
      </c>
      <c r="F84" s="2282">
        <v>760000</v>
      </c>
      <c r="G84" s="2282">
        <f t="shared" si="44"/>
        <v>0</v>
      </c>
      <c r="H84" s="2282">
        <v>0</v>
      </c>
      <c r="I84" s="2282">
        <v>0</v>
      </c>
      <c r="J84" s="2282">
        <f t="shared" si="45"/>
        <v>0</v>
      </c>
      <c r="K84" s="2283">
        <f>I84/BS!$F$28</f>
        <v>0</v>
      </c>
      <c r="L84" s="2284">
        <f t="shared" si="46"/>
        <v>0</v>
      </c>
      <c r="M84" s="2244">
        <v>0</v>
      </c>
    </row>
    <row r="85" spans="1:13" ht="15" customHeight="1">
      <c r="A85" s="1533"/>
      <c r="B85" s="2279"/>
      <c r="C85" s="2282"/>
      <c r="D85" s="2282"/>
      <c r="E85" s="2282"/>
      <c r="F85" s="2282"/>
      <c r="G85" s="2282"/>
      <c r="H85" s="2285">
        <f>SUM(H78:H84)</f>
        <v>217996.18799999999</v>
      </c>
      <c r="I85" s="2285">
        <f t="shared" ref="I85:J85" si="47">SUM(I78:I84)</f>
        <v>177480.45799999998</v>
      </c>
      <c r="J85" s="2285">
        <f t="shared" si="47"/>
        <v>-40515.73000000001</v>
      </c>
      <c r="K85" s="2287">
        <f t="shared" ref="K85" si="48">SUM(K78:K84)</f>
        <v>1.6612302519676107E-2</v>
      </c>
      <c r="L85" s="2287">
        <f t="shared" ref="L85" si="49">SUM(L78:L84)</f>
        <v>3.3100000000000004E-2</v>
      </c>
      <c r="M85" s="2245"/>
    </row>
    <row r="86" spans="1:13" ht="15" customHeight="1">
      <c r="A86" s="1533"/>
      <c r="B86" s="2278" t="s">
        <v>2692</v>
      </c>
      <c r="C86" s="2282"/>
      <c r="D86" s="2282"/>
      <c r="E86" s="2282"/>
      <c r="F86" s="2282"/>
      <c r="G86" s="2282"/>
      <c r="H86" s="2282"/>
      <c r="I86" s="2282"/>
      <c r="J86" s="2282"/>
      <c r="K86" s="2283"/>
      <c r="L86" s="2281"/>
      <c r="M86" s="2244"/>
    </row>
    <row r="87" spans="1:13" ht="15" customHeight="1">
      <c r="A87" s="1533"/>
      <c r="B87" s="2279" t="s">
        <v>2866</v>
      </c>
      <c r="C87" s="2282">
        <v>542500</v>
      </c>
      <c r="D87" s="2282">
        <v>1513000</v>
      </c>
      <c r="E87" s="2282">
        <v>0</v>
      </c>
      <c r="F87" s="2282">
        <v>196000</v>
      </c>
      <c r="G87" s="2282">
        <f t="shared" ref="G87:G88" si="50">C87+D87+E87-F87</f>
        <v>1859500</v>
      </c>
      <c r="H87" s="2282">
        <v>38533.489000000001</v>
      </c>
      <c r="I87" s="2282">
        <v>32615.63</v>
      </c>
      <c r="J87" s="2282">
        <f t="shared" ref="J87:J88" si="51">I87-H87</f>
        <v>-5917.8590000000004</v>
      </c>
      <c r="K87" s="2283">
        <f>I87/BS!$F$28</f>
        <v>3.0528471615157969E-3</v>
      </c>
      <c r="L87" s="2284">
        <f t="shared" ref="L87:L88" si="52">M87/$M$10</f>
        <v>5.6999999999999993E-3</v>
      </c>
      <c r="M87" s="2244">
        <v>0.56999999999999995</v>
      </c>
    </row>
    <row r="88" spans="1:13" ht="15" customHeight="1">
      <c r="A88" s="1533"/>
      <c r="B88" s="2279" t="s">
        <v>2693</v>
      </c>
      <c r="C88" s="2282">
        <v>0</v>
      </c>
      <c r="D88" s="2282">
        <v>1057500</v>
      </c>
      <c r="E88" s="2282">
        <v>0</v>
      </c>
      <c r="F88" s="2282">
        <v>392500</v>
      </c>
      <c r="G88" s="2282">
        <f t="shared" si="50"/>
        <v>665000</v>
      </c>
      <c r="H88" s="2282">
        <v>71842.942999999999</v>
      </c>
      <c r="I88" s="2282">
        <v>84634.55</v>
      </c>
      <c r="J88" s="2282">
        <f t="shared" si="51"/>
        <v>12791.607000000004</v>
      </c>
      <c r="K88" s="2283">
        <f>I88/BS!$F$28</f>
        <v>7.9218566599408569E-3</v>
      </c>
      <c r="L88" s="2284">
        <f t="shared" si="52"/>
        <v>4.7999999999999996E-3</v>
      </c>
      <c r="M88" s="2244">
        <v>0.48</v>
      </c>
    </row>
    <row r="89" spans="1:13" ht="15" customHeight="1">
      <c r="A89" s="1533"/>
      <c r="B89" s="2279"/>
      <c r="C89" s="2282"/>
      <c r="D89" s="2282"/>
      <c r="E89" s="2282"/>
      <c r="F89" s="2282"/>
      <c r="G89" s="2282"/>
      <c r="H89" s="2285">
        <f>SUM(H87:H88)</f>
        <v>110376.432</v>
      </c>
      <c r="I89" s="2285">
        <f t="shared" ref="I89:J89" si="53">SUM(I87:I88)</f>
        <v>117250.18000000001</v>
      </c>
      <c r="J89" s="2285">
        <f t="shared" si="53"/>
        <v>6873.7480000000032</v>
      </c>
      <c r="K89" s="2287">
        <f t="shared" ref="K89" si="54">SUM(K87:K88)</f>
        <v>1.0974703821456653E-2</v>
      </c>
      <c r="L89" s="2287">
        <f t="shared" ref="L89" si="55">SUM(L87:L88)</f>
        <v>1.0499999999999999E-2</v>
      </c>
      <c r="M89" s="2245"/>
    </row>
    <row r="90" spans="1:13" ht="15" customHeight="1">
      <c r="A90" s="1533"/>
      <c r="B90" s="2278" t="s">
        <v>1043</v>
      </c>
      <c r="C90" s="2282"/>
      <c r="D90" s="2282"/>
      <c r="E90" s="2282"/>
      <c r="F90" s="2282"/>
      <c r="G90" s="2282"/>
      <c r="H90" s="2282"/>
      <c r="I90" s="2282"/>
      <c r="J90" s="2282"/>
      <c r="K90" s="2289"/>
      <c r="L90" s="2289"/>
      <c r="M90" s="2244"/>
    </row>
    <row r="91" spans="1:13" ht="15" customHeight="1">
      <c r="A91" s="1533"/>
      <c r="B91" s="1179" t="s">
        <v>2924</v>
      </c>
      <c r="C91" s="2282">
        <v>1034500</v>
      </c>
      <c r="D91" s="2282">
        <v>65000</v>
      </c>
      <c r="E91" s="2282">
        <v>0</v>
      </c>
      <c r="F91" s="2282">
        <v>1099500</v>
      </c>
      <c r="G91" s="2282">
        <f t="shared" ref="G91:G93" si="56">C91+D91+E91-F91</f>
        <v>0</v>
      </c>
      <c r="H91" s="2282">
        <v>0</v>
      </c>
      <c r="I91" s="2282">
        <v>0</v>
      </c>
      <c r="J91" s="2282">
        <f t="shared" ref="J91:J93" si="57">I91-H91</f>
        <v>0</v>
      </c>
      <c r="K91" s="2283">
        <f>I91/BS!$F$28</f>
        <v>0</v>
      </c>
      <c r="L91" s="2284">
        <f t="shared" ref="L91:L93" si="58">M91/$M$10</f>
        <v>0</v>
      </c>
      <c r="M91" s="2244">
        <v>0</v>
      </c>
    </row>
    <row r="92" spans="1:13" ht="15" customHeight="1">
      <c r="A92" s="1533"/>
      <c r="B92" s="1179" t="s">
        <v>2923</v>
      </c>
      <c r="C92" s="2282">
        <v>0</v>
      </c>
      <c r="D92" s="2282">
        <v>2276604</v>
      </c>
      <c r="E92" s="2282">
        <v>0</v>
      </c>
      <c r="F92" s="2282">
        <v>816000</v>
      </c>
      <c r="G92" s="2282">
        <f t="shared" si="56"/>
        <v>1460604</v>
      </c>
      <c r="H92" s="2282">
        <v>40896.911999999997</v>
      </c>
      <c r="I92" s="2282">
        <v>28598.626</v>
      </c>
      <c r="J92" s="2282">
        <f t="shared" si="57"/>
        <v>-12298.285999999996</v>
      </c>
      <c r="K92" s="2283">
        <f>I92/BS!$F$28</f>
        <v>2.6768526073956528E-3</v>
      </c>
      <c r="L92" s="2284">
        <f t="shared" si="58"/>
        <v>0</v>
      </c>
      <c r="M92" s="2244">
        <v>0</v>
      </c>
    </row>
    <row r="93" spans="1:13" ht="15" customHeight="1">
      <c r="A93" s="1533"/>
      <c r="B93" s="2279" t="s">
        <v>1390</v>
      </c>
      <c r="C93" s="2282">
        <v>0</v>
      </c>
      <c r="D93" s="2282">
        <v>223100</v>
      </c>
      <c r="E93" s="2282">
        <v>0</v>
      </c>
      <c r="F93" s="2282">
        <v>48100</v>
      </c>
      <c r="G93" s="2282">
        <f t="shared" si="56"/>
        <v>175000</v>
      </c>
      <c r="H93" s="2282">
        <v>43969.275000000001</v>
      </c>
      <c r="I93" s="2282">
        <v>35000</v>
      </c>
      <c r="J93" s="2282">
        <f t="shared" si="57"/>
        <v>-8969.2750000000015</v>
      </c>
      <c r="K93" s="2283">
        <f>I93/BS!$F$28</f>
        <v>3.2760259621860098E-3</v>
      </c>
      <c r="L93" s="2284">
        <f t="shared" si="58"/>
        <v>2E-3</v>
      </c>
      <c r="M93" s="2244">
        <v>0.2</v>
      </c>
    </row>
    <row r="94" spans="1:13" ht="15" customHeight="1">
      <c r="A94" s="1533"/>
      <c r="B94" s="2279"/>
      <c r="C94" s="2282"/>
      <c r="D94" s="2282"/>
      <c r="E94" s="2282"/>
      <c r="F94" s="2282"/>
      <c r="G94" s="2282"/>
      <c r="H94" s="2285">
        <f>SUM(H91:H93)</f>
        <v>84866.187000000005</v>
      </c>
      <c r="I94" s="2285">
        <f t="shared" ref="I94:J94" si="59">SUM(I91:I93)</f>
        <v>63598.626000000004</v>
      </c>
      <c r="J94" s="2285">
        <f t="shared" si="59"/>
        <v>-21267.560999999998</v>
      </c>
      <c r="K94" s="2287">
        <f t="shared" ref="K94" si="60">SUM(K91:K93)</f>
        <v>5.9528785695816631E-3</v>
      </c>
      <c r="L94" s="2287">
        <f t="shared" ref="L94" si="61">SUM(L91:L93)</f>
        <v>2E-3</v>
      </c>
      <c r="M94" s="2245"/>
    </row>
    <row r="95" spans="1:13" ht="15" customHeight="1">
      <c r="A95" s="1533"/>
      <c r="B95" s="2278" t="s">
        <v>2694</v>
      </c>
      <c r="C95" s="2282"/>
      <c r="D95" s="2282"/>
      <c r="E95" s="2282"/>
      <c r="F95" s="2282"/>
      <c r="G95" s="2282"/>
      <c r="H95" s="2282"/>
      <c r="I95" s="2282"/>
      <c r="J95" s="2282"/>
      <c r="K95" s="2283"/>
      <c r="L95" s="2281"/>
      <c r="M95" s="2244"/>
    </row>
    <row r="96" spans="1:13" ht="15" customHeight="1">
      <c r="A96" s="1533"/>
      <c r="B96" s="2279" t="s">
        <v>1076</v>
      </c>
      <c r="C96" s="2282">
        <v>68000</v>
      </c>
      <c r="D96" s="2282">
        <v>0</v>
      </c>
      <c r="E96" s="2282">
        <v>0</v>
      </c>
      <c r="F96" s="2282">
        <v>68000</v>
      </c>
      <c r="G96" s="2282">
        <f t="shared" ref="G96" si="62">C96+D96+E96-F96</f>
        <v>0</v>
      </c>
      <c r="H96" s="2285">
        <v>0</v>
      </c>
      <c r="I96" s="2285">
        <v>0</v>
      </c>
      <c r="J96" s="2285">
        <f t="shared" ref="J96" si="63">I96-H96</f>
        <v>0</v>
      </c>
      <c r="K96" s="2290">
        <f>I96/BS!$F$28</f>
        <v>0</v>
      </c>
      <c r="L96" s="2286">
        <f t="shared" ref="L96" si="64">M96/$M$10</f>
        <v>0</v>
      </c>
      <c r="M96" s="2245"/>
    </row>
    <row r="97" spans="1:13" ht="15" customHeight="1">
      <c r="A97" s="1533"/>
      <c r="B97" s="2279"/>
      <c r="C97" s="2282"/>
      <c r="D97" s="2282"/>
      <c r="E97" s="2282"/>
      <c r="F97" s="2282"/>
      <c r="G97" s="2282"/>
      <c r="H97" s="2282"/>
      <c r="I97" s="2282"/>
      <c r="J97" s="2282"/>
      <c r="K97" s="2283"/>
      <c r="L97" s="2284"/>
      <c r="M97" s="2244"/>
    </row>
    <row r="98" spans="1:13" ht="15" customHeight="1">
      <c r="A98" s="1533"/>
      <c r="B98" s="2278" t="s">
        <v>2695</v>
      </c>
      <c r="C98" s="2282"/>
      <c r="D98" s="2282"/>
      <c r="E98" s="2282"/>
      <c r="F98" s="2282"/>
      <c r="G98" s="2282"/>
      <c r="H98" s="2282"/>
      <c r="I98" s="2282"/>
      <c r="J98" s="2282"/>
      <c r="K98" s="2289"/>
      <c r="L98" s="2289"/>
      <c r="M98" s="2244"/>
    </row>
    <row r="99" spans="1:13" ht="15" customHeight="1">
      <c r="A99" s="1533"/>
      <c r="B99" s="2279" t="s">
        <v>2175</v>
      </c>
      <c r="C99" s="2282">
        <v>4040</v>
      </c>
      <c r="D99" s="2282">
        <v>35160</v>
      </c>
      <c r="E99" s="2282">
        <v>0</v>
      </c>
      <c r="F99" s="2282">
        <v>13000</v>
      </c>
      <c r="G99" s="2282">
        <f t="shared" ref="G99:G101" si="65">C99+D99+E99-F99</f>
        <v>26200</v>
      </c>
      <c r="H99" s="2282">
        <v>45107.298000000003</v>
      </c>
      <c r="I99" s="2282">
        <v>63572.466</v>
      </c>
      <c r="J99" s="2282">
        <f t="shared" ref="J99:J101" si="66">I99-H99</f>
        <v>18465.167999999998</v>
      </c>
      <c r="K99" s="2283">
        <f>I99/BS!$F$28</f>
        <v>5.9504299741767828E-3</v>
      </c>
      <c r="L99" s="2284">
        <f t="shared" ref="L99:L101" si="67">M99/$M$10</f>
        <v>3.4999999999999996E-3</v>
      </c>
      <c r="M99" s="2244">
        <v>0.35</v>
      </c>
    </row>
    <row r="100" spans="1:13" ht="15" customHeight="1">
      <c r="A100" s="1533"/>
      <c r="B100" s="2279" t="s">
        <v>2854</v>
      </c>
      <c r="C100" s="2282">
        <v>36</v>
      </c>
      <c r="D100" s="2282">
        <v>60500</v>
      </c>
      <c r="E100" s="2282">
        <v>0</v>
      </c>
      <c r="F100" s="2282">
        <v>60536</v>
      </c>
      <c r="G100" s="2282">
        <f t="shared" si="65"/>
        <v>0</v>
      </c>
      <c r="H100" s="2282">
        <v>0</v>
      </c>
      <c r="I100" s="2282">
        <v>0</v>
      </c>
      <c r="J100" s="2282">
        <f t="shared" si="66"/>
        <v>0</v>
      </c>
      <c r="K100" s="2283">
        <f>I100/BS!$F$28</f>
        <v>0</v>
      </c>
      <c r="L100" s="2284">
        <f t="shared" si="67"/>
        <v>0</v>
      </c>
      <c r="M100" s="2244">
        <v>0</v>
      </c>
    </row>
    <row r="101" spans="1:13" ht="15" customHeight="1">
      <c r="A101" s="1533"/>
      <c r="B101" s="2279" t="s">
        <v>2696</v>
      </c>
      <c r="C101" s="2282">
        <v>403</v>
      </c>
      <c r="D101" s="2282">
        <v>55200</v>
      </c>
      <c r="E101" s="2282">
        <v>0</v>
      </c>
      <c r="F101" s="2282">
        <v>55603</v>
      </c>
      <c r="G101" s="2282">
        <f t="shared" si="65"/>
        <v>0</v>
      </c>
      <c r="H101" s="2282">
        <v>0</v>
      </c>
      <c r="I101" s="2282">
        <v>0</v>
      </c>
      <c r="J101" s="2282">
        <f t="shared" si="66"/>
        <v>0</v>
      </c>
      <c r="K101" s="2283">
        <f>I101/BS!$F$28</f>
        <v>0</v>
      </c>
      <c r="L101" s="2284">
        <f t="shared" si="67"/>
        <v>0</v>
      </c>
      <c r="M101" s="2244">
        <v>0</v>
      </c>
    </row>
    <row r="102" spans="1:13" ht="15" customHeight="1">
      <c r="A102" s="1533"/>
      <c r="B102" s="2279"/>
      <c r="C102" s="2282"/>
      <c r="D102" s="2282"/>
      <c r="E102" s="2282"/>
      <c r="F102" s="2282"/>
      <c r="G102" s="2282"/>
      <c r="H102" s="2285">
        <f>SUM(H99:H101)</f>
        <v>45107.298000000003</v>
      </c>
      <c r="I102" s="2285">
        <f t="shared" ref="I102:J102" si="68">SUM(I99:I101)</f>
        <v>63572.466</v>
      </c>
      <c r="J102" s="2285">
        <f t="shared" si="68"/>
        <v>18465.167999999998</v>
      </c>
      <c r="K102" s="2287">
        <f t="shared" ref="K102" si="69">SUM(K99:K101)</f>
        <v>5.9504299741767828E-3</v>
      </c>
      <c r="L102" s="2287">
        <f t="shared" ref="L102" si="70">SUM(L99:L101)</f>
        <v>3.4999999999999996E-3</v>
      </c>
      <c r="M102" s="2245"/>
    </row>
    <row r="103" spans="1:13" ht="15" customHeight="1">
      <c r="A103" s="1533"/>
      <c r="B103" s="2278" t="s">
        <v>1061</v>
      </c>
      <c r="C103" s="2282"/>
      <c r="D103" s="2282"/>
      <c r="E103" s="2282"/>
      <c r="F103" s="2282"/>
      <c r="G103" s="2282"/>
      <c r="H103" s="2282"/>
      <c r="I103" s="2282"/>
      <c r="J103" s="2282"/>
      <c r="K103" s="2289"/>
      <c r="L103" s="2289"/>
      <c r="M103" s="2244"/>
    </row>
    <row r="104" spans="1:13" ht="15" customHeight="1">
      <c r="A104" s="1533"/>
      <c r="B104" s="2279" t="s">
        <v>2855</v>
      </c>
      <c r="C104" s="2282">
        <v>0</v>
      </c>
      <c r="D104" s="2282">
        <v>1150500</v>
      </c>
      <c r="E104" s="2282">
        <v>0</v>
      </c>
      <c r="F104" s="2282">
        <v>265000</v>
      </c>
      <c r="G104" s="2282">
        <f t="shared" ref="G104:G107" si="71">C104+D104+E104-F104</f>
        <v>885500</v>
      </c>
      <c r="H104" s="2282">
        <v>25387.727999999999</v>
      </c>
      <c r="I104" s="2282">
        <v>26706.68</v>
      </c>
      <c r="J104" s="2282">
        <f t="shared" ref="J104:J107" si="72">I104-H104</f>
        <v>1318.9520000000011</v>
      </c>
      <c r="K104" s="2283">
        <f>I104/BS!$F$28</f>
        <v>2.4997650583941104E-3</v>
      </c>
      <c r="L104" s="2284">
        <f t="shared" ref="L104:L107" si="73">M104/$M$10</f>
        <v>2.5000000000000001E-3</v>
      </c>
      <c r="M104" s="2244">
        <v>0.25</v>
      </c>
    </row>
    <row r="105" spans="1:13" ht="15" customHeight="1">
      <c r="A105" s="1533"/>
      <c r="B105" s="2279" t="s">
        <v>2697</v>
      </c>
      <c r="C105" s="2282">
        <v>329600</v>
      </c>
      <c r="D105" s="2282">
        <v>1053700</v>
      </c>
      <c r="E105" s="2282">
        <v>20860</v>
      </c>
      <c r="F105" s="2282">
        <v>1200</v>
      </c>
      <c r="G105" s="2282">
        <f t="shared" si="71"/>
        <v>1402960</v>
      </c>
      <c r="H105" s="2282">
        <v>280853.09100000001</v>
      </c>
      <c r="I105" s="2282">
        <v>270771.28000000003</v>
      </c>
      <c r="J105" s="2282">
        <f t="shared" si="72"/>
        <v>-10081.810999999987</v>
      </c>
      <c r="K105" s="2283">
        <f>I105/BS!$F$28</f>
        <v>2.5344392659838216E-2</v>
      </c>
      <c r="L105" s="2284">
        <f t="shared" si="73"/>
        <v>2.2200000000000001E-2</v>
      </c>
      <c r="M105" s="2244">
        <v>2.2200000000000002</v>
      </c>
    </row>
    <row r="106" spans="1:13" ht="15" customHeight="1">
      <c r="A106" s="1533"/>
      <c r="B106" s="2279" t="s">
        <v>2649</v>
      </c>
      <c r="C106" s="2282">
        <v>0</v>
      </c>
      <c r="D106" s="2282">
        <v>1764500</v>
      </c>
      <c r="E106" s="2282">
        <v>58000</v>
      </c>
      <c r="F106" s="2282">
        <v>1388500</v>
      </c>
      <c r="G106" s="2282">
        <f t="shared" si="71"/>
        <v>434000</v>
      </c>
      <c r="H106" s="2282">
        <v>7274.9679999999998</v>
      </c>
      <c r="I106" s="2282">
        <v>7087.22</v>
      </c>
      <c r="J106" s="2282">
        <f t="shared" si="72"/>
        <v>-187.74799999999959</v>
      </c>
      <c r="K106" s="2283">
        <f>I106/BS!$F$28</f>
        <v>6.6336904913496956E-4</v>
      </c>
      <c r="L106" s="2284">
        <f t="shared" si="73"/>
        <v>2.2000000000000001E-3</v>
      </c>
      <c r="M106" s="2244">
        <v>0.22</v>
      </c>
    </row>
    <row r="107" spans="1:13" ht="15" customHeight="1">
      <c r="A107" s="1533"/>
      <c r="B107" s="2279" t="s">
        <v>2650</v>
      </c>
      <c r="C107" s="2282">
        <v>781000</v>
      </c>
      <c r="D107" s="2282">
        <v>0</v>
      </c>
      <c r="E107" s="2282">
        <v>0</v>
      </c>
      <c r="F107" s="2282">
        <v>781000</v>
      </c>
      <c r="G107" s="2282">
        <f t="shared" si="71"/>
        <v>0</v>
      </c>
      <c r="H107" s="2282">
        <v>0</v>
      </c>
      <c r="I107" s="2282">
        <v>0</v>
      </c>
      <c r="J107" s="2282">
        <f t="shared" si="72"/>
        <v>0</v>
      </c>
      <c r="K107" s="2283">
        <f>I107/BS!$F$28</f>
        <v>0</v>
      </c>
      <c r="L107" s="2284">
        <f t="shared" si="73"/>
        <v>0</v>
      </c>
      <c r="M107" s="2244">
        <v>0</v>
      </c>
    </row>
    <row r="108" spans="1:13" ht="15" customHeight="1">
      <c r="A108" s="1533"/>
      <c r="B108" s="2279"/>
      <c r="C108" s="2282"/>
      <c r="D108" s="2282"/>
      <c r="E108" s="2282"/>
      <c r="F108" s="2282"/>
      <c r="G108" s="2282"/>
      <c r="H108" s="2285">
        <f>SUM(H104:H107)</f>
        <v>313515.78700000001</v>
      </c>
      <c r="I108" s="2285">
        <f t="shared" ref="I108:J108" si="74">SUM(I104:I107)</f>
        <v>304565.18</v>
      </c>
      <c r="J108" s="2285">
        <f t="shared" si="74"/>
        <v>-8950.6069999999854</v>
      </c>
      <c r="K108" s="2287">
        <f t="shared" ref="K108" si="75">SUM(K104:K107)</f>
        <v>2.8507526767367296E-2</v>
      </c>
      <c r="L108" s="2287">
        <f t="shared" ref="L108" si="76">SUM(L104:L107)</f>
        <v>2.69E-2</v>
      </c>
      <c r="M108" s="2245"/>
    </row>
    <row r="109" spans="1:13" ht="15" customHeight="1">
      <c r="A109" s="1533"/>
      <c r="B109" s="2278" t="s">
        <v>1945</v>
      </c>
      <c r="C109" s="2282"/>
      <c r="D109" s="2282"/>
      <c r="E109" s="2282"/>
      <c r="F109" s="2282"/>
      <c r="G109" s="2282"/>
      <c r="H109" s="2282"/>
      <c r="I109" s="2282"/>
      <c r="J109" s="2282"/>
      <c r="K109" s="2283"/>
      <c r="L109" s="2284"/>
      <c r="M109" s="2244"/>
    </row>
    <row r="110" spans="1:13" ht="15" customHeight="1">
      <c r="A110" s="1533"/>
      <c r="B110" s="2279" t="s">
        <v>1047</v>
      </c>
      <c r="C110" s="2282">
        <v>388960</v>
      </c>
      <c r="D110" s="2282">
        <v>163580</v>
      </c>
      <c r="E110" s="2282">
        <v>0</v>
      </c>
      <c r="F110" s="2282">
        <v>73083</v>
      </c>
      <c r="G110" s="2282">
        <f t="shared" ref="G110:G113" si="77">C110+D110+E110-F110</f>
        <v>479457</v>
      </c>
      <c r="H110" s="2282">
        <v>755392.79799999995</v>
      </c>
      <c r="I110" s="2282">
        <v>848408.75100000005</v>
      </c>
      <c r="J110" s="2282">
        <f t="shared" ref="J110:J113" si="78">I110-H110</f>
        <v>93015.953000000096</v>
      </c>
      <c r="K110" s="2283">
        <f>I110/BS!$F$28</f>
        <v>7.9411688423480176E-2</v>
      </c>
      <c r="L110" s="2284">
        <f t="shared" ref="L110:L113" si="79">M110/$M$10</f>
        <v>3.5999999999999999E-3</v>
      </c>
      <c r="M110" s="2244">
        <v>0.36</v>
      </c>
    </row>
    <row r="111" spans="1:13" ht="15" customHeight="1">
      <c r="A111" s="1533"/>
      <c r="B111" s="2279" t="s">
        <v>1048</v>
      </c>
      <c r="C111" s="2282">
        <v>5139277</v>
      </c>
      <c r="D111" s="2282">
        <v>0</v>
      </c>
      <c r="E111" s="2282">
        <v>0</v>
      </c>
      <c r="F111" s="2282">
        <v>2691311</v>
      </c>
      <c r="G111" s="2282">
        <f t="shared" si="77"/>
        <v>2447966</v>
      </c>
      <c r="H111" s="2282">
        <v>232630.209</v>
      </c>
      <c r="I111" s="2282">
        <v>203499.41399999999</v>
      </c>
      <c r="J111" s="2282">
        <f t="shared" si="78"/>
        <v>-29130.795000000013</v>
      </c>
      <c r="K111" s="2283">
        <f>I111/BS!$F$28</f>
        <v>1.9047696101532546E-2</v>
      </c>
      <c r="L111" s="2284">
        <f t="shared" si="79"/>
        <v>5.9999999999999995E-4</v>
      </c>
      <c r="M111" s="2244">
        <v>0.06</v>
      </c>
    </row>
    <row r="112" spans="1:13" ht="15" customHeight="1">
      <c r="A112" s="1533"/>
      <c r="B112" s="2279" t="s">
        <v>123</v>
      </c>
      <c r="C112" s="2282">
        <v>652561</v>
      </c>
      <c r="D112" s="2282">
        <v>125200</v>
      </c>
      <c r="E112" s="2282">
        <v>0</v>
      </c>
      <c r="F112" s="2282">
        <v>491262</v>
      </c>
      <c r="G112" s="2282">
        <f t="shared" si="77"/>
        <v>286499</v>
      </c>
      <c r="H112" s="2282">
        <v>112813.336</v>
      </c>
      <c r="I112" s="2282">
        <v>106772.447</v>
      </c>
      <c r="J112" s="2282">
        <f t="shared" si="78"/>
        <v>-6040.8889999999956</v>
      </c>
      <c r="K112" s="2283">
        <f>I112/BS!$F$28</f>
        <v>9.9939802405179922E-3</v>
      </c>
      <c r="L112" s="2284">
        <f t="shared" si="79"/>
        <v>1E-3</v>
      </c>
      <c r="M112" s="2244">
        <v>0.1</v>
      </c>
    </row>
    <row r="113" spans="1:13" ht="15" customHeight="1">
      <c r="A113" s="1533"/>
      <c r="B113" s="2279" t="s">
        <v>124</v>
      </c>
      <c r="C113" s="2282">
        <v>3734120</v>
      </c>
      <c r="D113" s="2282">
        <v>844910</v>
      </c>
      <c r="E113" s="2282">
        <v>0</v>
      </c>
      <c r="F113" s="2282">
        <v>2684120</v>
      </c>
      <c r="G113" s="2282">
        <f t="shared" si="77"/>
        <v>1894910</v>
      </c>
      <c r="H113" s="2282">
        <v>160229.989</v>
      </c>
      <c r="I113" s="2282">
        <v>137949.448</v>
      </c>
      <c r="J113" s="2282">
        <f t="shared" si="78"/>
        <v>-22280.540999999997</v>
      </c>
      <c r="K113" s="2283">
        <f>I113/BS!$F$28</f>
        <v>1.2912170660492255E-2</v>
      </c>
      <c r="L113" s="2284">
        <f t="shared" si="79"/>
        <v>7.000000000000001E-4</v>
      </c>
      <c r="M113" s="2244">
        <v>7.0000000000000007E-2</v>
      </c>
    </row>
    <row r="114" spans="1:13" ht="15" customHeight="1">
      <c r="A114" s="1533"/>
      <c r="B114" s="2279"/>
      <c r="C114" s="2282"/>
      <c r="D114" s="2282"/>
      <c r="E114" s="2282"/>
      <c r="F114" s="2282"/>
      <c r="G114" s="2282"/>
      <c r="H114" s="2285">
        <f>SUM(H110:H113)</f>
        <v>1261066.3319999999</v>
      </c>
      <c r="I114" s="2285">
        <f t="shared" ref="I114:J114" si="80">SUM(I110:I113)</f>
        <v>1296630.06</v>
      </c>
      <c r="J114" s="2285">
        <f t="shared" si="80"/>
        <v>35563.72800000009</v>
      </c>
      <c r="K114" s="2287">
        <f t="shared" ref="K114" si="81">SUM(K110:K113)</f>
        <v>0.12136553542602298</v>
      </c>
      <c r="L114" s="2287">
        <f t="shared" ref="L114" si="82">SUM(L110:L113)</f>
        <v>5.8999999999999999E-3</v>
      </c>
      <c r="M114" s="2245"/>
    </row>
    <row r="115" spans="1:13" ht="15" customHeight="1">
      <c r="A115" s="1533"/>
      <c r="B115" s="2278" t="s">
        <v>2698</v>
      </c>
      <c r="C115" s="2282"/>
      <c r="D115" s="2282"/>
      <c r="E115" s="2282"/>
      <c r="F115" s="2282"/>
      <c r="G115" s="2282"/>
      <c r="H115" s="2282"/>
      <c r="I115" s="2282"/>
      <c r="J115" s="2282"/>
      <c r="K115" s="2283"/>
      <c r="L115" s="2284"/>
      <c r="M115" s="2244"/>
    </row>
    <row r="116" spans="1:13" ht="15" customHeight="1">
      <c r="A116" s="1533"/>
      <c r="B116" s="2279" t="s">
        <v>1166</v>
      </c>
      <c r="C116" s="2282">
        <v>620700</v>
      </c>
      <c r="D116" s="2282">
        <v>0</v>
      </c>
      <c r="E116" s="2282">
        <v>0</v>
      </c>
      <c r="F116" s="2282">
        <v>379200</v>
      </c>
      <c r="G116" s="2282">
        <f t="shared" ref="G116:G120" si="83">C116+D116+E116-F116</f>
        <v>241500</v>
      </c>
      <c r="H116" s="2282">
        <v>77528.744999999995</v>
      </c>
      <c r="I116" s="2282">
        <v>72850.89</v>
      </c>
      <c r="J116" s="2282">
        <f t="shared" ref="J116:J120" si="84">I116-H116</f>
        <v>-4677.8549999999959</v>
      </c>
      <c r="K116" s="2283">
        <f>I116/BS!$F$28</f>
        <v>6.8188973430959188E-3</v>
      </c>
      <c r="L116" s="2284">
        <f t="shared" ref="L116:L120" si="85">M116/$M$10</f>
        <v>2.3999999999999998E-3</v>
      </c>
      <c r="M116" s="2244">
        <v>0.24</v>
      </c>
    </row>
    <row r="117" spans="1:13" ht="15" customHeight="1">
      <c r="A117" s="1533"/>
      <c r="B117" s="2279" t="s">
        <v>1050</v>
      </c>
      <c r="C117" s="2282">
        <v>0</v>
      </c>
      <c r="D117" s="2282">
        <v>920500</v>
      </c>
      <c r="E117" s="2282">
        <v>59000</v>
      </c>
      <c r="F117" s="2282">
        <v>844000</v>
      </c>
      <c r="G117" s="2282">
        <f t="shared" si="83"/>
        <v>135500</v>
      </c>
      <c r="H117" s="2282">
        <v>5221.7910000000002</v>
      </c>
      <c r="I117" s="2282">
        <v>5739.78</v>
      </c>
      <c r="J117" s="2282">
        <f t="shared" si="84"/>
        <v>517.98899999999958</v>
      </c>
      <c r="K117" s="2283">
        <f>I117/BS!$F$28</f>
        <v>5.3724766563531469E-4</v>
      </c>
      <c r="L117" s="2284">
        <f t="shared" si="85"/>
        <v>1E-3</v>
      </c>
      <c r="M117" s="2244">
        <v>0.1</v>
      </c>
    </row>
    <row r="118" spans="1:13" ht="15" customHeight="1">
      <c r="A118" s="1533"/>
      <c r="B118" s="2279" t="s">
        <v>170</v>
      </c>
      <c r="C118" s="2282">
        <v>1586305</v>
      </c>
      <c r="D118" s="2282">
        <v>50000</v>
      </c>
      <c r="E118" s="2282">
        <v>0</v>
      </c>
      <c r="F118" s="2282">
        <v>1636305</v>
      </c>
      <c r="G118" s="2282">
        <f t="shared" si="83"/>
        <v>0</v>
      </c>
      <c r="H118" s="2282">
        <v>0</v>
      </c>
      <c r="I118" s="2282">
        <v>0</v>
      </c>
      <c r="J118" s="2282">
        <f t="shared" si="84"/>
        <v>0</v>
      </c>
      <c r="K118" s="2283">
        <f>I118/BS!$F$28</f>
        <v>0</v>
      </c>
      <c r="L118" s="2284">
        <f t="shared" si="85"/>
        <v>0</v>
      </c>
      <c r="M118" s="2244">
        <v>0</v>
      </c>
    </row>
    <row r="119" spans="1:13" ht="15" customHeight="1">
      <c r="A119" s="1533"/>
      <c r="B119" s="2279" t="s">
        <v>2699</v>
      </c>
      <c r="C119" s="2282">
        <v>701500</v>
      </c>
      <c r="D119" s="2282">
        <v>237800</v>
      </c>
      <c r="E119" s="2282">
        <v>0</v>
      </c>
      <c r="F119" s="2282">
        <v>939300</v>
      </c>
      <c r="G119" s="2282">
        <f t="shared" si="83"/>
        <v>0</v>
      </c>
      <c r="H119" s="2282">
        <v>0</v>
      </c>
      <c r="I119" s="2282">
        <v>0</v>
      </c>
      <c r="J119" s="2282">
        <f t="shared" si="84"/>
        <v>0</v>
      </c>
      <c r="K119" s="2283">
        <f>I119/BS!$F$28</f>
        <v>0</v>
      </c>
      <c r="L119" s="2284">
        <f t="shared" si="85"/>
        <v>0</v>
      </c>
      <c r="M119" s="2244">
        <v>0</v>
      </c>
    </row>
    <row r="120" spans="1:13" ht="15" customHeight="1">
      <c r="A120" s="1533"/>
      <c r="B120" s="2279" t="s">
        <v>1051</v>
      </c>
      <c r="C120" s="2282">
        <v>1150244</v>
      </c>
      <c r="D120" s="2282">
        <v>1570897</v>
      </c>
      <c r="E120" s="2282">
        <v>0</v>
      </c>
      <c r="F120" s="2282">
        <v>2721141</v>
      </c>
      <c r="G120" s="2282">
        <f t="shared" si="83"/>
        <v>0</v>
      </c>
      <c r="H120" s="2282">
        <v>0</v>
      </c>
      <c r="I120" s="2282">
        <v>0</v>
      </c>
      <c r="J120" s="2282">
        <f t="shared" si="84"/>
        <v>0</v>
      </c>
      <c r="K120" s="2283">
        <f>I120/BS!$F$28</f>
        <v>0</v>
      </c>
      <c r="L120" s="2284">
        <f t="shared" si="85"/>
        <v>0</v>
      </c>
      <c r="M120" s="2244">
        <v>0</v>
      </c>
    </row>
    <row r="121" spans="1:13" ht="15" customHeight="1">
      <c r="A121" s="1533"/>
      <c r="B121" s="2279"/>
      <c r="C121" s="2282"/>
      <c r="D121" s="2282"/>
      <c r="E121" s="2282"/>
      <c r="F121" s="2282"/>
      <c r="G121" s="2282"/>
      <c r="H121" s="2285">
        <f>SUM(H116:H120)</f>
        <v>82750.535999999993</v>
      </c>
      <c r="I121" s="2285">
        <f t="shared" ref="I121:J121" si="86">SUM(I116:I120)</f>
        <v>78590.67</v>
      </c>
      <c r="J121" s="2285">
        <f t="shared" si="86"/>
        <v>-4159.8659999999963</v>
      </c>
      <c r="K121" s="2287">
        <f t="shared" ref="K121" si="87">SUM(K116:K120)</f>
        <v>7.3561450087312333E-3</v>
      </c>
      <c r="L121" s="2287">
        <f t="shared" ref="L121" si="88">SUM(L116:L120)</f>
        <v>3.3999999999999998E-3</v>
      </c>
      <c r="M121" s="2245"/>
    </row>
    <row r="122" spans="1:13" ht="15" customHeight="1">
      <c r="A122" s="1533"/>
      <c r="B122" s="2278" t="s">
        <v>2700</v>
      </c>
      <c r="C122" s="2282"/>
      <c r="D122" s="2282"/>
      <c r="E122" s="2282"/>
      <c r="F122" s="2282"/>
      <c r="G122" s="2282"/>
      <c r="H122" s="2282"/>
      <c r="I122" s="2282"/>
      <c r="J122" s="2282"/>
      <c r="K122" s="2283"/>
      <c r="L122" s="2284"/>
      <c r="M122" s="2244"/>
    </row>
    <row r="123" spans="1:13" ht="15" customHeight="1">
      <c r="A123" s="1533"/>
      <c r="B123" s="2279" t="s">
        <v>2149</v>
      </c>
      <c r="C123" s="2282">
        <v>0</v>
      </c>
      <c r="D123" s="2282">
        <v>390000</v>
      </c>
      <c r="E123" s="2282">
        <v>0</v>
      </c>
      <c r="F123" s="2282">
        <v>25500</v>
      </c>
      <c r="G123" s="2282">
        <f t="shared" ref="G123:G126" si="89">C123+D123+E123-F123</f>
        <v>364500</v>
      </c>
      <c r="H123" s="2282">
        <v>26705.894</v>
      </c>
      <c r="I123" s="2282">
        <v>25642.575000000001</v>
      </c>
      <c r="J123" s="2282">
        <f t="shared" ref="J123:J126" si="90">I123-H123</f>
        <v>-1063.3189999999995</v>
      </c>
      <c r="K123" s="2283">
        <f>I123/BS!$F$28</f>
        <v>2.4001640410657695E-3</v>
      </c>
      <c r="L123" s="2284">
        <f t="shared" ref="L123:L126" si="91">M123/$M$10</f>
        <v>1.8E-3</v>
      </c>
      <c r="M123" s="2244">
        <v>0.18</v>
      </c>
    </row>
    <row r="124" spans="1:13" ht="15" customHeight="1">
      <c r="A124" s="1533"/>
      <c r="B124" s="2279" t="s">
        <v>1167</v>
      </c>
      <c r="C124" s="2282">
        <v>0</v>
      </c>
      <c r="D124" s="2282">
        <v>144000</v>
      </c>
      <c r="E124" s="2282">
        <v>0</v>
      </c>
      <c r="F124" s="2282">
        <v>144000</v>
      </c>
      <c r="G124" s="2282">
        <f t="shared" si="89"/>
        <v>0</v>
      </c>
      <c r="H124" s="2282">
        <v>0</v>
      </c>
      <c r="I124" s="2282">
        <v>0</v>
      </c>
      <c r="J124" s="2282">
        <f t="shared" si="90"/>
        <v>0</v>
      </c>
      <c r="K124" s="2283">
        <f>I124/BS!$F$28</f>
        <v>0</v>
      </c>
      <c r="L124" s="2284">
        <f t="shared" si="91"/>
        <v>0</v>
      </c>
      <c r="M124" s="2244">
        <v>0</v>
      </c>
    </row>
    <row r="125" spans="1:13" ht="15" customHeight="1">
      <c r="A125" s="1533"/>
      <c r="B125" s="2279" t="s">
        <v>2156</v>
      </c>
      <c r="C125" s="2282">
        <v>581400</v>
      </c>
      <c r="D125" s="2282">
        <v>130750</v>
      </c>
      <c r="E125" s="2282">
        <v>0</v>
      </c>
      <c r="F125" s="2282">
        <v>155500</v>
      </c>
      <c r="G125" s="2282">
        <f t="shared" si="89"/>
        <v>556650</v>
      </c>
      <c r="H125" s="2282">
        <v>294638.90899999999</v>
      </c>
      <c r="I125" s="2282">
        <v>245109.69500000001</v>
      </c>
      <c r="J125" s="2282">
        <f t="shared" si="90"/>
        <v>-49529.213999999978</v>
      </c>
      <c r="K125" s="2283">
        <f>I125/BS!$F$28</f>
        <v>2.2942449268671269E-2</v>
      </c>
      <c r="L125" s="2284">
        <f t="shared" si="91"/>
        <v>6.1999999999999998E-3</v>
      </c>
      <c r="M125" s="2244">
        <v>0.62</v>
      </c>
    </row>
    <row r="126" spans="1:13" ht="15" customHeight="1">
      <c r="A126" s="1533"/>
      <c r="B126" s="2279" t="s">
        <v>2162</v>
      </c>
      <c r="C126" s="2282">
        <v>0</v>
      </c>
      <c r="D126" s="2282">
        <v>577600</v>
      </c>
      <c r="E126" s="2282">
        <v>0</v>
      </c>
      <c r="F126" s="2282">
        <v>0</v>
      </c>
      <c r="G126" s="2282">
        <f t="shared" si="89"/>
        <v>577600</v>
      </c>
      <c r="H126" s="2282">
        <v>73437.854999999996</v>
      </c>
      <c r="I126" s="2282">
        <v>65130.175999999999</v>
      </c>
      <c r="J126" s="2282">
        <f t="shared" si="90"/>
        <v>-8307.6789999999964</v>
      </c>
      <c r="K126" s="2283">
        <f>I126/BS!$F$28</f>
        <v>6.0962327856498334E-3</v>
      </c>
      <c r="L126" s="2284">
        <f t="shared" si="91"/>
        <v>9.7000000000000003E-3</v>
      </c>
      <c r="M126" s="2244">
        <v>0.97</v>
      </c>
    </row>
    <row r="127" spans="1:13" ht="15" customHeight="1">
      <c r="A127" s="1533"/>
      <c r="B127" s="2279"/>
      <c r="C127" s="2282"/>
      <c r="D127" s="2282"/>
      <c r="E127" s="2282"/>
      <c r="F127" s="2282"/>
      <c r="G127" s="2282"/>
      <c r="H127" s="2285">
        <f>SUM(H123:H126)</f>
        <v>394782.65799999994</v>
      </c>
      <c r="I127" s="2285">
        <f>SUM(I123:I126)</f>
        <v>335882.446</v>
      </c>
      <c r="J127" s="2285">
        <f>SUM(J123:J126)</f>
        <v>-58900.211999999978</v>
      </c>
      <c r="K127" s="2287">
        <f>SUM(K123:K126)</f>
        <v>3.1438846095386871E-2</v>
      </c>
      <c r="L127" s="2287">
        <f>SUM(L123:L126)</f>
        <v>1.77E-2</v>
      </c>
      <c r="M127" s="2245"/>
    </row>
    <row r="128" spans="1:13" ht="15" customHeight="1">
      <c r="A128" s="1533"/>
      <c r="B128" s="2278" t="s">
        <v>1054</v>
      </c>
      <c r="C128" s="2282"/>
      <c r="D128" s="2282"/>
      <c r="E128" s="2282"/>
      <c r="F128" s="2282"/>
      <c r="G128" s="2282"/>
      <c r="H128" s="2282"/>
      <c r="I128" s="2282"/>
      <c r="J128" s="2282"/>
      <c r="K128" s="2283"/>
      <c r="L128" s="2284"/>
      <c r="M128" s="2244"/>
    </row>
    <row r="129" spans="1:13" ht="15" customHeight="1">
      <c r="A129" s="1533"/>
      <c r="B129" s="2279" t="s">
        <v>2073</v>
      </c>
      <c r="C129" s="2282">
        <v>376450</v>
      </c>
      <c r="D129" s="2282">
        <v>0</v>
      </c>
      <c r="E129" s="2282">
        <v>0</v>
      </c>
      <c r="F129" s="2282">
        <v>376450</v>
      </c>
      <c r="G129" s="2282">
        <f t="shared" ref="G129:G135" si="92">C129+D129+E129-F129</f>
        <v>0</v>
      </c>
      <c r="H129" s="2282">
        <v>0</v>
      </c>
      <c r="I129" s="2282">
        <v>0</v>
      </c>
      <c r="J129" s="2282">
        <f t="shared" ref="J129:J135" si="93">I129-H129</f>
        <v>0</v>
      </c>
      <c r="K129" s="2283">
        <f>I129/BS!$F$28</f>
        <v>0</v>
      </c>
      <c r="L129" s="2284">
        <f t="shared" ref="L129:L135" si="94">M129/$M$10</f>
        <v>0</v>
      </c>
      <c r="M129" s="2244">
        <v>0</v>
      </c>
    </row>
    <row r="130" spans="1:13" ht="15" customHeight="1">
      <c r="A130" s="1533"/>
      <c r="B130" s="2279" t="s">
        <v>2651</v>
      </c>
      <c r="C130" s="2282">
        <v>0</v>
      </c>
      <c r="D130" s="2282">
        <v>328900</v>
      </c>
      <c r="E130" s="2282">
        <v>0</v>
      </c>
      <c r="F130" s="2282">
        <v>128900</v>
      </c>
      <c r="G130" s="2282">
        <f t="shared" si="92"/>
        <v>200000</v>
      </c>
      <c r="H130" s="2282">
        <v>16309.48</v>
      </c>
      <c r="I130" s="2282">
        <v>18016</v>
      </c>
      <c r="J130" s="2282">
        <f t="shared" si="93"/>
        <v>1706.5200000000004</v>
      </c>
      <c r="K130" s="2283">
        <f>I130/BS!$F$28</f>
        <v>1.6863109638498043E-3</v>
      </c>
      <c r="L130" s="2284">
        <f t="shared" si="94"/>
        <v>7.000000000000001E-4</v>
      </c>
      <c r="M130" s="2244">
        <v>7.0000000000000007E-2</v>
      </c>
    </row>
    <row r="131" spans="1:13" ht="15" customHeight="1">
      <c r="A131" s="1533"/>
      <c r="B131" s="2279" t="s">
        <v>2856</v>
      </c>
      <c r="C131" s="2282">
        <v>0</v>
      </c>
      <c r="D131" s="2282">
        <v>4676500</v>
      </c>
      <c r="E131" s="2282">
        <v>0</v>
      </c>
      <c r="F131" s="2282">
        <v>0</v>
      </c>
      <c r="G131" s="2282">
        <f t="shared" si="92"/>
        <v>4676500</v>
      </c>
      <c r="H131" s="2282">
        <v>164475.31099999999</v>
      </c>
      <c r="I131" s="2282">
        <v>167044.57999999999</v>
      </c>
      <c r="J131" s="2282">
        <f t="shared" si="93"/>
        <v>2569.2690000000002</v>
      </c>
      <c r="K131" s="2283">
        <f>I131/BS!$F$28</f>
        <v>1.5635496597784512E-2</v>
      </c>
      <c r="L131" s="2284">
        <f t="shared" si="94"/>
        <v>2.0499999999999997E-2</v>
      </c>
      <c r="M131" s="2244">
        <v>2.0499999999999998</v>
      </c>
    </row>
    <row r="132" spans="1:13" ht="15" customHeight="1">
      <c r="A132" s="1533"/>
      <c r="B132" s="2279" t="s">
        <v>2857</v>
      </c>
      <c r="C132" s="2282">
        <v>0</v>
      </c>
      <c r="D132" s="2282">
        <v>207700</v>
      </c>
      <c r="E132" s="2282">
        <v>0</v>
      </c>
      <c r="F132" s="2282">
        <v>33700</v>
      </c>
      <c r="G132" s="2282">
        <f t="shared" si="92"/>
        <v>174000</v>
      </c>
      <c r="H132" s="2282">
        <v>43626.898000000001</v>
      </c>
      <c r="I132" s="2282">
        <v>44098.559999999998</v>
      </c>
      <c r="J132" s="2282">
        <f t="shared" si="93"/>
        <v>471.66199999999662</v>
      </c>
      <c r="K132" s="2283">
        <f>I132/BS!$F$28</f>
        <v>4.1276579272862138E-3</v>
      </c>
      <c r="L132" s="2284">
        <f t="shared" si="94"/>
        <v>1.5E-3</v>
      </c>
      <c r="M132" s="2244">
        <v>0.15</v>
      </c>
    </row>
    <row r="133" spans="1:13" ht="15" customHeight="1">
      <c r="A133" s="1533"/>
      <c r="B133" s="2279" t="s">
        <v>2652</v>
      </c>
      <c r="C133" s="2282">
        <v>0</v>
      </c>
      <c r="D133" s="2282">
        <v>307400</v>
      </c>
      <c r="E133" s="2282">
        <v>0</v>
      </c>
      <c r="F133" s="2282">
        <v>307400</v>
      </c>
      <c r="G133" s="2282">
        <f t="shared" si="92"/>
        <v>0</v>
      </c>
      <c r="H133" s="2282">
        <v>0</v>
      </c>
      <c r="I133" s="2282">
        <v>0</v>
      </c>
      <c r="J133" s="2282">
        <f t="shared" si="93"/>
        <v>0</v>
      </c>
      <c r="K133" s="2283">
        <f>I133/BS!$F$28</f>
        <v>0</v>
      </c>
      <c r="L133" s="2284">
        <f t="shared" si="94"/>
        <v>0</v>
      </c>
      <c r="M133" s="2244">
        <v>0</v>
      </c>
    </row>
    <row r="134" spans="1:13" ht="15" customHeight="1">
      <c r="A134" s="1533"/>
      <c r="B134" s="2279" t="s">
        <v>2081</v>
      </c>
      <c r="C134" s="2282">
        <v>135200</v>
      </c>
      <c r="D134" s="2282">
        <v>0</v>
      </c>
      <c r="E134" s="2282">
        <v>0</v>
      </c>
      <c r="F134" s="2282">
        <v>44650</v>
      </c>
      <c r="G134" s="2282">
        <f t="shared" si="92"/>
        <v>90550</v>
      </c>
      <c r="H134" s="2282">
        <v>54330</v>
      </c>
      <c r="I134" s="2282">
        <v>56999.413999999997</v>
      </c>
      <c r="J134" s="2282">
        <f t="shared" si="93"/>
        <v>2669.413999999997</v>
      </c>
      <c r="K134" s="2283">
        <f>I134/BS!$F$28</f>
        <v>5.3351874312396776E-3</v>
      </c>
      <c r="L134" s="2284">
        <f t="shared" si="94"/>
        <v>2.3999999999999998E-3</v>
      </c>
      <c r="M134" s="2244">
        <v>0.24</v>
      </c>
    </row>
    <row r="135" spans="1:13" ht="15" customHeight="1">
      <c r="A135" s="1533"/>
      <c r="B135" s="2279" t="s">
        <v>500</v>
      </c>
      <c r="C135" s="2282">
        <v>458000</v>
      </c>
      <c r="D135" s="2282">
        <v>1081055</v>
      </c>
      <c r="E135" s="2282">
        <v>0</v>
      </c>
      <c r="F135" s="2282">
        <v>1414055</v>
      </c>
      <c r="G135" s="2282">
        <f t="shared" si="92"/>
        <v>125000</v>
      </c>
      <c r="H135" s="2282">
        <v>17824.488000000001</v>
      </c>
      <c r="I135" s="2282">
        <v>15498.75</v>
      </c>
      <c r="J135" s="2282">
        <f t="shared" si="93"/>
        <v>-2325.7380000000012</v>
      </c>
      <c r="K135" s="2283">
        <f>I135/BS!$F$28</f>
        <v>1.4506944966122977E-3</v>
      </c>
      <c r="L135" s="2284">
        <f t="shared" si="94"/>
        <v>4.0000000000000002E-4</v>
      </c>
      <c r="M135" s="2244">
        <v>0.04</v>
      </c>
    </row>
    <row r="136" spans="1:13" ht="15" customHeight="1">
      <c r="A136" s="1533"/>
      <c r="B136" s="2279"/>
      <c r="C136" s="2282"/>
      <c r="D136" s="2282"/>
      <c r="E136" s="2282"/>
      <c r="F136" s="2282"/>
      <c r="G136" s="2282"/>
      <c r="H136" s="2285">
        <f>SUM(H129:H135)</f>
        <v>296566.17700000003</v>
      </c>
      <c r="I136" s="2285">
        <f t="shared" ref="I136:J136" si="95">SUM(I129:I135)</f>
        <v>301657.304</v>
      </c>
      <c r="J136" s="2285">
        <f t="shared" si="95"/>
        <v>5091.1269999999931</v>
      </c>
      <c r="K136" s="2287">
        <f t="shared" ref="K136" si="96">SUM(K129:K135)</f>
        <v>2.8235347416772506E-2</v>
      </c>
      <c r="L136" s="2287">
        <f t="shared" ref="L136" si="97">SUM(L129:L135)</f>
        <v>2.5499999999999998E-2</v>
      </c>
      <c r="M136" s="2245"/>
    </row>
    <row r="137" spans="1:13" ht="15" customHeight="1">
      <c r="A137" s="1533"/>
      <c r="B137" s="2278" t="s">
        <v>2701</v>
      </c>
      <c r="C137" s="2282"/>
      <c r="D137" s="2282"/>
      <c r="E137" s="2282"/>
      <c r="F137" s="2282"/>
      <c r="G137" s="2282"/>
      <c r="H137" s="2282"/>
      <c r="I137" s="2282"/>
      <c r="J137" s="2282"/>
      <c r="K137" s="2283"/>
      <c r="L137" s="2284"/>
      <c r="M137" s="2244"/>
    </row>
    <row r="138" spans="1:13" ht="15" customHeight="1">
      <c r="A138" s="1533"/>
      <c r="B138" s="2279" t="s">
        <v>1066</v>
      </c>
      <c r="C138" s="2282">
        <v>327000</v>
      </c>
      <c r="D138" s="2282">
        <v>0</v>
      </c>
      <c r="E138" s="2282">
        <v>0</v>
      </c>
      <c r="F138" s="2282">
        <v>327000</v>
      </c>
      <c r="G138" s="2282">
        <f t="shared" ref="G138:G142" si="98">C138+D138+E138-F138</f>
        <v>0</v>
      </c>
      <c r="H138" s="2282">
        <v>0</v>
      </c>
      <c r="I138" s="2282">
        <v>0</v>
      </c>
      <c r="J138" s="2282">
        <f t="shared" ref="J138:J142" si="99">I138-H138</f>
        <v>0</v>
      </c>
      <c r="K138" s="2283">
        <f>I138/BS!$F$28</f>
        <v>0</v>
      </c>
      <c r="L138" s="2284">
        <f t="shared" ref="L138:L142" si="100">M138/$M$10</f>
        <v>0</v>
      </c>
      <c r="M138" s="2244">
        <v>0</v>
      </c>
    </row>
    <row r="139" spans="1:13" ht="15" customHeight="1">
      <c r="A139" s="1533"/>
      <c r="B139" s="2279" t="s">
        <v>2653</v>
      </c>
      <c r="C139" s="2282">
        <v>5148540</v>
      </c>
      <c r="D139" s="2282">
        <v>0</v>
      </c>
      <c r="E139" s="2282">
        <v>0</v>
      </c>
      <c r="F139" s="2282">
        <v>3248640</v>
      </c>
      <c r="G139" s="2282">
        <f t="shared" si="98"/>
        <v>1899900</v>
      </c>
      <c r="H139" s="2282">
        <v>151365.033</v>
      </c>
      <c r="I139" s="2282">
        <v>135994.842</v>
      </c>
      <c r="J139" s="2282">
        <f t="shared" si="99"/>
        <v>-15370.190999999992</v>
      </c>
      <c r="K139" s="2283">
        <f>I139/BS!$F$28</f>
        <v>1.2729218089010983E-2</v>
      </c>
      <c r="L139" s="2284">
        <f t="shared" si="100"/>
        <v>1.5E-3</v>
      </c>
      <c r="M139" s="2244">
        <v>0.15</v>
      </c>
    </row>
    <row r="140" spans="1:13" ht="15" customHeight="1">
      <c r="A140" s="1533"/>
      <c r="B140" s="2279" t="s">
        <v>2865</v>
      </c>
      <c r="C140" s="2282">
        <v>22488000</v>
      </c>
      <c r="D140" s="2282">
        <v>0</v>
      </c>
      <c r="E140" s="2282">
        <v>0</v>
      </c>
      <c r="F140" s="2282">
        <v>22488000</v>
      </c>
      <c r="G140" s="2282">
        <f t="shared" si="98"/>
        <v>0</v>
      </c>
      <c r="H140" s="2282">
        <v>0</v>
      </c>
      <c r="I140" s="2282">
        <v>0</v>
      </c>
      <c r="J140" s="2282">
        <f t="shared" si="99"/>
        <v>0</v>
      </c>
      <c r="K140" s="2283">
        <f>I140/BS!$F$28</f>
        <v>0</v>
      </c>
      <c r="L140" s="2284">
        <f t="shared" si="100"/>
        <v>0</v>
      </c>
      <c r="M140" s="2244">
        <v>0</v>
      </c>
    </row>
    <row r="141" spans="1:13" ht="15" customHeight="1">
      <c r="A141" s="1533"/>
      <c r="B141" s="1179" t="s">
        <v>2922</v>
      </c>
      <c r="C141" s="2282">
        <v>7202500</v>
      </c>
      <c r="D141" s="2282">
        <v>0</v>
      </c>
      <c r="E141" s="2282">
        <v>0</v>
      </c>
      <c r="F141" s="2282">
        <v>7202500</v>
      </c>
      <c r="G141" s="2282">
        <f t="shared" si="98"/>
        <v>0</v>
      </c>
      <c r="H141" s="2282">
        <v>0</v>
      </c>
      <c r="I141" s="2282">
        <v>0</v>
      </c>
      <c r="J141" s="2282">
        <f t="shared" si="99"/>
        <v>0</v>
      </c>
      <c r="K141" s="2283">
        <f>I141/BS!$F$28</f>
        <v>0</v>
      </c>
      <c r="L141" s="2284">
        <f t="shared" si="100"/>
        <v>0</v>
      </c>
      <c r="M141" s="2244">
        <v>0</v>
      </c>
    </row>
    <row r="142" spans="1:13" ht="15" customHeight="1">
      <c r="A142" s="1533"/>
      <c r="B142" s="1179" t="s">
        <v>2921</v>
      </c>
      <c r="C142" s="2282">
        <v>969000</v>
      </c>
      <c r="D142" s="2282">
        <v>700000</v>
      </c>
      <c r="E142" s="2282">
        <v>0</v>
      </c>
      <c r="F142" s="2282">
        <v>1669000</v>
      </c>
      <c r="G142" s="2282">
        <f t="shared" si="98"/>
        <v>0</v>
      </c>
      <c r="H142" s="2282">
        <v>0</v>
      </c>
      <c r="I142" s="2282">
        <v>0</v>
      </c>
      <c r="J142" s="2282">
        <f t="shared" si="99"/>
        <v>0</v>
      </c>
      <c r="K142" s="2283">
        <f>I142/BS!$F$28</f>
        <v>0</v>
      </c>
      <c r="L142" s="2284">
        <f t="shared" si="100"/>
        <v>0</v>
      </c>
      <c r="M142" s="2244">
        <v>0</v>
      </c>
    </row>
    <row r="143" spans="1:13" ht="15" customHeight="1">
      <c r="A143" s="1533"/>
      <c r="B143" s="2279"/>
      <c r="C143" s="2282"/>
      <c r="D143" s="2282"/>
      <c r="E143" s="2282"/>
      <c r="F143" s="2282"/>
      <c r="G143" s="2282"/>
      <c r="H143" s="2285">
        <f>SUM(H138:H142)</f>
        <v>151365.033</v>
      </c>
      <c r="I143" s="2285">
        <f t="shared" ref="I143:J143" si="101">SUM(I138:I142)</f>
        <v>135994.842</v>
      </c>
      <c r="J143" s="2285">
        <f t="shared" si="101"/>
        <v>-15370.190999999992</v>
      </c>
      <c r="K143" s="2287">
        <f t="shared" ref="K143" si="102">SUM(K138:K142)</f>
        <v>1.2729218089010983E-2</v>
      </c>
      <c r="L143" s="2287">
        <f t="shared" ref="L143" si="103">SUM(L138:L142)</f>
        <v>1.5E-3</v>
      </c>
      <c r="M143" s="2245"/>
    </row>
    <row r="144" spans="1:13" ht="15" customHeight="1">
      <c r="A144" s="1533"/>
      <c r="B144" s="2278" t="s">
        <v>2702</v>
      </c>
      <c r="C144" s="2282"/>
      <c r="D144" s="2282"/>
      <c r="E144" s="2282"/>
      <c r="F144" s="2282"/>
      <c r="G144" s="2282"/>
      <c r="H144" s="2282"/>
      <c r="I144" s="2282"/>
      <c r="J144" s="2282"/>
      <c r="K144" s="2283"/>
      <c r="L144" s="2284"/>
      <c r="M144" s="2244"/>
    </row>
    <row r="145" spans="1:13" ht="15" customHeight="1">
      <c r="A145" s="1533"/>
      <c r="B145" s="2279" t="s">
        <v>473</v>
      </c>
      <c r="C145" s="2282">
        <v>481400</v>
      </c>
      <c r="D145" s="2282">
        <v>230439</v>
      </c>
      <c r="E145" s="2282">
        <v>0</v>
      </c>
      <c r="F145" s="2282">
        <v>711839</v>
      </c>
      <c r="G145" s="2282">
        <f t="shared" ref="G145:G148" si="104">C145+D145+E145-F145</f>
        <v>0</v>
      </c>
      <c r="H145" s="2282">
        <v>0</v>
      </c>
      <c r="I145" s="2282">
        <v>0</v>
      </c>
      <c r="J145" s="2282">
        <f t="shared" ref="J145:J148" si="105">I145-H145</f>
        <v>0</v>
      </c>
      <c r="K145" s="2283">
        <f>I145/BS!$F$28</f>
        <v>0</v>
      </c>
      <c r="L145" s="2284">
        <f t="shared" ref="L145:L148" si="106">M145/$M$10</f>
        <v>0</v>
      </c>
      <c r="M145" s="2244">
        <v>0</v>
      </c>
    </row>
    <row r="146" spans="1:13" ht="15" customHeight="1">
      <c r="A146" s="1533"/>
      <c r="B146" s="2279" t="s">
        <v>2858</v>
      </c>
      <c r="C146" s="2282">
        <v>0</v>
      </c>
      <c r="D146" s="2282">
        <v>7000000</v>
      </c>
      <c r="E146" s="2282">
        <v>0</v>
      </c>
      <c r="F146" s="2282">
        <v>7000000</v>
      </c>
      <c r="G146" s="2282">
        <f t="shared" si="104"/>
        <v>0</v>
      </c>
      <c r="H146" s="2282">
        <v>0</v>
      </c>
      <c r="I146" s="2282">
        <v>0</v>
      </c>
      <c r="J146" s="2282">
        <f t="shared" si="105"/>
        <v>0</v>
      </c>
      <c r="K146" s="2283">
        <f>I146/BS!$F$28</f>
        <v>0</v>
      </c>
      <c r="L146" s="2284">
        <f t="shared" si="106"/>
        <v>0</v>
      </c>
      <c r="M146" s="2244">
        <v>0</v>
      </c>
    </row>
    <row r="147" spans="1:13" ht="15" customHeight="1">
      <c r="A147" s="1533"/>
      <c r="B147" s="2279" t="s">
        <v>474</v>
      </c>
      <c r="C147" s="2282">
        <v>105000</v>
      </c>
      <c r="D147" s="2282">
        <v>25000</v>
      </c>
      <c r="E147" s="2282">
        <v>0</v>
      </c>
      <c r="F147" s="2282">
        <v>130000</v>
      </c>
      <c r="G147" s="2282">
        <f t="shared" si="104"/>
        <v>0</v>
      </c>
      <c r="H147" s="2282">
        <v>0</v>
      </c>
      <c r="I147" s="2282">
        <v>0</v>
      </c>
      <c r="J147" s="2282">
        <f t="shared" si="105"/>
        <v>0</v>
      </c>
      <c r="K147" s="2283">
        <f>I147/BS!$F$28</f>
        <v>0</v>
      </c>
      <c r="L147" s="2284">
        <f t="shared" si="106"/>
        <v>0</v>
      </c>
      <c r="M147" s="2244">
        <v>0</v>
      </c>
    </row>
    <row r="148" spans="1:13" ht="15" customHeight="1">
      <c r="A148" s="1533"/>
      <c r="B148" s="2279" t="s">
        <v>1901</v>
      </c>
      <c r="C148" s="2282">
        <v>2463500</v>
      </c>
      <c r="D148" s="2282">
        <v>0</v>
      </c>
      <c r="E148" s="2282">
        <v>0</v>
      </c>
      <c r="F148" s="2282">
        <v>2463500</v>
      </c>
      <c r="G148" s="2282">
        <f t="shared" si="104"/>
        <v>0</v>
      </c>
      <c r="H148" s="2282">
        <v>0</v>
      </c>
      <c r="I148" s="2282">
        <v>0</v>
      </c>
      <c r="J148" s="2282">
        <f t="shared" si="105"/>
        <v>0</v>
      </c>
      <c r="K148" s="2283">
        <f>I148/BS!$F$28</f>
        <v>0</v>
      </c>
      <c r="L148" s="2284">
        <f t="shared" si="106"/>
        <v>0</v>
      </c>
      <c r="M148" s="2244">
        <v>0</v>
      </c>
    </row>
    <row r="149" spans="1:13" ht="15" customHeight="1">
      <c r="A149" s="1533"/>
      <c r="B149" s="2279"/>
      <c r="C149" s="2282"/>
      <c r="D149" s="2282"/>
      <c r="E149" s="2282"/>
      <c r="F149" s="2282"/>
      <c r="G149" s="2282"/>
      <c r="H149" s="2285">
        <f>SUM(H145:H148)</f>
        <v>0</v>
      </c>
      <c r="I149" s="2285">
        <f t="shared" ref="I149:J149" si="107">SUM(I145:I148)</f>
        <v>0</v>
      </c>
      <c r="J149" s="2285">
        <f t="shared" si="107"/>
        <v>0</v>
      </c>
      <c r="K149" s="2287">
        <f t="shared" ref="K149" si="108">SUM(K145:K148)</f>
        <v>0</v>
      </c>
      <c r="L149" s="2287">
        <f t="shared" ref="L149" si="109">SUM(L145:L148)</f>
        <v>0</v>
      </c>
      <c r="M149" s="2245"/>
    </row>
    <row r="150" spans="1:13" ht="15" customHeight="1">
      <c r="A150" s="1533"/>
      <c r="B150" s="2278" t="s">
        <v>2703</v>
      </c>
      <c r="C150" s="2282"/>
      <c r="D150" s="2282"/>
      <c r="E150" s="2282"/>
      <c r="F150" s="2282"/>
      <c r="G150" s="2282"/>
      <c r="H150" s="2282"/>
      <c r="I150" s="2282"/>
      <c r="J150" s="2282"/>
      <c r="K150" s="2283"/>
      <c r="L150" s="2281"/>
      <c r="M150" s="2244"/>
    </row>
    <row r="151" spans="1:13" ht="15" customHeight="1">
      <c r="A151" s="1533"/>
      <c r="B151" s="2279" t="s">
        <v>2859</v>
      </c>
      <c r="C151" s="2282">
        <v>0</v>
      </c>
      <c r="D151" s="2282">
        <v>2649000</v>
      </c>
      <c r="E151" s="2282">
        <v>0</v>
      </c>
      <c r="F151" s="2282">
        <v>0</v>
      </c>
      <c r="G151" s="2282">
        <f t="shared" ref="G151:G157" si="110">C151+D151+E151-F151</f>
        <v>2649000</v>
      </c>
      <c r="H151" s="2282">
        <v>162234.296</v>
      </c>
      <c r="I151" s="2282">
        <v>142860.57</v>
      </c>
      <c r="J151" s="2282">
        <f t="shared" ref="J151:J157" si="111">I151-H151</f>
        <v>-19373.725999999995</v>
      </c>
      <c r="K151" s="2283">
        <f>I151/BS!$F$28</f>
        <v>1.3371855322648339E-2</v>
      </c>
      <c r="L151" s="2284">
        <f t="shared" ref="L151:L157" si="112">M151/$M$10</f>
        <v>6.7000000000000002E-3</v>
      </c>
      <c r="M151" s="2244">
        <v>0.67</v>
      </c>
    </row>
    <row r="152" spans="1:13" ht="14.25" customHeight="1">
      <c r="A152" s="1533"/>
      <c r="B152" s="2279" t="s">
        <v>340</v>
      </c>
      <c r="C152" s="2282">
        <v>0</v>
      </c>
      <c r="D152" s="2282">
        <v>935000</v>
      </c>
      <c r="E152" s="2282">
        <v>0</v>
      </c>
      <c r="F152" s="2282">
        <v>935000</v>
      </c>
      <c r="G152" s="2282">
        <f t="shared" si="110"/>
        <v>0</v>
      </c>
      <c r="H152" s="2282">
        <v>0</v>
      </c>
      <c r="I152" s="2282">
        <v>0</v>
      </c>
      <c r="J152" s="2282">
        <f t="shared" si="111"/>
        <v>0</v>
      </c>
      <c r="K152" s="2283">
        <f>I152/BS!$F$28</f>
        <v>0</v>
      </c>
      <c r="L152" s="2284">
        <f t="shared" si="112"/>
        <v>0</v>
      </c>
      <c r="M152" s="2244">
        <v>0</v>
      </c>
    </row>
    <row r="153" spans="1:13" ht="15" customHeight="1">
      <c r="A153" s="1533"/>
      <c r="B153" s="2279" t="s">
        <v>2864</v>
      </c>
      <c r="C153" s="2282">
        <v>0</v>
      </c>
      <c r="D153" s="2282">
        <v>12450000</v>
      </c>
      <c r="E153" s="2282">
        <v>0</v>
      </c>
      <c r="F153" s="2282">
        <v>2500000</v>
      </c>
      <c r="G153" s="2282">
        <f t="shared" si="110"/>
        <v>9950000</v>
      </c>
      <c r="H153" s="2282">
        <v>70675.845000000001</v>
      </c>
      <c r="I153" s="2282">
        <v>67262</v>
      </c>
      <c r="J153" s="2282">
        <f t="shared" si="111"/>
        <v>-3413.8450000000012</v>
      </c>
      <c r="K153" s="2283">
        <f>I153/BS!$F$28</f>
        <v>6.2957730933872972E-3</v>
      </c>
      <c r="L153" s="2284">
        <f t="shared" si="112"/>
        <v>1.0500000000000001E-2</v>
      </c>
      <c r="M153" s="2244">
        <v>1.05</v>
      </c>
    </row>
    <row r="154" spans="1:13" ht="15" customHeight="1">
      <c r="A154" s="1533"/>
      <c r="B154" s="2279" t="s">
        <v>2860</v>
      </c>
      <c r="C154" s="2282">
        <v>0</v>
      </c>
      <c r="D154" s="2282">
        <v>734799</v>
      </c>
      <c r="E154" s="2282">
        <v>0</v>
      </c>
      <c r="F154" s="2282">
        <v>534799</v>
      </c>
      <c r="G154" s="2282">
        <f t="shared" si="110"/>
        <v>200000</v>
      </c>
      <c r="H154" s="2282">
        <v>13096.92</v>
      </c>
      <c r="I154" s="2282">
        <v>15110</v>
      </c>
      <c r="J154" s="2282">
        <f t="shared" si="111"/>
        <v>2013.08</v>
      </c>
      <c r="K154" s="2283">
        <f>I154/BS!$F$28</f>
        <v>1.4143072082465889E-3</v>
      </c>
      <c r="L154" s="2284">
        <f t="shared" si="112"/>
        <v>1.5E-3</v>
      </c>
      <c r="M154" s="2244">
        <v>0.15</v>
      </c>
    </row>
    <row r="155" spans="1:13" ht="15" customHeight="1">
      <c r="A155" s="1533"/>
      <c r="B155" s="2279" t="s">
        <v>645</v>
      </c>
      <c r="C155" s="2282">
        <v>0</v>
      </c>
      <c r="D155" s="2282">
        <v>3729500</v>
      </c>
      <c r="E155" s="2282">
        <v>0</v>
      </c>
      <c r="F155" s="2282">
        <v>3729500</v>
      </c>
      <c r="G155" s="2282">
        <f t="shared" si="110"/>
        <v>0</v>
      </c>
      <c r="H155" s="2282">
        <v>0</v>
      </c>
      <c r="I155" s="2282">
        <v>0</v>
      </c>
      <c r="J155" s="2282">
        <f t="shared" si="111"/>
        <v>0</v>
      </c>
      <c r="K155" s="2283">
        <f>I155/BS!$F$28</f>
        <v>0</v>
      </c>
      <c r="L155" s="2284">
        <f t="shared" si="112"/>
        <v>0</v>
      </c>
      <c r="M155" s="2244">
        <v>0</v>
      </c>
    </row>
    <row r="156" spans="1:13" ht="15" customHeight="1">
      <c r="A156" s="1533"/>
      <c r="B156" s="2279" t="s">
        <v>1067</v>
      </c>
      <c r="C156" s="2282">
        <v>250000</v>
      </c>
      <c r="D156" s="2282">
        <v>137687</v>
      </c>
      <c r="E156" s="2282">
        <v>290000</v>
      </c>
      <c r="F156" s="2282">
        <v>140187</v>
      </c>
      <c r="G156" s="2282">
        <f t="shared" si="110"/>
        <v>537500</v>
      </c>
      <c r="H156" s="2282">
        <v>163658.91399999999</v>
      </c>
      <c r="I156" s="2282">
        <v>203642.625</v>
      </c>
      <c r="J156" s="2282">
        <f t="shared" si="111"/>
        <v>39983.71100000001</v>
      </c>
      <c r="K156" s="2283">
        <f>I156/BS!$F$28</f>
        <v>1.9061100757363138E-2</v>
      </c>
      <c r="L156" s="2284">
        <f t="shared" si="112"/>
        <v>3.9000000000000003E-3</v>
      </c>
      <c r="M156" s="2244">
        <v>0.39</v>
      </c>
    </row>
    <row r="157" spans="1:13" ht="15" customHeight="1">
      <c r="A157" s="1533"/>
      <c r="B157" s="2279" t="s">
        <v>2061</v>
      </c>
      <c r="C157" s="2282">
        <v>500000</v>
      </c>
      <c r="D157" s="2282">
        <v>3765000</v>
      </c>
      <c r="E157" s="2282">
        <v>0</v>
      </c>
      <c r="F157" s="2282">
        <v>3721000</v>
      </c>
      <c r="G157" s="2282">
        <f t="shared" si="110"/>
        <v>544000</v>
      </c>
      <c r="H157" s="2282">
        <v>55076.029000000002</v>
      </c>
      <c r="I157" s="2282">
        <v>42350.400000000001</v>
      </c>
      <c r="J157" s="2282">
        <f t="shared" si="111"/>
        <v>-12725.629000000001</v>
      </c>
      <c r="K157" s="2283">
        <f>I157/BS!$F$28</f>
        <v>3.9640288545417825E-3</v>
      </c>
      <c r="L157" s="2284">
        <f t="shared" si="112"/>
        <v>1E-3</v>
      </c>
      <c r="M157" s="2244">
        <v>0.1</v>
      </c>
    </row>
    <row r="158" spans="1:13" ht="15" customHeight="1">
      <c r="A158" s="1533"/>
      <c r="B158" s="2279"/>
      <c r="C158" s="2282"/>
      <c r="D158" s="2282"/>
      <c r="E158" s="2282"/>
      <c r="F158" s="2282"/>
      <c r="G158" s="2282"/>
      <c r="H158" s="2285">
        <f>SUM(H151:H157)</f>
        <v>464742.00399999996</v>
      </c>
      <c r="I158" s="2285">
        <f t="shared" ref="I158:J158" si="113">SUM(I151:I157)</f>
        <v>471225.59500000003</v>
      </c>
      <c r="J158" s="2285">
        <f t="shared" si="113"/>
        <v>6483.5910000000149</v>
      </c>
      <c r="K158" s="2287">
        <f t="shared" ref="K158" si="114">SUM(K151:K157)</f>
        <v>4.410706523618714E-2</v>
      </c>
      <c r="L158" s="2287">
        <f t="shared" ref="L158" si="115">SUM(L151:L157)</f>
        <v>2.3600000000000003E-2</v>
      </c>
      <c r="M158" s="2245"/>
    </row>
    <row r="159" spans="1:13" ht="15" customHeight="1">
      <c r="A159" s="1533"/>
      <c r="B159" s="2278" t="s">
        <v>2704</v>
      </c>
      <c r="C159" s="2282"/>
      <c r="D159" s="2282"/>
      <c r="E159" s="2282"/>
      <c r="F159" s="2282"/>
      <c r="G159" s="2282"/>
      <c r="H159" s="2282"/>
      <c r="I159" s="2282"/>
      <c r="J159" s="2282"/>
      <c r="K159" s="2283"/>
      <c r="L159" s="2281"/>
      <c r="M159" s="2244"/>
    </row>
    <row r="160" spans="1:13" ht="15" customHeight="1">
      <c r="A160" s="1533"/>
      <c r="B160" s="2279" t="s">
        <v>2861</v>
      </c>
      <c r="C160" s="2282">
        <v>0</v>
      </c>
      <c r="D160" s="2282">
        <v>500000</v>
      </c>
      <c r="E160" s="2282">
        <v>0</v>
      </c>
      <c r="F160" s="2282">
        <v>500000</v>
      </c>
      <c r="G160" s="2282">
        <f t="shared" ref="G160:G165" si="116">C160+D160+E160-F160</f>
        <v>0</v>
      </c>
      <c r="H160" s="2282">
        <v>0</v>
      </c>
      <c r="I160" s="2282">
        <v>0</v>
      </c>
      <c r="J160" s="2282">
        <f t="shared" ref="J160:J165" si="117">I160-H160</f>
        <v>0</v>
      </c>
      <c r="K160" s="2283">
        <f>I160/BS!$F$28</f>
        <v>0</v>
      </c>
      <c r="L160" s="2284">
        <f t="shared" ref="L160:L165" si="118">M160/$M$10</f>
        <v>0</v>
      </c>
      <c r="M160" s="2244">
        <v>0</v>
      </c>
    </row>
    <row r="161" spans="1:14" ht="15" customHeight="1">
      <c r="A161" s="1533"/>
      <c r="B161" s="2279" t="s">
        <v>1060</v>
      </c>
      <c r="C161" s="2282">
        <v>2780256</v>
      </c>
      <c r="D161" s="2282">
        <v>3209300</v>
      </c>
      <c r="E161" s="2282">
        <v>0</v>
      </c>
      <c r="F161" s="2282">
        <v>4531500</v>
      </c>
      <c r="G161" s="2282">
        <f t="shared" si="116"/>
        <v>1458056</v>
      </c>
      <c r="H161" s="2282">
        <v>70425.417000000001</v>
      </c>
      <c r="I161" s="2282">
        <v>69184.756999999998</v>
      </c>
      <c r="J161" s="2282">
        <f t="shared" si="117"/>
        <v>-1240.6600000000035</v>
      </c>
      <c r="K161" s="2283">
        <f>I161/BS!$F$28</f>
        <v>6.4757445748437224E-3</v>
      </c>
      <c r="L161" s="2284">
        <f t="shared" si="118"/>
        <v>2.3999999999999998E-3</v>
      </c>
      <c r="M161" s="2244">
        <v>0.24</v>
      </c>
    </row>
    <row r="162" spans="1:14" ht="15" customHeight="1">
      <c r="A162" s="1533"/>
      <c r="B162" s="2279" t="s">
        <v>2592</v>
      </c>
      <c r="C162" s="2282">
        <v>2808110</v>
      </c>
      <c r="D162" s="2282">
        <v>1253585</v>
      </c>
      <c r="E162" s="2282">
        <v>102963</v>
      </c>
      <c r="F162" s="2282">
        <v>3579655</v>
      </c>
      <c r="G162" s="2282">
        <f t="shared" si="116"/>
        <v>585003</v>
      </c>
      <c r="H162" s="2282">
        <v>39909.957999999999</v>
      </c>
      <c r="I162" s="2282">
        <v>43231.722000000002</v>
      </c>
      <c r="J162" s="2282">
        <f t="shared" si="117"/>
        <v>3321.7640000000029</v>
      </c>
      <c r="K162" s="2283">
        <f>I162/BS!$F$28</f>
        <v>4.0465212474859458E-3</v>
      </c>
      <c r="L162" s="2284">
        <f t="shared" si="118"/>
        <v>7.000000000000001E-4</v>
      </c>
      <c r="M162" s="2244">
        <v>7.0000000000000007E-2</v>
      </c>
    </row>
    <row r="163" spans="1:14" ht="15" customHeight="1">
      <c r="A163" s="1533"/>
      <c r="B163" s="2279" t="s">
        <v>338</v>
      </c>
      <c r="C163" s="2282">
        <v>1375718</v>
      </c>
      <c r="D163" s="2282">
        <v>1057000</v>
      </c>
      <c r="E163" s="2282">
        <v>0</v>
      </c>
      <c r="F163" s="2282">
        <v>343500</v>
      </c>
      <c r="G163" s="2282">
        <f t="shared" si="116"/>
        <v>2089218</v>
      </c>
      <c r="H163" s="2282">
        <v>147617.24900000001</v>
      </c>
      <c r="I163" s="2282">
        <v>130053.821</v>
      </c>
      <c r="J163" s="2282">
        <f t="shared" si="117"/>
        <v>-17563.428000000014</v>
      </c>
      <c r="K163" s="2283">
        <f>I163/BS!$F$28</f>
        <v>1.2173134116499774E-2</v>
      </c>
      <c r="L163" s="2284">
        <f t="shared" si="118"/>
        <v>6.9999999999999993E-3</v>
      </c>
      <c r="M163" s="2244">
        <v>0.7</v>
      </c>
    </row>
    <row r="164" spans="1:14" ht="15" customHeight="1">
      <c r="A164" s="1533"/>
      <c r="B164" s="1179" t="s">
        <v>2919</v>
      </c>
      <c r="C164" s="2282">
        <v>0</v>
      </c>
      <c r="D164" s="2282">
        <v>7688753</v>
      </c>
      <c r="E164" s="2282">
        <v>0</v>
      </c>
      <c r="F164" s="2282">
        <v>2141446</v>
      </c>
      <c r="G164" s="2282">
        <f t="shared" si="116"/>
        <v>5547307</v>
      </c>
      <c r="H164" s="2282">
        <v>272486.49300000002</v>
      </c>
      <c r="I164" s="2282">
        <v>288238.07199999999</v>
      </c>
      <c r="J164" s="2282">
        <f t="shared" si="117"/>
        <v>15751.578999999969</v>
      </c>
      <c r="K164" s="2283">
        <f>I164/BS!$F$28</f>
        <v>2.6979297347498297E-2</v>
      </c>
      <c r="L164" s="2284">
        <f t="shared" si="118"/>
        <v>2.3099999999999999E-2</v>
      </c>
      <c r="M164" s="2244">
        <v>2.31</v>
      </c>
    </row>
    <row r="165" spans="1:14" ht="15" customHeight="1">
      <c r="A165" s="1533"/>
      <c r="B165" s="1179" t="s">
        <v>2920</v>
      </c>
      <c r="C165" s="2282">
        <v>0</v>
      </c>
      <c r="D165" s="2282">
        <v>3151785</v>
      </c>
      <c r="E165" s="2282">
        <v>0</v>
      </c>
      <c r="F165" s="2282">
        <v>884500</v>
      </c>
      <c r="G165" s="2282">
        <f t="shared" si="116"/>
        <v>2267285</v>
      </c>
      <c r="H165" s="2282">
        <v>184885.302</v>
      </c>
      <c r="I165" s="2282">
        <v>194260.97899999999</v>
      </c>
      <c r="J165" s="2282">
        <f t="shared" si="117"/>
        <v>9375.676999999996</v>
      </c>
      <c r="K165" s="2283">
        <f>I165/BS!$F$28</f>
        <v>1.8182971732676322E-2</v>
      </c>
      <c r="L165" s="2284">
        <f t="shared" si="118"/>
        <v>6.4000000000000003E-3</v>
      </c>
      <c r="M165" s="2244">
        <v>0.64</v>
      </c>
    </row>
    <row r="166" spans="1:14" ht="15" customHeight="1">
      <c r="A166" s="1533"/>
      <c r="B166" s="2279"/>
      <c r="C166" s="2282"/>
      <c r="D166" s="2282"/>
      <c r="E166" s="2282"/>
      <c r="F166" s="2282"/>
      <c r="G166" s="2282"/>
      <c r="H166" s="2285">
        <f>SUM(H160:H165)</f>
        <v>715324.41900000011</v>
      </c>
      <c r="I166" s="2285">
        <f t="shared" ref="I166:J166" si="119">SUM(I160:I165)</f>
        <v>724969.35100000002</v>
      </c>
      <c r="J166" s="2285">
        <f t="shared" si="119"/>
        <v>9644.9319999999498</v>
      </c>
      <c r="K166" s="2287">
        <f t="shared" ref="K166" si="120">SUM(K160:K165)</f>
        <v>6.7857669019004058E-2</v>
      </c>
      <c r="L166" s="2287">
        <f t="shared" ref="L166" si="121">SUM(L160:L165)</f>
        <v>3.9600000000000003E-2</v>
      </c>
      <c r="M166" s="2243"/>
    </row>
    <row r="167" spans="1:14" ht="15" customHeight="1">
      <c r="A167" s="1533"/>
      <c r="B167" s="2278" t="s">
        <v>2862</v>
      </c>
      <c r="C167" s="2282"/>
      <c r="D167" s="2282"/>
      <c r="E167" s="2282"/>
      <c r="F167" s="2282"/>
      <c r="G167" s="2282"/>
      <c r="H167" s="2282"/>
      <c r="I167" s="2282"/>
      <c r="J167" s="2282"/>
      <c r="K167" s="2283"/>
      <c r="L167" s="2284"/>
      <c r="M167" s="903"/>
    </row>
    <row r="168" spans="1:14" ht="15" customHeight="1">
      <c r="A168" s="1533"/>
      <c r="B168" s="2279" t="s">
        <v>2863</v>
      </c>
      <c r="C168" s="2282">
        <v>0</v>
      </c>
      <c r="D168" s="2282">
        <v>29000</v>
      </c>
      <c r="E168" s="2282">
        <v>0</v>
      </c>
      <c r="F168" s="2282">
        <v>0</v>
      </c>
      <c r="G168" s="2282">
        <f t="shared" ref="G168" si="122">C168+D168+E168-F168</f>
        <v>29000</v>
      </c>
      <c r="H168" s="2285">
        <v>8280.9040000000005</v>
      </c>
      <c r="I168" s="2285">
        <f>8046.05-0.2</f>
        <v>8045.85</v>
      </c>
      <c r="J168" s="2285">
        <f>I168-H168+0.25</f>
        <v>-234.80400000000009</v>
      </c>
      <c r="K168" s="2290">
        <f>I168/BS!$F$28</f>
        <v>7.5309752822440886E-4</v>
      </c>
      <c r="L168" s="2286">
        <f t="shared" ref="L168" si="123">M168/$M$10</f>
        <v>0</v>
      </c>
      <c r="M168" s="2243"/>
    </row>
    <row r="169" spans="1:14" ht="15" customHeight="1">
      <c r="A169" s="1533"/>
      <c r="B169" s="2278" t="s">
        <v>2705</v>
      </c>
      <c r="C169" s="2282"/>
      <c r="D169" s="2282"/>
      <c r="E169" s="2282"/>
      <c r="F169" s="2282"/>
      <c r="G169" s="2282"/>
      <c r="H169" s="2282"/>
      <c r="I169" s="2282"/>
      <c r="J169" s="2282"/>
      <c r="K169" s="2283"/>
      <c r="L169" s="2284"/>
      <c r="M169" s="903"/>
    </row>
    <row r="170" spans="1:14" ht="15" customHeight="1">
      <c r="A170" s="1533"/>
      <c r="B170" s="2279" t="s">
        <v>2044</v>
      </c>
      <c r="C170" s="2282">
        <v>0</v>
      </c>
      <c r="D170" s="2282">
        <v>7015500</v>
      </c>
      <c r="E170" s="2282">
        <v>0</v>
      </c>
      <c r="F170" s="2282">
        <v>3015500</v>
      </c>
      <c r="G170" s="2282">
        <f t="shared" ref="G170" si="124">C170+D170+E170-F170</f>
        <v>4000000</v>
      </c>
      <c r="H170" s="2285">
        <v>42603.199999999997</v>
      </c>
      <c r="I170" s="2285">
        <f>25480-0.25</f>
        <v>25479.75</v>
      </c>
      <c r="J170" s="2285">
        <f>I170-H170+0.25</f>
        <v>-17123.199999999997</v>
      </c>
      <c r="K170" s="2290">
        <f>I170/BS!$F$28</f>
        <v>2.3849235002859712E-3</v>
      </c>
      <c r="L170" s="2286">
        <f t="shared" ref="L170" si="125">M170/$M$10</f>
        <v>0</v>
      </c>
      <c r="M170" s="2243"/>
    </row>
    <row r="171" spans="1:14" ht="15" customHeight="1">
      <c r="A171" s="1533"/>
      <c r="B171" s="2291"/>
      <c r="C171" s="1186"/>
      <c r="D171" s="1186"/>
      <c r="E171" s="1186"/>
      <c r="F171" s="1186"/>
      <c r="G171" s="1186"/>
      <c r="H171" s="2292"/>
      <c r="I171" s="2292"/>
      <c r="J171" s="2292"/>
      <c r="K171" s="2289"/>
      <c r="L171" s="2289"/>
      <c r="M171" s="2158"/>
    </row>
    <row r="172" spans="1:14" ht="15" customHeight="1">
      <c r="B172" s="1179"/>
      <c r="C172" s="2293"/>
      <c r="D172" s="2293"/>
      <c r="E172" s="2293"/>
      <c r="F172" s="2293"/>
      <c r="G172" s="2293"/>
      <c r="H172" s="2294"/>
      <c r="I172" s="2294"/>
      <c r="J172" s="2294"/>
      <c r="K172" s="2289"/>
      <c r="L172" s="2289"/>
    </row>
    <row r="173" spans="1:14" ht="15" customHeight="1" thickBot="1">
      <c r="A173" s="1528"/>
      <c r="B173" s="2295" t="s">
        <v>2814</v>
      </c>
      <c r="C173" s="2293"/>
      <c r="D173" s="2293"/>
      <c r="E173" s="2293"/>
      <c r="F173" s="2293"/>
      <c r="G173" s="2293"/>
      <c r="H173" s="2296">
        <f>H16+H23+H27+H39+H47+H61+H69+H76+H85+H89+H94+H96+H102+H108+H114+H121+H127+H136+H143+H149+H158+H166+H168+H170</f>
        <v>10441778.197999997</v>
      </c>
      <c r="I173" s="2296">
        <f>I16+I23+I27+I39+I47+I61+I69+I76+I85+I89+I94+I96+I102+I108+I114+I121+I127+I136+I143+I149+I158+I166+I168+I170</f>
        <v>10122239.016000001</v>
      </c>
      <c r="J173" s="2297">
        <f>J16+J23+J27+J39+J47+J61+J69+J76+J85+J89+J94+J96+J102+J108+J114+J121+J127+J136+J143+J149+J158+J166+J168+J170</f>
        <v>-319538.68199999974</v>
      </c>
      <c r="K173" s="2298"/>
      <c r="L173" s="2299"/>
      <c r="N173" s="1776">
        <f>I173-H173</f>
        <v>-319539.1819999963</v>
      </c>
    </row>
    <row r="174" spans="1:14" ht="8.1" customHeight="1" thickTop="1">
      <c r="A174" s="1528"/>
      <c r="B174" s="2295"/>
      <c r="C174" s="2293"/>
      <c r="D174" s="2293"/>
      <c r="E174" s="2293"/>
      <c r="F174" s="1179"/>
      <c r="G174" s="1186"/>
      <c r="H174" s="1186"/>
      <c r="I174" s="1186"/>
      <c r="J174" s="1186"/>
      <c r="K174" s="2300"/>
      <c r="L174" s="2284"/>
    </row>
    <row r="175" spans="1:14" ht="15" customHeight="1" thickBot="1">
      <c r="A175" s="1528"/>
      <c r="B175" s="2301" t="s">
        <v>2815</v>
      </c>
      <c r="C175" s="2293"/>
      <c r="D175" s="2293"/>
      <c r="E175" s="2293"/>
      <c r="F175" s="2293"/>
      <c r="G175" s="1179"/>
      <c r="H175" s="2302">
        <v>11180903</v>
      </c>
      <c r="I175" s="2302">
        <v>11903844</v>
      </c>
      <c r="J175" s="2302">
        <v>722943</v>
      </c>
      <c r="K175" s="2300"/>
      <c r="L175" s="2284"/>
    </row>
    <row r="176" spans="1:14" ht="8.1" customHeight="1" thickTop="1">
      <c r="A176" s="1577"/>
      <c r="B176" s="1369"/>
      <c r="C176" s="1184"/>
      <c r="D176" s="1355"/>
      <c r="E176" s="1355"/>
      <c r="F176" s="1184"/>
      <c r="G176" s="1182"/>
      <c r="H176" s="2293"/>
      <c r="I176" s="2293"/>
      <c r="J176" s="2293"/>
      <c r="K176" s="2298"/>
      <c r="L176" s="2303"/>
    </row>
    <row r="177" spans="1:12" ht="8.1" customHeight="1">
      <c r="A177" s="1577"/>
      <c r="B177" s="1557"/>
      <c r="C177" s="1569"/>
      <c r="D177" s="1578"/>
      <c r="E177" s="1578"/>
      <c r="F177" s="1569"/>
      <c r="G177" s="1530"/>
      <c r="H177" s="1606"/>
      <c r="I177" s="1606"/>
      <c r="J177" s="1606"/>
      <c r="K177" s="1838"/>
      <c r="L177" s="1901"/>
    </row>
    <row r="178" spans="1:12" ht="15" customHeight="1">
      <c r="A178" s="1577"/>
      <c r="B178" s="1530" t="s">
        <v>2601</v>
      </c>
      <c r="C178" s="1530"/>
      <c r="D178" s="1530"/>
      <c r="E178" s="1530"/>
      <c r="F178" s="1530"/>
      <c r="G178" s="1905"/>
      <c r="H178" s="1905"/>
      <c r="I178" s="2105"/>
      <c r="J178" s="2105"/>
      <c r="K178" s="1905"/>
      <c r="L178" s="1905"/>
    </row>
    <row r="179" spans="1:12" ht="15" customHeight="1">
      <c r="A179" s="1577"/>
      <c r="B179" s="1530" t="s">
        <v>2655</v>
      </c>
      <c r="C179" s="1530"/>
      <c r="D179" s="1530"/>
      <c r="E179" s="1530"/>
      <c r="F179" s="1530"/>
      <c r="G179" s="1530"/>
      <c r="H179" s="1905"/>
      <c r="I179" s="1905"/>
      <c r="J179" s="1905"/>
      <c r="K179" s="1905"/>
      <c r="L179" s="1905"/>
    </row>
    <row r="180" spans="1:12" ht="15" customHeight="1">
      <c r="A180" s="1577"/>
      <c r="B180" s="1530" t="s">
        <v>2654</v>
      </c>
      <c r="C180" s="1530"/>
      <c r="D180" s="1530"/>
      <c r="E180" s="1530"/>
      <c r="F180" s="1530"/>
      <c r="G180" s="1530"/>
      <c r="H180" s="1905"/>
      <c r="I180" s="1905"/>
      <c r="J180" s="2084"/>
      <c r="K180" s="1905"/>
      <c r="L180" s="1905"/>
    </row>
    <row r="181" spans="1:12" ht="15" customHeight="1">
      <c r="A181" s="1577"/>
      <c r="B181" s="1530" t="s">
        <v>2918</v>
      </c>
      <c r="C181" s="1530"/>
      <c r="D181" s="1530"/>
      <c r="E181" s="1530"/>
      <c r="F181" s="1530"/>
      <c r="G181" s="1530"/>
      <c r="H181" s="1905"/>
      <c r="I181" s="1905"/>
      <c r="J181" s="2084"/>
      <c r="K181" s="1905"/>
      <c r="L181" s="1905"/>
    </row>
    <row r="182" spans="1:12" ht="8.1" customHeight="1">
      <c r="A182" s="1577"/>
      <c r="B182" s="1557"/>
      <c r="C182" s="1569"/>
      <c r="D182" s="1578"/>
      <c r="E182" s="1578"/>
      <c r="F182" s="1569"/>
      <c r="G182" s="1530"/>
      <c r="H182" s="1606"/>
      <c r="I182" s="1606"/>
      <c r="J182" s="1606"/>
      <c r="K182" s="1838"/>
      <c r="L182" s="1901"/>
    </row>
    <row r="183" spans="1:12" ht="8.1" customHeight="1">
      <c r="A183" s="1577"/>
      <c r="B183" s="1557"/>
      <c r="C183" s="1569"/>
      <c r="D183" s="1578"/>
      <c r="E183" s="1578"/>
      <c r="F183" s="1569"/>
      <c r="G183" s="1530"/>
      <c r="H183" s="1606"/>
      <c r="I183" s="1606"/>
      <c r="J183" s="1606"/>
      <c r="K183" s="1838"/>
      <c r="L183" s="1901"/>
    </row>
    <row r="184" spans="1:12" ht="15" customHeight="1">
      <c r="A184" s="1653"/>
      <c r="B184" s="2363" t="s">
        <v>2774</v>
      </c>
      <c r="C184" s="2363"/>
      <c r="D184" s="2363"/>
      <c r="E184" s="2363"/>
      <c r="F184" s="2363"/>
      <c r="G184" s="2363"/>
      <c r="H184" s="2363"/>
      <c r="I184" s="2363"/>
      <c r="J184" s="2363"/>
      <c r="K184" s="2363"/>
      <c r="L184" s="2363"/>
    </row>
    <row r="185" spans="1:12" ht="15" customHeight="1">
      <c r="B185" s="2363"/>
      <c r="C185" s="2363"/>
      <c r="D185" s="2363"/>
      <c r="E185" s="2363"/>
      <c r="F185" s="2363"/>
      <c r="G185" s="2363"/>
      <c r="H185" s="2363"/>
      <c r="I185" s="2363"/>
      <c r="J185" s="2363"/>
      <c r="K185" s="2363"/>
      <c r="L185" s="2363"/>
    </row>
    <row r="186" spans="1:12" ht="15" customHeight="1">
      <c r="I186" s="1560" t="s">
        <v>716</v>
      </c>
      <c r="J186" s="1561" t="s">
        <v>632</v>
      </c>
      <c r="K186" s="1840" t="s">
        <v>716</v>
      </c>
      <c r="L186" s="1902" t="s">
        <v>632</v>
      </c>
    </row>
    <row r="187" spans="1:12" ht="15" customHeight="1">
      <c r="H187" s="1402"/>
      <c r="I187" s="1579" t="s">
        <v>2676</v>
      </c>
      <c r="J187" s="1579" t="s">
        <v>2469</v>
      </c>
      <c r="K187" s="1579" t="s">
        <v>2676</v>
      </c>
      <c r="L187" s="1903" t="s">
        <v>2469</v>
      </c>
    </row>
    <row r="188" spans="1:12" ht="15" customHeight="1">
      <c r="H188" s="1402"/>
      <c r="I188" s="1580">
        <v>2022</v>
      </c>
      <c r="J188" s="1580">
        <v>2021</v>
      </c>
      <c r="K188" s="1580">
        <v>2022</v>
      </c>
      <c r="L188" s="1580">
        <v>2021</v>
      </c>
    </row>
    <row r="189" spans="1:12" ht="15" customHeight="1">
      <c r="H189" s="1402"/>
      <c r="I189" s="2374" t="s">
        <v>2525</v>
      </c>
      <c r="J189" s="2374"/>
      <c r="K189" s="2374" t="s">
        <v>2526</v>
      </c>
      <c r="L189" s="2374"/>
    </row>
    <row r="190" spans="1:12">
      <c r="H190" s="1402"/>
      <c r="I190" s="2148"/>
      <c r="J190" s="2148"/>
      <c r="K190" s="1841"/>
      <c r="L190" s="1904"/>
    </row>
    <row r="191" spans="1:12" ht="15" customHeight="1">
      <c r="B191" s="1624" t="s">
        <v>1048</v>
      </c>
      <c r="H191" s="1402"/>
      <c r="I191" s="2310">
        <v>1000000</v>
      </c>
      <c r="J191" s="1564">
        <v>1000000</v>
      </c>
      <c r="K191" s="2310">
        <f>83130000/1000</f>
        <v>83130</v>
      </c>
      <c r="L191" s="1532">
        <v>159340</v>
      </c>
    </row>
    <row r="192" spans="1:12" ht="15" customHeight="1">
      <c r="B192" s="1402" t="s">
        <v>126</v>
      </c>
      <c r="H192" s="1402"/>
      <c r="I192" s="2310">
        <v>1500000</v>
      </c>
      <c r="J192" s="2134">
        <v>2000000</v>
      </c>
      <c r="K192" s="2310">
        <f>107370000/1000</f>
        <v>107370</v>
      </c>
      <c r="L192" s="1532">
        <v>95030</v>
      </c>
    </row>
    <row r="193" spans="1:12" ht="15" customHeight="1">
      <c r="B193" s="1402" t="s">
        <v>483</v>
      </c>
      <c r="H193" s="1402"/>
      <c r="I193" s="2310">
        <v>2000000</v>
      </c>
      <c r="J193" s="2134">
        <v>0</v>
      </c>
      <c r="K193" s="2310">
        <f>152100000/1000</f>
        <v>152100</v>
      </c>
      <c r="L193" s="1532">
        <v>0</v>
      </c>
    </row>
    <row r="194" spans="1:12" ht="15" customHeight="1" thickBot="1">
      <c r="H194" s="1402"/>
      <c r="I194" s="2311">
        <f>SUM(I191:I193)</f>
        <v>4500000</v>
      </c>
      <c r="J194" s="2135">
        <f>SUM(J191:J193)</f>
        <v>3000000</v>
      </c>
      <c r="K194" s="2311">
        <f>SUM(K191:K193)</f>
        <v>342600</v>
      </c>
      <c r="L194" s="2136">
        <f>SUM(L191:L193)</f>
        <v>254370</v>
      </c>
    </row>
    <row r="195" spans="1:12" ht="8.1" customHeight="1" thickTop="1"/>
    <row r="196" spans="1:12" ht="15" customHeight="1">
      <c r="A196" s="1010"/>
      <c r="B196" s="2364" t="s">
        <v>2915</v>
      </c>
      <c r="C196" s="2364"/>
      <c r="D196" s="2364"/>
      <c r="E196" s="2364"/>
      <c r="F196" s="2364"/>
      <c r="G196" s="2364"/>
      <c r="H196" s="2364"/>
      <c r="I196" s="2364"/>
      <c r="J196" s="2364"/>
      <c r="K196" s="2364"/>
      <c r="L196" s="2364"/>
    </row>
    <row r="197" spans="1:12" ht="15" customHeight="1">
      <c r="A197" s="1010"/>
      <c r="B197" s="2364"/>
      <c r="C197" s="2364"/>
      <c r="D197" s="2364"/>
      <c r="E197" s="2364"/>
      <c r="F197" s="2364"/>
      <c r="G197" s="2364"/>
      <c r="H197" s="2364"/>
      <c r="I197" s="2364"/>
      <c r="J197" s="2364"/>
      <c r="K197" s="2364"/>
      <c r="L197" s="2364"/>
    </row>
    <row r="198" spans="1:12" ht="15" customHeight="1">
      <c r="A198" s="1010"/>
      <c r="B198" s="1010"/>
      <c r="C198" s="1010"/>
      <c r="D198" s="1010"/>
      <c r="E198" s="1010"/>
      <c r="F198" s="1010"/>
      <c r="G198" s="1010"/>
      <c r="H198" s="1010"/>
      <c r="I198" s="1010"/>
      <c r="J198" s="1010"/>
      <c r="K198" s="1010"/>
      <c r="L198" s="2095"/>
    </row>
    <row r="199" spans="1:12">
      <c r="A199" s="1010"/>
      <c r="B199" s="1010"/>
      <c r="C199" s="1010"/>
      <c r="D199" s="1010"/>
      <c r="E199" s="1010"/>
      <c r="F199" s="1010"/>
      <c r="G199" s="1010"/>
      <c r="H199" s="1010"/>
      <c r="I199" s="1010"/>
      <c r="J199" s="1010"/>
      <c r="K199" s="1010"/>
      <c r="L199" s="2095"/>
    </row>
    <row r="200" spans="1:12">
      <c r="A200" s="1010"/>
      <c r="B200" s="1010"/>
      <c r="C200" s="1010"/>
      <c r="D200" s="1010"/>
      <c r="E200" s="1010"/>
      <c r="F200" s="1010"/>
      <c r="G200" s="1010"/>
      <c r="H200" s="1010"/>
      <c r="I200" s="1010"/>
      <c r="J200" s="1010"/>
      <c r="K200" s="1010"/>
      <c r="L200" s="2095"/>
    </row>
    <row r="201" spans="1:12">
      <c r="A201" s="1010"/>
      <c r="B201" s="1010"/>
      <c r="C201" s="1010"/>
      <c r="D201" s="1010"/>
      <c r="E201" s="1010"/>
      <c r="F201" s="1010"/>
      <c r="G201" s="1010"/>
      <c r="H201" s="1010"/>
      <c r="I201" s="1010"/>
      <c r="J201" s="1010"/>
      <c r="K201" s="1010"/>
      <c r="L201" s="2095"/>
    </row>
    <row r="202" spans="1:12">
      <c r="A202" s="1010"/>
      <c r="B202" s="1010"/>
      <c r="C202" s="1010"/>
      <c r="D202" s="1010"/>
      <c r="E202" s="1010"/>
      <c r="F202" s="1010"/>
      <c r="G202" s="1010"/>
      <c r="H202" s="1010"/>
      <c r="I202" s="1010"/>
      <c r="J202" s="1010"/>
      <c r="K202" s="1010"/>
      <c r="L202" s="2095"/>
    </row>
    <row r="203" spans="1:12">
      <c r="A203" s="1010"/>
      <c r="B203" s="1010"/>
      <c r="C203" s="1010"/>
      <c r="D203" s="1010"/>
      <c r="E203" s="1010"/>
      <c r="F203" s="1010"/>
      <c r="G203" s="1010"/>
      <c r="H203" s="1010"/>
      <c r="I203" s="1010"/>
      <c r="J203" s="1010"/>
      <c r="K203" s="1010"/>
      <c r="L203" s="2095"/>
    </row>
    <row r="204" spans="1:12">
      <c r="A204" s="1010"/>
      <c r="B204" s="1010"/>
      <c r="C204" s="1010"/>
      <c r="D204" s="1010"/>
      <c r="E204" s="1010"/>
      <c r="F204" s="1010"/>
      <c r="G204" s="1010"/>
      <c r="H204" s="1010"/>
      <c r="I204" s="1010"/>
      <c r="J204" s="1010"/>
      <c r="K204" s="1010"/>
      <c r="L204" s="2095"/>
    </row>
    <row r="205" spans="1:12">
      <c r="A205" s="1010"/>
      <c r="B205" s="1010"/>
      <c r="C205" s="1010"/>
      <c r="D205" s="1010"/>
      <c r="E205" s="1010"/>
      <c r="F205" s="1010"/>
      <c r="G205" s="1010"/>
      <c r="H205" s="1010"/>
      <c r="I205" s="1010"/>
      <c r="J205" s="1010"/>
      <c r="K205" s="1010"/>
      <c r="L205" s="2095"/>
    </row>
    <row r="206" spans="1:12">
      <c r="A206" s="1010"/>
      <c r="B206" s="1010"/>
      <c r="C206" s="1010"/>
      <c r="D206" s="1010"/>
      <c r="E206" s="1010"/>
      <c r="F206" s="1010"/>
      <c r="G206" s="1010"/>
      <c r="H206" s="1010"/>
      <c r="I206" s="1010"/>
      <c r="J206" s="1010"/>
      <c r="K206" s="1010"/>
      <c r="L206" s="2095"/>
    </row>
    <row r="207" spans="1:12">
      <c r="A207" s="1010"/>
      <c r="B207" s="1010"/>
      <c r="C207" s="1010"/>
      <c r="D207" s="1010"/>
      <c r="E207" s="1010"/>
      <c r="F207" s="1010"/>
      <c r="G207" s="1010"/>
      <c r="H207" s="1010"/>
      <c r="I207" s="1010"/>
      <c r="J207" s="1010"/>
      <c r="K207" s="1010"/>
      <c r="L207" s="2095"/>
    </row>
    <row r="208" spans="1:12">
      <c r="A208" s="1010"/>
      <c r="B208" s="1010"/>
      <c r="C208" s="1010"/>
      <c r="D208" s="1010"/>
      <c r="E208" s="1010"/>
      <c r="F208" s="1010"/>
      <c r="G208" s="1010"/>
      <c r="H208" s="1010"/>
      <c r="I208" s="1010"/>
      <c r="J208" s="1010"/>
      <c r="K208" s="1010"/>
      <c r="L208" s="2095"/>
    </row>
    <row r="209" spans="1:12">
      <c r="A209" s="1010"/>
      <c r="B209" s="1010"/>
      <c r="C209" s="1010"/>
      <c r="D209" s="1010"/>
      <c r="E209" s="1010"/>
      <c r="F209" s="1010"/>
      <c r="G209" s="1010"/>
      <c r="H209" s="1010"/>
      <c r="I209" s="1010"/>
      <c r="J209" s="1010"/>
      <c r="K209" s="1010"/>
      <c r="L209" s="2095"/>
    </row>
    <row r="210" spans="1:12">
      <c r="A210" s="1010"/>
      <c r="B210" s="1010"/>
      <c r="C210" s="1010"/>
      <c r="D210" s="1010"/>
      <c r="E210" s="1010"/>
      <c r="F210" s="1010"/>
      <c r="G210" s="1010"/>
      <c r="H210" s="1010"/>
      <c r="I210" s="1010"/>
      <c r="J210" s="1010"/>
      <c r="K210" s="1010"/>
      <c r="L210" s="2095"/>
    </row>
    <row r="211" spans="1:12">
      <c r="A211" s="1010"/>
      <c r="B211" s="1010"/>
      <c r="C211" s="1010"/>
      <c r="D211" s="1010"/>
      <c r="E211" s="1010"/>
      <c r="F211" s="1010"/>
      <c r="G211" s="1010"/>
      <c r="H211" s="1010"/>
      <c r="I211" s="1010"/>
      <c r="J211" s="1010"/>
      <c r="K211" s="1010"/>
      <c r="L211" s="2095"/>
    </row>
    <row r="212" spans="1:12">
      <c r="A212" s="1010"/>
      <c r="B212" s="1010"/>
      <c r="C212" s="1010"/>
      <c r="D212" s="1010"/>
      <c r="E212" s="1010"/>
      <c r="F212" s="1010"/>
      <c r="G212" s="1010"/>
      <c r="H212" s="1010"/>
      <c r="I212" s="1010"/>
      <c r="J212" s="1010"/>
      <c r="K212" s="1010"/>
      <c r="L212" s="2095"/>
    </row>
    <row r="213" spans="1:12">
      <c r="A213" s="1010"/>
      <c r="B213" s="1010"/>
      <c r="C213" s="1010"/>
      <c r="D213" s="1010"/>
      <c r="E213" s="1010"/>
      <c r="F213" s="1010"/>
      <c r="G213" s="1010"/>
      <c r="H213" s="1010"/>
      <c r="I213" s="1010"/>
      <c r="J213" s="1010"/>
      <c r="K213" s="1010"/>
      <c r="L213" s="2095"/>
    </row>
    <row r="214" spans="1:12">
      <c r="A214" s="1010"/>
      <c r="B214" s="1010"/>
      <c r="C214" s="1010"/>
      <c r="D214" s="1010"/>
      <c r="E214" s="1010"/>
      <c r="F214" s="1010"/>
      <c r="G214" s="1010"/>
      <c r="H214" s="1010"/>
      <c r="I214" s="1010"/>
      <c r="J214" s="1010"/>
      <c r="K214" s="1010"/>
      <c r="L214" s="2095"/>
    </row>
    <row r="215" spans="1:12">
      <c r="A215" s="1010"/>
      <c r="B215" s="1010"/>
      <c r="C215" s="1010"/>
      <c r="D215" s="1010"/>
      <c r="E215" s="1010"/>
      <c r="F215" s="1010"/>
      <c r="G215" s="1010"/>
      <c r="H215" s="1010"/>
      <c r="I215" s="1010"/>
      <c r="J215" s="1010"/>
      <c r="K215" s="1010"/>
      <c r="L215" s="2095"/>
    </row>
    <row r="216" spans="1:12">
      <c r="A216" s="1010"/>
      <c r="B216" s="1010"/>
      <c r="C216" s="1010"/>
      <c r="D216" s="1010"/>
      <c r="E216" s="1010"/>
      <c r="F216" s="1010"/>
      <c r="G216" s="1010"/>
      <c r="H216" s="1010"/>
      <c r="I216" s="1010"/>
      <c r="J216" s="1010"/>
      <c r="K216" s="1010"/>
      <c r="L216" s="2095"/>
    </row>
    <row r="217" spans="1:12">
      <c r="A217" s="1010"/>
      <c r="B217" s="1010"/>
      <c r="C217" s="1010"/>
      <c r="D217" s="1010"/>
      <c r="E217" s="1010"/>
      <c r="F217" s="1010"/>
      <c r="G217" s="1010"/>
      <c r="H217" s="1010"/>
      <c r="I217" s="1010"/>
      <c r="J217" s="1010"/>
      <c r="K217" s="1010"/>
      <c r="L217" s="2095"/>
    </row>
    <row r="218" spans="1:12">
      <c r="A218" s="1010"/>
      <c r="B218" s="1010"/>
      <c r="C218" s="1010"/>
      <c r="D218" s="1010"/>
      <c r="E218" s="1010"/>
      <c r="F218" s="1010"/>
      <c r="G218" s="1010"/>
      <c r="H218" s="1010"/>
      <c r="I218" s="1010"/>
      <c r="J218" s="1010"/>
      <c r="K218" s="1010"/>
      <c r="L218" s="2095"/>
    </row>
    <row r="219" spans="1:12">
      <c r="A219" s="1010"/>
      <c r="B219" s="1010"/>
      <c r="C219" s="1010"/>
      <c r="D219" s="1010"/>
      <c r="E219" s="1010"/>
      <c r="F219" s="1010"/>
      <c r="G219" s="1010"/>
      <c r="H219" s="1010"/>
      <c r="I219" s="1010"/>
      <c r="J219" s="1010"/>
      <c r="K219" s="1010"/>
      <c r="L219" s="2095"/>
    </row>
    <row r="220" spans="1:12">
      <c r="A220" s="1010"/>
      <c r="B220" s="1010"/>
      <c r="C220" s="1010"/>
      <c r="D220" s="1010"/>
      <c r="E220" s="1010"/>
      <c r="F220" s="1010"/>
      <c r="G220" s="1010"/>
      <c r="H220" s="1010"/>
      <c r="I220" s="1010"/>
      <c r="J220" s="1010"/>
      <c r="K220" s="1010"/>
      <c r="L220" s="2095"/>
    </row>
    <row r="221" spans="1:12">
      <c r="A221" s="1010"/>
      <c r="B221" s="1010"/>
      <c r="C221" s="1010"/>
      <c r="D221" s="1010"/>
      <c r="E221" s="1010"/>
      <c r="F221" s="1010"/>
      <c r="G221" s="1010"/>
      <c r="H221" s="1010"/>
      <c r="I221" s="1010"/>
      <c r="J221" s="1010"/>
      <c r="K221" s="1010"/>
      <c r="L221" s="2095"/>
    </row>
    <row r="222" spans="1:12">
      <c r="A222" s="1010"/>
      <c r="B222" s="1010"/>
      <c r="C222" s="1010"/>
      <c r="D222" s="1010"/>
      <c r="E222" s="1010"/>
      <c r="F222" s="1010"/>
      <c r="G222" s="1010"/>
      <c r="H222" s="1010"/>
      <c r="I222" s="1010"/>
      <c r="J222" s="1010"/>
      <c r="K222" s="1010"/>
      <c r="L222" s="2095"/>
    </row>
    <row r="223" spans="1:12">
      <c r="A223" s="1010"/>
      <c r="B223" s="1010"/>
      <c r="C223" s="1010"/>
      <c r="D223" s="1010"/>
      <c r="E223" s="1010"/>
      <c r="F223" s="1010"/>
      <c r="G223" s="1010"/>
      <c r="H223" s="1010"/>
      <c r="I223" s="1010"/>
      <c r="J223" s="1010"/>
      <c r="K223" s="1010"/>
      <c r="L223" s="2095"/>
    </row>
    <row r="224" spans="1:12">
      <c r="A224" s="1010"/>
      <c r="B224" s="1010"/>
      <c r="C224" s="1010"/>
      <c r="D224" s="1010"/>
      <c r="E224" s="1010"/>
      <c r="F224" s="1010"/>
      <c r="G224" s="1010"/>
      <c r="H224" s="1010"/>
      <c r="I224" s="1010"/>
      <c r="J224" s="1010"/>
      <c r="K224" s="1010"/>
      <c r="L224" s="2095"/>
    </row>
    <row r="225" spans="1:12">
      <c r="A225" s="1010"/>
      <c r="B225" s="1010"/>
      <c r="C225" s="1010"/>
      <c r="D225" s="1010"/>
      <c r="E225" s="1010"/>
      <c r="F225" s="1010"/>
      <c r="G225" s="1010"/>
      <c r="H225" s="1010"/>
      <c r="I225" s="1010"/>
      <c r="J225" s="1010"/>
      <c r="K225" s="1010"/>
      <c r="L225" s="2095"/>
    </row>
    <row r="226" spans="1:12">
      <c r="A226" s="1010"/>
      <c r="B226" s="1010"/>
      <c r="C226" s="1010"/>
      <c r="D226" s="1010"/>
      <c r="E226" s="1010"/>
      <c r="F226" s="1010"/>
      <c r="G226" s="1010"/>
      <c r="H226" s="1010"/>
      <c r="I226" s="1010"/>
      <c r="J226" s="1010"/>
      <c r="K226" s="1010"/>
      <c r="L226" s="2095"/>
    </row>
    <row r="227" spans="1:12">
      <c r="A227" s="1010"/>
      <c r="B227" s="1010"/>
      <c r="C227" s="1010"/>
      <c r="D227" s="1010"/>
      <c r="E227" s="1010"/>
      <c r="F227" s="1010"/>
      <c r="G227" s="1010"/>
      <c r="H227" s="1010"/>
      <c r="I227" s="1010"/>
      <c r="J227" s="1010"/>
      <c r="K227" s="1010"/>
      <c r="L227" s="2095"/>
    </row>
    <row r="228" spans="1:12">
      <c r="A228" s="1010"/>
      <c r="B228" s="1010"/>
      <c r="C228" s="1010"/>
      <c r="D228" s="1010"/>
      <c r="E228" s="1010"/>
      <c r="F228" s="1010"/>
      <c r="G228" s="1010"/>
      <c r="H228" s="1010"/>
      <c r="I228" s="1010"/>
      <c r="J228" s="1010"/>
      <c r="K228" s="1010"/>
      <c r="L228" s="2095"/>
    </row>
    <row r="229" spans="1:12">
      <c r="A229" s="1010"/>
      <c r="B229" s="1010"/>
      <c r="C229" s="1010"/>
      <c r="D229" s="1010"/>
      <c r="E229" s="1010"/>
      <c r="F229" s="1010"/>
      <c r="G229" s="1010"/>
      <c r="H229" s="1010"/>
      <c r="I229" s="1010"/>
      <c r="J229" s="1010"/>
      <c r="K229" s="1010"/>
      <c r="L229" s="2095"/>
    </row>
    <row r="230" spans="1:12">
      <c r="A230" s="1010"/>
      <c r="B230" s="1010"/>
      <c r="C230" s="1010"/>
      <c r="D230" s="1010"/>
      <c r="E230" s="1010"/>
      <c r="F230" s="1010"/>
      <c r="G230" s="1010"/>
      <c r="H230" s="1010"/>
      <c r="I230" s="1010"/>
      <c r="J230" s="1010"/>
      <c r="K230" s="1010"/>
      <c r="L230" s="2095"/>
    </row>
    <row r="231" spans="1:12">
      <c r="A231" s="1010"/>
      <c r="B231" s="1010"/>
      <c r="C231" s="1010"/>
      <c r="D231" s="1010"/>
      <c r="E231" s="1010"/>
      <c r="F231" s="1010"/>
      <c r="G231" s="1010"/>
      <c r="H231" s="1010"/>
      <c r="I231" s="1010"/>
      <c r="J231" s="1010"/>
      <c r="K231" s="1010"/>
      <c r="L231" s="2095"/>
    </row>
    <row r="232" spans="1:12">
      <c r="A232" s="1010"/>
      <c r="B232" s="1010"/>
      <c r="C232" s="1010"/>
      <c r="D232" s="1010"/>
      <c r="E232" s="1010"/>
      <c r="F232" s="1010"/>
      <c r="G232" s="1010"/>
      <c r="H232" s="1010"/>
      <c r="I232" s="1010"/>
      <c r="J232" s="1010"/>
      <c r="K232" s="1010"/>
      <c r="L232" s="2095"/>
    </row>
    <row r="233" spans="1:12">
      <c r="A233" s="1010"/>
      <c r="B233" s="1010"/>
      <c r="C233" s="1010"/>
      <c r="D233" s="1010"/>
      <c r="E233" s="1010"/>
      <c r="F233" s="1010"/>
      <c r="G233" s="1010"/>
      <c r="H233" s="1010"/>
      <c r="I233" s="1010"/>
      <c r="J233" s="1010"/>
      <c r="K233" s="1010"/>
      <c r="L233" s="2095"/>
    </row>
    <row r="234" spans="1:12">
      <c r="A234" s="1010"/>
      <c r="B234" s="1010"/>
      <c r="C234" s="1010"/>
      <c r="D234" s="1010"/>
      <c r="E234" s="1010"/>
      <c r="F234" s="1010"/>
      <c r="G234" s="1010"/>
      <c r="H234" s="1010"/>
      <c r="I234" s="1010"/>
      <c r="J234" s="1010"/>
      <c r="K234" s="1010"/>
      <c r="L234" s="2095"/>
    </row>
    <row r="235" spans="1:12">
      <c r="A235" s="1010"/>
      <c r="B235" s="1010"/>
      <c r="C235" s="1010"/>
      <c r="D235" s="1010"/>
      <c r="E235" s="1010"/>
      <c r="F235" s="1010"/>
      <c r="G235" s="1010"/>
      <c r="H235" s="1010"/>
      <c r="I235" s="1010"/>
      <c r="J235" s="1010"/>
      <c r="K235" s="1010"/>
      <c r="L235" s="2095"/>
    </row>
    <row r="236" spans="1:12">
      <c r="A236" s="1010"/>
      <c r="B236" s="1010"/>
      <c r="C236" s="1010"/>
      <c r="D236" s="1010"/>
      <c r="E236" s="1010"/>
      <c r="F236" s="1010"/>
      <c r="G236" s="1010"/>
      <c r="H236" s="1010"/>
      <c r="I236" s="1010"/>
      <c r="J236" s="1010"/>
      <c r="K236" s="1010"/>
      <c r="L236" s="2095"/>
    </row>
    <row r="237" spans="1:12">
      <c r="A237" s="1010"/>
      <c r="B237" s="1010"/>
      <c r="C237" s="1010"/>
      <c r="D237" s="1010"/>
      <c r="E237" s="1010"/>
      <c r="F237" s="1010"/>
      <c r="G237" s="1010"/>
      <c r="H237" s="1010"/>
      <c r="I237" s="1010"/>
      <c r="J237" s="1010"/>
      <c r="K237" s="1010"/>
      <c r="L237" s="2095"/>
    </row>
    <row r="238" spans="1:12">
      <c r="A238" s="1010"/>
      <c r="B238" s="1010"/>
      <c r="C238" s="1010"/>
      <c r="D238" s="1010"/>
      <c r="E238" s="1010"/>
      <c r="F238" s="1010"/>
      <c r="G238" s="1010"/>
      <c r="H238" s="1010"/>
      <c r="I238" s="1010"/>
      <c r="J238" s="1010"/>
      <c r="K238" s="1010"/>
      <c r="L238" s="2095"/>
    </row>
    <row r="239" spans="1:12">
      <c r="A239" s="1010"/>
      <c r="B239" s="1010"/>
      <c r="C239" s="1010"/>
      <c r="D239" s="1010"/>
      <c r="E239" s="1010"/>
      <c r="F239" s="1010"/>
      <c r="G239" s="1010"/>
      <c r="H239" s="1010"/>
      <c r="I239" s="1010"/>
      <c r="J239" s="1010"/>
      <c r="K239" s="1010"/>
      <c r="L239" s="2095"/>
    </row>
    <row r="240" spans="1:12">
      <c r="A240" s="1010"/>
      <c r="B240" s="1010"/>
      <c r="C240" s="1010"/>
      <c r="D240" s="1010"/>
      <c r="E240" s="1010"/>
      <c r="F240" s="1010"/>
      <c r="G240" s="1010"/>
      <c r="H240" s="1010"/>
      <c r="I240" s="1010"/>
      <c r="J240" s="1010"/>
      <c r="K240" s="1010"/>
      <c r="L240" s="2095"/>
    </row>
    <row r="241" spans="1:12">
      <c r="A241" s="1010"/>
      <c r="B241" s="1010"/>
      <c r="C241" s="1010"/>
      <c r="D241" s="1010"/>
      <c r="E241" s="1010"/>
      <c r="F241" s="1010"/>
      <c r="G241" s="1010"/>
      <c r="H241" s="1010"/>
      <c r="I241" s="1010"/>
      <c r="J241" s="1010"/>
      <c r="K241" s="1010"/>
      <c r="L241" s="2095"/>
    </row>
    <row r="242" spans="1:12">
      <c r="A242" s="1010"/>
      <c r="B242" s="1010"/>
      <c r="C242" s="1010"/>
      <c r="D242" s="1010"/>
      <c r="E242" s="1010"/>
      <c r="F242" s="1010"/>
      <c r="G242" s="1010"/>
      <c r="H242" s="1010"/>
      <c r="I242" s="1010"/>
      <c r="J242" s="1010"/>
      <c r="K242" s="1010"/>
      <c r="L242" s="2095"/>
    </row>
    <row r="243" spans="1:12">
      <c r="A243" s="1010"/>
      <c r="B243" s="1010"/>
      <c r="C243" s="1010"/>
      <c r="D243" s="1010"/>
      <c r="E243" s="1010"/>
      <c r="F243" s="1010"/>
      <c r="G243" s="1010"/>
      <c r="H243" s="1010"/>
      <c r="I243" s="1010"/>
      <c r="J243" s="1010"/>
      <c r="K243" s="1010"/>
      <c r="L243" s="2095"/>
    </row>
    <row r="244" spans="1:12">
      <c r="A244" s="1010"/>
      <c r="B244" s="1010"/>
      <c r="C244" s="1010"/>
      <c r="D244" s="1010"/>
      <c r="E244" s="1010"/>
      <c r="F244" s="1010"/>
      <c r="G244" s="1010"/>
      <c r="H244" s="1010"/>
      <c r="I244" s="1010"/>
      <c r="J244" s="1010"/>
      <c r="K244" s="1010"/>
      <c r="L244" s="2095"/>
    </row>
    <row r="245" spans="1:12">
      <c r="A245" s="1010"/>
      <c r="B245" s="1010"/>
      <c r="C245" s="1010"/>
      <c r="D245" s="1010"/>
      <c r="E245" s="1010"/>
      <c r="F245" s="1010"/>
      <c r="G245" s="1010"/>
      <c r="H245" s="1010"/>
      <c r="I245" s="1010"/>
      <c r="J245" s="1010"/>
      <c r="K245" s="1010"/>
      <c r="L245" s="2095"/>
    </row>
    <row r="246" spans="1:12">
      <c r="A246" s="1010"/>
      <c r="B246" s="1010"/>
      <c r="C246" s="1010"/>
      <c r="D246" s="1010"/>
      <c r="E246" s="1010"/>
      <c r="F246" s="1010"/>
      <c r="G246" s="1010"/>
      <c r="H246" s="1010"/>
      <c r="I246" s="1010"/>
      <c r="J246" s="1010"/>
      <c r="K246" s="1010"/>
      <c r="L246" s="2095"/>
    </row>
    <row r="247" spans="1:12">
      <c r="A247" s="1010"/>
      <c r="B247" s="1010"/>
      <c r="C247" s="1010"/>
      <c r="D247" s="1010"/>
      <c r="E247" s="1010"/>
      <c r="F247" s="1010"/>
      <c r="G247" s="1010"/>
      <c r="H247" s="1010"/>
      <c r="I247" s="1010"/>
      <c r="J247" s="1010"/>
      <c r="K247" s="1010"/>
      <c r="L247" s="2095"/>
    </row>
    <row r="248" spans="1:12">
      <c r="A248" s="1010"/>
      <c r="B248" s="1010"/>
      <c r="C248" s="1010"/>
      <c r="D248" s="1010"/>
      <c r="E248" s="1010"/>
      <c r="F248" s="1010"/>
      <c r="G248" s="1010"/>
      <c r="H248" s="1010"/>
      <c r="I248" s="1010"/>
      <c r="J248" s="1010"/>
      <c r="K248" s="1010"/>
      <c r="L248" s="2095"/>
    </row>
    <row r="249" spans="1:12">
      <c r="A249" s="1010"/>
      <c r="B249" s="1010"/>
      <c r="C249" s="1010"/>
      <c r="D249" s="1010"/>
      <c r="E249" s="1010"/>
      <c r="F249" s="1010"/>
      <c r="G249" s="1010"/>
      <c r="H249" s="1010"/>
      <c r="I249" s="1010"/>
      <c r="J249" s="1010"/>
      <c r="K249" s="1010"/>
      <c r="L249" s="2095"/>
    </row>
    <row r="250" spans="1:12">
      <c r="A250" s="1010"/>
      <c r="B250" s="1010"/>
      <c r="C250" s="1010"/>
      <c r="D250" s="1010"/>
      <c r="E250" s="1010"/>
      <c r="F250" s="1010"/>
      <c r="G250" s="1010"/>
      <c r="H250" s="1010"/>
      <c r="I250" s="1010"/>
      <c r="J250" s="1010"/>
      <c r="K250" s="1010"/>
      <c r="L250" s="2095"/>
    </row>
    <row r="251" spans="1:12">
      <c r="A251" s="1010"/>
      <c r="B251" s="1010"/>
      <c r="C251" s="1010"/>
      <c r="D251" s="1010"/>
      <c r="E251" s="1010"/>
      <c r="F251" s="1010"/>
      <c r="G251" s="1010"/>
      <c r="H251" s="1010"/>
      <c r="I251" s="1010"/>
      <c r="J251" s="1010"/>
      <c r="K251" s="1010"/>
      <c r="L251" s="2095"/>
    </row>
    <row r="252" spans="1:12">
      <c r="A252" s="1010"/>
      <c r="B252" s="1010"/>
      <c r="C252" s="1010"/>
      <c r="D252" s="1010"/>
      <c r="E252" s="1010"/>
      <c r="F252" s="1010"/>
      <c r="G252" s="1010"/>
      <c r="H252" s="1010"/>
      <c r="I252" s="1010"/>
      <c r="J252" s="1010"/>
      <c r="K252" s="1010"/>
      <c r="L252" s="2095"/>
    </row>
    <row r="253" spans="1:12">
      <c r="A253" s="1010"/>
      <c r="B253" s="1010"/>
      <c r="C253" s="1010"/>
      <c r="D253" s="1010"/>
      <c r="E253" s="1010"/>
      <c r="F253" s="1010"/>
      <c r="G253" s="1010"/>
      <c r="H253" s="1010"/>
      <c r="I253" s="1010"/>
      <c r="J253" s="1010"/>
      <c r="K253" s="1010"/>
      <c r="L253" s="2095"/>
    </row>
    <row r="254" spans="1:12">
      <c r="A254" s="1010"/>
      <c r="B254" s="1010"/>
      <c r="C254" s="1010"/>
      <c r="D254" s="1010"/>
      <c r="E254" s="1010"/>
      <c r="F254" s="1010"/>
      <c r="G254" s="1010"/>
      <c r="H254" s="1010"/>
      <c r="I254" s="1010"/>
      <c r="J254" s="1010"/>
      <c r="K254" s="1010"/>
      <c r="L254" s="2095"/>
    </row>
    <row r="255" spans="1:12">
      <c r="A255" s="1010"/>
      <c r="B255" s="1010"/>
      <c r="C255" s="1010"/>
      <c r="D255" s="1010"/>
      <c r="E255" s="1010"/>
      <c r="F255" s="1010"/>
      <c r="G255" s="1010"/>
      <c r="H255" s="1010"/>
      <c r="I255" s="1010"/>
      <c r="J255" s="1010"/>
      <c r="K255" s="1010"/>
      <c r="L255" s="2095"/>
    </row>
    <row r="256" spans="1:12">
      <c r="A256" s="1010"/>
      <c r="B256" s="1010"/>
      <c r="C256" s="1010"/>
      <c r="D256" s="1010"/>
      <c r="E256" s="1010"/>
      <c r="F256" s="1010"/>
      <c r="G256" s="1010"/>
      <c r="H256" s="1010"/>
      <c r="I256" s="1010"/>
      <c r="J256" s="1010"/>
      <c r="K256" s="1010"/>
      <c r="L256" s="2095"/>
    </row>
    <row r="257" spans="1:12">
      <c r="A257" s="1010"/>
      <c r="B257" s="1010"/>
      <c r="C257" s="1010"/>
      <c r="D257" s="1010"/>
      <c r="E257" s="1010"/>
      <c r="F257" s="1010"/>
      <c r="G257" s="1010"/>
      <c r="H257" s="1010"/>
      <c r="I257" s="1010"/>
      <c r="J257" s="1010"/>
      <c r="K257" s="1010"/>
      <c r="L257" s="2095"/>
    </row>
    <row r="258" spans="1:12">
      <c r="A258" s="1010"/>
      <c r="B258" s="1010"/>
      <c r="C258" s="1010"/>
      <c r="D258" s="1010"/>
      <c r="E258" s="1010"/>
      <c r="F258" s="1010"/>
      <c r="G258" s="1010"/>
      <c r="H258" s="1010"/>
      <c r="I258" s="1010"/>
      <c r="J258" s="1010"/>
      <c r="K258" s="1010"/>
      <c r="L258" s="2095"/>
    </row>
    <row r="259" spans="1:12">
      <c r="A259" s="1010"/>
      <c r="B259" s="1010"/>
      <c r="C259" s="1010"/>
      <c r="D259" s="1010"/>
      <c r="E259" s="1010"/>
      <c r="F259" s="1010"/>
      <c r="G259" s="1010"/>
      <c r="H259" s="1010"/>
      <c r="I259" s="1010"/>
      <c r="J259" s="1010"/>
      <c r="K259" s="1010"/>
      <c r="L259" s="2095"/>
    </row>
    <row r="260" spans="1:12">
      <c r="A260" s="1010"/>
      <c r="B260" s="1010"/>
      <c r="C260" s="1010"/>
      <c r="D260" s="1010"/>
      <c r="E260" s="1010"/>
      <c r="F260" s="1010"/>
      <c r="G260" s="1010"/>
      <c r="H260" s="1010"/>
      <c r="I260" s="1010"/>
      <c r="J260" s="1010"/>
      <c r="K260" s="1010"/>
      <c r="L260" s="2095"/>
    </row>
    <row r="261" spans="1:12">
      <c r="A261" s="1010"/>
      <c r="B261" s="1010"/>
      <c r="C261" s="1010"/>
      <c r="D261" s="1010"/>
      <c r="E261" s="1010"/>
      <c r="F261" s="1010"/>
      <c r="G261" s="1010"/>
      <c r="H261" s="1010"/>
      <c r="I261" s="1010"/>
      <c r="J261" s="1010"/>
      <c r="K261" s="1010"/>
      <c r="L261" s="2095"/>
    </row>
    <row r="262" spans="1:12">
      <c r="A262" s="1010"/>
      <c r="B262" s="1010"/>
      <c r="C262" s="1010"/>
      <c r="D262" s="1010"/>
      <c r="E262" s="1010"/>
      <c r="F262" s="1010"/>
      <c r="G262" s="1010"/>
      <c r="H262" s="1010"/>
      <c r="I262" s="1010"/>
      <c r="J262" s="1010"/>
      <c r="K262" s="1010"/>
      <c r="L262" s="2095"/>
    </row>
    <row r="263" spans="1:12">
      <c r="A263" s="1010"/>
      <c r="B263" s="1010"/>
      <c r="C263" s="1010"/>
      <c r="D263" s="1010"/>
      <c r="E263" s="1010"/>
      <c r="F263" s="1010"/>
      <c r="G263" s="1010"/>
      <c r="H263" s="1010"/>
      <c r="I263" s="1010"/>
      <c r="J263" s="1010"/>
      <c r="K263" s="1010"/>
      <c r="L263" s="2095"/>
    </row>
    <row r="264" spans="1:12">
      <c r="A264" s="1010"/>
      <c r="B264" s="1010"/>
      <c r="C264" s="1010"/>
      <c r="D264" s="1010"/>
      <c r="E264" s="1010"/>
      <c r="F264" s="1010"/>
      <c r="G264" s="1010"/>
      <c r="H264" s="1010"/>
      <c r="I264" s="1010"/>
      <c r="J264" s="1010"/>
      <c r="K264" s="1010"/>
      <c r="L264" s="2095"/>
    </row>
    <row r="265" spans="1:12">
      <c r="A265" s="1010"/>
      <c r="B265" s="1010"/>
      <c r="C265" s="1010"/>
      <c r="D265" s="1010"/>
      <c r="E265" s="1010"/>
      <c r="F265" s="1010"/>
      <c r="G265" s="1010"/>
      <c r="H265" s="1010"/>
      <c r="I265" s="1010"/>
      <c r="J265" s="1010"/>
      <c r="K265" s="1010"/>
      <c r="L265" s="2095"/>
    </row>
    <row r="266" spans="1:12">
      <c r="A266" s="1010"/>
      <c r="B266" s="1010"/>
      <c r="C266" s="1010"/>
      <c r="D266" s="1010"/>
      <c r="E266" s="1010"/>
      <c r="F266" s="1010"/>
      <c r="G266" s="1010"/>
      <c r="H266" s="1010"/>
      <c r="I266" s="1010"/>
      <c r="J266" s="1010"/>
      <c r="K266" s="1010"/>
      <c r="L266" s="2095"/>
    </row>
    <row r="267" spans="1:12">
      <c r="A267" s="1010"/>
      <c r="B267" s="1010"/>
      <c r="C267" s="1010"/>
      <c r="D267" s="1010"/>
      <c r="E267" s="1010"/>
      <c r="F267" s="1010"/>
      <c r="G267" s="1010"/>
      <c r="H267" s="1010"/>
      <c r="I267" s="1010"/>
      <c r="J267" s="1010"/>
      <c r="K267" s="1010"/>
      <c r="L267" s="2095"/>
    </row>
    <row r="268" spans="1:12">
      <c r="A268" s="1010"/>
      <c r="B268" s="1010"/>
      <c r="C268" s="1010"/>
      <c r="D268" s="1010"/>
      <c r="E268" s="1010"/>
      <c r="F268" s="1010"/>
      <c r="G268" s="1010"/>
      <c r="H268" s="1010"/>
      <c r="I268" s="1010"/>
      <c r="J268" s="1010"/>
      <c r="K268" s="1010"/>
      <c r="L268" s="2095"/>
    </row>
    <row r="269" spans="1:12">
      <c r="A269" s="1010"/>
      <c r="B269" s="1010"/>
      <c r="C269" s="1010"/>
      <c r="D269" s="1010"/>
      <c r="E269" s="1010"/>
      <c r="F269" s="1010"/>
      <c r="G269" s="1010"/>
      <c r="H269" s="1010"/>
      <c r="I269" s="1010"/>
      <c r="J269" s="1010"/>
      <c r="K269" s="1010"/>
      <c r="L269" s="2095"/>
    </row>
    <row r="270" spans="1:12">
      <c r="A270" s="1010"/>
      <c r="B270" s="1010"/>
      <c r="C270" s="1010"/>
      <c r="D270" s="1010"/>
      <c r="E270" s="1010"/>
      <c r="F270" s="1010"/>
      <c r="G270" s="1010"/>
      <c r="H270" s="1010"/>
      <c r="I270" s="1010"/>
      <c r="J270" s="1010"/>
      <c r="K270" s="1010"/>
      <c r="L270" s="2095"/>
    </row>
    <row r="271" spans="1:12">
      <c r="A271" s="1010"/>
      <c r="B271" s="1010"/>
      <c r="C271" s="1010"/>
      <c r="D271" s="1010"/>
      <c r="E271" s="1010"/>
      <c r="F271" s="1010"/>
      <c r="G271" s="1010"/>
      <c r="H271" s="1010"/>
      <c r="I271" s="1010"/>
      <c r="J271" s="1010"/>
      <c r="K271" s="1010"/>
      <c r="L271" s="2095"/>
    </row>
    <row r="272" spans="1:12">
      <c r="A272" s="1010"/>
      <c r="B272" s="1010"/>
      <c r="C272" s="1010"/>
      <c r="D272" s="1010"/>
      <c r="E272" s="1010"/>
      <c r="F272" s="1010"/>
      <c r="G272" s="1010"/>
      <c r="H272" s="1010"/>
      <c r="I272" s="1010"/>
      <c r="J272" s="1010"/>
      <c r="K272" s="1010"/>
      <c r="L272" s="2095"/>
    </row>
    <row r="273" spans="1:12">
      <c r="A273" s="1010"/>
      <c r="B273" s="1010"/>
      <c r="C273" s="1010"/>
      <c r="D273" s="1010"/>
      <c r="E273" s="1010"/>
      <c r="F273" s="1010"/>
      <c r="G273" s="1010"/>
      <c r="H273" s="1010"/>
      <c r="I273" s="1010"/>
      <c r="J273" s="1010"/>
      <c r="K273" s="1010"/>
      <c r="L273" s="2095"/>
    </row>
    <row r="274" spans="1:12">
      <c r="A274" s="1010"/>
      <c r="B274" s="1010"/>
      <c r="C274" s="1010"/>
      <c r="D274" s="1010"/>
      <c r="E274" s="1010"/>
      <c r="F274" s="1010"/>
      <c r="G274" s="1010"/>
      <c r="H274" s="1010"/>
      <c r="I274" s="1010"/>
      <c r="J274" s="1010"/>
      <c r="K274" s="1010"/>
      <c r="L274" s="2095"/>
    </row>
    <row r="275" spans="1:12">
      <c r="A275" s="1010"/>
      <c r="B275" s="1010"/>
      <c r="C275" s="1010"/>
      <c r="D275" s="1010"/>
      <c r="E275" s="1010"/>
      <c r="F275" s="1010"/>
      <c r="G275" s="1010"/>
      <c r="H275" s="1010"/>
      <c r="I275" s="1010"/>
      <c r="J275" s="1010"/>
      <c r="K275" s="1010"/>
      <c r="L275" s="2095"/>
    </row>
    <row r="276" spans="1:12">
      <c r="A276" s="1010"/>
      <c r="B276" s="1010"/>
      <c r="C276" s="1010"/>
      <c r="D276" s="1010"/>
      <c r="E276" s="1010"/>
      <c r="F276" s="1010"/>
      <c r="G276" s="1010"/>
      <c r="H276" s="1010"/>
      <c r="I276" s="1010"/>
      <c r="J276" s="1010"/>
      <c r="K276" s="1010"/>
      <c r="L276" s="2095"/>
    </row>
    <row r="277" spans="1:12">
      <c r="A277" s="1010"/>
      <c r="B277" s="1010"/>
      <c r="C277" s="1010"/>
      <c r="D277" s="1010"/>
      <c r="E277" s="1010"/>
      <c r="F277" s="1010"/>
      <c r="G277" s="1010"/>
      <c r="H277" s="1010"/>
      <c r="I277" s="1010"/>
      <c r="J277" s="1010"/>
      <c r="K277" s="1010"/>
      <c r="L277" s="2095"/>
    </row>
    <row r="278" spans="1:12">
      <c r="A278" s="1010"/>
      <c r="B278" s="1010"/>
      <c r="C278" s="1010"/>
      <c r="D278" s="1010"/>
      <c r="E278" s="1010"/>
      <c r="F278" s="1010"/>
      <c r="G278" s="1010"/>
      <c r="H278" s="1010"/>
      <c r="I278" s="1010"/>
      <c r="J278" s="1010"/>
      <c r="K278" s="1010"/>
      <c r="L278" s="2095"/>
    </row>
    <row r="279" spans="1:12">
      <c r="A279" s="1010"/>
      <c r="B279" s="1010"/>
      <c r="C279" s="1010"/>
      <c r="D279" s="1010"/>
      <c r="E279" s="1010"/>
      <c r="F279" s="1010"/>
      <c r="G279" s="1010"/>
      <c r="H279" s="1010"/>
      <c r="I279" s="1010"/>
      <c r="J279" s="1010"/>
      <c r="K279" s="1010"/>
      <c r="L279" s="2095"/>
    </row>
    <row r="280" spans="1:12">
      <c r="A280" s="1010"/>
      <c r="B280" s="1010"/>
      <c r="C280" s="1010"/>
      <c r="D280" s="1010"/>
      <c r="E280" s="1010"/>
      <c r="F280" s="1010"/>
      <c r="G280" s="1010"/>
      <c r="H280" s="1010"/>
      <c r="I280" s="1010"/>
      <c r="J280" s="1010"/>
      <c r="K280" s="1010"/>
      <c r="L280" s="2095"/>
    </row>
    <row r="281" spans="1:12">
      <c r="A281" s="1010"/>
      <c r="B281" s="1010"/>
      <c r="C281" s="1010"/>
      <c r="D281" s="1010"/>
      <c r="E281" s="1010"/>
      <c r="F281" s="1010"/>
      <c r="G281" s="1010"/>
      <c r="H281" s="1010"/>
      <c r="I281" s="1010"/>
      <c r="J281" s="1010"/>
      <c r="K281" s="1010"/>
      <c r="L281" s="2095"/>
    </row>
    <row r="282" spans="1:12">
      <c r="A282" s="1010"/>
      <c r="B282" s="1010"/>
      <c r="C282" s="1010"/>
      <c r="D282" s="1010"/>
      <c r="E282" s="1010"/>
      <c r="F282" s="1010"/>
      <c r="G282" s="1010"/>
      <c r="H282" s="1010"/>
      <c r="I282" s="1010"/>
      <c r="J282" s="1010"/>
      <c r="K282" s="1010"/>
      <c r="L282" s="2095"/>
    </row>
    <row r="283" spans="1:12">
      <c r="A283" s="1010"/>
      <c r="B283" s="1010"/>
      <c r="C283" s="1010"/>
      <c r="D283" s="1010"/>
      <c r="E283" s="1010"/>
      <c r="F283" s="1010"/>
      <c r="G283" s="1010"/>
      <c r="H283" s="1010"/>
      <c r="I283" s="1010"/>
      <c r="J283" s="1010"/>
      <c r="K283" s="1010"/>
      <c r="L283" s="2095"/>
    </row>
    <row r="284" spans="1:12">
      <c r="A284" s="1010"/>
      <c r="B284" s="1010"/>
      <c r="C284" s="1010"/>
      <c r="D284" s="1010"/>
      <c r="E284" s="1010"/>
      <c r="F284" s="1010"/>
      <c r="G284" s="1010"/>
      <c r="H284" s="1010"/>
      <c r="I284" s="1010"/>
      <c r="J284" s="1010"/>
      <c r="K284" s="1010"/>
      <c r="L284" s="2095"/>
    </row>
    <row r="285" spans="1:12">
      <c r="A285" s="1010"/>
      <c r="B285" s="1010"/>
      <c r="C285" s="1010"/>
      <c r="D285" s="1010"/>
      <c r="E285" s="1010"/>
      <c r="F285" s="1010"/>
      <c r="G285" s="1010"/>
      <c r="H285" s="1010"/>
      <c r="I285" s="1010"/>
      <c r="J285" s="1010"/>
      <c r="K285" s="1010"/>
      <c r="L285" s="2095"/>
    </row>
    <row r="286" spans="1:12">
      <c r="A286" s="1010"/>
      <c r="B286" s="1010"/>
      <c r="C286" s="1010"/>
      <c r="D286" s="1010"/>
      <c r="E286" s="1010"/>
      <c r="F286" s="1010"/>
      <c r="G286" s="1010"/>
      <c r="H286" s="1010"/>
      <c r="I286" s="1010"/>
      <c r="J286" s="1010"/>
      <c r="K286" s="1010"/>
      <c r="L286" s="2095"/>
    </row>
    <row r="287" spans="1:12">
      <c r="A287" s="1010"/>
      <c r="B287" s="1010"/>
      <c r="C287" s="1010"/>
      <c r="D287" s="1010"/>
      <c r="E287" s="1010"/>
      <c r="F287" s="1010"/>
      <c r="G287" s="1010"/>
      <c r="H287" s="1010"/>
      <c r="I287" s="1010"/>
      <c r="J287" s="1010"/>
      <c r="K287" s="1010"/>
      <c r="L287" s="2095"/>
    </row>
    <row r="288" spans="1:12">
      <c r="A288" s="1010"/>
      <c r="B288" s="1010"/>
      <c r="C288" s="1010"/>
      <c r="D288" s="1010"/>
      <c r="E288" s="1010"/>
      <c r="F288" s="1010"/>
      <c r="G288" s="1010"/>
      <c r="H288" s="1010"/>
      <c r="I288" s="1010"/>
      <c r="J288" s="1010"/>
      <c r="K288" s="1010"/>
      <c r="L288" s="2095"/>
    </row>
    <row r="289" spans="1:12">
      <c r="A289" s="1010"/>
      <c r="B289" s="1010"/>
      <c r="C289" s="1010"/>
      <c r="D289" s="1010"/>
      <c r="E289" s="1010"/>
      <c r="F289" s="1010"/>
      <c r="G289" s="1010"/>
      <c r="H289" s="1010"/>
      <c r="I289" s="1010"/>
      <c r="J289" s="1010"/>
      <c r="K289" s="1010"/>
      <c r="L289" s="2095"/>
    </row>
    <row r="290" spans="1:12">
      <c r="A290" s="1010"/>
      <c r="B290" s="1010"/>
      <c r="C290" s="1010"/>
      <c r="D290" s="1010"/>
      <c r="E290" s="1010"/>
      <c r="F290" s="1010"/>
      <c r="G290" s="1010"/>
      <c r="H290" s="1010"/>
      <c r="I290" s="1010"/>
      <c r="J290" s="1010"/>
      <c r="K290" s="1010"/>
      <c r="L290" s="2095"/>
    </row>
    <row r="291" spans="1:12">
      <c r="A291" s="1010"/>
      <c r="B291" s="1010"/>
      <c r="C291" s="1010"/>
      <c r="D291" s="1010"/>
      <c r="E291" s="1010"/>
      <c r="F291" s="1010"/>
      <c r="G291" s="1010"/>
      <c r="H291" s="1010"/>
      <c r="I291" s="1010"/>
      <c r="J291" s="1010"/>
      <c r="K291" s="1010"/>
      <c r="L291" s="2095"/>
    </row>
    <row r="292" spans="1:12">
      <c r="A292" s="1010"/>
      <c r="B292" s="1010"/>
      <c r="C292" s="1010"/>
      <c r="D292" s="1010"/>
      <c r="E292" s="1010"/>
      <c r="F292" s="1010"/>
      <c r="G292" s="1010"/>
      <c r="H292" s="1010"/>
      <c r="I292" s="1010"/>
      <c r="J292" s="1010"/>
      <c r="K292" s="1010"/>
      <c r="L292" s="2095"/>
    </row>
    <row r="293" spans="1:12">
      <c r="A293" s="1010"/>
      <c r="B293" s="1010"/>
      <c r="C293" s="1010"/>
      <c r="D293" s="1010"/>
      <c r="E293" s="1010"/>
      <c r="F293" s="1010"/>
      <c r="G293" s="1010"/>
      <c r="H293" s="1010"/>
      <c r="I293" s="1010"/>
      <c r="J293" s="1010"/>
      <c r="K293" s="1010"/>
      <c r="L293" s="2095"/>
    </row>
    <row r="294" spans="1:12">
      <c r="A294" s="1010"/>
      <c r="B294" s="1010"/>
      <c r="C294" s="1010"/>
      <c r="D294" s="1010"/>
      <c r="E294" s="1010"/>
      <c r="F294" s="1010"/>
      <c r="G294" s="1010"/>
      <c r="H294" s="1010"/>
      <c r="I294" s="1010"/>
      <c r="J294" s="1010"/>
      <c r="K294" s="1010"/>
      <c r="L294" s="2095"/>
    </row>
    <row r="295" spans="1:12">
      <c r="A295" s="1010"/>
      <c r="B295" s="1010"/>
      <c r="C295" s="1010"/>
      <c r="D295" s="1010"/>
      <c r="E295" s="1010"/>
      <c r="F295" s="1010"/>
      <c r="G295" s="1010"/>
      <c r="H295" s="1010"/>
      <c r="I295" s="1010"/>
      <c r="J295" s="1010"/>
      <c r="K295" s="1010"/>
      <c r="L295" s="2095"/>
    </row>
    <row r="296" spans="1:12">
      <c r="A296" s="1010"/>
      <c r="B296" s="1010"/>
      <c r="C296" s="1010"/>
      <c r="D296" s="1010"/>
      <c r="E296" s="1010"/>
      <c r="F296" s="1010"/>
      <c r="G296" s="1010"/>
      <c r="H296" s="1010"/>
      <c r="I296" s="1010"/>
      <c r="J296" s="1010"/>
      <c r="K296" s="1010"/>
      <c r="L296" s="2095"/>
    </row>
    <row r="297" spans="1:12">
      <c r="A297" s="1010"/>
      <c r="B297" s="1010"/>
      <c r="C297" s="1010"/>
      <c r="D297" s="1010"/>
      <c r="E297" s="1010"/>
      <c r="F297" s="1010"/>
      <c r="G297" s="1010"/>
      <c r="H297" s="1010"/>
      <c r="I297" s="1010"/>
      <c r="J297" s="1010"/>
      <c r="K297" s="1010"/>
      <c r="L297" s="2095"/>
    </row>
    <row r="298" spans="1:12">
      <c r="A298" s="1010"/>
      <c r="B298" s="1010"/>
      <c r="C298" s="1010"/>
      <c r="D298" s="1010"/>
      <c r="E298" s="1010"/>
      <c r="F298" s="1010"/>
      <c r="G298" s="1010"/>
      <c r="H298" s="1010"/>
      <c r="I298" s="1010"/>
      <c r="J298" s="1010"/>
      <c r="K298" s="1010"/>
      <c r="L298" s="2095"/>
    </row>
    <row r="299" spans="1:12">
      <c r="A299" s="1010"/>
      <c r="B299" s="1010"/>
      <c r="C299" s="1010"/>
      <c r="D299" s="1010"/>
      <c r="E299" s="1010"/>
      <c r="F299" s="1010"/>
      <c r="G299" s="1010"/>
      <c r="H299" s="1010"/>
      <c r="I299" s="1010"/>
      <c r="J299" s="1010"/>
      <c r="K299" s="1010"/>
      <c r="L299" s="2095"/>
    </row>
    <row r="300" spans="1:12">
      <c r="A300" s="1010"/>
      <c r="B300" s="1010"/>
      <c r="C300" s="1010"/>
      <c r="D300" s="1010"/>
      <c r="E300" s="1010"/>
      <c r="F300" s="1010"/>
      <c r="G300" s="1010"/>
      <c r="H300" s="1010"/>
      <c r="I300" s="1010"/>
      <c r="J300" s="1010"/>
      <c r="K300" s="1010"/>
      <c r="L300" s="2095"/>
    </row>
    <row r="301" spans="1:12">
      <c r="A301" s="1010"/>
      <c r="B301" s="1010"/>
      <c r="C301" s="1010"/>
      <c r="D301" s="1010"/>
      <c r="E301" s="1010"/>
      <c r="F301" s="1010"/>
      <c r="G301" s="1010"/>
      <c r="H301" s="1010"/>
      <c r="I301" s="1010"/>
      <c r="J301" s="1010"/>
      <c r="K301" s="1010"/>
      <c r="L301" s="2095"/>
    </row>
    <row r="302" spans="1:12">
      <c r="A302" s="1010"/>
      <c r="B302" s="1010"/>
      <c r="C302" s="1010"/>
      <c r="D302" s="1010"/>
      <c r="E302" s="1010"/>
      <c r="F302" s="1010"/>
      <c r="G302" s="1010"/>
      <c r="H302" s="1010"/>
      <c r="I302" s="1010"/>
      <c r="J302" s="1010"/>
      <c r="K302" s="1010"/>
      <c r="L302" s="2095"/>
    </row>
    <row r="303" spans="1:12">
      <c r="A303" s="1010"/>
      <c r="B303" s="1010"/>
      <c r="C303" s="1010"/>
      <c r="D303" s="1010"/>
      <c r="E303" s="1010"/>
      <c r="F303" s="1010"/>
      <c r="G303" s="1010"/>
      <c r="H303" s="1010"/>
      <c r="I303" s="1010"/>
      <c r="J303" s="1010"/>
      <c r="K303" s="1010"/>
      <c r="L303" s="2095"/>
    </row>
    <row r="304" spans="1:12">
      <c r="A304" s="1010"/>
      <c r="B304" s="1010"/>
      <c r="C304" s="1010"/>
      <c r="D304" s="1010"/>
      <c r="E304" s="1010"/>
      <c r="F304" s="1010"/>
      <c r="G304" s="1010"/>
      <c r="H304" s="1010"/>
      <c r="I304" s="1010"/>
      <c r="J304" s="1010"/>
      <c r="K304" s="1010"/>
      <c r="L304" s="2095"/>
    </row>
    <row r="305" spans="1:12">
      <c r="A305" s="1010"/>
      <c r="B305" s="1010"/>
      <c r="C305" s="1010"/>
      <c r="D305" s="1010"/>
      <c r="E305" s="1010"/>
      <c r="F305" s="1010"/>
      <c r="G305" s="1010"/>
      <c r="H305" s="1010"/>
      <c r="I305" s="1010"/>
      <c r="J305" s="1010"/>
      <c r="K305" s="1010"/>
      <c r="L305" s="2095"/>
    </row>
    <row r="306" spans="1:12">
      <c r="A306" s="1010"/>
      <c r="B306" s="1010"/>
      <c r="C306" s="1010"/>
      <c r="D306" s="1010"/>
      <c r="E306" s="1010"/>
      <c r="F306" s="1010"/>
      <c r="G306" s="1010"/>
      <c r="H306" s="1010"/>
      <c r="I306" s="1010"/>
      <c r="J306" s="1010"/>
      <c r="K306" s="1010"/>
      <c r="L306" s="2095"/>
    </row>
    <row r="307" spans="1:12">
      <c r="A307" s="1010"/>
      <c r="B307" s="1010"/>
      <c r="C307" s="1010"/>
      <c r="D307" s="1010"/>
      <c r="E307" s="1010"/>
      <c r="F307" s="1010"/>
      <c r="G307" s="1010"/>
      <c r="H307" s="1010"/>
      <c r="I307" s="1010"/>
      <c r="J307" s="1010"/>
      <c r="K307" s="1010"/>
      <c r="L307" s="2095"/>
    </row>
    <row r="308" spans="1:12">
      <c r="A308" s="1010"/>
      <c r="B308" s="1010"/>
      <c r="C308" s="1010"/>
      <c r="D308" s="1010"/>
      <c r="E308" s="1010"/>
      <c r="F308" s="1010"/>
      <c r="G308" s="1010"/>
      <c r="H308" s="1010"/>
      <c r="I308" s="1010"/>
      <c r="J308" s="1010"/>
      <c r="K308" s="1010"/>
      <c r="L308" s="2095"/>
    </row>
    <row r="309" spans="1:12">
      <c r="A309" s="1010"/>
      <c r="B309" s="1010"/>
      <c r="C309" s="1010"/>
      <c r="D309" s="1010"/>
      <c r="E309" s="1010"/>
      <c r="F309" s="1010"/>
      <c r="G309" s="1010"/>
      <c r="H309" s="1010"/>
      <c r="I309" s="1010"/>
      <c r="J309" s="1010"/>
      <c r="K309" s="1010"/>
      <c r="L309" s="2095"/>
    </row>
    <row r="310" spans="1:12">
      <c r="A310" s="1010"/>
      <c r="B310" s="1010"/>
      <c r="C310" s="1010"/>
      <c r="D310" s="1010"/>
      <c r="E310" s="1010"/>
      <c r="F310" s="1010"/>
      <c r="G310" s="1010"/>
      <c r="H310" s="1010"/>
      <c r="I310" s="1010"/>
      <c r="J310" s="1010"/>
      <c r="K310" s="1010"/>
      <c r="L310" s="2095"/>
    </row>
    <row r="311" spans="1:12">
      <c r="A311" s="1010"/>
      <c r="B311" s="1010"/>
      <c r="C311" s="1010"/>
      <c r="D311" s="1010"/>
      <c r="E311" s="1010"/>
      <c r="F311" s="1010"/>
      <c r="G311" s="1010"/>
      <c r="H311" s="1010"/>
      <c r="I311" s="1010"/>
      <c r="J311" s="1010"/>
      <c r="K311" s="1010"/>
      <c r="L311" s="2095"/>
    </row>
    <row r="312" spans="1:12">
      <c r="A312" s="1010"/>
      <c r="B312" s="1010"/>
      <c r="C312" s="1010"/>
      <c r="D312" s="1010"/>
      <c r="E312" s="1010"/>
      <c r="F312" s="1010"/>
      <c r="G312" s="1010"/>
      <c r="H312" s="1010"/>
      <c r="I312" s="1010"/>
      <c r="J312" s="1010"/>
      <c r="K312" s="1010"/>
      <c r="L312" s="2095"/>
    </row>
    <row r="313" spans="1:12">
      <c r="A313" s="1010"/>
      <c r="B313" s="1010"/>
      <c r="C313" s="1010"/>
      <c r="D313" s="1010"/>
      <c r="E313" s="1010"/>
      <c r="F313" s="1010"/>
      <c r="G313" s="1010"/>
      <c r="H313" s="1010"/>
      <c r="I313" s="1010"/>
      <c r="J313" s="1010"/>
      <c r="K313" s="1010"/>
      <c r="L313" s="2095"/>
    </row>
    <row r="314" spans="1:12">
      <c r="A314" s="1010"/>
      <c r="B314" s="1010"/>
      <c r="C314" s="1010"/>
      <c r="D314" s="1010"/>
      <c r="E314" s="1010"/>
      <c r="F314" s="1010"/>
      <c r="G314" s="1010"/>
      <c r="H314" s="1010"/>
      <c r="I314" s="1010"/>
      <c r="J314" s="1010"/>
      <c r="K314" s="1010"/>
      <c r="L314" s="2095"/>
    </row>
    <row r="315" spans="1:12">
      <c r="A315" s="1010"/>
      <c r="B315" s="1010"/>
      <c r="C315" s="1010"/>
      <c r="D315" s="1010"/>
      <c r="E315" s="1010"/>
      <c r="F315" s="1010"/>
      <c r="G315" s="1010"/>
      <c r="H315" s="1010"/>
      <c r="I315" s="1010"/>
      <c r="J315" s="1010"/>
      <c r="K315" s="1010"/>
      <c r="L315" s="2095"/>
    </row>
    <row r="316" spans="1:12">
      <c r="A316" s="1010"/>
      <c r="B316" s="1010"/>
      <c r="C316" s="1010"/>
      <c r="D316" s="1010"/>
      <c r="E316" s="1010"/>
      <c r="F316" s="1010"/>
      <c r="G316" s="1010"/>
      <c r="H316" s="1010"/>
      <c r="I316" s="1010"/>
      <c r="J316" s="1010"/>
      <c r="K316" s="1010"/>
      <c r="L316" s="2095"/>
    </row>
    <row r="317" spans="1:12">
      <c r="A317" s="1010"/>
      <c r="B317" s="1010"/>
      <c r="C317" s="1010"/>
      <c r="D317" s="1010"/>
      <c r="E317" s="1010"/>
      <c r="F317" s="1010"/>
      <c r="G317" s="1010"/>
      <c r="H317" s="1010"/>
      <c r="I317" s="1010"/>
      <c r="J317" s="1010"/>
      <c r="K317" s="1010"/>
      <c r="L317" s="2095"/>
    </row>
    <row r="318" spans="1:12">
      <c r="A318" s="1010"/>
      <c r="B318" s="1010"/>
      <c r="C318" s="1010"/>
      <c r="D318" s="1010"/>
      <c r="E318" s="1010"/>
      <c r="F318" s="1010"/>
      <c r="G318" s="1010"/>
      <c r="H318" s="1010"/>
      <c r="I318" s="1010"/>
      <c r="J318" s="1010"/>
      <c r="K318" s="1010"/>
      <c r="L318" s="2095"/>
    </row>
    <row r="319" spans="1:12">
      <c r="A319" s="1010"/>
      <c r="B319" s="1010"/>
      <c r="C319" s="1010"/>
      <c r="D319" s="1010"/>
      <c r="E319" s="1010"/>
      <c r="F319" s="1010"/>
      <c r="G319" s="1010"/>
      <c r="H319" s="1010"/>
      <c r="I319" s="1010"/>
      <c r="J319" s="1010"/>
      <c r="K319" s="1010"/>
      <c r="L319" s="2095"/>
    </row>
    <row r="320" spans="1:12">
      <c r="A320" s="1010"/>
      <c r="B320" s="1010"/>
      <c r="C320" s="1010"/>
      <c r="D320" s="1010"/>
      <c r="E320" s="1010"/>
      <c r="F320" s="1010"/>
      <c r="G320" s="1010"/>
      <c r="H320" s="1010"/>
      <c r="I320" s="1010"/>
      <c r="J320" s="1010"/>
      <c r="K320" s="1010"/>
      <c r="L320" s="2095"/>
    </row>
    <row r="321" spans="1:12">
      <c r="A321" s="1010"/>
      <c r="B321" s="1010"/>
      <c r="C321" s="1010"/>
      <c r="D321" s="1010"/>
      <c r="E321" s="1010"/>
      <c r="F321" s="1010"/>
      <c r="G321" s="1010"/>
      <c r="H321" s="1010"/>
      <c r="I321" s="1010"/>
      <c r="J321" s="1010"/>
      <c r="K321" s="1010"/>
      <c r="L321" s="2095"/>
    </row>
    <row r="322" spans="1:12">
      <c r="A322" s="1010"/>
      <c r="B322" s="1010"/>
      <c r="C322" s="1010"/>
      <c r="D322" s="1010"/>
      <c r="E322" s="1010"/>
      <c r="F322" s="1010"/>
      <c r="G322" s="1010"/>
      <c r="H322" s="1010"/>
      <c r="I322" s="1010"/>
      <c r="J322" s="1010"/>
      <c r="K322" s="1010"/>
      <c r="L322" s="2095"/>
    </row>
    <row r="323" spans="1:12">
      <c r="A323" s="1010"/>
      <c r="B323" s="1010"/>
      <c r="C323" s="1010"/>
      <c r="D323" s="1010"/>
      <c r="E323" s="1010"/>
      <c r="F323" s="1010"/>
      <c r="G323" s="1010"/>
      <c r="H323" s="1010"/>
      <c r="I323" s="1010"/>
      <c r="J323" s="1010"/>
      <c r="K323" s="1010"/>
      <c r="L323" s="2095"/>
    </row>
    <row r="324" spans="1:12">
      <c r="A324" s="1010"/>
      <c r="B324" s="1010"/>
      <c r="C324" s="1010"/>
      <c r="D324" s="1010"/>
      <c r="E324" s="1010"/>
      <c r="F324" s="1010"/>
      <c r="G324" s="1010"/>
      <c r="H324" s="1010"/>
      <c r="I324" s="1010"/>
      <c r="J324" s="1010"/>
      <c r="K324" s="1010"/>
      <c r="L324" s="2095"/>
    </row>
    <row r="325" spans="1:12">
      <c r="A325" s="1010"/>
      <c r="B325" s="1010"/>
      <c r="C325" s="1010"/>
      <c r="D325" s="1010"/>
      <c r="E325" s="1010"/>
      <c r="F325" s="1010"/>
      <c r="G325" s="1010"/>
      <c r="H325" s="1010"/>
      <c r="I325" s="1010"/>
      <c r="J325" s="1010"/>
      <c r="K325" s="1010"/>
      <c r="L325" s="2095"/>
    </row>
    <row r="326" spans="1:12">
      <c r="A326" s="1010"/>
      <c r="B326" s="1010"/>
      <c r="C326" s="1010"/>
      <c r="D326" s="1010"/>
      <c r="E326" s="1010"/>
      <c r="F326" s="1010"/>
      <c r="G326" s="1010"/>
      <c r="H326" s="1010"/>
      <c r="I326" s="1010"/>
      <c r="J326" s="1010"/>
      <c r="K326" s="1010"/>
      <c r="L326" s="2095"/>
    </row>
    <row r="327" spans="1:12">
      <c r="A327" s="1010"/>
      <c r="B327" s="1010"/>
      <c r="C327" s="1010"/>
      <c r="D327" s="1010"/>
      <c r="E327" s="1010"/>
      <c r="F327" s="1010"/>
      <c r="G327" s="1010"/>
      <c r="H327" s="1010"/>
      <c r="I327" s="1010"/>
      <c r="J327" s="1010"/>
      <c r="K327" s="1010"/>
      <c r="L327" s="2095"/>
    </row>
    <row r="328" spans="1:12">
      <c r="A328" s="1010"/>
      <c r="B328" s="1010"/>
      <c r="C328" s="1010"/>
      <c r="D328" s="1010"/>
      <c r="E328" s="1010"/>
      <c r="F328" s="1010"/>
      <c r="G328" s="1010"/>
      <c r="H328" s="1010"/>
      <c r="I328" s="1010"/>
      <c r="J328" s="1010"/>
      <c r="K328" s="1010"/>
      <c r="L328" s="2095"/>
    </row>
    <row r="329" spans="1:12">
      <c r="A329" s="1010"/>
      <c r="B329" s="1010"/>
      <c r="C329" s="1010"/>
      <c r="D329" s="1010"/>
      <c r="E329" s="1010"/>
      <c r="F329" s="1010"/>
      <c r="G329" s="1010"/>
      <c r="H329" s="1010"/>
      <c r="I329" s="1010"/>
      <c r="J329" s="1010"/>
      <c r="K329" s="1010"/>
      <c r="L329" s="2095"/>
    </row>
    <row r="330" spans="1:12">
      <c r="A330" s="1010"/>
      <c r="B330" s="1010"/>
      <c r="C330" s="1010"/>
      <c r="D330" s="1010"/>
      <c r="E330" s="1010"/>
      <c r="F330" s="1010"/>
      <c r="G330" s="1010"/>
      <c r="H330" s="1010"/>
      <c r="I330" s="1010"/>
      <c r="J330" s="1010"/>
      <c r="K330" s="1010"/>
      <c r="L330" s="2095"/>
    </row>
    <row r="331" spans="1:12">
      <c r="A331" s="1010"/>
      <c r="B331" s="1010"/>
      <c r="C331" s="1010"/>
      <c r="D331" s="1010"/>
      <c r="E331" s="1010"/>
      <c r="F331" s="1010"/>
      <c r="G331" s="1010"/>
      <c r="H331" s="1010"/>
      <c r="I331" s="1010"/>
      <c r="J331" s="1010"/>
      <c r="K331" s="1010"/>
      <c r="L331" s="2095"/>
    </row>
    <row r="332" spans="1:12">
      <c r="A332" s="1010"/>
      <c r="B332" s="1010"/>
      <c r="C332" s="1010"/>
      <c r="D332" s="1010"/>
      <c r="E332" s="1010"/>
      <c r="F332" s="1010"/>
      <c r="G332" s="1010"/>
      <c r="H332" s="1010"/>
      <c r="I332" s="1010"/>
      <c r="J332" s="1010"/>
      <c r="K332" s="1010"/>
      <c r="L332" s="2095"/>
    </row>
    <row r="333" spans="1:12">
      <c r="A333" s="1010"/>
      <c r="B333" s="1010"/>
      <c r="C333" s="1010"/>
      <c r="D333" s="1010"/>
      <c r="E333" s="1010"/>
      <c r="F333" s="1010"/>
      <c r="G333" s="1010"/>
      <c r="H333" s="1010"/>
      <c r="I333" s="1010"/>
      <c r="J333" s="1010"/>
      <c r="K333" s="1010"/>
      <c r="L333" s="2095"/>
    </row>
    <row r="334" spans="1:12">
      <c r="A334" s="1010"/>
      <c r="B334" s="1010"/>
      <c r="C334" s="1010"/>
      <c r="D334" s="1010"/>
      <c r="E334" s="1010"/>
      <c r="F334" s="1010"/>
      <c r="G334" s="1010"/>
      <c r="H334" s="1010"/>
      <c r="I334" s="1010"/>
      <c r="J334" s="1010"/>
      <c r="K334" s="1010"/>
      <c r="L334" s="2095"/>
    </row>
    <row r="335" spans="1:12">
      <c r="A335" s="1010"/>
      <c r="B335" s="1010"/>
      <c r="C335" s="1010"/>
      <c r="D335" s="1010"/>
      <c r="E335" s="1010"/>
      <c r="F335" s="1010"/>
      <c r="G335" s="1010"/>
      <c r="H335" s="1010"/>
      <c r="I335" s="1010"/>
      <c r="J335" s="1010"/>
      <c r="K335" s="1010"/>
      <c r="L335" s="2095"/>
    </row>
    <row r="336" spans="1:12">
      <c r="A336" s="1010"/>
      <c r="B336" s="1010"/>
      <c r="C336" s="1010"/>
      <c r="D336" s="1010"/>
      <c r="E336" s="1010"/>
      <c r="F336" s="1010"/>
      <c r="G336" s="1010"/>
      <c r="H336" s="1010"/>
      <c r="I336" s="1010"/>
      <c r="J336" s="1010"/>
      <c r="K336" s="1010"/>
      <c r="L336" s="2095"/>
    </row>
    <row r="337" spans="1:12">
      <c r="A337" s="1010"/>
      <c r="B337" s="1010"/>
      <c r="C337" s="1010"/>
      <c r="D337" s="1010"/>
      <c r="E337" s="1010"/>
      <c r="F337" s="1010"/>
      <c r="G337" s="1010"/>
      <c r="H337" s="1010"/>
      <c r="I337" s="1010"/>
      <c r="J337" s="1010"/>
      <c r="K337" s="1010"/>
      <c r="L337" s="2095"/>
    </row>
    <row r="338" spans="1:12">
      <c r="A338" s="1010"/>
      <c r="B338" s="1010"/>
      <c r="C338" s="1010"/>
      <c r="D338" s="1010"/>
      <c r="E338" s="1010"/>
      <c r="F338" s="1010"/>
      <c r="G338" s="1010"/>
      <c r="H338" s="1010"/>
      <c r="I338" s="1010"/>
      <c r="J338" s="1010"/>
      <c r="K338" s="1010"/>
      <c r="L338" s="2095"/>
    </row>
    <row r="339" spans="1:12">
      <c r="A339" s="1010"/>
      <c r="B339" s="1010"/>
      <c r="C339" s="1010"/>
      <c r="D339" s="1010"/>
      <c r="E339" s="1010"/>
      <c r="F339" s="1010"/>
      <c r="G339" s="1010"/>
      <c r="H339" s="1010"/>
      <c r="I339" s="1010"/>
      <c r="J339" s="1010"/>
      <c r="K339" s="1010"/>
      <c r="L339" s="2095"/>
    </row>
    <row r="340" spans="1:12">
      <c r="A340" s="1010"/>
      <c r="B340" s="1010"/>
      <c r="C340" s="1010"/>
      <c r="D340" s="1010"/>
      <c r="E340" s="1010"/>
      <c r="F340" s="1010"/>
      <c r="G340" s="1010"/>
      <c r="H340" s="1010"/>
      <c r="I340" s="1010"/>
      <c r="J340" s="1010"/>
      <c r="K340" s="1010"/>
      <c r="L340" s="2095"/>
    </row>
    <row r="341" spans="1:12">
      <c r="A341" s="1010"/>
      <c r="B341" s="1010"/>
      <c r="C341" s="1010"/>
      <c r="D341" s="1010"/>
      <c r="E341" s="1010"/>
      <c r="F341" s="1010"/>
      <c r="G341" s="1010"/>
      <c r="H341" s="1010"/>
      <c r="I341" s="1010"/>
      <c r="J341" s="1010"/>
      <c r="K341" s="1010"/>
      <c r="L341" s="2095"/>
    </row>
    <row r="342" spans="1:12">
      <c r="A342" s="1010"/>
      <c r="B342" s="1010"/>
      <c r="C342" s="1010"/>
      <c r="D342" s="1010"/>
      <c r="E342" s="1010"/>
      <c r="F342" s="1010"/>
      <c r="G342" s="1010"/>
      <c r="H342" s="1010"/>
      <c r="I342" s="1010"/>
      <c r="J342" s="1010"/>
      <c r="K342" s="1010"/>
      <c r="L342" s="2095"/>
    </row>
    <row r="343" spans="1:12">
      <c r="A343" s="1010"/>
      <c r="B343" s="1010"/>
      <c r="C343" s="1010"/>
      <c r="D343" s="1010"/>
      <c r="E343" s="1010"/>
      <c r="F343" s="1010"/>
      <c r="G343" s="1010"/>
      <c r="H343" s="1010"/>
      <c r="I343" s="1010"/>
      <c r="J343" s="1010"/>
      <c r="K343" s="1010"/>
      <c r="L343" s="2095"/>
    </row>
    <row r="344" spans="1:12">
      <c r="A344" s="1010"/>
      <c r="B344" s="1010"/>
      <c r="C344" s="1010"/>
      <c r="D344" s="1010"/>
      <c r="E344" s="1010"/>
      <c r="F344" s="1010"/>
      <c r="G344" s="1010"/>
      <c r="H344" s="1010"/>
      <c r="I344" s="1010"/>
      <c r="J344" s="1010"/>
      <c r="K344" s="1010"/>
      <c r="L344" s="2095"/>
    </row>
    <row r="345" spans="1:12">
      <c r="A345" s="1010"/>
      <c r="B345" s="1010"/>
      <c r="C345" s="1010"/>
      <c r="D345" s="1010"/>
      <c r="E345" s="1010"/>
      <c r="F345" s="1010"/>
      <c r="G345" s="1010"/>
      <c r="H345" s="1010"/>
      <c r="I345" s="1010"/>
      <c r="J345" s="1010"/>
      <c r="K345" s="1010"/>
      <c r="L345" s="2095"/>
    </row>
    <row r="346" spans="1:12">
      <c r="A346" s="1010"/>
      <c r="B346" s="1010"/>
      <c r="C346" s="1010"/>
      <c r="D346" s="1010"/>
      <c r="E346" s="1010"/>
      <c r="F346" s="1010"/>
      <c r="G346" s="1010"/>
      <c r="H346" s="1010"/>
      <c r="I346" s="1010"/>
      <c r="J346" s="1010"/>
      <c r="K346" s="1010"/>
      <c r="L346" s="2095"/>
    </row>
    <row r="347" spans="1:12">
      <c r="A347" s="1010"/>
      <c r="B347" s="1010"/>
      <c r="C347" s="1010"/>
      <c r="D347" s="1010"/>
      <c r="E347" s="1010"/>
      <c r="F347" s="1010"/>
      <c r="G347" s="1010"/>
      <c r="H347" s="1010"/>
      <c r="I347" s="1010"/>
      <c r="J347" s="1010"/>
      <c r="K347" s="1010"/>
      <c r="L347" s="2095"/>
    </row>
    <row r="348" spans="1:12">
      <c r="A348" s="1010"/>
      <c r="B348" s="1010"/>
      <c r="C348" s="1010"/>
      <c r="D348" s="1010"/>
      <c r="E348" s="1010"/>
      <c r="F348" s="1010"/>
      <c r="G348" s="1010"/>
      <c r="H348" s="1010"/>
      <c r="I348" s="1010"/>
      <c r="J348" s="1010"/>
      <c r="K348" s="1010"/>
      <c r="L348" s="2095"/>
    </row>
    <row r="349" spans="1:12">
      <c r="A349" s="1010"/>
      <c r="B349" s="1010"/>
      <c r="C349" s="1010"/>
      <c r="D349" s="1010"/>
      <c r="E349" s="1010"/>
      <c r="F349" s="1010"/>
      <c r="G349" s="1010"/>
      <c r="H349" s="1010"/>
      <c r="I349" s="1010"/>
      <c r="J349" s="1010"/>
      <c r="K349" s="1010"/>
      <c r="L349" s="2095"/>
    </row>
    <row r="350" spans="1:12">
      <c r="A350" s="1010"/>
      <c r="B350" s="1010"/>
      <c r="C350" s="1010"/>
      <c r="D350" s="1010"/>
      <c r="E350" s="1010"/>
      <c r="F350" s="1010"/>
      <c r="G350" s="1010"/>
      <c r="H350" s="1010"/>
      <c r="I350" s="1010"/>
      <c r="J350" s="1010"/>
      <c r="K350" s="1010"/>
      <c r="L350" s="2095"/>
    </row>
    <row r="351" spans="1:12">
      <c r="A351" s="1010"/>
      <c r="B351" s="1010"/>
      <c r="C351" s="1010"/>
      <c r="D351" s="1010"/>
      <c r="E351" s="1010"/>
      <c r="F351" s="1010"/>
      <c r="G351" s="1010"/>
      <c r="H351" s="1010"/>
      <c r="I351" s="1010"/>
      <c r="J351" s="1010"/>
      <c r="K351" s="1010"/>
      <c r="L351" s="2095"/>
    </row>
    <row r="352" spans="1:12">
      <c r="A352" s="1010"/>
      <c r="B352" s="1010"/>
      <c r="C352" s="1010"/>
      <c r="D352" s="1010"/>
      <c r="E352" s="1010"/>
      <c r="F352" s="1010"/>
      <c r="G352" s="1010"/>
      <c r="H352" s="1010"/>
      <c r="I352" s="1010"/>
      <c r="J352" s="1010"/>
      <c r="K352" s="1010"/>
      <c r="L352" s="2095"/>
    </row>
    <row r="353" spans="1:12">
      <c r="A353" s="1010"/>
      <c r="B353" s="1010"/>
      <c r="C353" s="1010"/>
      <c r="D353" s="1010"/>
      <c r="E353" s="1010"/>
      <c r="F353" s="1010"/>
      <c r="G353" s="1010"/>
      <c r="H353" s="1010"/>
      <c r="I353" s="1010"/>
      <c r="J353" s="1010"/>
      <c r="K353" s="1010"/>
      <c r="L353" s="2095"/>
    </row>
    <row r="354" spans="1:12">
      <c r="A354" s="1010"/>
      <c r="B354" s="1010"/>
      <c r="C354" s="1010"/>
      <c r="D354" s="1010"/>
      <c r="E354" s="1010"/>
      <c r="F354" s="1010"/>
      <c r="G354" s="1010"/>
      <c r="H354" s="1010"/>
      <c r="I354" s="1010"/>
      <c r="J354" s="1010"/>
      <c r="K354" s="1010"/>
      <c r="L354" s="2095"/>
    </row>
    <row r="355" spans="1:12">
      <c r="A355" s="1010"/>
      <c r="B355" s="1010"/>
      <c r="C355" s="1010"/>
      <c r="D355" s="1010"/>
      <c r="E355" s="1010"/>
      <c r="F355" s="1010"/>
      <c r="G355" s="1010"/>
      <c r="H355" s="1010"/>
      <c r="I355" s="1010"/>
      <c r="J355" s="1010"/>
      <c r="K355" s="1010"/>
      <c r="L355" s="2095"/>
    </row>
    <row r="356" spans="1:12">
      <c r="A356" s="1010"/>
      <c r="B356" s="1010"/>
      <c r="C356" s="1010"/>
      <c r="D356" s="1010"/>
      <c r="E356" s="1010"/>
      <c r="F356" s="1010"/>
      <c r="G356" s="1010"/>
      <c r="H356" s="1010"/>
      <c r="I356" s="1010"/>
      <c r="J356" s="1010"/>
      <c r="K356" s="1010"/>
      <c r="L356" s="2095"/>
    </row>
    <row r="357" spans="1:12">
      <c r="A357" s="1010"/>
      <c r="B357" s="1010"/>
      <c r="C357" s="1010"/>
      <c r="D357" s="1010"/>
      <c r="E357" s="1010"/>
      <c r="F357" s="1010"/>
      <c r="G357" s="1010"/>
      <c r="H357" s="1010"/>
      <c r="I357" s="1010"/>
      <c r="J357" s="1010"/>
      <c r="K357" s="1010"/>
      <c r="L357" s="2095"/>
    </row>
    <row r="358" spans="1:12">
      <c r="A358" s="1010"/>
      <c r="B358" s="1010"/>
      <c r="C358" s="1010"/>
      <c r="D358" s="1010"/>
      <c r="E358" s="1010"/>
      <c r="F358" s="1010"/>
      <c r="G358" s="1010"/>
      <c r="H358" s="1010"/>
      <c r="I358" s="1010"/>
      <c r="J358" s="1010"/>
      <c r="K358" s="1010"/>
      <c r="L358" s="2095"/>
    </row>
    <row r="359" spans="1:12">
      <c r="A359" s="1010"/>
      <c r="B359" s="1010"/>
      <c r="C359" s="1010"/>
      <c r="D359" s="1010"/>
      <c r="E359" s="1010"/>
      <c r="F359" s="1010"/>
      <c r="G359" s="1010"/>
      <c r="H359" s="1010"/>
      <c r="I359" s="1010"/>
      <c r="J359" s="1010"/>
      <c r="K359" s="1010"/>
      <c r="L359" s="2095"/>
    </row>
    <row r="360" spans="1:12">
      <c r="A360" s="1010"/>
      <c r="B360" s="1010"/>
      <c r="C360" s="1010"/>
      <c r="D360" s="1010"/>
      <c r="E360" s="1010"/>
      <c r="F360" s="1010"/>
      <c r="G360" s="1010"/>
      <c r="H360" s="1010"/>
      <c r="I360" s="1010"/>
      <c r="J360" s="1010"/>
      <c r="K360" s="1010"/>
      <c r="L360" s="2095"/>
    </row>
    <row r="361" spans="1:12">
      <c r="A361" s="1010"/>
      <c r="B361" s="1010"/>
      <c r="C361" s="1010"/>
      <c r="D361" s="1010"/>
      <c r="E361" s="1010"/>
      <c r="F361" s="1010"/>
      <c r="G361" s="1010"/>
      <c r="H361" s="1010"/>
      <c r="I361" s="1010"/>
      <c r="J361" s="1010"/>
      <c r="K361" s="1010"/>
      <c r="L361" s="2095"/>
    </row>
    <row r="362" spans="1:12">
      <c r="A362" s="1010"/>
      <c r="B362" s="1010"/>
      <c r="C362" s="1010"/>
      <c r="D362" s="1010"/>
      <c r="E362" s="1010"/>
      <c r="F362" s="1010"/>
      <c r="G362" s="1010"/>
      <c r="H362" s="1010"/>
      <c r="I362" s="1010"/>
      <c r="J362" s="1010"/>
      <c r="K362" s="1010"/>
      <c r="L362" s="2095"/>
    </row>
    <row r="363" spans="1:12">
      <c r="A363" s="1010"/>
      <c r="B363" s="1010"/>
      <c r="C363" s="1010"/>
      <c r="D363" s="1010"/>
      <c r="E363" s="1010"/>
      <c r="F363" s="1010"/>
      <c r="G363" s="1010"/>
      <c r="H363" s="1010"/>
      <c r="I363" s="1010"/>
      <c r="J363" s="1010"/>
      <c r="K363" s="1010"/>
      <c r="L363" s="2095"/>
    </row>
    <row r="364" spans="1:12">
      <c r="A364" s="1010"/>
      <c r="B364" s="1010"/>
      <c r="C364" s="1010"/>
      <c r="D364" s="1010"/>
      <c r="E364" s="1010"/>
      <c r="F364" s="1010"/>
      <c r="G364" s="1010"/>
      <c r="H364" s="1010"/>
      <c r="I364" s="1010"/>
      <c r="J364" s="1010"/>
      <c r="K364" s="1010"/>
      <c r="L364" s="2095"/>
    </row>
    <row r="365" spans="1:12">
      <c r="A365" s="1010"/>
      <c r="B365" s="1010"/>
      <c r="C365" s="1010"/>
      <c r="D365" s="1010"/>
      <c r="E365" s="1010"/>
      <c r="F365" s="1010"/>
      <c r="G365" s="1010"/>
      <c r="H365" s="1010"/>
      <c r="I365" s="1010"/>
      <c r="J365" s="1010"/>
      <c r="K365" s="1010"/>
      <c r="L365" s="2095"/>
    </row>
    <row r="366" spans="1:12">
      <c r="A366" s="1010"/>
      <c r="B366" s="1010"/>
      <c r="C366" s="1010"/>
      <c r="D366" s="1010"/>
      <c r="E366" s="1010"/>
      <c r="F366" s="1010"/>
      <c r="G366" s="1010"/>
      <c r="H366" s="1010"/>
      <c r="I366" s="1010"/>
      <c r="J366" s="1010"/>
      <c r="K366" s="1010"/>
      <c r="L366" s="2095"/>
    </row>
    <row r="367" spans="1:12">
      <c r="A367" s="1010"/>
      <c r="B367" s="1010"/>
      <c r="C367" s="1010"/>
      <c r="D367" s="1010"/>
      <c r="E367" s="1010"/>
      <c r="F367" s="1010"/>
      <c r="G367" s="1010"/>
      <c r="H367" s="1010"/>
      <c r="I367" s="1010"/>
      <c r="J367" s="1010"/>
      <c r="K367" s="1010"/>
      <c r="L367" s="2095"/>
    </row>
    <row r="368" spans="1:12">
      <c r="A368" s="1010"/>
      <c r="B368" s="1010"/>
      <c r="C368" s="1010"/>
      <c r="D368" s="1010"/>
      <c r="E368" s="1010"/>
      <c r="F368" s="1010"/>
      <c r="G368" s="1010"/>
      <c r="H368" s="1010"/>
      <c r="I368" s="1010"/>
      <c r="J368" s="1010"/>
      <c r="K368" s="1010"/>
      <c r="L368" s="2095"/>
    </row>
    <row r="369" spans="1:12">
      <c r="A369" s="1010"/>
      <c r="B369" s="1010"/>
      <c r="C369" s="1010"/>
      <c r="D369" s="1010"/>
      <c r="E369" s="1010"/>
      <c r="F369" s="1010"/>
      <c r="G369" s="1010"/>
      <c r="H369" s="1010"/>
      <c r="I369" s="1010"/>
      <c r="J369" s="1010"/>
      <c r="K369" s="1010"/>
      <c r="L369" s="2095"/>
    </row>
    <row r="370" spans="1:12">
      <c r="A370" s="1010"/>
      <c r="B370" s="1010"/>
      <c r="C370" s="1010"/>
      <c r="D370" s="1010"/>
      <c r="E370" s="1010"/>
      <c r="F370" s="1010"/>
      <c r="G370" s="1010"/>
      <c r="H370" s="1010"/>
      <c r="I370" s="1010"/>
      <c r="J370" s="1010"/>
      <c r="K370" s="1010"/>
      <c r="L370" s="2095"/>
    </row>
    <row r="371" spans="1:12">
      <c r="A371" s="1010"/>
      <c r="B371" s="1010"/>
      <c r="C371" s="1010"/>
      <c r="D371" s="1010"/>
      <c r="E371" s="1010"/>
      <c r="F371" s="1010"/>
      <c r="G371" s="1010"/>
      <c r="H371" s="1010"/>
      <c r="I371" s="1010"/>
      <c r="J371" s="1010"/>
      <c r="K371" s="1010"/>
      <c r="L371" s="2095"/>
    </row>
    <row r="372" spans="1:12">
      <c r="A372" s="1010"/>
      <c r="B372" s="1010"/>
      <c r="C372" s="1010"/>
      <c r="D372" s="1010"/>
      <c r="E372" s="1010"/>
      <c r="F372" s="1010"/>
      <c r="G372" s="1010"/>
      <c r="H372" s="1010"/>
      <c r="I372" s="1010"/>
      <c r="J372" s="1010"/>
      <c r="K372" s="1010"/>
      <c r="L372" s="2095"/>
    </row>
    <row r="373" spans="1:12">
      <c r="A373" s="1010"/>
      <c r="B373" s="1010"/>
      <c r="C373" s="1010"/>
      <c r="D373" s="1010"/>
      <c r="E373" s="1010"/>
      <c r="F373" s="1010"/>
      <c r="G373" s="1010"/>
      <c r="H373" s="1010"/>
      <c r="I373" s="1010"/>
      <c r="J373" s="1010"/>
      <c r="K373" s="1010"/>
      <c r="L373" s="2095"/>
    </row>
    <row r="374" spans="1:12">
      <c r="A374" s="1010"/>
      <c r="B374" s="1010"/>
      <c r="C374" s="1010"/>
      <c r="D374" s="1010"/>
      <c r="E374" s="1010"/>
      <c r="F374" s="1010"/>
      <c r="G374" s="1010"/>
      <c r="H374" s="1010"/>
      <c r="I374" s="1010"/>
      <c r="J374" s="1010"/>
      <c r="K374" s="1010"/>
      <c r="L374" s="2095"/>
    </row>
    <row r="375" spans="1:12">
      <c r="A375" s="1010"/>
      <c r="B375" s="1010"/>
      <c r="C375" s="1010"/>
      <c r="D375" s="1010"/>
      <c r="E375" s="1010"/>
      <c r="F375" s="1010"/>
      <c r="G375" s="1010"/>
      <c r="H375" s="1010"/>
      <c r="I375" s="1010"/>
      <c r="J375" s="1010"/>
      <c r="K375" s="1010"/>
      <c r="L375" s="2095"/>
    </row>
    <row r="376" spans="1:12">
      <c r="A376" s="1010"/>
      <c r="B376" s="1010"/>
      <c r="C376" s="1010"/>
      <c r="D376" s="1010"/>
      <c r="E376" s="1010"/>
      <c r="F376" s="1010"/>
      <c r="G376" s="1010"/>
      <c r="H376" s="1010"/>
      <c r="I376" s="1010"/>
      <c r="J376" s="1010"/>
      <c r="K376" s="1010"/>
      <c r="L376" s="2095"/>
    </row>
    <row r="377" spans="1:12">
      <c r="A377" s="1010"/>
      <c r="B377" s="1010"/>
      <c r="C377" s="1010"/>
      <c r="D377" s="1010"/>
      <c r="E377" s="1010"/>
      <c r="F377" s="1010"/>
      <c r="G377" s="1010"/>
      <c r="H377" s="1010"/>
      <c r="I377" s="1010"/>
      <c r="J377" s="1010"/>
      <c r="K377" s="1010"/>
      <c r="L377" s="2095"/>
    </row>
    <row r="378" spans="1:12">
      <c r="A378" s="1010"/>
      <c r="B378" s="1010"/>
      <c r="C378" s="1010"/>
      <c r="D378" s="1010"/>
      <c r="E378" s="1010"/>
      <c r="F378" s="1010"/>
      <c r="G378" s="1010"/>
      <c r="H378" s="1010"/>
      <c r="I378" s="1010"/>
      <c r="J378" s="1010"/>
      <c r="K378" s="1010"/>
      <c r="L378" s="2095"/>
    </row>
    <row r="379" spans="1:12">
      <c r="A379" s="1010"/>
      <c r="B379" s="1010"/>
      <c r="C379" s="1010"/>
      <c r="D379" s="1010"/>
      <c r="E379" s="1010"/>
      <c r="F379" s="1010"/>
      <c r="G379" s="1010"/>
      <c r="H379" s="1010"/>
      <c r="I379" s="1010"/>
      <c r="J379" s="1010"/>
      <c r="K379" s="1010"/>
      <c r="L379" s="2095"/>
    </row>
    <row r="380" spans="1:12">
      <c r="A380" s="1010"/>
      <c r="B380" s="1010"/>
      <c r="C380" s="1010"/>
      <c r="D380" s="1010"/>
      <c r="E380" s="1010"/>
      <c r="F380" s="1010"/>
      <c r="G380" s="1010"/>
      <c r="H380" s="1010"/>
      <c r="I380" s="1010"/>
      <c r="J380" s="1010"/>
      <c r="K380" s="1010"/>
      <c r="L380" s="2095"/>
    </row>
    <row r="381" spans="1:12">
      <c r="A381" s="1010"/>
      <c r="B381" s="1010"/>
      <c r="C381" s="1010"/>
      <c r="D381" s="1010"/>
      <c r="E381" s="1010"/>
      <c r="F381" s="1010"/>
      <c r="G381" s="1010"/>
      <c r="H381" s="1010"/>
      <c r="I381" s="1010"/>
      <c r="J381" s="1010"/>
      <c r="K381" s="1010"/>
      <c r="L381" s="2095"/>
    </row>
    <row r="382" spans="1:12">
      <c r="A382" s="1010"/>
      <c r="B382" s="1010"/>
      <c r="C382" s="1010"/>
      <c r="D382" s="1010"/>
      <c r="E382" s="1010"/>
      <c r="F382" s="1010"/>
      <c r="G382" s="1010"/>
      <c r="H382" s="1010"/>
      <c r="I382" s="1010"/>
      <c r="J382" s="1010"/>
      <c r="K382" s="1010"/>
      <c r="L382" s="2095"/>
    </row>
    <row r="383" spans="1:12">
      <c r="A383" s="1010"/>
      <c r="B383" s="1010"/>
      <c r="C383" s="1010"/>
      <c r="D383" s="1010"/>
      <c r="E383" s="1010"/>
      <c r="F383" s="1010"/>
      <c r="G383" s="1010"/>
      <c r="H383" s="1010"/>
      <c r="I383" s="1010"/>
      <c r="J383" s="1010"/>
      <c r="K383" s="1010"/>
      <c r="L383" s="2095"/>
    </row>
    <row r="384" spans="1:12">
      <c r="A384" s="1010"/>
      <c r="B384" s="1010"/>
      <c r="C384" s="1010"/>
      <c r="D384" s="1010"/>
      <c r="E384" s="1010"/>
      <c r="F384" s="1010"/>
      <c r="G384" s="1010"/>
      <c r="H384" s="1010"/>
      <c r="I384" s="1010"/>
      <c r="J384" s="1010"/>
      <c r="K384" s="1010"/>
      <c r="L384" s="2095"/>
    </row>
    <row r="385" spans="1:12">
      <c r="A385" s="1010"/>
      <c r="B385" s="1010"/>
      <c r="C385" s="1010"/>
      <c r="D385" s="1010"/>
      <c r="E385" s="1010"/>
      <c r="F385" s="1010"/>
      <c r="G385" s="1010"/>
      <c r="H385" s="1010"/>
      <c r="I385" s="1010"/>
      <c r="J385" s="1010"/>
      <c r="K385" s="1010"/>
      <c r="L385" s="2095"/>
    </row>
    <row r="386" spans="1:12">
      <c r="A386" s="1010"/>
      <c r="B386" s="1010"/>
      <c r="C386" s="1010"/>
      <c r="D386" s="1010"/>
      <c r="E386" s="1010"/>
      <c r="F386" s="1010"/>
      <c r="G386" s="1010"/>
      <c r="H386" s="1010"/>
      <c r="I386" s="1010"/>
      <c r="J386" s="1010"/>
      <c r="K386" s="1010"/>
      <c r="L386" s="2095"/>
    </row>
    <row r="387" spans="1:12">
      <c r="A387" s="1010"/>
      <c r="B387" s="1010"/>
      <c r="C387" s="1010"/>
      <c r="D387" s="1010"/>
      <c r="E387" s="1010"/>
      <c r="F387" s="1010"/>
      <c r="G387" s="1010"/>
      <c r="H387" s="1010"/>
      <c r="I387" s="1010"/>
      <c r="J387" s="1010"/>
      <c r="K387" s="1010"/>
      <c r="L387" s="2095"/>
    </row>
    <row r="388" spans="1:12">
      <c r="A388" s="1010"/>
      <c r="B388" s="1010"/>
      <c r="C388" s="1010"/>
      <c r="D388" s="1010"/>
      <c r="E388" s="1010"/>
      <c r="F388" s="1010"/>
      <c r="G388" s="1010"/>
      <c r="H388" s="1010"/>
      <c r="I388" s="1010"/>
      <c r="J388" s="1010"/>
      <c r="K388" s="1010"/>
      <c r="L388" s="2095"/>
    </row>
    <row r="389" spans="1:12">
      <c r="A389" s="1010"/>
      <c r="B389" s="1010"/>
      <c r="C389" s="1010"/>
      <c r="D389" s="1010"/>
      <c r="E389" s="1010"/>
      <c r="F389" s="1010"/>
      <c r="G389" s="1010"/>
      <c r="H389" s="1010"/>
      <c r="I389" s="1010"/>
      <c r="J389" s="1010"/>
      <c r="K389" s="1010"/>
      <c r="L389" s="2095"/>
    </row>
    <row r="390" spans="1:12">
      <c r="A390" s="1010"/>
      <c r="B390" s="1010"/>
      <c r="C390" s="1010"/>
      <c r="D390" s="1010"/>
      <c r="E390" s="1010"/>
      <c r="F390" s="1010"/>
      <c r="G390" s="1010"/>
      <c r="H390" s="1010"/>
      <c r="I390" s="1010"/>
      <c r="J390" s="1010"/>
      <c r="K390" s="1010"/>
      <c r="L390" s="2095"/>
    </row>
    <row r="391" spans="1:12">
      <c r="A391" s="1010"/>
      <c r="B391" s="1010"/>
      <c r="C391" s="1010"/>
      <c r="D391" s="1010"/>
      <c r="E391" s="1010"/>
      <c r="F391" s="1010"/>
      <c r="G391" s="1010"/>
      <c r="H391" s="1010"/>
      <c r="I391" s="1010"/>
      <c r="J391" s="1010"/>
      <c r="K391" s="1010"/>
      <c r="L391" s="2095"/>
    </row>
    <row r="392" spans="1:12">
      <c r="A392" s="1010"/>
      <c r="B392" s="1010"/>
      <c r="C392" s="1010"/>
      <c r="D392" s="1010"/>
      <c r="E392" s="1010"/>
      <c r="F392" s="1010"/>
      <c r="G392" s="1010"/>
      <c r="H392" s="1010"/>
      <c r="I392" s="1010"/>
      <c r="J392" s="1010"/>
      <c r="K392" s="1010"/>
      <c r="L392" s="2095"/>
    </row>
    <row r="393" spans="1:12">
      <c r="A393" s="1010"/>
      <c r="B393" s="1010"/>
      <c r="C393" s="1010"/>
      <c r="D393" s="1010"/>
      <c r="E393" s="1010"/>
      <c r="F393" s="1010"/>
      <c r="G393" s="1010"/>
      <c r="H393" s="1010"/>
      <c r="I393" s="1010"/>
      <c r="J393" s="1010"/>
      <c r="K393" s="1010"/>
      <c r="L393" s="2095"/>
    </row>
    <row r="394" spans="1:12">
      <c r="A394" s="1010"/>
      <c r="B394" s="1010"/>
      <c r="C394" s="1010"/>
      <c r="D394" s="1010"/>
      <c r="E394" s="1010"/>
      <c r="F394" s="1010"/>
      <c r="G394" s="1010"/>
      <c r="H394" s="1010"/>
      <c r="I394" s="1010"/>
      <c r="J394" s="1010"/>
      <c r="K394" s="1010"/>
      <c r="L394" s="2095"/>
    </row>
    <row r="395" spans="1:12">
      <c r="A395" s="1010"/>
      <c r="B395" s="1010"/>
      <c r="C395" s="1010"/>
      <c r="D395" s="1010"/>
      <c r="E395" s="1010"/>
      <c r="F395" s="1010"/>
      <c r="G395" s="1010"/>
      <c r="H395" s="1010"/>
      <c r="I395" s="1010"/>
      <c r="J395" s="1010"/>
      <c r="K395" s="1010"/>
      <c r="L395" s="2095"/>
    </row>
    <row r="396" spans="1:12">
      <c r="A396" s="1010"/>
      <c r="B396" s="1010"/>
      <c r="C396" s="1010"/>
      <c r="D396" s="1010"/>
      <c r="E396" s="1010"/>
      <c r="F396" s="1010"/>
      <c r="G396" s="1010"/>
      <c r="H396" s="1010"/>
      <c r="I396" s="1010"/>
      <c r="J396" s="1010"/>
      <c r="K396" s="1010"/>
      <c r="L396" s="2095"/>
    </row>
    <row r="397" spans="1:12">
      <c r="A397" s="1010"/>
      <c r="B397" s="1010"/>
      <c r="C397" s="1010"/>
      <c r="D397" s="1010"/>
      <c r="E397" s="1010"/>
      <c r="F397" s="1010"/>
      <c r="G397" s="1010"/>
      <c r="H397" s="1010"/>
      <c r="I397" s="1010"/>
      <c r="J397" s="1010"/>
      <c r="K397" s="1010"/>
      <c r="L397" s="2095"/>
    </row>
    <row r="398" spans="1:12">
      <c r="A398" s="1010"/>
      <c r="B398" s="1010"/>
      <c r="C398" s="1010"/>
      <c r="D398" s="1010"/>
      <c r="E398" s="1010"/>
      <c r="F398" s="1010"/>
      <c r="G398" s="1010"/>
      <c r="H398" s="1010"/>
      <c r="I398" s="1010"/>
      <c r="J398" s="1010"/>
      <c r="K398" s="1010"/>
      <c r="L398" s="2095"/>
    </row>
    <row r="399" spans="1:12">
      <c r="A399" s="1010"/>
      <c r="B399" s="1010"/>
      <c r="C399" s="1010"/>
      <c r="D399" s="1010"/>
      <c r="E399" s="1010"/>
      <c r="F399" s="1010"/>
      <c r="G399" s="1010"/>
      <c r="H399" s="1010"/>
      <c r="I399" s="1010"/>
      <c r="J399" s="1010"/>
      <c r="K399" s="1010"/>
      <c r="L399" s="2095"/>
    </row>
    <row r="400" spans="1:12">
      <c r="A400" s="1010"/>
      <c r="B400" s="1010"/>
      <c r="C400" s="1010"/>
      <c r="D400" s="1010"/>
      <c r="E400" s="1010"/>
      <c r="F400" s="1010"/>
      <c r="G400" s="1010"/>
      <c r="H400" s="1010"/>
      <c r="I400" s="1010"/>
      <c r="J400" s="1010"/>
      <c r="K400" s="1010"/>
      <c r="L400" s="2095"/>
    </row>
    <row r="401" spans="1:12">
      <c r="A401" s="1010"/>
      <c r="B401" s="1010"/>
      <c r="C401" s="1010"/>
      <c r="D401" s="1010"/>
      <c r="E401" s="1010"/>
      <c r="F401" s="1010"/>
      <c r="G401" s="1010"/>
      <c r="H401" s="1010"/>
      <c r="I401" s="1010"/>
      <c r="J401" s="1010"/>
      <c r="K401" s="1010"/>
      <c r="L401" s="2095"/>
    </row>
    <row r="402" spans="1:12">
      <c r="A402" s="1010"/>
      <c r="B402" s="1010"/>
      <c r="C402" s="1010"/>
      <c r="D402" s="1010"/>
      <c r="E402" s="1010"/>
      <c r="F402" s="1010"/>
      <c r="G402" s="1010"/>
      <c r="H402" s="1010"/>
      <c r="I402" s="1010"/>
      <c r="J402" s="1010"/>
      <c r="K402" s="1010"/>
      <c r="L402" s="2095"/>
    </row>
    <row r="403" spans="1:12">
      <c r="A403" s="1010"/>
      <c r="B403" s="1010"/>
      <c r="C403" s="1010"/>
      <c r="D403" s="1010"/>
      <c r="E403" s="1010"/>
      <c r="F403" s="1010"/>
      <c r="G403" s="1010"/>
      <c r="H403" s="1010"/>
      <c r="I403" s="1010"/>
      <c r="J403" s="1010"/>
      <c r="K403" s="1010"/>
      <c r="L403" s="2095"/>
    </row>
    <row r="404" spans="1:12">
      <c r="A404" s="1010"/>
      <c r="B404" s="1010"/>
      <c r="C404" s="1010"/>
      <c r="D404" s="1010"/>
      <c r="E404" s="1010"/>
      <c r="F404" s="1010"/>
      <c r="G404" s="1010"/>
      <c r="H404" s="1010"/>
      <c r="I404" s="1010"/>
      <c r="J404" s="1010"/>
      <c r="K404" s="1010"/>
      <c r="L404" s="2095"/>
    </row>
    <row r="405" spans="1:12">
      <c r="A405" s="1010"/>
      <c r="B405" s="1010"/>
      <c r="C405" s="1010"/>
      <c r="D405" s="1010"/>
      <c r="E405" s="1010"/>
      <c r="F405" s="1010"/>
      <c r="G405" s="1010"/>
      <c r="H405" s="1010"/>
      <c r="I405" s="1010"/>
      <c r="J405" s="1010"/>
      <c r="K405" s="1010"/>
      <c r="L405" s="2095"/>
    </row>
    <row r="406" spans="1:12">
      <c r="A406" s="1010"/>
      <c r="B406" s="1010"/>
      <c r="C406" s="1010"/>
      <c r="D406" s="1010"/>
      <c r="E406" s="1010"/>
      <c r="F406" s="1010"/>
      <c r="G406" s="1010"/>
      <c r="H406" s="1010"/>
      <c r="I406" s="1010"/>
      <c r="J406" s="1010"/>
      <c r="K406" s="1010"/>
      <c r="L406" s="2095"/>
    </row>
    <row r="407" spans="1:12">
      <c r="A407" s="1010"/>
      <c r="B407" s="1010"/>
      <c r="C407" s="1010"/>
      <c r="D407" s="1010"/>
      <c r="E407" s="1010"/>
      <c r="F407" s="1010"/>
      <c r="G407" s="1010"/>
      <c r="H407" s="1010"/>
      <c r="I407" s="1010"/>
      <c r="J407" s="1010"/>
      <c r="K407" s="1010"/>
      <c r="L407" s="2095"/>
    </row>
    <row r="408" spans="1:12">
      <c r="A408" s="1010"/>
      <c r="B408" s="1010"/>
      <c r="C408" s="1010"/>
      <c r="D408" s="1010"/>
      <c r="E408" s="1010"/>
      <c r="F408" s="1010"/>
      <c r="G408" s="1010"/>
      <c r="H408" s="1010"/>
      <c r="I408" s="1010"/>
      <c r="J408" s="1010"/>
      <c r="K408" s="1010"/>
      <c r="L408" s="2095"/>
    </row>
    <row r="409" spans="1:12">
      <c r="A409" s="1010"/>
      <c r="B409" s="1010"/>
      <c r="C409" s="1010"/>
      <c r="D409" s="1010"/>
      <c r="E409" s="1010"/>
      <c r="F409" s="1010"/>
      <c r="G409" s="1010"/>
      <c r="H409" s="1010"/>
      <c r="I409" s="1010"/>
      <c r="J409" s="1010"/>
      <c r="K409" s="1010"/>
      <c r="L409" s="2095"/>
    </row>
    <row r="410" spans="1:12">
      <c r="A410" s="1010"/>
      <c r="B410" s="1010"/>
      <c r="C410" s="1010"/>
      <c r="D410" s="1010"/>
      <c r="E410" s="1010"/>
      <c r="F410" s="1010"/>
      <c r="G410" s="1010"/>
      <c r="H410" s="1010"/>
      <c r="I410" s="1010"/>
      <c r="J410" s="1010"/>
      <c r="K410" s="1010"/>
      <c r="L410" s="2095"/>
    </row>
    <row r="411" spans="1:12">
      <c r="A411" s="1010"/>
      <c r="B411" s="1010"/>
      <c r="C411" s="1010"/>
      <c r="D411" s="1010"/>
      <c r="E411" s="1010"/>
      <c r="F411" s="1010"/>
      <c r="G411" s="1010"/>
      <c r="H411" s="1010"/>
      <c r="I411" s="1010"/>
      <c r="J411" s="1010"/>
      <c r="K411" s="1010"/>
      <c r="L411" s="2095"/>
    </row>
    <row r="412" spans="1:12">
      <c r="A412" s="1010"/>
      <c r="B412" s="1010"/>
      <c r="C412" s="1010"/>
      <c r="D412" s="1010"/>
      <c r="E412" s="1010"/>
      <c r="F412" s="1010"/>
      <c r="G412" s="1010"/>
      <c r="H412" s="1010"/>
      <c r="I412" s="1010"/>
      <c r="J412" s="1010"/>
      <c r="K412" s="1010"/>
      <c r="L412" s="2095"/>
    </row>
    <row r="413" spans="1:12">
      <c r="A413" s="1010"/>
      <c r="B413" s="1010"/>
      <c r="C413" s="1010"/>
      <c r="D413" s="1010"/>
      <c r="E413" s="1010"/>
      <c r="F413" s="1010"/>
      <c r="G413" s="1010"/>
      <c r="H413" s="1010"/>
      <c r="I413" s="1010"/>
      <c r="J413" s="1010"/>
      <c r="K413" s="1010"/>
      <c r="L413" s="2095"/>
    </row>
    <row r="414" spans="1:12">
      <c r="A414" s="1010"/>
      <c r="B414" s="1010"/>
      <c r="C414" s="1010"/>
      <c r="D414" s="1010"/>
      <c r="E414" s="1010"/>
      <c r="F414" s="1010"/>
      <c r="G414" s="1010"/>
      <c r="H414" s="1010"/>
      <c r="I414" s="1010"/>
      <c r="J414" s="1010"/>
      <c r="K414" s="1010"/>
      <c r="L414" s="2095"/>
    </row>
    <row r="415" spans="1:12">
      <c r="A415" s="1010"/>
      <c r="B415" s="1010"/>
      <c r="C415" s="1010"/>
      <c r="D415" s="1010"/>
      <c r="E415" s="1010"/>
      <c r="F415" s="1010"/>
      <c r="G415" s="1010"/>
      <c r="H415" s="1010"/>
      <c r="I415" s="1010"/>
      <c r="J415" s="1010"/>
      <c r="K415" s="1010"/>
      <c r="L415" s="2095"/>
    </row>
    <row r="416" spans="1:12">
      <c r="A416" s="1010"/>
      <c r="B416" s="1010"/>
      <c r="C416" s="1010"/>
      <c r="D416" s="1010"/>
      <c r="E416" s="1010"/>
      <c r="F416" s="1010"/>
      <c r="G416" s="1010"/>
      <c r="H416" s="1010"/>
      <c r="I416" s="1010"/>
      <c r="J416" s="1010"/>
      <c r="K416" s="1010"/>
      <c r="L416" s="2095"/>
    </row>
    <row r="417" spans="1:12">
      <c r="A417" s="1010"/>
      <c r="B417" s="1010"/>
      <c r="C417" s="1010"/>
      <c r="D417" s="1010"/>
      <c r="E417" s="1010"/>
      <c r="F417" s="1010"/>
      <c r="G417" s="1010"/>
      <c r="H417" s="1010"/>
      <c r="I417" s="1010"/>
      <c r="J417" s="1010"/>
      <c r="K417" s="1010"/>
      <c r="L417" s="2095"/>
    </row>
    <row r="418" spans="1:12">
      <c r="A418" s="1010"/>
      <c r="B418" s="1010"/>
      <c r="C418" s="1010"/>
      <c r="D418" s="1010"/>
      <c r="E418" s="1010"/>
      <c r="F418" s="1010"/>
      <c r="G418" s="1010"/>
      <c r="H418" s="1010"/>
      <c r="I418" s="1010"/>
      <c r="J418" s="1010"/>
      <c r="K418" s="1010"/>
      <c r="L418" s="2095"/>
    </row>
    <row r="419" spans="1:12">
      <c r="A419" s="1010"/>
      <c r="B419" s="1010"/>
      <c r="C419" s="1010"/>
      <c r="D419" s="1010"/>
      <c r="E419" s="1010"/>
      <c r="F419" s="1010"/>
      <c r="G419" s="1010"/>
      <c r="H419" s="1010"/>
      <c r="I419" s="1010"/>
      <c r="J419" s="1010"/>
      <c r="K419" s="1010"/>
      <c r="L419" s="2095"/>
    </row>
    <row r="420" spans="1:12">
      <c r="A420" s="1010"/>
      <c r="B420" s="1010"/>
      <c r="C420" s="1010"/>
      <c r="D420" s="1010"/>
      <c r="E420" s="1010"/>
      <c r="F420" s="1010"/>
      <c r="G420" s="1010"/>
      <c r="H420" s="1010"/>
      <c r="I420" s="1010"/>
      <c r="J420" s="1010"/>
      <c r="K420" s="1010"/>
      <c r="L420" s="2095"/>
    </row>
    <row r="421" spans="1:12">
      <c r="A421" s="1010"/>
      <c r="B421" s="1010"/>
      <c r="C421" s="1010"/>
      <c r="D421" s="1010"/>
      <c r="E421" s="1010"/>
      <c r="F421" s="1010"/>
      <c r="G421" s="1010"/>
      <c r="H421" s="1010"/>
      <c r="I421" s="1010"/>
      <c r="J421" s="1010"/>
      <c r="K421" s="1010"/>
      <c r="L421" s="2095"/>
    </row>
    <row r="422" spans="1:12">
      <c r="A422" s="1010"/>
      <c r="B422" s="1010"/>
      <c r="C422" s="1010"/>
      <c r="D422" s="1010"/>
      <c r="E422" s="1010"/>
      <c r="F422" s="1010"/>
      <c r="G422" s="1010"/>
      <c r="H422" s="1010"/>
      <c r="I422" s="1010"/>
      <c r="J422" s="1010"/>
      <c r="K422" s="1010"/>
      <c r="L422" s="2095"/>
    </row>
    <row r="423" spans="1:12">
      <c r="A423" s="1010"/>
      <c r="B423" s="1010"/>
      <c r="C423" s="1010"/>
      <c r="D423" s="1010"/>
      <c r="E423" s="1010"/>
      <c r="F423" s="1010"/>
      <c r="G423" s="1010"/>
      <c r="H423" s="1010"/>
      <c r="I423" s="1010"/>
      <c r="J423" s="1010"/>
      <c r="K423" s="1010"/>
      <c r="L423" s="2095"/>
    </row>
    <row r="424" spans="1:12">
      <c r="A424" s="1010"/>
      <c r="B424" s="1010"/>
      <c r="C424" s="1010"/>
      <c r="D424" s="1010"/>
      <c r="E424" s="1010"/>
      <c r="F424" s="1010"/>
      <c r="G424" s="1010"/>
      <c r="H424" s="1010"/>
      <c r="I424" s="1010"/>
      <c r="J424" s="1010"/>
      <c r="K424" s="1010"/>
      <c r="L424" s="2095"/>
    </row>
    <row r="425" spans="1:12">
      <c r="A425" s="1010"/>
      <c r="B425" s="1010"/>
      <c r="C425" s="1010"/>
      <c r="D425" s="1010"/>
      <c r="E425" s="1010"/>
      <c r="F425" s="1010"/>
      <c r="G425" s="1010"/>
      <c r="H425" s="1010"/>
      <c r="I425" s="1010"/>
      <c r="J425" s="1010"/>
      <c r="K425" s="1010"/>
      <c r="L425" s="2095"/>
    </row>
    <row r="426" spans="1:12">
      <c r="A426" s="1010"/>
      <c r="B426" s="1010"/>
      <c r="C426" s="1010"/>
      <c r="D426" s="1010"/>
      <c r="E426" s="1010"/>
      <c r="F426" s="1010"/>
      <c r="G426" s="1010"/>
      <c r="H426" s="1010"/>
      <c r="I426" s="1010"/>
      <c r="J426" s="1010"/>
      <c r="K426" s="1010"/>
      <c r="L426" s="2095"/>
    </row>
    <row r="427" spans="1:12">
      <c r="A427" s="1010"/>
      <c r="B427" s="1010"/>
      <c r="C427" s="1010"/>
      <c r="D427" s="1010"/>
      <c r="E427" s="1010"/>
      <c r="F427" s="1010"/>
      <c r="G427" s="1010"/>
      <c r="H427" s="1010"/>
      <c r="I427" s="1010"/>
      <c r="J427" s="1010"/>
      <c r="K427" s="1010"/>
      <c r="L427" s="2095"/>
    </row>
    <row r="428" spans="1:12">
      <c r="A428" s="1010"/>
      <c r="B428" s="1010"/>
      <c r="C428" s="1010"/>
      <c r="D428" s="1010"/>
      <c r="E428" s="1010"/>
      <c r="F428" s="1010"/>
      <c r="G428" s="1010"/>
      <c r="H428" s="1010"/>
      <c r="I428" s="1010"/>
      <c r="J428" s="1010"/>
      <c r="K428" s="1010"/>
      <c r="L428" s="2095"/>
    </row>
    <row r="429" spans="1:12">
      <c r="A429" s="1010"/>
      <c r="B429" s="1010"/>
      <c r="C429" s="1010"/>
      <c r="D429" s="1010"/>
      <c r="E429" s="1010"/>
      <c r="F429" s="1010"/>
      <c r="G429" s="1010"/>
      <c r="H429" s="1010"/>
      <c r="I429" s="1010"/>
      <c r="J429" s="1010"/>
      <c r="K429" s="1010"/>
      <c r="L429" s="2095"/>
    </row>
    <row r="430" spans="1:12">
      <c r="A430" s="1010"/>
      <c r="B430" s="1010"/>
      <c r="C430" s="1010"/>
      <c r="D430" s="1010"/>
      <c r="E430" s="1010"/>
      <c r="F430" s="1010"/>
      <c r="G430" s="1010"/>
      <c r="H430" s="1010"/>
      <c r="I430" s="1010"/>
      <c r="J430" s="1010"/>
      <c r="K430" s="1010"/>
      <c r="L430" s="2095"/>
    </row>
    <row r="431" spans="1:12">
      <c r="A431" s="1010"/>
      <c r="B431" s="1010"/>
      <c r="C431" s="1010"/>
      <c r="D431" s="1010"/>
      <c r="E431" s="1010"/>
      <c r="F431" s="1010"/>
      <c r="G431" s="1010"/>
      <c r="H431" s="1010"/>
      <c r="I431" s="1010"/>
      <c r="J431" s="1010"/>
      <c r="K431" s="1010"/>
      <c r="L431" s="2095"/>
    </row>
    <row r="432" spans="1:12">
      <c r="A432" s="1010"/>
      <c r="B432" s="1010"/>
      <c r="C432" s="1010"/>
      <c r="D432" s="1010"/>
      <c r="E432" s="1010"/>
      <c r="F432" s="1010"/>
      <c r="G432" s="1010"/>
      <c r="H432" s="1010"/>
      <c r="I432" s="1010"/>
      <c r="J432" s="1010"/>
      <c r="K432" s="1010"/>
      <c r="L432" s="2095"/>
    </row>
    <row r="433" spans="1:12">
      <c r="A433" s="1010"/>
      <c r="B433" s="1010"/>
      <c r="C433" s="1010"/>
      <c r="D433" s="1010"/>
      <c r="E433" s="1010"/>
      <c r="F433" s="1010"/>
      <c r="G433" s="1010"/>
      <c r="H433" s="1010"/>
      <c r="I433" s="1010"/>
      <c r="J433" s="1010"/>
      <c r="K433" s="1010"/>
      <c r="L433" s="2095"/>
    </row>
    <row r="434" spans="1:12">
      <c r="A434" s="1010"/>
      <c r="B434" s="1010"/>
      <c r="C434" s="1010"/>
      <c r="D434" s="1010"/>
      <c r="E434" s="1010"/>
      <c r="F434" s="1010"/>
      <c r="G434" s="1010"/>
      <c r="H434" s="1010"/>
      <c r="I434" s="1010"/>
      <c r="J434" s="1010"/>
      <c r="K434" s="1010"/>
      <c r="L434" s="2095"/>
    </row>
    <row r="435" spans="1:12">
      <c r="A435" s="1010"/>
      <c r="B435" s="1010"/>
      <c r="C435" s="1010"/>
      <c r="D435" s="1010"/>
      <c r="E435" s="1010"/>
      <c r="F435" s="1010"/>
      <c r="G435" s="1010"/>
      <c r="H435" s="1010"/>
      <c r="I435" s="1010"/>
      <c r="J435" s="1010"/>
      <c r="K435" s="1010"/>
      <c r="L435" s="2095"/>
    </row>
    <row r="436" spans="1:12">
      <c r="A436" s="1010"/>
      <c r="B436" s="1010"/>
      <c r="C436" s="1010"/>
      <c r="D436" s="1010"/>
      <c r="E436" s="1010"/>
      <c r="F436" s="1010"/>
      <c r="G436" s="1010"/>
      <c r="H436" s="1010"/>
      <c r="I436" s="1010"/>
      <c r="J436" s="1010"/>
      <c r="K436" s="1010"/>
      <c r="L436" s="2095"/>
    </row>
    <row r="437" spans="1:12">
      <c r="A437" s="1010"/>
      <c r="B437" s="1010"/>
      <c r="C437" s="1010"/>
      <c r="D437" s="1010"/>
      <c r="E437" s="1010"/>
      <c r="F437" s="1010"/>
      <c r="G437" s="1010"/>
      <c r="H437" s="1010"/>
      <c r="I437" s="1010"/>
      <c r="J437" s="1010"/>
      <c r="K437" s="1010"/>
      <c r="L437" s="2095"/>
    </row>
    <row r="438" spans="1:12">
      <c r="A438" s="1010"/>
      <c r="B438" s="1010"/>
      <c r="C438" s="1010"/>
      <c r="D438" s="1010"/>
      <c r="E438" s="1010"/>
      <c r="F438" s="1010"/>
      <c r="G438" s="1010"/>
      <c r="H438" s="1010"/>
      <c r="I438" s="1010"/>
      <c r="J438" s="1010"/>
      <c r="K438" s="1010"/>
      <c r="L438" s="2095"/>
    </row>
    <row r="439" spans="1:12">
      <c r="A439" s="1010"/>
      <c r="B439" s="1010"/>
      <c r="C439" s="1010"/>
      <c r="D439" s="1010"/>
      <c r="E439" s="1010"/>
      <c r="F439" s="1010"/>
      <c r="G439" s="1010"/>
      <c r="H439" s="1010"/>
      <c r="I439" s="1010"/>
      <c r="J439" s="1010"/>
      <c r="K439" s="1010"/>
      <c r="L439" s="2095"/>
    </row>
    <row r="440" spans="1:12">
      <c r="A440" s="1010"/>
      <c r="B440" s="1010"/>
      <c r="C440" s="1010"/>
      <c r="D440" s="1010"/>
      <c r="E440" s="1010"/>
      <c r="F440" s="1010"/>
      <c r="G440" s="1010"/>
      <c r="H440" s="1010"/>
      <c r="I440" s="1010"/>
      <c r="J440" s="1010"/>
      <c r="K440" s="1010"/>
      <c r="L440" s="2095"/>
    </row>
    <row r="441" spans="1:12">
      <c r="A441" s="1010"/>
      <c r="B441" s="1010"/>
      <c r="C441" s="1010"/>
      <c r="D441" s="1010"/>
      <c r="E441" s="1010"/>
      <c r="F441" s="1010"/>
      <c r="G441" s="1010"/>
      <c r="H441" s="1010"/>
      <c r="I441" s="1010"/>
      <c r="J441" s="1010"/>
      <c r="K441" s="1010"/>
      <c r="L441" s="2095"/>
    </row>
    <row r="442" spans="1:12">
      <c r="A442" s="1010"/>
      <c r="B442" s="1010"/>
      <c r="C442" s="1010"/>
      <c r="D442" s="1010"/>
      <c r="E442" s="1010"/>
      <c r="F442" s="1010"/>
      <c r="G442" s="1010"/>
      <c r="H442" s="1010"/>
      <c r="I442" s="1010"/>
      <c r="J442" s="1010"/>
      <c r="K442" s="1010"/>
      <c r="L442" s="2095"/>
    </row>
    <row r="443" spans="1:12">
      <c r="A443" s="1010"/>
      <c r="B443" s="1010"/>
      <c r="C443" s="1010"/>
      <c r="D443" s="1010"/>
      <c r="E443" s="1010"/>
      <c r="F443" s="1010"/>
      <c r="G443" s="1010"/>
      <c r="H443" s="1010"/>
      <c r="I443" s="1010"/>
      <c r="J443" s="1010"/>
      <c r="K443" s="1010"/>
      <c r="L443" s="2095"/>
    </row>
    <row r="444" spans="1:12">
      <c r="A444" s="1010"/>
      <c r="B444" s="1010"/>
      <c r="C444" s="1010"/>
      <c r="D444" s="1010"/>
      <c r="E444" s="1010"/>
      <c r="F444" s="1010"/>
      <c r="G444" s="1010"/>
      <c r="H444" s="1010"/>
      <c r="I444" s="1010"/>
      <c r="J444" s="1010"/>
      <c r="K444" s="1010"/>
      <c r="L444" s="2095"/>
    </row>
    <row r="445" spans="1:12">
      <c r="A445" s="1010"/>
      <c r="B445" s="1010"/>
      <c r="C445" s="1010"/>
      <c r="D445" s="1010"/>
      <c r="E445" s="1010"/>
      <c r="F445" s="1010"/>
      <c r="G445" s="1010"/>
      <c r="H445" s="1010"/>
      <c r="I445" s="1010"/>
      <c r="J445" s="1010"/>
      <c r="K445" s="1010"/>
      <c r="L445" s="2095"/>
    </row>
    <row r="446" spans="1:12">
      <c r="A446" s="1010"/>
      <c r="B446" s="1010"/>
      <c r="C446" s="1010"/>
      <c r="D446" s="1010"/>
      <c r="E446" s="1010"/>
      <c r="F446" s="1010"/>
      <c r="G446" s="1010"/>
      <c r="H446" s="1010"/>
      <c r="I446" s="1010"/>
      <c r="J446" s="1010"/>
      <c r="K446" s="1010"/>
      <c r="L446" s="2095"/>
    </row>
    <row r="447" spans="1:12">
      <c r="A447" s="1010"/>
      <c r="B447" s="1010"/>
      <c r="C447" s="1010"/>
      <c r="D447" s="1010"/>
      <c r="E447" s="1010"/>
      <c r="F447" s="1010"/>
      <c r="G447" s="1010"/>
      <c r="H447" s="1010"/>
      <c r="I447" s="1010"/>
      <c r="J447" s="1010"/>
      <c r="K447" s="1010"/>
      <c r="L447" s="2095"/>
    </row>
    <row r="448" spans="1:12">
      <c r="A448" s="1010"/>
      <c r="B448" s="1010"/>
      <c r="C448" s="1010"/>
      <c r="D448" s="1010"/>
      <c r="E448" s="1010"/>
      <c r="F448" s="1010"/>
      <c r="G448" s="1010"/>
      <c r="H448" s="1010"/>
      <c r="I448" s="1010"/>
      <c r="J448" s="1010"/>
      <c r="K448" s="1010"/>
      <c r="L448" s="2095"/>
    </row>
    <row r="449" spans="1:12">
      <c r="A449" s="1010"/>
      <c r="B449" s="1010"/>
      <c r="C449" s="1010"/>
      <c r="D449" s="1010"/>
      <c r="E449" s="1010"/>
      <c r="F449" s="1010"/>
      <c r="G449" s="1010"/>
      <c r="H449" s="1010"/>
      <c r="I449" s="1010"/>
      <c r="J449" s="1010"/>
      <c r="K449" s="1010"/>
      <c r="L449" s="2095"/>
    </row>
    <row r="450" spans="1:12">
      <c r="A450" s="1010"/>
      <c r="B450" s="1010"/>
      <c r="C450" s="1010"/>
      <c r="D450" s="1010"/>
      <c r="E450" s="1010"/>
      <c r="F450" s="1010"/>
      <c r="G450" s="1010"/>
      <c r="H450" s="1010"/>
      <c r="I450" s="1010"/>
      <c r="J450" s="1010"/>
      <c r="K450" s="1010"/>
      <c r="L450" s="2095"/>
    </row>
    <row r="451" spans="1:12">
      <c r="A451" s="1010"/>
      <c r="B451" s="1010"/>
      <c r="C451" s="1010"/>
      <c r="D451" s="1010"/>
      <c r="E451" s="1010"/>
      <c r="F451" s="1010"/>
      <c r="G451" s="1010"/>
      <c r="H451" s="1010"/>
      <c r="I451" s="1010"/>
      <c r="J451" s="1010"/>
      <c r="K451" s="1010"/>
      <c r="L451" s="2095"/>
    </row>
    <row r="452" spans="1:12">
      <c r="A452" s="1010"/>
      <c r="B452" s="1010"/>
      <c r="C452" s="1010"/>
      <c r="D452" s="1010"/>
      <c r="E452" s="1010"/>
      <c r="F452" s="1010"/>
      <c r="G452" s="1010"/>
      <c r="H452" s="1010"/>
      <c r="I452" s="1010"/>
      <c r="J452" s="1010"/>
      <c r="K452" s="1010"/>
      <c r="L452" s="2095"/>
    </row>
    <row r="453" spans="1:12">
      <c r="A453" s="1010"/>
      <c r="B453" s="1010"/>
      <c r="C453" s="1010"/>
      <c r="D453" s="1010"/>
      <c r="E453" s="1010"/>
      <c r="F453" s="1010"/>
      <c r="G453" s="1010"/>
      <c r="H453" s="1010"/>
      <c r="I453" s="1010"/>
      <c r="J453" s="1010"/>
      <c r="K453" s="1010"/>
      <c r="L453" s="2095"/>
    </row>
    <row r="454" spans="1:12">
      <c r="A454" s="1010"/>
      <c r="B454" s="1010"/>
      <c r="C454" s="1010"/>
      <c r="D454" s="1010"/>
      <c r="E454" s="1010"/>
      <c r="F454" s="1010"/>
      <c r="G454" s="1010"/>
      <c r="H454" s="1010"/>
      <c r="I454" s="1010"/>
      <c r="J454" s="1010"/>
      <c r="K454" s="1010"/>
      <c r="L454" s="2095"/>
    </row>
    <row r="455" spans="1:12">
      <c r="A455" s="1010"/>
      <c r="B455" s="1010"/>
      <c r="C455" s="1010"/>
      <c r="D455" s="1010"/>
      <c r="E455" s="1010"/>
      <c r="F455" s="1010"/>
      <c r="G455" s="1010"/>
      <c r="H455" s="1010"/>
      <c r="I455" s="1010"/>
      <c r="J455" s="1010"/>
      <c r="K455" s="1010"/>
      <c r="L455" s="2095"/>
    </row>
    <row r="456" spans="1:12">
      <c r="A456" s="1010"/>
      <c r="B456" s="1010"/>
      <c r="C456" s="1010"/>
      <c r="D456" s="1010"/>
      <c r="E456" s="1010"/>
      <c r="F456" s="1010"/>
      <c r="G456" s="1010"/>
      <c r="H456" s="1010"/>
      <c r="I456" s="1010"/>
      <c r="J456" s="1010"/>
      <c r="K456" s="1010"/>
      <c r="L456" s="2095"/>
    </row>
    <row r="457" spans="1:12">
      <c r="A457" s="1010"/>
      <c r="B457" s="1010"/>
      <c r="C457" s="1010"/>
      <c r="D457" s="1010"/>
      <c r="E457" s="1010"/>
      <c r="F457" s="1010"/>
      <c r="G457" s="1010"/>
      <c r="H457" s="1010"/>
      <c r="I457" s="1010"/>
      <c r="J457" s="1010"/>
      <c r="K457" s="1010"/>
      <c r="L457" s="2095"/>
    </row>
    <row r="458" spans="1:12">
      <c r="A458" s="1010"/>
      <c r="B458" s="1010"/>
      <c r="C458" s="1010"/>
      <c r="D458" s="1010"/>
      <c r="E458" s="1010"/>
      <c r="F458" s="1010"/>
      <c r="G458" s="1010"/>
      <c r="H458" s="1010"/>
      <c r="I458" s="1010"/>
      <c r="J458" s="1010"/>
      <c r="K458" s="1010"/>
      <c r="L458" s="2095"/>
    </row>
    <row r="459" spans="1:12">
      <c r="A459" s="1010"/>
      <c r="B459" s="1010"/>
      <c r="C459" s="1010"/>
      <c r="D459" s="1010"/>
      <c r="E459" s="1010"/>
      <c r="F459" s="1010"/>
      <c r="G459" s="1010"/>
      <c r="H459" s="1010"/>
      <c r="I459" s="1010"/>
      <c r="J459" s="1010"/>
      <c r="K459" s="1010"/>
      <c r="L459" s="2095"/>
    </row>
    <row r="460" spans="1:12">
      <c r="A460" s="1010"/>
      <c r="B460" s="1010"/>
      <c r="C460" s="1010"/>
      <c r="D460" s="1010"/>
      <c r="E460" s="1010"/>
      <c r="F460" s="1010"/>
      <c r="G460" s="1010"/>
      <c r="H460" s="1010"/>
      <c r="I460" s="1010"/>
      <c r="J460" s="1010"/>
      <c r="K460" s="1010"/>
      <c r="L460" s="2095"/>
    </row>
    <row r="461" spans="1:12">
      <c r="A461" s="1010"/>
      <c r="B461" s="1010"/>
      <c r="C461" s="1010"/>
      <c r="D461" s="1010"/>
      <c r="E461" s="1010"/>
      <c r="F461" s="1010"/>
      <c r="G461" s="1010"/>
      <c r="H461" s="1010"/>
      <c r="I461" s="1010"/>
      <c r="J461" s="1010"/>
      <c r="K461" s="1010"/>
      <c r="L461" s="2095"/>
    </row>
    <row r="462" spans="1:12">
      <c r="A462" s="1010"/>
      <c r="B462" s="1010"/>
      <c r="C462" s="1010"/>
      <c r="D462" s="1010"/>
      <c r="E462" s="1010"/>
      <c r="F462" s="1010"/>
      <c r="G462" s="1010"/>
      <c r="H462" s="1010"/>
      <c r="I462" s="1010"/>
      <c r="J462" s="1010"/>
      <c r="K462" s="1010"/>
      <c r="L462" s="2095"/>
    </row>
    <row r="463" spans="1:12">
      <c r="A463" s="1010"/>
      <c r="B463" s="1010"/>
      <c r="C463" s="1010"/>
      <c r="D463" s="1010"/>
      <c r="E463" s="1010"/>
      <c r="F463" s="1010"/>
      <c r="G463" s="1010"/>
      <c r="H463" s="1010"/>
      <c r="I463" s="1010"/>
      <c r="J463" s="1010"/>
      <c r="K463" s="1010"/>
      <c r="L463" s="2095"/>
    </row>
    <row r="464" spans="1:12">
      <c r="A464" s="1010"/>
      <c r="B464" s="1010"/>
      <c r="C464" s="1010"/>
      <c r="D464" s="1010"/>
      <c r="E464" s="1010"/>
      <c r="F464" s="1010"/>
      <c r="G464" s="1010"/>
      <c r="H464" s="1010"/>
      <c r="I464" s="1010"/>
      <c r="J464" s="1010"/>
      <c r="K464" s="1010"/>
      <c r="L464" s="2095"/>
    </row>
    <row r="465" spans="1:12">
      <c r="A465" s="1010"/>
      <c r="B465" s="1010"/>
      <c r="C465" s="1010"/>
      <c r="D465" s="1010"/>
      <c r="E465" s="1010"/>
      <c r="F465" s="1010"/>
      <c r="G465" s="1010"/>
      <c r="H465" s="1010"/>
      <c r="I465" s="1010"/>
      <c r="J465" s="1010"/>
      <c r="K465" s="1010"/>
      <c r="L465" s="2095"/>
    </row>
    <row r="466" spans="1:12">
      <c r="A466" s="1010"/>
      <c r="B466" s="1010"/>
      <c r="C466" s="1010"/>
      <c r="D466" s="1010"/>
      <c r="E466" s="1010"/>
      <c r="F466" s="1010"/>
      <c r="G466" s="1010"/>
      <c r="H466" s="1010"/>
      <c r="I466" s="1010"/>
      <c r="J466" s="1010"/>
      <c r="K466" s="1010"/>
      <c r="L466" s="2095"/>
    </row>
    <row r="467" spans="1:12">
      <c r="A467" s="1010"/>
      <c r="B467" s="1010"/>
      <c r="C467" s="1010"/>
      <c r="D467" s="1010"/>
      <c r="E467" s="1010"/>
      <c r="F467" s="1010"/>
      <c r="G467" s="1010"/>
      <c r="H467" s="1010"/>
      <c r="I467" s="1010"/>
      <c r="J467" s="1010"/>
      <c r="K467" s="1010"/>
      <c r="L467" s="2095"/>
    </row>
    <row r="468" spans="1:12">
      <c r="A468" s="1010"/>
      <c r="B468" s="1010"/>
      <c r="C468" s="1010"/>
      <c r="D468" s="1010"/>
      <c r="E468" s="1010"/>
      <c r="F468" s="1010"/>
      <c r="G468" s="1010"/>
      <c r="H468" s="1010"/>
      <c r="I468" s="1010"/>
      <c r="J468" s="1010"/>
      <c r="K468" s="1010"/>
      <c r="L468" s="2095"/>
    </row>
    <row r="469" spans="1:12">
      <c r="A469" s="1010"/>
      <c r="B469" s="1010"/>
      <c r="C469" s="1010"/>
      <c r="D469" s="1010"/>
      <c r="E469" s="1010"/>
      <c r="F469" s="1010"/>
      <c r="G469" s="1010"/>
      <c r="H469" s="1010"/>
      <c r="I469" s="1010"/>
      <c r="J469" s="1010"/>
      <c r="K469" s="1010"/>
      <c r="L469" s="2095"/>
    </row>
    <row r="470" spans="1:12">
      <c r="A470" s="1010"/>
      <c r="B470" s="1010"/>
      <c r="C470" s="1010"/>
      <c r="D470" s="1010"/>
      <c r="E470" s="1010"/>
      <c r="F470" s="1010"/>
      <c r="G470" s="1010"/>
      <c r="H470" s="1010"/>
      <c r="I470" s="1010"/>
      <c r="J470" s="1010"/>
      <c r="K470" s="1010"/>
      <c r="L470" s="2095"/>
    </row>
    <row r="471" spans="1:12">
      <c r="A471" s="1010"/>
      <c r="B471" s="1010"/>
      <c r="C471" s="1010"/>
      <c r="D471" s="1010"/>
      <c r="E471" s="1010"/>
      <c r="F471" s="1010"/>
      <c r="G471" s="1010"/>
      <c r="H471" s="1010"/>
      <c r="I471" s="1010"/>
      <c r="J471" s="1010"/>
      <c r="K471" s="1010"/>
      <c r="L471" s="2095"/>
    </row>
    <row r="472" spans="1:12">
      <c r="A472" s="1010"/>
      <c r="B472" s="1010"/>
      <c r="C472" s="1010"/>
      <c r="D472" s="1010"/>
      <c r="E472" s="1010"/>
      <c r="F472" s="1010"/>
      <c r="G472" s="1010"/>
      <c r="H472" s="1010"/>
      <c r="I472" s="1010"/>
      <c r="J472" s="1010"/>
      <c r="K472" s="1010"/>
      <c r="L472" s="2095"/>
    </row>
    <row r="473" spans="1:12">
      <c r="A473" s="1010"/>
      <c r="B473" s="1010"/>
      <c r="C473" s="1010"/>
      <c r="D473" s="1010"/>
      <c r="E473" s="1010"/>
      <c r="F473" s="1010"/>
      <c r="G473" s="1010"/>
      <c r="H473" s="1010"/>
      <c r="I473" s="1010"/>
      <c r="J473" s="1010"/>
      <c r="K473" s="1010"/>
      <c r="L473" s="2095"/>
    </row>
    <row r="474" spans="1:12">
      <c r="A474" s="1010"/>
      <c r="B474" s="1010"/>
      <c r="C474" s="1010"/>
      <c r="D474" s="1010"/>
      <c r="E474" s="1010"/>
      <c r="F474" s="1010"/>
      <c r="G474" s="1010"/>
      <c r="H474" s="1010"/>
      <c r="I474" s="1010"/>
      <c r="J474" s="1010"/>
      <c r="K474" s="1010"/>
      <c r="L474" s="2095"/>
    </row>
    <row r="475" spans="1:12">
      <c r="A475" s="1010"/>
      <c r="B475" s="1010"/>
      <c r="C475" s="1010"/>
      <c r="D475" s="1010"/>
      <c r="E475" s="1010"/>
      <c r="F475" s="1010"/>
      <c r="G475" s="1010"/>
      <c r="H475" s="1010"/>
      <c r="I475" s="1010"/>
      <c r="J475" s="1010"/>
      <c r="K475" s="1010"/>
      <c r="L475" s="2095"/>
    </row>
    <row r="476" spans="1:12">
      <c r="A476" s="1010"/>
      <c r="B476" s="1010"/>
      <c r="C476" s="1010"/>
      <c r="D476" s="1010"/>
      <c r="E476" s="1010"/>
      <c r="F476" s="1010"/>
      <c r="G476" s="1010"/>
      <c r="H476" s="1010"/>
      <c r="I476" s="1010"/>
      <c r="J476" s="1010"/>
      <c r="K476" s="1010"/>
      <c r="L476" s="2095"/>
    </row>
    <row r="477" spans="1:12">
      <c r="A477" s="1010"/>
      <c r="B477" s="1010"/>
      <c r="C477" s="1010"/>
      <c r="D477" s="1010"/>
      <c r="E477" s="1010"/>
      <c r="F477" s="1010"/>
      <c r="G477" s="1010"/>
      <c r="H477" s="1010"/>
      <c r="I477" s="1010"/>
      <c r="J477" s="1010"/>
      <c r="K477" s="1010"/>
      <c r="L477" s="2095"/>
    </row>
    <row r="478" spans="1:12">
      <c r="A478" s="1010"/>
      <c r="B478" s="1010"/>
      <c r="C478" s="1010"/>
      <c r="D478" s="1010"/>
      <c r="E478" s="1010"/>
      <c r="F478" s="1010"/>
      <c r="G478" s="1010"/>
      <c r="H478" s="1010"/>
      <c r="I478" s="1010"/>
      <c r="J478" s="1010"/>
      <c r="K478" s="1010"/>
      <c r="L478" s="2095"/>
    </row>
    <row r="479" spans="1:12">
      <c r="A479" s="1010"/>
      <c r="B479" s="1010"/>
      <c r="C479" s="1010"/>
      <c r="D479" s="1010"/>
      <c r="E479" s="1010"/>
      <c r="F479" s="1010"/>
      <c r="G479" s="1010"/>
      <c r="H479" s="1010"/>
      <c r="I479" s="1010"/>
      <c r="J479" s="1010"/>
      <c r="K479" s="1010"/>
      <c r="L479" s="2095"/>
    </row>
    <row r="480" spans="1:12">
      <c r="A480" s="1010"/>
      <c r="B480" s="1010"/>
      <c r="C480" s="1010"/>
      <c r="D480" s="1010"/>
      <c r="E480" s="1010"/>
      <c r="F480" s="1010"/>
      <c r="G480" s="1010"/>
      <c r="H480" s="1010"/>
      <c r="I480" s="1010"/>
      <c r="J480" s="1010"/>
      <c r="K480" s="1010"/>
      <c r="L480" s="2095"/>
    </row>
    <row r="481" spans="1:12">
      <c r="A481" s="1010"/>
      <c r="B481" s="1010"/>
      <c r="C481" s="1010"/>
      <c r="D481" s="1010"/>
      <c r="E481" s="1010"/>
      <c r="F481" s="1010"/>
      <c r="G481" s="1010"/>
      <c r="H481" s="1010"/>
      <c r="I481" s="1010"/>
      <c r="J481" s="1010"/>
      <c r="K481" s="1010"/>
      <c r="L481" s="2095"/>
    </row>
    <row r="482" spans="1:12">
      <c r="A482" s="1010"/>
      <c r="B482" s="1010"/>
      <c r="C482" s="1010"/>
      <c r="D482" s="1010"/>
      <c r="E482" s="1010"/>
      <c r="F482" s="1010"/>
      <c r="G482" s="1010"/>
      <c r="H482" s="1010"/>
      <c r="I482" s="1010"/>
      <c r="J482" s="1010"/>
      <c r="K482" s="1010"/>
      <c r="L482" s="2095"/>
    </row>
    <row r="483" spans="1:12">
      <c r="A483" s="1010"/>
      <c r="B483" s="1010"/>
      <c r="C483" s="1010"/>
      <c r="D483" s="1010"/>
      <c r="E483" s="1010"/>
      <c r="F483" s="1010"/>
      <c r="G483" s="1010"/>
      <c r="H483" s="1010"/>
      <c r="I483" s="1010"/>
      <c r="J483" s="1010"/>
      <c r="K483" s="1010"/>
      <c r="L483" s="2095"/>
    </row>
    <row r="484" spans="1:12">
      <c r="A484" s="1010"/>
      <c r="B484" s="1010"/>
      <c r="C484" s="1010"/>
      <c r="D484" s="1010"/>
      <c r="E484" s="1010"/>
      <c r="F484" s="1010"/>
      <c r="G484" s="1010"/>
      <c r="H484" s="1010"/>
      <c r="I484" s="1010"/>
      <c r="J484" s="1010"/>
      <c r="K484" s="1010"/>
      <c r="L484" s="2095"/>
    </row>
    <row r="485" spans="1:12">
      <c r="A485" s="1010"/>
      <c r="B485" s="1010"/>
      <c r="C485" s="1010"/>
      <c r="D485" s="1010"/>
      <c r="E485" s="1010"/>
      <c r="F485" s="1010"/>
      <c r="G485" s="1010"/>
      <c r="H485" s="1010"/>
      <c r="I485" s="1010"/>
      <c r="J485" s="1010"/>
      <c r="K485" s="1010"/>
      <c r="L485" s="2095"/>
    </row>
    <row r="486" spans="1:12">
      <c r="A486" s="1010"/>
      <c r="B486" s="1010"/>
      <c r="C486" s="1010"/>
      <c r="D486" s="1010"/>
      <c r="E486" s="1010"/>
      <c r="F486" s="1010"/>
      <c r="G486" s="1010"/>
      <c r="H486" s="1010"/>
      <c r="I486" s="1010"/>
      <c r="J486" s="1010"/>
      <c r="K486" s="1010"/>
      <c r="L486" s="2095"/>
    </row>
    <row r="487" spans="1:12">
      <c r="A487" s="1010"/>
      <c r="B487" s="1010"/>
      <c r="C487" s="1010"/>
      <c r="D487" s="1010"/>
      <c r="E487" s="1010"/>
      <c r="F487" s="1010"/>
      <c r="G487" s="1010"/>
      <c r="H487" s="1010"/>
      <c r="I487" s="1010"/>
      <c r="J487" s="1010"/>
      <c r="K487" s="1010"/>
      <c r="L487" s="2095"/>
    </row>
    <row r="488" spans="1:12">
      <c r="A488" s="1010"/>
      <c r="B488" s="1010"/>
      <c r="C488" s="1010"/>
      <c r="D488" s="1010"/>
      <c r="E488" s="1010"/>
      <c r="F488" s="1010"/>
      <c r="G488" s="1010"/>
      <c r="H488" s="1010"/>
      <c r="I488" s="1010"/>
      <c r="J488" s="1010"/>
      <c r="K488" s="1010"/>
      <c r="L488" s="2095"/>
    </row>
    <row r="489" spans="1:12">
      <c r="A489" s="1010"/>
      <c r="B489" s="1010"/>
      <c r="C489" s="1010"/>
      <c r="D489" s="1010"/>
      <c r="E489" s="1010"/>
      <c r="F489" s="1010"/>
      <c r="G489" s="1010"/>
      <c r="H489" s="1010"/>
      <c r="I489" s="1010"/>
      <c r="J489" s="1010"/>
      <c r="K489" s="1010"/>
      <c r="L489" s="2095"/>
    </row>
    <row r="490" spans="1:12">
      <c r="A490" s="1010"/>
      <c r="B490" s="1010"/>
      <c r="C490" s="1010"/>
      <c r="D490" s="1010"/>
      <c r="E490" s="1010"/>
      <c r="F490" s="1010"/>
      <c r="G490" s="1010"/>
      <c r="H490" s="1010"/>
      <c r="I490" s="1010"/>
      <c r="J490" s="1010"/>
      <c r="K490" s="1010"/>
      <c r="L490" s="2095"/>
    </row>
    <row r="491" spans="1:12">
      <c r="A491" s="1010"/>
      <c r="B491" s="1010"/>
      <c r="C491" s="1010"/>
      <c r="D491" s="1010"/>
      <c r="E491" s="1010"/>
      <c r="F491" s="1010"/>
      <c r="G491" s="1010"/>
      <c r="H491" s="1010"/>
      <c r="I491" s="1010"/>
      <c r="J491" s="1010"/>
      <c r="K491" s="1010"/>
      <c r="L491" s="2095"/>
    </row>
    <row r="492" spans="1:12">
      <c r="A492" s="1010"/>
      <c r="B492" s="1010"/>
      <c r="C492" s="1010"/>
      <c r="D492" s="1010"/>
      <c r="E492" s="1010"/>
      <c r="F492" s="1010"/>
      <c r="G492" s="1010"/>
      <c r="H492" s="1010"/>
      <c r="I492" s="1010"/>
      <c r="J492" s="1010"/>
      <c r="K492" s="1010"/>
      <c r="L492" s="2095"/>
    </row>
    <row r="493" spans="1:12">
      <c r="A493" s="1010"/>
      <c r="B493" s="1010"/>
      <c r="C493" s="1010"/>
      <c r="D493" s="1010"/>
      <c r="E493" s="1010"/>
      <c r="F493" s="1010"/>
      <c r="G493" s="1010"/>
      <c r="H493" s="1010"/>
      <c r="I493" s="1010"/>
      <c r="J493" s="1010"/>
      <c r="K493" s="1010"/>
      <c r="L493" s="2095"/>
    </row>
    <row r="494" spans="1:12">
      <c r="A494" s="1010"/>
      <c r="B494" s="1010"/>
      <c r="C494" s="1010"/>
      <c r="D494" s="1010"/>
      <c r="E494" s="1010"/>
      <c r="F494" s="1010"/>
      <c r="G494" s="1010"/>
      <c r="H494" s="1010"/>
      <c r="I494" s="1010"/>
      <c r="J494" s="1010"/>
      <c r="K494" s="1010"/>
      <c r="L494" s="2095"/>
    </row>
    <row r="495" spans="1:12">
      <c r="A495" s="1010"/>
      <c r="B495" s="1010"/>
      <c r="C495" s="1010"/>
      <c r="D495" s="1010"/>
      <c r="E495" s="1010"/>
      <c r="F495" s="1010"/>
      <c r="G495" s="1010"/>
      <c r="H495" s="1010"/>
      <c r="I495" s="1010"/>
      <c r="J495" s="1010"/>
      <c r="K495" s="1010"/>
      <c r="L495" s="2095"/>
    </row>
    <row r="496" spans="1:12">
      <c r="A496" s="1010"/>
      <c r="B496" s="1010"/>
      <c r="C496" s="1010"/>
      <c r="D496" s="1010"/>
      <c r="E496" s="1010"/>
      <c r="F496" s="1010"/>
      <c r="G496" s="1010"/>
      <c r="H496" s="1010"/>
      <c r="I496" s="1010"/>
      <c r="J496" s="1010"/>
      <c r="K496" s="1010"/>
      <c r="L496" s="2095"/>
    </row>
    <row r="497" spans="1:12">
      <c r="A497" s="1010"/>
      <c r="B497" s="1010"/>
      <c r="C497" s="1010"/>
      <c r="D497" s="1010"/>
      <c r="E497" s="1010"/>
      <c r="F497" s="1010"/>
      <c r="G497" s="1010"/>
      <c r="H497" s="1010"/>
      <c r="I497" s="1010"/>
      <c r="J497" s="1010"/>
      <c r="K497" s="1010"/>
      <c r="L497" s="2095"/>
    </row>
    <row r="498" spans="1:12">
      <c r="A498" s="1010"/>
      <c r="B498" s="1010"/>
      <c r="C498" s="1010"/>
      <c r="D498" s="1010"/>
      <c r="E498" s="1010"/>
      <c r="F498" s="1010"/>
      <c r="G498" s="1010"/>
      <c r="H498" s="1010"/>
      <c r="I498" s="1010"/>
      <c r="J498" s="1010"/>
      <c r="K498" s="1010"/>
      <c r="L498" s="2095"/>
    </row>
    <row r="499" spans="1:12">
      <c r="A499" s="1010"/>
      <c r="B499" s="1010"/>
      <c r="C499" s="1010"/>
      <c r="D499" s="1010"/>
      <c r="E499" s="1010"/>
      <c r="F499" s="1010"/>
      <c r="G499" s="1010"/>
      <c r="H499" s="1010"/>
      <c r="I499" s="1010"/>
      <c r="J499" s="1010"/>
      <c r="K499" s="1010"/>
      <c r="L499" s="2095"/>
    </row>
    <row r="500" spans="1:12">
      <c r="A500" s="1010"/>
      <c r="B500" s="1010"/>
      <c r="C500" s="1010"/>
      <c r="D500" s="1010"/>
      <c r="E500" s="1010"/>
      <c r="F500" s="1010"/>
      <c r="G500" s="1010"/>
      <c r="H500" s="1010"/>
      <c r="I500" s="1010"/>
      <c r="J500" s="1010"/>
      <c r="K500" s="1010"/>
      <c r="L500" s="2095"/>
    </row>
    <row r="501" spans="1:12">
      <c r="A501" s="1010"/>
      <c r="B501" s="1010"/>
      <c r="C501" s="1010"/>
      <c r="D501" s="1010"/>
      <c r="E501" s="1010"/>
      <c r="F501" s="1010"/>
      <c r="G501" s="1010"/>
      <c r="H501" s="1010"/>
      <c r="I501" s="1010"/>
      <c r="J501" s="1010"/>
      <c r="K501" s="1010"/>
      <c r="L501" s="2095"/>
    </row>
    <row r="502" spans="1:12">
      <c r="A502" s="1010"/>
      <c r="B502" s="1010"/>
      <c r="C502" s="1010"/>
      <c r="D502" s="1010"/>
      <c r="E502" s="1010"/>
      <c r="F502" s="1010"/>
      <c r="G502" s="1010"/>
      <c r="H502" s="1010"/>
      <c r="I502" s="1010"/>
      <c r="J502" s="1010"/>
      <c r="K502" s="1010"/>
      <c r="L502" s="2095"/>
    </row>
    <row r="503" spans="1:12">
      <c r="A503" s="1010"/>
      <c r="B503" s="1010"/>
      <c r="C503" s="1010"/>
      <c r="D503" s="1010"/>
      <c r="E503" s="1010"/>
      <c r="F503" s="1010"/>
      <c r="G503" s="1010"/>
      <c r="H503" s="1010"/>
      <c r="I503" s="1010"/>
      <c r="J503" s="1010"/>
      <c r="K503" s="1010"/>
      <c r="L503" s="2095"/>
    </row>
    <row r="504" spans="1:12">
      <c r="A504" s="1010"/>
      <c r="B504" s="1010"/>
      <c r="C504" s="1010"/>
      <c r="D504" s="1010"/>
      <c r="E504" s="1010"/>
      <c r="F504" s="1010"/>
      <c r="G504" s="1010"/>
      <c r="H504" s="1010"/>
      <c r="I504" s="1010"/>
      <c r="J504" s="1010"/>
      <c r="K504" s="1010"/>
      <c r="L504" s="2095"/>
    </row>
    <row r="505" spans="1:12">
      <c r="A505" s="1010"/>
      <c r="B505" s="1010"/>
      <c r="C505" s="1010"/>
      <c r="D505" s="1010"/>
      <c r="E505" s="1010"/>
      <c r="F505" s="1010"/>
      <c r="G505" s="1010"/>
      <c r="H505" s="1010"/>
      <c r="I505" s="1010"/>
      <c r="J505" s="1010"/>
      <c r="K505" s="1010"/>
      <c r="L505" s="2095"/>
    </row>
    <row r="506" spans="1:12">
      <c r="A506" s="1010"/>
      <c r="B506" s="1010"/>
      <c r="C506" s="1010"/>
      <c r="D506" s="1010"/>
      <c r="E506" s="1010"/>
      <c r="F506" s="1010"/>
      <c r="G506" s="1010"/>
      <c r="H506" s="1010"/>
      <c r="I506" s="1010"/>
      <c r="J506" s="1010"/>
      <c r="K506" s="1010"/>
      <c r="L506" s="2095"/>
    </row>
    <row r="507" spans="1:12">
      <c r="A507" s="1010"/>
      <c r="B507" s="1010"/>
      <c r="C507" s="1010"/>
      <c r="D507" s="1010"/>
      <c r="E507" s="1010"/>
      <c r="F507" s="1010"/>
      <c r="G507" s="1010"/>
      <c r="H507" s="1010"/>
      <c r="I507" s="1010"/>
      <c r="J507" s="1010"/>
      <c r="K507" s="1010"/>
      <c r="L507" s="2095"/>
    </row>
    <row r="508" spans="1:12">
      <c r="A508" s="1010"/>
      <c r="B508" s="1010"/>
      <c r="C508" s="1010"/>
      <c r="D508" s="1010"/>
      <c r="E508" s="1010"/>
      <c r="F508" s="1010"/>
      <c r="G508" s="1010"/>
      <c r="H508" s="1010"/>
      <c r="I508" s="1010"/>
      <c r="J508" s="1010"/>
      <c r="K508" s="1010"/>
      <c r="L508" s="2095"/>
    </row>
    <row r="509" spans="1:12">
      <c r="A509" s="1010"/>
      <c r="B509" s="1010"/>
      <c r="C509" s="1010"/>
      <c r="D509" s="1010"/>
      <c r="E509" s="1010"/>
      <c r="F509" s="1010"/>
      <c r="G509" s="1010"/>
      <c r="H509" s="1010"/>
      <c r="I509" s="1010"/>
      <c r="J509" s="1010"/>
      <c r="K509" s="1010"/>
      <c r="L509" s="2095"/>
    </row>
    <row r="510" spans="1:12">
      <c r="A510" s="1010"/>
      <c r="B510" s="1010"/>
      <c r="C510" s="1010"/>
      <c r="D510" s="1010"/>
      <c r="E510" s="1010"/>
      <c r="F510" s="1010"/>
      <c r="G510" s="1010"/>
      <c r="H510" s="1010"/>
      <c r="I510" s="1010"/>
      <c r="J510" s="1010"/>
      <c r="K510" s="1010"/>
      <c r="L510" s="2095"/>
    </row>
    <row r="511" spans="1:12">
      <c r="A511" s="1010"/>
      <c r="B511" s="1010"/>
      <c r="C511" s="1010"/>
      <c r="D511" s="1010"/>
      <c r="E511" s="1010"/>
      <c r="F511" s="1010"/>
      <c r="G511" s="1010"/>
      <c r="H511" s="1010"/>
      <c r="I511" s="1010"/>
      <c r="J511" s="1010"/>
      <c r="K511" s="1010"/>
      <c r="L511" s="2095"/>
    </row>
    <row r="512" spans="1:12">
      <c r="A512" s="1010"/>
      <c r="B512" s="1010"/>
      <c r="C512" s="1010"/>
      <c r="D512" s="1010"/>
      <c r="E512" s="1010"/>
      <c r="F512" s="1010"/>
      <c r="G512" s="1010"/>
      <c r="H512" s="1010"/>
      <c r="I512" s="1010"/>
      <c r="J512" s="1010"/>
      <c r="K512" s="1010"/>
      <c r="L512" s="2095"/>
    </row>
    <row r="513" spans="1:12">
      <c r="A513" s="1010"/>
      <c r="B513" s="1010"/>
      <c r="C513" s="1010"/>
      <c r="D513" s="1010"/>
      <c r="E513" s="1010"/>
      <c r="F513" s="1010"/>
      <c r="G513" s="1010"/>
      <c r="H513" s="1010"/>
      <c r="I513" s="1010"/>
      <c r="J513" s="1010"/>
      <c r="K513" s="1010"/>
      <c r="L513" s="2095"/>
    </row>
    <row r="514" spans="1:12">
      <c r="A514" s="1010"/>
      <c r="B514" s="1010"/>
      <c r="C514" s="1010"/>
      <c r="D514" s="1010"/>
      <c r="E514" s="1010"/>
      <c r="F514" s="1010"/>
      <c r="G514" s="1010"/>
      <c r="H514" s="1010"/>
      <c r="I514" s="1010"/>
      <c r="J514" s="1010"/>
      <c r="K514" s="1010"/>
      <c r="L514" s="2095"/>
    </row>
    <row r="515" spans="1:12">
      <c r="A515" s="1010"/>
      <c r="B515" s="1010"/>
      <c r="C515" s="1010"/>
      <c r="D515" s="1010"/>
      <c r="E515" s="1010"/>
      <c r="F515" s="1010"/>
      <c r="G515" s="1010"/>
      <c r="H515" s="1010"/>
      <c r="I515" s="1010"/>
      <c r="J515" s="1010"/>
      <c r="K515" s="1010"/>
      <c r="L515" s="2095"/>
    </row>
    <row r="516" spans="1:12">
      <c r="A516" s="1010"/>
      <c r="B516" s="1010"/>
      <c r="C516" s="1010"/>
      <c r="D516" s="1010"/>
      <c r="E516" s="1010"/>
      <c r="F516" s="1010"/>
      <c r="G516" s="1010"/>
      <c r="H516" s="1010"/>
      <c r="I516" s="1010"/>
      <c r="J516" s="1010"/>
      <c r="K516" s="1010"/>
      <c r="L516" s="2095"/>
    </row>
    <row r="517" spans="1:12">
      <c r="A517" s="1010"/>
      <c r="B517" s="1010"/>
      <c r="C517" s="1010"/>
      <c r="D517" s="1010"/>
      <c r="E517" s="1010"/>
      <c r="F517" s="1010"/>
      <c r="G517" s="1010"/>
      <c r="H517" s="1010"/>
      <c r="I517" s="1010"/>
      <c r="J517" s="1010"/>
      <c r="K517" s="1010"/>
      <c r="L517" s="2095"/>
    </row>
    <row r="518" spans="1:12">
      <c r="A518" s="1010"/>
      <c r="B518" s="1010"/>
      <c r="C518" s="1010"/>
      <c r="D518" s="1010"/>
      <c r="E518" s="1010"/>
      <c r="F518" s="1010"/>
      <c r="G518" s="1010"/>
      <c r="H518" s="1010"/>
      <c r="I518" s="1010"/>
      <c r="J518" s="1010"/>
      <c r="K518" s="1010"/>
      <c r="L518" s="2095"/>
    </row>
    <row r="519" spans="1:12">
      <c r="A519" s="1010"/>
      <c r="B519" s="1010"/>
      <c r="C519" s="1010"/>
      <c r="D519" s="1010"/>
      <c r="E519" s="1010"/>
      <c r="F519" s="1010"/>
      <c r="G519" s="1010"/>
      <c r="H519" s="1010"/>
      <c r="I519" s="1010"/>
      <c r="J519" s="1010"/>
      <c r="K519" s="1010"/>
      <c r="L519" s="2095"/>
    </row>
    <row r="520" spans="1:12">
      <c r="A520" s="1010"/>
      <c r="B520" s="1010"/>
      <c r="C520" s="1010"/>
      <c r="D520" s="1010"/>
      <c r="E520" s="1010"/>
      <c r="F520" s="1010"/>
      <c r="G520" s="1010"/>
      <c r="H520" s="1010"/>
      <c r="I520" s="1010"/>
      <c r="J520" s="1010"/>
      <c r="K520" s="1010"/>
      <c r="L520" s="2095"/>
    </row>
    <row r="521" spans="1:12">
      <c r="A521" s="1010"/>
      <c r="B521" s="1010"/>
      <c r="C521" s="1010"/>
      <c r="D521" s="1010"/>
      <c r="E521" s="1010"/>
      <c r="F521" s="1010"/>
      <c r="G521" s="1010"/>
      <c r="H521" s="1010"/>
      <c r="I521" s="1010"/>
      <c r="J521" s="1010"/>
      <c r="K521" s="1010"/>
      <c r="L521" s="2095"/>
    </row>
    <row r="522" spans="1:12">
      <c r="A522" s="1010"/>
      <c r="B522" s="1010"/>
      <c r="C522" s="1010"/>
      <c r="D522" s="1010"/>
      <c r="E522" s="1010"/>
      <c r="F522" s="1010"/>
      <c r="G522" s="1010"/>
      <c r="H522" s="1010"/>
      <c r="I522" s="1010"/>
      <c r="J522" s="1010"/>
      <c r="K522" s="1010"/>
      <c r="L522" s="2095"/>
    </row>
    <row r="523" spans="1:12">
      <c r="A523" s="1010"/>
      <c r="B523" s="1010"/>
      <c r="C523" s="1010"/>
      <c r="D523" s="1010"/>
      <c r="E523" s="1010"/>
      <c r="F523" s="1010"/>
      <c r="G523" s="1010"/>
      <c r="H523" s="1010"/>
      <c r="I523" s="1010"/>
      <c r="J523" s="1010"/>
      <c r="K523" s="1010"/>
      <c r="L523" s="2095"/>
    </row>
    <row r="524" spans="1:12">
      <c r="A524" s="1010"/>
      <c r="B524" s="1010"/>
      <c r="C524" s="1010"/>
      <c r="D524" s="1010"/>
      <c r="E524" s="1010"/>
      <c r="F524" s="1010"/>
      <c r="G524" s="1010"/>
      <c r="H524" s="1010"/>
      <c r="I524" s="1010"/>
      <c r="J524" s="1010"/>
      <c r="K524" s="1010"/>
      <c r="L524" s="2095"/>
    </row>
    <row r="525" spans="1:12">
      <c r="A525" s="1010"/>
      <c r="B525" s="1010"/>
      <c r="C525" s="1010"/>
      <c r="D525" s="1010"/>
      <c r="E525" s="1010"/>
      <c r="F525" s="1010"/>
      <c r="G525" s="1010"/>
      <c r="H525" s="1010"/>
      <c r="I525" s="1010"/>
      <c r="J525" s="1010"/>
      <c r="K525" s="1010"/>
      <c r="L525" s="2095"/>
    </row>
    <row r="526" spans="1:12">
      <c r="A526" s="1010"/>
      <c r="B526" s="1010"/>
      <c r="C526" s="1010"/>
      <c r="D526" s="1010"/>
      <c r="E526" s="1010"/>
      <c r="F526" s="1010"/>
      <c r="G526" s="1010"/>
      <c r="H526" s="1010"/>
      <c r="I526" s="1010"/>
      <c r="J526" s="1010"/>
      <c r="K526" s="1010"/>
      <c r="L526" s="2095"/>
    </row>
    <row r="527" spans="1:12">
      <c r="A527" s="1010"/>
      <c r="B527" s="1010"/>
      <c r="C527" s="1010"/>
      <c r="D527" s="1010"/>
      <c r="E527" s="1010"/>
      <c r="F527" s="1010"/>
      <c r="G527" s="1010"/>
      <c r="H527" s="1010"/>
      <c r="I527" s="1010"/>
      <c r="J527" s="1010"/>
      <c r="K527" s="1010"/>
      <c r="L527" s="2095"/>
    </row>
    <row r="528" spans="1:12">
      <c r="A528" s="1010"/>
      <c r="B528" s="1010"/>
      <c r="C528" s="1010"/>
      <c r="D528" s="1010"/>
      <c r="E528" s="1010"/>
      <c r="F528" s="1010"/>
      <c r="G528" s="1010"/>
      <c r="H528" s="1010"/>
      <c r="I528" s="1010"/>
      <c r="J528" s="1010"/>
      <c r="K528" s="1010"/>
      <c r="L528" s="2095"/>
    </row>
    <row r="529" spans="1:12">
      <c r="A529" s="1010"/>
      <c r="B529" s="1010"/>
      <c r="C529" s="1010"/>
      <c r="D529" s="1010"/>
      <c r="E529" s="1010"/>
      <c r="F529" s="1010"/>
      <c r="G529" s="1010"/>
      <c r="H529" s="1010"/>
      <c r="I529" s="1010"/>
      <c r="J529" s="1010"/>
      <c r="K529" s="1010"/>
      <c r="L529" s="2095"/>
    </row>
    <row r="530" spans="1:12">
      <c r="A530" s="1010"/>
      <c r="B530" s="1010"/>
      <c r="C530" s="1010"/>
      <c r="D530" s="1010"/>
      <c r="E530" s="1010"/>
      <c r="F530" s="1010"/>
      <c r="G530" s="1010"/>
      <c r="H530" s="1010"/>
      <c r="I530" s="1010"/>
      <c r="J530" s="1010"/>
      <c r="K530" s="1010"/>
      <c r="L530" s="2095"/>
    </row>
    <row r="531" spans="1:12">
      <c r="A531" s="1010"/>
      <c r="B531" s="1010"/>
      <c r="C531" s="1010"/>
      <c r="D531" s="1010"/>
      <c r="E531" s="1010"/>
      <c r="F531" s="1010"/>
      <c r="G531" s="1010"/>
      <c r="H531" s="1010"/>
      <c r="I531" s="1010"/>
      <c r="J531" s="1010"/>
      <c r="K531" s="1010"/>
      <c r="L531" s="2095"/>
    </row>
    <row r="532" spans="1:12">
      <c r="A532" s="1010"/>
      <c r="B532" s="1010"/>
      <c r="C532" s="1010"/>
      <c r="D532" s="1010"/>
      <c r="E532" s="1010"/>
      <c r="F532" s="1010"/>
      <c r="G532" s="1010"/>
      <c r="H532" s="1010"/>
      <c r="I532" s="1010"/>
      <c r="J532" s="1010"/>
      <c r="K532" s="1010"/>
      <c r="L532" s="2095"/>
    </row>
    <row r="533" spans="1:12">
      <c r="A533" s="1010"/>
      <c r="B533" s="1010"/>
      <c r="C533" s="1010"/>
      <c r="D533" s="1010"/>
      <c r="E533" s="1010"/>
      <c r="F533" s="1010"/>
      <c r="G533" s="1010"/>
      <c r="H533" s="1010"/>
      <c r="I533" s="1010"/>
      <c r="J533" s="1010"/>
      <c r="K533" s="1010"/>
      <c r="L533" s="2095"/>
    </row>
    <row r="534" spans="1:12">
      <c r="A534" s="1010"/>
      <c r="B534" s="1010"/>
      <c r="C534" s="1010"/>
      <c r="D534" s="1010"/>
      <c r="E534" s="1010"/>
      <c r="F534" s="1010"/>
      <c r="G534" s="1010"/>
      <c r="H534" s="1010"/>
      <c r="I534" s="1010"/>
      <c r="J534" s="1010"/>
      <c r="K534" s="1010"/>
      <c r="L534" s="2095"/>
    </row>
    <row r="535" spans="1:12">
      <c r="A535" s="1010"/>
      <c r="B535" s="1010"/>
      <c r="C535" s="1010"/>
      <c r="D535" s="1010"/>
      <c r="E535" s="1010"/>
      <c r="F535" s="1010"/>
      <c r="G535" s="1010"/>
      <c r="H535" s="1010"/>
      <c r="I535" s="1010"/>
      <c r="J535" s="1010"/>
      <c r="K535" s="1010"/>
      <c r="L535" s="2095"/>
    </row>
    <row r="536" spans="1:12">
      <c r="A536" s="1010"/>
      <c r="B536" s="1010"/>
      <c r="C536" s="1010"/>
      <c r="D536" s="1010"/>
      <c r="E536" s="1010"/>
      <c r="F536" s="1010"/>
      <c r="G536" s="1010"/>
      <c r="H536" s="1010"/>
      <c r="I536" s="1010"/>
      <c r="J536" s="1010"/>
      <c r="K536" s="1010"/>
      <c r="L536" s="2095"/>
    </row>
    <row r="537" spans="1:12">
      <c r="A537" s="1010"/>
      <c r="B537" s="1010"/>
      <c r="C537" s="1010"/>
      <c r="D537" s="1010"/>
      <c r="E537" s="1010"/>
      <c r="F537" s="1010"/>
      <c r="G537" s="1010"/>
      <c r="H537" s="1010"/>
      <c r="I537" s="1010"/>
      <c r="J537" s="1010"/>
      <c r="K537" s="1010"/>
      <c r="L537" s="2095"/>
    </row>
    <row r="538" spans="1:12">
      <c r="A538" s="1010"/>
      <c r="B538" s="1010"/>
      <c r="C538" s="1010"/>
      <c r="D538" s="1010"/>
      <c r="E538" s="1010"/>
      <c r="F538" s="1010"/>
      <c r="G538" s="1010"/>
      <c r="H538" s="1010"/>
      <c r="I538" s="1010"/>
      <c r="J538" s="1010"/>
      <c r="K538" s="1010"/>
      <c r="L538" s="2095"/>
    </row>
    <row r="539" spans="1:12">
      <c r="A539" s="1010"/>
      <c r="B539" s="1010"/>
      <c r="C539" s="1010"/>
      <c r="D539" s="1010"/>
      <c r="E539" s="1010"/>
      <c r="F539" s="1010"/>
      <c r="G539" s="1010"/>
      <c r="H539" s="1010"/>
      <c r="I539" s="1010"/>
      <c r="J539" s="1010"/>
      <c r="K539" s="1010"/>
      <c r="L539" s="2095"/>
    </row>
    <row r="540" spans="1:12">
      <c r="A540" s="1010"/>
      <c r="B540" s="1010"/>
      <c r="C540" s="1010"/>
      <c r="D540" s="1010"/>
      <c r="E540" s="1010"/>
      <c r="F540" s="1010"/>
      <c r="G540" s="1010"/>
      <c r="H540" s="1010"/>
      <c r="I540" s="1010"/>
      <c r="J540" s="1010"/>
      <c r="K540" s="1010"/>
      <c r="L540" s="2095"/>
    </row>
    <row r="541" spans="1:12">
      <c r="A541" s="1010"/>
      <c r="B541" s="1010"/>
      <c r="C541" s="1010"/>
      <c r="D541" s="1010"/>
      <c r="E541" s="1010"/>
      <c r="F541" s="1010"/>
      <c r="G541" s="1010"/>
      <c r="H541" s="1010"/>
      <c r="I541" s="1010"/>
      <c r="J541" s="1010"/>
      <c r="K541" s="1010"/>
      <c r="L541" s="2095"/>
    </row>
    <row r="542" spans="1:12">
      <c r="A542" s="1010"/>
      <c r="B542" s="1010"/>
      <c r="C542" s="1010"/>
      <c r="D542" s="1010"/>
      <c r="E542" s="1010"/>
      <c r="F542" s="1010"/>
      <c r="G542" s="1010"/>
      <c r="H542" s="1010"/>
      <c r="I542" s="1010"/>
      <c r="J542" s="1010"/>
      <c r="K542" s="1010"/>
      <c r="L542" s="2095"/>
    </row>
    <row r="543" spans="1:12">
      <c r="A543" s="1010"/>
      <c r="B543" s="1010"/>
      <c r="C543" s="1010"/>
      <c r="D543" s="1010"/>
      <c r="E543" s="1010"/>
      <c r="F543" s="1010"/>
      <c r="G543" s="1010"/>
      <c r="H543" s="1010"/>
      <c r="I543" s="1010"/>
      <c r="J543" s="1010"/>
      <c r="K543" s="1010"/>
      <c r="L543" s="2095"/>
    </row>
    <row r="544" spans="1:12">
      <c r="A544" s="1010"/>
      <c r="B544" s="1010"/>
      <c r="C544" s="1010"/>
      <c r="D544" s="1010"/>
      <c r="E544" s="1010"/>
      <c r="F544" s="1010"/>
      <c r="G544" s="1010"/>
      <c r="H544" s="1010"/>
      <c r="I544" s="1010"/>
      <c r="J544" s="1010"/>
      <c r="K544" s="1010"/>
      <c r="L544" s="2095"/>
    </row>
    <row r="545" spans="1:12">
      <c r="A545" s="1010"/>
      <c r="B545" s="1010"/>
      <c r="C545" s="1010"/>
      <c r="D545" s="1010"/>
      <c r="E545" s="1010"/>
      <c r="F545" s="1010"/>
      <c r="G545" s="1010"/>
      <c r="H545" s="1010"/>
      <c r="I545" s="1010"/>
      <c r="J545" s="1010"/>
      <c r="K545" s="1010"/>
      <c r="L545" s="2095"/>
    </row>
    <row r="546" spans="1:12">
      <c r="A546" s="1010"/>
      <c r="B546" s="1010"/>
      <c r="C546" s="1010"/>
      <c r="D546" s="1010"/>
      <c r="E546" s="1010"/>
      <c r="F546" s="1010"/>
      <c r="G546" s="1010"/>
      <c r="H546" s="1010"/>
      <c r="I546" s="1010"/>
      <c r="J546" s="1010"/>
      <c r="K546" s="1010"/>
      <c r="L546" s="2095"/>
    </row>
    <row r="547" spans="1:12">
      <c r="A547" s="1010"/>
      <c r="B547" s="1010"/>
      <c r="C547" s="1010"/>
      <c r="D547" s="1010"/>
      <c r="E547" s="1010"/>
      <c r="F547" s="1010"/>
      <c r="G547" s="1010"/>
      <c r="H547" s="1010"/>
      <c r="I547" s="1010"/>
      <c r="J547" s="1010"/>
      <c r="K547" s="1010"/>
      <c r="L547" s="2095"/>
    </row>
    <row r="548" spans="1:12">
      <c r="A548" s="1010"/>
      <c r="B548" s="1010"/>
      <c r="C548" s="1010"/>
      <c r="D548" s="1010"/>
      <c r="E548" s="1010"/>
      <c r="F548" s="1010"/>
      <c r="G548" s="1010"/>
      <c r="H548" s="1010"/>
      <c r="I548" s="1010"/>
      <c r="J548" s="1010"/>
      <c r="K548" s="1010"/>
      <c r="L548" s="2095"/>
    </row>
    <row r="549" spans="1:12">
      <c r="A549" s="1010"/>
      <c r="B549" s="1010"/>
      <c r="C549" s="1010"/>
      <c r="D549" s="1010"/>
      <c r="E549" s="1010"/>
      <c r="F549" s="1010"/>
      <c r="G549" s="1010"/>
      <c r="H549" s="1010"/>
      <c r="I549" s="1010"/>
      <c r="J549" s="1010"/>
      <c r="K549" s="1010"/>
      <c r="L549" s="2095"/>
    </row>
    <row r="550" spans="1:12">
      <c r="A550" s="1010"/>
      <c r="B550" s="1010"/>
      <c r="C550" s="1010"/>
      <c r="D550" s="1010"/>
      <c r="E550" s="1010"/>
      <c r="F550" s="1010"/>
      <c r="G550" s="1010"/>
      <c r="H550" s="1010"/>
      <c r="I550" s="1010"/>
      <c r="J550" s="1010"/>
      <c r="K550" s="1010"/>
      <c r="L550" s="2095"/>
    </row>
    <row r="551" spans="1:12">
      <c r="A551" s="1010"/>
      <c r="B551" s="1010"/>
      <c r="C551" s="1010"/>
      <c r="D551" s="1010"/>
      <c r="E551" s="1010"/>
      <c r="F551" s="1010"/>
      <c r="G551" s="1010"/>
      <c r="H551" s="1010"/>
      <c r="I551" s="1010"/>
      <c r="J551" s="1010"/>
      <c r="K551" s="1010"/>
      <c r="L551" s="2095"/>
    </row>
    <row r="552" spans="1:12">
      <c r="A552" s="1010"/>
      <c r="B552" s="1010"/>
      <c r="C552" s="1010"/>
      <c r="D552" s="1010"/>
      <c r="E552" s="1010"/>
      <c r="F552" s="1010"/>
      <c r="G552" s="1010"/>
      <c r="H552" s="1010"/>
      <c r="I552" s="1010"/>
      <c r="J552" s="1010"/>
      <c r="K552" s="1010"/>
      <c r="L552" s="2095"/>
    </row>
    <row r="553" spans="1:12">
      <c r="A553" s="1010"/>
      <c r="B553" s="1010"/>
      <c r="C553" s="1010"/>
      <c r="D553" s="1010"/>
      <c r="E553" s="1010"/>
      <c r="F553" s="1010"/>
      <c r="G553" s="1010"/>
      <c r="H553" s="1010"/>
      <c r="I553" s="1010"/>
      <c r="J553" s="1010"/>
      <c r="K553" s="1010"/>
      <c r="L553" s="2095"/>
    </row>
    <row r="554" spans="1:12">
      <c r="A554" s="1010"/>
      <c r="B554" s="1010"/>
      <c r="C554" s="1010"/>
      <c r="D554" s="1010"/>
      <c r="E554" s="1010"/>
      <c r="F554" s="1010"/>
      <c r="G554" s="1010"/>
      <c r="H554" s="1010"/>
      <c r="I554" s="1010"/>
      <c r="J554" s="1010"/>
      <c r="K554" s="1010"/>
      <c r="L554" s="2095"/>
    </row>
    <row r="555" spans="1:12">
      <c r="A555" s="1010"/>
      <c r="B555" s="1010"/>
      <c r="C555" s="1010"/>
      <c r="D555" s="1010"/>
      <c r="E555" s="1010"/>
      <c r="F555" s="1010"/>
      <c r="G555" s="1010"/>
      <c r="H555" s="1010"/>
      <c r="I555" s="1010"/>
      <c r="J555" s="1010"/>
      <c r="K555" s="1010"/>
      <c r="L555" s="2095"/>
    </row>
    <row r="556" spans="1:12">
      <c r="A556" s="1010"/>
      <c r="B556" s="1010"/>
      <c r="C556" s="1010"/>
      <c r="D556" s="1010"/>
      <c r="E556" s="1010"/>
      <c r="F556" s="1010"/>
      <c r="G556" s="1010"/>
      <c r="H556" s="1010"/>
      <c r="I556" s="1010"/>
      <c r="J556" s="1010"/>
      <c r="K556" s="1010"/>
      <c r="L556" s="2095"/>
    </row>
    <row r="557" spans="1:12">
      <c r="A557" s="1010"/>
      <c r="B557" s="1010"/>
      <c r="C557" s="1010"/>
      <c r="D557" s="1010"/>
      <c r="E557" s="1010"/>
      <c r="F557" s="1010"/>
      <c r="G557" s="1010"/>
      <c r="H557" s="1010"/>
      <c r="I557" s="1010"/>
      <c r="J557" s="1010"/>
      <c r="K557" s="1010"/>
      <c r="L557" s="2095"/>
    </row>
    <row r="558" spans="1:12">
      <c r="A558" s="1010"/>
      <c r="B558" s="1010"/>
      <c r="C558" s="1010"/>
      <c r="D558" s="1010"/>
      <c r="E558" s="1010"/>
      <c r="F558" s="1010"/>
      <c r="G558" s="1010"/>
      <c r="H558" s="1010"/>
      <c r="I558" s="1010"/>
      <c r="J558" s="1010"/>
      <c r="K558" s="1010"/>
      <c r="L558" s="2095"/>
    </row>
    <row r="559" spans="1:12">
      <c r="A559" s="1010"/>
      <c r="B559" s="1010"/>
      <c r="C559" s="1010"/>
      <c r="D559" s="1010"/>
      <c r="E559" s="1010"/>
      <c r="F559" s="1010"/>
      <c r="G559" s="1010"/>
      <c r="H559" s="1010"/>
      <c r="I559" s="1010"/>
      <c r="J559" s="1010"/>
      <c r="K559" s="1010"/>
      <c r="L559" s="2095"/>
    </row>
    <row r="560" spans="1:12">
      <c r="A560" s="1010"/>
      <c r="B560" s="1010"/>
      <c r="C560" s="1010"/>
      <c r="D560" s="1010"/>
      <c r="E560" s="1010"/>
      <c r="F560" s="1010"/>
      <c r="G560" s="1010"/>
      <c r="H560" s="1010"/>
      <c r="I560" s="1010"/>
      <c r="J560" s="1010"/>
      <c r="K560" s="1010"/>
      <c r="L560" s="2095"/>
    </row>
    <row r="561" spans="1:12">
      <c r="A561" s="1010"/>
      <c r="B561" s="1010"/>
      <c r="C561" s="1010"/>
      <c r="D561" s="1010"/>
      <c r="E561" s="1010"/>
      <c r="F561" s="1010"/>
      <c r="G561" s="1010"/>
      <c r="H561" s="1010"/>
      <c r="I561" s="1010"/>
      <c r="J561" s="1010"/>
      <c r="K561" s="1010"/>
      <c r="L561" s="2095"/>
    </row>
    <row r="562" spans="1:12">
      <c r="A562" s="1010"/>
      <c r="B562" s="1010"/>
      <c r="C562" s="1010"/>
      <c r="D562" s="1010"/>
      <c r="E562" s="1010"/>
      <c r="F562" s="1010"/>
      <c r="G562" s="1010"/>
      <c r="H562" s="1010"/>
      <c r="I562" s="1010"/>
      <c r="J562" s="1010"/>
      <c r="K562" s="1010"/>
      <c r="L562" s="2095"/>
    </row>
    <row r="563" spans="1:12">
      <c r="A563" s="1010"/>
      <c r="B563" s="1010"/>
      <c r="C563" s="1010"/>
      <c r="D563" s="1010"/>
      <c r="E563" s="1010"/>
      <c r="F563" s="1010"/>
      <c r="G563" s="1010"/>
      <c r="H563" s="1010"/>
      <c r="I563" s="1010"/>
      <c r="J563" s="1010"/>
      <c r="K563" s="1010"/>
      <c r="L563" s="2095"/>
    </row>
    <row r="564" spans="1:12">
      <c r="A564" s="1010"/>
      <c r="B564" s="1010"/>
      <c r="C564" s="1010"/>
      <c r="D564" s="1010"/>
      <c r="E564" s="1010"/>
      <c r="F564" s="1010"/>
      <c r="G564" s="1010"/>
      <c r="H564" s="1010"/>
      <c r="I564" s="1010"/>
      <c r="J564" s="1010"/>
      <c r="K564" s="1010"/>
      <c r="L564" s="2095"/>
    </row>
    <row r="565" spans="1:12">
      <c r="A565" s="1010"/>
      <c r="B565" s="1010"/>
      <c r="C565" s="1010"/>
      <c r="D565" s="1010"/>
      <c r="E565" s="1010"/>
      <c r="F565" s="1010"/>
      <c r="G565" s="1010"/>
      <c r="H565" s="1010"/>
      <c r="I565" s="1010"/>
      <c r="J565" s="1010"/>
      <c r="K565" s="1010"/>
      <c r="L565" s="2095"/>
    </row>
    <row r="566" spans="1:12">
      <c r="A566" s="1010"/>
      <c r="B566" s="1010"/>
      <c r="C566" s="1010"/>
      <c r="D566" s="1010"/>
      <c r="E566" s="1010"/>
      <c r="F566" s="1010"/>
      <c r="G566" s="1010"/>
      <c r="H566" s="1010"/>
      <c r="I566" s="1010"/>
      <c r="J566" s="1010"/>
      <c r="K566" s="1010"/>
      <c r="L566" s="2095"/>
    </row>
    <row r="567" spans="1:12">
      <c r="A567" s="1010"/>
      <c r="B567" s="1010"/>
      <c r="C567" s="1010"/>
      <c r="D567" s="1010"/>
      <c r="E567" s="1010"/>
      <c r="F567" s="1010"/>
      <c r="G567" s="1010"/>
      <c r="H567" s="1010"/>
      <c r="I567" s="1010"/>
      <c r="J567" s="1010"/>
      <c r="K567" s="1010"/>
      <c r="L567" s="2095"/>
    </row>
    <row r="568" spans="1:12">
      <c r="A568" s="1010"/>
      <c r="B568" s="1010"/>
      <c r="C568" s="1010"/>
      <c r="D568" s="1010"/>
      <c r="E568" s="1010"/>
      <c r="F568" s="1010"/>
      <c r="G568" s="1010"/>
      <c r="H568" s="1010"/>
      <c r="I568" s="1010"/>
      <c r="J568" s="1010"/>
      <c r="K568" s="1010"/>
      <c r="L568" s="2095"/>
    </row>
    <row r="569" spans="1:12">
      <c r="A569" s="1010"/>
      <c r="B569" s="1010"/>
      <c r="C569" s="1010"/>
      <c r="D569" s="1010"/>
      <c r="E569" s="1010"/>
      <c r="F569" s="1010"/>
      <c r="G569" s="1010"/>
      <c r="H569" s="1010"/>
      <c r="I569" s="1010"/>
      <c r="J569" s="1010"/>
      <c r="K569" s="1010"/>
      <c r="L569" s="2095"/>
    </row>
    <row r="570" spans="1:12">
      <c r="A570" s="1010"/>
      <c r="B570" s="1010"/>
      <c r="C570" s="1010"/>
      <c r="D570" s="1010"/>
      <c r="E570" s="1010"/>
      <c r="F570" s="1010"/>
      <c r="G570" s="1010"/>
      <c r="H570" s="1010"/>
      <c r="I570" s="1010"/>
      <c r="J570" s="1010"/>
      <c r="K570" s="1010"/>
      <c r="L570" s="2095"/>
    </row>
    <row r="571" spans="1:12">
      <c r="A571" s="1010"/>
      <c r="B571" s="1010"/>
      <c r="C571" s="1010"/>
      <c r="D571" s="1010"/>
      <c r="E571" s="1010"/>
      <c r="F571" s="1010"/>
      <c r="G571" s="1010"/>
      <c r="H571" s="1010"/>
      <c r="I571" s="1010"/>
      <c r="J571" s="1010"/>
      <c r="K571" s="1010"/>
      <c r="L571" s="2095"/>
    </row>
    <row r="572" spans="1:12">
      <c r="A572" s="1010"/>
      <c r="B572" s="1010"/>
      <c r="C572" s="1010"/>
      <c r="D572" s="1010"/>
      <c r="E572" s="1010"/>
      <c r="F572" s="1010"/>
      <c r="G572" s="1010"/>
      <c r="H572" s="1010"/>
      <c r="I572" s="1010"/>
      <c r="J572" s="1010"/>
      <c r="K572" s="1010"/>
      <c r="L572" s="2095"/>
    </row>
    <row r="573" spans="1:12">
      <c r="A573" s="1010"/>
      <c r="B573" s="1010"/>
      <c r="C573" s="1010"/>
      <c r="D573" s="1010"/>
      <c r="E573" s="1010"/>
      <c r="F573" s="1010"/>
      <c r="G573" s="1010"/>
      <c r="H573" s="1010"/>
      <c r="I573" s="1010"/>
      <c r="J573" s="1010"/>
      <c r="K573" s="1010"/>
      <c r="L573" s="2095"/>
    </row>
    <row r="574" spans="1:12">
      <c r="A574" s="1010"/>
      <c r="B574" s="1010"/>
      <c r="C574" s="1010"/>
      <c r="D574" s="1010"/>
      <c r="E574" s="1010"/>
      <c r="F574" s="1010"/>
      <c r="G574" s="1010"/>
      <c r="H574" s="1010"/>
      <c r="I574" s="1010"/>
      <c r="J574" s="1010"/>
      <c r="K574" s="1010"/>
      <c r="L574" s="2095"/>
    </row>
    <row r="575" spans="1:12">
      <c r="A575" s="1010"/>
      <c r="B575" s="1010"/>
      <c r="C575" s="1010"/>
      <c r="D575" s="1010"/>
      <c r="E575" s="1010"/>
      <c r="F575" s="1010"/>
      <c r="G575" s="1010"/>
      <c r="H575" s="1010"/>
      <c r="I575" s="1010"/>
      <c r="J575" s="1010"/>
      <c r="K575" s="1010"/>
      <c r="L575" s="2095"/>
    </row>
    <row r="576" spans="1:12">
      <c r="A576" s="1010"/>
      <c r="B576" s="1010"/>
      <c r="C576" s="1010"/>
      <c r="D576" s="1010"/>
      <c r="E576" s="1010"/>
      <c r="F576" s="1010"/>
      <c r="G576" s="1010"/>
      <c r="H576" s="1010"/>
      <c r="I576" s="1010"/>
      <c r="J576" s="1010"/>
      <c r="K576" s="1010"/>
      <c r="L576" s="2095"/>
    </row>
    <row r="577" spans="1:12">
      <c r="A577" s="1010"/>
      <c r="B577" s="1010"/>
      <c r="C577" s="1010"/>
      <c r="D577" s="1010"/>
      <c r="E577" s="1010"/>
      <c r="F577" s="1010"/>
      <c r="G577" s="1010"/>
      <c r="H577" s="1010"/>
      <c r="I577" s="1010"/>
      <c r="J577" s="1010"/>
      <c r="K577" s="1010"/>
      <c r="L577" s="2095"/>
    </row>
    <row r="578" spans="1:12">
      <c r="A578" s="1010"/>
      <c r="B578" s="1010"/>
      <c r="C578" s="1010"/>
      <c r="D578" s="1010"/>
      <c r="E578" s="1010"/>
      <c r="F578" s="1010"/>
      <c r="G578" s="1010"/>
      <c r="H578" s="1010"/>
      <c r="I578" s="1010"/>
      <c r="J578" s="1010"/>
      <c r="K578" s="1010"/>
      <c r="L578" s="2095"/>
    </row>
    <row r="579" spans="1:12">
      <c r="A579" s="1010"/>
      <c r="B579" s="1010"/>
      <c r="C579" s="1010"/>
      <c r="D579" s="1010"/>
      <c r="E579" s="1010"/>
      <c r="F579" s="1010"/>
      <c r="G579" s="1010"/>
      <c r="H579" s="1010"/>
      <c r="I579" s="1010"/>
      <c r="J579" s="1010"/>
      <c r="K579" s="1010"/>
      <c r="L579" s="2095"/>
    </row>
    <row r="580" spans="1:12">
      <c r="A580" s="1010"/>
      <c r="B580" s="1010"/>
      <c r="C580" s="1010"/>
      <c r="D580" s="1010"/>
      <c r="E580" s="1010"/>
      <c r="F580" s="1010"/>
      <c r="G580" s="1010"/>
      <c r="H580" s="1010"/>
      <c r="I580" s="1010"/>
      <c r="J580" s="1010"/>
      <c r="K580" s="1010"/>
      <c r="L580" s="2095"/>
    </row>
    <row r="581" spans="1:12">
      <c r="A581" s="1010"/>
      <c r="B581" s="1010"/>
      <c r="C581" s="1010"/>
      <c r="D581" s="1010"/>
      <c r="E581" s="1010"/>
      <c r="F581" s="1010"/>
      <c r="G581" s="1010"/>
      <c r="H581" s="1010"/>
      <c r="I581" s="1010"/>
      <c r="J581" s="1010"/>
      <c r="K581" s="1010"/>
      <c r="L581" s="2095"/>
    </row>
    <row r="582" spans="1:12">
      <c r="A582" s="1010"/>
      <c r="B582" s="1010"/>
      <c r="C582" s="1010"/>
      <c r="D582" s="1010"/>
      <c r="E582" s="1010"/>
      <c r="F582" s="1010"/>
      <c r="G582" s="1010"/>
      <c r="H582" s="1010"/>
      <c r="I582" s="1010"/>
      <c r="J582" s="1010"/>
      <c r="K582" s="1010"/>
      <c r="L582" s="2095"/>
    </row>
    <row r="583" spans="1:12">
      <c r="A583" s="1010"/>
      <c r="B583" s="1010"/>
      <c r="C583" s="1010"/>
      <c r="D583" s="1010"/>
      <c r="E583" s="1010"/>
      <c r="F583" s="1010"/>
      <c r="G583" s="1010"/>
      <c r="H583" s="1010"/>
      <c r="I583" s="1010"/>
      <c r="J583" s="1010"/>
      <c r="K583" s="1010"/>
      <c r="L583" s="2095"/>
    </row>
    <row r="584" spans="1:12">
      <c r="A584" s="1010"/>
      <c r="B584" s="1010"/>
      <c r="C584" s="1010"/>
      <c r="D584" s="1010"/>
      <c r="E584" s="1010"/>
      <c r="F584" s="1010"/>
      <c r="G584" s="1010"/>
      <c r="H584" s="1010"/>
      <c r="I584" s="1010"/>
      <c r="J584" s="1010"/>
      <c r="K584" s="1010"/>
      <c r="L584" s="2095"/>
    </row>
    <row r="585" spans="1:12">
      <c r="A585" s="1010"/>
      <c r="B585" s="1010"/>
      <c r="C585" s="1010"/>
      <c r="D585" s="1010"/>
      <c r="E585" s="1010"/>
      <c r="F585" s="1010"/>
      <c r="G585" s="1010"/>
      <c r="H585" s="1010"/>
      <c r="I585" s="1010"/>
      <c r="J585" s="1010"/>
      <c r="K585" s="1010"/>
      <c r="L585" s="2095"/>
    </row>
    <row r="586" spans="1:12">
      <c r="A586" s="1010"/>
      <c r="B586" s="1010"/>
      <c r="C586" s="1010"/>
      <c r="D586" s="1010"/>
      <c r="E586" s="1010"/>
      <c r="F586" s="1010"/>
      <c r="G586" s="1010"/>
      <c r="H586" s="1010"/>
      <c r="I586" s="1010"/>
      <c r="J586" s="1010"/>
      <c r="K586" s="1010"/>
      <c r="L586" s="2095"/>
    </row>
    <row r="587" spans="1:12">
      <c r="A587" s="1010"/>
      <c r="B587" s="1010"/>
      <c r="C587" s="1010"/>
      <c r="D587" s="1010"/>
      <c r="E587" s="1010"/>
      <c r="F587" s="1010"/>
      <c r="G587" s="1010"/>
      <c r="H587" s="1010"/>
      <c r="I587" s="1010"/>
      <c r="J587" s="1010"/>
      <c r="K587" s="1010"/>
      <c r="L587" s="2095"/>
    </row>
    <row r="588" spans="1:12">
      <c r="A588" s="1010"/>
      <c r="B588" s="1010"/>
      <c r="C588" s="1010"/>
      <c r="D588" s="1010"/>
      <c r="E588" s="1010"/>
      <c r="F588" s="1010"/>
      <c r="G588" s="1010"/>
      <c r="H588" s="1010"/>
      <c r="I588" s="1010"/>
      <c r="J588" s="1010"/>
      <c r="K588" s="1010"/>
      <c r="L588" s="2095"/>
    </row>
    <row r="725" spans="3:3">
      <c r="C725" s="1564" t="s">
        <v>2409</v>
      </c>
    </row>
    <row r="739" spans="3:3">
      <c r="C739" s="1564" t="s">
        <v>2410</v>
      </c>
    </row>
  </sheetData>
  <mergeCells count="18">
    <mergeCell ref="F4:F6"/>
    <mergeCell ref="K189:L189"/>
    <mergeCell ref="K7:L7"/>
    <mergeCell ref="B184:L185"/>
    <mergeCell ref="B196:L197"/>
    <mergeCell ref="L3:L6"/>
    <mergeCell ref="H4:H6"/>
    <mergeCell ref="I4:I6"/>
    <mergeCell ref="J4:J6"/>
    <mergeCell ref="K3:K6"/>
    <mergeCell ref="B3:B6"/>
    <mergeCell ref="H3:J3"/>
    <mergeCell ref="C4:C6"/>
    <mergeCell ref="D4:D6"/>
    <mergeCell ref="E4:E6"/>
    <mergeCell ref="G4:G6"/>
    <mergeCell ref="H7:J7"/>
    <mergeCell ref="I189:J189"/>
  </mergeCells>
  <pageMargins left="0.75" right="0.25" top="0.5" bottom="0" header="0.25" footer="0"/>
  <pageSetup paperSize="9" scale="64" firstPageNumber="8" fitToHeight="0" orientation="landscape" useFirstPageNumber="1" r:id="rId1"/>
  <headerFooter>
    <oddHeader>&amp;C&amp;"Arial Black,Regular"&amp;11&amp;P&amp;R&amp;"Arial Black,Regular"&amp;11MCB PAKISTAN STOCK MARKET FUND</oddHeader>
  </headerFooter>
  <rowBreaks count="5" manualBreakCount="5">
    <brk id="48" max="11" man="1"/>
    <brk id="91" max="11" man="1"/>
    <brk id="131" max="11" man="1"/>
    <brk id="176" max="11" man="1"/>
    <brk id="240"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35</vt:i4>
      </vt:variant>
    </vt:vector>
  </HeadingPairs>
  <TitlesOfParts>
    <vt:vector size="82" baseType="lpstr">
      <vt:lpstr>BS</vt:lpstr>
      <vt:lpstr>IS</vt:lpstr>
      <vt:lpstr>OCI</vt:lpstr>
      <vt:lpstr>DS</vt:lpstr>
      <vt:lpstr>UHF</vt:lpstr>
      <vt:lpstr>UHF.</vt:lpstr>
      <vt:lpstr>CFs</vt:lpstr>
      <vt:lpstr>1-6</vt:lpstr>
      <vt:lpstr>6-6.1.2</vt:lpstr>
      <vt:lpstr>6.2</vt:lpstr>
      <vt:lpstr>7-12</vt:lpstr>
      <vt:lpstr>5.4</vt:lpstr>
      <vt:lpstr>UHF New</vt:lpstr>
      <vt:lpstr>UHF OLD</vt:lpstr>
      <vt:lpstr>Sheet4</vt:lpstr>
      <vt:lpstr>5.1</vt:lpstr>
      <vt:lpstr>Sheet3</vt:lpstr>
      <vt:lpstr>14-16</vt:lpstr>
      <vt:lpstr>12.1</vt:lpstr>
      <vt:lpstr>12.2-12.3</vt:lpstr>
      <vt:lpstr>14</vt:lpstr>
      <vt:lpstr>RP</vt:lpstr>
      <vt:lpstr>TB MCBPSM</vt:lpstr>
      <vt:lpstr>Sheet2</vt:lpstr>
      <vt:lpstr>CF Working</vt:lpstr>
      <vt:lpstr>TB-31 Dec</vt:lpstr>
      <vt:lpstr>Sheet2 (2)</vt:lpstr>
      <vt:lpstr>Sheet2 (3)</vt:lpstr>
      <vt:lpstr>Sheet1</vt:lpstr>
      <vt:lpstr>Note 1-5 (2)</vt:lpstr>
      <vt:lpstr>5.1-5.3</vt:lpstr>
      <vt:lpstr>5.4-8</vt:lpstr>
      <vt:lpstr>5.1-5.3 (2)</vt:lpstr>
      <vt:lpstr>20-25.1.2</vt:lpstr>
      <vt:lpstr>25.1.3-25.2</vt:lpstr>
      <vt:lpstr>Note 25.2.1-30.1</vt:lpstr>
      <vt:lpstr>Element income final</vt:lpstr>
      <vt:lpstr>Element income final 2015</vt:lpstr>
      <vt:lpstr>29-31.3</vt:lpstr>
      <vt:lpstr>credit 2011</vt:lpstr>
      <vt:lpstr>bank rating</vt:lpstr>
      <vt:lpstr>Element of Income </vt:lpstr>
      <vt:lpstr>Element working</vt:lpstr>
      <vt:lpstr>Set off</vt:lpstr>
      <vt:lpstr>Trial Balance</vt:lpstr>
      <vt:lpstr>investment topsheet</vt:lpstr>
      <vt:lpstr>invst Control Sheet</vt:lpstr>
      <vt:lpstr>'12.1'!Print_Area</vt:lpstr>
      <vt:lpstr>'12.2-12.3'!Print_Area</vt:lpstr>
      <vt:lpstr>'14'!Print_Area</vt:lpstr>
      <vt:lpstr>'14-16'!Print_Area</vt:lpstr>
      <vt:lpstr>'1-6'!Print_Area</vt:lpstr>
      <vt:lpstr>'20-25.1.2'!Print_Area</vt:lpstr>
      <vt:lpstr>'25.1.3-25.2'!Print_Area</vt:lpstr>
      <vt:lpstr>'29-31.3'!Print_Area</vt:lpstr>
      <vt:lpstr>'5.1'!Print_Area</vt:lpstr>
      <vt:lpstr>'5.1-5.3'!Print_Area</vt:lpstr>
      <vt:lpstr>'5.1-5.3 (2)'!Print_Area</vt:lpstr>
      <vt:lpstr>'5.4-8'!Print_Area</vt:lpstr>
      <vt:lpstr>'6.2'!Print_Area</vt:lpstr>
      <vt:lpstr>'6-6.1.2'!Print_Area</vt:lpstr>
      <vt:lpstr>'7-12'!Print_Area</vt:lpstr>
      <vt:lpstr>'bank rating'!Print_Area</vt:lpstr>
      <vt:lpstr>BS!Print_Area</vt:lpstr>
      <vt:lpstr>'CF Working'!Print_Area</vt:lpstr>
      <vt:lpstr>CFs!Print_Area</vt:lpstr>
      <vt:lpstr>'credit 2011'!Print_Area</vt:lpstr>
      <vt:lpstr>DS!Print_Area</vt:lpstr>
      <vt:lpstr>'Element income final 2015'!Print_Area</vt:lpstr>
      <vt:lpstr>'investment topsheet'!Print_Area</vt:lpstr>
      <vt:lpstr>'invst Control Sheet'!Print_Area</vt:lpstr>
      <vt:lpstr>IS!Print_Area</vt:lpstr>
      <vt:lpstr>'Note 1-5 (2)'!Print_Area</vt:lpstr>
      <vt:lpstr>'Note 25.2.1-30.1'!Print_Area</vt:lpstr>
      <vt:lpstr>OCI!Print_Area</vt:lpstr>
      <vt:lpstr>RP!Print_Area</vt:lpstr>
      <vt:lpstr>'Set off'!Print_Area</vt:lpstr>
      <vt:lpstr>UHF!Print_Area</vt:lpstr>
      <vt:lpstr>'UHF New'!Print_Area</vt:lpstr>
      <vt:lpstr>'UHF OLD'!Print_Area</vt:lpstr>
      <vt:lpstr>UHF.!Print_Area</vt:lpstr>
      <vt:lpstr>'6-6.1.2'!Print_Titles</vt:lpstr>
    </vt:vector>
  </TitlesOfParts>
  <Company>PICICAMC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qamber.raza</dc:creator>
  <cp:lastModifiedBy>Khurram Sharf</cp:lastModifiedBy>
  <cp:lastPrinted>2022-04-01T15:00:43Z</cp:lastPrinted>
  <dcterms:created xsi:type="dcterms:W3CDTF">2011-01-28T12:08:10Z</dcterms:created>
  <dcterms:modified xsi:type="dcterms:W3CDTF">2022-04-15T10:37:52Z</dcterms:modified>
</cp:coreProperties>
</file>